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56" windowWidth="15240" windowHeight="7992" tabRatio="730" firstSheet="1" activeTab="8"/>
  </bookViews>
  <sheets>
    <sheet name="Registro" sheetId="4" r:id="rId1"/>
    <sheet name="00 Encuesta" sheetId="1" r:id="rId2"/>
    <sheet name="Obra Social" sheetId="2" r:id="rId3"/>
    <sheet name="Calasanz Caracas" sheetId="3" r:id="rId4"/>
    <sheet name="Calasanz Valencia Q" sheetId="5" r:id="rId5"/>
    <sheet name="Calasanz Valencia C" sheetId="6" r:id="rId6"/>
    <sheet name="Cristo Rey" sheetId="7" r:id="rId7"/>
    <sheet name="Monseñor Romero" sheetId="8" r:id="rId8"/>
    <sheet name="Coromoto" sheetId="9" r:id="rId9"/>
    <sheet name="Hoja1" sheetId="10" r:id="rId10"/>
  </sheets>
  <definedNames>
    <definedName name="_xlnm._FilterDatabase" localSheetId="1" hidden="1">'00 Encuesta'!$A$1:$BD$388</definedName>
    <definedName name="_xlnm._FilterDatabase" localSheetId="0" hidden="1">Registro!$A$1:$AZ$370</definedName>
  </definedNames>
  <calcPr calcId="145621"/>
</workbook>
</file>

<file path=xl/calcChain.xml><?xml version="1.0" encoding="utf-8"?>
<calcChain xmlns="http://schemas.openxmlformats.org/spreadsheetml/2006/main">
  <c r="Y452" i="9" l="1"/>
  <c r="W452" i="9"/>
  <c r="R452" i="9"/>
  <c r="P452" i="9"/>
  <c r="K452" i="9"/>
  <c r="I452" i="9"/>
  <c r="Y451" i="9"/>
  <c r="W451" i="9"/>
  <c r="R451" i="9"/>
  <c r="P451" i="9"/>
  <c r="K451" i="9"/>
  <c r="I451" i="9"/>
  <c r="Y450" i="9"/>
  <c r="W450" i="9"/>
  <c r="R450" i="9"/>
  <c r="P450" i="9"/>
  <c r="K450" i="9"/>
  <c r="I450" i="9"/>
  <c r="Y449" i="9"/>
  <c r="W449" i="9"/>
  <c r="R449" i="9"/>
  <c r="P449" i="9"/>
  <c r="K449" i="9"/>
  <c r="I449" i="9"/>
  <c r="Y448" i="9"/>
  <c r="W448" i="9"/>
  <c r="R448" i="9"/>
  <c r="P448" i="9"/>
  <c r="K448" i="9"/>
  <c r="I448" i="9"/>
  <c r="Y447" i="9"/>
  <c r="W447" i="9"/>
  <c r="R447" i="9"/>
  <c r="P447" i="9"/>
  <c r="K447" i="9"/>
  <c r="I447" i="9"/>
  <c r="Y446" i="9"/>
  <c r="W446" i="9"/>
  <c r="R446" i="9"/>
  <c r="P446" i="9"/>
  <c r="K446" i="9"/>
  <c r="I446" i="9"/>
  <c r="Y445" i="9"/>
  <c r="W445" i="9"/>
  <c r="R445" i="9"/>
  <c r="P445" i="9"/>
  <c r="K445" i="9"/>
  <c r="I445" i="9"/>
  <c r="Y444" i="9"/>
  <c r="W444" i="9"/>
  <c r="R444" i="9"/>
  <c r="P444" i="9"/>
  <c r="K444" i="9"/>
  <c r="I444" i="9"/>
  <c r="Y443" i="9"/>
  <c r="W443" i="9"/>
  <c r="R443" i="9"/>
  <c r="P443" i="9"/>
  <c r="K443" i="9"/>
  <c r="I443" i="9"/>
  <c r="Y442" i="9"/>
  <c r="W442" i="9"/>
  <c r="R442" i="9"/>
  <c r="P442" i="9"/>
  <c r="K442" i="9"/>
  <c r="I442" i="9"/>
  <c r="Y439" i="9"/>
  <c r="W439" i="9"/>
  <c r="R439" i="9"/>
  <c r="P439" i="9"/>
  <c r="K439" i="9"/>
  <c r="I439" i="9"/>
  <c r="Y438" i="9"/>
  <c r="W438" i="9"/>
  <c r="R438" i="9"/>
  <c r="P438" i="9"/>
  <c r="K438" i="9"/>
  <c r="I438" i="9"/>
  <c r="Y437" i="9"/>
  <c r="W437" i="9"/>
  <c r="R437" i="9"/>
  <c r="P437" i="9"/>
  <c r="K437" i="9"/>
  <c r="I437" i="9"/>
  <c r="Y436" i="9"/>
  <c r="W436" i="9"/>
  <c r="R436" i="9"/>
  <c r="P436" i="9"/>
  <c r="K436" i="9"/>
  <c r="I436" i="9"/>
  <c r="Y435" i="9"/>
  <c r="W435" i="9"/>
  <c r="R435" i="9"/>
  <c r="P435" i="9"/>
  <c r="K435" i="9"/>
  <c r="I435" i="9"/>
  <c r="Y432" i="9"/>
  <c r="W432" i="9"/>
  <c r="R432" i="9"/>
  <c r="P432" i="9"/>
  <c r="K432" i="9"/>
  <c r="I432" i="9"/>
  <c r="Y431" i="9"/>
  <c r="W431" i="9"/>
  <c r="R431" i="9"/>
  <c r="P431" i="9"/>
  <c r="K431" i="9"/>
  <c r="I431" i="9"/>
  <c r="Y430" i="9"/>
  <c r="W430" i="9"/>
  <c r="R430" i="9"/>
  <c r="P430" i="9"/>
  <c r="K430" i="9"/>
  <c r="I430" i="9"/>
  <c r="Y429" i="9"/>
  <c r="W429" i="9"/>
  <c r="R429" i="9"/>
  <c r="P429" i="9"/>
  <c r="K429" i="9"/>
  <c r="I429" i="9"/>
  <c r="Y428" i="9"/>
  <c r="W428" i="9"/>
  <c r="R428" i="9"/>
  <c r="P428" i="9"/>
  <c r="K428" i="9"/>
  <c r="I428" i="9"/>
  <c r="Y425" i="9"/>
  <c r="W425" i="9"/>
  <c r="R425" i="9"/>
  <c r="P425" i="9"/>
  <c r="K425" i="9"/>
  <c r="I425" i="9"/>
  <c r="Y424" i="9"/>
  <c r="W424" i="9"/>
  <c r="R424" i="9"/>
  <c r="P424" i="9"/>
  <c r="K424" i="9"/>
  <c r="I424" i="9"/>
  <c r="Y423" i="9"/>
  <c r="W423" i="9"/>
  <c r="R423" i="9"/>
  <c r="P423" i="9"/>
  <c r="K423" i="9"/>
  <c r="I423" i="9"/>
  <c r="Y422" i="9"/>
  <c r="W422" i="9"/>
  <c r="R422" i="9"/>
  <c r="P422" i="9"/>
  <c r="K422" i="9"/>
  <c r="I422" i="9"/>
  <c r="Y421" i="9"/>
  <c r="W421" i="9"/>
  <c r="R421" i="9"/>
  <c r="P421" i="9"/>
  <c r="K421" i="9"/>
  <c r="I421" i="9"/>
  <c r="Y420" i="9"/>
  <c r="W420" i="9"/>
  <c r="R420" i="9"/>
  <c r="P420" i="9"/>
  <c r="K420" i="9"/>
  <c r="I420" i="9"/>
  <c r="Y417" i="9"/>
  <c r="W417" i="9"/>
  <c r="R417" i="9"/>
  <c r="P417" i="9"/>
  <c r="K417" i="9"/>
  <c r="I417" i="9"/>
  <c r="Y416" i="9"/>
  <c r="W416" i="9"/>
  <c r="R416" i="9"/>
  <c r="P416" i="9"/>
  <c r="K416" i="9"/>
  <c r="I416" i="9"/>
  <c r="Y415" i="9"/>
  <c r="W415" i="9"/>
  <c r="R415" i="9"/>
  <c r="P415" i="9"/>
  <c r="K415" i="9"/>
  <c r="I415" i="9"/>
  <c r="Y414" i="9"/>
  <c r="W414" i="9"/>
  <c r="R414" i="9"/>
  <c r="P414" i="9"/>
  <c r="K414" i="9"/>
  <c r="I414" i="9"/>
  <c r="Y411" i="9"/>
  <c r="W411" i="9"/>
  <c r="R411" i="9"/>
  <c r="P411" i="9"/>
  <c r="K411" i="9"/>
  <c r="I411" i="9"/>
  <c r="Y410" i="9"/>
  <c r="W410" i="9"/>
  <c r="R410" i="9"/>
  <c r="P410" i="9"/>
  <c r="K410" i="9"/>
  <c r="I410" i="9"/>
  <c r="Y409" i="9"/>
  <c r="W409" i="9"/>
  <c r="R409" i="9"/>
  <c r="P409" i="9"/>
  <c r="K409" i="9"/>
  <c r="I409" i="9"/>
  <c r="Y408" i="9"/>
  <c r="W408" i="9"/>
  <c r="R408" i="9"/>
  <c r="P408" i="9"/>
  <c r="K408" i="9"/>
  <c r="I408" i="9"/>
  <c r="Y407" i="9"/>
  <c r="W407" i="9"/>
  <c r="R407" i="9"/>
  <c r="P407" i="9"/>
  <c r="K407" i="9"/>
  <c r="I407" i="9"/>
  <c r="Y404" i="9"/>
  <c r="W404" i="9"/>
  <c r="R404" i="9"/>
  <c r="P404" i="9"/>
  <c r="K404" i="9"/>
  <c r="I404" i="9"/>
  <c r="Y403" i="9"/>
  <c r="W403" i="9"/>
  <c r="R403" i="9"/>
  <c r="P403" i="9"/>
  <c r="K403" i="9"/>
  <c r="I403" i="9"/>
  <c r="Y402" i="9"/>
  <c r="W402" i="9"/>
  <c r="R402" i="9"/>
  <c r="P402" i="9"/>
  <c r="K402" i="9"/>
  <c r="I402" i="9"/>
  <c r="Y401" i="9"/>
  <c r="W401" i="9"/>
  <c r="R401" i="9"/>
  <c r="P401" i="9"/>
  <c r="K401" i="9"/>
  <c r="I401" i="9"/>
  <c r="Y400" i="9"/>
  <c r="W400" i="9"/>
  <c r="R400" i="9"/>
  <c r="P400" i="9"/>
  <c r="K400" i="9"/>
  <c r="I400" i="9"/>
  <c r="Y399" i="9"/>
  <c r="W399" i="9"/>
  <c r="R399" i="9"/>
  <c r="P399" i="9"/>
  <c r="K399" i="9"/>
  <c r="I399" i="9"/>
  <c r="Y398" i="9"/>
  <c r="W398" i="9"/>
  <c r="R398" i="9"/>
  <c r="P398" i="9"/>
  <c r="K398" i="9"/>
  <c r="I398" i="9"/>
  <c r="Y397" i="9"/>
  <c r="W397" i="9"/>
  <c r="R397" i="9"/>
  <c r="P397" i="9"/>
  <c r="K397" i="9"/>
  <c r="I397" i="9"/>
  <c r="Y394" i="9"/>
  <c r="W394" i="9"/>
  <c r="R394" i="9"/>
  <c r="P394" i="9"/>
  <c r="K394" i="9"/>
  <c r="I394" i="9"/>
  <c r="Y393" i="9"/>
  <c r="W393" i="9"/>
  <c r="R393" i="9"/>
  <c r="P393" i="9"/>
  <c r="K393" i="9"/>
  <c r="I393" i="9"/>
  <c r="Y392" i="9"/>
  <c r="W392" i="9"/>
  <c r="R392" i="9"/>
  <c r="P392" i="9"/>
  <c r="K392" i="9"/>
  <c r="I392" i="9"/>
  <c r="Y391" i="9"/>
  <c r="W391" i="9"/>
  <c r="R391" i="9"/>
  <c r="P391" i="9"/>
  <c r="K391" i="9"/>
  <c r="I391" i="9"/>
  <c r="Y390" i="9"/>
  <c r="W390" i="9"/>
  <c r="R390" i="9"/>
  <c r="P390" i="9"/>
  <c r="K390" i="9"/>
  <c r="I390" i="9"/>
  <c r="Y389" i="9"/>
  <c r="W389" i="9"/>
  <c r="R389" i="9"/>
  <c r="P389" i="9"/>
  <c r="K389" i="9"/>
  <c r="I389" i="9"/>
  <c r="Y388" i="9"/>
  <c r="W388" i="9"/>
  <c r="R388" i="9"/>
  <c r="P388" i="9"/>
  <c r="K388" i="9"/>
  <c r="I388" i="9"/>
  <c r="Y387" i="9"/>
  <c r="W387" i="9"/>
  <c r="R387" i="9"/>
  <c r="P387" i="9"/>
  <c r="K387" i="9"/>
  <c r="I387" i="9"/>
  <c r="Y386" i="9"/>
  <c r="W386" i="9"/>
  <c r="R386" i="9"/>
  <c r="P386" i="9"/>
  <c r="K386" i="9"/>
  <c r="I386" i="9"/>
  <c r="Y382" i="9"/>
  <c r="W382" i="9"/>
  <c r="R382" i="9"/>
  <c r="P382" i="9"/>
  <c r="K382" i="9"/>
  <c r="I382" i="9"/>
  <c r="Y381" i="9"/>
  <c r="W381" i="9"/>
  <c r="R381" i="9"/>
  <c r="P381" i="9"/>
  <c r="K381" i="9"/>
  <c r="I381" i="9"/>
  <c r="Y380" i="9"/>
  <c r="W380" i="9"/>
  <c r="R380" i="9"/>
  <c r="P380" i="9"/>
  <c r="K380" i="9"/>
  <c r="I380" i="9"/>
  <c r="Y379" i="9"/>
  <c r="W379" i="9"/>
  <c r="R379" i="9"/>
  <c r="P379" i="9"/>
  <c r="K379" i="9"/>
  <c r="I379" i="9"/>
  <c r="Y378" i="9"/>
  <c r="W378" i="9"/>
  <c r="R378" i="9"/>
  <c r="P378" i="9"/>
  <c r="K378" i="9"/>
  <c r="I378" i="9"/>
  <c r="Y377" i="9"/>
  <c r="W377" i="9"/>
  <c r="R377" i="9"/>
  <c r="P377" i="9"/>
  <c r="K377" i="9"/>
  <c r="I377" i="9"/>
  <c r="Y374" i="9"/>
  <c r="W374" i="9"/>
  <c r="R374" i="9"/>
  <c r="P374" i="9"/>
  <c r="K374" i="9"/>
  <c r="I374" i="9"/>
  <c r="Y373" i="9"/>
  <c r="W373" i="9"/>
  <c r="R373" i="9"/>
  <c r="P373" i="9"/>
  <c r="K373" i="9"/>
  <c r="I373" i="9"/>
  <c r="Y372" i="9"/>
  <c r="W372" i="9"/>
  <c r="R372" i="9"/>
  <c r="P372" i="9"/>
  <c r="K372" i="9"/>
  <c r="I372" i="9"/>
  <c r="Y371" i="9"/>
  <c r="W371" i="9"/>
  <c r="R371" i="9"/>
  <c r="P371" i="9"/>
  <c r="K371" i="9"/>
  <c r="I371" i="9"/>
  <c r="Y370" i="9"/>
  <c r="W370" i="9"/>
  <c r="R370" i="9"/>
  <c r="P370" i="9"/>
  <c r="K370" i="9"/>
  <c r="I370" i="9"/>
  <c r="Y369" i="9"/>
  <c r="W369" i="9"/>
  <c r="R369" i="9"/>
  <c r="P369" i="9"/>
  <c r="K369" i="9"/>
  <c r="I369" i="9"/>
  <c r="Y366" i="9"/>
  <c r="W366" i="9"/>
  <c r="R366" i="9"/>
  <c r="P366" i="9"/>
  <c r="K366" i="9"/>
  <c r="I366" i="9"/>
  <c r="Y365" i="9"/>
  <c r="W365" i="9"/>
  <c r="R365" i="9"/>
  <c r="P365" i="9"/>
  <c r="K365" i="9"/>
  <c r="I365" i="9"/>
  <c r="Y364" i="9"/>
  <c r="W364" i="9"/>
  <c r="R364" i="9"/>
  <c r="P364" i="9"/>
  <c r="K364" i="9"/>
  <c r="I364" i="9"/>
  <c r="Y363" i="9"/>
  <c r="W363" i="9"/>
  <c r="R363" i="9"/>
  <c r="P363" i="9"/>
  <c r="K363" i="9"/>
  <c r="I363" i="9"/>
  <c r="Y362" i="9"/>
  <c r="W362" i="9"/>
  <c r="R362" i="9"/>
  <c r="P362" i="9"/>
  <c r="K362" i="9"/>
  <c r="I362" i="9"/>
  <c r="Y361" i="9"/>
  <c r="W361" i="9"/>
  <c r="R361" i="9"/>
  <c r="P361" i="9"/>
  <c r="K361" i="9"/>
  <c r="I361" i="9"/>
  <c r="Y358" i="9"/>
  <c r="W358" i="9"/>
  <c r="R358" i="9"/>
  <c r="P358" i="9"/>
  <c r="K358" i="9"/>
  <c r="I358" i="9"/>
  <c r="Y357" i="9"/>
  <c r="W357" i="9"/>
  <c r="R357" i="9"/>
  <c r="P357" i="9"/>
  <c r="K357" i="9"/>
  <c r="I357" i="9"/>
  <c r="Y356" i="9"/>
  <c r="W356" i="9"/>
  <c r="R356" i="9"/>
  <c r="P356" i="9"/>
  <c r="K356" i="9"/>
  <c r="I356" i="9"/>
  <c r="Y355" i="9"/>
  <c r="W355" i="9"/>
  <c r="R355" i="9"/>
  <c r="P355" i="9"/>
  <c r="K355" i="9"/>
  <c r="I355" i="9"/>
  <c r="Y354" i="9"/>
  <c r="W354" i="9"/>
  <c r="R354" i="9"/>
  <c r="P354" i="9"/>
  <c r="K354" i="9"/>
  <c r="I354" i="9"/>
  <c r="Y353" i="9"/>
  <c r="W353" i="9"/>
  <c r="R353" i="9"/>
  <c r="P353" i="9"/>
  <c r="K353" i="9"/>
  <c r="I353" i="9"/>
  <c r="Y350" i="9"/>
  <c r="W350" i="9"/>
  <c r="R350" i="9"/>
  <c r="P350" i="9"/>
  <c r="K350" i="9"/>
  <c r="I350" i="9"/>
  <c r="Y349" i="9"/>
  <c r="W349" i="9"/>
  <c r="R349" i="9"/>
  <c r="P349" i="9"/>
  <c r="K349" i="9"/>
  <c r="I349" i="9"/>
  <c r="Y348" i="9"/>
  <c r="W348" i="9"/>
  <c r="R348" i="9"/>
  <c r="P348" i="9"/>
  <c r="K348" i="9"/>
  <c r="I348" i="9"/>
  <c r="Y347" i="9"/>
  <c r="W347" i="9"/>
  <c r="R347" i="9"/>
  <c r="P347" i="9"/>
  <c r="K347" i="9"/>
  <c r="I347" i="9"/>
  <c r="Y346" i="9"/>
  <c r="W346" i="9"/>
  <c r="R346" i="9"/>
  <c r="P346" i="9"/>
  <c r="K346" i="9"/>
  <c r="I346" i="9"/>
  <c r="Y345" i="9"/>
  <c r="W345" i="9"/>
  <c r="R345" i="9"/>
  <c r="P345" i="9"/>
  <c r="K345" i="9"/>
  <c r="I345" i="9"/>
  <c r="Y342" i="9"/>
  <c r="W342" i="9"/>
  <c r="R342" i="9"/>
  <c r="P342" i="9"/>
  <c r="K342" i="9"/>
  <c r="I342" i="9"/>
  <c r="Y341" i="9"/>
  <c r="W341" i="9"/>
  <c r="R341" i="9"/>
  <c r="P341" i="9"/>
  <c r="K341" i="9"/>
  <c r="I341" i="9"/>
  <c r="Y340" i="9"/>
  <c r="W340" i="9"/>
  <c r="R340" i="9"/>
  <c r="P340" i="9"/>
  <c r="K340" i="9"/>
  <c r="I340" i="9"/>
  <c r="Y339" i="9"/>
  <c r="W339" i="9"/>
  <c r="R339" i="9"/>
  <c r="P339" i="9"/>
  <c r="K339" i="9"/>
  <c r="I339" i="9"/>
  <c r="Y338" i="9"/>
  <c r="W338" i="9"/>
  <c r="R338" i="9"/>
  <c r="P338" i="9"/>
  <c r="K338" i="9"/>
  <c r="I338" i="9"/>
  <c r="Y337" i="9"/>
  <c r="W337" i="9"/>
  <c r="R337" i="9"/>
  <c r="P337" i="9"/>
  <c r="K337" i="9"/>
  <c r="I337" i="9"/>
  <c r="Y334" i="9"/>
  <c r="W334" i="9"/>
  <c r="R334" i="9"/>
  <c r="P334" i="9"/>
  <c r="K334" i="9"/>
  <c r="I334" i="9"/>
  <c r="Y333" i="9"/>
  <c r="W333" i="9"/>
  <c r="R333" i="9"/>
  <c r="P333" i="9"/>
  <c r="K333" i="9"/>
  <c r="I333" i="9"/>
  <c r="Y332" i="9"/>
  <c r="W332" i="9"/>
  <c r="R332" i="9"/>
  <c r="P332" i="9"/>
  <c r="K332" i="9"/>
  <c r="I332" i="9"/>
  <c r="Y331" i="9"/>
  <c r="W331" i="9"/>
  <c r="R331" i="9"/>
  <c r="P331" i="9"/>
  <c r="K331" i="9"/>
  <c r="I331" i="9"/>
  <c r="Y330" i="9"/>
  <c r="W330" i="9"/>
  <c r="R330" i="9"/>
  <c r="P330" i="9"/>
  <c r="K330" i="9"/>
  <c r="I330" i="9"/>
  <c r="Y329" i="9"/>
  <c r="W329" i="9"/>
  <c r="R329" i="9"/>
  <c r="P329" i="9"/>
  <c r="K329" i="9"/>
  <c r="I329" i="9"/>
  <c r="Y326" i="9"/>
  <c r="W326" i="9"/>
  <c r="R326" i="9"/>
  <c r="P326" i="9"/>
  <c r="K326" i="9"/>
  <c r="I326" i="9"/>
  <c r="Y325" i="9"/>
  <c r="W325" i="9"/>
  <c r="R325" i="9"/>
  <c r="P325" i="9"/>
  <c r="K325" i="9"/>
  <c r="I325" i="9"/>
  <c r="Y324" i="9"/>
  <c r="W324" i="9"/>
  <c r="R324" i="9"/>
  <c r="P324" i="9"/>
  <c r="K324" i="9"/>
  <c r="I324" i="9"/>
  <c r="Y323" i="9"/>
  <c r="W323" i="9"/>
  <c r="R323" i="9"/>
  <c r="P323" i="9"/>
  <c r="K323" i="9"/>
  <c r="I323" i="9"/>
  <c r="Y322" i="9"/>
  <c r="W322" i="9"/>
  <c r="R322" i="9"/>
  <c r="P322" i="9"/>
  <c r="K322" i="9"/>
  <c r="I322" i="9"/>
  <c r="Y321" i="9"/>
  <c r="W321" i="9"/>
  <c r="R321" i="9"/>
  <c r="P321" i="9"/>
  <c r="K321" i="9"/>
  <c r="I321" i="9"/>
  <c r="Y318" i="9"/>
  <c r="W318" i="9"/>
  <c r="R318" i="9"/>
  <c r="P318" i="9"/>
  <c r="K318" i="9"/>
  <c r="I318" i="9"/>
  <c r="Y317" i="9"/>
  <c r="W317" i="9"/>
  <c r="R317" i="9"/>
  <c r="P317" i="9"/>
  <c r="K317" i="9"/>
  <c r="I317" i="9"/>
  <c r="Y316" i="9"/>
  <c r="W316" i="9"/>
  <c r="R316" i="9"/>
  <c r="P316" i="9"/>
  <c r="K316" i="9"/>
  <c r="I316" i="9"/>
  <c r="Y315" i="9"/>
  <c r="W315" i="9"/>
  <c r="R315" i="9"/>
  <c r="P315" i="9"/>
  <c r="K315" i="9"/>
  <c r="I315" i="9"/>
  <c r="Y314" i="9"/>
  <c r="W314" i="9"/>
  <c r="R314" i="9"/>
  <c r="P314" i="9"/>
  <c r="K314" i="9"/>
  <c r="I314" i="9"/>
  <c r="Y313" i="9"/>
  <c r="W313" i="9"/>
  <c r="R313" i="9"/>
  <c r="P313" i="9"/>
  <c r="K313" i="9"/>
  <c r="I313" i="9"/>
  <c r="Y310" i="9"/>
  <c r="W310" i="9"/>
  <c r="R310" i="9"/>
  <c r="P310" i="9"/>
  <c r="K310" i="9"/>
  <c r="I310" i="9"/>
  <c r="Y309" i="9"/>
  <c r="W309" i="9"/>
  <c r="R309" i="9"/>
  <c r="P309" i="9"/>
  <c r="K309" i="9"/>
  <c r="I309" i="9"/>
  <c r="Y308" i="9"/>
  <c r="W308" i="9"/>
  <c r="R308" i="9"/>
  <c r="P308" i="9"/>
  <c r="K308" i="9"/>
  <c r="I308" i="9"/>
  <c r="Y307" i="9"/>
  <c r="W307" i="9"/>
  <c r="R307" i="9"/>
  <c r="P307" i="9"/>
  <c r="K307" i="9"/>
  <c r="I307" i="9"/>
  <c r="Y306" i="9"/>
  <c r="W306" i="9"/>
  <c r="R306" i="9"/>
  <c r="P306" i="9"/>
  <c r="K306" i="9"/>
  <c r="I306" i="9"/>
  <c r="Y305" i="9"/>
  <c r="W305" i="9"/>
  <c r="R305" i="9"/>
  <c r="P305" i="9"/>
  <c r="K305" i="9"/>
  <c r="I305" i="9"/>
  <c r="Y294" i="9"/>
  <c r="W294" i="9"/>
  <c r="R294" i="9"/>
  <c r="P294" i="9"/>
  <c r="K294" i="9"/>
  <c r="I294" i="9"/>
  <c r="Y293" i="9"/>
  <c r="W293" i="9"/>
  <c r="R293" i="9"/>
  <c r="P293" i="9"/>
  <c r="K293" i="9"/>
  <c r="I293" i="9"/>
  <c r="Y292" i="9"/>
  <c r="W292" i="9"/>
  <c r="R292" i="9"/>
  <c r="P292" i="9"/>
  <c r="K292" i="9"/>
  <c r="I292" i="9"/>
  <c r="Y291" i="9"/>
  <c r="W291" i="9"/>
  <c r="R291" i="9"/>
  <c r="P291" i="9"/>
  <c r="K291" i="9"/>
  <c r="I291" i="9"/>
  <c r="Y290" i="9"/>
  <c r="W290" i="9"/>
  <c r="R290" i="9"/>
  <c r="P290" i="9"/>
  <c r="K290" i="9"/>
  <c r="I290" i="9"/>
  <c r="Y286" i="9"/>
  <c r="W286" i="9"/>
  <c r="R286" i="9"/>
  <c r="P286" i="9"/>
  <c r="K286" i="9"/>
  <c r="I286" i="9"/>
  <c r="Y285" i="9"/>
  <c r="W285" i="9"/>
  <c r="R285" i="9"/>
  <c r="P285" i="9"/>
  <c r="K285" i="9"/>
  <c r="I285" i="9"/>
  <c r="Y284" i="9"/>
  <c r="W284" i="9"/>
  <c r="R284" i="9"/>
  <c r="P284" i="9"/>
  <c r="K284" i="9"/>
  <c r="I284" i="9"/>
  <c r="Y283" i="9"/>
  <c r="W283" i="9"/>
  <c r="R283" i="9"/>
  <c r="P283" i="9"/>
  <c r="K283" i="9"/>
  <c r="I283" i="9"/>
  <c r="Y282" i="9"/>
  <c r="W282" i="9"/>
  <c r="R282" i="9"/>
  <c r="P282" i="9"/>
  <c r="K282" i="9"/>
  <c r="I282" i="9"/>
  <c r="Y281" i="9"/>
  <c r="W281" i="9"/>
  <c r="R281" i="9"/>
  <c r="P281" i="9"/>
  <c r="K281" i="9"/>
  <c r="I281" i="9"/>
  <c r="Y280" i="9"/>
  <c r="W280" i="9"/>
  <c r="R280" i="9"/>
  <c r="P280" i="9"/>
  <c r="K280" i="9"/>
  <c r="I280" i="9"/>
  <c r="Y279" i="9"/>
  <c r="W279" i="9"/>
  <c r="R279" i="9"/>
  <c r="P279" i="9"/>
  <c r="K279" i="9"/>
  <c r="I279" i="9"/>
  <c r="Y278" i="9"/>
  <c r="W278" i="9"/>
  <c r="R278" i="9"/>
  <c r="P278" i="9"/>
  <c r="K278" i="9"/>
  <c r="I278" i="9"/>
  <c r="Y277" i="9"/>
  <c r="W277" i="9"/>
  <c r="R277" i="9"/>
  <c r="P277" i="9"/>
  <c r="K277" i="9"/>
  <c r="I277" i="9"/>
  <c r="Y276" i="9"/>
  <c r="W276" i="9"/>
  <c r="R276" i="9"/>
  <c r="P276" i="9"/>
  <c r="K276" i="9"/>
  <c r="I276" i="9"/>
  <c r="Y275" i="9"/>
  <c r="W275" i="9"/>
  <c r="R275" i="9"/>
  <c r="P275" i="9"/>
  <c r="K275" i="9"/>
  <c r="I275" i="9"/>
  <c r="Y274" i="9"/>
  <c r="W274" i="9"/>
  <c r="R274" i="9"/>
  <c r="P274" i="9"/>
  <c r="K274" i="9"/>
  <c r="I274" i="9"/>
  <c r="Y273" i="9"/>
  <c r="W273" i="9"/>
  <c r="R273" i="9"/>
  <c r="P273" i="9"/>
  <c r="K273" i="9"/>
  <c r="I273" i="9"/>
  <c r="Y269" i="9"/>
  <c r="W269" i="9"/>
  <c r="R269" i="9"/>
  <c r="P269" i="9"/>
  <c r="K269" i="9"/>
  <c r="I269" i="9"/>
  <c r="Y268" i="9"/>
  <c r="W268" i="9"/>
  <c r="R268" i="9"/>
  <c r="P268" i="9"/>
  <c r="K268" i="9"/>
  <c r="I268" i="9"/>
  <c r="Y267" i="9"/>
  <c r="W267" i="9"/>
  <c r="R267" i="9"/>
  <c r="P267" i="9"/>
  <c r="K267" i="9"/>
  <c r="I267" i="9"/>
  <c r="Y266" i="9"/>
  <c r="W266" i="9"/>
  <c r="R266" i="9"/>
  <c r="P266" i="9"/>
  <c r="K266" i="9"/>
  <c r="I266" i="9"/>
  <c r="Y265" i="9"/>
  <c r="W265" i="9"/>
  <c r="R265" i="9"/>
  <c r="P265" i="9"/>
  <c r="K265" i="9"/>
  <c r="I265" i="9"/>
  <c r="Y264" i="9"/>
  <c r="W264" i="9"/>
  <c r="R264" i="9"/>
  <c r="P264" i="9"/>
  <c r="K264" i="9"/>
  <c r="I264" i="9"/>
  <c r="Y260" i="9"/>
  <c r="W260" i="9"/>
  <c r="R260" i="9"/>
  <c r="P260" i="9"/>
  <c r="K260" i="9"/>
  <c r="I260" i="9"/>
  <c r="Y259" i="9"/>
  <c r="W259" i="9"/>
  <c r="R259" i="9"/>
  <c r="P259" i="9"/>
  <c r="K259" i="9"/>
  <c r="I259" i="9"/>
  <c r="Y258" i="9"/>
  <c r="W258" i="9"/>
  <c r="R258" i="9"/>
  <c r="P258" i="9"/>
  <c r="K258" i="9"/>
  <c r="I258" i="9"/>
  <c r="Y257" i="9"/>
  <c r="W257" i="9"/>
  <c r="R257" i="9"/>
  <c r="P257" i="9"/>
  <c r="K257" i="9"/>
  <c r="I257" i="9"/>
  <c r="Y256" i="9"/>
  <c r="W256" i="9"/>
  <c r="R256" i="9"/>
  <c r="P256" i="9"/>
  <c r="K256" i="9"/>
  <c r="I256" i="9"/>
  <c r="Y255" i="9"/>
  <c r="W255" i="9"/>
  <c r="R255" i="9"/>
  <c r="P255" i="9"/>
  <c r="K255" i="9"/>
  <c r="I255" i="9"/>
  <c r="Y254" i="9"/>
  <c r="W254" i="9"/>
  <c r="R254" i="9"/>
  <c r="P254" i="9"/>
  <c r="K254" i="9"/>
  <c r="I254" i="9"/>
  <c r="Y253" i="9"/>
  <c r="W253" i="9"/>
  <c r="R253" i="9"/>
  <c r="P253" i="9"/>
  <c r="K253" i="9"/>
  <c r="I253" i="9"/>
  <c r="Y252" i="9"/>
  <c r="W252" i="9"/>
  <c r="R252" i="9"/>
  <c r="P252" i="9"/>
  <c r="K252" i="9"/>
  <c r="I252" i="9"/>
  <c r="Y248" i="9"/>
  <c r="W248" i="9"/>
  <c r="R248" i="9"/>
  <c r="P248" i="9"/>
  <c r="K248" i="9"/>
  <c r="I248" i="9"/>
  <c r="Y247" i="9"/>
  <c r="W247" i="9"/>
  <c r="R247" i="9"/>
  <c r="P247" i="9"/>
  <c r="K247" i="9"/>
  <c r="I247" i="9"/>
  <c r="Y246" i="9"/>
  <c r="W246" i="9"/>
  <c r="R246" i="9"/>
  <c r="P246" i="9"/>
  <c r="K246" i="9"/>
  <c r="I246" i="9"/>
  <c r="Y245" i="9"/>
  <c r="W245" i="9"/>
  <c r="R245" i="9"/>
  <c r="P245" i="9"/>
  <c r="K245" i="9"/>
  <c r="I245" i="9"/>
  <c r="Y244" i="9"/>
  <c r="W244" i="9"/>
  <c r="R244" i="9"/>
  <c r="P244" i="9"/>
  <c r="K244" i="9"/>
  <c r="I244" i="9"/>
  <c r="Y240" i="9"/>
  <c r="W240" i="9"/>
  <c r="R240" i="9"/>
  <c r="P240" i="9"/>
  <c r="K240" i="9"/>
  <c r="I240" i="9"/>
  <c r="Y239" i="9"/>
  <c r="W239" i="9"/>
  <c r="R239" i="9"/>
  <c r="P239" i="9"/>
  <c r="K239" i="9"/>
  <c r="I239" i="9"/>
  <c r="Y238" i="9"/>
  <c r="W238" i="9"/>
  <c r="R238" i="9"/>
  <c r="P238" i="9"/>
  <c r="K238" i="9"/>
  <c r="I238" i="9"/>
  <c r="Y237" i="9"/>
  <c r="W237" i="9"/>
  <c r="R237" i="9"/>
  <c r="P237" i="9"/>
  <c r="K237" i="9"/>
  <c r="I237" i="9"/>
  <c r="Y236" i="9"/>
  <c r="W236" i="9"/>
  <c r="R236" i="9"/>
  <c r="P236" i="9"/>
  <c r="K236" i="9"/>
  <c r="I236" i="9"/>
  <c r="Y235" i="9"/>
  <c r="W235" i="9"/>
  <c r="R235" i="9"/>
  <c r="P235" i="9"/>
  <c r="K235" i="9"/>
  <c r="I235" i="9"/>
  <c r="Y231" i="9"/>
  <c r="W231" i="9"/>
  <c r="R231" i="9"/>
  <c r="P231" i="9"/>
  <c r="K231" i="9"/>
  <c r="I231" i="9"/>
  <c r="Y230" i="9"/>
  <c r="W230" i="9"/>
  <c r="R230" i="9"/>
  <c r="P230" i="9"/>
  <c r="K230" i="9"/>
  <c r="I230" i="9"/>
  <c r="Y229" i="9"/>
  <c r="W229" i="9"/>
  <c r="R229" i="9"/>
  <c r="P229" i="9"/>
  <c r="K229" i="9"/>
  <c r="I229" i="9"/>
  <c r="Y228" i="9"/>
  <c r="W228" i="9"/>
  <c r="R228" i="9"/>
  <c r="P228" i="9"/>
  <c r="K228" i="9"/>
  <c r="I228" i="9"/>
  <c r="Y227" i="9"/>
  <c r="W227" i="9"/>
  <c r="R227" i="9"/>
  <c r="P227" i="9"/>
  <c r="K227" i="9"/>
  <c r="I227" i="9"/>
  <c r="Y226" i="9"/>
  <c r="W226" i="9"/>
  <c r="R226" i="9"/>
  <c r="P226" i="9"/>
  <c r="K226" i="9"/>
  <c r="I226" i="9"/>
  <c r="Y225" i="9"/>
  <c r="W225" i="9"/>
  <c r="R225" i="9"/>
  <c r="P225" i="9"/>
  <c r="K225" i="9"/>
  <c r="I225" i="9"/>
  <c r="Y224" i="9"/>
  <c r="W224" i="9"/>
  <c r="R224" i="9"/>
  <c r="P224" i="9"/>
  <c r="K224" i="9"/>
  <c r="I224" i="9"/>
  <c r="Y223" i="9"/>
  <c r="W223" i="9"/>
  <c r="R223" i="9"/>
  <c r="P223" i="9"/>
  <c r="K223" i="9"/>
  <c r="I223" i="9"/>
  <c r="Y222" i="9"/>
  <c r="W222" i="9"/>
  <c r="R222" i="9"/>
  <c r="P222" i="9"/>
  <c r="K222" i="9"/>
  <c r="I222" i="9"/>
  <c r="Y217" i="9"/>
  <c r="W217" i="9"/>
  <c r="R217" i="9"/>
  <c r="P217" i="9"/>
  <c r="K217" i="9"/>
  <c r="I217" i="9"/>
  <c r="Y216" i="9"/>
  <c r="W216" i="9"/>
  <c r="R216" i="9"/>
  <c r="P216" i="9"/>
  <c r="K216" i="9"/>
  <c r="I216" i="9"/>
  <c r="Y215" i="9"/>
  <c r="W215" i="9"/>
  <c r="R215" i="9"/>
  <c r="P215" i="9"/>
  <c r="K215" i="9"/>
  <c r="I215" i="9"/>
  <c r="Y211" i="9"/>
  <c r="W211" i="9"/>
  <c r="R211" i="9"/>
  <c r="P211" i="9"/>
  <c r="K211" i="9"/>
  <c r="I211" i="9"/>
  <c r="Y210" i="9"/>
  <c r="W210" i="9"/>
  <c r="R210" i="9"/>
  <c r="P210" i="9"/>
  <c r="K210" i="9"/>
  <c r="I210" i="9"/>
  <c r="Y209" i="9"/>
  <c r="W209" i="9"/>
  <c r="R209" i="9"/>
  <c r="P209" i="9"/>
  <c r="K209" i="9"/>
  <c r="I209" i="9"/>
  <c r="Y205" i="9"/>
  <c r="W205" i="9"/>
  <c r="R205" i="9"/>
  <c r="P205" i="9"/>
  <c r="K205" i="9"/>
  <c r="I205" i="9"/>
  <c r="Y204" i="9"/>
  <c r="W204" i="9"/>
  <c r="R204" i="9"/>
  <c r="P204" i="9"/>
  <c r="K204" i="9"/>
  <c r="I204" i="9"/>
  <c r="Y203" i="9"/>
  <c r="W203" i="9"/>
  <c r="R203" i="9"/>
  <c r="P203" i="9"/>
  <c r="K203" i="9"/>
  <c r="I203" i="9"/>
  <c r="Y202" i="9"/>
  <c r="W202" i="9"/>
  <c r="R202" i="9"/>
  <c r="P202" i="9"/>
  <c r="K202" i="9"/>
  <c r="I202" i="9"/>
  <c r="Y198" i="9"/>
  <c r="W198" i="9"/>
  <c r="R198" i="9"/>
  <c r="P198" i="9"/>
  <c r="K198" i="9"/>
  <c r="I198" i="9"/>
  <c r="Y197" i="9"/>
  <c r="W197" i="9"/>
  <c r="R197" i="9"/>
  <c r="P197" i="9"/>
  <c r="K197" i="9"/>
  <c r="I197" i="9"/>
  <c r="Y196" i="9"/>
  <c r="W196" i="9"/>
  <c r="R196" i="9"/>
  <c r="P196" i="9"/>
  <c r="K196" i="9"/>
  <c r="I196" i="9"/>
  <c r="Y195" i="9"/>
  <c r="W195" i="9"/>
  <c r="R195" i="9"/>
  <c r="P195" i="9"/>
  <c r="K195" i="9"/>
  <c r="I195" i="9"/>
  <c r="Y190" i="9"/>
  <c r="W190" i="9"/>
  <c r="R190" i="9"/>
  <c r="P190" i="9"/>
  <c r="K190" i="9"/>
  <c r="I190" i="9"/>
  <c r="Y189" i="9"/>
  <c r="W189" i="9"/>
  <c r="R189" i="9"/>
  <c r="P189" i="9"/>
  <c r="K189" i="9"/>
  <c r="I189" i="9"/>
  <c r="Y188" i="9"/>
  <c r="W188" i="9"/>
  <c r="R188" i="9"/>
  <c r="P188" i="9"/>
  <c r="K188" i="9"/>
  <c r="I188" i="9"/>
  <c r="Y187" i="9"/>
  <c r="W187" i="9"/>
  <c r="R187" i="9"/>
  <c r="P187" i="9"/>
  <c r="K187" i="9"/>
  <c r="I187" i="9"/>
  <c r="Y186" i="9"/>
  <c r="W186" i="9"/>
  <c r="R186" i="9"/>
  <c r="P186" i="9"/>
  <c r="K186" i="9"/>
  <c r="I186" i="9"/>
  <c r="Y185" i="9"/>
  <c r="W185" i="9"/>
  <c r="R185" i="9"/>
  <c r="P185" i="9"/>
  <c r="K185" i="9"/>
  <c r="I185" i="9"/>
  <c r="Y184" i="9"/>
  <c r="W184" i="9"/>
  <c r="R184" i="9"/>
  <c r="P184" i="9"/>
  <c r="K184" i="9"/>
  <c r="I184" i="9"/>
  <c r="Y183" i="9"/>
  <c r="W183" i="9"/>
  <c r="R183" i="9"/>
  <c r="P183" i="9"/>
  <c r="K183" i="9"/>
  <c r="I183" i="9"/>
  <c r="Y182" i="9"/>
  <c r="W182" i="9"/>
  <c r="R182" i="9"/>
  <c r="P182" i="9"/>
  <c r="K182" i="9"/>
  <c r="I182" i="9"/>
  <c r="Y178" i="9"/>
  <c r="W178" i="9"/>
  <c r="R178" i="9"/>
  <c r="P178" i="9"/>
  <c r="K178" i="9"/>
  <c r="I178" i="9"/>
  <c r="Y177" i="9"/>
  <c r="W177" i="9"/>
  <c r="R177" i="9"/>
  <c r="P177" i="9"/>
  <c r="K177" i="9"/>
  <c r="I177" i="9"/>
  <c r="Y176" i="9"/>
  <c r="W176" i="9"/>
  <c r="R176" i="9"/>
  <c r="P176" i="9"/>
  <c r="K176" i="9"/>
  <c r="I176" i="9"/>
  <c r="Y175" i="9"/>
  <c r="W175" i="9"/>
  <c r="R175" i="9"/>
  <c r="P175" i="9"/>
  <c r="K175" i="9"/>
  <c r="I175" i="9"/>
  <c r="Y171" i="9"/>
  <c r="W171" i="9"/>
  <c r="R171" i="9"/>
  <c r="P171" i="9"/>
  <c r="K171" i="9"/>
  <c r="I171" i="9"/>
  <c r="Y170" i="9"/>
  <c r="W170" i="9"/>
  <c r="R170" i="9"/>
  <c r="P170" i="9"/>
  <c r="K170" i="9"/>
  <c r="I170" i="9"/>
  <c r="Y169" i="9"/>
  <c r="W169" i="9"/>
  <c r="R169" i="9"/>
  <c r="P169" i="9"/>
  <c r="K169" i="9"/>
  <c r="I169" i="9"/>
  <c r="Y168" i="9"/>
  <c r="W168" i="9"/>
  <c r="R168" i="9"/>
  <c r="P168" i="9"/>
  <c r="K168" i="9"/>
  <c r="I168" i="9"/>
  <c r="Y164" i="9"/>
  <c r="W164" i="9"/>
  <c r="R164" i="9"/>
  <c r="P164" i="9"/>
  <c r="K164" i="9"/>
  <c r="I164" i="9"/>
  <c r="Y163" i="9"/>
  <c r="W163" i="9"/>
  <c r="R163" i="9"/>
  <c r="P163" i="9"/>
  <c r="K163" i="9"/>
  <c r="I163" i="9"/>
  <c r="Y162" i="9"/>
  <c r="W162" i="9"/>
  <c r="R162" i="9"/>
  <c r="P162" i="9"/>
  <c r="K162" i="9"/>
  <c r="I162" i="9"/>
  <c r="Y161" i="9"/>
  <c r="W161" i="9"/>
  <c r="R161" i="9"/>
  <c r="P161" i="9"/>
  <c r="K161" i="9"/>
  <c r="I161" i="9"/>
  <c r="Y160" i="9"/>
  <c r="W160" i="9"/>
  <c r="R160" i="9"/>
  <c r="P160" i="9"/>
  <c r="K160" i="9"/>
  <c r="I160" i="9"/>
  <c r="Y159" i="9"/>
  <c r="W159" i="9"/>
  <c r="R159" i="9"/>
  <c r="P159" i="9"/>
  <c r="K159" i="9"/>
  <c r="I159" i="9"/>
  <c r="Y158" i="9"/>
  <c r="W158" i="9"/>
  <c r="R158" i="9"/>
  <c r="P158" i="9"/>
  <c r="K158" i="9"/>
  <c r="I158" i="9"/>
  <c r="Y157" i="9"/>
  <c r="W157" i="9"/>
  <c r="R157" i="9"/>
  <c r="P157" i="9"/>
  <c r="K157" i="9"/>
  <c r="I157" i="9"/>
  <c r="Y156" i="9"/>
  <c r="W156" i="9"/>
  <c r="R156" i="9"/>
  <c r="P156" i="9"/>
  <c r="K156" i="9"/>
  <c r="I156" i="9"/>
  <c r="Y155" i="9"/>
  <c r="W155" i="9"/>
  <c r="R155" i="9"/>
  <c r="P155" i="9"/>
  <c r="K155" i="9"/>
  <c r="I155" i="9"/>
  <c r="Y154" i="9"/>
  <c r="W154" i="9"/>
  <c r="R154" i="9"/>
  <c r="P154" i="9"/>
  <c r="K154" i="9"/>
  <c r="I154" i="9"/>
  <c r="Y153" i="9"/>
  <c r="W153" i="9"/>
  <c r="R153" i="9"/>
  <c r="P153" i="9"/>
  <c r="K153" i="9"/>
  <c r="I153" i="9"/>
  <c r="Y147" i="9"/>
  <c r="W147" i="9"/>
  <c r="R147" i="9"/>
  <c r="P147" i="9"/>
  <c r="K147" i="9"/>
  <c r="I147" i="9"/>
  <c r="Y146" i="9"/>
  <c r="W146" i="9"/>
  <c r="R146" i="9"/>
  <c r="P146" i="9"/>
  <c r="K146" i="9"/>
  <c r="I146" i="9"/>
  <c r="Y145" i="9"/>
  <c r="W145" i="9"/>
  <c r="R145" i="9"/>
  <c r="P145" i="9"/>
  <c r="K145" i="9"/>
  <c r="I145" i="9"/>
  <c r="Y144" i="9"/>
  <c r="W144" i="9"/>
  <c r="R144" i="9"/>
  <c r="P144" i="9"/>
  <c r="K144" i="9"/>
  <c r="I144" i="9"/>
  <c r="Y140" i="9"/>
  <c r="W140" i="9"/>
  <c r="R140" i="9"/>
  <c r="P140" i="9"/>
  <c r="K140" i="9"/>
  <c r="I140" i="9"/>
  <c r="Y139" i="9"/>
  <c r="W139" i="9"/>
  <c r="R139" i="9"/>
  <c r="P139" i="9"/>
  <c r="K139" i="9"/>
  <c r="I139" i="9"/>
  <c r="Y138" i="9"/>
  <c r="W138" i="9"/>
  <c r="R138" i="9"/>
  <c r="P138" i="9"/>
  <c r="K138" i="9"/>
  <c r="I138" i="9"/>
  <c r="Y137" i="9"/>
  <c r="W137" i="9"/>
  <c r="R137" i="9"/>
  <c r="P137" i="9"/>
  <c r="K137" i="9"/>
  <c r="I137" i="9"/>
  <c r="Y136" i="9"/>
  <c r="W136" i="9"/>
  <c r="R136" i="9"/>
  <c r="P136" i="9"/>
  <c r="K136" i="9"/>
  <c r="I136" i="9"/>
  <c r="Y135" i="9"/>
  <c r="W135" i="9"/>
  <c r="R135" i="9"/>
  <c r="P135" i="9"/>
  <c r="K135" i="9"/>
  <c r="I135" i="9"/>
  <c r="Y134" i="9"/>
  <c r="W134" i="9"/>
  <c r="R134" i="9"/>
  <c r="P134" i="9"/>
  <c r="K134" i="9"/>
  <c r="I134" i="9"/>
  <c r="Y133" i="9"/>
  <c r="W133" i="9"/>
  <c r="R133" i="9"/>
  <c r="P133" i="9"/>
  <c r="K133" i="9"/>
  <c r="I133" i="9"/>
  <c r="Y132" i="9"/>
  <c r="W132" i="9"/>
  <c r="R132" i="9"/>
  <c r="P132" i="9"/>
  <c r="K132" i="9"/>
  <c r="I132" i="9"/>
  <c r="Y131" i="9"/>
  <c r="W131" i="9"/>
  <c r="R131" i="9"/>
  <c r="P131" i="9"/>
  <c r="K131" i="9"/>
  <c r="I131" i="9"/>
  <c r="Y130" i="9"/>
  <c r="W130" i="9"/>
  <c r="R130" i="9"/>
  <c r="P130" i="9"/>
  <c r="K130" i="9"/>
  <c r="I130" i="9"/>
  <c r="Y124" i="9"/>
  <c r="W124" i="9"/>
  <c r="R124" i="9"/>
  <c r="P124" i="9"/>
  <c r="K124" i="9"/>
  <c r="I124" i="9"/>
  <c r="Y123" i="9"/>
  <c r="W123" i="9"/>
  <c r="R123" i="9"/>
  <c r="P123" i="9"/>
  <c r="K123" i="9"/>
  <c r="I123" i="9"/>
  <c r="Y122" i="9"/>
  <c r="W122" i="9"/>
  <c r="R122" i="9"/>
  <c r="P122" i="9"/>
  <c r="K122" i="9"/>
  <c r="I122" i="9"/>
  <c r="Y121" i="9"/>
  <c r="W121" i="9"/>
  <c r="R121" i="9"/>
  <c r="P121" i="9"/>
  <c r="K121" i="9"/>
  <c r="I121" i="9"/>
  <c r="Y114" i="9"/>
  <c r="W114" i="9"/>
  <c r="R114" i="9"/>
  <c r="P114" i="9"/>
  <c r="K114" i="9"/>
  <c r="I114" i="9"/>
  <c r="Y113" i="9"/>
  <c r="W113" i="9"/>
  <c r="R113" i="9"/>
  <c r="P113" i="9"/>
  <c r="K113" i="9"/>
  <c r="I113" i="9"/>
  <c r="Y112" i="9"/>
  <c r="W112" i="9"/>
  <c r="R112" i="9"/>
  <c r="P112" i="9"/>
  <c r="K112" i="9"/>
  <c r="I112" i="9"/>
  <c r="Y111" i="9"/>
  <c r="W111" i="9"/>
  <c r="R111" i="9"/>
  <c r="P111" i="9"/>
  <c r="K111" i="9"/>
  <c r="I111" i="9"/>
  <c r="Y106" i="9"/>
  <c r="W106" i="9"/>
  <c r="R106" i="9"/>
  <c r="P106" i="9"/>
  <c r="K106" i="9"/>
  <c r="I106" i="9"/>
  <c r="Y105" i="9"/>
  <c r="W105" i="9"/>
  <c r="R105" i="9"/>
  <c r="P105" i="9"/>
  <c r="K105" i="9"/>
  <c r="I105" i="9"/>
  <c r="Y104" i="9"/>
  <c r="W104" i="9"/>
  <c r="R104" i="9"/>
  <c r="P104" i="9"/>
  <c r="K104" i="9"/>
  <c r="I104" i="9"/>
  <c r="Y103" i="9"/>
  <c r="W103" i="9"/>
  <c r="R103" i="9"/>
  <c r="P103" i="9"/>
  <c r="K103" i="9"/>
  <c r="I103" i="9"/>
  <c r="Y99" i="9"/>
  <c r="W99" i="9"/>
  <c r="R99" i="9"/>
  <c r="P99" i="9"/>
  <c r="K99" i="9"/>
  <c r="I99" i="9"/>
  <c r="Y98" i="9"/>
  <c r="W98" i="9"/>
  <c r="R98" i="9"/>
  <c r="P98" i="9"/>
  <c r="K98" i="9"/>
  <c r="I98" i="9"/>
  <c r="Y97" i="9"/>
  <c r="W97" i="9"/>
  <c r="R97" i="9"/>
  <c r="P97" i="9"/>
  <c r="K97" i="9"/>
  <c r="I97" i="9"/>
  <c r="Y96" i="9"/>
  <c r="W96" i="9"/>
  <c r="R96" i="9"/>
  <c r="P96" i="9"/>
  <c r="K96" i="9"/>
  <c r="I96" i="9"/>
  <c r="Y95" i="9"/>
  <c r="W95" i="9"/>
  <c r="R95" i="9"/>
  <c r="P95" i="9"/>
  <c r="K95" i="9"/>
  <c r="I95" i="9"/>
  <c r="Y94" i="9"/>
  <c r="W94" i="9"/>
  <c r="R94" i="9"/>
  <c r="P94" i="9"/>
  <c r="K94" i="9"/>
  <c r="I94" i="9"/>
  <c r="Y93" i="9"/>
  <c r="W93" i="9"/>
  <c r="R93" i="9"/>
  <c r="P93" i="9"/>
  <c r="K93" i="9"/>
  <c r="I93" i="9"/>
  <c r="Y92" i="9"/>
  <c r="W92" i="9"/>
  <c r="R92" i="9"/>
  <c r="P92" i="9"/>
  <c r="K92" i="9"/>
  <c r="I92" i="9"/>
  <c r="Y88" i="9"/>
  <c r="W88" i="9"/>
  <c r="R88" i="9"/>
  <c r="P88" i="9"/>
  <c r="K88" i="9"/>
  <c r="I88" i="9"/>
  <c r="Y87" i="9"/>
  <c r="W87" i="9"/>
  <c r="R87" i="9"/>
  <c r="P87" i="9"/>
  <c r="K87" i="9"/>
  <c r="I87" i="9"/>
  <c r="Y86" i="9"/>
  <c r="W86" i="9"/>
  <c r="R86" i="9"/>
  <c r="P86" i="9"/>
  <c r="K86" i="9"/>
  <c r="I86" i="9"/>
  <c r="Y85" i="9"/>
  <c r="W85" i="9"/>
  <c r="R85" i="9"/>
  <c r="P85" i="9"/>
  <c r="K85" i="9"/>
  <c r="I85" i="9"/>
  <c r="Y84" i="9"/>
  <c r="W84" i="9"/>
  <c r="R84" i="9"/>
  <c r="P84" i="9"/>
  <c r="K84" i="9"/>
  <c r="I84" i="9"/>
  <c r="Y83" i="9"/>
  <c r="W83" i="9"/>
  <c r="R83" i="9"/>
  <c r="P83" i="9"/>
  <c r="K83" i="9"/>
  <c r="I83" i="9"/>
  <c r="Y82" i="9"/>
  <c r="W82" i="9"/>
  <c r="R82" i="9"/>
  <c r="P82" i="9"/>
  <c r="K82" i="9"/>
  <c r="I82" i="9"/>
  <c r="Y81" i="9"/>
  <c r="W81" i="9"/>
  <c r="R81" i="9"/>
  <c r="P81" i="9"/>
  <c r="K81" i="9"/>
  <c r="I81" i="9"/>
  <c r="Y80" i="9"/>
  <c r="W80" i="9"/>
  <c r="R80" i="9"/>
  <c r="P80" i="9"/>
  <c r="K80" i="9"/>
  <c r="I80" i="9"/>
  <c r="Y79" i="9"/>
  <c r="W79" i="9"/>
  <c r="R79" i="9"/>
  <c r="P79" i="9"/>
  <c r="K79" i="9"/>
  <c r="I79" i="9"/>
  <c r="Y78" i="9"/>
  <c r="W78" i="9"/>
  <c r="R78" i="9"/>
  <c r="P78" i="9"/>
  <c r="K78" i="9"/>
  <c r="I78" i="9"/>
  <c r="Y73" i="9"/>
  <c r="W73" i="9"/>
  <c r="R73" i="9"/>
  <c r="P73" i="9"/>
  <c r="K73" i="9"/>
  <c r="I73" i="9"/>
  <c r="Y72" i="9"/>
  <c r="W72" i="9"/>
  <c r="R72" i="9"/>
  <c r="P72" i="9"/>
  <c r="K72" i="9"/>
  <c r="I72" i="9"/>
  <c r="Y71" i="9"/>
  <c r="W71" i="9"/>
  <c r="R71" i="9"/>
  <c r="P71" i="9"/>
  <c r="K71" i="9"/>
  <c r="I71" i="9"/>
  <c r="Y70" i="9"/>
  <c r="W70" i="9"/>
  <c r="R70" i="9"/>
  <c r="P70" i="9"/>
  <c r="K70" i="9"/>
  <c r="I70" i="9"/>
  <c r="Y69" i="9"/>
  <c r="W69" i="9"/>
  <c r="R69" i="9"/>
  <c r="P69" i="9"/>
  <c r="K69" i="9"/>
  <c r="I69" i="9"/>
  <c r="Y68" i="9"/>
  <c r="W68" i="9"/>
  <c r="R68" i="9"/>
  <c r="P68" i="9"/>
  <c r="K68" i="9"/>
  <c r="I68" i="9"/>
  <c r="Y64" i="9"/>
  <c r="W64" i="9"/>
  <c r="R64" i="9"/>
  <c r="P64" i="9"/>
  <c r="K64" i="9"/>
  <c r="I64" i="9"/>
  <c r="Y63" i="9"/>
  <c r="W63" i="9"/>
  <c r="R63" i="9"/>
  <c r="P63" i="9"/>
  <c r="K63" i="9"/>
  <c r="I63" i="9"/>
  <c r="Y62" i="9"/>
  <c r="W62" i="9"/>
  <c r="R62" i="9"/>
  <c r="P62" i="9"/>
  <c r="K62" i="9"/>
  <c r="I62" i="9"/>
  <c r="Y61" i="9"/>
  <c r="W61" i="9"/>
  <c r="R61" i="9"/>
  <c r="P61" i="9"/>
  <c r="K61" i="9"/>
  <c r="I61" i="9"/>
  <c r="Y60" i="9"/>
  <c r="W60" i="9"/>
  <c r="R60" i="9"/>
  <c r="P60" i="9"/>
  <c r="K60" i="9"/>
  <c r="I60" i="9"/>
  <c r="Y59" i="9"/>
  <c r="W59" i="9"/>
  <c r="R59" i="9"/>
  <c r="P59" i="9"/>
  <c r="K59" i="9"/>
  <c r="I59" i="9"/>
  <c r="Y58" i="9"/>
  <c r="W58" i="9"/>
  <c r="R58" i="9"/>
  <c r="P58" i="9"/>
  <c r="K58" i="9"/>
  <c r="I58" i="9"/>
  <c r="Y57" i="9"/>
  <c r="W57" i="9"/>
  <c r="R57" i="9"/>
  <c r="P57" i="9"/>
  <c r="K57" i="9"/>
  <c r="I57" i="9"/>
  <c r="Y56" i="9"/>
  <c r="W56" i="9"/>
  <c r="R56" i="9"/>
  <c r="P56" i="9"/>
  <c r="K56" i="9"/>
  <c r="I56" i="9"/>
  <c r="Y55" i="9"/>
  <c r="W55" i="9"/>
  <c r="R55" i="9"/>
  <c r="P55" i="9"/>
  <c r="K55" i="9"/>
  <c r="I55" i="9"/>
  <c r="Y54" i="9"/>
  <c r="W54" i="9"/>
  <c r="R54" i="9"/>
  <c r="P54" i="9"/>
  <c r="K54" i="9"/>
  <c r="I54" i="9"/>
  <c r="Y50" i="9"/>
  <c r="W50" i="9"/>
  <c r="R50" i="9"/>
  <c r="P50" i="9"/>
  <c r="K50" i="9"/>
  <c r="I50" i="9"/>
  <c r="Y49" i="9"/>
  <c r="W49" i="9"/>
  <c r="R49" i="9"/>
  <c r="P49" i="9"/>
  <c r="K49" i="9"/>
  <c r="I49" i="9"/>
  <c r="Y48" i="9"/>
  <c r="W48" i="9"/>
  <c r="R48" i="9"/>
  <c r="P48" i="9"/>
  <c r="K48" i="9"/>
  <c r="I48" i="9"/>
  <c r="Y47" i="9"/>
  <c r="W47" i="9"/>
  <c r="R47" i="9"/>
  <c r="P47" i="9"/>
  <c r="K47" i="9"/>
  <c r="I47" i="9"/>
  <c r="Y43" i="9"/>
  <c r="W43" i="9"/>
  <c r="R43" i="9"/>
  <c r="P43" i="9"/>
  <c r="K43" i="9"/>
  <c r="I43" i="9"/>
  <c r="Y42" i="9"/>
  <c r="W42" i="9"/>
  <c r="R42" i="9"/>
  <c r="P42" i="9"/>
  <c r="K42" i="9"/>
  <c r="I42" i="9"/>
  <c r="Y41" i="9"/>
  <c r="W41" i="9"/>
  <c r="R41" i="9"/>
  <c r="P41" i="9"/>
  <c r="K41" i="9"/>
  <c r="I41" i="9"/>
  <c r="Y40" i="9"/>
  <c r="W40" i="9"/>
  <c r="R40" i="9"/>
  <c r="P40" i="9"/>
  <c r="K40" i="9"/>
  <c r="I40" i="9"/>
  <c r="Y39" i="9"/>
  <c r="W39" i="9"/>
  <c r="R39" i="9"/>
  <c r="P39" i="9"/>
  <c r="K39" i="9"/>
  <c r="I39" i="9"/>
  <c r="Y38" i="9"/>
  <c r="W38" i="9"/>
  <c r="R38" i="9"/>
  <c r="P38" i="9"/>
  <c r="K38" i="9"/>
  <c r="I38" i="9"/>
  <c r="Y34" i="9"/>
  <c r="W34" i="9"/>
  <c r="R34" i="9"/>
  <c r="P34" i="9"/>
  <c r="K34" i="9"/>
  <c r="I34" i="9"/>
  <c r="Y33" i="9"/>
  <c r="W33" i="9"/>
  <c r="R33" i="9"/>
  <c r="P33" i="9"/>
  <c r="K33" i="9"/>
  <c r="I33" i="9"/>
  <c r="Y32" i="9"/>
  <c r="W32" i="9"/>
  <c r="R32" i="9"/>
  <c r="P32" i="9"/>
  <c r="K32" i="9"/>
  <c r="I32" i="9"/>
  <c r="Y31" i="9"/>
  <c r="W31" i="9"/>
  <c r="R31" i="9"/>
  <c r="P31" i="9"/>
  <c r="K31" i="9"/>
  <c r="I31" i="9"/>
  <c r="Y30" i="9"/>
  <c r="W30" i="9"/>
  <c r="R30" i="9"/>
  <c r="P30" i="9"/>
  <c r="K30" i="9"/>
  <c r="I30" i="9"/>
  <c r="Y26" i="9"/>
  <c r="W26" i="9"/>
  <c r="R26" i="9"/>
  <c r="P26" i="9"/>
  <c r="K26" i="9"/>
  <c r="I26" i="9"/>
  <c r="Y25" i="9"/>
  <c r="W25" i="9"/>
  <c r="R25" i="9"/>
  <c r="P25" i="9"/>
  <c r="K25" i="9"/>
  <c r="I25" i="9"/>
  <c r="Y24" i="9"/>
  <c r="W24" i="9"/>
  <c r="R24" i="9"/>
  <c r="P24" i="9"/>
  <c r="K24" i="9"/>
  <c r="I24" i="9"/>
  <c r="Y23" i="9"/>
  <c r="W23" i="9"/>
  <c r="R23" i="9"/>
  <c r="P23" i="9"/>
  <c r="K23" i="9"/>
  <c r="I23" i="9"/>
  <c r="Y18" i="9"/>
  <c r="W18" i="9"/>
  <c r="R18" i="9"/>
  <c r="P18" i="9"/>
  <c r="K18" i="9"/>
  <c r="I18" i="9"/>
  <c r="Y17" i="9"/>
  <c r="W17" i="9"/>
  <c r="R17" i="9"/>
  <c r="P17" i="9"/>
  <c r="K17" i="9"/>
  <c r="I17" i="9"/>
  <c r="Y16" i="9"/>
  <c r="W16" i="9"/>
  <c r="R16" i="9"/>
  <c r="P16" i="9"/>
  <c r="K16" i="9"/>
  <c r="I16" i="9"/>
  <c r="Y15" i="9"/>
  <c r="W15" i="9"/>
  <c r="R15" i="9"/>
  <c r="P15" i="9"/>
  <c r="K15" i="9"/>
  <c r="I15" i="9"/>
  <c r="X7" i="9"/>
  <c r="Q7" i="9"/>
  <c r="J7" i="9"/>
  <c r="X6" i="9"/>
  <c r="Q6" i="9"/>
  <c r="J6" i="9"/>
  <c r="Y452" i="8"/>
  <c r="W452" i="8"/>
  <c r="R452" i="8"/>
  <c r="P452" i="8"/>
  <c r="K452" i="8"/>
  <c r="I452" i="8"/>
  <c r="Y451" i="8"/>
  <c r="W451" i="8"/>
  <c r="R451" i="8"/>
  <c r="P451" i="8"/>
  <c r="K451" i="8"/>
  <c r="I451" i="8"/>
  <c r="Y450" i="8"/>
  <c r="W450" i="8"/>
  <c r="R450" i="8"/>
  <c r="P450" i="8"/>
  <c r="K450" i="8"/>
  <c r="I450" i="8"/>
  <c r="Y449" i="8"/>
  <c r="W449" i="8"/>
  <c r="R449" i="8"/>
  <c r="P449" i="8"/>
  <c r="K449" i="8"/>
  <c r="I449" i="8"/>
  <c r="Y448" i="8"/>
  <c r="W448" i="8"/>
  <c r="R448" i="8"/>
  <c r="P448" i="8"/>
  <c r="K448" i="8"/>
  <c r="I448" i="8"/>
  <c r="Y447" i="8"/>
  <c r="W447" i="8"/>
  <c r="R447" i="8"/>
  <c r="P447" i="8"/>
  <c r="K447" i="8"/>
  <c r="I447" i="8"/>
  <c r="Y446" i="8"/>
  <c r="W446" i="8"/>
  <c r="R446" i="8"/>
  <c r="P446" i="8"/>
  <c r="K446" i="8"/>
  <c r="I446" i="8"/>
  <c r="Y445" i="8"/>
  <c r="W445" i="8"/>
  <c r="R445" i="8"/>
  <c r="P445" i="8"/>
  <c r="K445" i="8"/>
  <c r="I445" i="8"/>
  <c r="Y444" i="8"/>
  <c r="W444" i="8"/>
  <c r="R444" i="8"/>
  <c r="P444" i="8"/>
  <c r="K444" i="8"/>
  <c r="I444" i="8"/>
  <c r="Y443" i="8"/>
  <c r="W443" i="8"/>
  <c r="R443" i="8"/>
  <c r="P443" i="8"/>
  <c r="K443" i="8"/>
  <c r="I443" i="8"/>
  <c r="Y442" i="8"/>
  <c r="W442" i="8"/>
  <c r="R442" i="8"/>
  <c r="P442" i="8"/>
  <c r="K442" i="8"/>
  <c r="I442" i="8"/>
  <c r="Y439" i="8"/>
  <c r="W439" i="8"/>
  <c r="R439" i="8"/>
  <c r="P439" i="8"/>
  <c r="K439" i="8"/>
  <c r="I439" i="8"/>
  <c r="Y438" i="8"/>
  <c r="W438" i="8"/>
  <c r="R438" i="8"/>
  <c r="P438" i="8"/>
  <c r="K438" i="8"/>
  <c r="I438" i="8"/>
  <c r="Y437" i="8"/>
  <c r="W437" i="8"/>
  <c r="R437" i="8"/>
  <c r="P437" i="8"/>
  <c r="K437" i="8"/>
  <c r="I437" i="8"/>
  <c r="Y436" i="8"/>
  <c r="W436" i="8"/>
  <c r="R436" i="8"/>
  <c r="P436" i="8"/>
  <c r="K436" i="8"/>
  <c r="I436" i="8"/>
  <c r="Y435" i="8"/>
  <c r="W435" i="8"/>
  <c r="R435" i="8"/>
  <c r="P435" i="8"/>
  <c r="K435" i="8"/>
  <c r="I435" i="8"/>
  <c r="Y432" i="8"/>
  <c r="W432" i="8"/>
  <c r="R432" i="8"/>
  <c r="P432" i="8"/>
  <c r="K432" i="8"/>
  <c r="I432" i="8"/>
  <c r="Y431" i="8"/>
  <c r="W431" i="8"/>
  <c r="R431" i="8"/>
  <c r="P431" i="8"/>
  <c r="K431" i="8"/>
  <c r="I431" i="8"/>
  <c r="Y430" i="8"/>
  <c r="W430" i="8"/>
  <c r="R430" i="8"/>
  <c r="P430" i="8"/>
  <c r="K430" i="8"/>
  <c r="I430" i="8"/>
  <c r="Y429" i="8"/>
  <c r="W429" i="8"/>
  <c r="R429" i="8"/>
  <c r="P429" i="8"/>
  <c r="K429" i="8"/>
  <c r="I429" i="8"/>
  <c r="Y428" i="8"/>
  <c r="W428" i="8"/>
  <c r="R428" i="8"/>
  <c r="P428" i="8"/>
  <c r="K428" i="8"/>
  <c r="I428" i="8"/>
  <c r="Y425" i="8"/>
  <c r="W425" i="8"/>
  <c r="R425" i="8"/>
  <c r="P425" i="8"/>
  <c r="K425" i="8"/>
  <c r="I425" i="8"/>
  <c r="Y424" i="8"/>
  <c r="W424" i="8"/>
  <c r="R424" i="8"/>
  <c r="P424" i="8"/>
  <c r="K424" i="8"/>
  <c r="I424" i="8"/>
  <c r="Y423" i="8"/>
  <c r="W423" i="8"/>
  <c r="R423" i="8"/>
  <c r="P423" i="8"/>
  <c r="K423" i="8"/>
  <c r="I423" i="8"/>
  <c r="Y422" i="8"/>
  <c r="W422" i="8"/>
  <c r="R422" i="8"/>
  <c r="P422" i="8"/>
  <c r="K422" i="8"/>
  <c r="I422" i="8"/>
  <c r="Y421" i="8"/>
  <c r="W421" i="8"/>
  <c r="R421" i="8"/>
  <c r="P421" i="8"/>
  <c r="K421" i="8"/>
  <c r="I421" i="8"/>
  <c r="Y420" i="8"/>
  <c r="W420" i="8"/>
  <c r="R420" i="8"/>
  <c r="P420" i="8"/>
  <c r="K420" i="8"/>
  <c r="I420" i="8"/>
  <c r="Y417" i="8"/>
  <c r="W417" i="8"/>
  <c r="R417" i="8"/>
  <c r="P417" i="8"/>
  <c r="K417" i="8"/>
  <c r="I417" i="8"/>
  <c r="Y416" i="8"/>
  <c r="W416" i="8"/>
  <c r="R416" i="8"/>
  <c r="P416" i="8"/>
  <c r="K416" i="8"/>
  <c r="I416" i="8"/>
  <c r="Y415" i="8"/>
  <c r="W415" i="8"/>
  <c r="R415" i="8"/>
  <c r="P415" i="8"/>
  <c r="K415" i="8"/>
  <c r="I415" i="8"/>
  <c r="Y414" i="8"/>
  <c r="W414" i="8"/>
  <c r="R414" i="8"/>
  <c r="P414" i="8"/>
  <c r="K414" i="8"/>
  <c r="I414" i="8"/>
  <c r="Y411" i="8"/>
  <c r="W411" i="8"/>
  <c r="R411" i="8"/>
  <c r="P411" i="8"/>
  <c r="K411" i="8"/>
  <c r="I411" i="8"/>
  <c r="Y410" i="8"/>
  <c r="W410" i="8"/>
  <c r="R410" i="8"/>
  <c r="P410" i="8"/>
  <c r="K410" i="8"/>
  <c r="I410" i="8"/>
  <c r="Y409" i="8"/>
  <c r="W409" i="8"/>
  <c r="R409" i="8"/>
  <c r="P409" i="8"/>
  <c r="K409" i="8"/>
  <c r="I409" i="8"/>
  <c r="Y408" i="8"/>
  <c r="W408" i="8"/>
  <c r="R408" i="8"/>
  <c r="P408" i="8"/>
  <c r="K408" i="8"/>
  <c r="I408" i="8"/>
  <c r="Y407" i="8"/>
  <c r="W407" i="8"/>
  <c r="R407" i="8"/>
  <c r="P407" i="8"/>
  <c r="K407" i="8"/>
  <c r="I407" i="8"/>
  <c r="Y404" i="8"/>
  <c r="W404" i="8"/>
  <c r="R404" i="8"/>
  <c r="P404" i="8"/>
  <c r="K404" i="8"/>
  <c r="I404" i="8"/>
  <c r="Y403" i="8"/>
  <c r="W403" i="8"/>
  <c r="R403" i="8"/>
  <c r="P403" i="8"/>
  <c r="K403" i="8"/>
  <c r="I403" i="8"/>
  <c r="Y402" i="8"/>
  <c r="W402" i="8"/>
  <c r="R402" i="8"/>
  <c r="P402" i="8"/>
  <c r="K402" i="8"/>
  <c r="I402" i="8"/>
  <c r="Y401" i="8"/>
  <c r="W401" i="8"/>
  <c r="R401" i="8"/>
  <c r="P401" i="8"/>
  <c r="K401" i="8"/>
  <c r="I401" i="8"/>
  <c r="Y400" i="8"/>
  <c r="W400" i="8"/>
  <c r="R400" i="8"/>
  <c r="P400" i="8"/>
  <c r="K400" i="8"/>
  <c r="I400" i="8"/>
  <c r="Y399" i="8"/>
  <c r="W399" i="8"/>
  <c r="R399" i="8"/>
  <c r="P399" i="8"/>
  <c r="K399" i="8"/>
  <c r="I399" i="8"/>
  <c r="Y398" i="8"/>
  <c r="W398" i="8"/>
  <c r="R398" i="8"/>
  <c r="P398" i="8"/>
  <c r="K398" i="8"/>
  <c r="I398" i="8"/>
  <c r="Y397" i="8"/>
  <c r="W397" i="8"/>
  <c r="R397" i="8"/>
  <c r="P397" i="8"/>
  <c r="K397" i="8"/>
  <c r="I397" i="8"/>
  <c r="Y394" i="8"/>
  <c r="W394" i="8"/>
  <c r="R394" i="8"/>
  <c r="P394" i="8"/>
  <c r="K394" i="8"/>
  <c r="I394" i="8"/>
  <c r="Y393" i="8"/>
  <c r="W393" i="8"/>
  <c r="R393" i="8"/>
  <c r="P393" i="8"/>
  <c r="K393" i="8"/>
  <c r="I393" i="8"/>
  <c r="Y392" i="8"/>
  <c r="W392" i="8"/>
  <c r="R392" i="8"/>
  <c r="P392" i="8"/>
  <c r="K392" i="8"/>
  <c r="I392" i="8"/>
  <c r="Y391" i="8"/>
  <c r="W391" i="8"/>
  <c r="R391" i="8"/>
  <c r="P391" i="8"/>
  <c r="K391" i="8"/>
  <c r="I391" i="8"/>
  <c r="Y390" i="8"/>
  <c r="W390" i="8"/>
  <c r="R390" i="8"/>
  <c r="P390" i="8"/>
  <c r="K390" i="8"/>
  <c r="I390" i="8"/>
  <c r="Y389" i="8"/>
  <c r="W389" i="8"/>
  <c r="R389" i="8"/>
  <c r="P389" i="8"/>
  <c r="K389" i="8"/>
  <c r="I389" i="8"/>
  <c r="Y388" i="8"/>
  <c r="W388" i="8"/>
  <c r="R388" i="8"/>
  <c r="P388" i="8"/>
  <c r="K388" i="8"/>
  <c r="I388" i="8"/>
  <c r="Y387" i="8"/>
  <c r="W387" i="8"/>
  <c r="R387" i="8"/>
  <c r="P387" i="8"/>
  <c r="K387" i="8"/>
  <c r="I387" i="8"/>
  <c r="Y386" i="8"/>
  <c r="W386" i="8"/>
  <c r="R386" i="8"/>
  <c r="P386" i="8"/>
  <c r="K386" i="8"/>
  <c r="I386" i="8"/>
  <c r="Y382" i="8"/>
  <c r="W382" i="8"/>
  <c r="R382" i="8"/>
  <c r="P382" i="8"/>
  <c r="K382" i="8"/>
  <c r="I382" i="8"/>
  <c r="Y381" i="8"/>
  <c r="W381" i="8"/>
  <c r="R381" i="8"/>
  <c r="P381" i="8"/>
  <c r="K381" i="8"/>
  <c r="I381" i="8"/>
  <c r="Y380" i="8"/>
  <c r="W380" i="8"/>
  <c r="R380" i="8"/>
  <c r="P380" i="8"/>
  <c r="K380" i="8"/>
  <c r="I380" i="8"/>
  <c r="Y379" i="8"/>
  <c r="W379" i="8"/>
  <c r="R379" i="8"/>
  <c r="P379" i="8"/>
  <c r="K379" i="8"/>
  <c r="I379" i="8"/>
  <c r="Y378" i="8"/>
  <c r="W378" i="8"/>
  <c r="R378" i="8"/>
  <c r="P378" i="8"/>
  <c r="K378" i="8"/>
  <c r="I378" i="8"/>
  <c r="Y377" i="8"/>
  <c r="W377" i="8"/>
  <c r="R377" i="8"/>
  <c r="P377" i="8"/>
  <c r="K377" i="8"/>
  <c r="I377" i="8"/>
  <c r="Y374" i="8"/>
  <c r="W374" i="8"/>
  <c r="R374" i="8"/>
  <c r="P374" i="8"/>
  <c r="K374" i="8"/>
  <c r="I374" i="8"/>
  <c r="Y373" i="8"/>
  <c r="W373" i="8"/>
  <c r="R373" i="8"/>
  <c r="P373" i="8"/>
  <c r="K373" i="8"/>
  <c r="I373" i="8"/>
  <c r="Y372" i="8"/>
  <c r="W372" i="8"/>
  <c r="R372" i="8"/>
  <c r="P372" i="8"/>
  <c r="K372" i="8"/>
  <c r="I372" i="8"/>
  <c r="Y371" i="8"/>
  <c r="W371" i="8"/>
  <c r="R371" i="8"/>
  <c r="P371" i="8"/>
  <c r="K371" i="8"/>
  <c r="I371" i="8"/>
  <c r="Y370" i="8"/>
  <c r="W370" i="8"/>
  <c r="R370" i="8"/>
  <c r="P370" i="8"/>
  <c r="K370" i="8"/>
  <c r="I370" i="8"/>
  <c r="Y369" i="8"/>
  <c r="W369" i="8"/>
  <c r="R369" i="8"/>
  <c r="P369" i="8"/>
  <c r="K369" i="8"/>
  <c r="I369" i="8"/>
  <c r="Y366" i="8"/>
  <c r="W366" i="8"/>
  <c r="R366" i="8"/>
  <c r="P366" i="8"/>
  <c r="K366" i="8"/>
  <c r="I366" i="8"/>
  <c r="Y365" i="8"/>
  <c r="W365" i="8"/>
  <c r="R365" i="8"/>
  <c r="P365" i="8"/>
  <c r="K365" i="8"/>
  <c r="I365" i="8"/>
  <c r="Y364" i="8"/>
  <c r="W364" i="8"/>
  <c r="R364" i="8"/>
  <c r="P364" i="8"/>
  <c r="K364" i="8"/>
  <c r="I364" i="8"/>
  <c r="Y363" i="8"/>
  <c r="W363" i="8"/>
  <c r="R363" i="8"/>
  <c r="P363" i="8"/>
  <c r="K363" i="8"/>
  <c r="I363" i="8"/>
  <c r="Y362" i="8"/>
  <c r="W362" i="8"/>
  <c r="R362" i="8"/>
  <c r="P362" i="8"/>
  <c r="K362" i="8"/>
  <c r="I362" i="8"/>
  <c r="Y361" i="8"/>
  <c r="W361" i="8"/>
  <c r="R361" i="8"/>
  <c r="P361" i="8"/>
  <c r="K361" i="8"/>
  <c r="I361" i="8"/>
  <c r="Y358" i="8"/>
  <c r="W358" i="8"/>
  <c r="R358" i="8"/>
  <c r="P358" i="8"/>
  <c r="K358" i="8"/>
  <c r="I358" i="8"/>
  <c r="Y357" i="8"/>
  <c r="W357" i="8"/>
  <c r="R357" i="8"/>
  <c r="P357" i="8"/>
  <c r="K357" i="8"/>
  <c r="I357" i="8"/>
  <c r="Y356" i="8"/>
  <c r="W356" i="8"/>
  <c r="R356" i="8"/>
  <c r="P356" i="8"/>
  <c r="K356" i="8"/>
  <c r="I356" i="8"/>
  <c r="Y355" i="8"/>
  <c r="W355" i="8"/>
  <c r="R355" i="8"/>
  <c r="P355" i="8"/>
  <c r="K355" i="8"/>
  <c r="I355" i="8"/>
  <c r="Y354" i="8"/>
  <c r="W354" i="8"/>
  <c r="R354" i="8"/>
  <c r="P354" i="8"/>
  <c r="K354" i="8"/>
  <c r="I354" i="8"/>
  <c r="Y353" i="8"/>
  <c r="W353" i="8"/>
  <c r="R353" i="8"/>
  <c r="P353" i="8"/>
  <c r="K353" i="8"/>
  <c r="I353" i="8"/>
  <c r="Y350" i="8"/>
  <c r="W350" i="8"/>
  <c r="R350" i="8"/>
  <c r="P350" i="8"/>
  <c r="K350" i="8"/>
  <c r="I350" i="8"/>
  <c r="Y349" i="8"/>
  <c r="W349" i="8"/>
  <c r="R349" i="8"/>
  <c r="P349" i="8"/>
  <c r="K349" i="8"/>
  <c r="I349" i="8"/>
  <c r="Y348" i="8"/>
  <c r="W348" i="8"/>
  <c r="R348" i="8"/>
  <c r="P348" i="8"/>
  <c r="K348" i="8"/>
  <c r="I348" i="8"/>
  <c r="Y347" i="8"/>
  <c r="W347" i="8"/>
  <c r="R347" i="8"/>
  <c r="P347" i="8"/>
  <c r="K347" i="8"/>
  <c r="I347" i="8"/>
  <c r="Y346" i="8"/>
  <c r="W346" i="8"/>
  <c r="R346" i="8"/>
  <c r="P346" i="8"/>
  <c r="K346" i="8"/>
  <c r="I346" i="8"/>
  <c r="Y345" i="8"/>
  <c r="W345" i="8"/>
  <c r="R345" i="8"/>
  <c r="P345" i="8"/>
  <c r="K345" i="8"/>
  <c r="I345" i="8"/>
  <c r="Y342" i="8"/>
  <c r="W342" i="8"/>
  <c r="R342" i="8"/>
  <c r="P342" i="8"/>
  <c r="K342" i="8"/>
  <c r="I342" i="8"/>
  <c r="Y341" i="8"/>
  <c r="W341" i="8"/>
  <c r="R341" i="8"/>
  <c r="P341" i="8"/>
  <c r="K341" i="8"/>
  <c r="I341" i="8"/>
  <c r="Y340" i="8"/>
  <c r="W340" i="8"/>
  <c r="R340" i="8"/>
  <c r="P340" i="8"/>
  <c r="K340" i="8"/>
  <c r="I340" i="8"/>
  <c r="Y339" i="8"/>
  <c r="W339" i="8"/>
  <c r="R339" i="8"/>
  <c r="P339" i="8"/>
  <c r="K339" i="8"/>
  <c r="I339" i="8"/>
  <c r="Y338" i="8"/>
  <c r="W338" i="8"/>
  <c r="R338" i="8"/>
  <c r="P338" i="8"/>
  <c r="K338" i="8"/>
  <c r="I338" i="8"/>
  <c r="Y337" i="8"/>
  <c r="W337" i="8"/>
  <c r="R337" i="8"/>
  <c r="P337" i="8"/>
  <c r="K337" i="8"/>
  <c r="I337" i="8"/>
  <c r="Y334" i="8"/>
  <c r="W334" i="8"/>
  <c r="R334" i="8"/>
  <c r="P334" i="8"/>
  <c r="K334" i="8"/>
  <c r="I334" i="8"/>
  <c r="Y333" i="8"/>
  <c r="W333" i="8"/>
  <c r="R333" i="8"/>
  <c r="P333" i="8"/>
  <c r="K333" i="8"/>
  <c r="I333" i="8"/>
  <c r="Y332" i="8"/>
  <c r="W332" i="8"/>
  <c r="R332" i="8"/>
  <c r="P332" i="8"/>
  <c r="K332" i="8"/>
  <c r="I332" i="8"/>
  <c r="Y331" i="8"/>
  <c r="W331" i="8"/>
  <c r="R331" i="8"/>
  <c r="P331" i="8"/>
  <c r="K331" i="8"/>
  <c r="I331" i="8"/>
  <c r="Y330" i="8"/>
  <c r="W330" i="8"/>
  <c r="R330" i="8"/>
  <c r="P330" i="8"/>
  <c r="K330" i="8"/>
  <c r="I330" i="8"/>
  <c r="Y329" i="8"/>
  <c r="W329" i="8"/>
  <c r="R329" i="8"/>
  <c r="P329" i="8"/>
  <c r="K329" i="8"/>
  <c r="I329" i="8"/>
  <c r="Y326" i="8"/>
  <c r="W326" i="8"/>
  <c r="R326" i="8"/>
  <c r="P326" i="8"/>
  <c r="K326" i="8"/>
  <c r="I326" i="8"/>
  <c r="Y325" i="8"/>
  <c r="W325" i="8"/>
  <c r="R325" i="8"/>
  <c r="P325" i="8"/>
  <c r="K325" i="8"/>
  <c r="I325" i="8"/>
  <c r="Y324" i="8"/>
  <c r="W324" i="8"/>
  <c r="R324" i="8"/>
  <c r="P324" i="8"/>
  <c r="K324" i="8"/>
  <c r="I324" i="8"/>
  <c r="Y323" i="8"/>
  <c r="W323" i="8"/>
  <c r="R323" i="8"/>
  <c r="P323" i="8"/>
  <c r="K323" i="8"/>
  <c r="I323" i="8"/>
  <c r="Y322" i="8"/>
  <c r="W322" i="8"/>
  <c r="R322" i="8"/>
  <c r="P322" i="8"/>
  <c r="K322" i="8"/>
  <c r="I322" i="8"/>
  <c r="Y321" i="8"/>
  <c r="W321" i="8"/>
  <c r="R321" i="8"/>
  <c r="P321" i="8"/>
  <c r="K321" i="8"/>
  <c r="I321" i="8"/>
  <c r="Y318" i="8"/>
  <c r="W318" i="8"/>
  <c r="R318" i="8"/>
  <c r="P318" i="8"/>
  <c r="K318" i="8"/>
  <c r="I318" i="8"/>
  <c r="Y317" i="8"/>
  <c r="W317" i="8"/>
  <c r="R317" i="8"/>
  <c r="P317" i="8"/>
  <c r="K317" i="8"/>
  <c r="I317" i="8"/>
  <c r="Y316" i="8"/>
  <c r="W316" i="8"/>
  <c r="R316" i="8"/>
  <c r="P316" i="8"/>
  <c r="K316" i="8"/>
  <c r="I316" i="8"/>
  <c r="Y315" i="8"/>
  <c r="W315" i="8"/>
  <c r="R315" i="8"/>
  <c r="P315" i="8"/>
  <c r="K315" i="8"/>
  <c r="I315" i="8"/>
  <c r="Y314" i="8"/>
  <c r="W314" i="8"/>
  <c r="R314" i="8"/>
  <c r="P314" i="8"/>
  <c r="K314" i="8"/>
  <c r="I314" i="8"/>
  <c r="Y313" i="8"/>
  <c r="W313" i="8"/>
  <c r="R313" i="8"/>
  <c r="P313" i="8"/>
  <c r="K313" i="8"/>
  <c r="I313" i="8"/>
  <c r="Y310" i="8"/>
  <c r="W310" i="8"/>
  <c r="R310" i="8"/>
  <c r="P310" i="8"/>
  <c r="K310" i="8"/>
  <c r="I310" i="8"/>
  <c r="Y309" i="8"/>
  <c r="W309" i="8"/>
  <c r="R309" i="8"/>
  <c r="P309" i="8"/>
  <c r="K309" i="8"/>
  <c r="I309" i="8"/>
  <c r="Y308" i="8"/>
  <c r="W308" i="8"/>
  <c r="R308" i="8"/>
  <c r="P308" i="8"/>
  <c r="K308" i="8"/>
  <c r="I308" i="8"/>
  <c r="Y307" i="8"/>
  <c r="W307" i="8"/>
  <c r="R307" i="8"/>
  <c r="P307" i="8"/>
  <c r="K307" i="8"/>
  <c r="I307" i="8"/>
  <c r="Y306" i="8"/>
  <c r="W306" i="8"/>
  <c r="R306" i="8"/>
  <c r="P306" i="8"/>
  <c r="K306" i="8"/>
  <c r="I306" i="8"/>
  <c r="Y305" i="8"/>
  <c r="W305" i="8"/>
  <c r="R305" i="8"/>
  <c r="P305" i="8"/>
  <c r="K305" i="8"/>
  <c r="I305" i="8"/>
  <c r="Y294" i="8"/>
  <c r="W294" i="8"/>
  <c r="R294" i="8"/>
  <c r="P294" i="8"/>
  <c r="K294" i="8"/>
  <c r="I294" i="8"/>
  <c r="Y293" i="8"/>
  <c r="W293" i="8"/>
  <c r="R293" i="8"/>
  <c r="P293" i="8"/>
  <c r="K293" i="8"/>
  <c r="I293" i="8"/>
  <c r="Y292" i="8"/>
  <c r="W292" i="8"/>
  <c r="R292" i="8"/>
  <c r="P292" i="8"/>
  <c r="K292" i="8"/>
  <c r="I292" i="8"/>
  <c r="Y291" i="8"/>
  <c r="W291" i="8"/>
  <c r="R291" i="8"/>
  <c r="P291" i="8"/>
  <c r="K291" i="8"/>
  <c r="I291" i="8"/>
  <c r="Y290" i="8"/>
  <c r="W290" i="8"/>
  <c r="R290" i="8"/>
  <c r="P290" i="8"/>
  <c r="K290" i="8"/>
  <c r="I290" i="8"/>
  <c r="Y286" i="8"/>
  <c r="W286" i="8"/>
  <c r="R286" i="8"/>
  <c r="P286" i="8"/>
  <c r="K286" i="8"/>
  <c r="I286" i="8"/>
  <c r="Y285" i="8"/>
  <c r="W285" i="8"/>
  <c r="R285" i="8"/>
  <c r="P285" i="8"/>
  <c r="K285" i="8"/>
  <c r="I285" i="8"/>
  <c r="Y284" i="8"/>
  <c r="W284" i="8"/>
  <c r="R284" i="8"/>
  <c r="P284" i="8"/>
  <c r="K284" i="8"/>
  <c r="I284" i="8"/>
  <c r="Y283" i="8"/>
  <c r="W283" i="8"/>
  <c r="R283" i="8"/>
  <c r="P283" i="8"/>
  <c r="K283" i="8"/>
  <c r="I283" i="8"/>
  <c r="Y282" i="8"/>
  <c r="W282" i="8"/>
  <c r="R282" i="8"/>
  <c r="P282" i="8"/>
  <c r="K282" i="8"/>
  <c r="I282" i="8"/>
  <c r="Y281" i="8"/>
  <c r="W281" i="8"/>
  <c r="R281" i="8"/>
  <c r="P281" i="8"/>
  <c r="K281" i="8"/>
  <c r="I281" i="8"/>
  <c r="Y280" i="8"/>
  <c r="W280" i="8"/>
  <c r="R280" i="8"/>
  <c r="P280" i="8"/>
  <c r="K280" i="8"/>
  <c r="I280" i="8"/>
  <c r="Y279" i="8"/>
  <c r="W279" i="8"/>
  <c r="R279" i="8"/>
  <c r="P279" i="8"/>
  <c r="K279" i="8"/>
  <c r="I279" i="8"/>
  <c r="Y278" i="8"/>
  <c r="W278" i="8"/>
  <c r="R278" i="8"/>
  <c r="P278" i="8"/>
  <c r="K278" i="8"/>
  <c r="I278" i="8"/>
  <c r="Y277" i="8"/>
  <c r="W277" i="8"/>
  <c r="R277" i="8"/>
  <c r="P277" i="8"/>
  <c r="K277" i="8"/>
  <c r="I277" i="8"/>
  <c r="Y276" i="8"/>
  <c r="W276" i="8"/>
  <c r="R276" i="8"/>
  <c r="P276" i="8"/>
  <c r="K276" i="8"/>
  <c r="I276" i="8"/>
  <c r="Y275" i="8"/>
  <c r="W275" i="8"/>
  <c r="R275" i="8"/>
  <c r="P275" i="8"/>
  <c r="K275" i="8"/>
  <c r="I275" i="8"/>
  <c r="Y274" i="8"/>
  <c r="W274" i="8"/>
  <c r="R274" i="8"/>
  <c r="P274" i="8"/>
  <c r="K274" i="8"/>
  <c r="I274" i="8"/>
  <c r="Y273" i="8"/>
  <c r="W273" i="8"/>
  <c r="R273" i="8"/>
  <c r="P273" i="8"/>
  <c r="K273" i="8"/>
  <c r="I273" i="8"/>
  <c r="Y269" i="8"/>
  <c r="W269" i="8"/>
  <c r="R269" i="8"/>
  <c r="P269" i="8"/>
  <c r="K269" i="8"/>
  <c r="I269" i="8"/>
  <c r="Y268" i="8"/>
  <c r="W268" i="8"/>
  <c r="R268" i="8"/>
  <c r="P268" i="8"/>
  <c r="K268" i="8"/>
  <c r="I268" i="8"/>
  <c r="Y267" i="8"/>
  <c r="W267" i="8"/>
  <c r="R267" i="8"/>
  <c r="P267" i="8"/>
  <c r="K267" i="8"/>
  <c r="I267" i="8"/>
  <c r="Y266" i="8"/>
  <c r="W266" i="8"/>
  <c r="R266" i="8"/>
  <c r="P266" i="8"/>
  <c r="K266" i="8"/>
  <c r="I266" i="8"/>
  <c r="Y265" i="8"/>
  <c r="W265" i="8"/>
  <c r="R265" i="8"/>
  <c r="P265" i="8"/>
  <c r="K265" i="8"/>
  <c r="I265" i="8"/>
  <c r="Y264" i="8"/>
  <c r="W264" i="8"/>
  <c r="R264" i="8"/>
  <c r="P264" i="8"/>
  <c r="K264" i="8"/>
  <c r="I264" i="8"/>
  <c r="Y260" i="8"/>
  <c r="W260" i="8"/>
  <c r="R260" i="8"/>
  <c r="P260" i="8"/>
  <c r="K260" i="8"/>
  <c r="I260" i="8"/>
  <c r="Y259" i="8"/>
  <c r="W259" i="8"/>
  <c r="R259" i="8"/>
  <c r="P259" i="8"/>
  <c r="K259" i="8"/>
  <c r="I259" i="8"/>
  <c r="Y258" i="8"/>
  <c r="W258" i="8"/>
  <c r="R258" i="8"/>
  <c r="P258" i="8"/>
  <c r="K258" i="8"/>
  <c r="I258" i="8"/>
  <c r="Y257" i="8"/>
  <c r="W257" i="8"/>
  <c r="R257" i="8"/>
  <c r="P257" i="8"/>
  <c r="K257" i="8"/>
  <c r="I257" i="8"/>
  <c r="Y256" i="8"/>
  <c r="W256" i="8"/>
  <c r="R256" i="8"/>
  <c r="P256" i="8"/>
  <c r="K256" i="8"/>
  <c r="I256" i="8"/>
  <c r="Y255" i="8"/>
  <c r="W255" i="8"/>
  <c r="R255" i="8"/>
  <c r="P255" i="8"/>
  <c r="K255" i="8"/>
  <c r="I255" i="8"/>
  <c r="Y254" i="8"/>
  <c r="W254" i="8"/>
  <c r="R254" i="8"/>
  <c r="P254" i="8"/>
  <c r="K254" i="8"/>
  <c r="I254" i="8"/>
  <c r="Y253" i="8"/>
  <c r="W253" i="8"/>
  <c r="R253" i="8"/>
  <c r="P253" i="8"/>
  <c r="K253" i="8"/>
  <c r="I253" i="8"/>
  <c r="Y252" i="8"/>
  <c r="W252" i="8"/>
  <c r="R252" i="8"/>
  <c r="P252" i="8"/>
  <c r="K252" i="8"/>
  <c r="I252" i="8"/>
  <c r="Y248" i="8"/>
  <c r="W248" i="8"/>
  <c r="R248" i="8"/>
  <c r="P248" i="8"/>
  <c r="K248" i="8"/>
  <c r="I248" i="8"/>
  <c r="Y247" i="8"/>
  <c r="W247" i="8"/>
  <c r="R247" i="8"/>
  <c r="P247" i="8"/>
  <c r="K247" i="8"/>
  <c r="I247" i="8"/>
  <c r="Y246" i="8"/>
  <c r="W246" i="8"/>
  <c r="R246" i="8"/>
  <c r="P246" i="8"/>
  <c r="K246" i="8"/>
  <c r="I246" i="8"/>
  <c r="Y245" i="8"/>
  <c r="W245" i="8"/>
  <c r="R245" i="8"/>
  <c r="P245" i="8"/>
  <c r="K245" i="8"/>
  <c r="I245" i="8"/>
  <c r="Y244" i="8"/>
  <c r="W244" i="8"/>
  <c r="R244" i="8"/>
  <c r="P244" i="8"/>
  <c r="K244" i="8"/>
  <c r="I244" i="8"/>
  <c r="Y240" i="8"/>
  <c r="W240" i="8"/>
  <c r="R240" i="8"/>
  <c r="P240" i="8"/>
  <c r="K240" i="8"/>
  <c r="I240" i="8"/>
  <c r="Y239" i="8"/>
  <c r="W239" i="8"/>
  <c r="R239" i="8"/>
  <c r="P239" i="8"/>
  <c r="K239" i="8"/>
  <c r="I239" i="8"/>
  <c r="Y238" i="8"/>
  <c r="W238" i="8"/>
  <c r="R238" i="8"/>
  <c r="P238" i="8"/>
  <c r="K238" i="8"/>
  <c r="I238" i="8"/>
  <c r="Y237" i="8"/>
  <c r="W237" i="8"/>
  <c r="R237" i="8"/>
  <c r="P237" i="8"/>
  <c r="K237" i="8"/>
  <c r="I237" i="8"/>
  <c r="Y236" i="8"/>
  <c r="W236" i="8"/>
  <c r="R236" i="8"/>
  <c r="P236" i="8"/>
  <c r="K236" i="8"/>
  <c r="I236" i="8"/>
  <c r="Y235" i="8"/>
  <c r="W235" i="8"/>
  <c r="R235" i="8"/>
  <c r="P235" i="8"/>
  <c r="K235" i="8"/>
  <c r="I235" i="8"/>
  <c r="Y231" i="8"/>
  <c r="W231" i="8"/>
  <c r="R231" i="8"/>
  <c r="P231" i="8"/>
  <c r="K231" i="8"/>
  <c r="I231" i="8"/>
  <c r="Y230" i="8"/>
  <c r="W230" i="8"/>
  <c r="R230" i="8"/>
  <c r="P230" i="8"/>
  <c r="K230" i="8"/>
  <c r="I230" i="8"/>
  <c r="Y229" i="8"/>
  <c r="W229" i="8"/>
  <c r="R229" i="8"/>
  <c r="P229" i="8"/>
  <c r="K229" i="8"/>
  <c r="I229" i="8"/>
  <c r="Y228" i="8"/>
  <c r="W228" i="8"/>
  <c r="R228" i="8"/>
  <c r="P228" i="8"/>
  <c r="K228" i="8"/>
  <c r="I228" i="8"/>
  <c r="Y227" i="8"/>
  <c r="W227" i="8"/>
  <c r="R227" i="8"/>
  <c r="P227" i="8"/>
  <c r="K227" i="8"/>
  <c r="I227" i="8"/>
  <c r="Y226" i="8"/>
  <c r="W226" i="8"/>
  <c r="R226" i="8"/>
  <c r="P226" i="8"/>
  <c r="K226" i="8"/>
  <c r="I226" i="8"/>
  <c r="Y225" i="8"/>
  <c r="W225" i="8"/>
  <c r="R225" i="8"/>
  <c r="P225" i="8"/>
  <c r="K225" i="8"/>
  <c r="I225" i="8"/>
  <c r="Y224" i="8"/>
  <c r="W224" i="8"/>
  <c r="R224" i="8"/>
  <c r="P224" i="8"/>
  <c r="K224" i="8"/>
  <c r="I224" i="8"/>
  <c r="Y223" i="8"/>
  <c r="W223" i="8"/>
  <c r="R223" i="8"/>
  <c r="P223" i="8"/>
  <c r="K223" i="8"/>
  <c r="I223" i="8"/>
  <c r="Y222" i="8"/>
  <c r="W222" i="8"/>
  <c r="R222" i="8"/>
  <c r="P222" i="8"/>
  <c r="K222" i="8"/>
  <c r="I222" i="8"/>
  <c r="Y217" i="8"/>
  <c r="W217" i="8"/>
  <c r="R217" i="8"/>
  <c r="P217" i="8"/>
  <c r="K217" i="8"/>
  <c r="I217" i="8"/>
  <c r="Y216" i="8"/>
  <c r="W216" i="8"/>
  <c r="R216" i="8"/>
  <c r="P216" i="8"/>
  <c r="K216" i="8"/>
  <c r="I216" i="8"/>
  <c r="Y215" i="8"/>
  <c r="W215" i="8"/>
  <c r="R215" i="8"/>
  <c r="P215" i="8"/>
  <c r="K215" i="8"/>
  <c r="I215" i="8"/>
  <c r="Y211" i="8"/>
  <c r="W211" i="8"/>
  <c r="R211" i="8"/>
  <c r="P211" i="8"/>
  <c r="K211" i="8"/>
  <c r="I211" i="8"/>
  <c r="Y210" i="8"/>
  <c r="W210" i="8"/>
  <c r="R210" i="8"/>
  <c r="P210" i="8"/>
  <c r="K210" i="8"/>
  <c r="I210" i="8"/>
  <c r="Y209" i="8"/>
  <c r="W209" i="8"/>
  <c r="R209" i="8"/>
  <c r="P209" i="8"/>
  <c r="K209" i="8"/>
  <c r="I209" i="8"/>
  <c r="Y205" i="8"/>
  <c r="W205" i="8"/>
  <c r="R205" i="8"/>
  <c r="P205" i="8"/>
  <c r="K205" i="8"/>
  <c r="I205" i="8"/>
  <c r="Y204" i="8"/>
  <c r="W204" i="8"/>
  <c r="R204" i="8"/>
  <c r="P204" i="8"/>
  <c r="K204" i="8"/>
  <c r="I204" i="8"/>
  <c r="Y203" i="8"/>
  <c r="W203" i="8"/>
  <c r="R203" i="8"/>
  <c r="P203" i="8"/>
  <c r="K203" i="8"/>
  <c r="I203" i="8"/>
  <c r="Y202" i="8"/>
  <c r="W202" i="8"/>
  <c r="R202" i="8"/>
  <c r="P202" i="8"/>
  <c r="K202" i="8"/>
  <c r="I202" i="8"/>
  <c r="Y198" i="8"/>
  <c r="W198" i="8"/>
  <c r="R198" i="8"/>
  <c r="P198" i="8"/>
  <c r="K198" i="8"/>
  <c r="I198" i="8"/>
  <c r="Y197" i="8"/>
  <c r="W197" i="8"/>
  <c r="R197" i="8"/>
  <c r="P197" i="8"/>
  <c r="K197" i="8"/>
  <c r="I197" i="8"/>
  <c r="Y196" i="8"/>
  <c r="W196" i="8"/>
  <c r="R196" i="8"/>
  <c r="P196" i="8"/>
  <c r="K196" i="8"/>
  <c r="I196" i="8"/>
  <c r="Y195" i="8"/>
  <c r="W195" i="8"/>
  <c r="R195" i="8"/>
  <c r="P195" i="8"/>
  <c r="K195" i="8"/>
  <c r="I195" i="8"/>
  <c r="Y190" i="8"/>
  <c r="W190" i="8"/>
  <c r="R190" i="8"/>
  <c r="P190" i="8"/>
  <c r="K190" i="8"/>
  <c r="I190" i="8"/>
  <c r="Y189" i="8"/>
  <c r="W189" i="8"/>
  <c r="R189" i="8"/>
  <c r="P189" i="8"/>
  <c r="K189" i="8"/>
  <c r="I189" i="8"/>
  <c r="Y188" i="8"/>
  <c r="W188" i="8"/>
  <c r="R188" i="8"/>
  <c r="P188" i="8"/>
  <c r="K188" i="8"/>
  <c r="I188" i="8"/>
  <c r="Y187" i="8"/>
  <c r="W187" i="8"/>
  <c r="R187" i="8"/>
  <c r="P187" i="8"/>
  <c r="K187" i="8"/>
  <c r="I187" i="8"/>
  <c r="Y186" i="8"/>
  <c r="W186" i="8"/>
  <c r="R186" i="8"/>
  <c r="P186" i="8"/>
  <c r="K186" i="8"/>
  <c r="I186" i="8"/>
  <c r="Y185" i="8"/>
  <c r="W185" i="8"/>
  <c r="R185" i="8"/>
  <c r="P185" i="8"/>
  <c r="K185" i="8"/>
  <c r="I185" i="8"/>
  <c r="Y184" i="8"/>
  <c r="W184" i="8"/>
  <c r="R184" i="8"/>
  <c r="P184" i="8"/>
  <c r="K184" i="8"/>
  <c r="I184" i="8"/>
  <c r="Y183" i="8"/>
  <c r="W183" i="8"/>
  <c r="R183" i="8"/>
  <c r="P183" i="8"/>
  <c r="K183" i="8"/>
  <c r="I183" i="8"/>
  <c r="Y182" i="8"/>
  <c r="W182" i="8"/>
  <c r="R182" i="8"/>
  <c r="P182" i="8"/>
  <c r="K182" i="8"/>
  <c r="I182" i="8"/>
  <c r="Y178" i="8"/>
  <c r="W178" i="8"/>
  <c r="R178" i="8"/>
  <c r="P178" i="8"/>
  <c r="K178" i="8"/>
  <c r="I178" i="8"/>
  <c r="Y177" i="8"/>
  <c r="W177" i="8"/>
  <c r="R177" i="8"/>
  <c r="P177" i="8"/>
  <c r="K177" i="8"/>
  <c r="I177" i="8"/>
  <c r="Y176" i="8"/>
  <c r="W176" i="8"/>
  <c r="R176" i="8"/>
  <c r="P176" i="8"/>
  <c r="K176" i="8"/>
  <c r="I176" i="8"/>
  <c r="Y175" i="8"/>
  <c r="W175" i="8"/>
  <c r="R175" i="8"/>
  <c r="P175" i="8"/>
  <c r="K175" i="8"/>
  <c r="I175" i="8"/>
  <c r="Y171" i="8"/>
  <c r="W171" i="8"/>
  <c r="R171" i="8"/>
  <c r="P171" i="8"/>
  <c r="K171" i="8"/>
  <c r="I171" i="8"/>
  <c r="Y170" i="8"/>
  <c r="W170" i="8"/>
  <c r="R170" i="8"/>
  <c r="P170" i="8"/>
  <c r="K170" i="8"/>
  <c r="I170" i="8"/>
  <c r="Y169" i="8"/>
  <c r="W169" i="8"/>
  <c r="R169" i="8"/>
  <c r="P169" i="8"/>
  <c r="K169" i="8"/>
  <c r="I169" i="8"/>
  <c r="Y168" i="8"/>
  <c r="W168" i="8"/>
  <c r="R168" i="8"/>
  <c r="P168" i="8"/>
  <c r="K168" i="8"/>
  <c r="I168" i="8"/>
  <c r="Y164" i="8"/>
  <c r="W164" i="8"/>
  <c r="R164" i="8"/>
  <c r="P164" i="8"/>
  <c r="K164" i="8"/>
  <c r="I164" i="8"/>
  <c r="Y163" i="8"/>
  <c r="W163" i="8"/>
  <c r="R163" i="8"/>
  <c r="P163" i="8"/>
  <c r="K163" i="8"/>
  <c r="I163" i="8"/>
  <c r="Y162" i="8"/>
  <c r="W162" i="8"/>
  <c r="R162" i="8"/>
  <c r="P162" i="8"/>
  <c r="K162" i="8"/>
  <c r="I162" i="8"/>
  <c r="Y161" i="8"/>
  <c r="W161" i="8"/>
  <c r="R161" i="8"/>
  <c r="P161" i="8"/>
  <c r="K161" i="8"/>
  <c r="I161" i="8"/>
  <c r="Y160" i="8"/>
  <c r="W160" i="8"/>
  <c r="R160" i="8"/>
  <c r="P160" i="8"/>
  <c r="K160" i="8"/>
  <c r="I160" i="8"/>
  <c r="Y159" i="8"/>
  <c r="W159" i="8"/>
  <c r="R159" i="8"/>
  <c r="P159" i="8"/>
  <c r="K159" i="8"/>
  <c r="I159" i="8"/>
  <c r="Y158" i="8"/>
  <c r="W158" i="8"/>
  <c r="R158" i="8"/>
  <c r="P158" i="8"/>
  <c r="K158" i="8"/>
  <c r="I158" i="8"/>
  <c r="Y157" i="8"/>
  <c r="W157" i="8"/>
  <c r="R157" i="8"/>
  <c r="P157" i="8"/>
  <c r="K157" i="8"/>
  <c r="I157" i="8"/>
  <c r="Y156" i="8"/>
  <c r="W156" i="8"/>
  <c r="R156" i="8"/>
  <c r="P156" i="8"/>
  <c r="K156" i="8"/>
  <c r="I156" i="8"/>
  <c r="Y155" i="8"/>
  <c r="W155" i="8"/>
  <c r="R155" i="8"/>
  <c r="P155" i="8"/>
  <c r="K155" i="8"/>
  <c r="I155" i="8"/>
  <c r="Y154" i="8"/>
  <c r="W154" i="8"/>
  <c r="R154" i="8"/>
  <c r="P154" i="8"/>
  <c r="K154" i="8"/>
  <c r="I154" i="8"/>
  <c r="Y153" i="8"/>
  <c r="W153" i="8"/>
  <c r="R153" i="8"/>
  <c r="P153" i="8"/>
  <c r="K153" i="8"/>
  <c r="I153" i="8"/>
  <c r="Y147" i="8"/>
  <c r="W147" i="8"/>
  <c r="R147" i="8"/>
  <c r="P147" i="8"/>
  <c r="K147" i="8"/>
  <c r="I147" i="8"/>
  <c r="Y146" i="8"/>
  <c r="W146" i="8"/>
  <c r="R146" i="8"/>
  <c r="P146" i="8"/>
  <c r="K146" i="8"/>
  <c r="I146" i="8"/>
  <c r="Y145" i="8"/>
  <c r="W145" i="8"/>
  <c r="R145" i="8"/>
  <c r="P145" i="8"/>
  <c r="K145" i="8"/>
  <c r="I145" i="8"/>
  <c r="Y144" i="8"/>
  <c r="W144" i="8"/>
  <c r="R144" i="8"/>
  <c r="P144" i="8"/>
  <c r="K144" i="8"/>
  <c r="I144" i="8"/>
  <c r="Y140" i="8"/>
  <c r="W140" i="8"/>
  <c r="R140" i="8"/>
  <c r="P140" i="8"/>
  <c r="K140" i="8"/>
  <c r="I140" i="8"/>
  <c r="Y139" i="8"/>
  <c r="W139" i="8"/>
  <c r="R139" i="8"/>
  <c r="P139" i="8"/>
  <c r="K139" i="8"/>
  <c r="I139" i="8"/>
  <c r="Y138" i="8"/>
  <c r="W138" i="8"/>
  <c r="R138" i="8"/>
  <c r="P138" i="8"/>
  <c r="K138" i="8"/>
  <c r="I138" i="8"/>
  <c r="Y137" i="8"/>
  <c r="W137" i="8"/>
  <c r="R137" i="8"/>
  <c r="P137" i="8"/>
  <c r="K137" i="8"/>
  <c r="I137" i="8"/>
  <c r="Y136" i="8"/>
  <c r="W136" i="8"/>
  <c r="R136" i="8"/>
  <c r="P136" i="8"/>
  <c r="K136" i="8"/>
  <c r="I136" i="8"/>
  <c r="Y135" i="8"/>
  <c r="W135" i="8"/>
  <c r="R135" i="8"/>
  <c r="P135" i="8"/>
  <c r="K135" i="8"/>
  <c r="I135" i="8"/>
  <c r="Y134" i="8"/>
  <c r="W134" i="8"/>
  <c r="R134" i="8"/>
  <c r="P134" i="8"/>
  <c r="K134" i="8"/>
  <c r="I134" i="8"/>
  <c r="Y133" i="8"/>
  <c r="W133" i="8"/>
  <c r="R133" i="8"/>
  <c r="P133" i="8"/>
  <c r="K133" i="8"/>
  <c r="I133" i="8"/>
  <c r="Y132" i="8"/>
  <c r="W132" i="8"/>
  <c r="R132" i="8"/>
  <c r="P132" i="8"/>
  <c r="K132" i="8"/>
  <c r="I132" i="8"/>
  <c r="Y131" i="8"/>
  <c r="W131" i="8"/>
  <c r="R131" i="8"/>
  <c r="P131" i="8"/>
  <c r="K131" i="8"/>
  <c r="I131" i="8"/>
  <c r="Y130" i="8"/>
  <c r="W130" i="8"/>
  <c r="R130" i="8"/>
  <c r="P130" i="8"/>
  <c r="K130" i="8"/>
  <c r="I130" i="8"/>
  <c r="Y124" i="8"/>
  <c r="W124" i="8"/>
  <c r="R124" i="8"/>
  <c r="P124" i="8"/>
  <c r="K124" i="8"/>
  <c r="I124" i="8"/>
  <c r="Y123" i="8"/>
  <c r="W123" i="8"/>
  <c r="R123" i="8"/>
  <c r="P123" i="8"/>
  <c r="K123" i="8"/>
  <c r="I123" i="8"/>
  <c r="Y122" i="8"/>
  <c r="W122" i="8"/>
  <c r="R122" i="8"/>
  <c r="P122" i="8"/>
  <c r="K122" i="8"/>
  <c r="I122" i="8"/>
  <c r="Y121" i="8"/>
  <c r="W121" i="8"/>
  <c r="R121" i="8"/>
  <c r="P121" i="8"/>
  <c r="K121" i="8"/>
  <c r="I121" i="8"/>
  <c r="Y114" i="8"/>
  <c r="W114" i="8"/>
  <c r="R114" i="8"/>
  <c r="P114" i="8"/>
  <c r="K114" i="8"/>
  <c r="I114" i="8"/>
  <c r="Y113" i="8"/>
  <c r="W113" i="8"/>
  <c r="R113" i="8"/>
  <c r="P113" i="8"/>
  <c r="K113" i="8"/>
  <c r="I113" i="8"/>
  <c r="Y112" i="8"/>
  <c r="W112" i="8"/>
  <c r="R112" i="8"/>
  <c r="P112" i="8"/>
  <c r="K112" i="8"/>
  <c r="I112" i="8"/>
  <c r="Y111" i="8"/>
  <c r="W111" i="8"/>
  <c r="R111" i="8"/>
  <c r="P111" i="8"/>
  <c r="K111" i="8"/>
  <c r="I111" i="8"/>
  <c r="Y106" i="8"/>
  <c r="W106" i="8"/>
  <c r="R106" i="8"/>
  <c r="P106" i="8"/>
  <c r="K106" i="8"/>
  <c r="I106" i="8"/>
  <c r="Y105" i="8"/>
  <c r="W105" i="8"/>
  <c r="R105" i="8"/>
  <c r="P105" i="8"/>
  <c r="K105" i="8"/>
  <c r="I105" i="8"/>
  <c r="Y104" i="8"/>
  <c r="W104" i="8"/>
  <c r="R104" i="8"/>
  <c r="P104" i="8"/>
  <c r="K104" i="8"/>
  <c r="I104" i="8"/>
  <c r="Y103" i="8"/>
  <c r="W103" i="8"/>
  <c r="R103" i="8"/>
  <c r="P103" i="8"/>
  <c r="K103" i="8"/>
  <c r="I103" i="8"/>
  <c r="Y99" i="8"/>
  <c r="W99" i="8"/>
  <c r="R99" i="8"/>
  <c r="P99" i="8"/>
  <c r="K99" i="8"/>
  <c r="I99" i="8"/>
  <c r="Y98" i="8"/>
  <c r="W98" i="8"/>
  <c r="R98" i="8"/>
  <c r="P98" i="8"/>
  <c r="K98" i="8"/>
  <c r="I98" i="8"/>
  <c r="Y97" i="8"/>
  <c r="W97" i="8"/>
  <c r="R97" i="8"/>
  <c r="P97" i="8"/>
  <c r="K97" i="8"/>
  <c r="I97" i="8"/>
  <c r="Y96" i="8"/>
  <c r="W96" i="8"/>
  <c r="R96" i="8"/>
  <c r="P96" i="8"/>
  <c r="K96" i="8"/>
  <c r="I96" i="8"/>
  <c r="Y95" i="8"/>
  <c r="W95" i="8"/>
  <c r="R95" i="8"/>
  <c r="P95" i="8"/>
  <c r="K95" i="8"/>
  <c r="I95" i="8"/>
  <c r="Y94" i="8"/>
  <c r="W94" i="8"/>
  <c r="R94" i="8"/>
  <c r="P94" i="8"/>
  <c r="K94" i="8"/>
  <c r="I94" i="8"/>
  <c r="Y93" i="8"/>
  <c r="W93" i="8"/>
  <c r="R93" i="8"/>
  <c r="P93" i="8"/>
  <c r="K93" i="8"/>
  <c r="I93" i="8"/>
  <c r="Y92" i="8"/>
  <c r="W92" i="8"/>
  <c r="R92" i="8"/>
  <c r="P92" i="8"/>
  <c r="K92" i="8"/>
  <c r="I92" i="8"/>
  <c r="Y88" i="8"/>
  <c r="W88" i="8"/>
  <c r="R88" i="8"/>
  <c r="P88" i="8"/>
  <c r="K88" i="8"/>
  <c r="I88" i="8"/>
  <c r="Y87" i="8"/>
  <c r="W87" i="8"/>
  <c r="R87" i="8"/>
  <c r="P87" i="8"/>
  <c r="K87" i="8"/>
  <c r="I87" i="8"/>
  <c r="Y86" i="8"/>
  <c r="W86" i="8"/>
  <c r="R86" i="8"/>
  <c r="P86" i="8"/>
  <c r="K86" i="8"/>
  <c r="I86" i="8"/>
  <c r="Y85" i="8"/>
  <c r="W85" i="8"/>
  <c r="R85" i="8"/>
  <c r="P85" i="8"/>
  <c r="K85" i="8"/>
  <c r="I85" i="8"/>
  <c r="Y84" i="8"/>
  <c r="W84" i="8"/>
  <c r="R84" i="8"/>
  <c r="P84" i="8"/>
  <c r="K84" i="8"/>
  <c r="I84" i="8"/>
  <c r="Y83" i="8"/>
  <c r="W83" i="8"/>
  <c r="R83" i="8"/>
  <c r="P83" i="8"/>
  <c r="K83" i="8"/>
  <c r="I83" i="8"/>
  <c r="Y82" i="8"/>
  <c r="W82" i="8"/>
  <c r="R82" i="8"/>
  <c r="P82" i="8"/>
  <c r="K82" i="8"/>
  <c r="I82" i="8"/>
  <c r="Y81" i="8"/>
  <c r="W81" i="8"/>
  <c r="R81" i="8"/>
  <c r="P81" i="8"/>
  <c r="K81" i="8"/>
  <c r="I81" i="8"/>
  <c r="Y80" i="8"/>
  <c r="W80" i="8"/>
  <c r="R80" i="8"/>
  <c r="P80" i="8"/>
  <c r="K80" i="8"/>
  <c r="I80" i="8"/>
  <c r="Y79" i="8"/>
  <c r="W79" i="8"/>
  <c r="R79" i="8"/>
  <c r="P79" i="8"/>
  <c r="K79" i="8"/>
  <c r="I79" i="8"/>
  <c r="Y78" i="8"/>
  <c r="W78" i="8"/>
  <c r="R78" i="8"/>
  <c r="P78" i="8"/>
  <c r="K78" i="8"/>
  <c r="I78" i="8"/>
  <c r="Y73" i="8"/>
  <c r="W73" i="8"/>
  <c r="R73" i="8"/>
  <c r="P73" i="8"/>
  <c r="K73" i="8"/>
  <c r="I73" i="8"/>
  <c r="Y72" i="8"/>
  <c r="W72" i="8"/>
  <c r="R72" i="8"/>
  <c r="P72" i="8"/>
  <c r="K72" i="8"/>
  <c r="I72" i="8"/>
  <c r="Y71" i="8"/>
  <c r="W71" i="8"/>
  <c r="R71" i="8"/>
  <c r="P71" i="8"/>
  <c r="K71" i="8"/>
  <c r="I71" i="8"/>
  <c r="Y70" i="8"/>
  <c r="W70" i="8"/>
  <c r="R70" i="8"/>
  <c r="P70" i="8"/>
  <c r="K70" i="8"/>
  <c r="I70" i="8"/>
  <c r="Y69" i="8"/>
  <c r="W69" i="8"/>
  <c r="R69" i="8"/>
  <c r="P69" i="8"/>
  <c r="K69" i="8"/>
  <c r="I69" i="8"/>
  <c r="Y68" i="8"/>
  <c r="W68" i="8"/>
  <c r="R68" i="8"/>
  <c r="P68" i="8"/>
  <c r="K68" i="8"/>
  <c r="I68" i="8"/>
  <c r="Y64" i="8"/>
  <c r="W64" i="8"/>
  <c r="R64" i="8"/>
  <c r="P64" i="8"/>
  <c r="K64" i="8"/>
  <c r="I64" i="8"/>
  <c r="Y63" i="8"/>
  <c r="W63" i="8"/>
  <c r="R63" i="8"/>
  <c r="P63" i="8"/>
  <c r="K63" i="8"/>
  <c r="I63" i="8"/>
  <c r="Y62" i="8"/>
  <c r="W62" i="8"/>
  <c r="R62" i="8"/>
  <c r="P62" i="8"/>
  <c r="K62" i="8"/>
  <c r="I62" i="8"/>
  <c r="Y61" i="8"/>
  <c r="W61" i="8"/>
  <c r="R61" i="8"/>
  <c r="P61" i="8"/>
  <c r="K61" i="8"/>
  <c r="I61" i="8"/>
  <c r="Y60" i="8"/>
  <c r="W60" i="8"/>
  <c r="R60" i="8"/>
  <c r="P60" i="8"/>
  <c r="K60" i="8"/>
  <c r="I60" i="8"/>
  <c r="Y59" i="8"/>
  <c r="W59" i="8"/>
  <c r="R59" i="8"/>
  <c r="P59" i="8"/>
  <c r="K59" i="8"/>
  <c r="I59" i="8"/>
  <c r="Y58" i="8"/>
  <c r="W58" i="8"/>
  <c r="R58" i="8"/>
  <c r="P58" i="8"/>
  <c r="K58" i="8"/>
  <c r="I58" i="8"/>
  <c r="Y57" i="8"/>
  <c r="W57" i="8"/>
  <c r="R57" i="8"/>
  <c r="P57" i="8"/>
  <c r="K57" i="8"/>
  <c r="I57" i="8"/>
  <c r="Y56" i="8"/>
  <c r="W56" i="8"/>
  <c r="R56" i="8"/>
  <c r="P56" i="8"/>
  <c r="K56" i="8"/>
  <c r="I56" i="8"/>
  <c r="Y55" i="8"/>
  <c r="W55" i="8"/>
  <c r="R55" i="8"/>
  <c r="P55" i="8"/>
  <c r="K55" i="8"/>
  <c r="I55" i="8"/>
  <c r="Y54" i="8"/>
  <c r="W54" i="8"/>
  <c r="R54" i="8"/>
  <c r="P54" i="8"/>
  <c r="K54" i="8"/>
  <c r="I54" i="8"/>
  <c r="Y50" i="8"/>
  <c r="W50" i="8"/>
  <c r="R50" i="8"/>
  <c r="P50" i="8"/>
  <c r="K50" i="8"/>
  <c r="I50" i="8"/>
  <c r="Y49" i="8"/>
  <c r="W49" i="8"/>
  <c r="R49" i="8"/>
  <c r="P49" i="8"/>
  <c r="K49" i="8"/>
  <c r="I49" i="8"/>
  <c r="Y48" i="8"/>
  <c r="W48" i="8"/>
  <c r="R48" i="8"/>
  <c r="P48" i="8"/>
  <c r="K48" i="8"/>
  <c r="I48" i="8"/>
  <c r="Y47" i="8"/>
  <c r="W47" i="8"/>
  <c r="R47" i="8"/>
  <c r="P47" i="8"/>
  <c r="K47" i="8"/>
  <c r="I47" i="8"/>
  <c r="Y43" i="8"/>
  <c r="W43" i="8"/>
  <c r="R43" i="8"/>
  <c r="P43" i="8"/>
  <c r="K43" i="8"/>
  <c r="I43" i="8"/>
  <c r="Y42" i="8"/>
  <c r="W42" i="8"/>
  <c r="R42" i="8"/>
  <c r="P42" i="8"/>
  <c r="K42" i="8"/>
  <c r="I42" i="8"/>
  <c r="Y41" i="8"/>
  <c r="W41" i="8"/>
  <c r="R41" i="8"/>
  <c r="P41" i="8"/>
  <c r="K41" i="8"/>
  <c r="I41" i="8"/>
  <c r="Y40" i="8"/>
  <c r="W40" i="8"/>
  <c r="R40" i="8"/>
  <c r="P40" i="8"/>
  <c r="K40" i="8"/>
  <c r="I40" i="8"/>
  <c r="Y39" i="8"/>
  <c r="W39" i="8"/>
  <c r="R39" i="8"/>
  <c r="P39" i="8"/>
  <c r="K39" i="8"/>
  <c r="I39" i="8"/>
  <c r="Y38" i="8"/>
  <c r="W38" i="8"/>
  <c r="R38" i="8"/>
  <c r="P38" i="8"/>
  <c r="K38" i="8"/>
  <c r="I38" i="8"/>
  <c r="Y34" i="8"/>
  <c r="W34" i="8"/>
  <c r="R34" i="8"/>
  <c r="P34" i="8"/>
  <c r="K34" i="8"/>
  <c r="I34" i="8"/>
  <c r="Y33" i="8"/>
  <c r="W33" i="8"/>
  <c r="R33" i="8"/>
  <c r="P33" i="8"/>
  <c r="K33" i="8"/>
  <c r="I33" i="8"/>
  <c r="Y32" i="8"/>
  <c r="W32" i="8"/>
  <c r="R32" i="8"/>
  <c r="P32" i="8"/>
  <c r="K32" i="8"/>
  <c r="I32" i="8"/>
  <c r="Y31" i="8"/>
  <c r="W31" i="8"/>
  <c r="R31" i="8"/>
  <c r="P31" i="8"/>
  <c r="K31" i="8"/>
  <c r="I31" i="8"/>
  <c r="Y30" i="8"/>
  <c r="W30" i="8"/>
  <c r="R30" i="8"/>
  <c r="P30" i="8"/>
  <c r="K30" i="8"/>
  <c r="I30" i="8"/>
  <c r="Y26" i="8"/>
  <c r="W26" i="8"/>
  <c r="R26" i="8"/>
  <c r="P26" i="8"/>
  <c r="K26" i="8"/>
  <c r="I26" i="8"/>
  <c r="Y25" i="8"/>
  <c r="W25" i="8"/>
  <c r="R25" i="8"/>
  <c r="P25" i="8"/>
  <c r="K25" i="8"/>
  <c r="I25" i="8"/>
  <c r="Y24" i="8"/>
  <c r="W24" i="8"/>
  <c r="R24" i="8"/>
  <c r="P24" i="8"/>
  <c r="K24" i="8"/>
  <c r="I24" i="8"/>
  <c r="Y23" i="8"/>
  <c r="W23" i="8"/>
  <c r="R23" i="8"/>
  <c r="P23" i="8"/>
  <c r="K23" i="8"/>
  <c r="I23" i="8"/>
  <c r="Y18" i="8"/>
  <c r="W18" i="8"/>
  <c r="R18" i="8"/>
  <c r="P18" i="8"/>
  <c r="K18" i="8"/>
  <c r="I18" i="8"/>
  <c r="Y17" i="8"/>
  <c r="W17" i="8"/>
  <c r="R17" i="8"/>
  <c r="P17" i="8"/>
  <c r="K17" i="8"/>
  <c r="I17" i="8"/>
  <c r="Y16" i="8"/>
  <c r="W16" i="8"/>
  <c r="R16" i="8"/>
  <c r="P16" i="8"/>
  <c r="K16" i="8"/>
  <c r="I16" i="8"/>
  <c r="Y15" i="8"/>
  <c r="W15" i="8"/>
  <c r="R15" i="8"/>
  <c r="P15" i="8"/>
  <c r="K15" i="8"/>
  <c r="I15" i="8"/>
  <c r="X7" i="8"/>
  <c r="Q7" i="8"/>
  <c r="J7" i="8"/>
  <c r="X6" i="8"/>
  <c r="Q6" i="8"/>
  <c r="J6" i="8"/>
  <c r="Y452" i="7"/>
  <c r="W452" i="7"/>
  <c r="R452" i="7"/>
  <c r="P452" i="7"/>
  <c r="K452" i="7"/>
  <c r="I452" i="7"/>
  <c r="Y451" i="7"/>
  <c r="W451" i="7"/>
  <c r="R451" i="7"/>
  <c r="P451" i="7"/>
  <c r="K451" i="7"/>
  <c r="I451" i="7"/>
  <c r="Y450" i="7"/>
  <c r="W450" i="7"/>
  <c r="R450" i="7"/>
  <c r="P450" i="7"/>
  <c r="K450" i="7"/>
  <c r="I450" i="7"/>
  <c r="Y449" i="7"/>
  <c r="W449" i="7"/>
  <c r="R449" i="7"/>
  <c r="P449" i="7"/>
  <c r="K449" i="7"/>
  <c r="I449" i="7"/>
  <c r="Y448" i="7"/>
  <c r="W448" i="7"/>
  <c r="R448" i="7"/>
  <c r="P448" i="7"/>
  <c r="K448" i="7"/>
  <c r="I448" i="7"/>
  <c r="Y447" i="7"/>
  <c r="W447" i="7"/>
  <c r="R447" i="7"/>
  <c r="P447" i="7"/>
  <c r="K447" i="7"/>
  <c r="I447" i="7"/>
  <c r="Y446" i="7"/>
  <c r="W446" i="7"/>
  <c r="R446" i="7"/>
  <c r="P446" i="7"/>
  <c r="K446" i="7"/>
  <c r="I446" i="7"/>
  <c r="Y445" i="7"/>
  <c r="W445" i="7"/>
  <c r="R445" i="7"/>
  <c r="P445" i="7"/>
  <c r="K445" i="7"/>
  <c r="I445" i="7"/>
  <c r="Y444" i="7"/>
  <c r="W444" i="7"/>
  <c r="R444" i="7"/>
  <c r="P444" i="7"/>
  <c r="K444" i="7"/>
  <c r="I444" i="7"/>
  <c r="Y443" i="7"/>
  <c r="W443" i="7"/>
  <c r="R443" i="7"/>
  <c r="P443" i="7"/>
  <c r="K443" i="7"/>
  <c r="I443" i="7"/>
  <c r="Y442" i="7"/>
  <c r="W442" i="7"/>
  <c r="R442" i="7"/>
  <c r="P442" i="7"/>
  <c r="K442" i="7"/>
  <c r="I442" i="7"/>
  <c r="Y439" i="7"/>
  <c r="W439" i="7"/>
  <c r="R439" i="7"/>
  <c r="P439" i="7"/>
  <c r="K439" i="7"/>
  <c r="I439" i="7"/>
  <c r="Y438" i="7"/>
  <c r="W438" i="7"/>
  <c r="R438" i="7"/>
  <c r="P438" i="7"/>
  <c r="K438" i="7"/>
  <c r="I438" i="7"/>
  <c r="Y437" i="7"/>
  <c r="W437" i="7"/>
  <c r="R437" i="7"/>
  <c r="P437" i="7"/>
  <c r="K437" i="7"/>
  <c r="I437" i="7"/>
  <c r="Y436" i="7"/>
  <c r="W436" i="7"/>
  <c r="R436" i="7"/>
  <c r="P436" i="7"/>
  <c r="K436" i="7"/>
  <c r="I436" i="7"/>
  <c r="Y435" i="7"/>
  <c r="W435" i="7"/>
  <c r="R435" i="7"/>
  <c r="P435" i="7"/>
  <c r="K435" i="7"/>
  <c r="I435" i="7"/>
  <c r="Y432" i="7"/>
  <c r="W432" i="7"/>
  <c r="R432" i="7"/>
  <c r="P432" i="7"/>
  <c r="K432" i="7"/>
  <c r="I432" i="7"/>
  <c r="Y431" i="7"/>
  <c r="W431" i="7"/>
  <c r="R431" i="7"/>
  <c r="P431" i="7"/>
  <c r="K431" i="7"/>
  <c r="I431" i="7"/>
  <c r="Y430" i="7"/>
  <c r="W430" i="7"/>
  <c r="R430" i="7"/>
  <c r="P430" i="7"/>
  <c r="K430" i="7"/>
  <c r="I430" i="7"/>
  <c r="Y429" i="7"/>
  <c r="W429" i="7"/>
  <c r="R429" i="7"/>
  <c r="P429" i="7"/>
  <c r="K429" i="7"/>
  <c r="I429" i="7"/>
  <c r="Y428" i="7"/>
  <c r="W428" i="7"/>
  <c r="R428" i="7"/>
  <c r="P428" i="7"/>
  <c r="K428" i="7"/>
  <c r="I428" i="7"/>
  <c r="Y425" i="7"/>
  <c r="W425" i="7"/>
  <c r="R425" i="7"/>
  <c r="P425" i="7"/>
  <c r="K425" i="7"/>
  <c r="I425" i="7"/>
  <c r="Y424" i="7"/>
  <c r="W424" i="7"/>
  <c r="R424" i="7"/>
  <c r="P424" i="7"/>
  <c r="K424" i="7"/>
  <c r="I424" i="7"/>
  <c r="Y423" i="7"/>
  <c r="W423" i="7"/>
  <c r="R423" i="7"/>
  <c r="P423" i="7"/>
  <c r="K423" i="7"/>
  <c r="I423" i="7"/>
  <c r="Y422" i="7"/>
  <c r="W422" i="7"/>
  <c r="R422" i="7"/>
  <c r="P422" i="7"/>
  <c r="K422" i="7"/>
  <c r="I422" i="7"/>
  <c r="Y421" i="7"/>
  <c r="W421" i="7"/>
  <c r="R421" i="7"/>
  <c r="P421" i="7"/>
  <c r="K421" i="7"/>
  <c r="I421" i="7"/>
  <c r="Y420" i="7"/>
  <c r="W420" i="7"/>
  <c r="R420" i="7"/>
  <c r="P420" i="7"/>
  <c r="K420" i="7"/>
  <c r="I420" i="7"/>
  <c r="Y417" i="7"/>
  <c r="W417" i="7"/>
  <c r="R417" i="7"/>
  <c r="P417" i="7"/>
  <c r="K417" i="7"/>
  <c r="I417" i="7"/>
  <c r="Y416" i="7"/>
  <c r="W416" i="7"/>
  <c r="R416" i="7"/>
  <c r="P416" i="7"/>
  <c r="K416" i="7"/>
  <c r="I416" i="7"/>
  <c r="Y415" i="7"/>
  <c r="W415" i="7"/>
  <c r="R415" i="7"/>
  <c r="P415" i="7"/>
  <c r="K415" i="7"/>
  <c r="I415" i="7"/>
  <c r="Y414" i="7"/>
  <c r="W414" i="7"/>
  <c r="R414" i="7"/>
  <c r="P414" i="7"/>
  <c r="K414" i="7"/>
  <c r="I414" i="7"/>
  <c r="Y411" i="7"/>
  <c r="W411" i="7"/>
  <c r="R411" i="7"/>
  <c r="P411" i="7"/>
  <c r="K411" i="7"/>
  <c r="I411" i="7"/>
  <c r="Y410" i="7"/>
  <c r="W410" i="7"/>
  <c r="R410" i="7"/>
  <c r="P410" i="7"/>
  <c r="K410" i="7"/>
  <c r="I410" i="7"/>
  <c r="Y409" i="7"/>
  <c r="W409" i="7"/>
  <c r="R409" i="7"/>
  <c r="P409" i="7"/>
  <c r="K409" i="7"/>
  <c r="I409" i="7"/>
  <c r="Y408" i="7"/>
  <c r="W408" i="7"/>
  <c r="R408" i="7"/>
  <c r="P408" i="7"/>
  <c r="K408" i="7"/>
  <c r="I408" i="7"/>
  <c r="Y407" i="7"/>
  <c r="W407" i="7"/>
  <c r="R407" i="7"/>
  <c r="P407" i="7"/>
  <c r="K407" i="7"/>
  <c r="I407" i="7"/>
  <c r="Y404" i="7"/>
  <c r="W404" i="7"/>
  <c r="R404" i="7"/>
  <c r="P404" i="7"/>
  <c r="K404" i="7"/>
  <c r="I404" i="7"/>
  <c r="Y403" i="7"/>
  <c r="W403" i="7"/>
  <c r="R403" i="7"/>
  <c r="P403" i="7"/>
  <c r="K403" i="7"/>
  <c r="I403" i="7"/>
  <c r="Y402" i="7"/>
  <c r="W402" i="7"/>
  <c r="R402" i="7"/>
  <c r="P402" i="7"/>
  <c r="K402" i="7"/>
  <c r="I402" i="7"/>
  <c r="Y401" i="7"/>
  <c r="W401" i="7"/>
  <c r="R401" i="7"/>
  <c r="P401" i="7"/>
  <c r="K401" i="7"/>
  <c r="I401" i="7"/>
  <c r="Y400" i="7"/>
  <c r="W400" i="7"/>
  <c r="R400" i="7"/>
  <c r="P400" i="7"/>
  <c r="K400" i="7"/>
  <c r="I400" i="7"/>
  <c r="Y399" i="7"/>
  <c r="W399" i="7"/>
  <c r="R399" i="7"/>
  <c r="P399" i="7"/>
  <c r="K399" i="7"/>
  <c r="I399" i="7"/>
  <c r="Y398" i="7"/>
  <c r="W398" i="7"/>
  <c r="R398" i="7"/>
  <c r="P398" i="7"/>
  <c r="K398" i="7"/>
  <c r="I398" i="7"/>
  <c r="Y397" i="7"/>
  <c r="W397" i="7"/>
  <c r="R397" i="7"/>
  <c r="P397" i="7"/>
  <c r="K397" i="7"/>
  <c r="I397" i="7"/>
  <c r="Y394" i="7"/>
  <c r="W394" i="7"/>
  <c r="R394" i="7"/>
  <c r="P394" i="7"/>
  <c r="K394" i="7"/>
  <c r="I394" i="7"/>
  <c r="Y393" i="7"/>
  <c r="W393" i="7"/>
  <c r="R393" i="7"/>
  <c r="P393" i="7"/>
  <c r="K393" i="7"/>
  <c r="I393" i="7"/>
  <c r="Y392" i="7"/>
  <c r="W392" i="7"/>
  <c r="R392" i="7"/>
  <c r="P392" i="7"/>
  <c r="K392" i="7"/>
  <c r="I392" i="7"/>
  <c r="Y391" i="7"/>
  <c r="W391" i="7"/>
  <c r="R391" i="7"/>
  <c r="P391" i="7"/>
  <c r="K391" i="7"/>
  <c r="I391" i="7"/>
  <c r="Y390" i="7"/>
  <c r="W390" i="7"/>
  <c r="R390" i="7"/>
  <c r="P390" i="7"/>
  <c r="K390" i="7"/>
  <c r="I390" i="7"/>
  <c r="Y389" i="7"/>
  <c r="W389" i="7"/>
  <c r="R389" i="7"/>
  <c r="P389" i="7"/>
  <c r="K389" i="7"/>
  <c r="I389" i="7"/>
  <c r="Y388" i="7"/>
  <c r="W388" i="7"/>
  <c r="R388" i="7"/>
  <c r="P388" i="7"/>
  <c r="K388" i="7"/>
  <c r="I388" i="7"/>
  <c r="Y387" i="7"/>
  <c r="W387" i="7"/>
  <c r="R387" i="7"/>
  <c r="P387" i="7"/>
  <c r="K387" i="7"/>
  <c r="I387" i="7"/>
  <c r="Y386" i="7"/>
  <c r="W386" i="7"/>
  <c r="R386" i="7"/>
  <c r="P386" i="7"/>
  <c r="K386" i="7"/>
  <c r="I386" i="7"/>
  <c r="Y382" i="7"/>
  <c r="W382" i="7"/>
  <c r="R382" i="7"/>
  <c r="P382" i="7"/>
  <c r="K382" i="7"/>
  <c r="I382" i="7"/>
  <c r="Y381" i="7"/>
  <c r="W381" i="7"/>
  <c r="R381" i="7"/>
  <c r="P381" i="7"/>
  <c r="K381" i="7"/>
  <c r="I381" i="7"/>
  <c r="Y380" i="7"/>
  <c r="W380" i="7"/>
  <c r="R380" i="7"/>
  <c r="P380" i="7"/>
  <c r="K380" i="7"/>
  <c r="I380" i="7"/>
  <c r="Y379" i="7"/>
  <c r="W379" i="7"/>
  <c r="R379" i="7"/>
  <c r="P379" i="7"/>
  <c r="K379" i="7"/>
  <c r="I379" i="7"/>
  <c r="Y378" i="7"/>
  <c r="W378" i="7"/>
  <c r="R378" i="7"/>
  <c r="P378" i="7"/>
  <c r="K378" i="7"/>
  <c r="I378" i="7"/>
  <c r="Y377" i="7"/>
  <c r="W377" i="7"/>
  <c r="R377" i="7"/>
  <c r="P377" i="7"/>
  <c r="K377" i="7"/>
  <c r="I377" i="7"/>
  <c r="Y374" i="7"/>
  <c r="W374" i="7"/>
  <c r="R374" i="7"/>
  <c r="P374" i="7"/>
  <c r="K374" i="7"/>
  <c r="I374" i="7"/>
  <c r="Y373" i="7"/>
  <c r="W373" i="7"/>
  <c r="R373" i="7"/>
  <c r="P373" i="7"/>
  <c r="K373" i="7"/>
  <c r="I373" i="7"/>
  <c r="Y372" i="7"/>
  <c r="W372" i="7"/>
  <c r="R372" i="7"/>
  <c r="P372" i="7"/>
  <c r="K372" i="7"/>
  <c r="I372" i="7"/>
  <c r="Y371" i="7"/>
  <c r="W371" i="7"/>
  <c r="R371" i="7"/>
  <c r="P371" i="7"/>
  <c r="K371" i="7"/>
  <c r="I371" i="7"/>
  <c r="Y370" i="7"/>
  <c r="W370" i="7"/>
  <c r="R370" i="7"/>
  <c r="P370" i="7"/>
  <c r="K370" i="7"/>
  <c r="I370" i="7"/>
  <c r="Y369" i="7"/>
  <c r="W369" i="7"/>
  <c r="R369" i="7"/>
  <c r="P369" i="7"/>
  <c r="K369" i="7"/>
  <c r="I369" i="7"/>
  <c r="Y366" i="7"/>
  <c r="W366" i="7"/>
  <c r="R366" i="7"/>
  <c r="P366" i="7"/>
  <c r="K366" i="7"/>
  <c r="I366" i="7"/>
  <c r="Y365" i="7"/>
  <c r="W365" i="7"/>
  <c r="R365" i="7"/>
  <c r="P365" i="7"/>
  <c r="K365" i="7"/>
  <c r="I365" i="7"/>
  <c r="Y364" i="7"/>
  <c r="W364" i="7"/>
  <c r="R364" i="7"/>
  <c r="P364" i="7"/>
  <c r="K364" i="7"/>
  <c r="I364" i="7"/>
  <c r="Y363" i="7"/>
  <c r="W363" i="7"/>
  <c r="R363" i="7"/>
  <c r="P363" i="7"/>
  <c r="K363" i="7"/>
  <c r="I363" i="7"/>
  <c r="Y362" i="7"/>
  <c r="W362" i="7"/>
  <c r="R362" i="7"/>
  <c r="P362" i="7"/>
  <c r="K362" i="7"/>
  <c r="I362" i="7"/>
  <c r="Y361" i="7"/>
  <c r="W361" i="7"/>
  <c r="R361" i="7"/>
  <c r="P361" i="7"/>
  <c r="K361" i="7"/>
  <c r="I361" i="7"/>
  <c r="Y358" i="7"/>
  <c r="W358" i="7"/>
  <c r="R358" i="7"/>
  <c r="P358" i="7"/>
  <c r="K358" i="7"/>
  <c r="I358" i="7"/>
  <c r="Y357" i="7"/>
  <c r="W357" i="7"/>
  <c r="R357" i="7"/>
  <c r="P357" i="7"/>
  <c r="K357" i="7"/>
  <c r="I357" i="7"/>
  <c r="Y356" i="7"/>
  <c r="W356" i="7"/>
  <c r="R356" i="7"/>
  <c r="P356" i="7"/>
  <c r="K356" i="7"/>
  <c r="I356" i="7"/>
  <c r="Y355" i="7"/>
  <c r="W355" i="7"/>
  <c r="R355" i="7"/>
  <c r="P355" i="7"/>
  <c r="K355" i="7"/>
  <c r="I355" i="7"/>
  <c r="Y354" i="7"/>
  <c r="W354" i="7"/>
  <c r="R354" i="7"/>
  <c r="P354" i="7"/>
  <c r="K354" i="7"/>
  <c r="I354" i="7"/>
  <c r="Y353" i="7"/>
  <c r="W353" i="7"/>
  <c r="R353" i="7"/>
  <c r="P353" i="7"/>
  <c r="K353" i="7"/>
  <c r="I353" i="7"/>
  <c r="Y350" i="7"/>
  <c r="W350" i="7"/>
  <c r="R350" i="7"/>
  <c r="P350" i="7"/>
  <c r="K350" i="7"/>
  <c r="I350" i="7"/>
  <c r="Y349" i="7"/>
  <c r="W349" i="7"/>
  <c r="R349" i="7"/>
  <c r="P349" i="7"/>
  <c r="K349" i="7"/>
  <c r="I349" i="7"/>
  <c r="Y348" i="7"/>
  <c r="W348" i="7"/>
  <c r="R348" i="7"/>
  <c r="P348" i="7"/>
  <c r="K348" i="7"/>
  <c r="I348" i="7"/>
  <c r="Y347" i="7"/>
  <c r="W347" i="7"/>
  <c r="R347" i="7"/>
  <c r="P347" i="7"/>
  <c r="K347" i="7"/>
  <c r="I347" i="7"/>
  <c r="Y346" i="7"/>
  <c r="W346" i="7"/>
  <c r="R346" i="7"/>
  <c r="P346" i="7"/>
  <c r="K346" i="7"/>
  <c r="I346" i="7"/>
  <c r="Y345" i="7"/>
  <c r="W345" i="7"/>
  <c r="R345" i="7"/>
  <c r="P345" i="7"/>
  <c r="K345" i="7"/>
  <c r="I345" i="7"/>
  <c r="Y342" i="7"/>
  <c r="W342" i="7"/>
  <c r="R342" i="7"/>
  <c r="P342" i="7"/>
  <c r="K342" i="7"/>
  <c r="I342" i="7"/>
  <c r="Y341" i="7"/>
  <c r="W341" i="7"/>
  <c r="R341" i="7"/>
  <c r="P341" i="7"/>
  <c r="K341" i="7"/>
  <c r="I341" i="7"/>
  <c r="Y340" i="7"/>
  <c r="W340" i="7"/>
  <c r="R340" i="7"/>
  <c r="P340" i="7"/>
  <c r="K340" i="7"/>
  <c r="I340" i="7"/>
  <c r="Y339" i="7"/>
  <c r="W339" i="7"/>
  <c r="R339" i="7"/>
  <c r="P339" i="7"/>
  <c r="K339" i="7"/>
  <c r="I339" i="7"/>
  <c r="Y338" i="7"/>
  <c r="W338" i="7"/>
  <c r="R338" i="7"/>
  <c r="P338" i="7"/>
  <c r="K338" i="7"/>
  <c r="I338" i="7"/>
  <c r="Y337" i="7"/>
  <c r="W337" i="7"/>
  <c r="R337" i="7"/>
  <c r="P337" i="7"/>
  <c r="K337" i="7"/>
  <c r="I337" i="7"/>
  <c r="Y334" i="7"/>
  <c r="W334" i="7"/>
  <c r="R334" i="7"/>
  <c r="P334" i="7"/>
  <c r="K334" i="7"/>
  <c r="I334" i="7"/>
  <c r="Y333" i="7"/>
  <c r="W333" i="7"/>
  <c r="R333" i="7"/>
  <c r="P333" i="7"/>
  <c r="K333" i="7"/>
  <c r="I333" i="7"/>
  <c r="Y332" i="7"/>
  <c r="W332" i="7"/>
  <c r="R332" i="7"/>
  <c r="P332" i="7"/>
  <c r="K332" i="7"/>
  <c r="I332" i="7"/>
  <c r="Y331" i="7"/>
  <c r="W331" i="7"/>
  <c r="R331" i="7"/>
  <c r="P331" i="7"/>
  <c r="K331" i="7"/>
  <c r="I331" i="7"/>
  <c r="Y330" i="7"/>
  <c r="W330" i="7"/>
  <c r="R330" i="7"/>
  <c r="P330" i="7"/>
  <c r="K330" i="7"/>
  <c r="I330" i="7"/>
  <c r="Y329" i="7"/>
  <c r="W329" i="7"/>
  <c r="R329" i="7"/>
  <c r="P329" i="7"/>
  <c r="K329" i="7"/>
  <c r="I329" i="7"/>
  <c r="Y326" i="7"/>
  <c r="W326" i="7"/>
  <c r="R326" i="7"/>
  <c r="P326" i="7"/>
  <c r="K326" i="7"/>
  <c r="I326" i="7"/>
  <c r="Y325" i="7"/>
  <c r="W325" i="7"/>
  <c r="R325" i="7"/>
  <c r="P325" i="7"/>
  <c r="K325" i="7"/>
  <c r="I325" i="7"/>
  <c r="Y324" i="7"/>
  <c r="W324" i="7"/>
  <c r="R324" i="7"/>
  <c r="P324" i="7"/>
  <c r="K324" i="7"/>
  <c r="I324" i="7"/>
  <c r="Y323" i="7"/>
  <c r="W323" i="7"/>
  <c r="R323" i="7"/>
  <c r="P323" i="7"/>
  <c r="K323" i="7"/>
  <c r="I323" i="7"/>
  <c r="Y322" i="7"/>
  <c r="W322" i="7"/>
  <c r="R322" i="7"/>
  <c r="P322" i="7"/>
  <c r="K322" i="7"/>
  <c r="I322" i="7"/>
  <c r="Y321" i="7"/>
  <c r="W321" i="7"/>
  <c r="R321" i="7"/>
  <c r="P321" i="7"/>
  <c r="K321" i="7"/>
  <c r="I321" i="7"/>
  <c r="Y318" i="7"/>
  <c r="W318" i="7"/>
  <c r="R318" i="7"/>
  <c r="P318" i="7"/>
  <c r="K318" i="7"/>
  <c r="I318" i="7"/>
  <c r="Y317" i="7"/>
  <c r="W317" i="7"/>
  <c r="R317" i="7"/>
  <c r="P317" i="7"/>
  <c r="K317" i="7"/>
  <c r="I317" i="7"/>
  <c r="Y316" i="7"/>
  <c r="W316" i="7"/>
  <c r="R316" i="7"/>
  <c r="P316" i="7"/>
  <c r="K316" i="7"/>
  <c r="I316" i="7"/>
  <c r="Y315" i="7"/>
  <c r="W315" i="7"/>
  <c r="R315" i="7"/>
  <c r="P315" i="7"/>
  <c r="K315" i="7"/>
  <c r="I315" i="7"/>
  <c r="Y314" i="7"/>
  <c r="W314" i="7"/>
  <c r="R314" i="7"/>
  <c r="P314" i="7"/>
  <c r="K314" i="7"/>
  <c r="I314" i="7"/>
  <c r="Y313" i="7"/>
  <c r="W313" i="7"/>
  <c r="R313" i="7"/>
  <c r="P313" i="7"/>
  <c r="K313" i="7"/>
  <c r="I313" i="7"/>
  <c r="Y310" i="7"/>
  <c r="W310" i="7"/>
  <c r="R310" i="7"/>
  <c r="P310" i="7"/>
  <c r="K310" i="7"/>
  <c r="I310" i="7"/>
  <c r="Y309" i="7"/>
  <c r="W309" i="7"/>
  <c r="R309" i="7"/>
  <c r="P309" i="7"/>
  <c r="K309" i="7"/>
  <c r="I309" i="7"/>
  <c r="Y308" i="7"/>
  <c r="W308" i="7"/>
  <c r="R308" i="7"/>
  <c r="P308" i="7"/>
  <c r="K308" i="7"/>
  <c r="I308" i="7"/>
  <c r="Y307" i="7"/>
  <c r="W307" i="7"/>
  <c r="R307" i="7"/>
  <c r="P307" i="7"/>
  <c r="K307" i="7"/>
  <c r="I307" i="7"/>
  <c r="Y306" i="7"/>
  <c r="W306" i="7"/>
  <c r="R306" i="7"/>
  <c r="P306" i="7"/>
  <c r="K306" i="7"/>
  <c r="I306" i="7"/>
  <c r="Y305" i="7"/>
  <c r="W305" i="7"/>
  <c r="R305" i="7"/>
  <c r="P305" i="7"/>
  <c r="K305" i="7"/>
  <c r="I305" i="7"/>
  <c r="Y294" i="7"/>
  <c r="W294" i="7"/>
  <c r="R294" i="7"/>
  <c r="P294" i="7"/>
  <c r="K294" i="7"/>
  <c r="I294" i="7"/>
  <c r="Y293" i="7"/>
  <c r="W293" i="7"/>
  <c r="R293" i="7"/>
  <c r="P293" i="7"/>
  <c r="K293" i="7"/>
  <c r="I293" i="7"/>
  <c r="Y292" i="7"/>
  <c r="W292" i="7"/>
  <c r="R292" i="7"/>
  <c r="P292" i="7"/>
  <c r="K292" i="7"/>
  <c r="I292" i="7"/>
  <c r="Y291" i="7"/>
  <c r="W291" i="7"/>
  <c r="R291" i="7"/>
  <c r="P291" i="7"/>
  <c r="K291" i="7"/>
  <c r="I291" i="7"/>
  <c r="Y290" i="7"/>
  <c r="W290" i="7"/>
  <c r="R290" i="7"/>
  <c r="P290" i="7"/>
  <c r="K290" i="7"/>
  <c r="I290" i="7"/>
  <c r="Y286" i="7"/>
  <c r="W286" i="7"/>
  <c r="R286" i="7"/>
  <c r="P286" i="7"/>
  <c r="K286" i="7"/>
  <c r="I286" i="7"/>
  <c r="Y285" i="7"/>
  <c r="W285" i="7"/>
  <c r="R285" i="7"/>
  <c r="P285" i="7"/>
  <c r="K285" i="7"/>
  <c r="I285" i="7"/>
  <c r="Y284" i="7"/>
  <c r="W284" i="7"/>
  <c r="R284" i="7"/>
  <c r="P284" i="7"/>
  <c r="K284" i="7"/>
  <c r="I284" i="7"/>
  <c r="Y283" i="7"/>
  <c r="W283" i="7"/>
  <c r="R283" i="7"/>
  <c r="P283" i="7"/>
  <c r="K283" i="7"/>
  <c r="I283" i="7"/>
  <c r="Y282" i="7"/>
  <c r="W282" i="7"/>
  <c r="R282" i="7"/>
  <c r="P282" i="7"/>
  <c r="K282" i="7"/>
  <c r="I282" i="7"/>
  <c r="Y281" i="7"/>
  <c r="W281" i="7"/>
  <c r="R281" i="7"/>
  <c r="P281" i="7"/>
  <c r="K281" i="7"/>
  <c r="I281" i="7"/>
  <c r="Y280" i="7"/>
  <c r="W280" i="7"/>
  <c r="R280" i="7"/>
  <c r="P280" i="7"/>
  <c r="K280" i="7"/>
  <c r="I280" i="7"/>
  <c r="Y279" i="7"/>
  <c r="W279" i="7"/>
  <c r="R279" i="7"/>
  <c r="P279" i="7"/>
  <c r="K279" i="7"/>
  <c r="I279" i="7"/>
  <c r="Y278" i="7"/>
  <c r="W278" i="7"/>
  <c r="R278" i="7"/>
  <c r="P278" i="7"/>
  <c r="K278" i="7"/>
  <c r="I278" i="7"/>
  <c r="Y277" i="7"/>
  <c r="W277" i="7"/>
  <c r="R277" i="7"/>
  <c r="P277" i="7"/>
  <c r="K277" i="7"/>
  <c r="I277" i="7"/>
  <c r="Y276" i="7"/>
  <c r="W276" i="7"/>
  <c r="R276" i="7"/>
  <c r="P276" i="7"/>
  <c r="K276" i="7"/>
  <c r="I276" i="7"/>
  <c r="Y275" i="7"/>
  <c r="W275" i="7"/>
  <c r="R275" i="7"/>
  <c r="P275" i="7"/>
  <c r="K275" i="7"/>
  <c r="I275" i="7"/>
  <c r="Y274" i="7"/>
  <c r="W274" i="7"/>
  <c r="R274" i="7"/>
  <c r="P274" i="7"/>
  <c r="K274" i="7"/>
  <c r="I274" i="7"/>
  <c r="Y273" i="7"/>
  <c r="W273" i="7"/>
  <c r="R273" i="7"/>
  <c r="P273" i="7"/>
  <c r="K273" i="7"/>
  <c r="I273" i="7"/>
  <c r="Y269" i="7"/>
  <c r="W269" i="7"/>
  <c r="R269" i="7"/>
  <c r="P269" i="7"/>
  <c r="K269" i="7"/>
  <c r="I269" i="7"/>
  <c r="Y268" i="7"/>
  <c r="W268" i="7"/>
  <c r="R268" i="7"/>
  <c r="P268" i="7"/>
  <c r="K268" i="7"/>
  <c r="I268" i="7"/>
  <c r="Y267" i="7"/>
  <c r="W267" i="7"/>
  <c r="R267" i="7"/>
  <c r="P267" i="7"/>
  <c r="K267" i="7"/>
  <c r="I267" i="7"/>
  <c r="Y266" i="7"/>
  <c r="W266" i="7"/>
  <c r="R266" i="7"/>
  <c r="P266" i="7"/>
  <c r="K266" i="7"/>
  <c r="I266" i="7"/>
  <c r="Y265" i="7"/>
  <c r="W265" i="7"/>
  <c r="R265" i="7"/>
  <c r="P265" i="7"/>
  <c r="K265" i="7"/>
  <c r="I265" i="7"/>
  <c r="Y264" i="7"/>
  <c r="W264" i="7"/>
  <c r="R264" i="7"/>
  <c r="P264" i="7"/>
  <c r="K264" i="7"/>
  <c r="I264" i="7"/>
  <c r="Y260" i="7"/>
  <c r="W260" i="7"/>
  <c r="R260" i="7"/>
  <c r="P260" i="7"/>
  <c r="K260" i="7"/>
  <c r="I260" i="7"/>
  <c r="Y259" i="7"/>
  <c r="W259" i="7"/>
  <c r="R259" i="7"/>
  <c r="P259" i="7"/>
  <c r="K259" i="7"/>
  <c r="I259" i="7"/>
  <c r="Y258" i="7"/>
  <c r="W258" i="7"/>
  <c r="R258" i="7"/>
  <c r="P258" i="7"/>
  <c r="K258" i="7"/>
  <c r="I258" i="7"/>
  <c r="Y257" i="7"/>
  <c r="W257" i="7"/>
  <c r="R257" i="7"/>
  <c r="P257" i="7"/>
  <c r="K257" i="7"/>
  <c r="I257" i="7"/>
  <c r="Y256" i="7"/>
  <c r="W256" i="7"/>
  <c r="R256" i="7"/>
  <c r="P256" i="7"/>
  <c r="K256" i="7"/>
  <c r="I256" i="7"/>
  <c r="Y255" i="7"/>
  <c r="W255" i="7"/>
  <c r="R255" i="7"/>
  <c r="P255" i="7"/>
  <c r="K255" i="7"/>
  <c r="I255" i="7"/>
  <c r="Y254" i="7"/>
  <c r="W254" i="7"/>
  <c r="R254" i="7"/>
  <c r="P254" i="7"/>
  <c r="K254" i="7"/>
  <c r="I254" i="7"/>
  <c r="Y253" i="7"/>
  <c r="W253" i="7"/>
  <c r="R253" i="7"/>
  <c r="P253" i="7"/>
  <c r="K253" i="7"/>
  <c r="I253" i="7"/>
  <c r="Y252" i="7"/>
  <c r="W252" i="7"/>
  <c r="R252" i="7"/>
  <c r="P252" i="7"/>
  <c r="K252" i="7"/>
  <c r="I252" i="7"/>
  <c r="Y248" i="7"/>
  <c r="W248" i="7"/>
  <c r="R248" i="7"/>
  <c r="P248" i="7"/>
  <c r="K248" i="7"/>
  <c r="I248" i="7"/>
  <c r="Y247" i="7"/>
  <c r="W247" i="7"/>
  <c r="R247" i="7"/>
  <c r="P247" i="7"/>
  <c r="K247" i="7"/>
  <c r="I247" i="7"/>
  <c r="Y246" i="7"/>
  <c r="W246" i="7"/>
  <c r="R246" i="7"/>
  <c r="P246" i="7"/>
  <c r="K246" i="7"/>
  <c r="I246" i="7"/>
  <c r="Y245" i="7"/>
  <c r="W245" i="7"/>
  <c r="R245" i="7"/>
  <c r="P245" i="7"/>
  <c r="K245" i="7"/>
  <c r="I245" i="7"/>
  <c r="Y244" i="7"/>
  <c r="W244" i="7"/>
  <c r="R244" i="7"/>
  <c r="P244" i="7"/>
  <c r="K244" i="7"/>
  <c r="I244" i="7"/>
  <c r="Y240" i="7"/>
  <c r="W240" i="7"/>
  <c r="R240" i="7"/>
  <c r="P240" i="7"/>
  <c r="K240" i="7"/>
  <c r="I240" i="7"/>
  <c r="Y239" i="7"/>
  <c r="W239" i="7"/>
  <c r="R239" i="7"/>
  <c r="P239" i="7"/>
  <c r="K239" i="7"/>
  <c r="I239" i="7"/>
  <c r="Y238" i="7"/>
  <c r="W238" i="7"/>
  <c r="R238" i="7"/>
  <c r="P238" i="7"/>
  <c r="K238" i="7"/>
  <c r="I238" i="7"/>
  <c r="Y237" i="7"/>
  <c r="W237" i="7"/>
  <c r="R237" i="7"/>
  <c r="P237" i="7"/>
  <c r="K237" i="7"/>
  <c r="I237" i="7"/>
  <c r="Y236" i="7"/>
  <c r="W236" i="7"/>
  <c r="R236" i="7"/>
  <c r="P236" i="7"/>
  <c r="K236" i="7"/>
  <c r="I236" i="7"/>
  <c r="Y235" i="7"/>
  <c r="W235" i="7"/>
  <c r="R235" i="7"/>
  <c r="P235" i="7"/>
  <c r="K235" i="7"/>
  <c r="I235" i="7"/>
  <c r="Y231" i="7"/>
  <c r="W231" i="7"/>
  <c r="R231" i="7"/>
  <c r="P231" i="7"/>
  <c r="K231" i="7"/>
  <c r="I231" i="7"/>
  <c r="Y230" i="7"/>
  <c r="W230" i="7"/>
  <c r="R230" i="7"/>
  <c r="P230" i="7"/>
  <c r="K230" i="7"/>
  <c r="I230" i="7"/>
  <c r="Y229" i="7"/>
  <c r="W229" i="7"/>
  <c r="R229" i="7"/>
  <c r="P229" i="7"/>
  <c r="K229" i="7"/>
  <c r="I229" i="7"/>
  <c r="Y228" i="7"/>
  <c r="W228" i="7"/>
  <c r="R228" i="7"/>
  <c r="P228" i="7"/>
  <c r="K228" i="7"/>
  <c r="I228" i="7"/>
  <c r="Y227" i="7"/>
  <c r="W227" i="7"/>
  <c r="R227" i="7"/>
  <c r="P227" i="7"/>
  <c r="K227" i="7"/>
  <c r="I227" i="7"/>
  <c r="Y226" i="7"/>
  <c r="W226" i="7"/>
  <c r="R226" i="7"/>
  <c r="P226" i="7"/>
  <c r="K226" i="7"/>
  <c r="I226" i="7"/>
  <c r="Y225" i="7"/>
  <c r="W225" i="7"/>
  <c r="R225" i="7"/>
  <c r="P225" i="7"/>
  <c r="K225" i="7"/>
  <c r="I225" i="7"/>
  <c r="Y224" i="7"/>
  <c r="W224" i="7"/>
  <c r="R224" i="7"/>
  <c r="P224" i="7"/>
  <c r="K224" i="7"/>
  <c r="I224" i="7"/>
  <c r="Y223" i="7"/>
  <c r="W223" i="7"/>
  <c r="R223" i="7"/>
  <c r="P223" i="7"/>
  <c r="K223" i="7"/>
  <c r="I223" i="7"/>
  <c r="Y222" i="7"/>
  <c r="W222" i="7"/>
  <c r="R222" i="7"/>
  <c r="P222" i="7"/>
  <c r="K222" i="7"/>
  <c r="I222" i="7"/>
  <c r="Y217" i="7"/>
  <c r="W217" i="7"/>
  <c r="R217" i="7"/>
  <c r="P217" i="7"/>
  <c r="K217" i="7"/>
  <c r="I217" i="7"/>
  <c r="Y216" i="7"/>
  <c r="W216" i="7"/>
  <c r="R216" i="7"/>
  <c r="P216" i="7"/>
  <c r="K216" i="7"/>
  <c r="I216" i="7"/>
  <c r="Y215" i="7"/>
  <c r="W215" i="7"/>
  <c r="R215" i="7"/>
  <c r="P215" i="7"/>
  <c r="K215" i="7"/>
  <c r="I215" i="7"/>
  <c r="Y211" i="7"/>
  <c r="W211" i="7"/>
  <c r="R211" i="7"/>
  <c r="P211" i="7"/>
  <c r="K211" i="7"/>
  <c r="I211" i="7"/>
  <c r="Y210" i="7"/>
  <c r="W210" i="7"/>
  <c r="R210" i="7"/>
  <c r="P210" i="7"/>
  <c r="K210" i="7"/>
  <c r="I210" i="7"/>
  <c r="Y209" i="7"/>
  <c r="W209" i="7"/>
  <c r="R209" i="7"/>
  <c r="P209" i="7"/>
  <c r="K209" i="7"/>
  <c r="I209" i="7"/>
  <c r="Y205" i="7"/>
  <c r="W205" i="7"/>
  <c r="R205" i="7"/>
  <c r="P205" i="7"/>
  <c r="K205" i="7"/>
  <c r="I205" i="7"/>
  <c r="Y204" i="7"/>
  <c r="W204" i="7"/>
  <c r="R204" i="7"/>
  <c r="P204" i="7"/>
  <c r="K204" i="7"/>
  <c r="I204" i="7"/>
  <c r="Y203" i="7"/>
  <c r="W203" i="7"/>
  <c r="R203" i="7"/>
  <c r="P203" i="7"/>
  <c r="K203" i="7"/>
  <c r="I203" i="7"/>
  <c r="Y202" i="7"/>
  <c r="W202" i="7"/>
  <c r="R202" i="7"/>
  <c r="P202" i="7"/>
  <c r="K202" i="7"/>
  <c r="I202" i="7"/>
  <c r="Y198" i="7"/>
  <c r="W198" i="7"/>
  <c r="R198" i="7"/>
  <c r="P198" i="7"/>
  <c r="K198" i="7"/>
  <c r="I198" i="7"/>
  <c r="Y197" i="7"/>
  <c r="W197" i="7"/>
  <c r="R197" i="7"/>
  <c r="P197" i="7"/>
  <c r="K197" i="7"/>
  <c r="I197" i="7"/>
  <c r="Y196" i="7"/>
  <c r="W196" i="7"/>
  <c r="R196" i="7"/>
  <c r="P196" i="7"/>
  <c r="K196" i="7"/>
  <c r="I196" i="7"/>
  <c r="Y195" i="7"/>
  <c r="W195" i="7"/>
  <c r="R195" i="7"/>
  <c r="P195" i="7"/>
  <c r="K195" i="7"/>
  <c r="I195" i="7"/>
  <c r="Y190" i="7"/>
  <c r="W190" i="7"/>
  <c r="R190" i="7"/>
  <c r="P190" i="7"/>
  <c r="K190" i="7"/>
  <c r="I190" i="7"/>
  <c r="Y189" i="7"/>
  <c r="W189" i="7"/>
  <c r="R189" i="7"/>
  <c r="P189" i="7"/>
  <c r="K189" i="7"/>
  <c r="I189" i="7"/>
  <c r="Y188" i="7"/>
  <c r="W188" i="7"/>
  <c r="R188" i="7"/>
  <c r="P188" i="7"/>
  <c r="K188" i="7"/>
  <c r="I188" i="7"/>
  <c r="Y187" i="7"/>
  <c r="W187" i="7"/>
  <c r="R187" i="7"/>
  <c r="P187" i="7"/>
  <c r="K187" i="7"/>
  <c r="I187" i="7"/>
  <c r="Y186" i="7"/>
  <c r="W186" i="7"/>
  <c r="R186" i="7"/>
  <c r="P186" i="7"/>
  <c r="K186" i="7"/>
  <c r="I186" i="7"/>
  <c r="Y185" i="7"/>
  <c r="W185" i="7"/>
  <c r="R185" i="7"/>
  <c r="P185" i="7"/>
  <c r="K185" i="7"/>
  <c r="I185" i="7"/>
  <c r="Y184" i="7"/>
  <c r="W184" i="7"/>
  <c r="R184" i="7"/>
  <c r="P184" i="7"/>
  <c r="K184" i="7"/>
  <c r="I184" i="7"/>
  <c r="Y183" i="7"/>
  <c r="W183" i="7"/>
  <c r="R183" i="7"/>
  <c r="P183" i="7"/>
  <c r="K183" i="7"/>
  <c r="I183" i="7"/>
  <c r="Y182" i="7"/>
  <c r="W182" i="7"/>
  <c r="R182" i="7"/>
  <c r="P182" i="7"/>
  <c r="K182" i="7"/>
  <c r="I182" i="7"/>
  <c r="Y178" i="7"/>
  <c r="W178" i="7"/>
  <c r="R178" i="7"/>
  <c r="P178" i="7"/>
  <c r="K178" i="7"/>
  <c r="I178" i="7"/>
  <c r="Y177" i="7"/>
  <c r="W177" i="7"/>
  <c r="R177" i="7"/>
  <c r="P177" i="7"/>
  <c r="K177" i="7"/>
  <c r="I177" i="7"/>
  <c r="Y176" i="7"/>
  <c r="W176" i="7"/>
  <c r="R176" i="7"/>
  <c r="P176" i="7"/>
  <c r="K176" i="7"/>
  <c r="I176" i="7"/>
  <c r="Y175" i="7"/>
  <c r="W175" i="7"/>
  <c r="R175" i="7"/>
  <c r="P175" i="7"/>
  <c r="K175" i="7"/>
  <c r="I175" i="7"/>
  <c r="Y171" i="7"/>
  <c r="W171" i="7"/>
  <c r="R171" i="7"/>
  <c r="P171" i="7"/>
  <c r="K171" i="7"/>
  <c r="I171" i="7"/>
  <c r="Y170" i="7"/>
  <c r="W170" i="7"/>
  <c r="R170" i="7"/>
  <c r="P170" i="7"/>
  <c r="K170" i="7"/>
  <c r="I170" i="7"/>
  <c r="Y169" i="7"/>
  <c r="W169" i="7"/>
  <c r="R169" i="7"/>
  <c r="P169" i="7"/>
  <c r="K169" i="7"/>
  <c r="I169" i="7"/>
  <c r="Y168" i="7"/>
  <c r="W168" i="7"/>
  <c r="R168" i="7"/>
  <c r="P168" i="7"/>
  <c r="K168" i="7"/>
  <c r="I168" i="7"/>
  <c r="Y164" i="7"/>
  <c r="W164" i="7"/>
  <c r="R164" i="7"/>
  <c r="P164" i="7"/>
  <c r="K164" i="7"/>
  <c r="I164" i="7"/>
  <c r="Y163" i="7"/>
  <c r="W163" i="7"/>
  <c r="R163" i="7"/>
  <c r="P163" i="7"/>
  <c r="K163" i="7"/>
  <c r="I163" i="7"/>
  <c r="Y162" i="7"/>
  <c r="W162" i="7"/>
  <c r="R162" i="7"/>
  <c r="P162" i="7"/>
  <c r="K162" i="7"/>
  <c r="I162" i="7"/>
  <c r="Y161" i="7"/>
  <c r="W161" i="7"/>
  <c r="R161" i="7"/>
  <c r="P161" i="7"/>
  <c r="K161" i="7"/>
  <c r="I161" i="7"/>
  <c r="Y160" i="7"/>
  <c r="W160" i="7"/>
  <c r="R160" i="7"/>
  <c r="P160" i="7"/>
  <c r="K160" i="7"/>
  <c r="I160" i="7"/>
  <c r="Y159" i="7"/>
  <c r="W159" i="7"/>
  <c r="R159" i="7"/>
  <c r="P159" i="7"/>
  <c r="K159" i="7"/>
  <c r="I159" i="7"/>
  <c r="Y158" i="7"/>
  <c r="W158" i="7"/>
  <c r="R158" i="7"/>
  <c r="P158" i="7"/>
  <c r="K158" i="7"/>
  <c r="I158" i="7"/>
  <c r="Y157" i="7"/>
  <c r="W157" i="7"/>
  <c r="R157" i="7"/>
  <c r="P157" i="7"/>
  <c r="K157" i="7"/>
  <c r="I157" i="7"/>
  <c r="Y156" i="7"/>
  <c r="W156" i="7"/>
  <c r="R156" i="7"/>
  <c r="P156" i="7"/>
  <c r="K156" i="7"/>
  <c r="I156" i="7"/>
  <c r="Y155" i="7"/>
  <c r="W155" i="7"/>
  <c r="R155" i="7"/>
  <c r="P155" i="7"/>
  <c r="K155" i="7"/>
  <c r="I155" i="7"/>
  <c r="Y154" i="7"/>
  <c r="W154" i="7"/>
  <c r="R154" i="7"/>
  <c r="P154" i="7"/>
  <c r="K154" i="7"/>
  <c r="I154" i="7"/>
  <c r="Y153" i="7"/>
  <c r="W153" i="7"/>
  <c r="R153" i="7"/>
  <c r="P153" i="7"/>
  <c r="K153" i="7"/>
  <c r="I153" i="7"/>
  <c r="Y147" i="7"/>
  <c r="W147" i="7"/>
  <c r="R147" i="7"/>
  <c r="P147" i="7"/>
  <c r="K147" i="7"/>
  <c r="I147" i="7"/>
  <c r="Y146" i="7"/>
  <c r="W146" i="7"/>
  <c r="R146" i="7"/>
  <c r="P146" i="7"/>
  <c r="K146" i="7"/>
  <c r="I146" i="7"/>
  <c r="Y145" i="7"/>
  <c r="W145" i="7"/>
  <c r="R145" i="7"/>
  <c r="P145" i="7"/>
  <c r="K145" i="7"/>
  <c r="I145" i="7"/>
  <c r="Y144" i="7"/>
  <c r="W144" i="7"/>
  <c r="R144" i="7"/>
  <c r="P144" i="7"/>
  <c r="K144" i="7"/>
  <c r="I144" i="7"/>
  <c r="Y140" i="7"/>
  <c r="W140" i="7"/>
  <c r="R140" i="7"/>
  <c r="P140" i="7"/>
  <c r="K140" i="7"/>
  <c r="I140" i="7"/>
  <c r="Y139" i="7"/>
  <c r="W139" i="7"/>
  <c r="R139" i="7"/>
  <c r="P139" i="7"/>
  <c r="K139" i="7"/>
  <c r="I139" i="7"/>
  <c r="Y138" i="7"/>
  <c r="W138" i="7"/>
  <c r="R138" i="7"/>
  <c r="P138" i="7"/>
  <c r="K138" i="7"/>
  <c r="I138" i="7"/>
  <c r="Y137" i="7"/>
  <c r="W137" i="7"/>
  <c r="R137" i="7"/>
  <c r="P137" i="7"/>
  <c r="K137" i="7"/>
  <c r="I137" i="7"/>
  <c r="Y136" i="7"/>
  <c r="W136" i="7"/>
  <c r="R136" i="7"/>
  <c r="P136" i="7"/>
  <c r="K136" i="7"/>
  <c r="I136" i="7"/>
  <c r="Y135" i="7"/>
  <c r="W135" i="7"/>
  <c r="R135" i="7"/>
  <c r="P135" i="7"/>
  <c r="K135" i="7"/>
  <c r="I135" i="7"/>
  <c r="Y134" i="7"/>
  <c r="W134" i="7"/>
  <c r="R134" i="7"/>
  <c r="P134" i="7"/>
  <c r="K134" i="7"/>
  <c r="I134" i="7"/>
  <c r="Y133" i="7"/>
  <c r="W133" i="7"/>
  <c r="R133" i="7"/>
  <c r="P133" i="7"/>
  <c r="K133" i="7"/>
  <c r="I133" i="7"/>
  <c r="Y132" i="7"/>
  <c r="W132" i="7"/>
  <c r="R132" i="7"/>
  <c r="P132" i="7"/>
  <c r="K132" i="7"/>
  <c r="I132" i="7"/>
  <c r="Y131" i="7"/>
  <c r="W131" i="7"/>
  <c r="R131" i="7"/>
  <c r="P131" i="7"/>
  <c r="K131" i="7"/>
  <c r="I131" i="7"/>
  <c r="Y130" i="7"/>
  <c r="W130" i="7"/>
  <c r="R130" i="7"/>
  <c r="P130" i="7"/>
  <c r="K130" i="7"/>
  <c r="I130" i="7"/>
  <c r="Y124" i="7"/>
  <c r="W124" i="7"/>
  <c r="R124" i="7"/>
  <c r="P124" i="7"/>
  <c r="K124" i="7"/>
  <c r="I124" i="7"/>
  <c r="Y123" i="7"/>
  <c r="W123" i="7"/>
  <c r="R123" i="7"/>
  <c r="P123" i="7"/>
  <c r="K123" i="7"/>
  <c r="I123" i="7"/>
  <c r="Y122" i="7"/>
  <c r="W122" i="7"/>
  <c r="R122" i="7"/>
  <c r="P122" i="7"/>
  <c r="K122" i="7"/>
  <c r="I122" i="7"/>
  <c r="Y121" i="7"/>
  <c r="W121" i="7"/>
  <c r="R121" i="7"/>
  <c r="P121" i="7"/>
  <c r="K121" i="7"/>
  <c r="I121" i="7"/>
  <c r="Y114" i="7"/>
  <c r="W114" i="7"/>
  <c r="R114" i="7"/>
  <c r="P114" i="7"/>
  <c r="K114" i="7"/>
  <c r="I114" i="7"/>
  <c r="Y113" i="7"/>
  <c r="W113" i="7"/>
  <c r="R113" i="7"/>
  <c r="P113" i="7"/>
  <c r="K113" i="7"/>
  <c r="I113" i="7"/>
  <c r="Y112" i="7"/>
  <c r="W112" i="7"/>
  <c r="R112" i="7"/>
  <c r="P112" i="7"/>
  <c r="K112" i="7"/>
  <c r="I112" i="7"/>
  <c r="Y111" i="7"/>
  <c r="W111" i="7"/>
  <c r="R111" i="7"/>
  <c r="P111" i="7"/>
  <c r="K111" i="7"/>
  <c r="I111" i="7"/>
  <c r="Y106" i="7"/>
  <c r="W106" i="7"/>
  <c r="R106" i="7"/>
  <c r="P106" i="7"/>
  <c r="K106" i="7"/>
  <c r="I106" i="7"/>
  <c r="Y105" i="7"/>
  <c r="W105" i="7"/>
  <c r="R105" i="7"/>
  <c r="P105" i="7"/>
  <c r="K105" i="7"/>
  <c r="I105" i="7"/>
  <c r="Y104" i="7"/>
  <c r="W104" i="7"/>
  <c r="R104" i="7"/>
  <c r="P104" i="7"/>
  <c r="K104" i="7"/>
  <c r="I104" i="7"/>
  <c r="Y103" i="7"/>
  <c r="W103" i="7"/>
  <c r="R103" i="7"/>
  <c r="P103" i="7"/>
  <c r="K103" i="7"/>
  <c r="I103" i="7"/>
  <c r="Y99" i="7"/>
  <c r="W99" i="7"/>
  <c r="R99" i="7"/>
  <c r="P99" i="7"/>
  <c r="K99" i="7"/>
  <c r="I99" i="7"/>
  <c r="Y98" i="7"/>
  <c r="W98" i="7"/>
  <c r="R98" i="7"/>
  <c r="P98" i="7"/>
  <c r="K98" i="7"/>
  <c r="I98" i="7"/>
  <c r="Y97" i="7"/>
  <c r="W97" i="7"/>
  <c r="R97" i="7"/>
  <c r="P97" i="7"/>
  <c r="K97" i="7"/>
  <c r="I97" i="7"/>
  <c r="Y96" i="7"/>
  <c r="W96" i="7"/>
  <c r="R96" i="7"/>
  <c r="P96" i="7"/>
  <c r="K96" i="7"/>
  <c r="I96" i="7"/>
  <c r="Y95" i="7"/>
  <c r="W95" i="7"/>
  <c r="R95" i="7"/>
  <c r="P95" i="7"/>
  <c r="K95" i="7"/>
  <c r="I95" i="7"/>
  <c r="Y94" i="7"/>
  <c r="W94" i="7"/>
  <c r="R94" i="7"/>
  <c r="P94" i="7"/>
  <c r="K94" i="7"/>
  <c r="I94" i="7"/>
  <c r="Y93" i="7"/>
  <c r="W93" i="7"/>
  <c r="R93" i="7"/>
  <c r="P93" i="7"/>
  <c r="K93" i="7"/>
  <c r="I93" i="7"/>
  <c r="Y92" i="7"/>
  <c r="W92" i="7"/>
  <c r="R92" i="7"/>
  <c r="P92" i="7"/>
  <c r="K92" i="7"/>
  <c r="I92" i="7"/>
  <c r="Y88" i="7"/>
  <c r="W88" i="7"/>
  <c r="R88" i="7"/>
  <c r="P88" i="7"/>
  <c r="K88" i="7"/>
  <c r="I88" i="7"/>
  <c r="Y87" i="7"/>
  <c r="W87" i="7"/>
  <c r="R87" i="7"/>
  <c r="P87" i="7"/>
  <c r="K87" i="7"/>
  <c r="I87" i="7"/>
  <c r="Y86" i="7"/>
  <c r="W86" i="7"/>
  <c r="R86" i="7"/>
  <c r="P86" i="7"/>
  <c r="K86" i="7"/>
  <c r="I86" i="7"/>
  <c r="Y85" i="7"/>
  <c r="W85" i="7"/>
  <c r="R85" i="7"/>
  <c r="P85" i="7"/>
  <c r="K85" i="7"/>
  <c r="I85" i="7"/>
  <c r="Y84" i="7"/>
  <c r="W84" i="7"/>
  <c r="R84" i="7"/>
  <c r="P84" i="7"/>
  <c r="K84" i="7"/>
  <c r="I84" i="7"/>
  <c r="Y83" i="7"/>
  <c r="W83" i="7"/>
  <c r="R83" i="7"/>
  <c r="P83" i="7"/>
  <c r="K83" i="7"/>
  <c r="I83" i="7"/>
  <c r="Y82" i="7"/>
  <c r="W82" i="7"/>
  <c r="R82" i="7"/>
  <c r="P82" i="7"/>
  <c r="K82" i="7"/>
  <c r="I82" i="7"/>
  <c r="Y81" i="7"/>
  <c r="W81" i="7"/>
  <c r="R81" i="7"/>
  <c r="P81" i="7"/>
  <c r="K81" i="7"/>
  <c r="I81" i="7"/>
  <c r="Y80" i="7"/>
  <c r="W80" i="7"/>
  <c r="R80" i="7"/>
  <c r="P80" i="7"/>
  <c r="K80" i="7"/>
  <c r="I80" i="7"/>
  <c r="Y79" i="7"/>
  <c r="W79" i="7"/>
  <c r="R79" i="7"/>
  <c r="P79" i="7"/>
  <c r="K79" i="7"/>
  <c r="I79" i="7"/>
  <c r="Y78" i="7"/>
  <c r="W78" i="7"/>
  <c r="R78" i="7"/>
  <c r="P78" i="7"/>
  <c r="K78" i="7"/>
  <c r="I78" i="7"/>
  <c r="Y73" i="7"/>
  <c r="W73" i="7"/>
  <c r="R73" i="7"/>
  <c r="P73" i="7"/>
  <c r="K73" i="7"/>
  <c r="I73" i="7"/>
  <c r="Y72" i="7"/>
  <c r="W72" i="7"/>
  <c r="R72" i="7"/>
  <c r="P72" i="7"/>
  <c r="K72" i="7"/>
  <c r="I72" i="7"/>
  <c r="Y71" i="7"/>
  <c r="W71" i="7"/>
  <c r="R71" i="7"/>
  <c r="P71" i="7"/>
  <c r="K71" i="7"/>
  <c r="I71" i="7"/>
  <c r="Y70" i="7"/>
  <c r="W70" i="7"/>
  <c r="R70" i="7"/>
  <c r="P70" i="7"/>
  <c r="K70" i="7"/>
  <c r="I70" i="7"/>
  <c r="Y69" i="7"/>
  <c r="W69" i="7"/>
  <c r="R69" i="7"/>
  <c r="P69" i="7"/>
  <c r="K69" i="7"/>
  <c r="I69" i="7"/>
  <c r="Y68" i="7"/>
  <c r="W68" i="7"/>
  <c r="R68" i="7"/>
  <c r="P68" i="7"/>
  <c r="K68" i="7"/>
  <c r="I68" i="7"/>
  <c r="Y64" i="7"/>
  <c r="W64" i="7"/>
  <c r="R64" i="7"/>
  <c r="P64" i="7"/>
  <c r="K64" i="7"/>
  <c r="I64" i="7"/>
  <c r="Y63" i="7"/>
  <c r="W63" i="7"/>
  <c r="R63" i="7"/>
  <c r="P63" i="7"/>
  <c r="K63" i="7"/>
  <c r="I63" i="7"/>
  <c r="Y62" i="7"/>
  <c r="W62" i="7"/>
  <c r="R62" i="7"/>
  <c r="P62" i="7"/>
  <c r="K62" i="7"/>
  <c r="I62" i="7"/>
  <c r="Y61" i="7"/>
  <c r="W61" i="7"/>
  <c r="R61" i="7"/>
  <c r="P61" i="7"/>
  <c r="K61" i="7"/>
  <c r="I61" i="7"/>
  <c r="Y60" i="7"/>
  <c r="W60" i="7"/>
  <c r="R60" i="7"/>
  <c r="P60" i="7"/>
  <c r="K60" i="7"/>
  <c r="I60" i="7"/>
  <c r="Y59" i="7"/>
  <c r="W59" i="7"/>
  <c r="R59" i="7"/>
  <c r="P59" i="7"/>
  <c r="K59" i="7"/>
  <c r="I59" i="7"/>
  <c r="Y58" i="7"/>
  <c r="W58" i="7"/>
  <c r="R58" i="7"/>
  <c r="P58" i="7"/>
  <c r="K58" i="7"/>
  <c r="I58" i="7"/>
  <c r="Y57" i="7"/>
  <c r="W57" i="7"/>
  <c r="R57" i="7"/>
  <c r="P57" i="7"/>
  <c r="K57" i="7"/>
  <c r="I57" i="7"/>
  <c r="Y56" i="7"/>
  <c r="W56" i="7"/>
  <c r="R56" i="7"/>
  <c r="P56" i="7"/>
  <c r="K56" i="7"/>
  <c r="I56" i="7"/>
  <c r="Y55" i="7"/>
  <c r="W55" i="7"/>
  <c r="R55" i="7"/>
  <c r="P55" i="7"/>
  <c r="K55" i="7"/>
  <c r="I55" i="7"/>
  <c r="Y54" i="7"/>
  <c r="W54" i="7"/>
  <c r="R54" i="7"/>
  <c r="P54" i="7"/>
  <c r="K54" i="7"/>
  <c r="I54" i="7"/>
  <c r="Y50" i="7"/>
  <c r="W50" i="7"/>
  <c r="R50" i="7"/>
  <c r="P50" i="7"/>
  <c r="K50" i="7"/>
  <c r="I50" i="7"/>
  <c r="Y49" i="7"/>
  <c r="W49" i="7"/>
  <c r="R49" i="7"/>
  <c r="P49" i="7"/>
  <c r="K49" i="7"/>
  <c r="I49" i="7"/>
  <c r="Y48" i="7"/>
  <c r="W48" i="7"/>
  <c r="R48" i="7"/>
  <c r="P48" i="7"/>
  <c r="K48" i="7"/>
  <c r="I48" i="7"/>
  <c r="Y47" i="7"/>
  <c r="W47" i="7"/>
  <c r="R47" i="7"/>
  <c r="P47" i="7"/>
  <c r="K47" i="7"/>
  <c r="I47" i="7"/>
  <c r="Y43" i="7"/>
  <c r="W43" i="7"/>
  <c r="R43" i="7"/>
  <c r="P43" i="7"/>
  <c r="K43" i="7"/>
  <c r="I43" i="7"/>
  <c r="Y42" i="7"/>
  <c r="W42" i="7"/>
  <c r="R42" i="7"/>
  <c r="P42" i="7"/>
  <c r="K42" i="7"/>
  <c r="I42" i="7"/>
  <c r="Y41" i="7"/>
  <c r="W41" i="7"/>
  <c r="R41" i="7"/>
  <c r="P41" i="7"/>
  <c r="K41" i="7"/>
  <c r="I41" i="7"/>
  <c r="Y40" i="7"/>
  <c r="W40" i="7"/>
  <c r="R40" i="7"/>
  <c r="P40" i="7"/>
  <c r="K40" i="7"/>
  <c r="I40" i="7"/>
  <c r="Y39" i="7"/>
  <c r="W39" i="7"/>
  <c r="R39" i="7"/>
  <c r="P39" i="7"/>
  <c r="K39" i="7"/>
  <c r="I39" i="7"/>
  <c r="Y38" i="7"/>
  <c r="W38" i="7"/>
  <c r="R38" i="7"/>
  <c r="P38" i="7"/>
  <c r="K38" i="7"/>
  <c r="I38" i="7"/>
  <c r="Y34" i="7"/>
  <c r="W34" i="7"/>
  <c r="R34" i="7"/>
  <c r="P34" i="7"/>
  <c r="K34" i="7"/>
  <c r="I34" i="7"/>
  <c r="Y33" i="7"/>
  <c r="W33" i="7"/>
  <c r="R33" i="7"/>
  <c r="P33" i="7"/>
  <c r="K33" i="7"/>
  <c r="I33" i="7"/>
  <c r="Y32" i="7"/>
  <c r="W32" i="7"/>
  <c r="R32" i="7"/>
  <c r="P32" i="7"/>
  <c r="K32" i="7"/>
  <c r="I32" i="7"/>
  <c r="Y31" i="7"/>
  <c r="W31" i="7"/>
  <c r="R31" i="7"/>
  <c r="P31" i="7"/>
  <c r="K31" i="7"/>
  <c r="I31" i="7"/>
  <c r="Y30" i="7"/>
  <c r="W30" i="7"/>
  <c r="R30" i="7"/>
  <c r="P30" i="7"/>
  <c r="K30" i="7"/>
  <c r="I30" i="7"/>
  <c r="Y26" i="7"/>
  <c r="W26" i="7"/>
  <c r="R26" i="7"/>
  <c r="P26" i="7"/>
  <c r="K26" i="7"/>
  <c r="I26" i="7"/>
  <c r="Y25" i="7"/>
  <c r="W25" i="7"/>
  <c r="R25" i="7"/>
  <c r="P25" i="7"/>
  <c r="K25" i="7"/>
  <c r="I25" i="7"/>
  <c r="Y24" i="7"/>
  <c r="W24" i="7"/>
  <c r="R24" i="7"/>
  <c r="P24" i="7"/>
  <c r="K24" i="7"/>
  <c r="I24" i="7"/>
  <c r="Y23" i="7"/>
  <c r="W23" i="7"/>
  <c r="R23" i="7"/>
  <c r="P23" i="7"/>
  <c r="K23" i="7"/>
  <c r="I23" i="7"/>
  <c r="Y18" i="7"/>
  <c r="W18" i="7"/>
  <c r="R18" i="7"/>
  <c r="P18" i="7"/>
  <c r="K18" i="7"/>
  <c r="I18" i="7"/>
  <c r="Y17" i="7"/>
  <c r="W17" i="7"/>
  <c r="R17" i="7"/>
  <c r="P17" i="7"/>
  <c r="K17" i="7"/>
  <c r="I17" i="7"/>
  <c r="Y16" i="7"/>
  <c r="W16" i="7"/>
  <c r="R16" i="7"/>
  <c r="P16" i="7"/>
  <c r="K16" i="7"/>
  <c r="I16" i="7"/>
  <c r="Y15" i="7"/>
  <c r="W15" i="7"/>
  <c r="R15" i="7"/>
  <c r="P15" i="7"/>
  <c r="K15" i="7"/>
  <c r="I15" i="7"/>
  <c r="X7" i="7"/>
  <c r="Q7" i="7"/>
  <c r="J7" i="7"/>
  <c r="X6" i="7"/>
  <c r="Q6" i="7"/>
  <c r="J6" i="7"/>
  <c r="Y452" i="6"/>
  <c r="W452" i="6"/>
  <c r="R452" i="6"/>
  <c r="P452" i="6"/>
  <c r="K452" i="6"/>
  <c r="I452" i="6"/>
  <c r="Y451" i="6"/>
  <c r="W451" i="6"/>
  <c r="R451" i="6"/>
  <c r="P451" i="6"/>
  <c r="K451" i="6"/>
  <c r="I451" i="6"/>
  <c r="Y450" i="6"/>
  <c r="W450" i="6"/>
  <c r="R450" i="6"/>
  <c r="P450" i="6"/>
  <c r="K450" i="6"/>
  <c r="I450" i="6"/>
  <c r="Y449" i="6"/>
  <c r="W449" i="6"/>
  <c r="R449" i="6"/>
  <c r="P449" i="6"/>
  <c r="K449" i="6"/>
  <c r="I449" i="6"/>
  <c r="Y448" i="6"/>
  <c r="W448" i="6"/>
  <c r="R448" i="6"/>
  <c r="P448" i="6"/>
  <c r="K448" i="6"/>
  <c r="I448" i="6"/>
  <c r="Y447" i="6"/>
  <c r="W447" i="6"/>
  <c r="R447" i="6"/>
  <c r="P447" i="6"/>
  <c r="K447" i="6"/>
  <c r="I447" i="6"/>
  <c r="Y446" i="6"/>
  <c r="W446" i="6"/>
  <c r="R446" i="6"/>
  <c r="P446" i="6"/>
  <c r="K446" i="6"/>
  <c r="I446" i="6"/>
  <c r="Y445" i="6"/>
  <c r="W445" i="6"/>
  <c r="R445" i="6"/>
  <c r="P445" i="6"/>
  <c r="K445" i="6"/>
  <c r="I445" i="6"/>
  <c r="Y444" i="6"/>
  <c r="W444" i="6"/>
  <c r="R444" i="6"/>
  <c r="P444" i="6"/>
  <c r="K444" i="6"/>
  <c r="I444" i="6"/>
  <c r="Y443" i="6"/>
  <c r="W443" i="6"/>
  <c r="R443" i="6"/>
  <c r="P443" i="6"/>
  <c r="K443" i="6"/>
  <c r="I443" i="6"/>
  <c r="Y442" i="6"/>
  <c r="W442" i="6"/>
  <c r="R442" i="6"/>
  <c r="P442" i="6"/>
  <c r="K442" i="6"/>
  <c r="I442" i="6"/>
  <c r="Y439" i="6"/>
  <c r="W439" i="6"/>
  <c r="R439" i="6"/>
  <c r="P439" i="6"/>
  <c r="K439" i="6"/>
  <c r="I439" i="6"/>
  <c r="Y438" i="6"/>
  <c r="W438" i="6"/>
  <c r="R438" i="6"/>
  <c r="P438" i="6"/>
  <c r="K438" i="6"/>
  <c r="I438" i="6"/>
  <c r="Y437" i="6"/>
  <c r="W437" i="6"/>
  <c r="R437" i="6"/>
  <c r="P437" i="6"/>
  <c r="K437" i="6"/>
  <c r="I437" i="6"/>
  <c r="Y436" i="6"/>
  <c r="W436" i="6"/>
  <c r="R436" i="6"/>
  <c r="P436" i="6"/>
  <c r="K436" i="6"/>
  <c r="I436" i="6"/>
  <c r="Y435" i="6"/>
  <c r="W435" i="6"/>
  <c r="R435" i="6"/>
  <c r="P435" i="6"/>
  <c r="K435" i="6"/>
  <c r="I435" i="6"/>
  <c r="Y432" i="6"/>
  <c r="W432" i="6"/>
  <c r="R432" i="6"/>
  <c r="P432" i="6"/>
  <c r="K432" i="6"/>
  <c r="I432" i="6"/>
  <c r="Y431" i="6"/>
  <c r="W431" i="6"/>
  <c r="R431" i="6"/>
  <c r="P431" i="6"/>
  <c r="K431" i="6"/>
  <c r="I431" i="6"/>
  <c r="Y430" i="6"/>
  <c r="W430" i="6"/>
  <c r="R430" i="6"/>
  <c r="P430" i="6"/>
  <c r="K430" i="6"/>
  <c r="I430" i="6"/>
  <c r="Y429" i="6"/>
  <c r="W429" i="6"/>
  <c r="R429" i="6"/>
  <c r="P429" i="6"/>
  <c r="K429" i="6"/>
  <c r="I429" i="6"/>
  <c r="Y428" i="6"/>
  <c r="W428" i="6"/>
  <c r="R428" i="6"/>
  <c r="P428" i="6"/>
  <c r="K428" i="6"/>
  <c r="I428" i="6"/>
  <c r="Y425" i="6"/>
  <c r="W425" i="6"/>
  <c r="R425" i="6"/>
  <c r="P425" i="6"/>
  <c r="K425" i="6"/>
  <c r="I425" i="6"/>
  <c r="Y424" i="6"/>
  <c r="W424" i="6"/>
  <c r="R424" i="6"/>
  <c r="P424" i="6"/>
  <c r="K424" i="6"/>
  <c r="I424" i="6"/>
  <c r="Y423" i="6"/>
  <c r="W423" i="6"/>
  <c r="R423" i="6"/>
  <c r="P423" i="6"/>
  <c r="K423" i="6"/>
  <c r="I423" i="6"/>
  <c r="Y422" i="6"/>
  <c r="W422" i="6"/>
  <c r="R422" i="6"/>
  <c r="P422" i="6"/>
  <c r="K422" i="6"/>
  <c r="I422" i="6"/>
  <c r="Y421" i="6"/>
  <c r="W421" i="6"/>
  <c r="R421" i="6"/>
  <c r="P421" i="6"/>
  <c r="K421" i="6"/>
  <c r="I421" i="6"/>
  <c r="Y420" i="6"/>
  <c r="W420" i="6"/>
  <c r="R420" i="6"/>
  <c r="P420" i="6"/>
  <c r="K420" i="6"/>
  <c r="I420" i="6"/>
  <c r="Y417" i="6"/>
  <c r="W417" i="6"/>
  <c r="R417" i="6"/>
  <c r="P417" i="6"/>
  <c r="K417" i="6"/>
  <c r="I417" i="6"/>
  <c r="Y416" i="6"/>
  <c r="W416" i="6"/>
  <c r="R416" i="6"/>
  <c r="P416" i="6"/>
  <c r="K416" i="6"/>
  <c r="I416" i="6"/>
  <c r="Y415" i="6"/>
  <c r="W415" i="6"/>
  <c r="R415" i="6"/>
  <c r="P415" i="6"/>
  <c r="K415" i="6"/>
  <c r="I415" i="6"/>
  <c r="Y414" i="6"/>
  <c r="W414" i="6"/>
  <c r="R414" i="6"/>
  <c r="P414" i="6"/>
  <c r="K414" i="6"/>
  <c r="I414" i="6"/>
  <c r="Y411" i="6"/>
  <c r="W411" i="6"/>
  <c r="R411" i="6"/>
  <c r="P411" i="6"/>
  <c r="K411" i="6"/>
  <c r="I411" i="6"/>
  <c r="Y410" i="6"/>
  <c r="W410" i="6"/>
  <c r="R410" i="6"/>
  <c r="P410" i="6"/>
  <c r="K410" i="6"/>
  <c r="I410" i="6"/>
  <c r="Y409" i="6"/>
  <c r="W409" i="6"/>
  <c r="R409" i="6"/>
  <c r="P409" i="6"/>
  <c r="K409" i="6"/>
  <c r="I409" i="6"/>
  <c r="Y408" i="6"/>
  <c r="W408" i="6"/>
  <c r="R408" i="6"/>
  <c r="P408" i="6"/>
  <c r="K408" i="6"/>
  <c r="I408" i="6"/>
  <c r="Y407" i="6"/>
  <c r="W407" i="6"/>
  <c r="R407" i="6"/>
  <c r="P407" i="6"/>
  <c r="K407" i="6"/>
  <c r="I407" i="6"/>
  <c r="Y404" i="6"/>
  <c r="W404" i="6"/>
  <c r="R404" i="6"/>
  <c r="P404" i="6"/>
  <c r="K404" i="6"/>
  <c r="I404" i="6"/>
  <c r="Y403" i="6"/>
  <c r="W403" i="6"/>
  <c r="R403" i="6"/>
  <c r="P403" i="6"/>
  <c r="K403" i="6"/>
  <c r="I403" i="6"/>
  <c r="Y402" i="6"/>
  <c r="W402" i="6"/>
  <c r="R402" i="6"/>
  <c r="P402" i="6"/>
  <c r="K402" i="6"/>
  <c r="I402" i="6"/>
  <c r="Y401" i="6"/>
  <c r="W401" i="6"/>
  <c r="R401" i="6"/>
  <c r="P401" i="6"/>
  <c r="K401" i="6"/>
  <c r="I401" i="6"/>
  <c r="Y400" i="6"/>
  <c r="W400" i="6"/>
  <c r="R400" i="6"/>
  <c r="P400" i="6"/>
  <c r="K400" i="6"/>
  <c r="I400" i="6"/>
  <c r="Y399" i="6"/>
  <c r="W399" i="6"/>
  <c r="R399" i="6"/>
  <c r="P399" i="6"/>
  <c r="K399" i="6"/>
  <c r="I399" i="6"/>
  <c r="Y398" i="6"/>
  <c r="W398" i="6"/>
  <c r="R398" i="6"/>
  <c r="P398" i="6"/>
  <c r="K398" i="6"/>
  <c r="I398" i="6"/>
  <c r="Y397" i="6"/>
  <c r="W397" i="6"/>
  <c r="R397" i="6"/>
  <c r="P397" i="6"/>
  <c r="K397" i="6"/>
  <c r="I397" i="6"/>
  <c r="Y394" i="6"/>
  <c r="W394" i="6"/>
  <c r="R394" i="6"/>
  <c r="P394" i="6"/>
  <c r="K394" i="6"/>
  <c r="I394" i="6"/>
  <c r="Y393" i="6"/>
  <c r="W393" i="6"/>
  <c r="R393" i="6"/>
  <c r="P393" i="6"/>
  <c r="K393" i="6"/>
  <c r="I393" i="6"/>
  <c r="Y392" i="6"/>
  <c r="W392" i="6"/>
  <c r="R392" i="6"/>
  <c r="P392" i="6"/>
  <c r="K392" i="6"/>
  <c r="I392" i="6"/>
  <c r="Y391" i="6"/>
  <c r="W391" i="6"/>
  <c r="R391" i="6"/>
  <c r="P391" i="6"/>
  <c r="K391" i="6"/>
  <c r="I391" i="6"/>
  <c r="Y390" i="6"/>
  <c r="W390" i="6"/>
  <c r="R390" i="6"/>
  <c r="P390" i="6"/>
  <c r="K390" i="6"/>
  <c r="I390" i="6"/>
  <c r="Y389" i="6"/>
  <c r="W389" i="6"/>
  <c r="R389" i="6"/>
  <c r="P389" i="6"/>
  <c r="K389" i="6"/>
  <c r="I389" i="6"/>
  <c r="Y388" i="6"/>
  <c r="W388" i="6"/>
  <c r="R388" i="6"/>
  <c r="P388" i="6"/>
  <c r="K388" i="6"/>
  <c r="I388" i="6"/>
  <c r="Y387" i="6"/>
  <c r="W387" i="6"/>
  <c r="R387" i="6"/>
  <c r="P387" i="6"/>
  <c r="K387" i="6"/>
  <c r="I387" i="6"/>
  <c r="Y386" i="6"/>
  <c r="W386" i="6"/>
  <c r="R386" i="6"/>
  <c r="P386" i="6"/>
  <c r="K386" i="6"/>
  <c r="I386" i="6"/>
  <c r="Y382" i="6"/>
  <c r="W382" i="6"/>
  <c r="R382" i="6"/>
  <c r="P382" i="6"/>
  <c r="K382" i="6"/>
  <c r="I382" i="6"/>
  <c r="Y381" i="6"/>
  <c r="W381" i="6"/>
  <c r="R381" i="6"/>
  <c r="P381" i="6"/>
  <c r="K381" i="6"/>
  <c r="I381" i="6"/>
  <c r="Y380" i="6"/>
  <c r="W380" i="6"/>
  <c r="R380" i="6"/>
  <c r="P380" i="6"/>
  <c r="K380" i="6"/>
  <c r="I380" i="6"/>
  <c r="Y379" i="6"/>
  <c r="W379" i="6"/>
  <c r="R379" i="6"/>
  <c r="P379" i="6"/>
  <c r="K379" i="6"/>
  <c r="I379" i="6"/>
  <c r="Y378" i="6"/>
  <c r="W378" i="6"/>
  <c r="R378" i="6"/>
  <c r="P378" i="6"/>
  <c r="K378" i="6"/>
  <c r="I378" i="6"/>
  <c r="Y377" i="6"/>
  <c r="W377" i="6"/>
  <c r="R377" i="6"/>
  <c r="P377" i="6"/>
  <c r="K377" i="6"/>
  <c r="I377" i="6"/>
  <c r="Y374" i="6"/>
  <c r="W374" i="6"/>
  <c r="R374" i="6"/>
  <c r="P374" i="6"/>
  <c r="K374" i="6"/>
  <c r="I374" i="6"/>
  <c r="Y373" i="6"/>
  <c r="W373" i="6"/>
  <c r="R373" i="6"/>
  <c r="P373" i="6"/>
  <c r="K373" i="6"/>
  <c r="I373" i="6"/>
  <c r="Y372" i="6"/>
  <c r="W372" i="6"/>
  <c r="R372" i="6"/>
  <c r="P372" i="6"/>
  <c r="K372" i="6"/>
  <c r="I372" i="6"/>
  <c r="Y371" i="6"/>
  <c r="W371" i="6"/>
  <c r="R371" i="6"/>
  <c r="P371" i="6"/>
  <c r="K371" i="6"/>
  <c r="I371" i="6"/>
  <c r="Y370" i="6"/>
  <c r="W370" i="6"/>
  <c r="R370" i="6"/>
  <c r="P370" i="6"/>
  <c r="K370" i="6"/>
  <c r="I370" i="6"/>
  <c r="Y369" i="6"/>
  <c r="W369" i="6"/>
  <c r="R369" i="6"/>
  <c r="P369" i="6"/>
  <c r="K369" i="6"/>
  <c r="I369" i="6"/>
  <c r="Y366" i="6"/>
  <c r="W366" i="6"/>
  <c r="R366" i="6"/>
  <c r="P366" i="6"/>
  <c r="K366" i="6"/>
  <c r="I366" i="6"/>
  <c r="Y365" i="6"/>
  <c r="W365" i="6"/>
  <c r="R365" i="6"/>
  <c r="P365" i="6"/>
  <c r="K365" i="6"/>
  <c r="I365" i="6"/>
  <c r="Y364" i="6"/>
  <c r="W364" i="6"/>
  <c r="R364" i="6"/>
  <c r="P364" i="6"/>
  <c r="K364" i="6"/>
  <c r="I364" i="6"/>
  <c r="Y363" i="6"/>
  <c r="W363" i="6"/>
  <c r="R363" i="6"/>
  <c r="P363" i="6"/>
  <c r="K363" i="6"/>
  <c r="I363" i="6"/>
  <c r="Y362" i="6"/>
  <c r="W362" i="6"/>
  <c r="R362" i="6"/>
  <c r="P362" i="6"/>
  <c r="K362" i="6"/>
  <c r="I362" i="6"/>
  <c r="Y361" i="6"/>
  <c r="W361" i="6"/>
  <c r="R361" i="6"/>
  <c r="P361" i="6"/>
  <c r="K361" i="6"/>
  <c r="I361" i="6"/>
  <c r="Y358" i="6"/>
  <c r="W358" i="6"/>
  <c r="R358" i="6"/>
  <c r="P358" i="6"/>
  <c r="K358" i="6"/>
  <c r="I358" i="6"/>
  <c r="Y357" i="6"/>
  <c r="W357" i="6"/>
  <c r="R357" i="6"/>
  <c r="P357" i="6"/>
  <c r="K357" i="6"/>
  <c r="I357" i="6"/>
  <c r="Y356" i="6"/>
  <c r="W356" i="6"/>
  <c r="R356" i="6"/>
  <c r="P356" i="6"/>
  <c r="K356" i="6"/>
  <c r="I356" i="6"/>
  <c r="Y355" i="6"/>
  <c r="W355" i="6"/>
  <c r="R355" i="6"/>
  <c r="P355" i="6"/>
  <c r="K355" i="6"/>
  <c r="I355" i="6"/>
  <c r="Y354" i="6"/>
  <c r="W354" i="6"/>
  <c r="R354" i="6"/>
  <c r="P354" i="6"/>
  <c r="K354" i="6"/>
  <c r="I354" i="6"/>
  <c r="Y353" i="6"/>
  <c r="W353" i="6"/>
  <c r="R353" i="6"/>
  <c r="P353" i="6"/>
  <c r="K353" i="6"/>
  <c r="I353" i="6"/>
  <c r="Y350" i="6"/>
  <c r="W350" i="6"/>
  <c r="R350" i="6"/>
  <c r="P350" i="6"/>
  <c r="K350" i="6"/>
  <c r="I350" i="6"/>
  <c r="Y349" i="6"/>
  <c r="W349" i="6"/>
  <c r="R349" i="6"/>
  <c r="P349" i="6"/>
  <c r="K349" i="6"/>
  <c r="I349" i="6"/>
  <c r="Y348" i="6"/>
  <c r="W348" i="6"/>
  <c r="R348" i="6"/>
  <c r="P348" i="6"/>
  <c r="K348" i="6"/>
  <c r="I348" i="6"/>
  <c r="Y347" i="6"/>
  <c r="W347" i="6"/>
  <c r="R347" i="6"/>
  <c r="P347" i="6"/>
  <c r="K347" i="6"/>
  <c r="I347" i="6"/>
  <c r="Y346" i="6"/>
  <c r="W346" i="6"/>
  <c r="R346" i="6"/>
  <c r="P346" i="6"/>
  <c r="K346" i="6"/>
  <c r="I346" i="6"/>
  <c r="Y345" i="6"/>
  <c r="W345" i="6"/>
  <c r="R345" i="6"/>
  <c r="P345" i="6"/>
  <c r="K345" i="6"/>
  <c r="I345" i="6"/>
  <c r="Y342" i="6"/>
  <c r="W342" i="6"/>
  <c r="R342" i="6"/>
  <c r="P342" i="6"/>
  <c r="K342" i="6"/>
  <c r="I342" i="6"/>
  <c r="Y341" i="6"/>
  <c r="W341" i="6"/>
  <c r="R341" i="6"/>
  <c r="P341" i="6"/>
  <c r="K341" i="6"/>
  <c r="I341" i="6"/>
  <c r="Y340" i="6"/>
  <c r="W340" i="6"/>
  <c r="R340" i="6"/>
  <c r="P340" i="6"/>
  <c r="K340" i="6"/>
  <c r="I340" i="6"/>
  <c r="Y339" i="6"/>
  <c r="W339" i="6"/>
  <c r="R339" i="6"/>
  <c r="P339" i="6"/>
  <c r="K339" i="6"/>
  <c r="I339" i="6"/>
  <c r="Y338" i="6"/>
  <c r="W338" i="6"/>
  <c r="R338" i="6"/>
  <c r="P338" i="6"/>
  <c r="K338" i="6"/>
  <c r="I338" i="6"/>
  <c r="Y337" i="6"/>
  <c r="W337" i="6"/>
  <c r="R337" i="6"/>
  <c r="P337" i="6"/>
  <c r="K337" i="6"/>
  <c r="I337" i="6"/>
  <c r="Y334" i="6"/>
  <c r="W334" i="6"/>
  <c r="R334" i="6"/>
  <c r="P334" i="6"/>
  <c r="K334" i="6"/>
  <c r="I334" i="6"/>
  <c r="Y333" i="6"/>
  <c r="W333" i="6"/>
  <c r="R333" i="6"/>
  <c r="P333" i="6"/>
  <c r="K333" i="6"/>
  <c r="I333" i="6"/>
  <c r="Y332" i="6"/>
  <c r="W332" i="6"/>
  <c r="R332" i="6"/>
  <c r="P332" i="6"/>
  <c r="K332" i="6"/>
  <c r="I332" i="6"/>
  <c r="Y331" i="6"/>
  <c r="W331" i="6"/>
  <c r="R331" i="6"/>
  <c r="P331" i="6"/>
  <c r="K331" i="6"/>
  <c r="I331" i="6"/>
  <c r="Y330" i="6"/>
  <c r="W330" i="6"/>
  <c r="R330" i="6"/>
  <c r="P330" i="6"/>
  <c r="K330" i="6"/>
  <c r="I330" i="6"/>
  <c r="Y329" i="6"/>
  <c r="W329" i="6"/>
  <c r="R329" i="6"/>
  <c r="P329" i="6"/>
  <c r="K329" i="6"/>
  <c r="I329" i="6"/>
  <c r="Y326" i="6"/>
  <c r="W326" i="6"/>
  <c r="R326" i="6"/>
  <c r="P326" i="6"/>
  <c r="K326" i="6"/>
  <c r="I326" i="6"/>
  <c r="Y325" i="6"/>
  <c r="W325" i="6"/>
  <c r="R325" i="6"/>
  <c r="P325" i="6"/>
  <c r="K325" i="6"/>
  <c r="I325" i="6"/>
  <c r="Y324" i="6"/>
  <c r="W324" i="6"/>
  <c r="R324" i="6"/>
  <c r="P324" i="6"/>
  <c r="K324" i="6"/>
  <c r="I324" i="6"/>
  <c r="Y323" i="6"/>
  <c r="W323" i="6"/>
  <c r="R323" i="6"/>
  <c r="P323" i="6"/>
  <c r="K323" i="6"/>
  <c r="I323" i="6"/>
  <c r="Y322" i="6"/>
  <c r="W322" i="6"/>
  <c r="R322" i="6"/>
  <c r="P322" i="6"/>
  <c r="K322" i="6"/>
  <c r="I322" i="6"/>
  <c r="Y321" i="6"/>
  <c r="W321" i="6"/>
  <c r="R321" i="6"/>
  <c r="P321" i="6"/>
  <c r="K321" i="6"/>
  <c r="I321" i="6"/>
  <c r="Y318" i="6"/>
  <c r="W318" i="6"/>
  <c r="R318" i="6"/>
  <c r="P318" i="6"/>
  <c r="K318" i="6"/>
  <c r="I318" i="6"/>
  <c r="Y317" i="6"/>
  <c r="W317" i="6"/>
  <c r="R317" i="6"/>
  <c r="P317" i="6"/>
  <c r="K317" i="6"/>
  <c r="I317" i="6"/>
  <c r="Y316" i="6"/>
  <c r="W316" i="6"/>
  <c r="R316" i="6"/>
  <c r="P316" i="6"/>
  <c r="K316" i="6"/>
  <c r="I316" i="6"/>
  <c r="Y315" i="6"/>
  <c r="W315" i="6"/>
  <c r="R315" i="6"/>
  <c r="P315" i="6"/>
  <c r="K315" i="6"/>
  <c r="I315" i="6"/>
  <c r="Y314" i="6"/>
  <c r="W314" i="6"/>
  <c r="R314" i="6"/>
  <c r="P314" i="6"/>
  <c r="K314" i="6"/>
  <c r="I314" i="6"/>
  <c r="Y313" i="6"/>
  <c r="W313" i="6"/>
  <c r="R313" i="6"/>
  <c r="P313" i="6"/>
  <c r="K313" i="6"/>
  <c r="I313" i="6"/>
  <c r="Y310" i="6"/>
  <c r="W310" i="6"/>
  <c r="R310" i="6"/>
  <c r="P310" i="6"/>
  <c r="K310" i="6"/>
  <c r="I310" i="6"/>
  <c r="Y309" i="6"/>
  <c r="W309" i="6"/>
  <c r="R309" i="6"/>
  <c r="P309" i="6"/>
  <c r="K309" i="6"/>
  <c r="I309" i="6"/>
  <c r="Y308" i="6"/>
  <c r="W308" i="6"/>
  <c r="R308" i="6"/>
  <c r="P308" i="6"/>
  <c r="K308" i="6"/>
  <c r="I308" i="6"/>
  <c r="Y307" i="6"/>
  <c r="W307" i="6"/>
  <c r="R307" i="6"/>
  <c r="P307" i="6"/>
  <c r="K307" i="6"/>
  <c r="I307" i="6"/>
  <c r="Y306" i="6"/>
  <c r="W306" i="6"/>
  <c r="R306" i="6"/>
  <c r="P306" i="6"/>
  <c r="K306" i="6"/>
  <c r="I306" i="6"/>
  <c r="Y305" i="6"/>
  <c r="W305" i="6"/>
  <c r="R305" i="6"/>
  <c r="P305" i="6"/>
  <c r="K305" i="6"/>
  <c r="I305" i="6"/>
  <c r="Y294" i="6"/>
  <c r="W294" i="6"/>
  <c r="R294" i="6"/>
  <c r="P294" i="6"/>
  <c r="K294" i="6"/>
  <c r="I294" i="6"/>
  <c r="Y293" i="6"/>
  <c r="W293" i="6"/>
  <c r="R293" i="6"/>
  <c r="P293" i="6"/>
  <c r="K293" i="6"/>
  <c r="I293" i="6"/>
  <c r="Y292" i="6"/>
  <c r="W292" i="6"/>
  <c r="R292" i="6"/>
  <c r="P292" i="6"/>
  <c r="K292" i="6"/>
  <c r="I292" i="6"/>
  <c r="Y291" i="6"/>
  <c r="W291" i="6"/>
  <c r="R291" i="6"/>
  <c r="P291" i="6"/>
  <c r="K291" i="6"/>
  <c r="I291" i="6"/>
  <c r="Y290" i="6"/>
  <c r="W290" i="6"/>
  <c r="R290" i="6"/>
  <c r="P290" i="6"/>
  <c r="K290" i="6"/>
  <c r="I290" i="6"/>
  <c r="Y286" i="6"/>
  <c r="W286" i="6"/>
  <c r="R286" i="6"/>
  <c r="P286" i="6"/>
  <c r="K286" i="6"/>
  <c r="I286" i="6"/>
  <c r="Y285" i="6"/>
  <c r="W285" i="6"/>
  <c r="R285" i="6"/>
  <c r="P285" i="6"/>
  <c r="K285" i="6"/>
  <c r="I285" i="6"/>
  <c r="Y284" i="6"/>
  <c r="W284" i="6"/>
  <c r="R284" i="6"/>
  <c r="P284" i="6"/>
  <c r="K284" i="6"/>
  <c r="I284" i="6"/>
  <c r="Y283" i="6"/>
  <c r="W283" i="6"/>
  <c r="R283" i="6"/>
  <c r="P283" i="6"/>
  <c r="K283" i="6"/>
  <c r="I283" i="6"/>
  <c r="Y282" i="6"/>
  <c r="W282" i="6"/>
  <c r="R282" i="6"/>
  <c r="P282" i="6"/>
  <c r="K282" i="6"/>
  <c r="I282" i="6"/>
  <c r="Y281" i="6"/>
  <c r="W281" i="6"/>
  <c r="R281" i="6"/>
  <c r="P281" i="6"/>
  <c r="K281" i="6"/>
  <c r="I281" i="6"/>
  <c r="Y280" i="6"/>
  <c r="W280" i="6"/>
  <c r="R280" i="6"/>
  <c r="P280" i="6"/>
  <c r="K280" i="6"/>
  <c r="I280" i="6"/>
  <c r="Y279" i="6"/>
  <c r="W279" i="6"/>
  <c r="R279" i="6"/>
  <c r="P279" i="6"/>
  <c r="K279" i="6"/>
  <c r="I279" i="6"/>
  <c r="Y278" i="6"/>
  <c r="W278" i="6"/>
  <c r="R278" i="6"/>
  <c r="P278" i="6"/>
  <c r="K278" i="6"/>
  <c r="I278" i="6"/>
  <c r="Y277" i="6"/>
  <c r="W277" i="6"/>
  <c r="R277" i="6"/>
  <c r="P277" i="6"/>
  <c r="K277" i="6"/>
  <c r="I277" i="6"/>
  <c r="Y276" i="6"/>
  <c r="W276" i="6"/>
  <c r="R276" i="6"/>
  <c r="P276" i="6"/>
  <c r="K276" i="6"/>
  <c r="I276" i="6"/>
  <c r="Y275" i="6"/>
  <c r="W275" i="6"/>
  <c r="R275" i="6"/>
  <c r="P275" i="6"/>
  <c r="K275" i="6"/>
  <c r="I275" i="6"/>
  <c r="Y274" i="6"/>
  <c r="W274" i="6"/>
  <c r="R274" i="6"/>
  <c r="P274" i="6"/>
  <c r="K274" i="6"/>
  <c r="I274" i="6"/>
  <c r="Y273" i="6"/>
  <c r="W273" i="6"/>
  <c r="R273" i="6"/>
  <c r="P273" i="6"/>
  <c r="K273" i="6"/>
  <c r="I273" i="6"/>
  <c r="Y269" i="6"/>
  <c r="W269" i="6"/>
  <c r="R269" i="6"/>
  <c r="P269" i="6"/>
  <c r="K269" i="6"/>
  <c r="I269" i="6"/>
  <c r="Y268" i="6"/>
  <c r="W268" i="6"/>
  <c r="R268" i="6"/>
  <c r="P268" i="6"/>
  <c r="K268" i="6"/>
  <c r="I268" i="6"/>
  <c r="Y267" i="6"/>
  <c r="W267" i="6"/>
  <c r="R267" i="6"/>
  <c r="P267" i="6"/>
  <c r="K267" i="6"/>
  <c r="I267" i="6"/>
  <c r="Y266" i="6"/>
  <c r="W266" i="6"/>
  <c r="R266" i="6"/>
  <c r="P266" i="6"/>
  <c r="K266" i="6"/>
  <c r="I266" i="6"/>
  <c r="Y265" i="6"/>
  <c r="W265" i="6"/>
  <c r="R265" i="6"/>
  <c r="P265" i="6"/>
  <c r="K265" i="6"/>
  <c r="I265" i="6"/>
  <c r="Y264" i="6"/>
  <c r="W264" i="6"/>
  <c r="R264" i="6"/>
  <c r="P264" i="6"/>
  <c r="K264" i="6"/>
  <c r="I264" i="6"/>
  <c r="Y260" i="6"/>
  <c r="W260" i="6"/>
  <c r="R260" i="6"/>
  <c r="P260" i="6"/>
  <c r="K260" i="6"/>
  <c r="I260" i="6"/>
  <c r="Y259" i="6"/>
  <c r="W259" i="6"/>
  <c r="R259" i="6"/>
  <c r="P259" i="6"/>
  <c r="K259" i="6"/>
  <c r="I259" i="6"/>
  <c r="Y258" i="6"/>
  <c r="W258" i="6"/>
  <c r="R258" i="6"/>
  <c r="P258" i="6"/>
  <c r="K258" i="6"/>
  <c r="I258" i="6"/>
  <c r="Y257" i="6"/>
  <c r="W257" i="6"/>
  <c r="R257" i="6"/>
  <c r="P257" i="6"/>
  <c r="K257" i="6"/>
  <c r="I257" i="6"/>
  <c r="Y256" i="6"/>
  <c r="W256" i="6"/>
  <c r="R256" i="6"/>
  <c r="P256" i="6"/>
  <c r="K256" i="6"/>
  <c r="I256" i="6"/>
  <c r="Y255" i="6"/>
  <c r="W255" i="6"/>
  <c r="R255" i="6"/>
  <c r="P255" i="6"/>
  <c r="K255" i="6"/>
  <c r="I255" i="6"/>
  <c r="Y254" i="6"/>
  <c r="W254" i="6"/>
  <c r="R254" i="6"/>
  <c r="P254" i="6"/>
  <c r="K254" i="6"/>
  <c r="I254" i="6"/>
  <c r="Y253" i="6"/>
  <c r="W253" i="6"/>
  <c r="R253" i="6"/>
  <c r="P253" i="6"/>
  <c r="K253" i="6"/>
  <c r="I253" i="6"/>
  <c r="Y252" i="6"/>
  <c r="W252" i="6"/>
  <c r="R252" i="6"/>
  <c r="P252" i="6"/>
  <c r="K252" i="6"/>
  <c r="I252" i="6"/>
  <c r="Y248" i="6"/>
  <c r="W248" i="6"/>
  <c r="R248" i="6"/>
  <c r="P248" i="6"/>
  <c r="K248" i="6"/>
  <c r="I248" i="6"/>
  <c r="Y247" i="6"/>
  <c r="W247" i="6"/>
  <c r="R247" i="6"/>
  <c r="P247" i="6"/>
  <c r="K247" i="6"/>
  <c r="I247" i="6"/>
  <c r="Y246" i="6"/>
  <c r="W246" i="6"/>
  <c r="R246" i="6"/>
  <c r="P246" i="6"/>
  <c r="K246" i="6"/>
  <c r="I246" i="6"/>
  <c r="Y245" i="6"/>
  <c r="W245" i="6"/>
  <c r="R245" i="6"/>
  <c r="P245" i="6"/>
  <c r="K245" i="6"/>
  <c r="I245" i="6"/>
  <c r="Y244" i="6"/>
  <c r="W244" i="6"/>
  <c r="R244" i="6"/>
  <c r="P244" i="6"/>
  <c r="K244" i="6"/>
  <c r="I244" i="6"/>
  <c r="Y240" i="6"/>
  <c r="W240" i="6"/>
  <c r="R240" i="6"/>
  <c r="P240" i="6"/>
  <c r="K240" i="6"/>
  <c r="I240" i="6"/>
  <c r="Y239" i="6"/>
  <c r="W239" i="6"/>
  <c r="R239" i="6"/>
  <c r="P239" i="6"/>
  <c r="K239" i="6"/>
  <c r="I239" i="6"/>
  <c r="Y238" i="6"/>
  <c r="W238" i="6"/>
  <c r="R238" i="6"/>
  <c r="P238" i="6"/>
  <c r="K238" i="6"/>
  <c r="I238" i="6"/>
  <c r="Y237" i="6"/>
  <c r="W237" i="6"/>
  <c r="R237" i="6"/>
  <c r="P237" i="6"/>
  <c r="K237" i="6"/>
  <c r="I237" i="6"/>
  <c r="Y236" i="6"/>
  <c r="W236" i="6"/>
  <c r="R236" i="6"/>
  <c r="P236" i="6"/>
  <c r="K236" i="6"/>
  <c r="I236" i="6"/>
  <c r="Y235" i="6"/>
  <c r="W235" i="6"/>
  <c r="R235" i="6"/>
  <c r="P235" i="6"/>
  <c r="K235" i="6"/>
  <c r="I235" i="6"/>
  <c r="Y231" i="6"/>
  <c r="W231" i="6"/>
  <c r="R231" i="6"/>
  <c r="P231" i="6"/>
  <c r="K231" i="6"/>
  <c r="I231" i="6"/>
  <c r="Y230" i="6"/>
  <c r="W230" i="6"/>
  <c r="R230" i="6"/>
  <c r="P230" i="6"/>
  <c r="K230" i="6"/>
  <c r="I230" i="6"/>
  <c r="Y229" i="6"/>
  <c r="W229" i="6"/>
  <c r="R229" i="6"/>
  <c r="P229" i="6"/>
  <c r="K229" i="6"/>
  <c r="I229" i="6"/>
  <c r="Y228" i="6"/>
  <c r="W228" i="6"/>
  <c r="R228" i="6"/>
  <c r="P228" i="6"/>
  <c r="K228" i="6"/>
  <c r="I228" i="6"/>
  <c r="Y227" i="6"/>
  <c r="W227" i="6"/>
  <c r="R227" i="6"/>
  <c r="P227" i="6"/>
  <c r="K227" i="6"/>
  <c r="I227" i="6"/>
  <c r="Y226" i="6"/>
  <c r="W226" i="6"/>
  <c r="R226" i="6"/>
  <c r="P226" i="6"/>
  <c r="K226" i="6"/>
  <c r="I226" i="6"/>
  <c r="Y225" i="6"/>
  <c r="W225" i="6"/>
  <c r="R225" i="6"/>
  <c r="P225" i="6"/>
  <c r="K225" i="6"/>
  <c r="I225" i="6"/>
  <c r="Y224" i="6"/>
  <c r="W224" i="6"/>
  <c r="R224" i="6"/>
  <c r="P224" i="6"/>
  <c r="K224" i="6"/>
  <c r="I224" i="6"/>
  <c r="Y223" i="6"/>
  <c r="W223" i="6"/>
  <c r="R223" i="6"/>
  <c r="P223" i="6"/>
  <c r="K223" i="6"/>
  <c r="I223" i="6"/>
  <c r="Y222" i="6"/>
  <c r="W222" i="6"/>
  <c r="R222" i="6"/>
  <c r="P222" i="6"/>
  <c r="K222" i="6"/>
  <c r="I222" i="6"/>
  <c r="Y217" i="6"/>
  <c r="W217" i="6"/>
  <c r="R217" i="6"/>
  <c r="P217" i="6"/>
  <c r="K217" i="6"/>
  <c r="I217" i="6"/>
  <c r="Y216" i="6"/>
  <c r="W216" i="6"/>
  <c r="R216" i="6"/>
  <c r="P216" i="6"/>
  <c r="K216" i="6"/>
  <c r="I216" i="6"/>
  <c r="Y215" i="6"/>
  <c r="W215" i="6"/>
  <c r="R215" i="6"/>
  <c r="P215" i="6"/>
  <c r="K215" i="6"/>
  <c r="I215" i="6"/>
  <c r="Y211" i="6"/>
  <c r="W211" i="6"/>
  <c r="R211" i="6"/>
  <c r="P211" i="6"/>
  <c r="K211" i="6"/>
  <c r="I211" i="6"/>
  <c r="Y210" i="6"/>
  <c r="W210" i="6"/>
  <c r="R210" i="6"/>
  <c r="P210" i="6"/>
  <c r="K210" i="6"/>
  <c r="I210" i="6"/>
  <c r="Y209" i="6"/>
  <c r="W209" i="6"/>
  <c r="R209" i="6"/>
  <c r="P209" i="6"/>
  <c r="K209" i="6"/>
  <c r="I209" i="6"/>
  <c r="Y205" i="6"/>
  <c r="W205" i="6"/>
  <c r="R205" i="6"/>
  <c r="P205" i="6"/>
  <c r="K205" i="6"/>
  <c r="I205" i="6"/>
  <c r="Y204" i="6"/>
  <c r="W204" i="6"/>
  <c r="R204" i="6"/>
  <c r="P204" i="6"/>
  <c r="K204" i="6"/>
  <c r="I204" i="6"/>
  <c r="Y203" i="6"/>
  <c r="W203" i="6"/>
  <c r="R203" i="6"/>
  <c r="P203" i="6"/>
  <c r="K203" i="6"/>
  <c r="I203" i="6"/>
  <c r="Y202" i="6"/>
  <c r="W202" i="6"/>
  <c r="R202" i="6"/>
  <c r="P202" i="6"/>
  <c r="K202" i="6"/>
  <c r="I202" i="6"/>
  <c r="Y198" i="6"/>
  <c r="W198" i="6"/>
  <c r="R198" i="6"/>
  <c r="P198" i="6"/>
  <c r="K198" i="6"/>
  <c r="I198" i="6"/>
  <c r="Y197" i="6"/>
  <c r="W197" i="6"/>
  <c r="R197" i="6"/>
  <c r="P197" i="6"/>
  <c r="K197" i="6"/>
  <c r="I197" i="6"/>
  <c r="Y196" i="6"/>
  <c r="W196" i="6"/>
  <c r="R196" i="6"/>
  <c r="P196" i="6"/>
  <c r="K196" i="6"/>
  <c r="I196" i="6"/>
  <c r="Y195" i="6"/>
  <c r="W195" i="6"/>
  <c r="R195" i="6"/>
  <c r="P195" i="6"/>
  <c r="K195" i="6"/>
  <c r="I195" i="6"/>
  <c r="Y190" i="6"/>
  <c r="W190" i="6"/>
  <c r="R190" i="6"/>
  <c r="P190" i="6"/>
  <c r="K190" i="6"/>
  <c r="I190" i="6"/>
  <c r="Y189" i="6"/>
  <c r="W189" i="6"/>
  <c r="R189" i="6"/>
  <c r="P189" i="6"/>
  <c r="K189" i="6"/>
  <c r="I189" i="6"/>
  <c r="Y188" i="6"/>
  <c r="W188" i="6"/>
  <c r="R188" i="6"/>
  <c r="P188" i="6"/>
  <c r="K188" i="6"/>
  <c r="I188" i="6"/>
  <c r="Y187" i="6"/>
  <c r="W187" i="6"/>
  <c r="R187" i="6"/>
  <c r="P187" i="6"/>
  <c r="K187" i="6"/>
  <c r="I187" i="6"/>
  <c r="Y186" i="6"/>
  <c r="W186" i="6"/>
  <c r="R186" i="6"/>
  <c r="P186" i="6"/>
  <c r="K186" i="6"/>
  <c r="I186" i="6"/>
  <c r="Y185" i="6"/>
  <c r="W185" i="6"/>
  <c r="R185" i="6"/>
  <c r="P185" i="6"/>
  <c r="K185" i="6"/>
  <c r="I185" i="6"/>
  <c r="Y184" i="6"/>
  <c r="W184" i="6"/>
  <c r="R184" i="6"/>
  <c r="P184" i="6"/>
  <c r="K184" i="6"/>
  <c r="I184" i="6"/>
  <c r="Y183" i="6"/>
  <c r="W183" i="6"/>
  <c r="R183" i="6"/>
  <c r="P183" i="6"/>
  <c r="K183" i="6"/>
  <c r="I183" i="6"/>
  <c r="Y182" i="6"/>
  <c r="W182" i="6"/>
  <c r="R182" i="6"/>
  <c r="P182" i="6"/>
  <c r="K182" i="6"/>
  <c r="I182" i="6"/>
  <c r="Y178" i="6"/>
  <c r="W178" i="6"/>
  <c r="R178" i="6"/>
  <c r="P178" i="6"/>
  <c r="K178" i="6"/>
  <c r="I178" i="6"/>
  <c r="Y177" i="6"/>
  <c r="W177" i="6"/>
  <c r="R177" i="6"/>
  <c r="P177" i="6"/>
  <c r="K177" i="6"/>
  <c r="I177" i="6"/>
  <c r="Y176" i="6"/>
  <c r="W176" i="6"/>
  <c r="R176" i="6"/>
  <c r="P176" i="6"/>
  <c r="K176" i="6"/>
  <c r="I176" i="6"/>
  <c r="Y175" i="6"/>
  <c r="W175" i="6"/>
  <c r="R175" i="6"/>
  <c r="P175" i="6"/>
  <c r="K175" i="6"/>
  <c r="I175" i="6"/>
  <c r="Y171" i="6"/>
  <c r="W171" i="6"/>
  <c r="R171" i="6"/>
  <c r="P171" i="6"/>
  <c r="K171" i="6"/>
  <c r="I171" i="6"/>
  <c r="Y170" i="6"/>
  <c r="W170" i="6"/>
  <c r="R170" i="6"/>
  <c r="P170" i="6"/>
  <c r="K170" i="6"/>
  <c r="I170" i="6"/>
  <c r="Y169" i="6"/>
  <c r="W169" i="6"/>
  <c r="R169" i="6"/>
  <c r="P169" i="6"/>
  <c r="K169" i="6"/>
  <c r="I169" i="6"/>
  <c r="Y168" i="6"/>
  <c r="W168" i="6"/>
  <c r="R168" i="6"/>
  <c r="P168" i="6"/>
  <c r="K168" i="6"/>
  <c r="I168" i="6"/>
  <c r="Y164" i="6"/>
  <c r="W164" i="6"/>
  <c r="R164" i="6"/>
  <c r="P164" i="6"/>
  <c r="K164" i="6"/>
  <c r="I164" i="6"/>
  <c r="Y163" i="6"/>
  <c r="W163" i="6"/>
  <c r="R163" i="6"/>
  <c r="P163" i="6"/>
  <c r="K163" i="6"/>
  <c r="I163" i="6"/>
  <c r="Y162" i="6"/>
  <c r="W162" i="6"/>
  <c r="R162" i="6"/>
  <c r="P162" i="6"/>
  <c r="K162" i="6"/>
  <c r="I162" i="6"/>
  <c r="Y161" i="6"/>
  <c r="W161" i="6"/>
  <c r="R161" i="6"/>
  <c r="P161" i="6"/>
  <c r="K161" i="6"/>
  <c r="I161" i="6"/>
  <c r="Y160" i="6"/>
  <c r="W160" i="6"/>
  <c r="R160" i="6"/>
  <c r="P160" i="6"/>
  <c r="K160" i="6"/>
  <c r="I160" i="6"/>
  <c r="Y159" i="6"/>
  <c r="W159" i="6"/>
  <c r="R159" i="6"/>
  <c r="P159" i="6"/>
  <c r="K159" i="6"/>
  <c r="I159" i="6"/>
  <c r="Y158" i="6"/>
  <c r="W158" i="6"/>
  <c r="R158" i="6"/>
  <c r="P158" i="6"/>
  <c r="K158" i="6"/>
  <c r="I158" i="6"/>
  <c r="Y157" i="6"/>
  <c r="W157" i="6"/>
  <c r="R157" i="6"/>
  <c r="P157" i="6"/>
  <c r="K157" i="6"/>
  <c r="I157" i="6"/>
  <c r="Y156" i="6"/>
  <c r="W156" i="6"/>
  <c r="R156" i="6"/>
  <c r="P156" i="6"/>
  <c r="K156" i="6"/>
  <c r="I156" i="6"/>
  <c r="Y155" i="6"/>
  <c r="W155" i="6"/>
  <c r="R155" i="6"/>
  <c r="P155" i="6"/>
  <c r="K155" i="6"/>
  <c r="I155" i="6"/>
  <c r="Y154" i="6"/>
  <c r="W154" i="6"/>
  <c r="R154" i="6"/>
  <c r="P154" i="6"/>
  <c r="K154" i="6"/>
  <c r="I154" i="6"/>
  <c r="Y153" i="6"/>
  <c r="W153" i="6"/>
  <c r="R153" i="6"/>
  <c r="P153" i="6"/>
  <c r="K153" i="6"/>
  <c r="I153" i="6"/>
  <c r="Y147" i="6"/>
  <c r="W147" i="6"/>
  <c r="R147" i="6"/>
  <c r="P147" i="6"/>
  <c r="K147" i="6"/>
  <c r="I147" i="6"/>
  <c r="Y146" i="6"/>
  <c r="W146" i="6"/>
  <c r="R146" i="6"/>
  <c r="P146" i="6"/>
  <c r="K146" i="6"/>
  <c r="I146" i="6"/>
  <c r="Y145" i="6"/>
  <c r="W145" i="6"/>
  <c r="R145" i="6"/>
  <c r="P145" i="6"/>
  <c r="K145" i="6"/>
  <c r="I145" i="6"/>
  <c r="Y144" i="6"/>
  <c r="W144" i="6"/>
  <c r="R144" i="6"/>
  <c r="P144" i="6"/>
  <c r="K144" i="6"/>
  <c r="I144" i="6"/>
  <c r="Y140" i="6"/>
  <c r="W140" i="6"/>
  <c r="R140" i="6"/>
  <c r="P140" i="6"/>
  <c r="K140" i="6"/>
  <c r="I140" i="6"/>
  <c r="Y139" i="6"/>
  <c r="W139" i="6"/>
  <c r="R139" i="6"/>
  <c r="P139" i="6"/>
  <c r="K139" i="6"/>
  <c r="I139" i="6"/>
  <c r="Y138" i="6"/>
  <c r="W138" i="6"/>
  <c r="R138" i="6"/>
  <c r="P138" i="6"/>
  <c r="K138" i="6"/>
  <c r="I138" i="6"/>
  <c r="Y137" i="6"/>
  <c r="W137" i="6"/>
  <c r="R137" i="6"/>
  <c r="P137" i="6"/>
  <c r="K137" i="6"/>
  <c r="I137" i="6"/>
  <c r="Y136" i="6"/>
  <c r="W136" i="6"/>
  <c r="R136" i="6"/>
  <c r="P136" i="6"/>
  <c r="K136" i="6"/>
  <c r="I136" i="6"/>
  <c r="Y135" i="6"/>
  <c r="W135" i="6"/>
  <c r="R135" i="6"/>
  <c r="P135" i="6"/>
  <c r="K135" i="6"/>
  <c r="I135" i="6"/>
  <c r="Y134" i="6"/>
  <c r="W134" i="6"/>
  <c r="R134" i="6"/>
  <c r="P134" i="6"/>
  <c r="K134" i="6"/>
  <c r="I134" i="6"/>
  <c r="Y133" i="6"/>
  <c r="W133" i="6"/>
  <c r="R133" i="6"/>
  <c r="P133" i="6"/>
  <c r="K133" i="6"/>
  <c r="I133" i="6"/>
  <c r="Y132" i="6"/>
  <c r="W132" i="6"/>
  <c r="R132" i="6"/>
  <c r="P132" i="6"/>
  <c r="K132" i="6"/>
  <c r="I132" i="6"/>
  <c r="Y131" i="6"/>
  <c r="W131" i="6"/>
  <c r="R131" i="6"/>
  <c r="P131" i="6"/>
  <c r="K131" i="6"/>
  <c r="I131" i="6"/>
  <c r="Y130" i="6"/>
  <c r="W130" i="6"/>
  <c r="R130" i="6"/>
  <c r="P130" i="6"/>
  <c r="K130" i="6"/>
  <c r="I130" i="6"/>
  <c r="Y124" i="6"/>
  <c r="W124" i="6"/>
  <c r="R124" i="6"/>
  <c r="P124" i="6"/>
  <c r="K124" i="6"/>
  <c r="I124" i="6"/>
  <c r="Y123" i="6"/>
  <c r="W123" i="6"/>
  <c r="R123" i="6"/>
  <c r="P123" i="6"/>
  <c r="K123" i="6"/>
  <c r="I123" i="6"/>
  <c r="Y122" i="6"/>
  <c r="W122" i="6"/>
  <c r="R122" i="6"/>
  <c r="P122" i="6"/>
  <c r="K122" i="6"/>
  <c r="I122" i="6"/>
  <c r="Y121" i="6"/>
  <c r="W121" i="6"/>
  <c r="R121" i="6"/>
  <c r="P121" i="6"/>
  <c r="K121" i="6"/>
  <c r="I121" i="6"/>
  <c r="Y114" i="6"/>
  <c r="W114" i="6"/>
  <c r="R114" i="6"/>
  <c r="P114" i="6"/>
  <c r="K114" i="6"/>
  <c r="I114" i="6"/>
  <c r="Y113" i="6"/>
  <c r="W113" i="6"/>
  <c r="R113" i="6"/>
  <c r="P113" i="6"/>
  <c r="K113" i="6"/>
  <c r="I113" i="6"/>
  <c r="Y112" i="6"/>
  <c r="W112" i="6"/>
  <c r="R112" i="6"/>
  <c r="P112" i="6"/>
  <c r="K112" i="6"/>
  <c r="I112" i="6"/>
  <c r="Y111" i="6"/>
  <c r="W111" i="6"/>
  <c r="R111" i="6"/>
  <c r="P111" i="6"/>
  <c r="K111" i="6"/>
  <c r="I111" i="6"/>
  <c r="Y106" i="6"/>
  <c r="W106" i="6"/>
  <c r="R106" i="6"/>
  <c r="P106" i="6"/>
  <c r="K106" i="6"/>
  <c r="I106" i="6"/>
  <c r="Y105" i="6"/>
  <c r="W105" i="6"/>
  <c r="R105" i="6"/>
  <c r="P105" i="6"/>
  <c r="K105" i="6"/>
  <c r="I105" i="6"/>
  <c r="Y104" i="6"/>
  <c r="W104" i="6"/>
  <c r="R104" i="6"/>
  <c r="P104" i="6"/>
  <c r="K104" i="6"/>
  <c r="I104" i="6"/>
  <c r="Y103" i="6"/>
  <c r="W103" i="6"/>
  <c r="R103" i="6"/>
  <c r="P103" i="6"/>
  <c r="K103" i="6"/>
  <c r="I103" i="6"/>
  <c r="Y99" i="6"/>
  <c r="W99" i="6"/>
  <c r="R99" i="6"/>
  <c r="P99" i="6"/>
  <c r="K99" i="6"/>
  <c r="I99" i="6"/>
  <c r="Y98" i="6"/>
  <c r="W98" i="6"/>
  <c r="R98" i="6"/>
  <c r="P98" i="6"/>
  <c r="K98" i="6"/>
  <c r="I98" i="6"/>
  <c r="Y97" i="6"/>
  <c r="W97" i="6"/>
  <c r="R97" i="6"/>
  <c r="P97" i="6"/>
  <c r="K97" i="6"/>
  <c r="I97" i="6"/>
  <c r="Y96" i="6"/>
  <c r="W96" i="6"/>
  <c r="R96" i="6"/>
  <c r="P96" i="6"/>
  <c r="K96" i="6"/>
  <c r="I96" i="6"/>
  <c r="Y95" i="6"/>
  <c r="W95" i="6"/>
  <c r="R95" i="6"/>
  <c r="P95" i="6"/>
  <c r="K95" i="6"/>
  <c r="I95" i="6"/>
  <c r="Y94" i="6"/>
  <c r="W94" i="6"/>
  <c r="R94" i="6"/>
  <c r="P94" i="6"/>
  <c r="K94" i="6"/>
  <c r="I94" i="6"/>
  <c r="Y93" i="6"/>
  <c r="W93" i="6"/>
  <c r="R93" i="6"/>
  <c r="P93" i="6"/>
  <c r="K93" i="6"/>
  <c r="I93" i="6"/>
  <c r="Y92" i="6"/>
  <c r="W92" i="6"/>
  <c r="R92" i="6"/>
  <c r="P92" i="6"/>
  <c r="K92" i="6"/>
  <c r="I92" i="6"/>
  <c r="Y88" i="6"/>
  <c r="W88" i="6"/>
  <c r="R88" i="6"/>
  <c r="P88" i="6"/>
  <c r="K88" i="6"/>
  <c r="I88" i="6"/>
  <c r="Y87" i="6"/>
  <c r="W87" i="6"/>
  <c r="R87" i="6"/>
  <c r="P87" i="6"/>
  <c r="K87" i="6"/>
  <c r="I87" i="6"/>
  <c r="Y86" i="6"/>
  <c r="W86" i="6"/>
  <c r="R86" i="6"/>
  <c r="P86" i="6"/>
  <c r="K86" i="6"/>
  <c r="I86" i="6"/>
  <c r="Y85" i="6"/>
  <c r="W85" i="6"/>
  <c r="R85" i="6"/>
  <c r="P85" i="6"/>
  <c r="K85" i="6"/>
  <c r="I85" i="6"/>
  <c r="Y84" i="6"/>
  <c r="W84" i="6"/>
  <c r="R84" i="6"/>
  <c r="P84" i="6"/>
  <c r="K84" i="6"/>
  <c r="I84" i="6"/>
  <c r="Y83" i="6"/>
  <c r="W83" i="6"/>
  <c r="R83" i="6"/>
  <c r="P83" i="6"/>
  <c r="K83" i="6"/>
  <c r="I83" i="6"/>
  <c r="Y82" i="6"/>
  <c r="W82" i="6"/>
  <c r="R82" i="6"/>
  <c r="P82" i="6"/>
  <c r="K82" i="6"/>
  <c r="I82" i="6"/>
  <c r="Y81" i="6"/>
  <c r="W81" i="6"/>
  <c r="R81" i="6"/>
  <c r="P81" i="6"/>
  <c r="K81" i="6"/>
  <c r="I81" i="6"/>
  <c r="Y80" i="6"/>
  <c r="W80" i="6"/>
  <c r="R80" i="6"/>
  <c r="P80" i="6"/>
  <c r="K80" i="6"/>
  <c r="I80" i="6"/>
  <c r="Y79" i="6"/>
  <c r="W79" i="6"/>
  <c r="R79" i="6"/>
  <c r="P79" i="6"/>
  <c r="K79" i="6"/>
  <c r="I79" i="6"/>
  <c r="Y78" i="6"/>
  <c r="W78" i="6"/>
  <c r="R78" i="6"/>
  <c r="P78" i="6"/>
  <c r="K78" i="6"/>
  <c r="I78" i="6"/>
  <c r="Y73" i="6"/>
  <c r="W73" i="6"/>
  <c r="R73" i="6"/>
  <c r="P73" i="6"/>
  <c r="K73" i="6"/>
  <c r="I73" i="6"/>
  <c r="Y72" i="6"/>
  <c r="W72" i="6"/>
  <c r="R72" i="6"/>
  <c r="P72" i="6"/>
  <c r="K72" i="6"/>
  <c r="I72" i="6"/>
  <c r="Y71" i="6"/>
  <c r="W71" i="6"/>
  <c r="R71" i="6"/>
  <c r="P71" i="6"/>
  <c r="K71" i="6"/>
  <c r="I71" i="6"/>
  <c r="Y70" i="6"/>
  <c r="W70" i="6"/>
  <c r="R70" i="6"/>
  <c r="P70" i="6"/>
  <c r="K70" i="6"/>
  <c r="I70" i="6"/>
  <c r="Y69" i="6"/>
  <c r="W69" i="6"/>
  <c r="R69" i="6"/>
  <c r="P69" i="6"/>
  <c r="K69" i="6"/>
  <c r="I69" i="6"/>
  <c r="Y68" i="6"/>
  <c r="W68" i="6"/>
  <c r="R68" i="6"/>
  <c r="P68" i="6"/>
  <c r="K68" i="6"/>
  <c r="I68" i="6"/>
  <c r="Y64" i="6"/>
  <c r="W64" i="6"/>
  <c r="R64" i="6"/>
  <c r="P64" i="6"/>
  <c r="K64" i="6"/>
  <c r="I64" i="6"/>
  <c r="Y63" i="6"/>
  <c r="W63" i="6"/>
  <c r="R63" i="6"/>
  <c r="P63" i="6"/>
  <c r="K63" i="6"/>
  <c r="I63" i="6"/>
  <c r="Y62" i="6"/>
  <c r="W62" i="6"/>
  <c r="R62" i="6"/>
  <c r="P62" i="6"/>
  <c r="K62" i="6"/>
  <c r="I62" i="6"/>
  <c r="Y61" i="6"/>
  <c r="W61" i="6"/>
  <c r="R61" i="6"/>
  <c r="P61" i="6"/>
  <c r="K61" i="6"/>
  <c r="I61" i="6"/>
  <c r="Y60" i="6"/>
  <c r="W60" i="6"/>
  <c r="R60" i="6"/>
  <c r="P60" i="6"/>
  <c r="K60" i="6"/>
  <c r="I60" i="6"/>
  <c r="Y59" i="6"/>
  <c r="W59" i="6"/>
  <c r="R59" i="6"/>
  <c r="P59" i="6"/>
  <c r="K59" i="6"/>
  <c r="I59" i="6"/>
  <c r="Y58" i="6"/>
  <c r="W58" i="6"/>
  <c r="R58" i="6"/>
  <c r="P58" i="6"/>
  <c r="K58" i="6"/>
  <c r="I58" i="6"/>
  <c r="Y57" i="6"/>
  <c r="W57" i="6"/>
  <c r="R57" i="6"/>
  <c r="P57" i="6"/>
  <c r="K57" i="6"/>
  <c r="I57" i="6"/>
  <c r="Y56" i="6"/>
  <c r="W56" i="6"/>
  <c r="R56" i="6"/>
  <c r="P56" i="6"/>
  <c r="K56" i="6"/>
  <c r="I56" i="6"/>
  <c r="Y55" i="6"/>
  <c r="W55" i="6"/>
  <c r="R55" i="6"/>
  <c r="P55" i="6"/>
  <c r="K55" i="6"/>
  <c r="I55" i="6"/>
  <c r="Y54" i="6"/>
  <c r="W54" i="6"/>
  <c r="R54" i="6"/>
  <c r="P54" i="6"/>
  <c r="K54" i="6"/>
  <c r="I54" i="6"/>
  <c r="Y50" i="6"/>
  <c r="W50" i="6"/>
  <c r="R50" i="6"/>
  <c r="P50" i="6"/>
  <c r="K50" i="6"/>
  <c r="I50" i="6"/>
  <c r="Y49" i="6"/>
  <c r="W49" i="6"/>
  <c r="R49" i="6"/>
  <c r="P49" i="6"/>
  <c r="K49" i="6"/>
  <c r="I49" i="6"/>
  <c r="Y48" i="6"/>
  <c r="W48" i="6"/>
  <c r="R48" i="6"/>
  <c r="P48" i="6"/>
  <c r="K48" i="6"/>
  <c r="I48" i="6"/>
  <c r="Y47" i="6"/>
  <c r="W47" i="6"/>
  <c r="R47" i="6"/>
  <c r="P47" i="6"/>
  <c r="K47" i="6"/>
  <c r="I47" i="6"/>
  <c r="Y43" i="6"/>
  <c r="W43" i="6"/>
  <c r="R43" i="6"/>
  <c r="P43" i="6"/>
  <c r="K43" i="6"/>
  <c r="I43" i="6"/>
  <c r="Y42" i="6"/>
  <c r="W42" i="6"/>
  <c r="R42" i="6"/>
  <c r="P42" i="6"/>
  <c r="K42" i="6"/>
  <c r="I42" i="6"/>
  <c r="Y41" i="6"/>
  <c r="W41" i="6"/>
  <c r="R41" i="6"/>
  <c r="P41" i="6"/>
  <c r="K41" i="6"/>
  <c r="I41" i="6"/>
  <c r="Y40" i="6"/>
  <c r="W40" i="6"/>
  <c r="R40" i="6"/>
  <c r="P40" i="6"/>
  <c r="K40" i="6"/>
  <c r="I40" i="6"/>
  <c r="Y39" i="6"/>
  <c r="W39" i="6"/>
  <c r="R39" i="6"/>
  <c r="P39" i="6"/>
  <c r="K39" i="6"/>
  <c r="I39" i="6"/>
  <c r="Y38" i="6"/>
  <c r="W38" i="6"/>
  <c r="R38" i="6"/>
  <c r="P38" i="6"/>
  <c r="K38" i="6"/>
  <c r="I38" i="6"/>
  <c r="Y34" i="6"/>
  <c r="W34" i="6"/>
  <c r="R34" i="6"/>
  <c r="P34" i="6"/>
  <c r="K34" i="6"/>
  <c r="I34" i="6"/>
  <c r="Y33" i="6"/>
  <c r="W33" i="6"/>
  <c r="R33" i="6"/>
  <c r="P33" i="6"/>
  <c r="K33" i="6"/>
  <c r="I33" i="6"/>
  <c r="Y32" i="6"/>
  <c r="W32" i="6"/>
  <c r="R32" i="6"/>
  <c r="P32" i="6"/>
  <c r="K32" i="6"/>
  <c r="I32" i="6"/>
  <c r="Y31" i="6"/>
  <c r="W31" i="6"/>
  <c r="R31" i="6"/>
  <c r="P31" i="6"/>
  <c r="K31" i="6"/>
  <c r="I31" i="6"/>
  <c r="Y30" i="6"/>
  <c r="W30" i="6"/>
  <c r="R30" i="6"/>
  <c r="P30" i="6"/>
  <c r="K30" i="6"/>
  <c r="I30" i="6"/>
  <c r="Y26" i="6"/>
  <c r="W26" i="6"/>
  <c r="R26" i="6"/>
  <c r="P26" i="6"/>
  <c r="K26" i="6"/>
  <c r="I26" i="6"/>
  <c r="Y25" i="6"/>
  <c r="W25" i="6"/>
  <c r="R25" i="6"/>
  <c r="P25" i="6"/>
  <c r="K25" i="6"/>
  <c r="I25" i="6"/>
  <c r="Y24" i="6"/>
  <c r="W24" i="6"/>
  <c r="R24" i="6"/>
  <c r="P24" i="6"/>
  <c r="K24" i="6"/>
  <c r="I24" i="6"/>
  <c r="Y23" i="6"/>
  <c r="W23" i="6"/>
  <c r="R23" i="6"/>
  <c r="P23" i="6"/>
  <c r="K23" i="6"/>
  <c r="I23" i="6"/>
  <c r="Y18" i="6"/>
  <c r="W18" i="6"/>
  <c r="R18" i="6"/>
  <c r="P18" i="6"/>
  <c r="K18" i="6"/>
  <c r="I18" i="6"/>
  <c r="Y17" i="6"/>
  <c r="W17" i="6"/>
  <c r="R17" i="6"/>
  <c r="P17" i="6"/>
  <c r="K17" i="6"/>
  <c r="I17" i="6"/>
  <c r="Y16" i="6"/>
  <c r="W16" i="6"/>
  <c r="R16" i="6"/>
  <c r="P16" i="6"/>
  <c r="K16" i="6"/>
  <c r="I16" i="6"/>
  <c r="Y15" i="6"/>
  <c r="W15" i="6"/>
  <c r="R15" i="6"/>
  <c r="P15" i="6"/>
  <c r="K15" i="6"/>
  <c r="I15" i="6"/>
  <c r="X7" i="6"/>
  <c r="Q7" i="6"/>
  <c r="J7" i="6"/>
  <c r="X6" i="6"/>
  <c r="Q6" i="6"/>
  <c r="J6" i="6"/>
  <c r="Y452" i="5"/>
  <c r="W452" i="5"/>
  <c r="R452" i="5"/>
  <c r="P452" i="5"/>
  <c r="K452" i="5"/>
  <c r="I452" i="5"/>
  <c r="Y451" i="5"/>
  <c r="W451" i="5"/>
  <c r="R451" i="5"/>
  <c r="P451" i="5"/>
  <c r="K451" i="5"/>
  <c r="I451" i="5"/>
  <c r="Y450" i="5"/>
  <c r="W450" i="5"/>
  <c r="R450" i="5"/>
  <c r="P450" i="5"/>
  <c r="K450" i="5"/>
  <c r="I450" i="5"/>
  <c r="Y449" i="5"/>
  <c r="W449" i="5"/>
  <c r="R449" i="5"/>
  <c r="P449" i="5"/>
  <c r="K449" i="5"/>
  <c r="I449" i="5"/>
  <c r="Y448" i="5"/>
  <c r="W448" i="5"/>
  <c r="R448" i="5"/>
  <c r="P448" i="5"/>
  <c r="K448" i="5"/>
  <c r="I448" i="5"/>
  <c r="Y447" i="5"/>
  <c r="W447" i="5"/>
  <c r="R447" i="5"/>
  <c r="P447" i="5"/>
  <c r="K447" i="5"/>
  <c r="I447" i="5"/>
  <c r="Y446" i="5"/>
  <c r="W446" i="5"/>
  <c r="R446" i="5"/>
  <c r="P446" i="5"/>
  <c r="K446" i="5"/>
  <c r="I446" i="5"/>
  <c r="Y445" i="5"/>
  <c r="W445" i="5"/>
  <c r="R445" i="5"/>
  <c r="P445" i="5"/>
  <c r="K445" i="5"/>
  <c r="I445" i="5"/>
  <c r="Y444" i="5"/>
  <c r="W444" i="5"/>
  <c r="R444" i="5"/>
  <c r="P444" i="5"/>
  <c r="K444" i="5"/>
  <c r="I444" i="5"/>
  <c r="Y443" i="5"/>
  <c r="W443" i="5"/>
  <c r="R443" i="5"/>
  <c r="P443" i="5"/>
  <c r="K443" i="5"/>
  <c r="I443" i="5"/>
  <c r="Y442" i="5"/>
  <c r="W442" i="5"/>
  <c r="R442" i="5"/>
  <c r="P442" i="5"/>
  <c r="K442" i="5"/>
  <c r="I442" i="5"/>
  <c r="Y439" i="5"/>
  <c r="W439" i="5"/>
  <c r="R439" i="5"/>
  <c r="P439" i="5"/>
  <c r="K439" i="5"/>
  <c r="I439" i="5"/>
  <c r="Y438" i="5"/>
  <c r="W438" i="5"/>
  <c r="R438" i="5"/>
  <c r="P438" i="5"/>
  <c r="K438" i="5"/>
  <c r="I438" i="5"/>
  <c r="Y437" i="5"/>
  <c r="W437" i="5"/>
  <c r="R437" i="5"/>
  <c r="P437" i="5"/>
  <c r="K437" i="5"/>
  <c r="I437" i="5"/>
  <c r="Y436" i="5"/>
  <c r="W436" i="5"/>
  <c r="R436" i="5"/>
  <c r="P436" i="5"/>
  <c r="K436" i="5"/>
  <c r="I436" i="5"/>
  <c r="Y435" i="5"/>
  <c r="W435" i="5"/>
  <c r="R435" i="5"/>
  <c r="P435" i="5"/>
  <c r="K435" i="5"/>
  <c r="I435" i="5"/>
  <c r="Y432" i="5"/>
  <c r="W432" i="5"/>
  <c r="R432" i="5"/>
  <c r="P432" i="5"/>
  <c r="K432" i="5"/>
  <c r="I432" i="5"/>
  <c r="Y431" i="5"/>
  <c r="W431" i="5"/>
  <c r="R431" i="5"/>
  <c r="P431" i="5"/>
  <c r="K431" i="5"/>
  <c r="I431" i="5"/>
  <c r="Y430" i="5"/>
  <c r="W430" i="5"/>
  <c r="R430" i="5"/>
  <c r="P430" i="5"/>
  <c r="K430" i="5"/>
  <c r="I430" i="5"/>
  <c r="Y429" i="5"/>
  <c r="W429" i="5"/>
  <c r="R429" i="5"/>
  <c r="P429" i="5"/>
  <c r="K429" i="5"/>
  <c r="I429" i="5"/>
  <c r="Y428" i="5"/>
  <c r="W428" i="5"/>
  <c r="R428" i="5"/>
  <c r="P428" i="5"/>
  <c r="K428" i="5"/>
  <c r="I428" i="5"/>
  <c r="Y425" i="5"/>
  <c r="W425" i="5"/>
  <c r="R425" i="5"/>
  <c r="P425" i="5"/>
  <c r="K425" i="5"/>
  <c r="I425" i="5"/>
  <c r="Y424" i="5"/>
  <c r="W424" i="5"/>
  <c r="R424" i="5"/>
  <c r="P424" i="5"/>
  <c r="K424" i="5"/>
  <c r="I424" i="5"/>
  <c r="Y423" i="5"/>
  <c r="W423" i="5"/>
  <c r="R423" i="5"/>
  <c r="P423" i="5"/>
  <c r="K423" i="5"/>
  <c r="I423" i="5"/>
  <c r="Y422" i="5"/>
  <c r="W422" i="5"/>
  <c r="R422" i="5"/>
  <c r="P422" i="5"/>
  <c r="K422" i="5"/>
  <c r="I422" i="5"/>
  <c r="Y421" i="5"/>
  <c r="W421" i="5"/>
  <c r="R421" i="5"/>
  <c r="P421" i="5"/>
  <c r="K421" i="5"/>
  <c r="I421" i="5"/>
  <c r="Y420" i="5"/>
  <c r="W420" i="5"/>
  <c r="R420" i="5"/>
  <c r="P420" i="5"/>
  <c r="K420" i="5"/>
  <c r="I420" i="5"/>
  <c r="Y417" i="5"/>
  <c r="W417" i="5"/>
  <c r="R417" i="5"/>
  <c r="P417" i="5"/>
  <c r="K417" i="5"/>
  <c r="I417" i="5"/>
  <c r="Y416" i="5"/>
  <c r="W416" i="5"/>
  <c r="R416" i="5"/>
  <c r="P416" i="5"/>
  <c r="K416" i="5"/>
  <c r="I416" i="5"/>
  <c r="Y415" i="5"/>
  <c r="W415" i="5"/>
  <c r="R415" i="5"/>
  <c r="P415" i="5"/>
  <c r="K415" i="5"/>
  <c r="I415" i="5"/>
  <c r="Y414" i="5"/>
  <c r="W414" i="5"/>
  <c r="R414" i="5"/>
  <c r="P414" i="5"/>
  <c r="K414" i="5"/>
  <c r="I414" i="5"/>
  <c r="Y411" i="5"/>
  <c r="W411" i="5"/>
  <c r="R411" i="5"/>
  <c r="P411" i="5"/>
  <c r="K411" i="5"/>
  <c r="I411" i="5"/>
  <c r="Y410" i="5"/>
  <c r="W410" i="5"/>
  <c r="R410" i="5"/>
  <c r="P410" i="5"/>
  <c r="K410" i="5"/>
  <c r="I410" i="5"/>
  <c r="Y409" i="5"/>
  <c r="W409" i="5"/>
  <c r="R409" i="5"/>
  <c r="P409" i="5"/>
  <c r="K409" i="5"/>
  <c r="I409" i="5"/>
  <c r="Y408" i="5"/>
  <c r="W408" i="5"/>
  <c r="R408" i="5"/>
  <c r="P408" i="5"/>
  <c r="K408" i="5"/>
  <c r="I408" i="5"/>
  <c r="Y407" i="5"/>
  <c r="W407" i="5"/>
  <c r="R407" i="5"/>
  <c r="P407" i="5"/>
  <c r="K407" i="5"/>
  <c r="I407" i="5"/>
  <c r="Y404" i="5"/>
  <c r="W404" i="5"/>
  <c r="R404" i="5"/>
  <c r="P404" i="5"/>
  <c r="K404" i="5"/>
  <c r="I404" i="5"/>
  <c r="Y403" i="5"/>
  <c r="W403" i="5"/>
  <c r="R403" i="5"/>
  <c r="P403" i="5"/>
  <c r="K403" i="5"/>
  <c r="I403" i="5"/>
  <c r="Y402" i="5"/>
  <c r="W402" i="5"/>
  <c r="R402" i="5"/>
  <c r="P402" i="5"/>
  <c r="K402" i="5"/>
  <c r="I402" i="5"/>
  <c r="Y401" i="5"/>
  <c r="W401" i="5"/>
  <c r="R401" i="5"/>
  <c r="P401" i="5"/>
  <c r="K401" i="5"/>
  <c r="I401" i="5"/>
  <c r="Y400" i="5"/>
  <c r="W400" i="5"/>
  <c r="R400" i="5"/>
  <c r="P400" i="5"/>
  <c r="K400" i="5"/>
  <c r="I400" i="5"/>
  <c r="Y399" i="5"/>
  <c r="W399" i="5"/>
  <c r="R399" i="5"/>
  <c r="P399" i="5"/>
  <c r="K399" i="5"/>
  <c r="I399" i="5"/>
  <c r="Y398" i="5"/>
  <c r="W398" i="5"/>
  <c r="R398" i="5"/>
  <c r="P398" i="5"/>
  <c r="K398" i="5"/>
  <c r="I398" i="5"/>
  <c r="Y397" i="5"/>
  <c r="W397" i="5"/>
  <c r="R397" i="5"/>
  <c r="P397" i="5"/>
  <c r="K397" i="5"/>
  <c r="I397" i="5"/>
  <c r="Y394" i="5"/>
  <c r="W394" i="5"/>
  <c r="R394" i="5"/>
  <c r="P394" i="5"/>
  <c r="K394" i="5"/>
  <c r="I394" i="5"/>
  <c r="Y393" i="5"/>
  <c r="W393" i="5"/>
  <c r="R393" i="5"/>
  <c r="P393" i="5"/>
  <c r="K393" i="5"/>
  <c r="I393" i="5"/>
  <c r="Y392" i="5"/>
  <c r="W392" i="5"/>
  <c r="R392" i="5"/>
  <c r="P392" i="5"/>
  <c r="K392" i="5"/>
  <c r="I392" i="5"/>
  <c r="Y391" i="5"/>
  <c r="W391" i="5"/>
  <c r="R391" i="5"/>
  <c r="P391" i="5"/>
  <c r="K391" i="5"/>
  <c r="I391" i="5"/>
  <c r="Y390" i="5"/>
  <c r="W390" i="5"/>
  <c r="R390" i="5"/>
  <c r="P390" i="5"/>
  <c r="K390" i="5"/>
  <c r="I390" i="5"/>
  <c r="Y389" i="5"/>
  <c r="W389" i="5"/>
  <c r="R389" i="5"/>
  <c r="P389" i="5"/>
  <c r="K389" i="5"/>
  <c r="I389" i="5"/>
  <c r="Y388" i="5"/>
  <c r="W388" i="5"/>
  <c r="R388" i="5"/>
  <c r="P388" i="5"/>
  <c r="K388" i="5"/>
  <c r="I388" i="5"/>
  <c r="Y387" i="5"/>
  <c r="W387" i="5"/>
  <c r="R387" i="5"/>
  <c r="P387" i="5"/>
  <c r="K387" i="5"/>
  <c r="I387" i="5"/>
  <c r="Y386" i="5"/>
  <c r="W386" i="5"/>
  <c r="R386" i="5"/>
  <c r="P386" i="5"/>
  <c r="K386" i="5"/>
  <c r="I386" i="5"/>
  <c r="Y382" i="5"/>
  <c r="W382" i="5"/>
  <c r="R382" i="5"/>
  <c r="P382" i="5"/>
  <c r="K382" i="5"/>
  <c r="I382" i="5"/>
  <c r="Y381" i="5"/>
  <c r="W381" i="5"/>
  <c r="R381" i="5"/>
  <c r="P381" i="5"/>
  <c r="K381" i="5"/>
  <c r="I381" i="5"/>
  <c r="Y380" i="5"/>
  <c r="W380" i="5"/>
  <c r="R380" i="5"/>
  <c r="P380" i="5"/>
  <c r="K380" i="5"/>
  <c r="I380" i="5"/>
  <c r="Y379" i="5"/>
  <c r="W379" i="5"/>
  <c r="R379" i="5"/>
  <c r="P379" i="5"/>
  <c r="K379" i="5"/>
  <c r="I379" i="5"/>
  <c r="Y378" i="5"/>
  <c r="W378" i="5"/>
  <c r="R378" i="5"/>
  <c r="P378" i="5"/>
  <c r="K378" i="5"/>
  <c r="I378" i="5"/>
  <c r="Y377" i="5"/>
  <c r="W377" i="5"/>
  <c r="R377" i="5"/>
  <c r="P377" i="5"/>
  <c r="K377" i="5"/>
  <c r="I377" i="5"/>
  <c r="Y374" i="5"/>
  <c r="W374" i="5"/>
  <c r="R374" i="5"/>
  <c r="P374" i="5"/>
  <c r="K374" i="5"/>
  <c r="I374" i="5"/>
  <c r="Y373" i="5"/>
  <c r="W373" i="5"/>
  <c r="R373" i="5"/>
  <c r="P373" i="5"/>
  <c r="K373" i="5"/>
  <c r="I373" i="5"/>
  <c r="Y372" i="5"/>
  <c r="W372" i="5"/>
  <c r="R372" i="5"/>
  <c r="P372" i="5"/>
  <c r="K372" i="5"/>
  <c r="I372" i="5"/>
  <c r="Y371" i="5"/>
  <c r="W371" i="5"/>
  <c r="R371" i="5"/>
  <c r="P371" i="5"/>
  <c r="K371" i="5"/>
  <c r="I371" i="5"/>
  <c r="Y370" i="5"/>
  <c r="W370" i="5"/>
  <c r="R370" i="5"/>
  <c r="P370" i="5"/>
  <c r="K370" i="5"/>
  <c r="I370" i="5"/>
  <c r="Y369" i="5"/>
  <c r="W369" i="5"/>
  <c r="R369" i="5"/>
  <c r="P369" i="5"/>
  <c r="K369" i="5"/>
  <c r="I369" i="5"/>
  <c r="Y366" i="5"/>
  <c r="W366" i="5"/>
  <c r="R366" i="5"/>
  <c r="P366" i="5"/>
  <c r="K366" i="5"/>
  <c r="I366" i="5"/>
  <c r="Y365" i="5"/>
  <c r="W365" i="5"/>
  <c r="R365" i="5"/>
  <c r="P365" i="5"/>
  <c r="K365" i="5"/>
  <c r="I365" i="5"/>
  <c r="Y364" i="5"/>
  <c r="W364" i="5"/>
  <c r="R364" i="5"/>
  <c r="P364" i="5"/>
  <c r="K364" i="5"/>
  <c r="I364" i="5"/>
  <c r="Y363" i="5"/>
  <c r="W363" i="5"/>
  <c r="R363" i="5"/>
  <c r="P363" i="5"/>
  <c r="K363" i="5"/>
  <c r="I363" i="5"/>
  <c r="Y362" i="5"/>
  <c r="W362" i="5"/>
  <c r="R362" i="5"/>
  <c r="P362" i="5"/>
  <c r="K362" i="5"/>
  <c r="I362" i="5"/>
  <c r="Y361" i="5"/>
  <c r="W361" i="5"/>
  <c r="R361" i="5"/>
  <c r="P361" i="5"/>
  <c r="K361" i="5"/>
  <c r="I361" i="5"/>
  <c r="Y358" i="5"/>
  <c r="W358" i="5"/>
  <c r="R358" i="5"/>
  <c r="P358" i="5"/>
  <c r="K358" i="5"/>
  <c r="I358" i="5"/>
  <c r="Y357" i="5"/>
  <c r="W357" i="5"/>
  <c r="R357" i="5"/>
  <c r="P357" i="5"/>
  <c r="K357" i="5"/>
  <c r="I357" i="5"/>
  <c r="Y356" i="5"/>
  <c r="W356" i="5"/>
  <c r="R356" i="5"/>
  <c r="P356" i="5"/>
  <c r="K356" i="5"/>
  <c r="I356" i="5"/>
  <c r="Y355" i="5"/>
  <c r="W355" i="5"/>
  <c r="R355" i="5"/>
  <c r="P355" i="5"/>
  <c r="K355" i="5"/>
  <c r="I355" i="5"/>
  <c r="Y354" i="5"/>
  <c r="W354" i="5"/>
  <c r="R354" i="5"/>
  <c r="P354" i="5"/>
  <c r="K354" i="5"/>
  <c r="I354" i="5"/>
  <c r="Y353" i="5"/>
  <c r="W353" i="5"/>
  <c r="R353" i="5"/>
  <c r="P353" i="5"/>
  <c r="K353" i="5"/>
  <c r="I353" i="5"/>
  <c r="Y350" i="5"/>
  <c r="W350" i="5"/>
  <c r="R350" i="5"/>
  <c r="P350" i="5"/>
  <c r="K350" i="5"/>
  <c r="I350" i="5"/>
  <c r="Y349" i="5"/>
  <c r="W349" i="5"/>
  <c r="R349" i="5"/>
  <c r="P349" i="5"/>
  <c r="K349" i="5"/>
  <c r="I349" i="5"/>
  <c r="Y348" i="5"/>
  <c r="W348" i="5"/>
  <c r="R348" i="5"/>
  <c r="P348" i="5"/>
  <c r="K348" i="5"/>
  <c r="I348" i="5"/>
  <c r="Y347" i="5"/>
  <c r="W347" i="5"/>
  <c r="R347" i="5"/>
  <c r="P347" i="5"/>
  <c r="K347" i="5"/>
  <c r="I347" i="5"/>
  <c r="Y346" i="5"/>
  <c r="W346" i="5"/>
  <c r="R346" i="5"/>
  <c r="P346" i="5"/>
  <c r="K346" i="5"/>
  <c r="I346" i="5"/>
  <c r="Y345" i="5"/>
  <c r="W345" i="5"/>
  <c r="R345" i="5"/>
  <c r="P345" i="5"/>
  <c r="K345" i="5"/>
  <c r="I345" i="5"/>
  <c r="Y342" i="5"/>
  <c r="W342" i="5"/>
  <c r="R342" i="5"/>
  <c r="P342" i="5"/>
  <c r="K342" i="5"/>
  <c r="I342" i="5"/>
  <c r="Y341" i="5"/>
  <c r="W341" i="5"/>
  <c r="R341" i="5"/>
  <c r="P341" i="5"/>
  <c r="K341" i="5"/>
  <c r="I341" i="5"/>
  <c r="Y340" i="5"/>
  <c r="W340" i="5"/>
  <c r="R340" i="5"/>
  <c r="P340" i="5"/>
  <c r="K340" i="5"/>
  <c r="I340" i="5"/>
  <c r="Y339" i="5"/>
  <c r="W339" i="5"/>
  <c r="R339" i="5"/>
  <c r="P339" i="5"/>
  <c r="K339" i="5"/>
  <c r="I339" i="5"/>
  <c r="Y338" i="5"/>
  <c r="W338" i="5"/>
  <c r="R338" i="5"/>
  <c r="P338" i="5"/>
  <c r="K338" i="5"/>
  <c r="I338" i="5"/>
  <c r="Y337" i="5"/>
  <c r="W337" i="5"/>
  <c r="R337" i="5"/>
  <c r="P337" i="5"/>
  <c r="K337" i="5"/>
  <c r="I337" i="5"/>
  <c r="Y334" i="5"/>
  <c r="W334" i="5"/>
  <c r="R334" i="5"/>
  <c r="P334" i="5"/>
  <c r="K334" i="5"/>
  <c r="I334" i="5"/>
  <c r="Y333" i="5"/>
  <c r="W333" i="5"/>
  <c r="R333" i="5"/>
  <c r="P333" i="5"/>
  <c r="K333" i="5"/>
  <c r="I333" i="5"/>
  <c r="Y332" i="5"/>
  <c r="W332" i="5"/>
  <c r="R332" i="5"/>
  <c r="P332" i="5"/>
  <c r="K332" i="5"/>
  <c r="I332" i="5"/>
  <c r="Y331" i="5"/>
  <c r="W331" i="5"/>
  <c r="R331" i="5"/>
  <c r="P331" i="5"/>
  <c r="K331" i="5"/>
  <c r="I331" i="5"/>
  <c r="Y330" i="5"/>
  <c r="W330" i="5"/>
  <c r="R330" i="5"/>
  <c r="P330" i="5"/>
  <c r="K330" i="5"/>
  <c r="I330" i="5"/>
  <c r="Y329" i="5"/>
  <c r="W329" i="5"/>
  <c r="R329" i="5"/>
  <c r="P329" i="5"/>
  <c r="K329" i="5"/>
  <c r="I329" i="5"/>
  <c r="Y326" i="5"/>
  <c r="W326" i="5"/>
  <c r="R326" i="5"/>
  <c r="P326" i="5"/>
  <c r="K326" i="5"/>
  <c r="I326" i="5"/>
  <c r="Y325" i="5"/>
  <c r="W325" i="5"/>
  <c r="R325" i="5"/>
  <c r="P325" i="5"/>
  <c r="K325" i="5"/>
  <c r="I325" i="5"/>
  <c r="Y324" i="5"/>
  <c r="W324" i="5"/>
  <c r="R324" i="5"/>
  <c r="P324" i="5"/>
  <c r="K324" i="5"/>
  <c r="I324" i="5"/>
  <c r="Y323" i="5"/>
  <c r="W323" i="5"/>
  <c r="R323" i="5"/>
  <c r="P323" i="5"/>
  <c r="K323" i="5"/>
  <c r="I323" i="5"/>
  <c r="Y322" i="5"/>
  <c r="W322" i="5"/>
  <c r="R322" i="5"/>
  <c r="P322" i="5"/>
  <c r="K322" i="5"/>
  <c r="I322" i="5"/>
  <c r="Y321" i="5"/>
  <c r="W321" i="5"/>
  <c r="R321" i="5"/>
  <c r="P321" i="5"/>
  <c r="K321" i="5"/>
  <c r="I321" i="5"/>
  <c r="Y318" i="5"/>
  <c r="W318" i="5"/>
  <c r="R318" i="5"/>
  <c r="P318" i="5"/>
  <c r="K318" i="5"/>
  <c r="I318" i="5"/>
  <c r="Y317" i="5"/>
  <c r="W317" i="5"/>
  <c r="R317" i="5"/>
  <c r="P317" i="5"/>
  <c r="K317" i="5"/>
  <c r="I317" i="5"/>
  <c r="Y316" i="5"/>
  <c r="W316" i="5"/>
  <c r="R316" i="5"/>
  <c r="P316" i="5"/>
  <c r="K316" i="5"/>
  <c r="I316" i="5"/>
  <c r="Y315" i="5"/>
  <c r="W315" i="5"/>
  <c r="R315" i="5"/>
  <c r="P315" i="5"/>
  <c r="K315" i="5"/>
  <c r="I315" i="5"/>
  <c r="Y314" i="5"/>
  <c r="W314" i="5"/>
  <c r="R314" i="5"/>
  <c r="P314" i="5"/>
  <c r="K314" i="5"/>
  <c r="I314" i="5"/>
  <c r="Y313" i="5"/>
  <c r="W313" i="5"/>
  <c r="R313" i="5"/>
  <c r="P313" i="5"/>
  <c r="K313" i="5"/>
  <c r="I313" i="5"/>
  <c r="Y310" i="5"/>
  <c r="W310" i="5"/>
  <c r="R310" i="5"/>
  <c r="P310" i="5"/>
  <c r="K310" i="5"/>
  <c r="I310" i="5"/>
  <c r="Y309" i="5"/>
  <c r="W309" i="5"/>
  <c r="R309" i="5"/>
  <c r="P309" i="5"/>
  <c r="K309" i="5"/>
  <c r="I309" i="5"/>
  <c r="Y308" i="5"/>
  <c r="W308" i="5"/>
  <c r="R308" i="5"/>
  <c r="P308" i="5"/>
  <c r="K308" i="5"/>
  <c r="I308" i="5"/>
  <c r="Y307" i="5"/>
  <c r="W307" i="5"/>
  <c r="R307" i="5"/>
  <c r="P307" i="5"/>
  <c r="K307" i="5"/>
  <c r="I307" i="5"/>
  <c r="Y306" i="5"/>
  <c r="W306" i="5"/>
  <c r="R306" i="5"/>
  <c r="P306" i="5"/>
  <c r="K306" i="5"/>
  <c r="I306" i="5"/>
  <c r="Y305" i="5"/>
  <c r="W305" i="5"/>
  <c r="R305" i="5"/>
  <c r="P305" i="5"/>
  <c r="K305" i="5"/>
  <c r="I305" i="5"/>
  <c r="Y294" i="5"/>
  <c r="W294" i="5"/>
  <c r="R294" i="5"/>
  <c r="P294" i="5"/>
  <c r="K294" i="5"/>
  <c r="I294" i="5"/>
  <c r="Y293" i="5"/>
  <c r="W293" i="5"/>
  <c r="R293" i="5"/>
  <c r="P293" i="5"/>
  <c r="K293" i="5"/>
  <c r="I293" i="5"/>
  <c r="Y292" i="5"/>
  <c r="W292" i="5"/>
  <c r="R292" i="5"/>
  <c r="P292" i="5"/>
  <c r="K292" i="5"/>
  <c r="I292" i="5"/>
  <c r="Y291" i="5"/>
  <c r="W291" i="5"/>
  <c r="R291" i="5"/>
  <c r="P291" i="5"/>
  <c r="K291" i="5"/>
  <c r="I291" i="5"/>
  <c r="Y290" i="5"/>
  <c r="W290" i="5"/>
  <c r="R290" i="5"/>
  <c r="P290" i="5"/>
  <c r="K290" i="5"/>
  <c r="I290" i="5"/>
  <c r="Y286" i="5"/>
  <c r="W286" i="5"/>
  <c r="R286" i="5"/>
  <c r="P286" i="5"/>
  <c r="K286" i="5"/>
  <c r="I286" i="5"/>
  <c r="Y285" i="5"/>
  <c r="W285" i="5"/>
  <c r="R285" i="5"/>
  <c r="P285" i="5"/>
  <c r="K285" i="5"/>
  <c r="I285" i="5"/>
  <c r="Y284" i="5"/>
  <c r="W284" i="5"/>
  <c r="R284" i="5"/>
  <c r="P284" i="5"/>
  <c r="K284" i="5"/>
  <c r="I284" i="5"/>
  <c r="Y283" i="5"/>
  <c r="W283" i="5"/>
  <c r="R283" i="5"/>
  <c r="P283" i="5"/>
  <c r="K283" i="5"/>
  <c r="I283" i="5"/>
  <c r="Y282" i="5"/>
  <c r="W282" i="5"/>
  <c r="R282" i="5"/>
  <c r="P282" i="5"/>
  <c r="K282" i="5"/>
  <c r="I282" i="5"/>
  <c r="Y281" i="5"/>
  <c r="W281" i="5"/>
  <c r="R281" i="5"/>
  <c r="P281" i="5"/>
  <c r="K281" i="5"/>
  <c r="I281" i="5"/>
  <c r="Y280" i="5"/>
  <c r="W280" i="5"/>
  <c r="R280" i="5"/>
  <c r="P280" i="5"/>
  <c r="K280" i="5"/>
  <c r="I280" i="5"/>
  <c r="Y279" i="5"/>
  <c r="W279" i="5"/>
  <c r="R279" i="5"/>
  <c r="P279" i="5"/>
  <c r="K279" i="5"/>
  <c r="I279" i="5"/>
  <c r="Y278" i="5"/>
  <c r="W278" i="5"/>
  <c r="R278" i="5"/>
  <c r="P278" i="5"/>
  <c r="K278" i="5"/>
  <c r="I278" i="5"/>
  <c r="Y277" i="5"/>
  <c r="W277" i="5"/>
  <c r="R277" i="5"/>
  <c r="P277" i="5"/>
  <c r="K277" i="5"/>
  <c r="I277" i="5"/>
  <c r="Y276" i="5"/>
  <c r="W276" i="5"/>
  <c r="R276" i="5"/>
  <c r="P276" i="5"/>
  <c r="K276" i="5"/>
  <c r="I276" i="5"/>
  <c r="Y275" i="5"/>
  <c r="W275" i="5"/>
  <c r="R275" i="5"/>
  <c r="P275" i="5"/>
  <c r="K275" i="5"/>
  <c r="I275" i="5"/>
  <c r="Y274" i="5"/>
  <c r="W274" i="5"/>
  <c r="R274" i="5"/>
  <c r="P274" i="5"/>
  <c r="K274" i="5"/>
  <c r="I274" i="5"/>
  <c r="Y273" i="5"/>
  <c r="W273" i="5"/>
  <c r="R273" i="5"/>
  <c r="P273" i="5"/>
  <c r="K273" i="5"/>
  <c r="I273" i="5"/>
  <c r="Y269" i="5"/>
  <c r="W269" i="5"/>
  <c r="R269" i="5"/>
  <c r="P269" i="5"/>
  <c r="K269" i="5"/>
  <c r="I269" i="5"/>
  <c r="Y268" i="5"/>
  <c r="W268" i="5"/>
  <c r="R268" i="5"/>
  <c r="P268" i="5"/>
  <c r="K268" i="5"/>
  <c r="I268" i="5"/>
  <c r="Y267" i="5"/>
  <c r="W267" i="5"/>
  <c r="R267" i="5"/>
  <c r="P267" i="5"/>
  <c r="K267" i="5"/>
  <c r="I267" i="5"/>
  <c r="Y266" i="5"/>
  <c r="W266" i="5"/>
  <c r="R266" i="5"/>
  <c r="P266" i="5"/>
  <c r="K266" i="5"/>
  <c r="I266" i="5"/>
  <c r="Y265" i="5"/>
  <c r="W265" i="5"/>
  <c r="R265" i="5"/>
  <c r="P265" i="5"/>
  <c r="K265" i="5"/>
  <c r="I265" i="5"/>
  <c r="Y264" i="5"/>
  <c r="W264" i="5"/>
  <c r="R264" i="5"/>
  <c r="P264" i="5"/>
  <c r="K264" i="5"/>
  <c r="I264" i="5"/>
  <c r="Y260" i="5"/>
  <c r="W260" i="5"/>
  <c r="R260" i="5"/>
  <c r="P260" i="5"/>
  <c r="K260" i="5"/>
  <c r="I260" i="5"/>
  <c r="Y259" i="5"/>
  <c r="W259" i="5"/>
  <c r="R259" i="5"/>
  <c r="P259" i="5"/>
  <c r="K259" i="5"/>
  <c r="I259" i="5"/>
  <c r="Y258" i="5"/>
  <c r="W258" i="5"/>
  <c r="R258" i="5"/>
  <c r="P258" i="5"/>
  <c r="K258" i="5"/>
  <c r="I258" i="5"/>
  <c r="Y257" i="5"/>
  <c r="W257" i="5"/>
  <c r="R257" i="5"/>
  <c r="P257" i="5"/>
  <c r="K257" i="5"/>
  <c r="I257" i="5"/>
  <c r="Y256" i="5"/>
  <c r="W256" i="5"/>
  <c r="R256" i="5"/>
  <c r="P256" i="5"/>
  <c r="K256" i="5"/>
  <c r="I256" i="5"/>
  <c r="Y255" i="5"/>
  <c r="W255" i="5"/>
  <c r="R255" i="5"/>
  <c r="P255" i="5"/>
  <c r="K255" i="5"/>
  <c r="I255" i="5"/>
  <c r="Y254" i="5"/>
  <c r="W254" i="5"/>
  <c r="R254" i="5"/>
  <c r="P254" i="5"/>
  <c r="K254" i="5"/>
  <c r="I254" i="5"/>
  <c r="Y253" i="5"/>
  <c r="W253" i="5"/>
  <c r="R253" i="5"/>
  <c r="P253" i="5"/>
  <c r="K253" i="5"/>
  <c r="I253" i="5"/>
  <c r="Y252" i="5"/>
  <c r="W252" i="5"/>
  <c r="R252" i="5"/>
  <c r="P252" i="5"/>
  <c r="K252" i="5"/>
  <c r="I252" i="5"/>
  <c r="Y248" i="5"/>
  <c r="W248" i="5"/>
  <c r="R248" i="5"/>
  <c r="P248" i="5"/>
  <c r="K248" i="5"/>
  <c r="I248" i="5"/>
  <c r="Y247" i="5"/>
  <c r="W247" i="5"/>
  <c r="R247" i="5"/>
  <c r="P247" i="5"/>
  <c r="K247" i="5"/>
  <c r="I247" i="5"/>
  <c r="Y246" i="5"/>
  <c r="W246" i="5"/>
  <c r="R246" i="5"/>
  <c r="P246" i="5"/>
  <c r="K246" i="5"/>
  <c r="I246" i="5"/>
  <c r="Y245" i="5"/>
  <c r="W245" i="5"/>
  <c r="R245" i="5"/>
  <c r="P245" i="5"/>
  <c r="K245" i="5"/>
  <c r="I245" i="5"/>
  <c r="Y244" i="5"/>
  <c r="W244" i="5"/>
  <c r="R244" i="5"/>
  <c r="P244" i="5"/>
  <c r="K244" i="5"/>
  <c r="I244" i="5"/>
  <c r="Y240" i="5"/>
  <c r="W240" i="5"/>
  <c r="R240" i="5"/>
  <c r="P240" i="5"/>
  <c r="K240" i="5"/>
  <c r="I240" i="5"/>
  <c r="Y239" i="5"/>
  <c r="W239" i="5"/>
  <c r="R239" i="5"/>
  <c r="P239" i="5"/>
  <c r="K239" i="5"/>
  <c r="I239" i="5"/>
  <c r="Y238" i="5"/>
  <c r="W238" i="5"/>
  <c r="R238" i="5"/>
  <c r="P238" i="5"/>
  <c r="K238" i="5"/>
  <c r="I238" i="5"/>
  <c r="Y237" i="5"/>
  <c r="W237" i="5"/>
  <c r="R237" i="5"/>
  <c r="P237" i="5"/>
  <c r="K237" i="5"/>
  <c r="I237" i="5"/>
  <c r="Y236" i="5"/>
  <c r="W236" i="5"/>
  <c r="R236" i="5"/>
  <c r="P236" i="5"/>
  <c r="K236" i="5"/>
  <c r="I236" i="5"/>
  <c r="Y235" i="5"/>
  <c r="W235" i="5"/>
  <c r="R235" i="5"/>
  <c r="P235" i="5"/>
  <c r="K235" i="5"/>
  <c r="I235" i="5"/>
  <c r="Y231" i="5"/>
  <c r="W231" i="5"/>
  <c r="R231" i="5"/>
  <c r="P231" i="5"/>
  <c r="K231" i="5"/>
  <c r="I231" i="5"/>
  <c r="Y230" i="5"/>
  <c r="W230" i="5"/>
  <c r="R230" i="5"/>
  <c r="P230" i="5"/>
  <c r="K230" i="5"/>
  <c r="I230" i="5"/>
  <c r="Y229" i="5"/>
  <c r="W229" i="5"/>
  <c r="R229" i="5"/>
  <c r="P229" i="5"/>
  <c r="K229" i="5"/>
  <c r="I229" i="5"/>
  <c r="Y228" i="5"/>
  <c r="W228" i="5"/>
  <c r="R228" i="5"/>
  <c r="P228" i="5"/>
  <c r="K228" i="5"/>
  <c r="I228" i="5"/>
  <c r="Y227" i="5"/>
  <c r="W227" i="5"/>
  <c r="R227" i="5"/>
  <c r="P227" i="5"/>
  <c r="K227" i="5"/>
  <c r="I227" i="5"/>
  <c r="Y226" i="5"/>
  <c r="W226" i="5"/>
  <c r="R226" i="5"/>
  <c r="P226" i="5"/>
  <c r="K226" i="5"/>
  <c r="I226" i="5"/>
  <c r="Y225" i="5"/>
  <c r="W225" i="5"/>
  <c r="R225" i="5"/>
  <c r="P225" i="5"/>
  <c r="K225" i="5"/>
  <c r="I225" i="5"/>
  <c r="Y224" i="5"/>
  <c r="W224" i="5"/>
  <c r="R224" i="5"/>
  <c r="P224" i="5"/>
  <c r="K224" i="5"/>
  <c r="I224" i="5"/>
  <c r="Y223" i="5"/>
  <c r="W223" i="5"/>
  <c r="R223" i="5"/>
  <c r="P223" i="5"/>
  <c r="K223" i="5"/>
  <c r="I223" i="5"/>
  <c r="Y222" i="5"/>
  <c r="W222" i="5"/>
  <c r="R222" i="5"/>
  <c r="P222" i="5"/>
  <c r="K222" i="5"/>
  <c r="I222" i="5"/>
  <c r="Y217" i="5"/>
  <c r="W217" i="5"/>
  <c r="R217" i="5"/>
  <c r="P217" i="5"/>
  <c r="K217" i="5"/>
  <c r="I217" i="5"/>
  <c r="Y216" i="5"/>
  <c r="W216" i="5"/>
  <c r="R216" i="5"/>
  <c r="P216" i="5"/>
  <c r="K216" i="5"/>
  <c r="I216" i="5"/>
  <c r="Y215" i="5"/>
  <c r="W215" i="5"/>
  <c r="R215" i="5"/>
  <c r="P215" i="5"/>
  <c r="K215" i="5"/>
  <c r="I215" i="5"/>
  <c r="Y211" i="5"/>
  <c r="W211" i="5"/>
  <c r="R211" i="5"/>
  <c r="P211" i="5"/>
  <c r="K211" i="5"/>
  <c r="I211" i="5"/>
  <c r="Y210" i="5"/>
  <c r="W210" i="5"/>
  <c r="R210" i="5"/>
  <c r="P210" i="5"/>
  <c r="K210" i="5"/>
  <c r="I210" i="5"/>
  <c r="Y209" i="5"/>
  <c r="W209" i="5"/>
  <c r="R209" i="5"/>
  <c r="P209" i="5"/>
  <c r="K209" i="5"/>
  <c r="I209" i="5"/>
  <c r="Y205" i="5"/>
  <c r="W205" i="5"/>
  <c r="R205" i="5"/>
  <c r="P205" i="5"/>
  <c r="K205" i="5"/>
  <c r="I205" i="5"/>
  <c r="Y204" i="5"/>
  <c r="W204" i="5"/>
  <c r="R204" i="5"/>
  <c r="P204" i="5"/>
  <c r="K204" i="5"/>
  <c r="I204" i="5"/>
  <c r="Y203" i="5"/>
  <c r="W203" i="5"/>
  <c r="R203" i="5"/>
  <c r="P203" i="5"/>
  <c r="K203" i="5"/>
  <c r="I203" i="5"/>
  <c r="Y202" i="5"/>
  <c r="W202" i="5"/>
  <c r="R202" i="5"/>
  <c r="P202" i="5"/>
  <c r="K202" i="5"/>
  <c r="I202" i="5"/>
  <c r="Y198" i="5"/>
  <c r="W198" i="5"/>
  <c r="R198" i="5"/>
  <c r="P198" i="5"/>
  <c r="K198" i="5"/>
  <c r="I198" i="5"/>
  <c r="Y197" i="5"/>
  <c r="W197" i="5"/>
  <c r="R197" i="5"/>
  <c r="P197" i="5"/>
  <c r="K197" i="5"/>
  <c r="I197" i="5"/>
  <c r="Y196" i="5"/>
  <c r="W196" i="5"/>
  <c r="R196" i="5"/>
  <c r="P196" i="5"/>
  <c r="K196" i="5"/>
  <c r="I196" i="5"/>
  <c r="Y195" i="5"/>
  <c r="W195" i="5"/>
  <c r="R195" i="5"/>
  <c r="P195" i="5"/>
  <c r="K195" i="5"/>
  <c r="I195" i="5"/>
  <c r="Y190" i="5"/>
  <c r="W190" i="5"/>
  <c r="R190" i="5"/>
  <c r="P190" i="5"/>
  <c r="K190" i="5"/>
  <c r="I190" i="5"/>
  <c r="Y189" i="5"/>
  <c r="W189" i="5"/>
  <c r="R189" i="5"/>
  <c r="P189" i="5"/>
  <c r="K189" i="5"/>
  <c r="I189" i="5"/>
  <c r="Y188" i="5"/>
  <c r="W188" i="5"/>
  <c r="R188" i="5"/>
  <c r="P188" i="5"/>
  <c r="K188" i="5"/>
  <c r="I188" i="5"/>
  <c r="Y187" i="5"/>
  <c r="W187" i="5"/>
  <c r="R187" i="5"/>
  <c r="P187" i="5"/>
  <c r="K187" i="5"/>
  <c r="I187" i="5"/>
  <c r="Y186" i="5"/>
  <c r="W186" i="5"/>
  <c r="R186" i="5"/>
  <c r="P186" i="5"/>
  <c r="K186" i="5"/>
  <c r="I186" i="5"/>
  <c r="Y185" i="5"/>
  <c r="W185" i="5"/>
  <c r="R185" i="5"/>
  <c r="P185" i="5"/>
  <c r="K185" i="5"/>
  <c r="I185" i="5"/>
  <c r="Y184" i="5"/>
  <c r="W184" i="5"/>
  <c r="R184" i="5"/>
  <c r="P184" i="5"/>
  <c r="K184" i="5"/>
  <c r="I184" i="5"/>
  <c r="Y183" i="5"/>
  <c r="W183" i="5"/>
  <c r="R183" i="5"/>
  <c r="P183" i="5"/>
  <c r="K183" i="5"/>
  <c r="I183" i="5"/>
  <c r="Y182" i="5"/>
  <c r="W182" i="5"/>
  <c r="R182" i="5"/>
  <c r="P182" i="5"/>
  <c r="K182" i="5"/>
  <c r="I182" i="5"/>
  <c r="Y178" i="5"/>
  <c r="W178" i="5"/>
  <c r="R178" i="5"/>
  <c r="P178" i="5"/>
  <c r="K178" i="5"/>
  <c r="I178" i="5"/>
  <c r="Y177" i="5"/>
  <c r="W177" i="5"/>
  <c r="R177" i="5"/>
  <c r="P177" i="5"/>
  <c r="K177" i="5"/>
  <c r="I177" i="5"/>
  <c r="Y176" i="5"/>
  <c r="W176" i="5"/>
  <c r="R176" i="5"/>
  <c r="P176" i="5"/>
  <c r="K176" i="5"/>
  <c r="I176" i="5"/>
  <c r="Y175" i="5"/>
  <c r="W175" i="5"/>
  <c r="R175" i="5"/>
  <c r="P175" i="5"/>
  <c r="K175" i="5"/>
  <c r="I175" i="5"/>
  <c r="Y171" i="5"/>
  <c r="W171" i="5"/>
  <c r="R171" i="5"/>
  <c r="P171" i="5"/>
  <c r="K171" i="5"/>
  <c r="I171" i="5"/>
  <c r="Y170" i="5"/>
  <c r="W170" i="5"/>
  <c r="R170" i="5"/>
  <c r="P170" i="5"/>
  <c r="K170" i="5"/>
  <c r="I170" i="5"/>
  <c r="Y169" i="5"/>
  <c r="W169" i="5"/>
  <c r="R169" i="5"/>
  <c r="P169" i="5"/>
  <c r="K169" i="5"/>
  <c r="I169" i="5"/>
  <c r="Y168" i="5"/>
  <c r="W168" i="5"/>
  <c r="R168" i="5"/>
  <c r="P168" i="5"/>
  <c r="K168" i="5"/>
  <c r="I168" i="5"/>
  <c r="Y164" i="5"/>
  <c r="W164" i="5"/>
  <c r="R164" i="5"/>
  <c r="P164" i="5"/>
  <c r="K164" i="5"/>
  <c r="I164" i="5"/>
  <c r="Y163" i="5"/>
  <c r="W163" i="5"/>
  <c r="R163" i="5"/>
  <c r="P163" i="5"/>
  <c r="K163" i="5"/>
  <c r="I163" i="5"/>
  <c r="Y162" i="5"/>
  <c r="W162" i="5"/>
  <c r="R162" i="5"/>
  <c r="P162" i="5"/>
  <c r="K162" i="5"/>
  <c r="I162" i="5"/>
  <c r="Y161" i="5"/>
  <c r="W161" i="5"/>
  <c r="R161" i="5"/>
  <c r="P161" i="5"/>
  <c r="K161" i="5"/>
  <c r="I161" i="5"/>
  <c r="Y160" i="5"/>
  <c r="W160" i="5"/>
  <c r="R160" i="5"/>
  <c r="P160" i="5"/>
  <c r="K160" i="5"/>
  <c r="I160" i="5"/>
  <c r="Y159" i="5"/>
  <c r="W159" i="5"/>
  <c r="R159" i="5"/>
  <c r="P159" i="5"/>
  <c r="K159" i="5"/>
  <c r="I159" i="5"/>
  <c r="Y158" i="5"/>
  <c r="W158" i="5"/>
  <c r="R158" i="5"/>
  <c r="P158" i="5"/>
  <c r="K158" i="5"/>
  <c r="I158" i="5"/>
  <c r="Y157" i="5"/>
  <c r="W157" i="5"/>
  <c r="R157" i="5"/>
  <c r="P157" i="5"/>
  <c r="K157" i="5"/>
  <c r="I157" i="5"/>
  <c r="Y156" i="5"/>
  <c r="W156" i="5"/>
  <c r="R156" i="5"/>
  <c r="P156" i="5"/>
  <c r="K156" i="5"/>
  <c r="I156" i="5"/>
  <c r="Y155" i="5"/>
  <c r="W155" i="5"/>
  <c r="R155" i="5"/>
  <c r="P155" i="5"/>
  <c r="K155" i="5"/>
  <c r="I155" i="5"/>
  <c r="Y154" i="5"/>
  <c r="W154" i="5"/>
  <c r="R154" i="5"/>
  <c r="P154" i="5"/>
  <c r="K154" i="5"/>
  <c r="I154" i="5"/>
  <c r="Y153" i="5"/>
  <c r="W153" i="5"/>
  <c r="R153" i="5"/>
  <c r="P153" i="5"/>
  <c r="K153" i="5"/>
  <c r="I153" i="5"/>
  <c r="Y147" i="5"/>
  <c r="W147" i="5"/>
  <c r="R147" i="5"/>
  <c r="P147" i="5"/>
  <c r="K147" i="5"/>
  <c r="I147" i="5"/>
  <c r="Y146" i="5"/>
  <c r="W146" i="5"/>
  <c r="R146" i="5"/>
  <c r="P146" i="5"/>
  <c r="K146" i="5"/>
  <c r="I146" i="5"/>
  <c r="Y145" i="5"/>
  <c r="W145" i="5"/>
  <c r="R145" i="5"/>
  <c r="P145" i="5"/>
  <c r="K145" i="5"/>
  <c r="I145" i="5"/>
  <c r="Y144" i="5"/>
  <c r="W144" i="5"/>
  <c r="R144" i="5"/>
  <c r="P144" i="5"/>
  <c r="K144" i="5"/>
  <c r="I144" i="5"/>
  <c r="Y140" i="5"/>
  <c r="W140" i="5"/>
  <c r="R140" i="5"/>
  <c r="P140" i="5"/>
  <c r="K140" i="5"/>
  <c r="I140" i="5"/>
  <c r="Y139" i="5"/>
  <c r="W139" i="5"/>
  <c r="R139" i="5"/>
  <c r="P139" i="5"/>
  <c r="K139" i="5"/>
  <c r="I139" i="5"/>
  <c r="Y138" i="5"/>
  <c r="W138" i="5"/>
  <c r="R138" i="5"/>
  <c r="P138" i="5"/>
  <c r="K138" i="5"/>
  <c r="I138" i="5"/>
  <c r="Y137" i="5"/>
  <c r="W137" i="5"/>
  <c r="R137" i="5"/>
  <c r="P137" i="5"/>
  <c r="K137" i="5"/>
  <c r="I137" i="5"/>
  <c r="Y136" i="5"/>
  <c r="W136" i="5"/>
  <c r="R136" i="5"/>
  <c r="P136" i="5"/>
  <c r="K136" i="5"/>
  <c r="I136" i="5"/>
  <c r="Y135" i="5"/>
  <c r="W135" i="5"/>
  <c r="R135" i="5"/>
  <c r="P135" i="5"/>
  <c r="K135" i="5"/>
  <c r="I135" i="5"/>
  <c r="Y134" i="5"/>
  <c r="W134" i="5"/>
  <c r="R134" i="5"/>
  <c r="P134" i="5"/>
  <c r="K134" i="5"/>
  <c r="I134" i="5"/>
  <c r="Y133" i="5"/>
  <c r="W133" i="5"/>
  <c r="R133" i="5"/>
  <c r="P133" i="5"/>
  <c r="K133" i="5"/>
  <c r="I133" i="5"/>
  <c r="Y132" i="5"/>
  <c r="W132" i="5"/>
  <c r="R132" i="5"/>
  <c r="P132" i="5"/>
  <c r="K132" i="5"/>
  <c r="I132" i="5"/>
  <c r="Y131" i="5"/>
  <c r="W131" i="5"/>
  <c r="R131" i="5"/>
  <c r="P131" i="5"/>
  <c r="K131" i="5"/>
  <c r="I131" i="5"/>
  <c r="Y130" i="5"/>
  <c r="W130" i="5"/>
  <c r="R130" i="5"/>
  <c r="P130" i="5"/>
  <c r="K130" i="5"/>
  <c r="I130" i="5"/>
  <c r="Y124" i="5"/>
  <c r="W124" i="5"/>
  <c r="R124" i="5"/>
  <c r="P124" i="5"/>
  <c r="K124" i="5"/>
  <c r="I124" i="5"/>
  <c r="Y123" i="5"/>
  <c r="W123" i="5"/>
  <c r="R123" i="5"/>
  <c r="P123" i="5"/>
  <c r="K123" i="5"/>
  <c r="I123" i="5"/>
  <c r="Y122" i="5"/>
  <c r="W122" i="5"/>
  <c r="R122" i="5"/>
  <c r="P122" i="5"/>
  <c r="K122" i="5"/>
  <c r="I122" i="5"/>
  <c r="Y121" i="5"/>
  <c r="W121" i="5"/>
  <c r="R121" i="5"/>
  <c r="P121" i="5"/>
  <c r="K121" i="5"/>
  <c r="I121" i="5"/>
  <c r="Y114" i="5"/>
  <c r="W114" i="5"/>
  <c r="R114" i="5"/>
  <c r="P114" i="5"/>
  <c r="K114" i="5"/>
  <c r="I114" i="5"/>
  <c r="Y113" i="5"/>
  <c r="W113" i="5"/>
  <c r="R113" i="5"/>
  <c r="P113" i="5"/>
  <c r="K113" i="5"/>
  <c r="I113" i="5"/>
  <c r="Y112" i="5"/>
  <c r="W112" i="5"/>
  <c r="R112" i="5"/>
  <c r="P112" i="5"/>
  <c r="K112" i="5"/>
  <c r="I112" i="5"/>
  <c r="Y111" i="5"/>
  <c r="W111" i="5"/>
  <c r="R111" i="5"/>
  <c r="P111" i="5"/>
  <c r="K111" i="5"/>
  <c r="I111" i="5"/>
  <c r="Y106" i="5"/>
  <c r="W106" i="5"/>
  <c r="R106" i="5"/>
  <c r="P106" i="5"/>
  <c r="K106" i="5"/>
  <c r="I106" i="5"/>
  <c r="Y105" i="5"/>
  <c r="W105" i="5"/>
  <c r="R105" i="5"/>
  <c r="P105" i="5"/>
  <c r="K105" i="5"/>
  <c r="I105" i="5"/>
  <c r="Y104" i="5"/>
  <c r="W104" i="5"/>
  <c r="R104" i="5"/>
  <c r="P104" i="5"/>
  <c r="K104" i="5"/>
  <c r="I104" i="5"/>
  <c r="Y103" i="5"/>
  <c r="W103" i="5"/>
  <c r="R103" i="5"/>
  <c r="P103" i="5"/>
  <c r="K103" i="5"/>
  <c r="I103" i="5"/>
  <c r="Y99" i="5"/>
  <c r="W99" i="5"/>
  <c r="R99" i="5"/>
  <c r="P99" i="5"/>
  <c r="K99" i="5"/>
  <c r="I99" i="5"/>
  <c r="Y98" i="5"/>
  <c r="W98" i="5"/>
  <c r="R98" i="5"/>
  <c r="P98" i="5"/>
  <c r="K98" i="5"/>
  <c r="I98" i="5"/>
  <c r="Y97" i="5"/>
  <c r="W97" i="5"/>
  <c r="R97" i="5"/>
  <c r="P97" i="5"/>
  <c r="K97" i="5"/>
  <c r="I97" i="5"/>
  <c r="Y96" i="5"/>
  <c r="W96" i="5"/>
  <c r="R96" i="5"/>
  <c r="P96" i="5"/>
  <c r="K96" i="5"/>
  <c r="I96" i="5"/>
  <c r="Y95" i="5"/>
  <c r="W95" i="5"/>
  <c r="R95" i="5"/>
  <c r="P95" i="5"/>
  <c r="K95" i="5"/>
  <c r="I95" i="5"/>
  <c r="Y94" i="5"/>
  <c r="W94" i="5"/>
  <c r="R94" i="5"/>
  <c r="P94" i="5"/>
  <c r="K94" i="5"/>
  <c r="I94" i="5"/>
  <c r="Y93" i="5"/>
  <c r="W93" i="5"/>
  <c r="R93" i="5"/>
  <c r="P93" i="5"/>
  <c r="K93" i="5"/>
  <c r="I93" i="5"/>
  <c r="Y92" i="5"/>
  <c r="W92" i="5"/>
  <c r="R92" i="5"/>
  <c r="P92" i="5"/>
  <c r="K92" i="5"/>
  <c r="I92" i="5"/>
  <c r="Y88" i="5"/>
  <c r="W88" i="5"/>
  <c r="R88" i="5"/>
  <c r="P88" i="5"/>
  <c r="K88" i="5"/>
  <c r="I88" i="5"/>
  <c r="Y87" i="5"/>
  <c r="W87" i="5"/>
  <c r="R87" i="5"/>
  <c r="P87" i="5"/>
  <c r="K87" i="5"/>
  <c r="I87" i="5"/>
  <c r="Y86" i="5"/>
  <c r="W86" i="5"/>
  <c r="R86" i="5"/>
  <c r="P86" i="5"/>
  <c r="K86" i="5"/>
  <c r="I86" i="5"/>
  <c r="Y85" i="5"/>
  <c r="W85" i="5"/>
  <c r="R85" i="5"/>
  <c r="P85" i="5"/>
  <c r="K85" i="5"/>
  <c r="I85" i="5"/>
  <c r="Y84" i="5"/>
  <c r="W84" i="5"/>
  <c r="R84" i="5"/>
  <c r="P84" i="5"/>
  <c r="K84" i="5"/>
  <c r="I84" i="5"/>
  <c r="Y83" i="5"/>
  <c r="W83" i="5"/>
  <c r="R83" i="5"/>
  <c r="P83" i="5"/>
  <c r="K83" i="5"/>
  <c r="I83" i="5"/>
  <c r="Y82" i="5"/>
  <c r="W82" i="5"/>
  <c r="R82" i="5"/>
  <c r="P82" i="5"/>
  <c r="K82" i="5"/>
  <c r="I82" i="5"/>
  <c r="Y81" i="5"/>
  <c r="W81" i="5"/>
  <c r="R81" i="5"/>
  <c r="P81" i="5"/>
  <c r="K81" i="5"/>
  <c r="I81" i="5"/>
  <c r="Y80" i="5"/>
  <c r="W80" i="5"/>
  <c r="R80" i="5"/>
  <c r="P80" i="5"/>
  <c r="K80" i="5"/>
  <c r="I80" i="5"/>
  <c r="Y79" i="5"/>
  <c r="W79" i="5"/>
  <c r="R79" i="5"/>
  <c r="P79" i="5"/>
  <c r="K79" i="5"/>
  <c r="I79" i="5"/>
  <c r="Y78" i="5"/>
  <c r="W78" i="5"/>
  <c r="R78" i="5"/>
  <c r="P78" i="5"/>
  <c r="K78" i="5"/>
  <c r="I78" i="5"/>
  <c r="Y73" i="5"/>
  <c r="W73" i="5"/>
  <c r="R73" i="5"/>
  <c r="P73" i="5"/>
  <c r="K73" i="5"/>
  <c r="I73" i="5"/>
  <c r="Y72" i="5"/>
  <c r="W72" i="5"/>
  <c r="R72" i="5"/>
  <c r="P72" i="5"/>
  <c r="K72" i="5"/>
  <c r="I72" i="5"/>
  <c r="Y71" i="5"/>
  <c r="W71" i="5"/>
  <c r="R71" i="5"/>
  <c r="P71" i="5"/>
  <c r="K71" i="5"/>
  <c r="I71" i="5"/>
  <c r="Y70" i="5"/>
  <c r="W70" i="5"/>
  <c r="R70" i="5"/>
  <c r="P70" i="5"/>
  <c r="K70" i="5"/>
  <c r="I70" i="5"/>
  <c r="Y69" i="5"/>
  <c r="W69" i="5"/>
  <c r="R69" i="5"/>
  <c r="P69" i="5"/>
  <c r="K69" i="5"/>
  <c r="I69" i="5"/>
  <c r="Y68" i="5"/>
  <c r="W68" i="5"/>
  <c r="R68" i="5"/>
  <c r="P68" i="5"/>
  <c r="K68" i="5"/>
  <c r="I68" i="5"/>
  <c r="Y64" i="5"/>
  <c r="W64" i="5"/>
  <c r="R64" i="5"/>
  <c r="P64" i="5"/>
  <c r="K64" i="5"/>
  <c r="I64" i="5"/>
  <c r="Y63" i="5"/>
  <c r="W63" i="5"/>
  <c r="R63" i="5"/>
  <c r="P63" i="5"/>
  <c r="K63" i="5"/>
  <c r="I63" i="5"/>
  <c r="Y62" i="5"/>
  <c r="W62" i="5"/>
  <c r="R62" i="5"/>
  <c r="P62" i="5"/>
  <c r="K62" i="5"/>
  <c r="I62" i="5"/>
  <c r="Y61" i="5"/>
  <c r="W61" i="5"/>
  <c r="R61" i="5"/>
  <c r="P61" i="5"/>
  <c r="K61" i="5"/>
  <c r="I61" i="5"/>
  <c r="Y60" i="5"/>
  <c r="W60" i="5"/>
  <c r="R60" i="5"/>
  <c r="P60" i="5"/>
  <c r="K60" i="5"/>
  <c r="I60" i="5"/>
  <c r="Y59" i="5"/>
  <c r="W59" i="5"/>
  <c r="R59" i="5"/>
  <c r="P59" i="5"/>
  <c r="K59" i="5"/>
  <c r="I59" i="5"/>
  <c r="Y58" i="5"/>
  <c r="W58" i="5"/>
  <c r="R58" i="5"/>
  <c r="P58" i="5"/>
  <c r="K58" i="5"/>
  <c r="I58" i="5"/>
  <c r="Y57" i="5"/>
  <c r="W57" i="5"/>
  <c r="R57" i="5"/>
  <c r="P57" i="5"/>
  <c r="K57" i="5"/>
  <c r="I57" i="5"/>
  <c r="Y56" i="5"/>
  <c r="W56" i="5"/>
  <c r="R56" i="5"/>
  <c r="P56" i="5"/>
  <c r="K56" i="5"/>
  <c r="I56" i="5"/>
  <c r="Y55" i="5"/>
  <c r="W55" i="5"/>
  <c r="R55" i="5"/>
  <c r="P55" i="5"/>
  <c r="K55" i="5"/>
  <c r="I55" i="5"/>
  <c r="Y54" i="5"/>
  <c r="W54" i="5"/>
  <c r="R54" i="5"/>
  <c r="P54" i="5"/>
  <c r="K54" i="5"/>
  <c r="I54" i="5"/>
  <c r="Y50" i="5"/>
  <c r="W50" i="5"/>
  <c r="R50" i="5"/>
  <c r="P50" i="5"/>
  <c r="K50" i="5"/>
  <c r="I50" i="5"/>
  <c r="Y49" i="5"/>
  <c r="W49" i="5"/>
  <c r="R49" i="5"/>
  <c r="P49" i="5"/>
  <c r="K49" i="5"/>
  <c r="I49" i="5"/>
  <c r="Y48" i="5"/>
  <c r="W48" i="5"/>
  <c r="R48" i="5"/>
  <c r="P48" i="5"/>
  <c r="K48" i="5"/>
  <c r="I48" i="5"/>
  <c r="Y47" i="5"/>
  <c r="W47" i="5"/>
  <c r="R47" i="5"/>
  <c r="P47" i="5"/>
  <c r="K47" i="5"/>
  <c r="I47" i="5"/>
  <c r="Y43" i="5"/>
  <c r="W43" i="5"/>
  <c r="R43" i="5"/>
  <c r="P43" i="5"/>
  <c r="K43" i="5"/>
  <c r="I43" i="5"/>
  <c r="Y42" i="5"/>
  <c r="W42" i="5"/>
  <c r="R42" i="5"/>
  <c r="P42" i="5"/>
  <c r="K42" i="5"/>
  <c r="I42" i="5"/>
  <c r="Y41" i="5"/>
  <c r="W41" i="5"/>
  <c r="R41" i="5"/>
  <c r="P41" i="5"/>
  <c r="K41" i="5"/>
  <c r="I41" i="5"/>
  <c r="Y40" i="5"/>
  <c r="W40" i="5"/>
  <c r="R40" i="5"/>
  <c r="P40" i="5"/>
  <c r="K40" i="5"/>
  <c r="I40" i="5"/>
  <c r="Y39" i="5"/>
  <c r="W39" i="5"/>
  <c r="R39" i="5"/>
  <c r="P39" i="5"/>
  <c r="K39" i="5"/>
  <c r="I39" i="5"/>
  <c r="Y38" i="5"/>
  <c r="W38" i="5"/>
  <c r="R38" i="5"/>
  <c r="P38" i="5"/>
  <c r="K38" i="5"/>
  <c r="I38" i="5"/>
  <c r="Y34" i="5"/>
  <c r="W34" i="5"/>
  <c r="R34" i="5"/>
  <c r="P34" i="5"/>
  <c r="K34" i="5"/>
  <c r="I34" i="5"/>
  <c r="Y33" i="5"/>
  <c r="W33" i="5"/>
  <c r="R33" i="5"/>
  <c r="P33" i="5"/>
  <c r="K33" i="5"/>
  <c r="I33" i="5"/>
  <c r="Y32" i="5"/>
  <c r="W32" i="5"/>
  <c r="R32" i="5"/>
  <c r="P32" i="5"/>
  <c r="K32" i="5"/>
  <c r="I32" i="5"/>
  <c r="Y31" i="5"/>
  <c r="W31" i="5"/>
  <c r="R31" i="5"/>
  <c r="P31" i="5"/>
  <c r="K31" i="5"/>
  <c r="I31" i="5"/>
  <c r="Y30" i="5"/>
  <c r="W30" i="5"/>
  <c r="R30" i="5"/>
  <c r="P30" i="5"/>
  <c r="K30" i="5"/>
  <c r="I30" i="5"/>
  <c r="Y26" i="5"/>
  <c r="W26" i="5"/>
  <c r="R26" i="5"/>
  <c r="P26" i="5"/>
  <c r="K26" i="5"/>
  <c r="I26" i="5"/>
  <c r="Y25" i="5"/>
  <c r="W25" i="5"/>
  <c r="R25" i="5"/>
  <c r="P25" i="5"/>
  <c r="K25" i="5"/>
  <c r="I25" i="5"/>
  <c r="Y24" i="5"/>
  <c r="W24" i="5"/>
  <c r="R24" i="5"/>
  <c r="P24" i="5"/>
  <c r="K24" i="5"/>
  <c r="I24" i="5"/>
  <c r="Y23" i="5"/>
  <c r="W23" i="5"/>
  <c r="R23" i="5"/>
  <c r="P23" i="5"/>
  <c r="K23" i="5"/>
  <c r="I23" i="5"/>
  <c r="Y18" i="5"/>
  <c r="W18" i="5"/>
  <c r="R18" i="5"/>
  <c r="P18" i="5"/>
  <c r="K18" i="5"/>
  <c r="I18" i="5"/>
  <c r="Y17" i="5"/>
  <c r="W17" i="5"/>
  <c r="R17" i="5"/>
  <c r="P17" i="5"/>
  <c r="K17" i="5"/>
  <c r="I17" i="5"/>
  <c r="Y16" i="5"/>
  <c r="W16" i="5"/>
  <c r="R16" i="5"/>
  <c r="P16" i="5"/>
  <c r="K16" i="5"/>
  <c r="I16" i="5"/>
  <c r="Y15" i="5"/>
  <c r="W15" i="5"/>
  <c r="R15" i="5"/>
  <c r="P15" i="5"/>
  <c r="K15" i="5"/>
  <c r="I15" i="5"/>
  <c r="X7" i="5"/>
  <c r="Q7" i="5"/>
  <c r="J7" i="5"/>
  <c r="X6" i="5"/>
  <c r="Q6" i="5"/>
  <c r="J6" i="5"/>
  <c r="Y452" i="3"/>
  <c r="W452" i="3"/>
  <c r="R452" i="3"/>
  <c r="P452" i="3"/>
  <c r="K452" i="3"/>
  <c r="I452" i="3"/>
  <c r="Y451" i="3"/>
  <c r="W451" i="3"/>
  <c r="R451" i="3"/>
  <c r="P451" i="3"/>
  <c r="K451" i="3"/>
  <c r="I451" i="3"/>
  <c r="Y450" i="3"/>
  <c r="W450" i="3"/>
  <c r="R450" i="3"/>
  <c r="P450" i="3"/>
  <c r="K450" i="3"/>
  <c r="I450" i="3"/>
  <c r="Y449" i="3"/>
  <c r="W449" i="3"/>
  <c r="R449" i="3"/>
  <c r="P449" i="3"/>
  <c r="K449" i="3"/>
  <c r="I449" i="3"/>
  <c r="Y448" i="3"/>
  <c r="W448" i="3"/>
  <c r="R448" i="3"/>
  <c r="P448" i="3"/>
  <c r="K448" i="3"/>
  <c r="I448" i="3"/>
  <c r="Y447" i="3"/>
  <c r="W447" i="3"/>
  <c r="R447" i="3"/>
  <c r="P447" i="3"/>
  <c r="K447" i="3"/>
  <c r="I447" i="3"/>
  <c r="Y446" i="3"/>
  <c r="W446" i="3"/>
  <c r="R446" i="3"/>
  <c r="P446" i="3"/>
  <c r="K446" i="3"/>
  <c r="I446" i="3"/>
  <c r="Y445" i="3"/>
  <c r="W445" i="3"/>
  <c r="R445" i="3"/>
  <c r="P445" i="3"/>
  <c r="K445" i="3"/>
  <c r="I445" i="3"/>
  <c r="Y444" i="3"/>
  <c r="W444" i="3"/>
  <c r="R444" i="3"/>
  <c r="P444" i="3"/>
  <c r="K444" i="3"/>
  <c r="I444" i="3"/>
  <c r="Y443" i="3"/>
  <c r="W443" i="3"/>
  <c r="R443" i="3"/>
  <c r="P443" i="3"/>
  <c r="K443" i="3"/>
  <c r="I443" i="3"/>
  <c r="Y442" i="3"/>
  <c r="W442" i="3"/>
  <c r="R442" i="3"/>
  <c r="P442" i="3"/>
  <c r="K442" i="3"/>
  <c r="I442" i="3"/>
  <c r="Y439" i="3"/>
  <c r="W439" i="3"/>
  <c r="R439" i="3"/>
  <c r="P439" i="3"/>
  <c r="K439" i="3"/>
  <c r="I439" i="3"/>
  <c r="Y438" i="3"/>
  <c r="W438" i="3"/>
  <c r="R438" i="3"/>
  <c r="P438" i="3"/>
  <c r="K438" i="3"/>
  <c r="I438" i="3"/>
  <c r="Y437" i="3"/>
  <c r="W437" i="3"/>
  <c r="R437" i="3"/>
  <c r="P437" i="3"/>
  <c r="K437" i="3"/>
  <c r="I437" i="3"/>
  <c r="Y436" i="3"/>
  <c r="W436" i="3"/>
  <c r="R436" i="3"/>
  <c r="P436" i="3"/>
  <c r="K436" i="3"/>
  <c r="I436" i="3"/>
  <c r="Y435" i="3"/>
  <c r="W435" i="3"/>
  <c r="R435" i="3"/>
  <c r="P435" i="3"/>
  <c r="K435" i="3"/>
  <c r="I435" i="3"/>
  <c r="Y432" i="3"/>
  <c r="W432" i="3"/>
  <c r="R432" i="3"/>
  <c r="P432" i="3"/>
  <c r="K432" i="3"/>
  <c r="I432" i="3"/>
  <c r="Y431" i="3"/>
  <c r="W431" i="3"/>
  <c r="R431" i="3"/>
  <c r="P431" i="3"/>
  <c r="K431" i="3"/>
  <c r="I431" i="3"/>
  <c r="Y430" i="3"/>
  <c r="W430" i="3"/>
  <c r="R430" i="3"/>
  <c r="P430" i="3"/>
  <c r="K430" i="3"/>
  <c r="I430" i="3"/>
  <c r="Y429" i="3"/>
  <c r="W429" i="3"/>
  <c r="R429" i="3"/>
  <c r="P429" i="3"/>
  <c r="K429" i="3"/>
  <c r="I429" i="3"/>
  <c r="Y428" i="3"/>
  <c r="W428" i="3"/>
  <c r="R428" i="3"/>
  <c r="P428" i="3"/>
  <c r="K428" i="3"/>
  <c r="I428" i="3"/>
  <c r="Y425" i="3"/>
  <c r="W425" i="3"/>
  <c r="R425" i="3"/>
  <c r="P425" i="3"/>
  <c r="K425" i="3"/>
  <c r="I425" i="3"/>
  <c r="Y424" i="3"/>
  <c r="W424" i="3"/>
  <c r="R424" i="3"/>
  <c r="P424" i="3"/>
  <c r="K424" i="3"/>
  <c r="I424" i="3"/>
  <c r="Y423" i="3"/>
  <c r="W423" i="3"/>
  <c r="R423" i="3"/>
  <c r="P423" i="3"/>
  <c r="K423" i="3"/>
  <c r="I423" i="3"/>
  <c r="Y422" i="3"/>
  <c r="W422" i="3"/>
  <c r="R422" i="3"/>
  <c r="P422" i="3"/>
  <c r="K422" i="3"/>
  <c r="I422" i="3"/>
  <c r="Y421" i="3"/>
  <c r="W421" i="3"/>
  <c r="R421" i="3"/>
  <c r="P421" i="3"/>
  <c r="K421" i="3"/>
  <c r="I421" i="3"/>
  <c r="Y420" i="3"/>
  <c r="W420" i="3"/>
  <c r="R420" i="3"/>
  <c r="P420" i="3"/>
  <c r="K420" i="3"/>
  <c r="I420" i="3"/>
  <c r="Y417" i="3"/>
  <c r="W417" i="3"/>
  <c r="R417" i="3"/>
  <c r="P417" i="3"/>
  <c r="K417" i="3"/>
  <c r="I417" i="3"/>
  <c r="Y416" i="3"/>
  <c r="W416" i="3"/>
  <c r="R416" i="3"/>
  <c r="P416" i="3"/>
  <c r="K416" i="3"/>
  <c r="I416" i="3"/>
  <c r="Y415" i="3"/>
  <c r="W415" i="3"/>
  <c r="R415" i="3"/>
  <c r="P415" i="3"/>
  <c r="K415" i="3"/>
  <c r="I415" i="3"/>
  <c r="Y414" i="3"/>
  <c r="W414" i="3"/>
  <c r="R414" i="3"/>
  <c r="P414" i="3"/>
  <c r="K414" i="3"/>
  <c r="I414" i="3"/>
  <c r="Y411" i="3"/>
  <c r="W411" i="3"/>
  <c r="R411" i="3"/>
  <c r="P411" i="3"/>
  <c r="K411" i="3"/>
  <c r="I411" i="3"/>
  <c r="Y410" i="3"/>
  <c r="W410" i="3"/>
  <c r="R410" i="3"/>
  <c r="P410" i="3"/>
  <c r="K410" i="3"/>
  <c r="I410" i="3"/>
  <c r="Y409" i="3"/>
  <c r="W409" i="3"/>
  <c r="R409" i="3"/>
  <c r="P409" i="3"/>
  <c r="K409" i="3"/>
  <c r="I409" i="3"/>
  <c r="Y408" i="3"/>
  <c r="W408" i="3"/>
  <c r="R408" i="3"/>
  <c r="P408" i="3"/>
  <c r="K408" i="3"/>
  <c r="I408" i="3"/>
  <c r="Y407" i="3"/>
  <c r="W407" i="3"/>
  <c r="R407" i="3"/>
  <c r="P407" i="3"/>
  <c r="K407" i="3"/>
  <c r="I407" i="3"/>
  <c r="Y404" i="3"/>
  <c r="W404" i="3"/>
  <c r="R404" i="3"/>
  <c r="P404" i="3"/>
  <c r="K404" i="3"/>
  <c r="I404" i="3"/>
  <c r="Y403" i="3"/>
  <c r="W403" i="3"/>
  <c r="R403" i="3"/>
  <c r="P403" i="3"/>
  <c r="K403" i="3"/>
  <c r="I403" i="3"/>
  <c r="Y402" i="3"/>
  <c r="W402" i="3"/>
  <c r="R402" i="3"/>
  <c r="P402" i="3"/>
  <c r="K402" i="3"/>
  <c r="I402" i="3"/>
  <c r="Y401" i="3"/>
  <c r="W401" i="3"/>
  <c r="R401" i="3"/>
  <c r="P401" i="3"/>
  <c r="K401" i="3"/>
  <c r="I401" i="3"/>
  <c r="Y400" i="3"/>
  <c r="W400" i="3"/>
  <c r="R400" i="3"/>
  <c r="P400" i="3"/>
  <c r="K400" i="3"/>
  <c r="I400" i="3"/>
  <c r="Y399" i="3"/>
  <c r="W399" i="3"/>
  <c r="R399" i="3"/>
  <c r="P399" i="3"/>
  <c r="K399" i="3"/>
  <c r="I399" i="3"/>
  <c r="Y398" i="3"/>
  <c r="W398" i="3"/>
  <c r="R398" i="3"/>
  <c r="P398" i="3"/>
  <c r="K398" i="3"/>
  <c r="I398" i="3"/>
  <c r="Y397" i="3"/>
  <c r="W397" i="3"/>
  <c r="R397" i="3"/>
  <c r="P397" i="3"/>
  <c r="K397" i="3"/>
  <c r="I397" i="3"/>
  <c r="Y394" i="3"/>
  <c r="W394" i="3"/>
  <c r="R394" i="3"/>
  <c r="P394" i="3"/>
  <c r="K394" i="3"/>
  <c r="I394" i="3"/>
  <c r="Y393" i="3"/>
  <c r="W393" i="3"/>
  <c r="R393" i="3"/>
  <c r="P393" i="3"/>
  <c r="K393" i="3"/>
  <c r="I393" i="3"/>
  <c r="Y392" i="3"/>
  <c r="W392" i="3"/>
  <c r="R392" i="3"/>
  <c r="P392" i="3"/>
  <c r="K392" i="3"/>
  <c r="I392" i="3"/>
  <c r="Y391" i="3"/>
  <c r="W391" i="3"/>
  <c r="R391" i="3"/>
  <c r="P391" i="3"/>
  <c r="K391" i="3"/>
  <c r="I391" i="3"/>
  <c r="Y390" i="3"/>
  <c r="W390" i="3"/>
  <c r="R390" i="3"/>
  <c r="P390" i="3"/>
  <c r="K390" i="3"/>
  <c r="I390" i="3"/>
  <c r="Y389" i="3"/>
  <c r="W389" i="3"/>
  <c r="R389" i="3"/>
  <c r="P389" i="3"/>
  <c r="K389" i="3"/>
  <c r="I389" i="3"/>
  <c r="Y388" i="3"/>
  <c r="W388" i="3"/>
  <c r="R388" i="3"/>
  <c r="P388" i="3"/>
  <c r="K388" i="3"/>
  <c r="I388" i="3"/>
  <c r="Y387" i="3"/>
  <c r="W387" i="3"/>
  <c r="R387" i="3"/>
  <c r="P387" i="3"/>
  <c r="K387" i="3"/>
  <c r="I387" i="3"/>
  <c r="Y386" i="3"/>
  <c r="W386" i="3"/>
  <c r="R386" i="3"/>
  <c r="P386" i="3"/>
  <c r="K386" i="3"/>
  <c r="I386" i="3"/>
  <c r="Y382" i="3"/>
  <c r="W382" i="3"/>
  <c r="R382" i="3"/>
  <c r="P382" i="3"/>
  <c r="K382" i="3"/>
  <c r="I382" i="3"/>
  <c r="Y381" i="3"/>
  <c r="W381" i="3"/>
  <c r="R381" i="3"/>
  <c r="P381" i="3"/>
  <c r="K381" i="3"/>
  <c r="I381" i="3"/>
  <c r="Y380" i="3"/>
  <c r="W380" i="3"/>
  <c r="R380" i="3"/>
  <c r="P380" i="3"/>
  <c r="K380" i="3"/>
  <c r="I380" i="3"/>
  <c r="Y379" i="3"/>
  <c r="W379" i="3"/>
  <c r="R379" i="3"/>
  <c r="P379" i="3"/>
  <c r="K379" i="3"/>
  <c r="I379" i="3"/>
  <c r="Y378" i="3"/>
  <c r="W378" i="3"/>
  <c r="R378" i="3"/>
  <c r="P378" i="3"/>
  <c r="K378" i="3"/>
  <c r="I378" i="3"/>
  <c r="Y377" i="3"/>
  <c r="W377" i="3"/>
  <c r="R377" i="3"/>
  <c r="P377" i="3"/>
  <c r="K377" i="3"/>
  <c r="I377" i="3"/>
  <c r="Y374" i="3"/>
  <c r="W374" i="3"/>
  <c r="R374" i="3"/>
  <c r="P374" i="3"/>
  <c r="K374" i="3"/>
  <c r="I374" i="3"/>
  <c r="Y373" i="3"/>
  <c r="W373" i="3"/>
  <c r="R373" i="3"/>
  <c r="P373" i="3"/>
  <c r="K373" i="3"/>
  <c r="I373" i="3"/>
  <c r="Y372" i="3"/>
  <c r="W372" i="3"/>
  <c r="R372" i="3"/>
  <c r="P372" i="3"/>
  <c r="K372" i="3"/>
  <c r="I372" i="3"/>
  <c r="Y371" i="3"/>
  <c r="W371" i="3"/>
  <c r="R371" i="3"/>
  <c r="P371" i="3"/>
  <c r="K371" i="3"/>
  <c r="I371" i="3"/>
  <c r="Y370" i="3"/>
  <c r="W370" i="3"/>
  <c r="R370" i="3"/>
  <c r="P370" i="3"/>
  <c r="K370" i="3"/>
  <c r="I370" i="3"/>
  <c r="Y369" i="3"/>
  <c r="W369" i="3"/>
  <c r="R369" i="3"/>
  <c r="P369" i="3"/>
  <c r="K369" i="3"/>
  <c r="I369" i="3"/>
  <c r="Y366" i="3"/>
  <c r="W366" i="3"/>
  <c r="R366" i="3"/>
  <c r="P366" i="3"/>
  <c r="K366" i="3"/>
  <c r="I366" i="3"/>
  <c r="Y365" i="3"/>
  <c r="W365" i="3"/>
  <c r="R365" i="3"/>
  <c r="P365" i="3"/>
  <c r="K365" i="3"/>
  <c r="I365" i="3"/>
  <c r="Y364" i="3"/>
  <c r="W364" i="3"/>
  <c r="R364" i="3"/>
  <c r="P364" i="3"/>
  <c r="K364" i="3"/>
  <c r="I364" i="3"/>
  <c r="Y363" i="3"/>
  <c r="W363" i="3"/>
  <c r="R363" i="3"/>
  <c r="P363" i="3"/>
  <c r="K363" i="3"/>
  <c r="I363" i="3"/>
  <c r="Y362" i="3"/>
  <c r="W362" i="3"/>
  <c r="R362" i="3"/>
  <c r="P362" i="3"/>
  <c r="K362" i="3"/>
  <c r="I362" i="3"/>
  <c r="Y361" i="3"/>
  <c r="W361" i="3"/>
  <c r="R361" i="3"/>
  <c r="P361" i="3"/>
  <c r="K361" i="3"/>
  <c r="I361" i="3"/>
  <c r="Y358" i="3"/>
  <c r="W358" i="3"/>
  <c r="R358" i="3"/>
  <c r="P358" i="3"/>
  <c r="K358" i="3"/>
  <c r="I358" i="3"/>
  <c r="Y357" i="3"/>
  <c r="W357" i="3"/>
  <c r="R357" i="3"/>
  <c r="P357" i="3"/>
  <c r="K357" i="3"/>
  <c r="I357" i="3"/>
  <c r="Y356" i="3"/>
  <c r="W356" i="3"/>
  <c r="R356" i="3"/>
  <c r="P356" i="3"/>
  <c r="K356" i="3"/>
  <c r="I356" i="3"/>
  <c r="Y355" i="3"/>
  <c r="W355" i="3"/>
  <c r="R355" i="3"/>
  <c r="P355" i="3"/>
  <c r="K355" i="3"/>
  <c r="I355" i="3"/>
  <c r="Y354" i="3"/>
  <c r="W354" i="3"/>
  <c r="R354" i="3"/>
  <c r="P354" i="3"/>
  <c r="K354" i="3"/>
  <c r="I354" i="3"/>
  <c r="Y353" i="3"/>
  <c r="W353" i="3"/>
  <c r="R353" i="3"/>
  <c r="P353" i="3"/>
  <c r="K353" i="3"/>
  <c r="I353" i="3"/>
  <c r="Y350" i="3"/>
  <c r="W350" i="3"/>
  <c r="R350" i="3"/>
  <c r="P350" i="3"/>
  <c r="K350" i="3"/>
  <c r="I350" i="3"/>
  <c r="Y349" i="3"/>
  <c r="W349" i="3"/>
  <c r="R349" i="3"/>
  <c r="P349" i="3"/>
  <c r="K349" i="3"/>
  <c r="I349" i="3"/>
  <c r="Y348" i="3"/>
  <c r="W348" i="3"/>
  <c r="R348" i="3"/>
  <c r="P348" i="3"/>
  <c r="K348" i="3"/>
  <c r="I348" i="3"/>
  <c r="Y347" i="3"/>
  <c r="W347" i="3"/>
  <c r="R347" i="3"/>
  <c r="P347" i="3"/>
  <c r="K347" i="3"/>
  <c r="I347" i="3"/>
  <c r="Y346" i="3"/>
  <c r="W346" i="3"/>
  <c r="R346" i="3"/>
  <c r="P346" i="3"/>
  <c r="K346" i="3"/>
  <c r="I346" i="3"/>
  <c r="Y345" i="3"/>
  <c r="W345" i="3"/>
  <c r="R345" i="3"/>
  <c r="P345" i="3"/>
  <c r="K345" i="3"/>
  <c r="I345" i="3"/>
  <c r="Y342" i="3"/>
  <c r="W342" i="3"/>
  <c r="R342" i="3"/>
  <c r="P342" i="3"/>
  <c r="K342" i="3"/>
  <c r="I342" i="3"/>
  <c r="Y341" i="3"/>
  <c r="W341" i="3"/>
  <c r="R341" i="3"/>
  <c r="P341" i="3"/>
  <c r="K341" i="3"/>
  <c r="I341" i="3"/>
  <c r="Y340" i="3"/>
  <c r="W340" i="3"/>
  <c r="R340" i="3"/>
  <c r="P340" i="3"/>
  <c r="K340" i="3"/>
  <c r="I340" i="3"/>
  <c r="Y339" i="3"/>
  <c r="W339" i="3"/>
  <c r="R339" i="3"/>
  <c r="P339" i="3"/>
  <c r="K339" i="3"/>
  <c r="I339" i="3"/>
  <c r="Y338" i="3"/>
  <c r="W338" i="3"/>
  <c r="R338" i="3"/>
  <c r="P338" i="3"/>
  <c r="K338" i="3"/>
  <c r="I338" i="3"/>
  <c r="Y337" i="3"/>
  <c r="W337" i="3"/>
  <c r="R337" i="3"/>
  <c r="P337" i="3"/>
  <c r="K337" i="3"/>
  <c r="I337" i="3"/>
  <c r="Y334" i="3"/>
  <c r="W334" i="3"/>
  <c r="R334" i="3"/>
  <c r="P334" i="3"/>
  <c r="K334" i="3"/>
  <c r="I334" i="3"/>
  <c r="Y333" i="3"/>
  <c r="W333" i="3"/>
  <c r="R333" i="3"/>
  <c r="P333" i="3"/>
  <c r="K333" i="3"/>
  <c r="I333" i="3"/>
  <c r="Y332" i="3"/>
  <c r="W332" i="3"/>
  <c r="R332" i="3"/>
  <c r="P332" i="3"/>
  <c r="K332" i="3"/>
  <c r="I332" i="3"/>
  <c r="Y331" i="3"/>
  <c r="W331" i="3"/>
  <c r="R331" i="3"/>
  <c r="P331" i="3"/>
  <c r="K331" i="3"/>
  <c r="I331" i="3"/>
  <c r="Y330" i="3"/>
  <c r="W330" i="3"/>
  <c r="R330" i="3"/>
  <c r="P330" i="3"/>
  <c r="K330" i="3"/>
  <c r="I330" i="3"/>
  <c r="Y329" i="3"/>
  <c r="W329" i="3"/>
  <c r="R329" i="3"/>
  <c r="P329" i="3"/>
  <c r="K329" i="3"/>
  <c r="I329" i="3"/>
  <c r="Y326" i="3"/>
  <c r="W326" i="3"/>
  <c r="R326" i="3"/>
  <c r="P326" i="3"/>
  <c r="K326" i="3"/>
  <c r="I326" i="3"/>
  <c r="Y325" i="3"/>
  <c r="W325" i="3"/>
  <c r="R325" i="3"/>
  <c r="P325" i="3"/>
  <c r="K325" i="3"/>
  <c r="I325" i="3"/>
  <c r="Y324" i="3"/>
  <c r="W324" i="3"/>
  <c r="R324" i="3"/>
  <c r="P324" i="3"/>
  <c r="K324" i="3"/>
  <c r="I324" i="3"/>
  <c r="Y323" i="3"/>
  <c r="W323" i="3"/>
  <c r="R323" i="3"/>
  <c r="P323" i="3"/>
  <c r="K323" i="3"/>
  <c r="I323" i="3"/>
  <c r="Y322" i="3"/>
  <c r="W322" i="3"/>
  <c r="R322" i="3"/>
  <c r="P322" i="3"/>
  <c r="K322" i="3"/>
  <c r="I322" i="3"/>
  <c r="Y321" i="3"/>
  <c r="W321" i="3"/>
  <c r="R321" i="3"/>
  <c r="P321" i="3"/>
  <c r="K321" i="3"/>
  <c r="I321" i="3"/>
  <c r="Y318" i="3"/>
  <c r="W318" i="3"/>
  <c r="R318" i="3"/>
  <c r="P318" i="3"/>
  <c r="K318" i="3"/>
  <c r="I318" i="3"/>
  <c r="Y317" i="3"/>
  <c r="W317" i="3"/>
  <c r="R317" i="3"/>
  <c r="P317" i="3"/>
  <c r="K317" i="3"/>
  <c r="I317" i="3"/>
  <c r="Y316" i="3"/>
  <c r="W316" i="3"/>
  <c r="R316" i="3"/>
  <c r="P316" i="3"/>
  <c r="K316" i="3"/>
  <c r="I316" i="3"/>
  <c r="Y315" i="3"/>
  <c r="W315" i="3"/>
  <c r="R315" i="3"/>
  <c r="P315" i="3"/>
  <c r="K315" i="3"/>
  <c r="I315" i="3"/>
  <c r="Y314" i="3"/>
  <c r="W314" i="3"/>
  <c r="R314" i="3"/>
  <c r="P314" i="3"/>
  <c r="K314" i="3"/>
  <c r="I314" i="3"/>
  <c r="Y313" i="3"/>
  <c r="W313" i="3"/>
  <c r="R313" i="3"/>
  <c r="P313" i="3"/>
  <c r="K313" i="3"/>
  <c r="I313" i="3"/>
  <c r="Y310" i="3"/>
  <c r="W310" i="3"/>
  <c r="R310" i="3"/>
  <c r="P310" i="3"/>
  <c r="K310" i="3"/>
  <c r="I310" i="3"/>
  <c r="Y309" i="3"/>
  <c r="W309" i="3"/>
  <c r="R309" i="3"/>
  <c r="P309" i="3"/>
  <c r="K309" i="3"/>
  <c r="I309" i="3"/>
  <c r="Y308" i="3"/>
  <c r="W308" i="3"/>
  <c r="R308" i="3"/>
  <c r="P308" i="3"/>
  <c r="K308" i="3"/>
  <c r="I308" i="3"/>
  <c r="Y307" i="3"/>
  <c r="W307" i="3"/>
  <c r="R307" i="3"/>
  <c r="P307" i="3"/>
  <c r="K307" i="3"/>
  <c r="I307" i="3"/>
  <c r="Y306" i="3"/>
  <c r="W306" i="3"/>
  <c r="R306" i="3"/>
  <c r="P306" i="3"/>
  <c r="K306" i="3"/>
  <c r="I306" i="3"/>
  <c r="Y305" i="3"/>
  <c r="W305" i="3"/>
  <c r="R305" i="3"/>
  <c r="P305" i="3"/>
  <c r="K305" i="3"/>
  <c r="I305" i="3"/>
  <c r="Y294" i="3"/>
  <c r="W294" i="3"/>
  <c r="R294" i="3"/>
  <c r="P294" i="3"/>
  <c r="K294" i="3"/>
  <c r="I294" i="3"/>
  <c r="Y293" i="3"/>
  <c r="W293" i="3"/>
  <c r="R293" i="3"/>
  <c r="P293" i="3"/>
  <c r="K293" i="3"/>
  <c r="I293" i="3"/>
  <c r="Y292" i="3"/>
  <c r="W292" i="3"/>
  <c r="R292" i="3"/>
  <c r="P292" i="3"/>
  <c r="K292" i="3"/>
  <c r="I292" i="3"/>
  <c r="Y291" i="3"/>
  <c r="W291" i="3"/>
  <c r="R291" i="3"/>
  <c r="P291" i="3"/>
  <c r="K291" i="3"/>
  <c r="I291" i="3"/>
  <c r="Y290" i="3"/>
  <c r="W290" i="3"/>
  <c r="R290" i="3"/>
  <c r="P290" i="3"/>
  <c r="K290" i="3"/>
  <c r="I290" i="3"/>
  <c r="Y286" i="3"/>
  <c r="W286" i="3"/>
  <c r="R286" i="3"/>
  <c r="P286" i="3"/>
  <c r="K286" i="3"/>
  <c r="I286" i="3"/>
  <c r="Y285" i="3"/>
  <c r="W285" i="3"/>
  <c r="R285" i="3"/>
  <c r="P285" i="3"/>
  <c r="K285" i="3"/>
  <c r="I285" i="3"/>
  <c r="Y284" i="3"/>
  <c r="W284" i="3"/>
  <c r="R284" i="3"/>
  <c r="P284" i="3"/>
  <c r="K284" i="3"/>
  <c r="I284" i="3"/>
  <c r="Y283" i="3"/>
  <c r="W283" i="3"/>
  <c r="R283" i="3"/>
  <c r="P283" i="3"/>
  <c r="K283" i="3"/>
  <c r="I283" i="3"/>
  <c r="Y282" i="3"/>
  <c r="W282" i="3"/>
  <c r="R282" i="3"/>
  <c r="P282" i="3"/>
  <c r="K282" i="3"/>
  <c r="I282" i="3"/>
  <c r="Y281" i="3"/>
  <c r="W281" i="3"/>
  <c r="R281" i="3"/>
  <c r="P281" i="3"/>
  <c r="K281" i="3"/>
  <c r="I281" i="3"/>
  <c r="Y280" i="3"/>
  <c r="W280" i="3"/>
  <c r="R280" i="3"/>
  <c r="P280" i="3"/>
  <c r="K280" i="3"/>
  <c r="I280" i="3"/>
  <c r="Y279" i="3"/>
  <c r="W279" i="3"/>
  <c r="R279" i="3"/>
  <c r="P279" i="3"/>
  <c r="K279" i="3"/>
  <c r="I279" i="3"/>
  <c r="Y278" i="3"/>
  <c r="W278" i="3"/>
  <c r="R278" i="3"/>
  <c r="P278" i="3"/>
  <c r="K278" i="3"/>
  <c r="I278" i="3"/>
  <c r="Y277" i="3"/>
  <c r="W277" i="3"/>
  <c r="R277" i="3"/>
  <c r="P277" i="3"/>
  <c r="K277" i="3"/>
  <c r="I277" i="3"/>
  <c r="Y276" i="3"/>
  <c r="W276" i="3"/>
  <c r="R276" i="3"/>
  <c r="P276" i="3"/>
  <c r="K276" i="3"/>
  <c r="I276" i="3"/>
  <c r="Y275" i="3"/>
  <c r="W275" i="3"/>
  <c r="R275" i="3"/>
  <c r="P275" i="3"/>
  <c r="K275" i="3"/>
  <c r="I275" i="3"/>
  <c r="Y274" i="3"/>
  <c r="W274" i="3"/>
  <c r="R274" i="3"/>
  <c r="P274" i="3"/>
  <c r="K274" i="3"/>
  <c r="I274" i="3"/>
  <c r="Y273" i="3"/>
  <c r="W273" i="3"/>
  <c r="R273" i="3"/>
  <c r="P273" i="3"/>
  <c r="K273" i="3"/>
  <c r="I273" i="3"/>
  <c r="Y269" i="3"/>
  <c r="W269" i="3"/>
  <c r="R269" i="3"/>
  <c r="P269" i="3"/>
  <c r="K269" i="3"/>
  <c r="I269" i="3"/>
  <c r="Y268" i="3"/>
  <c r="W268" i="3"/>
  <c r="R268" i="3"/>
  <c r="P268" i="3"/>
  <c r="K268" i="3"/>
  <c r="I268" i="3"/>
  <c r="Y267" i="3"/>
  <c r="W267" i="3"/>
  <c r="R267" i="3"/>
  <c r="P267" i="3"/>
  <c r="K267" i="3"/>
  <c r="I267" i="3"/>
  <c r="Y266" i="3"/>
  <c r="W266" i="3"/>
  <c r="R266" i="3"/>
  <c r="P266" i="3"/>
  <c r="K266" i="3"/>
  <c r="I266" i="3"/>
  <c r="Y265" i="3"/>
  <c r="W265" i="3"/>
  <c r="R265" i="3"/>
  <c r="P265" i="3"/>
  <c r="K265" i="3"/>
  <c r="I265" i="3"/>
  <c r="Y264" i="3"/>
  <c r="W264" i="3"/>
  <c r="R264" i="3"/>
  <c r="P264" i="3"/>
  <c r="K264" i="3"/>
  <c r="I264" i="3"/>
  <c r="Y260" i="3"/>
  <c r="W260" i="3"/>
  <c r="R260" i="3"/>
  <c r="P260" i="3"/>
  <c r="K260" i="3"/>
  <c r="I260" i="3"/>
  <c r="Y259" i="3"/>
  <c r="W259" i="3"/>
  <c r="R259" i="3"/>
  <c r="P259" i="3"/>
  <c r="K259" i="3"/>
  <c r="I259" i="3"/>
  <c r="Y258" i="3"/>
  <c r="W258" i="3"/>
  <c r="R258" i="3"/>
  <c r="P258" i="3"/>
  <c r="K258" i="3"/>
  <c r="I258" i="3"/>
  <c r="Y257" i="3"/>
  <c r="W257" i="3"/>
  <c r="R257" i="3"/>
  <c r="P257" i="3"/>
  <c r="K257" i="3"/>
  <c r="I257" i="3"/>
  <c r="Y256" i="3"/>
  <c r="W256" i="3"/>
  <c r="R256" i="3"/>
  <c r="P256" i="3"/>
  <c r="K256" i="3"/>
  <c r="I256" i="3"/>
  <c r="Y255" i="3"/>
  <c r="W255" i="3"/>
  <c r="R255" i="3"/>
  <c r="P255" i="3"/>
  <c r="K255" i="3"/>
  <c r="I255" i="3"/>
  <c r="Y254" i="3"/>
  <c r="W254" i="3"/>
  <c r="R254" i="3"/>
  <c r="P254" i="3"/>
  <c r="K254" i="3"/>
  <c r="I254" i="3"/>
  <c r="Y253" i="3"/>
  <c r="W253" i="3"/>
  <c r="R253" i="3"/>
  <c r="P253" i="3"/>
  <c r="K253" i="3"/>
  <c r="I253" i="3"/>
  <c r="Y252" i="3"/>
  <c r="W252" i="3"/>
  <c r="R252" i="3"/>
  <c r="P252" i="3"/>
  <c r="K252" i="3"/>
  <c r="I252" i="3"/>
  <c r="Y248" i="3"/>
  <c r="W248" i="3"/>
  <c r="R248" i="3"/>
  <c r="P248" i="3"/>
  <c r="K248" i="3"/>
  <c r="I248" i="3"/>
  <c r="Y247" i="3"/>
  <c r="W247" i="3"/>
  <c r="R247" i="3"/>
  <c r="P247" i="3"/>
  <c r="K247" i="3"/>
  <c r="I247" i="3"/>
  <c r="Y246" i="3"/>
  <c r="W246" i="3"/>
  <c r="R246" i="3"/>
  <c r="P246" i="3"/>
  <c r="K246" i="3"/>
  <c r="I246" i="3"/>
  <c r="Y245" i="3"/>
  <c r="W245" i="3"/>
  <c r="R245" i="3"/>
  <c r="P245" i="3"/>
  <c r="K245" i="3"/>
  <c r="I245" i="3"/>
  <c r="Y244" i="3"/>
  <c r="W244" i="3"/>
  <c r="R244" i="3"/>
  <c r="P244" i="3"/>
  <c r="K244" i="3"/>
  <c r="I244" i="3"/>
  <c r="Y240" i="3"/>
  <c r="W240" i="3"/>
  <c r="R240" i="3"/>
  <c r="P240" i="3"/>
  <c r="K240" i="3"/>
  <c r="I240" i="3"/>
  <c r="Y239" i="3"/>
  <c r="W239" i="3"/>
  <c r="R239" i="3"/>
  <c r="P239" i="3"/>
  <c r="K239" i="3"/>
  <c r="I239" i="3"/>
  <c r="Y238" i="3"/>
  <c r="W238" i="3"/>
  <c r="R238" i="3"/>
  <c r="P238" i="3"/>
  <c r="K238" i="3"/>
  <c r="I238" i="3"/>
  <c r="Y237" i="3"/>
  <c r="W237" i="3"/>
  <c r="R237" i="3"/>
  <c r="P237" i="3"/>
  <c r="K237" i="3"/>
  <c r="I237" i="3"/>
  <c r="Y236" i="3"/>
  <c r="W236" i="3"/>
  <c r="R236" i="3"/>
  <c r="P236" i="3"/>
  <c r="K236" i="3"/>
  <c r="I236" i="3"/>
  <c r="Y235" i="3"/>
  <c r="W235" i="3"/>
  <c r="R235" i="3"/>
  <c r="P235" i="3"/>
  <c r="K235" i="3"/>
  <c r="I235" i="3"/>
  <c r="Y231" i="3"/>
  <c r="W231" i="3"/>
  <c r="R231" i="3"/>
  <c r="P231" i="3"/>
  <c r="K231" i="3"/>
  <c r="I231" i="3"/>
  <c r="Y230" i="3"/>
  <c r="W230" i="3"/>
  <c r="R230" i="3"/>
  <c r="P230" i="3"/>
  <c r="K230" i="3"/>
  <c r="I230" i="3"/>
  <c r="Y229" i="3"/>
  <c r="W229" i="3"/>
  <c r="R229" i="3"/>
  <c r="P229" i="3"/>
  <c r="K229" i="3"/>
  <c r="I229" i="3"/>
  <c r="Y228" i="3"/>
  <c r="W228" i="3"/>
  <c r="R228" i="3"/>
  <c r="P228" i="3"/>
  <c r="K228" i="3"/>
  <c r="I228" i="3"/>
  <c r="Y227" i="3"/>
  <c r="W227" i="3"/>
  <c r="R227" i="3"/>
  <c r="P227" i="3"/>
  <c r="K227" i="3"/>
  <c r="I227" i="3"/>
  <c r="Y226" i="3"/>
  <c r="W226" i="3"/>
  <c r="R226" i="3"/>
  <c r="P226" i="3"/>
  <c r="K226" i="3"/>
  <c r="I226" i="3"/>
  <c r="Y225" i="3"/>
  <c r="W225" i="3"/>
  <c r="R225" i="3"/>
  <c r="P225" i="3"/>
  <c r="K225" i="3"/>
  <c r="I225" i="3"/>
  <c r="Y224" i="3"/>
  <c r="W224" i="3"/>
  <c r="R224" i="3"/>
  <c r="P224" i="3"/>
  <c r="K224" i="3"/>
  <c r="I224" i="3"/>
  <c r="Y223" i="3"/>
  <c r="W223" i="3"/>
  <c r="R223" i="3"/>
  <c r="P223" i="3"/>
  <c r="K223" i="3"/>
  <c r="I223" i="3"/>
  <c r="Y222" i="3"/>
  <c r="W222" i="3"/>
  <c r="R222" i="3"/>
  <c r="P222" i="3"/>
  <c r="K222" i="3"/>
  <c r="I222" i="3"/>
  <c r="Y217" i="3"/>
  <c r="W217" i="3"/>
  <c r="R217" i="3"/>
  <c r="P217" i="3"/>
  <c r="K217" i="3"/>
  <c r="I217" i="3"/>
  <c r="Y216" i="3"/>
  <c r="W216" i="3"/>
  <c r="R216" i="3"/>
  <c r="P216" i="3"/>
  <c r="K216" i="3"/>
  <c r="I216" i="3"/>
  <c r="Y215" i="3"/>
  <c r="W215" i="3"/>
  <c r="R215" i="3"/>
  <c r="P215" i="3"/>
  <c r="K215" i="3"/>
  <c r="I215" i="3"/>
  <c r="Y211" i="3"/>
  <c r="W211" i="3"/>
  <c r="R211" i="3"/>
  <c r="P211" i="3"/>
  <c r="K211" i="3"/>
  <c r="I211" i="3"/>
  <c r="Y210" i="3"/>
  <c r="W210" i="3"/>
  <c r="R210" i="3"/>
  <c r="P210" i="3"/>
  <c r="K210" i="3"/>
  <c r="I210" i="3"/>
  <c r="Y209" i="3"/>
  <c r="W209" i="3"/>
  <c r="R209" i="3"/>
  <c r="P209" i="3"/>
  <c r="K209" i="3"/>
  <c r="I209" i="3"/>
  <c r="Y205" i="3"/>
  <c r="W205" i="3"/>
  <c r="R205" i="3"/>
  <c r="P205" i="3"/>
  <c r="K205" i="3"/>
  <c r="I205" i="3"/>
  <c r="Y204" i="3"/>
  <c r="W204" i="3"/>
  <c r="R204" i="3"/>
  <c r="P204" i="3"/>
  <c r="K204" i="3"/>
  <c r="I204" i="3"/>
  <c r="Y203" i="3"/>
  <c r="W203" i="3"/>
  <c r="R203" i="3"/>
  <c r="P203" i="3"/>
  <c r="K203" i="3"/>
  <c r="I203" i="3"/>
  <c r="Y202" i="3"/>
  <c r="W202" i="3"/>
  <c r="R202" i="3"/>
  <c r="P202" i="3"/>
  <c r="K202" i="3"/>
  <c r="I202" i="3"/>
  <c r="Y198" i="3"/>
  <c r="W198" i="3"/>
  <c r="R198" i="3"/>
  <c r="P198" i="3"/>
  <c r="K198" i="3"/>
  <c r="I198" i="3"/>
  <c r="Y197" i="3"/>
  <c r="W197" i="3"/>
  <c r="R197" i="3"/>
  <c r="P197" i="3"/>
  <c r="K197" i="3"/>
  <c r="I197" i="3"/>
  <c r="Y196" i="3"/>
  <c r="W196" i="3"/>
  <c r="R196" i="3"/>
  <c r="P196" i="3"/>
  <c r="K196" i="3"/>
  <c r="I196" i="3"/>
  <c r="Y195" i="3"/>
  <c r="W195" i="3"/>
  <c r="R195" i="3"/>
  <c r="P195" i="3"/>
  <c r="K195" i="3"/>
  <c r="I195" i="3"/>
  <c r="Y190" i="3"/>
  <c r="W190" i="3"/>
  <c r="R190" i="3"/>
  <c r="P190" i="3"/>
  <c r="K190" i="3"/>
  <c r="I190" i="3"/>
  <c r="Y189" i="3"/>
  <c r="W189" i="3"/>
  <c r="R189" i="3"/>
  <c r="P189" i="3"/>
  <c r="K189" i="3"/>
  <c r="I189" i="3"/>
  <c r="Y188" i="3"/>
  <c r="W188" i="3"/>
  <c r="R188" i="3"/>
  <c r="P188" i="3"/>
  <c r="K188" i="3"/>
  <c r="I188" i="3"/>
  <c r="Y187" i="3"/>
  <c r="W187" i="3"/>
  <c r="R187" i="3"/>
  <c r="P187" i="3"/>
  <c r="K187" i="3"/>
  <c r="I187" i="3"/>
  <c r="Y186" i="3"/>
  <c r="W186" i="3"/>
  <c r="R186" i="3"/>
  <c r="P186" i="3"/>
  <c r="K186" i="3"/>
  <c r="I186" i="3"/>
  <c r="Y185" i="3"/>
  <c r="W185" i="3"/>
  <c r="R185" i="3"/>
  <c r="P185" i="3"/>
  <c r="K185" i="3"/>
  <c r="I185" i="3"/>
  <c r="Y184" i="3"/>
  <c r="W184" i="3"/>
  <c r="R184" i="3"/>
  <c r="P184" i="3"/>
  <c r="K184" i="3"/>
  <c r="I184" i="3"/>
  <c r="Y183" i="3"/>
  <c r="W183" i="3"/>
  <c r="R183" i="3"/>
  <c r="P183" i="3"/>
  <c r="K183" i="3"/>
  <c r="I183" i="3"/>
  <c r="Y182" i="3"/>
  <c r="W182" i="3"/>
  <c r="R182" i="3"/>
  <c r="P182" i="3"/>
  <c r="K182" i="3"/>
  <c r="I182" i="3"/>
  <c r="Y178" i="3"/>
  <c r="W178" i="3"/>
  <c r="R178" i="3"/>
  <c r="P178" i="3"/>
  <c r="K178" i="3"/>
  <c r="I178" i="3"/>
  <c r="Y177" i="3"/>
  <c r="W177" i="3"/>
  <c r="R177" i="3"/>
  <c r="P177" i="3"/>
  <c r="K177" i="3"/>
  <c r="I177" i="3"/>
  <c r="Y176" i="3"/>
  <c r="W176" i="3"/>
  <c r="R176" i="3"/>
  <c r="P176" i="3"/>
  <c r="K176" i="3"/>
  <c r="I176" i="3"/>
  <c r="Y175" i="3"/>
  <c r="W175" i="3"/>
  <c r="R175" i="3"/>
  <c r="P175" i="3"/>
  <c r="K175" i="3"/>
  <c r="I175" i="3"/>
  <c r="Y171" i="3"/>
  <c r="W171" i="3"/>
  <c r="R171" i="3"/>
  <c r="P171" i="3"/>
  <c r="K171" i="3"/>
  <c r="I171" i="3"/>
  <c r="Y170" i="3"/>
  <c r="W170" i="3"/>
  <c r="R170" i="3"/>
  <c r="P170" i="3"/>
  <c r="K170" i="3"/>
  <c r="I170" i="3"/>
  <c r="Y169" i="3"/>
  <c r="W169" i="3"/>
  <c r="R169" i="3"/>
  <c r="P169" i="3"/>
  <c r="K169" i="3"/>
  <c r="I169" i="3"/>
  <c r="Y168" i="3"/>
  <c r="W168" i="3"/>
  <c r="R168" i="3"/>
  <c r="P168" i="3"/>
  <c r="K168" i="3"/>
  <c r="I168" i="3"/>
  <c r="Y164" i="3"/>
  <c r="W164" i="3"/>
  <c r="R164" i="3"/>
  <c r="P164" i="3"/>
  <c r="K164" i="3"/>
  <c r="I164" i="3"/>
  <c r="Y163" i="3"/>
  <c r="W163" i="3"/>
  <c r="R163" i="3"/>
  <c r="P163" i="3"/>
  <c r="K163" i="3"/>
  <c r="I163" i="3"/>
  <c r="Y162" i="3"/>
  <c r="W162" i="3"/>
  <c r="R162" i="3"/>
  <c r="P162" i="3"/>
  <c r="K162" i="3"/>
  <c r="I162" i="3"/>
  <c r="Y161" i="3"/>
  <c r="W161" i="3"/>
  <c r="R161" i="3"/>
  <c r="P161" i="3"/>
  <c r="K161" i="3"/>
  <c r="I161" i="3"/>
  <c r="Y160" i="3"/>
  <c r="W160" i="3"/>
  <c r="R160" i="3"/>
  <c r="P160" i="3"/>
  <c r="K160" i="3"/>
  <c r="I160" i="3"/>
  <c r="Y159" i="3"/>
  <c r="W159" i="3"/>
  <c r="R159" i="3"/>
  <c r="P159" i="3"/>
  <c r="K159" i="3"/>
  <c r="I159" i="3"/>
  <c r="Y158" i="3"/>
  <c r="W158" i="3"/>
  <c r="R158" i="3"/>
  <c r="P158" i="3"/>
  <c r="K158" i="3"/>
  <c r="I158" i="3"/>
  <c r="Y157" i="3"/>
  <c r="W157" i="3"/>
  <c r="R157" i="3"/>
  <c r="P157" i="3"/>
  <c r="K157" i="3"/>
  <c r="I157" i="3"/>
  <c r="Y156" i="3"/>
  <c r="W156" i="3"/>
  <c r="R156" i="3"/>
  <c r="P156" i="3"/>
  <c r="K156" i="3"/>
  <c r="I156" i="3"/>
  <c r="Y155" i="3"/>
  <c r="W155" i="3"/>
  <c r="R155" i="3"/>
  <c r="P155" i="3"/>
  <c r="K155" i="3"/>
  <c r="I155" i="3"/>
  <c r="Y154" i="3"/>
  <c r="W154" i="3"/>
  <c r="R154" i="3"/>
  <c r="P154" i="3"/>
  <c r="K154" i="3"/>
  <c r="I154" i="3"/>
  <c r="Y153" i="3"/>
  <c r="W153" i="3"/>
  <c r="R153" i="3"/>
  <c r="P153" i="3"/>
  <c r="K153" i="3"/>
  <c r="I153" i="3"/>
  <c r="Y147" i="3"/>
  <c r="W147" i="3"/>
  <c r="R147" i="3"/>
  <c r="P147" i="3"/>
  <c r="K147" i="3"/>
  <c r="I147" i="3"/>
  <c r="Y146" i="3"/>
  <c r="W146" i="3"/>
  <c r="R146" i="3"/>
  <c r="P146" i="3"/>
  <c r="K146" i="3"/>
  <c r="I146" i="3"/>
  <c r="Y145" i="3"/>
  <c r="W145" i="3"/>
  <c r="R145" i="3"/>
  <c r="P145" i="3"/>
  <c r="K145" i="3"/>
  <c r="I145" i="3"/>
  <c r="Y144" i="3"/>
  <c r="W144" i="3"/>
  <c r="R144" i="3"/>
  <c r="P144" i="3"/>
  <c r="K144" i="3"/>
  <c r="I144" i="3"/>
  <c r="Y140" i="3"/>
  <c r="W140" i="3"/>
  <c r="R140" i="3"/>
  <c r="P140" i="3"/>
  <c r="K140" i="3"/>
  <c r="I140" i="3"/>
  <c r="Y139" i="3"/>
  <c r="W139" i="3"/>
  <c r="R139" i="3"/>
  <c r="P139" i="3"/>
  <c r="K139" i="3"/>
  <c r="I139" i="3"/>
  <c r="Y138" i="3"/>
  <c r="W138" i="3"/>
  <c r="R138" i="3"/>
  <c r="P138" i="3"/>
  <c r="K138" i="3"/>
  <c r="I138" i="3"/>
  <c r="Y137" i="3"/>
  <c r="W137" i="3"/>
  <c r="R137" i="3"/>
  <c r="P137" i="3"/>
  <c r="K137" i="3"/>
  <c r="I137" i="3"/>
  <c r="Y136" i="3"/>
  <c r="W136" i="3"/>
  <c r="R136" i="3"/>
  <c r="P136" i="3"/>
  <c r="K136" i="3"/>
  <c r="I136" i="3"/>
  <c r="Y135" i="3"/>
  <c r="W135" i="3"/>
  <c r="R135" i="3"/>
  <c r="P135" i="3"/>
  <c r="K135" i="3"/>
  <c r="I135" i="3"/>
  <c r="Y134" i="3"/>
  <c r="W134" i="3"/>
  <c r="R134" i="3"/>
  <c r="P134" i="3"/>
  <c r="K134" i="3"/>
  <c r="I134" i="3"/>
  <c r="Y133" i="3"/>
  <c r="W133" i="3"/>
  <c r="R133" i="3"/>
  <c r="P133" i="3"/>
  <c r="K133" i="3"/>
  <c r="I133" i="3"/>
  <c r="Y132" i="3"/>
  <c r="W132" i="3"/>
  <c r="R132" i="3"/>
  <c r="P132" i="3"/>
  <c r="K132" i="3"/>
  <c r="I132" i="3"/>
  <c r="Y131" i="3"/>
  <c r="W131" i="3"/>
  <c r="R131" i="3"/>
  <c r="P131" i="3"/>
  <c r="K131" i="3"/>
  <c r="I131" i="3"/>
  <c r="Y130" i="3"/>
  <c r="W130" i="3"/>
  <c r="R130" i="3"/>
  <c r="P130" i="3"/>
  <c r="K130" i="3"/>
  <c r="I130" i="3"/>
  <c r="Y124" i="3"/>
  <c r="W124" i="3"/>
  <c r="R124" i="3"/>
  <c r="P124" i="3"/>
  <c r="K124" i="3"/>
  <c r="I124" i="3"/>
  <c r="Y123" i="3"/>
  <c r="W123" i="3"/>
  <c r="R123" i="3"/>
  <c r="P123" i="3"/>
  <c r="K123" i="3"/>
  <c r="I123" i="3"/>
  <c r="Y122" i="3"/>
  <c r="W122" i="3"/>
  <c r="R122" i="3"/>
  <c r="P122" i="3"/>
  <c r="K122" i="3"/>
  <c r="I122" i="3"/>
  <c r="Y121" i="3"/>
  <c r="W121" i="3"/>
  <c r="R121" i="3"/>
  <c r="P121" i="3"/>
  <c r="K121" i="3"/>
  <c r="I121" i="3"/>
  <c r="Y114" i="3"/>
  <c r="W114" i="3"/>
  <c r="R114" i="3"/>
  <c r="P114" i="3"/>
  <c r="K114" i="3"/>
  <c r="I114" i="3"/>
  <c r="Y113" i="3"/>
  <c r="W113" i="3"/>
  <c r="R113" i="3"/>
  <c r="P113" i="3"/>
  <c r="K113" i="3"/>
  <c r="I113" i="3"/>
  <c r="Y112" i="3"/>
  <c r="W112" i="3"/>
  <c r="R112" i="3"/>
  <c r="P112" i="3"/>
  <c r="K112" i="3"/>
  <c r="I112" i="3"/>
  <c r="Y111" i="3"/>
  <c r="W111" i="3"/>
  <c r="R111" i="3"/>
  <c r="P111" i="3"/>
  <c r="K111" i="3"/>
  <c r="I111" i="3"/>
  <c r="Y106" i="3"/>
  <c r="W106" i="3"/>
  <c r="R106" i="3"/>
  <c r="P106" i="3"/>
  <c r="K106" i="3"/>
  <c r="I106" i="3"/>
  <c r="Y105" i="3"/>
  <c r="W105" i="3"/>
  <c r="R105" i="3"/>
  <c r="P105" i="3"/>
  <c r="K105" i="3"/>
  <c r="I105" i="3"/>
  <c r="Y104" i="3"/>
  <c r="W104" i="3"/>
  <c r="R104" i="3"/>
  <c r="P104" i="3"/>
  <c r="K104" i="3"/>
  <c r="I104" i="3"/>
  <c r="Y103" i="3"/>
  <c r="W103" i="3"/>
  <c r="R103" i="3"/>
  <c r="P103" i="3"/>
  <c r="K103" i="3"/>
  <c r="I103" i="3"/>
  <c r="Y99" i="3"/>
  <c r="W99" i="3"/>
  <c r="R99" i="3"/>
  <c r="P99" i="3"/>
  <c r="K99" i="3"/>
  <c r="I99" i="3"/>
  <c r="Y98" i="3"/>
  <c r="W98" i="3"/>
  <c r="R98" i="3"/>
  <c r="P98" i="3"/>
  <c r="K98" i="3"/>
  <c r="I98" i="3"/>
  <c r="Y97" i="3"/>
  <c r="W97" i="3"/>
  <c r="R97" i="3"/>
  <c r="P97" i="3"/>
  <c r="K97" i="3"/>
  <c r="I97" i="3"/>
  <c r="Y96" i="3"/>
  <c r="W96" i="3"/>
  <c r="R96" i="3"/>
  <c r="P96" i="3"/>
  <c r="K96" i="3"/>
  <c r="I96" i="3"/>
  <c r="Y95" i="3"/>
  <c r="W95" i="3"/>
  <c r="R95" i="3"/>
  <c r="P95" i="3"/>
  <c r="K95" i="3"/>
  <c r="I95" i="3"/>
  <c r="Y94" i="3"/>
  <c r="W94" i="3"/>
  <c r="R94" i="3"/>
  <c r="P94" i="3"/>
  <c r="K94" i="3"/>
  <c r="I94" i="3"/>
  <c r="Y93" i="3"/>
  <c r="W93" i="3"/>
  <c r="R93" i="3"/>
  <c r="P93" i="3"/>
  <c r="K93" i="3"/>
  <c r="I93" i="3"/>
  <c r="Y92" i="3"/>
  <c r="W92" i="3"/>
  <c r="R92" i="3"/>
  <c r="P92" i="3"/>
  <c r="K92" i="3"/>
  <c r="I92" i="3"/>
  <c r="Y88" i="3"/>
  <c r="W88" i="3"/>
  <c r="R88" i="3"/>
  <c r="P88" i="3"/>
  <c r="K88" i="3"/>
  <c r="I88" i="3"/>
  <c r="Y87" i="3"/>
  <c r="W87" i="3"/>
  <c r="R87" i="3"/>
  <c r="P87" i="3"/>
  <c r="K87" i="3"/>
  <c r="I87" i="3"/>
  <c r="Y86" i="3"/>
  <c r="W86" i="3"/>
  <c r="R86" i="3"/>
  <c r="P86" i="3"/>
  <c r="K86" i="3"/>
  <c r="I86" i="3"/>
  <c r="Y85" i="3"/>
  <c r="W85" i="3"/>
  <c r="R85" i="3"/>
  <c r="P85" i="3"/>
  <c r="K85" i="3"/>
  <c r="I85" i="3"/>
  <c r="Y84" i="3"/>
  <c r="W84" i="3"/>
  <c r="R84" i="3"/>
  <c r="P84" i="3"/>
  <c r="K84" i="3"/>
  <c r="I84" i="3"/>
  <c r="Y83" i="3"/>
  <c r="W83" i="3"/>
  <c r="R83" i="3"/>
  <c r="P83" i="3"/>
  <c r="K83" i="3"/>
  <c r="I83" i="3"/>
  <c r="Y82" i="3"/>
  <c r="W82" i="3"/>
  <c r="R82" i="3"/>
  <c r="P82" i="3"/>
  <c r="K82" i="3"/>
  <c r="I82" i="3"/>
  <c r="Y81" i="3"/>
  <c r="W81" i="3"/>
  <c r="R81" i="3"/>
  <c r="P81" i="3"/>
  <c r="K81" i="3"/>
  <c r="I81" i="3"/>
  <c r="Y80" i="3"/>
  <c r="W80" i="3"/>
  <c r="R80" i="3"/>
  <c r="P80" i="3"/>
  <c r="K80" i="3"/>
  <c r="I80" i="3"/>
  <c r="Y79" i="3"/>
  <c r="W79" i="3"/>
  <c r="R79" i="3"/>
  <c r="P79" i="3"/>
  <c r="K79" i="3"/>
  <c r="I79" i="3"/>
  <c r="Y78" i="3"/>
  <c r="W78" i="3"/>
  <c r="R78" i="3"/>
  <c r="P78" i="3"/>
  <c r="K78" i="3"/>
  <c r="I78" i="3"/>
  <c r="Y73" i="3"/>
  <c r="W73" i="3"/>
  <c r="R73" i="3"/>
  <c r="P73" i="3"/>
  <c r="K73" i="3"/>
  <c r="I73" i="3"/>
  <c r="Y72" i="3"/>
  <c r="W72" i="3"/>
  <c r="R72" i="3"/>
  <c r="P72" i="3"/>
  <c r="K72" i="3"/>
  <c r="I72" i="3"/>
  <c r="Y71" i="3"/>
  <c r="W71" i="3"/>
  <c r="R71" i="3"/>
  <c r="P71" i="3"/>
  <c r="K71" i="3"/>
  <c r="I71" i="3"/>
  <c r="Y70" i="3"/>
  <c r="W70" i="3"/>
  <c r="R70" i="3"/>
  <c r="P70" i="3"/>
  <c r="K70" i="3"/>
  <c r="I70" i="3"/>
  <c r="Y69" i="3"/>
  <c r="W69" i="3"/>
  <c r="R69" i="3"/>
  <c r="P69" i="3"/>
  <c r="K69" i="3"/>
  <c r="I69" i="3"/>
  <c r="Y68" i="3"/>
  <c r="W68" i="3"/>
  <c r="R68" i="3"/>
  <c r="P68" i="3"/>
  <c r="K68" i="3"/>
  <c r="I68" i="3"/>
  <c r="Y64" i="3"/>
  <c r="W64" i="3"/>
  <c r="R64" i="3"/>
  <c r="P64" i="3"/>
  <c r="K64" i="3"/>
  <c r="I64" i="3"/>
  <c r="Y63" i="3"/>
  <c r="W63" i="3"/>
  <c r="R63" i="3"/>
  <c r="P63" i="3"/>
  <c r="K63" i="3"/>
  <c r="I63" i="3"/>
  <c r="Y62" i="3"/>
  <c r="W62" i="3"/>
  <c r="R62" i="3"/>
  <c r="P62" i="3"/>
  <c r="K62" i="3"/>
  <c r="I62" i="3"/>
  <c r="Y61" i="3"/>
  <c r="W61" i="3"/>
  <c r="R61" i="3"/>
  <c r="P61" i="3"/>
  <c r="K61" i="3"/>
  <c r="I61" i="3"/>
  <c r="Y60" i="3"/>
  <c r="W60" i="3"/>
  <c r="R60" i="3"/>
  <c r="P60" i="3"/>
  <c r="K60" i="3"/>
  <c r="I60" i="3"/>
  <c r="Y59" i="3"/>
  <c r="W59" i="3"/>
  <c r="R59" i="3"/>
  <c r="P59" i="3"/>
  <c r="K59" i="3"/>
  <c r="I59" i="3"/>
  <c r="Y58" i="3"/>
  <c r="W58" i="3"/>
  <c r="R58" i="3"/>
  <c r="P58" i="3"/>
  <c r="K58" i="3"/>
  <c r="I58" i="3"/>
  <c r="Y57" i="3"/>
  <c r="W57" i="3"/>
  <c r="R57" i="3"/>
  <c r="P57" i="3"/>
  <c r="K57" i="3"/>
  <c r="I57" i="3"/>
  <c r="Y56" i="3"/>
  <c r="W56" i="3"/>
  <c r="R56" i="3"/>
  <c r="P56" i="3"/>
  <c r="K56" i="3"/>
  <c r="I56" i="3"/>
  <c r="Y55" i="3"/>
  <c r="W55" i="3"/>
  <c r="R55" i="3"/>
  <c r="P55" i="3"/>
  <c r="K55" i="3"/>
  <c r="I55" i="3"/>
  <c r="Y54" i="3"/>
  <c r="W54" i="3"/>
  <c r="R54" i="3"/>
  <c r="P54" i="3"/>
  <c r="K54" i="3"/>
  <c r="I54" i="3"/>
  <c r="Y50" i="3"/>
  <c r="W50" i="3"/>
  <c r="R50" i="3"/>
  <c r="P50" i="3"/>
  <c r="K50" i="3"/>
  <c r="I50" i="3"/>
  <c r="Y49" i="3"/>
  <c r="W49" i="3"/>
  <c r="R49" i="3"/>
  <c r="P49" i="3"/>
  <c r="K49" i="3"/>
  <c r="I49" i="3"/>
  <c r="Y48" i="3"/>
  <c r="W48" i="3"/>
  <c r="R48" i="3"/>
  <c r="P48" i="3"/>
  <c r="K48" i="3"/>
  <c r="I48" i="3"/>
  <c r="Y47" i="3"/>
  <c r="W47" i="3"/>
  <c r="R47" i="3"/>
  <c r="P47" i="3"/>
  <c r="K47" i="3"/>
  <c r="I47" i="3"/>
  <c r="Y43" i="3"/>
  <c r="W43" i="3"/>
  <c r="R43" i="3"/>
  <c r="P43" i="3"/>
  <c r="K43" i="3"/>
  <c r="I43" i="3"/>
  <c r="Y42" i="3"/>
  <c r="W42" i="3"/>
  <c r="R42" i="3"/>
  <c r="P42" i="3"/>
  <c r="K42" i="3"/>
  <c r="I42" i="3"/>
  <c r="Y41" i="3"/>
  <c r="W41" i="3"/>
  <c r="R41" i="3"/>
  <c r="P41" i="3"/>
  <c r="K41" i="3"/>
  <c r="I41" i="3"/>
  <c r="Y40" i="3"/>
  <c r="W40" i="3"/>
  <c r="R40" i="3"/>
  <c r="P40" i="3"/>
  <c r="K40" i="3"/>
  <c r="I40" i="3"/>
  <c r="Y39" i="3"/>
  <c r="W39" i="3"/>
  <c r="R39" i="3"/>
  <c r="P39" i="3"/>
  <c r="K39" i="3"/>
  <c r="I39" i="3"/>
  <c r="Y38" i="3"/>
  <c r="W38" i="3"/>
  <c r="R38" i="3"/>
  <c r="P38" i="3"/>
  <c r="K38" i="3"/>
  <c r="I38" i="3"/>
  <c r="Y34" i="3"/>
  <c r="W34" i="3"/>
  <c r="R34" i="3"/>
  <c r="P34" i="3"/>
  <c r="K34" i="3"/>
  <c r="I34" i="3"/>
  <c r="Y33" i="3"/>
  <c r="W33" i="3"/>
  <c r="R33" i="3"/>
  <c r="P33" i="3"/>
  <c r="K33" i="3"/>
  <c r="I33" i="3"/>
  <c r="Y32" i="3"/>
  <c r="W32" i="3"/>
  <c r="R32" i="3"/>
  <c r="P32" i="3"/>
  <c r="K32" i="3"/>
  <c r="I32" i="3"/>
  <c r="Y31" i="3"/>
  <c r="W31" i="3"/>
  <c r="R31" i="3"/>
  <c r="P31" i="3"/>
  <c r="K31" i="3"/>
  <c r="I31" i="3"/>
  <c r="Y30" i="3"/>
  <c r="W30" i="3"/>
  <c r="R30" i="3"/>
  <c r="P30" i="3"/>
  <c r="K30" i="3"/>
  <c r="I30" i="3"/>
  <c r="Y26" i="3"/>
  <c r="W26" i="3"/>
  <c r="R26" i="3"/>
  <c r="P26" i="3"/>
  <c r="K26" i="3"/>
  <c r="I26" i="3"/>
  <c r="Y25" i="3"/>
  <c r="W25" i="3"/>
  <c r="R25" i="3"/>
  <c r="P25" i="3"/>
  <c r="K25" i="3"/>
  <c r="I25" i="3"/>
  <c r="Y24" i="3"/>
  <c r="W24" i="3"/>
  <c r="R24" i="3"/>
  <c r="P24" i="3"/>
  <c r="K24" i="3"/>
  <c r="I24" i="3"/>
  <c r="Y23" i="3"/>
  <c r="W23" i="3"/>
  <c r="R23" i="3"/>
  <c r="P23" i="3"/>
  <c r="K23" i="3"/>
  <c r="I23" i="3"/>
  <c r="Y18" i="3"/>
  <c r="W18" i="3"/>
  <c r="R18" i="3"/>
  <c r="P18" i="3"/>
  <c r="K18" i="3"/>
  <c r="I18" i="3"/>
  <c r="Y17" i="3"/>
  <c r="W17" i="3"/>
  <c r="R17" i="3"/>
  <c r="P17" i="3"/>
  <c r="K17" i="3"/>
  <c r="I17" i="3"/>
  <c r="Y16" i="3"/>
  <c r="W16" i="3"/>
  <c r="R16" i="3"/>
  <c r="P16" i="3"/>
  <c r="K16" i="3"/>
  <c r="I16" i="3"/>
  <c r="Y15" i="3"/>
  <c r="W15" i="3"/>
  <c r="R15" i="3"/>
  <c r="P15" i="3"/>
  <c r="K15" i="3"/>
  <c r="I15" i="3"/>
  <c r="X7" i="3"/>
  <c r="Q7" i="3"/>
  <c r="J7" i="3"/>
  <c r="X6" i="3"/>
  <c r="Q6" i="3"/>
  <c r="J6" i="3"/>
  <c r="Y452" i="2"/>
  <c r="W452" i="2"/>
  <c r="R452" i="2"/>
  <c r="P452" i="2"/>
  <c r="K452" i="2"/>
  <c r="I452" i="2"/>
  <c r="Y451" i="2"/>
  <c r="W451" i="2"/>
  <c r="R451" i="2"/>
  <c r="P451" i="2"/>
  <c r="K451" i="2"/>
  <c r="I451" i="2"/>
  <c r="Y450" i="2"/>
  <c r="W450" i="2"/>
  <c r="R450" i="2"/>
  <c r="P450" i="2"/>
  <c r="K450" i="2"/>
  <c r="I450" i="2"/>
  <c r="Y449" i="2"/>
  <c r="W449" i="2"/>
  <c r="R449" i="2"/>
  <c r="P449" i="2"/>
  <c r="K449" i="2"/>
  <c r="I449" i="2"/>
  <c r="Y448" i="2"/>
  <c r="W448" i="2"/>
  <c r="R448" i="2"/>
  <c r="P448" i="2"/>
  <c r="K448" i="2"/>
  <c r="I448" i="2"/>
  <c r="Y447" i="2"/>
  <c r="W447" i="2"/>
  <c r="R447" i="2"/>
  <c r="P447" i="2"/>
  <c r="K447" i="2"/>
  <c r="I447" i="2"/>
  <c r="Y446" i="2"/>
  <c r="W446" i="2"/>
  <c r="R446" i="2"/>
  <c r="P446" i="2"/>
  <c r="K446" i="2"/>
  <c r="I446" i="2"/>
  <c r="Y445" i="2"/>
  <c r="W445" i="2"/>
  <c r="R445" i="2"/>
  <c r="P445" i="2"/>
  <c r="K445" i="2"/>
  <c r="I445" i="2"/>
  <c r="Y444" i="2"/>
  <c r="W444" i="2"/>
  <c r="R444" i="2"/>
  <c r="P444" i="2"/>
  <c r="K444" i="2"/>
  <c r="I444" i="2"/>
  <c r="Y443" i="2"/>
  <c r="W443" i="2"/>
  <c r="R443" i="2"/>
  <c r="P443" i="2"/>
  <c r="K443" i="2"/>
  <c r="I443" i="2"/>
  <c r="Y442" i="2"/>
  <c r="W442" i="2"/>
  <c r="R442" i="2"/>
  <c r="P442" i="2"/>
  <c r="K442" i="2"/>
  <c r="I442" i="2"/>
  <c r="Y439" i="2"/>
  <c r="W439" i="2"/>
  <c r="R439" i="2"/>
  <c r="P439" i="2"/>
  <c r="K439" i="2"/>
  <c r="I439" i="2"/>
  <c r="Y438" i="2"/>
  <c r="W438" i="2"/>
  <c r="R438" i="2"/>
  <c r="P438" i="2"/>
  <c r="K438" i="2"/>
  <c r="I438" i="2"/>
  <c r="Y437" i="2"/>
  <c r="W437" i="2"/>
  <c r="R437" i="2"/>
  <c r="P437" i="2"/>
  <c r="K437" i="2"/>
  <c r="I437" i="2"/>
  <c r="Y436" i="2"/>
  <c r="W436" i="2"/>
  <c r="R436" i="2"/>
  <c r="P436" i="2"/>
  <c r="K436" i="2"/>
  <c r="I436" i="2"/>
  <c r="Y435" i="2"/>
  <c r="W435" i="2"/>
  <c r="R435" i="2"/>
  <c r="P435" i="2"/>
  <c r="K435" i="2"/>
  <c r="I435" i="2"/>
  <c r="Y432" i="2"/>
  <c r="W432" i="2"/>
  <c r="R432" i="2"/>
  <c r="P432" i="2"/>
  <c r="K432" i="2"/>
  <c r="I432" i="2"/>
  <c r="Y431" i="2"/>
  <c r="W431" i="2"/>
  <c r="R431" i="2"/>
  <c r="P431" i="2"/>
  <c r="K431" i="2"/>
  <c r="I431" i="2"/>
  <c r="Y430" i="2"/>
  <c r="W430" i="2"/>
  <c r="R430" i="2"/>
  <c r="P430" i="2"/>
  <c r="K430" i="2"/>
  <c r="I430" i="2"/>
  <c r="Y429" i="2"/>
  <c r="W429" i="2"/>
  <c r="R429" i="2"/>
  <c r="P429" i="2"/>
  <c r="K429" i="2"/>
  <c r="I429" i="2"/>
  <c r="Y428" i="2"/>
  <c r="W428" i="2"/>
  <c r="R428" i="2"/>
  <c r="P428" i="2"/>
  <c r="K428" i="2"/>
  <c r="I428" i="2"/>
  <c r="Y425" i="2"/>
  <c r="W425" i="2"/>
  <c r="R425" i="2"/>
  <c r="P425" i="2"/>
  <c r="K425" i="2"/>
  <c r="I425" i="2"/>
  <c r="Y424" i="2"/>
  <c r="W424" i="2"/>
  <c r="R424" i="2"/>
  <c r="P424" i="2"/>
  <c r="K424" i="2"/>
  <c r="I424" i="2"/>
  <c r="Y423" i="2"/>
  <c r="W423" i="2"/>
  <c r="R423" i="2"/>
  <c r="P423" i="2"/>
  <c r="K423" i="2"/>
  <c r="I423" i="2"/>
  <c r="Y422" i="2"/>
  <c r="W422" i="2"/>
  <c r="R422" i="2"/>
  <c r="P422" i="2"/>
  <c r="K422" i="2"/>
  <c r="I422" i="2"/>
  <c r="Y421" i="2"/>
  <c r="W421" i="2"/>
  <c r="R421" i="2"/>
  <c r="P421" i="2"/>
  <c r="K421" i="2"/>
  <c r="I421" i="2"/>
  <c r="Y420" i="2"/>
  <c r="W420" i="2"/>
  <c r="R420" i="2"/>
  <c r="P420" i="2"/>
  <c r="K420" i="2"/>
  <c r="I420" i="2"/>
  <c r="Y417" i="2"/>
  <c r="W417" i="2"/>
  <c r="R417" i="2"/>
  <c r="P417" i="2"/>
  <c r="K417" i="2"/>
  <c r="I417" i="2"/>
  <c r="Y416" i="2"/>
  <c r="W416" i="2"/>
  <c r="R416" i="2"/>
  <c r="P416" i="2"/>
  <c r="K416" i="2"/>
  <c r="I416" i="2"/>
  <c r="Y415" i="2"/>
  <c r="W415" i="2"/>
  <c r="R415" i="2"/>
  <c r="P415" i="2"/>
  <c r="K415" i="2"/>
  <c r="I415" i="2"/>
  <c r="Y414" i="2"/>
  <c r="W414" i="2"/>
  <c r="R414" i="2"/>
  <c r="P414" i="2"/>
  <c r="K414" i="2"/>
  <c r="I414" i="2"/>
  <c r="Y411" i="2"/>
  <c r="W411" i="2"/>
  <c r="R411" i="2"/>
  <c r="P411" i="2"/>
  <c r="K411" i="2"/>
  <c r="I411" i="2"/>
  <c r="Y410" i="2"/>
  <c r="W410" i="2"/>
  <c r="R410" i="2"/>
  <c r="P410" i="2"/>
  <c r="K410" i="2"/>
  <c r="I410" i="2"/>
  <c r="Y409" i="2"/>
  <c r="W409" i="2"/>
  <c r="R409" i="2"/>
  <c r="P409" i="2"/>
  <c r="K409" i="2"/>
  <c r="I409" i="2"/>
  <c r="Y408" i="2"/>
  <c r="W408" i="2"/>
  <c r="R408" i="2"/>
  <c r="P408" i="2"/>
  <c r="K408" i="2"/>
  <c r="I408" i="2"/>
  <c r="Y407" i="2"/>
  <c r="W407" i="2"/>
  <c r="R407" i="2"/>
  <c r="P407" i="2"/>
  <c r="K407" i="2"/>
  <c r="I407" i="2"/>
  <c r="Y404" i="2"/>
  <c r="W404" i="2"/>
  <c r="R404" i="2"/>
  <c r="P404" i="2"/>
  <c r="K404" i="2"/>
  <c r="I404" i="2"/>
  <c r="Y403" i="2"/>
  <c r="W403" i="2"/>
  <c r="R403" i="2"/>
  <c r="P403" i="2"/>
  <c r="K403" i="2"/>
  <c r="I403" i="2"/>
  <c r="Y402" i="2"/>
  <c r="W402" i="2"/>
  <c r="R402" i="2"/>
  <c r="P402" i="2"/>
  <c r="K402" i="2"/>
  <c r="I402" i="2"/>
  <c r="Y401" i="2"/>
  <c r="W401" i="2"/>
  <c r="R401" i="2"/>
  <c r="P401" i="2"/>
  <c r="K401" i="2"/>
  <c r="I401" i="2"/>
  <c r="Y400" i="2"/>
  <c r="W400" i="2"/>
  <c r="R400" i="2"/>
  <c r="P400" i="2"/>
  <c r="K400" i="2"/>
  <c r="I400" i="2"/>
  <c r="Y399" i="2"/>
  <c r="W399" i="2"/>
  <c r="R399" i="2"/>
  <c r="P399" i="2"/>
  <c r="K399" i="2"/>
  <c r="I399" i="2"/>
  <c r="Y398" i="2"/>
  <c r="W398" i="2"/>
  <c r="R398" i="2"/>
  <c r="P398" i="2"/>
  <c r="K398" i="2"/>
  <c r="I398" i="2"/>
  <c r="Y397" i="2"/>
  <c r="W397" i="2"/>
  <c r="R397" i="2"/>
  <c r="P397" i="2"/>
  <c r="K397" i="2"/>
  <c r="I397" i="2"/>
  <c r="Y394" i="2"/>
  <c r="W394" i="2"/>
  <c r="R394" i="2"/>
  <c r="P394" i="2"/>
  <c r="K394" i="2"/>
  <c r="I394" i="2"/>
  <c r="Y393" i="2"/>
  <c r="W393" i="2"/>
  <c r="R393" i="2"/>
  <c r="P393" i="2"/>
  <c r="K393" i="2"/>
  <c r="I393" i="2"/>
  <c r="Y392" i="2"/>
  <c r="W392" i="2"/>
  <c r="R392" i="2"/>
  <c r="P392" i="2"/>
  <c r="K392" i="2"/>
  <c r="I392" i="2"/>
  <c r="Y391" i="2"/>
  <c r="W391" i="2"/>
  <c r="R391" i="2"/>
  <c r="P391" i="2"/>
  <c r="K391" i="2"/>
  <c r="I391" i="2"/>
  <c r="Y390" i="2"/>
  <c r="W390" i="2"/>
  <c r="R390" i="2"/>
  <c r="P390" i="2"/>
  <c r="K390" i="2"/>
  <c r="I390" i="2"/>
  <c r="Y389" i="2"/>
  <c r="W389" i="2"/>
  <c r="R389" i="2"/>
  <c r="P389" i="2"/>
  <c r="K389" i="2"/>
  <c r="I389" i="2"/>
  <c r="Y388" i="2"/>
  <c r="W388" i="2"/>
  <c r="R388" i="2"/>
  <c r="P388" i="2"/>
  <c r="K388" i="2"/>
  <c r="I388" i="2"/>
  <c r="Y387" i="2"/>
  <c r="W387" i="2"/>
  <c r="R387" i="2"/>
  <c r="P387" i="2"/>
  <c r="K387" i="2"/>
  <c r="I387" i="2"/>
  <c r="Y386" i="2"/>
  <c r="W386" i="2"/>
  <c r="R386" i="2"/>
  <c r="P386" i="2"/>
  <c r="K386" i="2"/>
  <c r="I386" i="2"/>
  <c r="Y382" i="2"/>
  <c r="W382" i="2"/>
  <c r="R382" i="2"/>
  <c r="P382" i="2"/>
  <c r="K382" i="2"/>
  <c r="I382" i="2"/>
  <c r="Y381" i="2"/>
  <c r="W381" i="2"/>
  <c r="R381" i="2"/>
  <c r="P381" i="2"/>
  <c r="K381" i="2"/>
  <c r="I381" i="2"/>
  <c r="Y380" i="2"/>
  <c r="W380" i="2"/>
  <c r="R380" i="2"/>
  <c r="P380" i="2"/>
  <c r="K380" i="2"/>
  <c r="I380" i="2"/>
  <c r="Y379" i="2"/>
  <c r="W379" i="2"/>
  <c r="R379" i="2"/>
  <c r="P379" i="2"/>
  <c r="K379" i="2"/>
  <c r="I379" i="2"/>
  <c r="Y378" i="2"/>
  <c r="W378" i="2"/>
  <c r="R378" i="2"/>
  <c r="P378" i="2"/>
  <c r="K378" i="2"/>
  <c r="I378" i="2"/>
  <c r="Y377" i="2"/>
  <c r="W377" i="2"/>
  <c r="R377" i="2"/>
  <c r="P377" i="2"/>
  <c r="K377" i="2"/>
  <c r="I377" i="2"/>
  <c r="Y374" i="2"/>
  <c r="W374" i="2"/>
  <c r="R374" i="2"/>
  <c r="P374" i="2"/>
  <c r="K374" i="2"/>
  <c r="I374" i="2"/>
  <c r="Y373" i="2"/>
  <c r="W373" i="2"/>
  <c r="R373" i="2"/>
  <c r="P373" i="2"/>
  <c r="K373" i="2"/>
  <c r="I373" i="2"/>
  <c r="Y372" i="2"/>
  <c r="W372" i="2"/>
  <c r="R372" i="2"/>
  <c r="P372" i="2"/>
  <c r="K372" i="2"/>
  <c r="I372" i="2"/>
  <c r="Y371" i="2"/>
  <c r="W371" i="2"/>
  <c r="R371" i="2"/>
  <c r="P371" i="2"/>
  <c r="K371" i="2"/>
  <c r="I371" i="2"/>
  <c r="Y370" i="2"/>
  <c r="W370" i="2"/>
  <c r="R370" i="2"/>
  <c r="P370" i="2"/>
  <c r="K370" i="2"/>
  <c r="I370" i="2"/>
  <c r="Y369" i="2"/>
  <c r="W369" i="2"/>
  <c r="R369" i="2"/>
  <c r="P369" i="2"/>
  <c r="K369" i="2"/>
  <c r="I369" i="2"/>
  <c r="Y366" i="2"/>
  <c r="W366" i="2"/>
  <c r="R366" i="2"/>
  <c r="P366" i="2"/>
  <c r="K366" i="2"/>
  <c r="I366" i="2"/>
  <c r="Y365" i="2"/>
  <c r="W365" i="2"/>
  <c r="R365" i="2"/>
  <c r="P365" i="2"/>
  <c r="K365" i="2"/>
  <c r="I365" i="2"/>
  <c r="Y364" i="2"/>
  <c r="W364" i="2"/>
  <c r="R364" i="2"/>
  <c r="P364" i="2"/>
  <c r="K364" i="2"/>
  <c r="I364" i="2"/>
  <c r="Y363" i="2"/>
  <c r="W363" i="2"/>
  <c r="R363" i="2"/>
  <c r="P363" i="2"/>
  <c r="K363" i="2"/>
  <c r="I363" i="2"/>
  <c r="Y362" i="2"/>
  <c r="W362" i="2"/>
  <c r="R362" i="2"/>
  <c r="P362" i="2"/>
  <c r="K362" i="2"/>
  <c r="I362" i="2"/>
  <c r="Y361" i="2"/>
  <c r="W361" i="2"/>
  <c r="R361" i="2"/>
  <c r="P361" i="2"/>
  <c r="K361" i="2"/>
  <c r="I361" i="2"/>
  <c r="Y358" i="2"/>
  <c r="W358" i="2"/>
  <c r="R358" i="2"/>
  <c r="P358" i="2"/>
  <c r="K358" i="2"/>
  <c r="I358" i="2"/>
  <c r="Y357" i="2"/>
  <c r="W357" i="2"/>
  <c r="R357" i="2"/>
  <c r="P357" i="2"/>
  <c r="K357" i="2"/>
  <c r="I357" i="2"/>
  <c r="Y356" i="2"/>
  <c r="W356" i="2"/>
  <c r="R356" i="2"/>
  <c r="P356" i="2"/>
  <c r="K356" i="2"/>
  <c r="I356" i="2"/>
  <c r="Y355" i="2"/>
  <c r="W355" i="2"/>
  <c r="R355" i="2"/>
  <c r="P355" i="2"/>
  <c r="K355" i="2"/>
  <c r="I355" i="2"/>
  <c r="Y354" i="2"/>
  <c r="W354" i="2"/>
  <c r="R354" i="2"/>
  <c r="P354" i="2"/>
  <c r="K354" i="2"/>
  <c r="I354" i="2"/>
  <c r="Y353" i="2"/>
  <c r="W353" i="2"/>
  <c r="R353" i="2"/>
  <c r="P353" i="2"/>
  <c r="K353" i="2"/>
  <c r="I353" i="2"/>
  <c r="Y350" i="2"/>
  <c r="W350" i="2"/>
  <c r="R350" i="2"/>
  <c r="P350" i="2"/>
  <c r="K350" i="2"/>
  <c r="I350" i="2"/>
  <c r="Y349" i="2"/>
  <c r="W349" i="2"/>
  <c r="R349" i="2"/>
  <c r="P349" i="2"/>
  <c r="K349" i="2"/>
  <c r="I349" i="2"/>
  <c r="Y348" i="2"/>
  <c r="W348" i="2"/>
  <c r="R348" i="2"/>
  <c r="P348" i="2"/>
  <c r="K348" i="2"/>
  <c r="I348" i="2"/>
  <c r="Y347" i="2"/>
  <c r="W347" i="2"/>
  <c r="R347" i="2"/>
  <c r="P347" i="2"/>
  <c r="K347" i="2"/>
  <c r="I347" i="2"/>
  <c r="Y346" i="2"/>
  <c r="W346" i="2"/>
  <c r="R346" i="2"/>
  <c r="P346" i="2"/>
  <c r="K346" i="2"/>
  <c r="I346" i="2"/>
  <c r="Y345" i="2"/>
  <c r="W345" i="2"/>
  <c r="R345" i="2"/>
  <c r="P345" i="2"/>
  <c r="K345" i="2"/>
  <c r="I345" i="2"/>
  <c r="Y342" i="2"/>
  <c r="W342" i="2"/>
  <c r="R342" i="2"/>
  <c r="P342" i="2"/>
  <c r="K342" i="2"/>
  <c r="I342" i="2"/>
  <c r="Y341" i="2"/>
  <c r="W341" i="2"/>
  <c r="R341" i="2"/>
  <c r="P341" i="2"/>
  <c r="K341" i="2"/>
  <c r="I341" i="2"/>
  <c r="Y340" i="2"/>
  <c r="W340" i="2"/>
  <c r="R340" i="2"/>
  <c r="P340" i="2"/>
  <c r="K340" i="2"/>
  <c r="I340" i="2"/>
  <c r="Y339" i="2"/>
  <c r="W339" i="2"/>
  <c r="R339" i="2"/>
  <c r="P339" i="2"/>
  <c r="K339" i="2"/>
  <c r="I339" i="2"/>
  <c r="Y338" i="2"/>
  <c r="W338" i="2"/>
  <c r="R338" i="2"/>
  <c r="P338" i="2"/>
  <c r="K338" i="2"/>
  <c r="I338" i="2"/>
  <c r="Y337" i="2"/>
  <c r="W337" i="2"/>
  <c r="R337" i="2"/>
  <c r="P337" i="2"/>
  <c r="K337" i="2"/>
  <c r="I337" i="2"/>
  <c r="Y334" i="2"/>
  <c r="W334" i="2"/>
  <c r="R334" i="2"/>
  <c r="P334" i="2"/>
  <c r="K334" i="2"/>
  <c r="I334" i="2"/>
  <c r="Y333" i="2"/>
  <c r="W333" i="2"/>
  <c r="R333" i="2"/>
  <c r="P333" i="2"/>
  <c r="K333" i="2"/>
  <c r="I333" i="2"/>
  <c r="Y332" i="2"/>
  <c r="W332" i="2"/>
  <c r="R332" i="2"/>
  <c r="P332" i="2"/>
  <c r="K332" i="2"/>
  <c r="I332" i="2"/>
  <c r="Y331" i="2"/>
  <c r="W331" i="2"/>
  <c r="R331" i="2"/>
  <c r="P331" i="2"/>
  <c r="K331" i="2"/>
  <c r="I331" i="2"/>
  <c r="Y330" i="2"/>
  <c r="W330" i="2"/>
  <c r="R330" i="2"/>
  <c r="P330" i="2"/>
  <c r="K330" i="2"/>
  <c r="I330" i="2"/>
  <c r="Y329" i="2"/>
  <c r="W329" i="2"/>
  <c r="R329" i="2"/>
  <c r="P329" i="2"/>
  <c r="K329" i="2"/>
  <c r="I329" i="2"/>
  <c r="Y326" i="2"/>
  <c r="W326" i="2"/>
  <c r="R326" i="2"/>
  <c r="P326" i="2"/>
  <c r="K326" i="2"/>
  <c r="I326" i="2"/>
  <c r="Y325" i="2"/>
  <c r="W325" i="2"/>
  <c r="R325" i="2"/>
  <c r="P325" i="2"/>
  <c r="K325" i="2"/>
  <c r="I325" i="2"/>
  <c r="Y324" i="2"/>
  <c r="W324" i="2"/>
  <c r="R324" i="2"/>
  <c r="P324" i="2"/>
  <c r="K324" i="2"/>
  <c r="I324" i="2"/>
  <c r="Y323" i="2"/>
  <c r="W323" i="2"/>
  <c r="R323" i="2"/>
  <c r="P323" i="2"/>
  <c r="K323" i="2"/>
  <c r="I323" i="2"/>
  <c r="Y322" i="2"/>
  <c r="W322" i="2"/>
  <c r="R322" i="2"/>
  <c r="P322" i="2"/>
  <c r="K322" i="2"/>
  <c r="I322" i="2"/>
  <c r="Y321" i="2"/>
  <c r="W321" i="2"/>
  <c r="R321" i="2"/>
  <c r="P321" i="2"/>
  <c r="K321" i="2"/>
  <c r="I321" i="2"/>
  <c r="Y318" i="2"/>
  <c r="W318" i="2"/>
  <c r="R318" i="2"/>
  <c r="P318" i="2"/>
  <c r="K318" i="2"/>
  <c r="I318" i="2"/>
  <c r="Y317" i="2"/>
  <c r="W317" i="2"/>
  <c r="R317" i="2"/>
  <c r="P317" i="2"/>
  <c r="K317" i="2"/>
  <c r="I317" i="2"/>
  <c r="Y316" i="2"/>
  <c r="W316" i="2"/>
  <c r="R316" i="2"/>
  <c r="P316" i="2"/>
  <c r="K316" i="2"/>
  <c r="I316" i="2"/>
  <c r="Y315" i="2"/>
  <c r="W315" i="2"/>
  <c r="R315" i="2"/>
  <c r="P315" i="2"/>
  <c r="K315" i="2"/>
  <c r="I315" i="2"/>
  <c r="Y314" i="2"/>
  <c r="W314" i="2"/>
  <c r="R314" i="2"/>
  <c r="P314" i="2"/>
  <c r="K314" i="2"/>
  <c r="I314" i="2"/>
  <c r="Y313" i="2"/>
  <c r="W313" i="2"/>
  <c r="R313" i="2"/>
  <c r="P313" i="2"/>
  <c r="K313" i="2"/>
  <c r="I313" i="2"/>
  <c r="Y310" i="2"/>
  <c r="W310" i="2"/>
  <c r="R310" i="2"/>
  <c r="P310" i="2"/>
  <c r="K310" i="2"/>
  <c r="I310" i="2"/>
  <c r="Y309" i="2"/>
  <c r="W309" i="2"/>
  <c r="R309" i="2"/>
  <c r="P309" i="2"/>
  <c r="K309" i="2"/>
  <c r="I309" i="2"/>
  <c r="Y308" i="2"/>
  <c r="W308" i="2"/>
  <c r="R308" i="2"/>
  <c r="P308" i="2"/>
  <c r="K308" i="2"/>
  <c r="I308" i="2"/>
  <c r="Y307" i="2"/>
  <c r="W307" i="2"/>
  <c r="R307" i="2"/>
  <c r="P307" i="2"/>
  <c r="K307" i="2"/>
  <c r="I307" i="2"/>
  <c r="Y306" i="2"/>
  <c r="W306" i="2"/>
  <c r="R306" i="2"/>
  <c r="P306" i="2"/>
  <c r="K306" i="2"/>
  <c r="I306" i="2"/>
  <c r="Y305" i="2"/>
  <c r="W305" i="2"/>
  <c r="R305" i="2"/>
  <c r="P305" i="2"/>
  <c r="K305" i="2"/>
  <c r="I305" i="2"/>
  <c r="Y294" i="2"/>
  <c r="W294" i="2"/>
  <c r="R294" i="2"/>
  <c r="P294" i="2"/>
  <c r="K294" i="2"/>
  <c r="I294" i="2"/>
  <c r="Y293" i="2"/>
  <c r="W293" i="2"/>
  <c r="R293" i="2"/>
  <c r="P293" i="2"/>
  <c r="K293" i="2"/>
  <c r="I293" i="2"/>
  <c r="Y292" i="2"/>
  <c r="W292" i="2"/>
  <c r="R292" i="2"/>
  <c r="P292" i="2"/>
  <c r="K292" i="2"/>
  <c r="I292" i="2"/>
  <c r="Y291" i="2"/>
  <c r="W291" i="2"/>
  <c r="R291" i="2"/>
  <c r="P291" i="2"/>
  <c r="K291" i="2"/>
  <c r="I291" i="2"/>
  <c r="Y290" i="2"/>
  <c r="W290" i="2"/>
  <c r="R290" i="2"/>
  <c r="P290" i="2"/>
  <c r="K290" i="2"/>
  <c r="I290" i="2"/>
  <c r="Y286" i="2"/>
  <c r="W286" i="2"/>
  <c r="R286" i="2"/>
  <c r="P286" i="2"/>
  <c r="K286" i="2"/>
  <c r="I286" i="2"/>
  <c r="Y285" i="2"/>
  <c r="W285" i="2"/>
  <c r="R285" i="2"/>
  <c r="P285" i="2"/>
  <c r="K285" i="2"/>
  <c r="I285" i="2"/>
  <c r="Y284" i="2"/>
  <c r="W284" i="2"/>
  <c r="R284" i="2"/>
  <c r="P284" i="2"/>
  <c r="K284" i="2"/>
  <c r="I284" i="2"/>
  <c r="Y283" i="2"/>
  <c r="W283" i="2"/>
  <c r="R283" i="2"/>
  <c r="P283" i="2"/>
  <c r="K283" i="2"/>
  <c r="I283" i="2"/>
  <c r="Y282" i="2"/>
  <c r="W282" i="2"/>
  <c r="R282" i="2"/>
  <c r="P282" i="2"/>
  <c r="K282" i="2"/>
  <c r="I282" i="2"/>
  <c r="Y281" i="2"/>
  <c r="W281" i="2"/>
  <c r="R281" i="2"/>
  <c r="P281" i="2"/>
  <c r="K281" i="2"/>
  <c r="I281" i="2"/>
  <c r="Y280" i="2"/>
  <c r="W280" i="2"/>
  <c r="R280" i="2"/>
  <c r="P280" i="2"/>
  <c r="K280" i="2"/>
  <c r="I280" i="2"/>
  <c r="Y279" i="2"/>
  <c r="W279" i="2"/>
  <c r="R279" i="2"/>
  <c r="P279" i="2"/>
  <c r="K279" i="2"/>
  <c r="I279" i="2"/>
  <c r="Y278" i="2"/>
  <c r="W278" i="2"/>
  <c r="R278" i="2"/>
  <c r="P278" i="2"/>
  <c r="K278" i="2"/>
  <c r="I278" i="2"/>
  <c r="Y277" i="2"/>
  <c r="W277" i="2"/>
  <c r="R277" i="2"/>
  <c r="P277" i="2"/>
  <c r="K277" i="2"/>
  <c r="I277" i="2"/>
  <c r="Y276" i="2"/>
  <c r="W276" i="2"/>
  <c r="R276" i="2"/>
  <c r="P276" i="2"/>
  <c r="K276" i="2"/>
  <c r="I276" i="2"/>
  <c r="Y275" i="2"/>
  <c r="W275" i="2"/>
  <c r="R275" i="2"/>
  <c r="P275" i="2"/>
  <c r="K275" i="2"/>
  <c r="I275" i="2"/>
  <c r="Y274" i="2"/>
  <c r="W274" i="2"/>
  <c r="R274" i="2"/>
  <c r="P274" i="2"/>
  <c r="K274" i="2"/>
  <c r="I274" i="2"/>
  <c r="Y273" i="2"/>
  <c r="W273" i="2"/>
  <c r="R273" i="2"/>
  <c r="P273" i="2"/>
  <c r="K273" i="2"/>
  <c r="I273" i="2"/>
  <c r="Y269" i="2"/>
  <c r="W269" i="2"/>
  <c r="R269" i="2"/>
  <c r="P269" i="2"/>
  <c r="K269" i="2"/>
  <c r="I269" i="2"/>
  <c r="Y268" i="2"/>
  <c r="W268" i="2"/>
  <c r="R268" i="2"/>
  <c r="P268" i="2"/>
  <c r="K268" i="2"/>
  <c r="I268" i="2"/>
  <c r="Y267" i="2"/>
  <c r="W267" i="2"/>
  <c r="R267" i="2"/>
  <c r="P267" i="2"/>
  <c r="K267" i="2"/>
  <c r="I267" i="2"/>
  <c r="Y266" i="2"/>
  <c r="W266" i="2"/>
  <c r="R266" i="2"/>
  <c r="P266" i="2"/>
  <c r="K266" i="2"/>
  <c r="I266" i="2"/>
  <c r="Y265" i="2"/>
  <c r="W265" i="2"/>
  <c r="R265" i="2"/>
  <c r="P265" i="2"/>
  <c r="K265" i="2"/>
  <c r="I265" i="2"/>
  <c r="Y264" i="2"/>
  <c r="W264" i="2"/>
  <c r="R264" i="2"/>
  <c r="P264" i="2"/>
  <c r="K264" i="2"/>
  <c r="I264" i="2"/>
  <c r="Y260" i="2"/>
  <c r="W260" i="2"/>
  <c r="R260" i="2"/>
  <c r="P260" i="2"/>
  <c r="K260" i="2"/>
  <c r="I260" i="2"/>
  <c r="Y259" i="2"/>
  <c r="W259" i="2"/>
  <c r="R259" i="2"/>
  <c r="P259" i="2"/>
  <c r="K259" i="2"/>
  <c r="I259" i="2"/>
  <c r="Y258" i="2"/>
  <c r="W258" i="2"/>
  <c r="R258" i="2"/>
  <c r="P258" i="2"/>
  <c r="K258" i="2"/>
  <c r="I258" i="2"/>
  <c r="Y257" i="2"/>
  <c r="W257" i="2"/>
  <c r="R257" i="2"/>
  <c r="P257" i="2"/>
  <c r="K257" i="2"/>
  <c r="I257" i="2"/>
  <c r="Y256" i="2"/>
  <c r="W256" i="2"/>
  <c r="R256" i="2"/>
  <c r="P256" i="2"/>
  <c r="K256" i="2"/>
  <c r="I256" i="2"/>
  <c r="Y255" i="2"/>
  <c r="W255" i="2"/>
  <c r="R255" i="2"/>
  <c r="P255" i="2"/>
  <c r="K255" i="2"/>
  <c r="I255" i="2"/>
  <c r="Y254" i="2"/>
  <c r="W254" i="2"/>
  <c r="R254" i="2"/>
  <c r="P254" i="2"/>
  <c r="K254" i="2"/>
  <c r="I254" i="2"/>
  <c r="Y253" i="2"/>
  <c r="W253" i="2"/>
  <c r="R253" i="2"/>
  <c r="P253" i="2"/>
  <c r="K253" i="2"/>
  <c r="I253" i="2"/>
  <c r="Y252" i="2"/>
  <c r="W252" i="2"/>
  <c r="R252" i="2"/>
  <c r="P252" i="2"/>
  <c r="K252" i="2"/>
  <c r="I252" i="2"/>
  <c r="Y248" i="2"/>
  <c r="W248" i="2"/>
  <c r="R248" i="2"/>
  <c r="P248" i="2"/>
  <c r="K248" i="2"/>
  <c r="I248" i="2"/>
  <c r="Y247" i="2"/>
  <c r="W247" i="2"/>
  <c r="R247" i="2"/>
  <c r="P247" i="2"/>
  <c r="K247" i="2"/>
  <c r="I247" i="2"/>
  <c r="Y246" i="2"/>
  <c r="W246" i="2"/>
  <c r="R246" i="2"/>
  <c r="P246" i="2"/>
  <c r="K246" i="2"/>
  <c r="I246" i="2"/>
  <c r="Y245" i="2"/>
  <c r="W245" i="2"/>
  <c r="R245" i="2"/>
  <c r="P245" i="2"/>
  <c r="K245" i="2"/>
  <c r="I245" i="2"/>
  <c r="Y244" i="2"/>
  <c r="W244" i="2"/>
  <c r="R244" i="2"/>
  <c r="P244" i="2"/>
  <c r="K244" i="2"/>
  <c r="I244" i="2"/>
  <c r="Y240" i="2"/>
  <c r="W240" i="2"/>
  <c r="R240" i="2"/>
  <c r="P240" i="2"/>
  <c r="K240" i="2"/>
  <c r="I240" i="2"/>
  <c r="Y239" i="2"/>
  <c r="W239" i="2"/>
  <c r="R239" i="2"/>
  <c r="P239" i="2"/>
  <c r="K239" i="2"/>
  <c r="I239" i="2"/>
  <c r="Y238" i="2"/>
  <c r="W238" i="2"/>
  <c r="R238" i="2"/>
  <c r="P238" i="2"/>
  <c r="K238" i="2"/>
  <c r="I238" i="2"/>
  <c r="Y237" i="2"/>
  <c r="W237" i="2"/>
  <c r="R237" i="2"/>
  <c r="P237" i="2"/>
  <c r="K237" i="2"/>
  <c r="I237" i="2"/>
  <c r="Y236" i="2"/>
  <c r="W236" i="2"/>
  <c r="R236" i="2"/>
  <c r="P236" i="2"/>
  <c r="K236" i="2"/>
  <c r="I236" i="2"/>
  <c r="Y235" i="2"/>
  <c r="W235" i="2"/>
  <c r="R235" i="2"/>
  <c r="P235" i="2"/>
  <c r="K235" i="2"/>
  <c r="I235" i="2"/>
  <c r="Y231" i="2"/>
  <c r="W231" i="2"/>
  <c r="R231" i="2"/>
  <c r="P231" i="2"/>
  <c r="K231" i="2"/>
  <c r="I231" i="2"/>
  <c r="Y230" i="2"/>
  <c r="W230" i="2"/>
  <c r="R230" i="2"/>
  <c r="P230" i="2"/>
  <c r="K230" i="2"/>
  <c r="I230" i="2"/>
  <c r="Y229" i="2"/>
  <c r="W229" i="2"/>
  <c r="R229" i="2"/>
  <c r="P229" i="2"/>
  <c r="K229" i="2"/>
  <c r="I229" i="2"/>
  <c r="Y228" i="2"/>
  <c r="W228" i="2"/>
  <c r="R228" i="2"/>
  <c r="P228" i="2"/>
  <c r="K228" i="2"/>
  <c r="I228" i="2"/>
  <c r="Y227" i="2"/>
  <c r="W227" i="2"/>
  <c r="R227" i="2"/>
  <c r="P227" i="2"/>
  <c r="K227" i="2"/>
  <c r="I227" i="2"/>
  <c r="Y226" i="2"/>
  <c r="W226" i="2"/>
  <c r="R226" i="2"/>
  <c r="P226" i="2"/>
  <c r="K226" i="2"/>
  <c r="I226" i="2"/>
  <c r="Y225" i="2"/>
  <c r="W225" i="2"/>
  <c r="R225" i="2"/>
  <c r="P225" i="2"/>
  <c r="K225" i="2"/>
  <c r="I225" i="2"/>
  <c r="Y224" i="2"/>
  <c r="W224" i="2"/>
  <c r="R224" i="2"/>
  <c r="P224" i="2"/>
  <c r="K224" i="2"/>
  <c r="I224" i="2"/>
  <c r="Y223" i="2"/>
  <c r="W223" i="2"/>
  <c r="R223" i="2"/>
  <c r="P223" i="2"/>
  <c r="K223" i="2"/>
  <c r="I223" i="2"/>
  <c r="Y222" i="2"/>
  <c r="W222" i="2"/>
  <c r="R222" i="2"/>
  <c r="P222" i="2"/>
  <c r="K222" i="2"/>
  <c r="I222" i="2"/>
  <c r="Y217" i="2"/>
  <c r="W217" i="2"/>
  <c r="R217" i="2"/>
  <c r="P217" i="2"/>
  <c r="K217" i="2"/>
  <c r="I217" i="2"/>
  <c r="Y216" i="2"/>
  <c r="W216" i="2"/>
  <c r="R216" i="2"/>
  <c r="P216" i="2"/>
  <c r="K216" i="2"/>
  <c r="I216" i="2"/>
  <c r="Y215" i="2"/>
  <c r="W215" i="2"/>
  <c r="R215" i="2"/>
  <c r="P215" i="2"/>
  <c r="K215" i="2"/>
  <c r="I215" i="2"/>
  <c r="Y211" i="2"/>
  <c r="W211" i="2"/>
  <c r="R211" i="2"/>
  <c r="P211" i="2"/>
  <c r="K211" i="2"/>
  <c r="I211" i="2"/>
  <c r="Y210" i="2"/>
  <c r="W210" i="2"/>
  <c r="R210" i="2"/>
  <c r="P210" i="2"/>
  <c r="K210" i="2"/>
  <c r="I210" i="2"/>
  <c r="Y209" i="2"/>
  <c r="W209" i="2"/>
  <c r="R209" i="2"/>
  <c r="P209" i="2"/>
  <c r="K209" i="2"/>
  <c r="I209" i="2"/>
  <c r="Y205" i="2"/>
  <c r="W205" i="2"/>
  <c r="R205" i="2"/>
  <c r="P205" i="2"/>
  <c r="K205" i="2"/>
  <c r="I205" i="2"/>
  <c r="Y204" i="2"/>
  <c r="W204" i="2"/>
  <c r="R204" i="2"/>
  <c r="P204" i="2"/>
  <c r="K204" i="2"/>
  <c r="I204" i="2"/>
  <c r="Y203" i="2"/>
  <c r="W203" i="2"/>
  <c r="R203" i="2"/>
  <c r="P203" i="2"/>
  <c r="K203" i="2"/>
  <c r="I203" i="2"/>
  <c r="Y202" i="2"/>
  <c r="W202" i="2"/>
  <c r="R202" i="2"/>
  <c r="P202" i="2"/>
  <c r="K202" i="2"/>
  <c r="I202" i="2"/>
  <c r="Y198" i="2"/>
  <c r="W198" i="2"/>
  <c r="R198" i="2"/>
  <c r="P198" i="2"/>
  <c r="K198" i="2"/>
  <c r="I198" i="2"/>
  <c r="Y197" i="2"/>
  <c r="W197" i="2"/>
  <c r="R197" i="2"/>
  <c r="P197" i="2"/>
  <c r="K197" i="2"/>
  <c r="I197" i="2"/>
  <c r="Y196" i="2"/>
  <c r="W196" i="2"/>
  <c r="R196" i="2"/>
  <c r="P196" i="2"/>
  <c r="K196" i="2"/>
  <c r="I196" i="2"/>
  <c r="Y195" i="2"/>
  <c r="W195" i="2"/>
  <c r="R195" i="2"/>
  <c r="P195" i="2"/>
  <c r="K195" i="2"/>
  <c r="I195" i="2"/>
  <c r="Y190" i="2"/>
  <c r="W190" i="2"/>
  <c r="R190" i="2"/>
  <c r="P190" i="2"/>
  <c r="K190" i="2"/>
  <c r="I190" i="2"/>
  <c r="Y189" i="2"/>
  <c r="W189" i="2"/>
  <c r="R189" i="2"/>
  <c r="P189" i="2"/>
  <c r="K189" i="2"/>
  <c r="I189" i="2"/>
  <c r="Y188" i="2"/>
  <c r="W188" i="2"/>
  <c r="R188" i="2"/>
  <c r="P188" i="2"/>
  <c r="K188" i="2"/>
  <c r="I188" i="2"/>
  <c r="Y187" i="2"/>
  <c r="W187" i="2"/>
  <c r="R187" i="2"/>
  <c r="P187" i="2"/>
  <c r="K187" i="2"/>
  <c r="I187" i="2"/>
  <c r="Y186" i="2"/>
  <c r="W186" i="2"/>
  <c r="R186" i="2"/>
  <c r="P186" i="2"/>
  <c r="K186" i="2"/>
  <c r="I186" i="2"/>
  <c r="Y185" i="2"/>
  <c r="W185" i="2"/>
  <c r="R185" i="2"/>
  <c r="P185" i="2"/>
  <c r="K185" i="2"/>
  <c r="I185" i="2"/>
  <c r="Y184" i="2"/>
  <c r="W184" i="2"/>
  <c r="R184" i="2"/>
  <c r="P184" i="2"/>
  <c r="K184" i="2"/>
  <c r="I184" i="2"/>
  <c r="Y183" i="2"/>
  <c r="W183" i="2"/>
  <c r="R183" i="2"/>
  <c r="P183" i="2"/>
  <c r="K183" i="2"/>
  <c r="I183" i="2"/>
  <c r="Y182" i="2"/>
  <c r="W182" i="2"/>
  <c r="R182" i="2"/>
  <c r="P182" i="2"/>
  <c r="K182" i="2"/>
  <c r="I182" i="2"/>
  <c r="Y178" i="2"/>
  <c r="W178" i="2"/>
  <c r="R178" i="2"/>
  <c r="P178" i="2"/>
  <c r="K178" i="2"/>
  <c r="I178" i="2"/>
  <c r="Y177" i="2"/>
  <c r="W177" i="2"/>
  <c r="R177" i="2"/>
  <c r="P177" i="2"/>
  <c r="K177" i="2"/>
  <c r="I177" i="2"/>
  <c r="Y176" i="2"/>
  <c r="W176" i="2"/>
  <c r="R176" i="2"/>
  <c r="P176" i="2"/>
  <c r="K176" i="2"/>
  <c r="I176" i="2"/>
  <c r="Y175" i="2"/>
  <c r="W175" i="2"/>
  <c r="R175" i="2"/>
  <c r="P175" i="2"/>
  <c r="K175" i="2"/>
  <c r="I175" i="2"/>
  <c r="Y171" i="2"/>
  <c r="W171" i="2"/>
  <c r="R171" i="2"/>
  <c r="P171" i="2"/>
  <c r="K171" i="2"/>
  <c r="I171" i="2"/>
  <c r="Y170" i="2"/>
  <c r="W170" i="2"/>
  <c r="R170" i="2"/>
  <c r="P170" i="2"/>
  <c r="K170" i="2"/>
  <c r="I170" i="2"/>
  <c r="Y169" i="2"/>
  <c r="W169" i="2"/>
  <c r="R169" i="2"/>
  <c r="P169" i="2"/>
  <c r="K169" i="2"/>
  <c r="I169" i="2"/>
  <c r="Y168" i="2"/>
  <c r="W168" i="2"/>
  <c r="R168" i="2"/>
  <c r="P168" i="2"/>
  <c r="K168" i="2"/>
  <c r="I168" i="2"/>
  <c r="Y164" i="2"/>
  <c r="W164" i="2"/>
  <c r="R164" i="2"/>
  <c r="P164" i="2"/>
  <c r="K164" i="2"/>
  <c r="I164" i="2"/>
  <c r="Y163" i="2"/>
  <c r="W163" i="2"/>
  <c r="R163" i="2"/>
  <c r="P163" i="2"/>
  <c r="K163" i="2"/>
  <c r="I163" i="2"/>
  <c r="Y162" i="2"/>
  <c r="W162" i="2"/>
  <c r="R162" i="2"/>
  <c r="P162" i="2"/>
  <c r="K162" i="2"/>
  <c r="I162" i="2"/>
  <c r="Y161" i="2"/>
  <c r="W161" i="2"/>
  <c r="R161" i="2"/>
  <c r="P161" i="2"/>
  <c r="K161" i="2"/>
  <c r="I161" i="2"/>
  <c r="Y160" i="2"/>
  <c r="W160" i="2"/>
  <c r="R160" i="2"/>
  <c r="P160" i="2"/>
  <c r="K160" i="2"/>
  <c r="I160" i="2"/>
  <c r="Y159" i="2"/>
  <c r="W159" i="2"/>
  <c r="R159" i="2"/>
  <c r="P159" i="2"/>
  <c r="K159" i="2"/>
  <c r="I159" i="2"/>
  <c r="Y158" i="2"/>
  <c r="W158" i="2"/>
  <c r="R158" i="2"/>
  <c r="P158" i="2"/>
  <c r="K158" i="2"/>
  <c r="I158" i="2"/>
  <c r="Y157" i="2"/>
  <c r="W157" i="2"/>
  <c r="R157" i="2"/>
  <c r="P157" i="2"/>
  <c r="K157" i="2"/>
  <c r="I157" i="2"/>
  <c r="Y156" i="2"/>
  <c r="W156" i="2"/>
  <c r="R156" i="2"/>
  <c r="P156" i="2"/>
  <c r="K156" i="2"/>
  <c r="I156" i="2"/>
  <c r="Y155" i="2"/>
  <c r="W155" i="2"/>
  <c r="R155" i="2"/>
  <c r="P155" i="2"/>
  <c r="K155" i="2"/>
  <c r="I155" i="2"/>
  <c r="Y154" i="2"/>
  <c r="W154" i="2"/>
  <c r="R154" i="2"/>
  <c r="P154" i="2"/>
  <c r="K154" i="2"/>
  <c r="I154" i="2"/>
  <c r="Y153" i="2"/>
  <c r="W153" i="2"/>
  <c r="R153" i="2"/>
  <c r="P153" i="2"/>
  <c r="K153" i="2"/>
  <c r="I153" i="2"/>
  <c r="Y147" i="2"/>
  <c r="W147" i="2"/>
  <c r="R147" i="2"/>
  <c r="P147" i="2"/>
  <c r="K147" i="2"/>
  <c r="I147" i="2"/>
  <c r="Y146" i="2"/>
  <c r="W146" i="2"/>
  <c r="R146" i="2"/>
  <c r="P146" i="2"/>
  <c r="K146" i="2"/>
  <c r="I146" i="2"/>
  <c r="Y145" i="2"/>
  <c r="W145" i="2"/>
  <c r="R145" i="2"/>
  <c r="P145" i="2"/>
  <c r="K145" i="2"/>
  <c r="I145" i="2"/>
  <c r="Y144" i="2"/>
  <c r="W144" i="2"/>
  <c r="R144" i="2"/>
  <c r="P144" i="2"/>
  <c r="K144" i="2"/>
  <c r="I144" i="2"/>
  <c r="Y140" i="2"/>
  <c r="W140" i="2"/>
  <c r="R140" i="2"/>
  <c r="P140" i="2"/>
  <c r="K140" i="2"/>
  <c r="I140" i="2"/>
  <c r="Y139" i="2"/>
  <c r="W139" i="2"/>
  <c r="R139" i="2"/>
  <c r="P139" i="2"/>
  <c r="K139" i="2"/>
  <c r="I139" i="2"/>
  <c r="Y138" i="2"/>
  <c r="W138" i="2"/>
  <c r="R138" i="2"/>
  <c r="P138" i="2"/>
  <c r="K138" i="2"/>
  <c r="I138" i="2"/>
  <c r="Y137" i="2"/>
  <c r="W137" i="2"/>
  <c r="R137" i="2"/>
  <c r="P137" i="2"/>
  <c r="K137" i="2"/>
  <c r="I137" i="2"/>
  <c r="Y136" i="2"/>
  <c r="W136" i="2"/>
  <c r="R136" i="2"/>
  <c r="P136" i="2"/>
  <c r="K136" i="2"/>
  <c r="I136" i="2"/>
  <c r="Y135" i="2"/>
  <c r="W135" i="2"/>
  <c r="R135" i="2"/>
  <c r="P135" i="2"/>
  <c r="K135" i="2"/>
  <c r="I135" i="2"/>
  <c r="Y134" i="2"/>
  <c r="W134" i="2"/>
  <c r="R134" i="2"/>
  <c r="P134" i="2"/>
  <c r="K134" i="2"/>
  <c r="I134" i="2"/>
  <c r="Y133" i="2"/>
  <c r="W133" i="2"/>
  <c r="R133" i="2"/>
  <c r="P133" i="2"/>
  <c r="K133" i="2"/>
  <c r="I133" i="2"/>
  <c r="Y132" i="2"/>
  <c r="W132" i="2"/>
  <c r="R132" i="2"/>
  <c r="P132" i="2"/>
  <c r="K132" i="2"/>
  <c r="I132" i="2"/>
  <c r="Y131" i="2"/>
  <c r="W131" i="2"/>
  <c r="R131" i="2"/>
  <c r="P131" i="2"/>
  <c r="K131" i="2"/>
  <c r="I131" i="2"/>
  <c r="Y130" i="2"/>
  <c r="W130" i="2"/>
  <c r="R130" i="2"/>
  <c r="P130" i="2"/>
  <c r="K130" i="2"/>
  <c r="I130" i="2"/>
  <c r="Y124" i="2"/>
  <c r="W124" i="2"/>
  <c r="R124" i="2"/>
  <c r="P124" i="2"/>
  <c r="K124" i="2"/>
  <c r="I124" i="2"/>
  <c r="Y123" i="2"/>
  <c r="W123" i="2"/>
  <c r="R123" i="2"/>
  <c r="P123" i="2"/>
  <c r="K123" i="2"/>
  <c r="I123" i="2"/>
  <c r="Y122" i="2"/>
  <c r="W122" i="2"/>
  <c r="R122" i="2"/>
  <c r="P122" i="2"/>
  <c r="K122" i="2"/>
  <c r="I122" i="2"/>
  <c r="Y121" i="2"/>
  <c r="W121" i="2"/>
  <c r="R121" i="2"/>
  <c r="P121" i="2"/>
  <c r="K121" i="2"/>
  <c r="I121" i="2"/>
  <c r="Y114" i="2"/>
  <c r="W114" i="2"/>
  <c r="R114" i="2"/>
  <c r="P114" i="2"/>
  <c r="K114" i="2"/>
  <c r="I114" i="2"/>
  <c r="Y113" i="2"/>
  <c r="W113" i="2"/>
  <c r="R113" i="2"/>
  <c r="P113" i="2"/>
  <c r="K113" i="2"/>
  <c r="I113" i="2"/>
  <c r="Y112" i="2"/>
  <c r="W112" i="2"/>
  <c r="R112" i="2"/>
  <c r="P112" i="2"/>
  <c r="K112" i="2"/>
  <c r="I112" i="2"/>
  <c r="Y111" i="2"/>
  <c r="W111" i="2"/>
  <c r="R111" i="2"/>
  <c r="P111" i="2"/>
  <c r="K111" i="2"/>
  <c r="I111" i="2"/>
  <c r="Y106" i="2"/>
  <c r="W106" i="2"/>
  <c r="R106" i="2"/>
  <c r="P106" i="2"/>
  <c r="K106" i="2"/>
  <c r="I106" i="2"/>
  <c r="Y105" i="2"/>
  <c r="W105" i="2"/>
  <c r="R105" i="2"/>
  <c r="P105" i="2"/>
  <c r="K105" i="2"/>
  <c r="I105" i="2"/>
  <c r="Y104" i="2"/>
  <c r="W104" i="2"/>
  <c r="R104" i="2"/>
  <c r="P104" i="2"/>
  <c r="K104" i="2"/>
  <c r="I104" i="2"/>
  <c r="Y103" i="2"/>
  <c r="W103" i="2"/>
  <c r="R103" i="2"/>
  <c r="P103" i="2"/>
  <c r="K103" i="2"/>
  <c r="I103" i="2"/>
  <c r="Y99" i="2"/>
  <c r="W99" i="2"/>
  <c r="R99" i="2"/>
  <c r="P99" i="2"/>
  <c r="K99" i="2"/>
  <c r="I99" i="2"/>
  <c r="Y98" i="2"/>
  <c r="W98" i="2"/>
  <c r="R98" i="2"/>
  <c r="P98" i="2"/>
  <c r="K98" i="2"/>
  <c r="I98" i="2"/>
  <c r="Y97" i="2"/>
  <c r="W97" i="2"/>
  <c r="R97" i="2"/>
  <c r="P97" i="2"/>
  <c r="K97" i="2"/>
  <c r="I97" i="2"/>
  <c r="Y96" i="2"/>
  <c r="W96" i="2"/>
  <c r="R96" i="2"/>
  <c r="P96" i="2"/>
  <c r="K96" i="2"/>
  <c r="I96" i="2"/>
  <c r="Y95" i="2"/>
  <c r="W95" i="2"/>
  <c r="R95" i="2"/>
  <c r="P95" i="2"/>
  <c r="K95" i="2"/>
  <c r="I95" i="2"/>
  <c r="Y94" i="2"/>
  <c r="W94" i="2"/>
  <c r="R94" i="2"/>
  <c r="P94" i="2"/>
  <c r="K94" i="2"/>
  <c r="I94" i="2"/>
  <c r="Y93" i="2"/>
  <c r="W93" i="2"/>
  <c r="R93" i="2"/>
  <c r="P93" i="2"/>
  <c r="K93" i="2"/>
  <c r="I93" i="2"/>
  <c r="Y92" i="2"/>
  <c r="W92" i="2"/>
  <c r="R92" i="2"/>
  <c r="P92" i="2"/>
  <c r="K92" i="2"/>
  <c r="I92" i="2"/>
  <c r="Y88" i="2"/>
  <c r="W88" i="2"/>
  <c r="R88" i="2"/>
  <c r="P88" i="2"/>
  <c r="K88" i="2"/>
  <c r="I88" i="2"/>
  <c r="Y87" i="2"/>
  <c r="W87" i="2"/>
  <c r="R87" i="2"/>
  <c r="P87" i="2"/>
  <c r="K87" i="2"/>
  <c r="I87" i="2"/>
  <c r="Y86" i="2"/>
  <c r="W86" i="2"/>
  <c r="R86" i="2"/>
  <c r="P86" i="2"/>
  <c r="K86" i="2"/>
  <c r="I86" i="2"/>
  <c r="Y85" i="2"/>
  <c r="W85" i="2"/>
  <c r="R85" i="2"/>
  <c r="P85" i="2"/>
  <c r="K85" i="2"/>
  <c r="I85" i="2"/>
  <c r="Y84" i="2"/>
  <c r="W84" i="2"/>
  <c r="R84" i="2"/>
  <c r="P84" i="2"/>
  <c r="K84" i="2"/>
  <c r="I84" i="2"/>
  <c r="Y83" i="2"/>
  <c r="W83" i="2"/>
  <c r="R83" i="2"/>
  <c r="P83" i="2"/>
  <c r="K83" i="2"/>
  <c r="I83" i="2"/>
  <c r="Y82" i="2"/>
  <c r="W82" i="2"/>
  <c r="R82" i="2"/>
  <c r="P82" i="2"/>
  <c r="K82" i="2"/>
  <c r="I82" i="2"/>
  <c r="Y81" i="2"/>
  <c r="W81" i="2"/>
  <c r="R81" i="2"/>
  <c r="P81" i="2"/>
  <c r="K81" i="2"/>
  <c r="I81" i="2"/>
  <c r="Y80" i="2"/>
  <c r="W80" i="2"/>
  <c r="R80" i="2"/>
  <c r="P80" i="2"/>
  <c r="K80" i="2"/>
  <c r="I80" i="2"/>
  <c r="Y79" i="2"/>
  <c r="W79" i="2"/>
  <c r="R79" i="2"/>
  <c r="P79" i="2"/>
  <c r="K79" i="2"/>
  <c r="I79" i="2"/>
  <c r="Y78" i="2"/>
  <c r="W78" i="2"/>
  <c r="R78" i="2"/>
  <c r="P78" i="2"/>
  <c r="K78" i="2"/>
  <c r="I78" i="2"/>
  <c r="Y73" i="2"/>
  <c r="W73" i="2"/>
  <c r="R73" i="2"/>
  <c r="P73" i="2"/>
  <c r="K73" i="2"/>
  <c r="I73" i="2"/>
  <c r="Y72" i="2"/>
  <c r="W72" i="2"/>
  <c r="R72" i="2"/>
  <c r="P72" i="2"/>
  <c r="K72" i="2"/>
  <c r="I72" i="2"/>
  <c r="Y71" i="2"/>
  <c r="W71" i="2"/>
  <c r="R71" i="2"/>
  <c r="P71" i="2"/>
  <c r="K71" i="2"/>
  <c r="I71" i="2"/>
  <c r="Y70" i="2"/>
  <c r="W70" i="2"/>
  <c r="R70" i="2"/>
  <c r="P70" i="2"/>
  <c r="K70" i="2"/>
  <c r="I70" i="2"/>
  <c r="Y69" i="2"/>
  <c r="W69" i="2"/>
  <c r="R69" i="2"/>
  <c r="P69" i="2"/>
  <c r="K69" i="2"/>
  <c r="I69" i="2"/>
  <c r="Y68" i="2"/>
  <c r="W68" i="2"/>
  <c r="R68" i="2"/>
  <c r="P68" i="2"/>
  <c r="K68" i="2"/>
  <c r="I68" i="2"/>
  <c r="Y64" i="2"/>
  <c r="W64" i="2"/>
  <c r="R64" i="2"/>
  <c r="P64" i="2"/>
  <c r="K64" i="2"/>
  <c r="I64" i="2"/>
  <c r="Y63" i="2"/>
  <c r="W63" i="2"/>
  <c r="R63" i="2"/>
  <c r="P63" i="2"/>
  <c r="K63" i="2"/>
  <c r="I63" i="2"/>
  <c r="Y62" i="2"/>
  <c r="W62" i="2"/>
  <c r="R62" i="2"/>
  <c r="P62" i="2"/>
  <c r="K62" i="2"/>
  <c r="I62" i="2"/>
  <c r="Y61" i="2"/>
  <c r="W61" i="2"/>
  <c r="R61" i="2"/>
  <c r="P61" i="2"/>
  <c r="K61" i="2"/>
  <c r="I61" i="2"/>
  <c r="Y60" i="2"/>
  <c r="W60" i="2"/>
  <c r="R60" i="2"/>
  <c r="P60" i="2"/>
  <c r="K60" i="2"/>
  <c r="I60" i="2"/>
  <c r="Y59" i="2"/>
  <c r="W59" i="2"/>
  <c r="R59" i="2"/>
  <c r="P59" i="2"/>
  <c r="K59" i="2"/>
  <c r="I59" i="2"/>
  <c r="Y58" i="2"/>
  <c r="W58" i="2"/>
  <c r="R58" i="2"/>
  <c r="P58" i="2"/>
  <c r="K58" i="2"/>
  <c r="I58" i="2"/>
  <c r="Y57" i="2"/>
  <c r="W57" i="2"/>
  <c r="R57" i="2"/>
  <c r="P57" i="2"/>
  <c r="K57" i="2"/>
  <c r="I57" i="2"/>
  <c r="Y56" i="2"/>
  <c r="W56" i="2"/>
  <c r="R56" i="2"/>
  <c r="P56" i="2"/>
  <c r="K56" i="2"/>
  <c r="I56" i="2"/>
  <c r="Y55" i="2"/>
  <c r="W55" i="2"/>
  <c r="R55" i="2"/>
  <c r="P55" i="2"/>
  <c r="K55" i="2"/>
  <c r="I55" i="2"/>
  <c r="Y54" i="2"/>
  <c r="W54" i="2"/>
  <c r="R54" i="2"/>
  <c r="P54" i="2"/>
  <c r="K54" i="2"/>
  <c r="I54" i="2"/>
  <c r="Y50" i="2"/>
  <c r="W50" i="2"/>
  <c r="R50" i="2"/>
  <c r="P50" i="2"/>
  <c r="K50" i="2"/>
  <c r="I50" i="2"/>
  <c r="Y49" i="2"/>
  <c r="W49" i="2"/>
  <c r="R49" i="2"/>
  <c r="P49" i="2"/>
  <c r="K49" i="2"/>
  <c r="I49" i="2"/>
  <c r="Y48" i="2"/>
  <c r="W48" i="2"/>
  <c r="R48" i="2"/>
  <c r="P48" i="2"/>
  <c r="K48" i="2"/>
  <c r="I48" i="2"/>
  <c r="Y47" i="2"/>
  <c r="W47" i="2"/>
  <c r="R47" i="2"/>
  <c r="P47" i="2"/>
  <c r="K47" i="2"/>
  <c r="I47" i="2"/>
  <c r="Y43" i="2"/>
  <c r="W43" i="2"/>
  <c r="R43" i="2"/>
  <c r="P43" i="2"/>
  <c r="K43" i="2"/>
  <c r="I43" i="2"/>
  <c r="Y42" i="2"/>
  <c r="W42" i="2"/>
  <c r="R42" i="2"/>
  <c r="P42" i="2"/>
  <c r="K42" i="2"/>
  <c r="I42" i="2"/>
  <c r="Y41" i="2"/>
  <c r="W41" i="2"/>
  <c r="R41" i="2"/>
  <c r="P41" i="2"/>
  <c r="K41" i="2"/>
  <c r="I41" i="2"/>
  <c r="Y40" i="2"/>
  <c r="W40" i="2"/>
  <c r="R40" i="2"/>
  <c r="P40" i="2"/>
  <c r="K40" i="2"/>
  <c r="I40" i="2"/>
  <c r="Y39" i="2"/>
  <c r="W39" i="2"/>
  <c r="R39" i="2"/>
  <c r="P39" i="2"/>
  <c r="K39" i="2"/>
  <c r="I39" i="2"/>
  <c r="Y38" i="2"/>
  <c r="W38" i="2"/>
  <c r="R38" i="2"/>
  <c r="P38" i="2"/>
  <c r="K38" i="2"/>
  <c r="I38" i="2"/>
  <c r="Y34" i="2"/>
  <c r="W34" i="2"/>
  <c r="R34" i="2"/>
  <c r="P34" i="2"/>
  <c r="K34" i="2"/>
  <c r="I34" i="2"/>
  <c r="Y33" i="2"/>
  <c r="W33" i="2"/>
  <c r="R33" i="2"/>
  <c r="P33" i="2"/>
  <c r="K33" i="2"/>
  <c r="I33" i="2"/>
  <c r="Y32" i="2"/>
  <c r="W32" i="2"/>
  <c r="R32" i="2"/>
  <c r="P32" i="2"/>
  <c r="K32" i="2"/>
  <c r="I32" i="2"/>
  <c r="Y31" i="2"/>
  <c r="W31" i="2"/>
  <c r="R31" i="2"/>
  <c r="P31" i="2"/>
  <c r="K31" i="2"/>
  <c r="I31" i="2"/>
  <c r="Y30" i="2"/>
  <c r="W30" i="2"/>
  <c r="R30" i="2"/>
  <c r="P30" i="2"/>
  <c r="K30" i="2"/>
  <c r="I30" i="2"/>
  <c r="Y26" i="2"/>
  <c r="W26" i="2"/>
  <c r="R26" i="2"/>
  <c r="P26" i="2"/>
  <c r="K26" i="2"/>
  <c r="I26" i="2"/>
  <c r="Y25" i="2"/>
  <c r="W25" i="2"/>
  <c r="R25" i="2"/>
  <c r="P25" i="2"/>
  <c r="K25" i="2"/>
  <c r="I25" i="2"/>
  <c r="Y24" i="2"/>
  <c r="W24" i="2"/>
  <c r="R24" i="2"/>
  <c r="P24" i="2"/>
  <c r="K24" i="2"/>
  <c r="I24" i="2"/>
  <c r="Y23" i="2"/>
  <c r="W23" i="2"/>
  <c r="R23" i="2"/>
  <c r="P23" i="2"/>
  <c r="K23" i="2"/>
  <c r="I23" i="2"/>
  <c r="Y18" i="2"/>
  <c r="W18" i="2"/>
  <c r="R18" i="2"/>
  <c r="P18" i="2"/>
  <c r="K18" i="2"/>
  <c r="I18" i="2"/>
  <c r="Y17" i="2"/>
  <c r="W17" i="2"/>
  <c r="R17" i="2"/>
  <c r="P17" i="2"/>
  <c r="K17" i="2"/>
  <c r="I17" i="2"/>
  <c r="Y16" i="2"/>
  <c r="W16" i="2"/>
  <c r="R16" i="2"/>
  <c r="P16" i="2"/>
  <c r="K16" i="2"/>
  <c r="I16" i="2"/>
  <c r="Y15" i="2"/>
  <c r="W15" i="2"/>
  <c r="R15" i="2"/>
  <c r="P15" i="2"/>
  <c r="K15" i="2"/>
  <c r="I15" i="2"/>
  <c r="X7" i="2"/>
  <c r="Q7" i="2"/>
  <c r="J7" i="2"/>
  <c r="X6" i="2"/>
  <c r="Q6" i="2"/>
  <c r="J6" i="2"/>
  <c r="AK2" i="1"/>
  <c r="AK511" i="1"/>
  <c r="AK510" i="1"/>
  <c r="AK509" i="1"/>
  <c r="AK508" i="1"/>
  <c r="AK507" i="1"/>
  <c r="AK506" i="1"/>
  <c r="AK505" i="1"/>
  <c r="AK504" i="1"/>
  <c r="AK503" i="1"/>
  <c r="AK502" i="1"/>
  <c r="AK501" i="1"/>
  <c r="AK500" i="1"/>
  <c r="AK499" i="1"/>
  <c r="AK498" i="1"/>
  <c r="AK497" i="1"/>
  <c r="AK496" i="1"/>
  <c r="AK495" i="1"/>
  <c r="AK494" i="1"/>
  <c r="AK493" i="1"/>
  <c r="AK492" i="1"/>
  <c r="AK491" i="1"/>
  <c r="AK490" i="1"/>
  <c r="AK489" i="1"/>
  <c r="AK488" i="1"/>
  <c r="AK487" i="1"/>
  <c r="AK486" i="1"/>
  <c r="AK485" i="1"/>
  <c r="AK484" i="1"/>
  <c r="AK483" i="1"/>
  <c r="AK482" i="1"/>
  <c r="AK481" i="1"/>
  <c r="AK480" i="1"/>
  <c r="AK479" i="1"/>
  <c r="AK478" i="1"/>
  <c r="AK477" i="1"/>
  <c r="AK476" i="1"/>
  <c r="AK475" i="1"/>
  <c r="AK474" i="1"/>
  <c r="AK473" i="1"/>
  <c r="AK472" i="1"/>
  <c r="AK471" i="1"/>
  <c r="AK470" i="1"/>
  <c r="AK469" i="1"/>
  <c r="AK468" i="1"/>
  <c r="AK467" i="1"/>
  <c r="AK466" i="1"/>
  <c r="AK465" i="1"/>
  <c r="AK464" i="1"/>
  <c r="AK463" i="1"/>
  <c r="AK462" i="1"/>
  <c r="AK461" i="1"/>
  <c r="AK460" i="1"/>
  <c r="AK459" i="1"/>
  <c r="AK458" i="1"/>
  <c r="AK457" i="1"/>
  <c r="AK456" i="1"/>
  <c r="AK455" i="1"/>
  <c r="AK454" i="1"/>
  <c r="AK453" i="1"/>
  <c r="AK452" i="1"/>
  <c r="AK451" i="1"/>
  <c r="AK450" i="1"/>
  <c r="AK449" i="1"/>
  <c r="AK448" i="1"/>
  <c r="AK447" i="1"/>
  <c r="AK446" i="1"/>
  <c r="AK445" i="1"/>
  <c r="AK444" i="1"/>
  <c r="AK443" i="1"/>
  <c r="AK442" i="1"/>
  <c r="AK441" i="1"/>
  <c r="AK440" i="1"/>
  <c r="AK439" i="1"/>
  <c r="AK438" i="1"/>
  <c r="AK437" i="1"/>
  <c r="AK436" i="1"/>
  <c r="AK435" i="1"/>
  <c r="AK434" i="1"/>
  <c r="AK433" i="1"/>
  <c r="AK432" i="1"/>
  <c r="AK431" i="1"/>
  <c r="AK430" i="1"/>
  <c r="AK429" i="1"/>
  <c r="AK428" i="1"/>
  <c r="AK427" i="1"/>
  <c r="AK426" i="1"/>
  <c r="AK425" i="1"/>
  <c r="AK424" i="1"/>
  <c r="AK423" i="1"/>
  <c r="AK422" i="1"/>
  <c r="AK421" i="1"/>
  <c r="AK420" i="1"/>
  <c r="AK419" i="1"/>
  <c r="AK418" i="1"/>
  <c r="AK417" i="1"/>
  <c r="AK416" i="1"/>
  <c r="AK415" i="1"/>
  <c r="AK414" i="1"/>
  <c r="AK413" i="1"/>
  <c r="AK412" i="1"/>
  <c r="AK411" i="1"/>
  <c r="AK410" i="1"/>
  <c r="AK409" i="1"/>
  <c r="AK408" i="1"/>
  <c r="AK407" i="1"/>
  <c r="AK406" i="1"/>
  <c r="AK405" i="1"/>
  <c r="AK404" i="1"/>
  <c r="AK403" i="1"/>
  <c r="AK402" i="1"/>
  <c r="AK401" i="1"/>
  <c r="AK400" i="1"/>
  <c r="AK399" i="1"/>
  <c r="AK398" i="1"/>
  <c r="AK397" i="1"/>
  <c r="AK396" i="1"/>
  <c r="AK395" i="1"/>
  <c r="AK394" i="1"/>
  <c r="AK393" i="1"/>
  <c r="AK392" i="1"/>
  <c r="AK391" i="1"/>
  <c r="AK390" i="1"/>
  <c r="AK389" i="1"/>
  <c r="AK388" i="1"/>
  <c r="AK387" i="1"/>
  <c r="AK386" i="1"/>
  <c r="AK385" i="1"/>
  <c r="AK384" i="1"/>
  <c r="AK383" i="1"/>
  <c r="AK382" i="1"/>
  <c r="AK381" i="1"/>
  <c r="AK380" i="1"/>
  <c r="AK379" i="1"/>
  <c r="AK378" i="1"/>
  <c r="AK377" i="1"/>
  <c r="AK376" i="1"/>
  <c r="AK375" i="1"/>
  <c r="AK374" i="1"/>
  <c r="AK373" i="1"/>
  <c r="AK372" i="1"/>
  <c r="AK371" i="1"/>
  <c r="AK370" i="1"/>
  <c r="AK369" i="1"/>
  <c r="AK368" i="1"/>
  <c r="AK367" i="1"/>
  <c r="AK366" i="1"/>
  <c r="AK365" i="1"/>
  <c r="AK364" i="1"/>
  <c r="AK363" i="1"/>
  <c r="AK362" i="1"/>
  <c r="AK361" i="1"/>
  <c r="AK360" i="1"/>
  <c r="AK359" i="1"/>
  <c r="AK358" i="1"/>
  <c r="AK357" i="1"/>
  <c r="AK356" i="1"/>
  <c r="AK355" i="1"/>
  <c r="AK354" i="1"/>
  <c r="AK353" i="1"/>
  <c r="AK352" i="1"/>
  <c r="AK351" i="1"/>
  <c r="AK350" i="1"/>
  <c r="AK349" i="1"/>
  <c r="AK348" i="1"/>
  <c r="AK347" i="1"/>
  <c r="AK346" i="1"/>
  <c r="AK345" i="1"/>
  <c r="AK344" i="1"/>
  <c r="AK343" i="1"/>
  <c r="AK342" i="1"/>
  <c r="AK341" i="1"/>
  <c r="AK340" i="1"/>
  <c r="AK339" i="1"/>
  <c r="AK338" i="1"/>
  <c r="AK337" i="1"/>
  <c r="AK336" i="1"/>
  <c r="AK335" i="1"/>
  <c r="AK334" i="1"/>
  <c r="AK333" i="1"/>
  <c r="AK332" i="1"/>
  <c r="AK331" i="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AK8" i="1"/>
  <c r="AK7" i="1"/>
  <c r="AK6" i="1"/>
  <c r="AK5" i="1"/>
  <c r="AK4" i="1"/>
  <c r="AK3" i="1"/>
  <c r="AH500" i="1"/>
  <c r="AH496" i="1"/>
  <c r="AH490" i="1"/>
  <c r="AH486" i="1"/>
  <c r="AH471" i="1"/>
  <c r="AH470" i="1"/>
  <c r="AH469" i="1"/>
  <c r="AH465" i="1"/>
  <c r="AH453" i="1"/>
  <c r="AH450" i="1"/>
  <c r="AH434" i="1"/>
  <c r="AH421" i="1"/>
  <c r="AH416" i="1"/>
  <c r="AH414" i="1"/>
  <c r="AH412" i="1"/>
  <c r="AH335" i="1"/>
  <c r="AH333" i="1"/>
  <c r="AH320" i="1"/>
  <c r="AH290" i="1"/>
  <c r="AH280" i="1"/>
  <c r="AH235" i="1"/>
  <c r="AH217" i="1"/>
  <c r="AH216" i="1"/>
  <c r="AH212" i="1"/>
  <c r="AH204" i="1"/>
  <c r="AH198" i="1"/>
  <c r="AH195" i="1"/>
  <c r="AH187" i="1"/>
  <c r="AH186" i="1"/>
  <c r="AH168" i="1"/>
  <c r="AH166" i="1"/>
  <c r="AH154" i="1"/>
  <c r="AH151" i="1"/>
  <c r="AH139" i="1"/>
  <c r="AH133" i="1"/>
  <c r="AH129" i="1"/>
  <c r="AH126" i="1"/>
  <c r="AH124" i="1"/>
  <c r="AH109" i="1"/>
  <c r="AH107" i="1"/>
  <c r="AH102" i="1"/>
  <c r="AH94" i="1"/>
  <c r="AH57" i="1"/>
  <c r="AH46" i="1"/>
  <c r="AH33" i="1"/>
  <c r="AH27" i="1"/>
  <c r="AH26" i="1"/>
  <c r="AH3" i="1"/>
  <c r="A371" i="1"/>
  <c r="B371" i="1"/>
  <c r="C371" i="1"/>
  <c r="D371" i="1"/>
  <c r="E371" i="1"/>
  <c r="F371" i="1"/>
  <c r="G371" i="1"/>
  <c r="H371" i="1"/>
  <c r="I371" i="1"/>
  <c r="J371" i="1"/>
  <c r="K371" i="1"/>
  <c r="L371" i="1"/>
  <c r="M371" i="1" s="1"/>
  <c r="N371" i="1"/>
  <c r="O371" i="1"/>
  <c r="P371" i="1"/>
  <c r="Q371" i="1"/>
  <c r="R371" i="1"/>
  <c r="S371" i="1" s="1"/>
  <c r="T371" i="1"/>
  <c r="U371" i="1"/>
  <c r="V371" i="1"/>
  <c r="W371" i="1"/>
  <c r="X371" i="1"/>
  <c r="Y371" i="1"/>
  <c r="Z371" i="1"/>
  <c r="AA371" i="1"/>
  <c r="AB371" i="1"/>
  <c r="AC371" i="1"/>
  <c r="AD371" i="1" s="1"/>
  <c r="AE371" i="1"/>
  <c r="AF371" i="1"/>
  <c r="AG371" i="1"/>
  <c r="AH371" i="1" s="1"/>
  <c r="AI371" i="1"/>
  <c r="AL371" i="1"/>
  <c r="AM371" i="1"/>
  <c r="AN371" i="1"/>
  <c r="AO371" i="1"/>
  <c r="AP371" i="1"/>
  <c r="AQ371" i="1"/>
  <c r="AR371" i="1"/>
  <c r="AS371" i="1"/>
  <c r="AT371" i="1"/>
  <c r="AU371" i="1"/>
  <c r="AV371" i="1"/>
  <c r="AW371" i="1"/>
  <c r="AX371" i="1"/>
  <c r="AY371" i="1"/>
  <c r="AZ371" i="1"/>
  <c r="BA371" i="1"/>
  <c r="BB371" i="1"/>
  <c r="BC371" i="1"/>
  <c r="BD371" i="1"/>
  <c r="A372" i="1"/>
  <c r="B372" i="1"/>
  <c r="C372" i="1"/>
  <c r="D372" i="1"/>
  <c r="E372" i="1"/>
  <c r="F372" i="1"/>
  <c r="G372" i="1"/>
  <c r="H372" i="1"/>
  <c r="I372" i="1"/>
  <c r="J372" i="1"/>
  <c r="K372" i="1"/>
  <c r="L372" i="1"/>
  <c r="M372" i="1" s="1"/>
  <c r="N372" i="1"/>
  <c r="O372" i="1"/>
  <c r="P372" i="1"/>
  <c r="Q372" i="1"/>
  <c r="R372" i="1"/>
  <c r="S372" i="1" s="1"/>
  <c r="T372" i="1"/>
  <c r="U372" i="1"/>
  <c r="V372" i="1"/>
  <c r="W372" i="1"/>
  <c r="X372" i="1"/>
  <c r="Y372" i="1"/>
  <c r="Z372" i="1"/>
  <c r="AA372" i="1"/>
  <c r="AB372" i="1"/>
  <c r="AC372" i="1"/>
  <c r="AD372" i="1" s="1"/>
  <c r="AE372" i="1"/>
  <c r="AF372" i="1"/>
  <c r="AG372" i="1"/>
  <c r="AH372" i="1" s="1"/>
  <c r="AI372" i="1"/>
  <c r="AJ372" i="1"/>
  <c r="AL372" i="1"/>
  <c r="AM372" i="1"/>
  <c r="AN372" i="1"/>
  <c r="AO372" i="1"/>
  <c r="AP372" i="1"/>
  <c r="AQ372" i="1"/>
  <c r="AR372" i="1"/>
  <c r="AS372" i="1"/>
  <c r="AT372" i="1"/>
  <c r="AU372" i="1"/>
  <c r="AV372" i="1"/>
  <c r="AW372" i="1"/>
  <c r="AX372" i="1"/>
  <c r="AY372" i="1"/>
  <c r="AZ372" i="1"/>
  <c r="BA372" i="1"/>
  <c r="BB372" i="1"/>
  <c r="BC372" i="1"/>
  <c r="BD372" i="1"/>
  <c r="A373" i="1"/>
  <c r="B373" i="1"/>
  <c r="C373" i="1"/>
  <c r="D373" i="1"/>
  <c r="E373" i="1"/>
  <c r="F373" i="1"/>
  <c r="G373" i="1"/>
  <c r="H373" i="1"/>
  <c r="I373" i="1"/>
  <c r="J373" i="1"/>
  <c r="K373" i="1"/>
  <c r="L373" i="1"/>
  <c r="M373" i="1" s="1"/>
  <c r="N373" i="1"/>
  <c r="O373" i="1"/>
  <c r="P373" i="1"/>
  <c r="Q373" i="1"/>
  <c r="R373" i="1"/>
  <c r="S373" i="1" s="1"/>
  <c r="T373" i="1"/>
  <c r="U373" i="1"/>
  <c r="V373" i="1"/>
  <c r="W373" i="1"/>
  <c r="X373" i="1"/>
  <c r="Y373" i="1"/>
  <c r="Z373" i="1"/>
  <c r="AA373" i="1"/>
  <c r="AB373" i="1"/>
  <c r="AD373" i="1"/>
  <c r="AE373" i="1"/>
  <c r="AF373" i="1"/>
  <c r="AG373" i="1"/>
  <c r="AH373" i="1" s="1"/>
  <c r="AI373" i="1"/>
  <c r="AJ373" i="1"/>
  <c r="AL373" i="1"/>
  <c r="AM373" i="1"/>
  <c r="AN373" i="1"/>
  <c r="AO373" i="1"/>
  <c r="AP373" i="1"/>
  <c r="AQ373" i="1"/>
  <c r="AR373" i="1"/>
  <c r="AS373" i="1"/>
  <c r="AT373" i="1"/>
  <c r="AU373" i="1"/>
  <c r="AV373" i="1"/>
  <c r="AW373" i="1"/>
  <c r="AX373" i="1"/>
  <c r="AY373" i="1"/>
  <c r="AZ373" i="1"/>
  <c r="BA373" i="1"/>
  <c r="BB373" i="1"/>
  <c r="BC373" i="1"/>
  <c r="BD373" i="1"/>
  <c r="A374" i="1"/>
  <c r="B374" i="1"/>
  <c r="C374" i="1"/>
  <c r="D374" i="1"/>
  <c r="E374" i="1"/>
  <c r="F374" i="1"/>
  <c r="G374" i="1"/>
  <c r="H374" i="1"/>
  <c r="I374" i="1"/>
  <c r="J374" i="1"/>
  <c r="K374" i="1"/>
  <c r="L374" i="1"/>
  <c r="M374" i="1" s="1"/>
  <c r="N374" i="1"/>
  <c r="O374" i="1"/>
  <c r="P374" i="1"/>
  <c r="Q374" i="1"/>
  <c r="R374" i="1"/>
  <c r="S374" i="1" s="1"/>
  <c r="T374" i="1"/>
  <c r="U374" i="1"/>
  <c r="V374" i="1"/>
  <c r="W374" i="1"/>
  <c r="X374" i="1"/>
  <c r="Y374" i="1"/>
  <c r="Z374" i="1"/>
  <c r="AA374" i="1"/>
  <c r="AB374" i="1"/>
  <c r="AC374" i="1"/>
  <c r="AD374" i="1" s="1"/>
  <c r="AE374" i="1"/>
  <c r="AF374" i="1"/>
  <c r="AG374" i="1"/>
  <c r="AH374" i="1" s="1"/>
  <c r="AI374" i="1"/>
  <c r="AJ374" i="1"/>
  <c r="AL374" i="1"/>
  <c r="AM374" i="1"/>
  <c r="AN374" i="1"/>
  <c r="AO374" i="1"/>
  <c r="AP374" i="1"/>
  <c r="AQ374" i="1"/>
  <c r="AR374" i="1"/>
  <c r="AS374" i="1"/>
  <c r="AT374" i="1"/>
  <c r="AU374" i="1"/>
  <c r="AV374" i="1"/>
  <c r="AW374" i="1"/>
  <c r="AX374" i="1"/>
  <c r="AY374" i="1"/>
  <c r="AZ374" i="1"/>
  <c r="BA374" i="1"/>
  <c r="BB374" i="1"/>
  <c r="BC374" i="1"/>
  <c r="BD374" i="1"/>
  <c r="A375" i="1"/>
  <c r="B375" i="1"/>
  <c r="C375" i="1"/>
  <c r="D375" i="1"/>
  <c r="E375" i="1"/>
  <c r="F375" i="1"/>
  <c r="G375" i="1"/>
  <c r="H375" i="1"/>
  <c r="I375" i="1"/>
  <c r="J375" i="1"/>
  <c r="K375" i="1"/>
  <c r="L375" i="1"/>
  <c r="M375" i="1" s="1"/>
  <c r="N375" i="1"/>
  <c r="O375" i="1"/>
  <c r="P375" i="1"/>
  <c r="Q375" i="1"/>
  <c r="R375" i="1"/>
  <c r="S375" i="1" s="1"/>
  <c r="T375" i="1"/>
  <c r="U375" i="1"/>
  <c r="V375" i="1"/>
  <c r="W375" i="1"/>
  <c r="X375" i="1"/>
  <c r="Y375" i="1"/>
  <c r="Z375" i="1"/>
  <c r="AA375" i="1"/>
  <c r="AB375" i="1"/>
  <c r="AC375" i="1"/>
  <c r="AD375" i="1" s="1"/>
  <c r="AE375" i="1"/>
  <c r="AF375" i="1"/>
  <c r="AG375" i="1"/>
  <c r="AH375" i="1" s="1"/>
  <c r="AI375" i="1"/>
  <c r="AJ375" i="1"/>
  <c r="AL375" i="1"/>
  <c r="AM375" i="1"/>
  <c r="AN375" i="1"/>
  <c r="AO375" i="1"/>
  <c r="AP375" i="1"/>
  <c r="AQ375" i="1"/>
  <c r="AR375" i="1"/>
  <c r="AS375" i="1"/>
  <c r="AT375" i="1"/>
  <c r="AU375" i="1"/>
  <c r="AV375" i="1"/>
  <c r="AW375" i="1"/>
  <c r="AX375" i="1"/>
  <c r="AY375" i="1"/>
  <c r="AZ375" i="1"/>
  <c r="BA375" i="1"/>
  <c r="BB375" i="1"/>
  <c r="BC375" i="1"/>
  <c r="BD375" i="1"/>
  <c r="A376" i="1"/>
  <c r="B376" i="1"/>
  <c r="C376" i="1"/>
  <c r="D376" i="1"/>
  <c r="E376" i="1"/>
  <c r="F376" i="1"/>
  <c r="G376" i="1"/>
  <c r="H376" i="1"/>
  <c r="I376" i="1"/>
  <c r="J376" i="1"/>
  <c r="K376" i="1"/>
  <c r="L376" i="1"/>
  <c r="M376" i="1" s="1"/>
  <c r="N376" i="1"/>
  <c r="O376" i="1"/>
  <c r="P376" i="1"/>
  <c r="Q376" i="1"/>
  <c r="R376" i="1"/>
  <c r="S376" i="1" s="1"/>
  <c r="T376" i="1"/>
  <c r="U376" i="1"/>
  <c r="V376" i="1"/>
  <c r="W376" i="1"/>
  <c r="X376" i="1"/>
  <c r="Y376" i="1"/>
  <c r="Z376" i="1"/>
  <c r="AA376" i="1"/>
  <c r="AB376" i="1"/>
  <c r="AC376" i="1"/>
  <c r="AD376" i="1" s="1"/>
  <c r="AE376" i="1"/>
  <c r="AF376" i="1"/>
  <c r="AG376" i="1"/>
  <c r="AH376" i="1" s="1"/>
  <c r="AI376" i="1"/>
  <c r="AJ376" i="1"/>
  <c r="AL376" i="1"/>
  <c r="AM376" i="1"/>
  <c r="AN376" i="1"/>
  <c r="AO376" i="1"/>
  <c r="AP376" i="1"/>
  <c r="AQ376" i="1"/>
  <c r="AR376" i="1"/>
  <c r="AS376" i="1"/>
  <c r="AT376" i="1"/>
  <c r="AU376" i="1"/>
  <c r="AV376" i="1"/>
  <c r="AW376" i="1"/>
  <c r="AX376" i="1"/>
  <c r="AY376" i="1"/>
  <c r="AZ376" i="1"/>
  <c r="BA376" i="1"/>
  <c r="BB376" i="1"/>
  <c r="BC376" i="1"/>
  <c r="BD376" i="1"/>
  <c r="A377" i="1"/>
  <c r="B377" i="1"/>
  <c r="C377" i="1"/>
  <c r="D377" i="1"/>
  <c r="E377" i="1"/>
  <c r="F377" i="1"/>
  <c r="G377" i="1"/>
  <c r="H377" i="1"/>
  <c r="I377" i="1"/>
  <c r="J377" i="1"/>
  <c r="K377" i="1"/>
  <c r="L377" i="1"/>
  <c r="M377" i="1" s="1"/>
  <c r="N377" i="1"/>
  <c r="O377" i="1"/>
  <c r="P377" i="1"/>
  <c r="Q377" i="1"/>
  <c r="R377" i="1"/>
  <c r="S377" i="1" s="1"/>
  <c r="T377" i="1"/>
  <c r="U377" i="1"/>
  <c r="V377" i="1"/>
  <c r="W377" i="1"/>
  <c r="X377" i="1"/>
  <c r="Y377" i="1"/>
  <c r="Z377" i="1"/>
  <c r="AA377" i="1"/>
  <c r="AB377" i="1"/>
  <c r="AC377" i="1"/>
  <c r="AD377" i="1" s="1"/>
  <c r="AE377" i="1"/>
  <c r="AF377" i="1"/>
  <c r="AG377" i="1"/>
  <c r="AH377" i="1" s="1"/>
  <c r="AI377" i="1"/>
  <c r="AJ377" i="1"/>
  <c r="AL377" i="1"/>
  <c r="AM377" i="1"/>
  <c r="AN377" i="1"/>
  <c r="AO377" i="1"/>
  <c r="AP377" i="1"/>
  <c r="AQ377" i="1"/>
  <c r="AR377" i="1"/>
  <c r="AS377" i="1"/>
  <c r="AT377" i="1"/>
  <c r="AU377" i="1"/>
  <c r="AV377" i="1"/>
  <c r="AW377" i="1"/>
  <c r="AX377" i="1"/>
  <c r="AY377" i="1"/>
  <c r="AZ377" i="1"/>
  <c r="BA377" i="1"/>
  <c r="BB377" i="1"/>
  <c r="BC377" i="1"/>
  <c r="BD377" i="1"/>
  <c r="A378" i="1"/>
  <c r="B378" i="1"/>
  <c r="C378" i="1"/>
  <c r="D378" i="1"/>
  <c r="E378" i="1"/>
  <c r="F378" i="1"/>
  <c r="G378" i="1"/>
  <c r="H378" i="1"/>
  <c r="I378" i="1"/>
  <c r="J378" i="1"/>
  <c r="K378" i="1"/>
  <c r="L378" i="1"/>
  <c r="M378" i="1" s="1"/>
  <c r="N378" i="1"/>
  <c r="O378" i="1"/>
  <c r="P378" i="1"/>
  <c r="Q378" i="1"/>
  <c r="R378" i="1"/>
  <c r="S378" i="1" s="1"/>
  <c r="T378" i="1"/>
  <c r="U378" i="1"/>
  <c r="V378" i="1"/>
  <c r="W378" i="1"/>
  <c r="X378" i="1"/>
  <c r="Y378" i="1"/>
  <c r="Z378" i="1"/>
  <c r="AA378" i="1"/>
  <c r="AB378" i="1"/>
  <c r="AC378" i="1"/>
  <c r="AD378" i="1" s="1"/>
  <c r="AE378" i="1"/>
  <c r="AF378" i="1"/>
  <c r="AG378" i="1"/>
  <c r="AH378" i="1" s="1"/>
  <c r="AI378" i="1"/>
  <c r="AJ378" i="1"/>
  <c r="AL378" i="1"/>
  <c r="AM378" i="1"/>
  <c r="AN378" i="1"/>
  <c r="AO378" i="1"/>
  <c r="AP378" i="1"/>
  <c r="AQ378" i="1"/>
  <c r="AR378" i="1"/>
  <c r="AS378" i="1"/>
  <c r="AT378" i="1"/>
  <c r="AU378" i="1"/>
  <c r="AV378" i="1"/>
  <c r="AW378" i="1"/>
  <c r="AX378" i="1"/>
  <c r="AY378" i="1"/>
  <c r="AZ378" i="1"/>
  <c r="BA378" i="1"/>
  <c r="BB378" i="1"/>
  <c r="BC378" i="1"/>
  <c r="BD378" i="1"/>
  <c r="A379" i="1"/>
  <c r="B379" i="1"/>
  <c r="C379" i="1"/>
  <c r="D379" i="1"/>
  <c r="E379" i="1"/>
  <c r="F379" i="1"/>
  <c r="G379" i="1"/>
  <c r="H379" i="1"/>
  <c r="I379" i="1"/>
  <c r="J379" i="1"/>
  <c r="K379" i="1"/>
  <c r="L379" i="1"/>
  <c r="M379" i="1" s="1"/>
  <c r="N379" i="1"/>
  <c r="O379" i="1"/>
  <c r="P379" i="1"/>
  <c r="Q379" i="1"/>
  <c r="S379" i="1"/>
  <c r="T379" i="1"/>
  <c r="U379" i="1"/>
  <c r="V379" i="1"/>
  <c r="W379" i="1"/>
  <c r="X379" i="1"/>
  <c r="Y379" i="1"/>
  <c r="Z379" i="1"/>
  <c r="AA379" i="1"/>
  <c r="AB379" i="1"/>
  <c r="AC379" i="1"/>
  <c r="AD379" i="1" s="1"/>
  <c r="AE379" i="1"/>
  <c r="AF379" i="1"/>
  <c r="AG379" i="1"/>
  <c r="AH379" i="1" s="1"/>
  <c r="AI379" i="1"/>
  <c r="AJ379" i="1"/>
  <c r="AL379" i="1"/>
  <c r="AM379" i="1"/>
  <c r="AN379" i="1"/>
  <c r="AO379" i="1"/>
  <c r="AP379" i="1"/>
  <c r="AQ379" i="1"/>
  <c r="AR379" i="1"/>
  <c r="AS379" i="1"/>
  <c r="AT379" i="1"/>
  <c r="AU379" i="1"/>
  <c r="AV379" i="1"/>
  <c r="AW379" i="1"/>
  <c r="AX379" i="1"/>
  <c r="AY379" i="1"/>
  <c r="AZ379" i="1"/>
  <c r="BA379" i="1"/>
  <c r="BB379" i="1"/>
  <c r="BC379" i="1"/>
  <c r="BD379" i="1"/>
  <c r="A380" i="1"/>
  <c r="B380" i="1"/>
  <c r="C380" i="1"/>
  <c r="D380" i="1"/>
  <c r="E380" i="1"/>
  <c r="F380" i="1"/>
  <c r="G380" i="1"/>
  <c r="H380" i="1"/>
  <c r="I380" i="1"/>
  <c r="J380" i="1"/>
  <c r="K380" i="1"/>
  <c r="L380" i="1"/>
  <c r="M380" i="1" s="1"/>
  <c r="N380" i="1"/>
  <c r="O380" i="1"/>
  <c r="P380" i="1"/>
  <c r="Q380" i="1"/>
  <c r="R380" i="1"/>
  <c r="S380" i="1" s="1"/>
  <c r="T380" i="1"/>
  <c r="U380" i="1"/>
  <c r="V380" i="1"/>
  <c r="W380" i="1"/>
  <c r="X380" i="1"/>
  <c r="Y380" i="1"/>
  <c r="Z380" i="1"/>
  <c r="AA380" i="1"/>
  <c r="AB380" i="1"/>
  <c r="AC380" i="1"/>
  <c r="AD380" i="1" s="1"/>
  <c r="AE380" i="1"/>
  <c r="AF380" i="1"/>
  <c r="AG380" i="1"/>
  <c r="AH380" i="1" s="1"/>
  <c r="AI380" i="1"/>
  <c r="AJ380" i="1"/>
  <c r="AL380" i="1"/>
  <c r="AM380" i="1"/>
  <c r="AN380" i="1"/>
  <c r="AO380" i="1"/>
  <c r="AP380" i="1"/>
  <c r="AQ380" i="1"/>
  <c r="AR380" i="1"/>
  <c r="AS380" i="1"/>
  <c r="AT380" i="1"/>
  <c r="AU380" i="1"/>
  <c r="AV380" i="1"/>
  <c r="AW380" i="1"/>
  <c r="AX380" i="1"/>
  <c r="AY380" i="1"/>
  <c r="AZ380" i="1"/>
  <c r="BA380" i="1"/>
  <c r="BB380" i="1"/>
  <c r="BC380" i="1"/>
  <c r="BD380" i="1"/>
  <c r="A381" i="1"/>
  <c r="B381" i="1"/>
  <c r="C381" i="1"/>
  <c r="D381" i="1"/>
  <c r="E381"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s="1"/>
  <c r="AE381" i="1"/>
  <c r="AF381" i="1"/>
  <c r="AG381" i="1"/>
  <c r="AH381" i="1" s="1"/>
  <c r="AI381" i="1"/>
  <c r="AJ381" i="1"/>
  <c r="AL381" i="1"/>
  <c r="AM381" i="1"/>
  <c r="AN381" i="1"/>
  <c r="AO381" i="1"/>
  <c r="AP381" i="1"/>
  <c r="AQ381" i="1"/>
  <c r="AR381" i="1"/>
  <c r="AS381" i="1"/>
  <c r="AT381" i="1"/>
  <c r="AU381" i="1"/>
  <c r="AV381" i="1"/>
  <c r="AW381" i="1"/>
  <c r="AX381" i="1"/>
  <c r="AY381" i="1"/>
  <c r="AZ381" i="1"/>
  <c r="BA381" i="1"/>
  <c r="BB381" i="1"/>
  <c r="BC381" i="1"/>
  <c r="BD381" i="1"/>
  <c r="A382" i="1"/>
  <c r="B382" i="1"/>
  <c r="C382" i="1"/>
  <c r="D382" i="1"/>
  <c r="E382" i="1"/>
  <c r="F382" i="1"/>
  <c r="G382" i="1"/>
  <c r="H382" i="1"/>
  <c r="I382" i="1"/>
  <c r="J382" i="1"/>
  <c r="K382" i="1"/>
  <c r="L382" i="1"/>
  <c r="M382" i="1" s="1"/>
  <c r="N382" i="1"/>
  <c r="O382" i="1"/>
  <c r="P382" i="1"/>
  <c r="Q382" i="1"/>
  <c r="R382" i="1"/>
  <c r="S382" i="1" s="1"/>
  <c r="T382" i="1"/>
  <c r="U382" i="1"/>
  <c r="V382" i="1"/>
  <c r="W382" i="1"/>
  <c r="X382" i="1"/>
  <c r="Y382" i="1"/>
  <c r="Z382" i="1"/>
  <c r="AA382" i="1"/>
  <c r="AB382" i="1"/>
  <c r="AC382" i="1"/>
  <c r="AD382" i="1" s="1"/>
  <c r="AE382" i="1"/>
  <c r="AF382" i="1"/>
  <c r="AG382" i="1"/>
  <c r="AH382" i="1" s="1"/>
  <c r="AI382" i="1"/>
  <c r="AJ382" i="1"/>
  <c r="AL382" i="1"/>
  <c r="AM382" i="1"/>
  <c r="AN382" i="1"/>
  <c r="AO382" i="1"/>
  <c r="AP382" i="1"/>
  <c r="AQ382" i="1"/>
  <c r="AR382" i="1"/>
  <c r="AS382" i="1"/>
  <c r="AT382" i="1"/>
  <c r="AU382" i="1"/>
  <c r="AV382" i="1"/>
  <c r="AW382" i="1"/>
  <c r="AX382" i="1"/>
  <c r="AY382" i="1"/>
  <c r="AZ382" i="1"/>
  <c r="BA382" i="1"/>
  <c r="BB382" i="1"/>
  <c r="BC382" i="1"/>
  <c r="BD382" i="1"/>
  <c r="A383" i="1"/>
  <c r="B383" i="1"/>
  <c r="C383" i="1"/>
  <c r="D383" i="1"/>
  <c r="E383"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s="1"/>
  <c r="AE383" i="1"/>
  <c r="AF383" i="1"/>
  <c r="AG383" i="1"/>
  <c r="AH383" i="1" s="1"/>
  <c r="AI383" i="1"/>
  <c r="AJ383" i="1"/>
  <c r="AL383" i="1"/>
  <c r="AM383" i="1"/>
  <c r="AN383" i="1"/>
  <c r="AO383" i="1"/>
  <c r="AP383" i="1"/>
  <c r="AQ383" i="1"/>
  <c r="AR383" i="1"/>
  <c r="AS383" i="1"/>
  <c r="AT383" i="1"/>
  <c r="AU383" i="1"/>
  <c r="AV383" i="1"/>
  <c r="AW383" i="1"/>
  <c r="AX383" i="1"/>
  <c r="AY383" i="1"/>
  <c r="AZ383" i="1"/>
  <c r="BA383" i="1"/>
  <c r="BB383" i="1"/>
  <c r="BC383" i="1"/>
  <c r="BD383" i="1"/>
  <c r="A384" i="1"/>
  <c r="B384" i="1"/>
  <c r="C384" i="1"/>
  <c r="D384" i="1"/>
  <c r="E384" i="1"/>
  <c r="F384" i="1"/>
  <c r="G384" i="1"/>
  <c r="H384" i="1"/>
  <c r="I384" i="1"/>
  <c r="J384" i="1"/>
  <c r="K384" i="1"/>
  <c r="L384" i="1"/>
  <c r="M384" i="1" s="1"/>
  <c r="N384" i="1"/>
  <c r="O384" i="1"/>
  <c r="P384" i="1"/>
  <c r="Q384" i="1"/>
  <c r="S384" i="1"/>
  <c r="T384" i="1"/>
  <c r="U384" i="1"/>
  <c r="V384" i="1"/>
  <c r="W384" i="1"/>
  <c r="X384" i="1"/>
  <c r="Y384" i="1"/>
  <c r="Z384" i="1"/>
  <c r="AA384" i="1"/>
  <c r="AB384" i="1"/>
  <c r="AC384" i="1"/>
  <c r="AD384" i="1" s="1"/>
  <c r="AE384" i="1"/>
  <c r="AF384" i="1"/>
  <c r="AG384" i="1"/>
  <c r="AH384" i="1" s="1"/>
  <c r="AI384" i="1"/>
  <c r="AJ384" i="1"/>
  <c r="AL384" i="1"/>
  <c r="AM384" i="1"/>
  <c r="AN384" i="1"/>
  <c r="AO384" i="1"/>
  <c r="AP384" i="1"/>
  <c r="AQ384" i="1"/>
  <c r="AR384" i="1"/>
  <c r="AS384" i="1"/>
  <c r="AT384" i="1"/>
  <c r="AU384" i="1"/>
  <c r="AV384" i="1"/>
  <c r="AW384" i="1"/>
  <c r="AX384" i="1"/>
  <c r="AY384" i="1"/>
  <c r="AZ384" i="1"/>
  <c r="BA384" i="1"/>
  <c r="BB384" i="1"/>
  <c r="BC384" i="1"/>
  <c r="BD384" i="1"/>
  <c r="A385" i="1"/>
  <c r="B385" i="1"/>
  <c r="C385" i="1"/>
  <c r="D385" i="1"/>
  <c r="E385" i="1"/>
  <c r="F385" i="1"/>
  <c r="G385" i="1"/>
  <c r="H385" i="1"/>
  <c r="I385" i="1"/>
  <c r="J385" i="1"/>
  <c r="K385" i="1"/>
  <c r="L385" i="1"/>
  <c r="M385" i="1" s="1"/>
  <c r="N385" i="1"/>
  <c r="O385" i="1"/>
  <c r="P385" i="1"/>
  <c r="Q385" i="1"/>
  <c r="R385" i="1"/>
  <c r="S385" i="1" s="1"/>
  <c r="T385" i="1"/>
  <c r="U385" i="1"/>
  <c r="V385" i="1"/>
  <c r="W385" i="1"/>
  <c r="X385" i="1"/>
  <c r="Y385" i="1"/>
  <c r="Z385" i="1"/>
  <c r="AA385" i="1"/>
  <c r="AB385" i="1"/>
  <c r="AC385" i="1"/>
  <c r="AD385" i="1" s="1"/>
  <c r="AE385" i="1"/>
  <c r="AF385" i="1"/>
  <c r="AG385" i="1"/>
  <c r="AH385" i="1" s="1"/>
  <c r="AI385" i="1"/>
  <c r="AJ385" i="1"/>
  <c r="AL385" i="1"/>
  <c r="AM385" i="1"/>
  <c r="AN385" i="1"/>
  <c r="AO385" i="1"/>
  <c r="AP385" i="1"/>
  <c r="AQ385" i="1"/>
  <c r="AR385" i="1"/>
  <c r="AS385" i="1"/>
  <c r="AT385" i="1"/>
  <c r="AU385" i="1"/>
  <c r="AV385" i="1"/>
  <c r="AW385" i="1"/>
  <c r="AX385" i="1"/>
  <c r="AY385" i="1"/>
  <c r="AZ385" i="1"/>
  <c r="BA385" i="1"/>
  <c r="BB385" i="1"/>
  <c r="BC385" i="1"/>
  <c r="BD385" i="1"/>
  <c r="A386" i="1"/>
  <c r="B386" i="1"/>
  <c r="C386" i="1"/>
  <c r="D386" i="1"/>
  <c r="E386" i="1"/>
  <c r="F386" i="1"/>
  <c r="G386" i="1"/>
  <c r="H386" i="1"/>
  <c r="I386" i="1"/>
  <c r="J386" i="1"/>
  <c r="K386" i="1"/>
  <c r="L386" i="1"/>
  <c r="M386" i="1" s="1"/>
  <c r="N386" i="1"/>
  <c r="O386" i="1"/>
  <c r="P386" i="1"/>
  <c r="Q386" i="1"/>
  <c r="R386" i="1"/>
  <c r="S386" i="1" s="1"/>
  <c r="T386" i="1"/>
  <c r="U386" i="1"/>
  <c r="V386" i="1"/>
  <c r="W386" i="1"/>
  <c r="X386" i="1"/>
  <c r="Y386" i="1"/>
  <c r="Z386" i="1"/>
  <c r="AA386" i="1"/>
  <c r="AB386" i="1"/>
  <c r="AC386" i="1"/>
  <c r="AD386" i="1" s="1"/>
  <c r="AE386" i="1"/>
  <c r="AF386" i="1"/>
  <c r="AG386" i="1"/>
  <c r="AH386" i="1" s="1"/>
  <c r="AI386" i="1"/>
  <c r="AJ386" i="1"/>
  <c r="AL386" i="1"/>
  <c r="AM386" i="1"/>
  <c r="AN386" i="1"/>
  <c r="AO386" i="1"/>
  <c r="AP386" i="1"/>
  <c r="AQ386" i="1"/>
  <c r="AR386" i="1"/>
  <c r="AS386" i="1"/>
  <c r="AT386" i="1"/>
  <c r="AU386" i="1"/>
  <c r="AV386" i="1"/>
  <c r="AW386" i="1"/>
  <c r="AX386" i="1"/>
  <c r="AY386" i="1"/>
  <c r="AZ386" i="1"/>
  <c r="BA386" i="1"/>
  <c r="BB386" i="1"/>
  <c r="BC386" i="1"/>
  <c r="BD386" i="1"/>
  <c r="A387" i="1"/>
  <c r="B387" i="1"/>
  <c r="C387" i="1"/>
  <c r="D387" i="1"/>
  <c r="E387" i="1"/>
  <c r="F387" i="1"/>
  <c r="G387" i="1"/>
  <c r="H387" i="1"/>
  <c r="I387" i="1"/>
  <c r="J387" i="1"/>
  <c r="K387" i="1"/>
  <c r="L387" i="1"/>
  <c r="M387" i="1" s="1"/>
  <c r="N387" i="1"/>
  <c r="O387" i="1"/>
  <c r="P387" i="1"/>
  <c r="Q387" i="1"/>
  <c r="R387" i="1"/>
  <c r="S387" i="1" s="1"/>
  <c r="T387" i="1"/>
  <c r="U387" i="1"/>
  <c r="V387" i="1"/>
  <c r="W387" i="1"/>
  <c r="X387" i="1"/>
  <c r="Y387" i="1"/>
  <c r="Z387" i="1"/>
  <c r="AA387" i="1"/>
  <c r="AB387" i="1"/>
  <c r="AC387" i="1"/>
  <c r="AD387" i="1" s="1"/>
  <c r="AE387" i="1"/>
  <c r="AF387" i="1"/>
  <c r="AG387" i="1"/>
  <c r="AH387" i="1" s="1"/>
  <c r="AI387" i="1"/>
  <c r="AJ387" i="1"/>
  <c r="AL387" i="1"/>
  <c r="AM387" i="1"/>
  <c r="AN387" i="1"/>
  <c r="AO387" i="1"/>
  <c r="AP387" i="1"/>
  <c r="AQ387" i="1"/>
  <c r="AR387" i="1"/>
  <c r="AS387" i="1"/>
  <c r="AT387" i="1"/>
  <c r="AU387" i="1"/>
  <c r="AV387" i="1"/>
  <c r="AW387" i="1"/>
  <c r="AX387" i="1"/>
  <c r="AY387" i="1"/>
  <c r="AZ387" i="1"/>
  <c r="BA387" i="1"/>
  <c r="BB387" i="1"/>
  <c r="BC387" i="1"/>
  <c r="BD387" i="1"/>
  <c r="A388" i="1"/>
  <c r="B388" i="1"/>
  <c r="C388" i="1"/>
  <c r="D388" i="1"/>
  <c r="E388" i="1"/>
  <c r="F388" i="1"/>
  <c r="G388" i="1"/>
  <c r="H388" i="1"/>
  <c r="I388" i="1"/>
  <c r="J388" i="1"/>
  <c r="K388" i="1"/>
  <c r="L388" i="1"/>
  <c r="M388" i="1" s="1"/>
  <c r="N388" i="1"/>
  <c r="O388" i="1"/>
  <c r="P388" i="1"/>
  <c r="Q388" i="1"/>
  <c r="R388" i="1"/>
  <c r="S388" i="1" s="1"/>
  <c r="T388" i="1"/>
  <c r="U388" i="1"/>
  <c r="V388" i="1"/>
  <c r="W388" i="1"/>
  <c r="X388" i="1"/>
  <c r="Y388" i="1"/>
  <c r="Z388" i="1"/>
  <c r="AA388" i="1"/>
  <c r="AB388" i="1"/>
  <c r="AC388" i="1"/>
  <c r="AD388" i="1" s="1"/>
  <c r="AE388" i="1"/>
  <c r="AF388" i="1"/>
  <c r="AG388" i="1"/>
  <c r="AH388" i="1" s="1"/>
  <c r="AI388" i="1"/>
  <c r="AJ388" i="1"/>
  <c r="AL388" i="1"/>
  <c r="AM388" i="1"/>
  <c r="AN388" i="1"/>
  <c r="AO388" i="1"/>
  <c r="AP388" i="1"/>
  <c r="AQ388" i="1"/>
  <c r="AR388" i="1"/>
  <c r="AS388" i="1"/>
  <c r="AT388" i="1"/>
  <c r="AU388" i="1"/>
  <c r="AV388" i="1"/>
  <c r="AW388" i="1"/>
  <c r="AX388" i="1"/>
  <c r="AY388" i="1"/>
  <c r="AZ388" i="1"/>
  <c r="BA388" i="1"/>
  <c r="BB388" i="1"/>
  <c r="BC388" i="1"/>
  <c r="BD388" i="1"/>
  <c r="A389" i="1"/>
  <c r="B389" i="1"/>
  <c r="C389" i="1"/>
  <c r="D389" i="1"/>
  <c r="E389" i="1"/>
  <c r="F389" i="1"/>
  <c r="G389" i="1"/>
  <c r="H389" i="1"/>
  <c r="I389" i="1"/>
  <c r="J389" i="1"/>
  <c r="K389" i="1"/>
  <c r="L389" i="1"/>
  <c r="M389" i="1" s="1"/>
  <c r="N389" i="1"/>
  <c r="O389" i="1"/>
  <c r="P389" i="1"/>
  <c r="Q389" i="1"/>
  <c r="R389" i="1"/>
  <c r="S389" i="1" s="1"/>
  <c r="T389" i="1"/>
  <c r="U389" i="1"/>
  <c r="V389" i="1"/>
  <c r="W389" i="1"/>
  <c r="X389" i="1"/>
  <c r="Y389" i="1"/>
  <c r="Z389" i="1"/>
  <c r="AA389" i="1"/>
  <c r="AB389" i="1"/>
  <c r="AC389" i="1"/>
  <c r="AD389" i="1" s="1"/>
  <c r="AE389" i="1"/>
  <c r="AF389" i="1"/>
  <c r="AG389" i="1"/>
  <c r="AH389" i="1" s="1"/>
  <c r="AI389" i="1"/>
  <c r="AJ389" i="1"/>
  <c r="AL389" i="1"/>
  <c r="AM389" i="1"/>
  <c r="AN389" i="1"/>
  <c r="AO389" i="1"/>
  <c r="AP389" i="1"/>
  <c r="AQ389" i="1"/>
  <c r="AR389" i="1"/>
  <c r="AS389" i="1"/>
  <c r="AT389" i="1"/>
  <c r="AU389" i="1"/>
  <c r="AV389" i="1"/>
  <c r="AW389" i="1"/>
  <c r="AX389" i="1"/>
  <c r="AY389" i="1"/>
  <c r="AZ389" i="1"/>
  <c r="BA389" i="1"/>
  <c r="BB389" i="1"/>
  <c r="BC389" i="1"/>
  <c r="BD389" i="1"/>
  <c r="A390" i="1"/>
  <c r="B390" i="1"/>
  <c r="C390" i="1"/>
  <c r="D390" i="1"/>
  <c r="E390" i="1"/>
  <c r="F390" i="1"/>
  <c r="G390" i="1"/>
  <c r="H390" i="1"/>
  <c r="I390" i="1"/>
  <c r="J390" i="1"/>
  <c r="K390" i="1"/>
  <c r="L390" i="1"/>
  <c r="M390" i="1" s="1"/>
  <c r="N390" i="1"/>
  <c r="O390" i="1"/>
  <c r="P390" i="1"/>
  <c r="Q390" i="1"/>
  <c r="R390" i="1"/>
  <c r="S390" i="1" s="1"/>
  <c r="T390" i="1"/>
  <c r="U390" i="1"/>
  <c r="V390" i="1"/>
  <c r="W390" i="1"/>
  <c r="X390" i="1"/>
  <c r="Y390" i="1"/>
  <c r="Z390" i="1"/>
  <c r="AA390" i="1"/>
  <c r="AB390" i="1"/>
  <c r="AC390" i="1"/>
  <c r="AD390" i="1" s="1"/>
  <c r="AE390" i="1"/>
  <c r="AF390" i="1"/>
  <c r="AG390" i="1"/>
  <c r="AH390" i="1" s="1"/>
  <c r="AI390" i="1"/>
  <c r="AJ390" i="1"/>
  <c r="AL390" i="1"/>
  <c r="AM390" i="1"/>
  <c r="AN390" i="1"/>
  <c r="AO390" i="1"/>
  <c r="AP390" i="1"/>
  <c r="AQ390" i="1"/>
  <c r="AR390" i="1"/>
  <c r="AS390" i="1"/>
  <c r="AT390" i="1"/>
  <c r="AU390" i="1"/>
  <c r="AV390" i="1"/>
  <c r="AW390" i="1"/>
  <c r="AX390" i="1"/>
  <c r="AY390" i="1"/>
  <c r="AZ390" i="1"/>
  <c r="BA390" i="1"/>
  <c r="BB390" i="1"/>
  <c r="BC390" i="1"/>
  <c r="BD390" i="1"/>
  <c r="A391" i="1"/>
  <c r="B391" i="1"/>
  <c r="C391" i="1"/>
  <c r="D391" i="1"/>
  <c r="E391" i="1"/>
  <c r="F391" i="1"/>
  <c r="G391" i="1"/>
  <c r="H391" i="1"/>
  <c r="I391" i="1"/>
  <c r="J391" i="1"/>
  <c r="K391" i="1"/>
  <c r="L391" i="1"/>
  <c r="M391" i="1" s="1"/>
  <c r="N391" i="1"/>
  <c r="O391" i="1"/>
  <c r="P391" i="1"/>
  <c r="Q391" i="1"/>
  <c r="R391" i="1"/>
  <c r="S391" i="1" s="1"/>
  <c r="T391" i="1"/>
  <c r="U391" i="1"/>
  <c r="V391" i="1"/>
  <c r="W391" i="1"/>
  <c r="X391" i="1"/>
  <c r="Y391" i="1"/>
  <c r="Z391" i="1"/>
  <c r="AA391" i="1"/>
  <c r="AB391" i="1"/>
  <c r="AC391" i="1"/>
  <c r="AD391" i="1" s="1"/>
  <c r="AE391" i="1"/>
  <c r="AF391" i="1"/>
  <c r="AG391" i="1"/>
  <c r="AH391" i="1" s="1"/>
  <c r="AI391" i="1"/>
  <c r="AJ391" i="1"/>
  <c r="AL391" i="1"/>
  <c r="AM391" i="1"/>
  <c r="AN391" i="1"/>
  <c r="AO391" i="1"/>
  <c r="AP391" i="1"/>
  <c r="AQ391" i="1"/>
  <c r="AR391" i="1"/>
  <c r="AS391" i="1"/>
  <c r="AT391" i="1"/>
  <c r="AU391" i="1"/>
  <c r="AV391" i="1"/>
  <c r="AW391" i="1"/>
  <c r="AX391" i="1"/>
  <c r="AY391" i="1"/>
  <c r="AZ391" i="1"/>
  <c r="BA391" i="1"/>
  <c r="BB391" i="1"/>
  <c r="BC391" i="1"/>
  <c r="BD391" i="1"/>
  <c r="A392" i="1"/>
  <c r="B392" i="1"/>
  <c r="C392" i="1"/>
  <c r="D392" i="1"/>
  <c r="E392" i="1"/>
  <c r="F392" i="1"/>
  <c r="G392" i="1"/>
  <c r="H392" i="1"/>
  <c r="I392" i="1"/>
  <c r="J392" i="1"/>
  <c r="K392" i="1"/>
  <c r="L392" i="1"/>
  <c r="M392" i="1" s="1"/>
  <c r="N392" i="1"/>
  <c r="O392" i="1"/>
  <c r="P392" i="1"/>
  <c r="Q392" i="1"/>
  <c r="R392" i="1"/>
  <c r="S392" i="1" s="1"/>
  <c r="T392" i="1"/>
  <c r="U392" i="1"/>
  <c r="V392" i="1"/>
  <c r="W392" i="1"/>
  <c r="X392" i="1"/>
  <c r="Y392" i="1"/>
  <c r="Z392" i="1"/>
  <c r="AA392" i="1"/>
  <c r="AB392" i="1"/>
  <c r="AC392" i="1"/>
  <c r="AD392" i="1" s="1"/>
  <c r="AE392" i="1"/>
  <c r="AF392" i="1"/>
  <c r="AG392" i="1"/>
  <c r="AH392" i="1" s="1"/>
  <c r="AI392" i="1"/>
  <c r="AJ392" i="1"/>
  <c r="AL392" i="1"/>
  <c r="AM392" i="1"/>
  <c r="AN392" i="1"/>
  <c r="AO392" i="1"/>
  <c r="AP392" i="1"/>
  <c r="AQ392" i="1"/>
  <c r="AR392" i="1"/>
  <c r="AS392" i="1"/>
  <c r="AT392" i="1"/>
  <c r="AU392" i="1"/>
  <c r="AV392" i="1"/>
  <c r="AW392" i="1"/>
  <c r="AX392" i="1"/>
  <c r="AY392" i="1"/>
  <c r="AZ392" i="1"/>
  <c r="BA392" i="1"/>
  <c r="BB392" i="1"/>
  <c r="BC392" i="1"/>
  <c r="BD392" i="1"/>
  <c r="A393" i="1"/>
  <c r="B393" i="1"/>
  <c r="C393" i="1"/>
  <c r="D393" i="1"/>
  <c r="E393" i="1"/>
  <c r="F393" i="1"/>
  <c r="G393" i="1"/>
  <c r="H393" i="1"/>
  <c r="I393" i="1"/>
  <c r="J393" i="1"/>
  <c r="K393" i="1"/>
  <c r="L393" i="1"/>
  <c r="M393" i="1" s="1"/>
  <c r="N393" i="1"/>
  <c r="O393" i="1"/>
  <c r="P393" i="1"/>
  <c r="Q393" i="1"/>
  <c r="R393" i="1"/>
  <c r="S393" i="1" s="1"/>
  <c r="T393" i="1"/>
  <c r="U393" i="1"/>
  <c r="V393" i="1"/>
  <c r="W393" i="1"/>
  <c r="X393" i="1"/>
  <c r="Y393" i="1"/>
  <c r="Z393" i="1"/>
  <c r="AA393" i="1"/>
  <c r="AB393" i="1"/>
  <c r="AC393" i="1"/>
  <c r="AD393" i="1" s="1"/>
  <c r="AE393" i="1"/>
  <c r="AF393" i="1"/>
  <c r="AG393" i="1"/>
  <c r="AH393" i="1" s="1"/>
  <c r="AI393" i="1"/>
  <c r="AJ393" i="1"/>
  <c r="AL393" i="1"/>
  <c r="AM393" i="1"/>
  <c r="AN393" i="1"/>
  <c r="AO393" i="1"/>
  <c r="AP393" i="1"/>
  <c r="AQ393" i="1"/>
  <c r="AR393" i="1"/>
  <c r="AS393" i="1"/>
  <c r="AT393" i="1"/>
  <c r="AU393" i="1"/>
  <c r="AV393" i="1"/>
  <c r="AW393" i="1"/>
  <c r="AX393" i="1"/>
  <c r="AY393" i="1"/>
  <c r="AZ393" i="1"/>
  <c r="BA393" i="1"/>
  <c r="BB393" i="1"/>
  <c r="BC393" i="1"/>
  <c r="BD393" i="1"/>
  <c r="A394" i="1"/>
  <c r="B394" i="1"/>
  <c r="C394" i="1"/>
  <c r="D394" i="1"/>
  <c r="E394" i="1"/>
  <c r="F394" i="1"/>
  <c r="G394" i="1"/>
  <c r="H394" i="1"/>
  <c r="I394" i="1"/>
  <c r="J394" i="1"/>
  <c r="K394" i="1"/>
  <c r="L394" i="1"/>
  <c r="M394" i="1" s="1"/>
  <c r="N394" i="1"/>
  <c r="O394" i="1"/>
  <c r="P394" i="1"/>
  <c r="Q394" i="1"/>
  <c r="R394" i="1"/>
  <c r="S394" i="1" s="1"/>
  <c r="T394" i="1"/>
  <c r="U394" i="1"/>
  <c r="V394" i="1"/>
  <c r="W394" i="1"/>
  <c r="X394" i="1"/>
  <c r="Y394" i="1"/>
  <c r="Z394" i="1"/>
  <c r="AA394" i="1"/>
  <c r="AB394" i="1"/>
  <c r="AC394" i="1"/>
  <c r="AD394" i="1" s="1"/>
  <c r="AE394" i="1"/>
  <c r="AF394" i="1"/>
  <c r="AG394" i="1"/>
  <c r="AH394" i="1" s="1"/>
  <c r="AI394" i="1"/>
  <c r="AJ394" i="1"/>
  <c r="AL394" i="1"/>
  <c r="AM394" i="1"/>
  <c r="AN394" i="1"/>
  <c r="AO394" i="1"/>
  <c r="AP394" i="1"/>
  <c r="AQ394" i="1"/>
  <c r="AR394" i="1"/>
  <c r="AS394" i="1"/>
  <c r="AT394" i="1"/>
  <c r="AU394" i="1"/>
  <c r="AV394" i="1"/>
  <c r="AW394" i="1"/>
  <c r="AX394" i="1"/>
  <c r="AY394" i="1"/>
  <c r="AZ394" i="1"/>
  <c r="BA394" i="1"/>
  <c r="BB394" i="1"/>
  <c r="BC394" i="1"/>
  <c r="BD394" i="1"/>
  <c r="A395" i="1"/>
  <c r="B395" i="1"/>
  <c r="C395" i="1"/>
  <c r="D395" i="1"/>
  <c r="E395" i="1"/>
  <c r="F395" i="1"/>
  <c r="G395" i="1"/>
  <c r="H395" i="1"/>
  <c r="I395" i="1"/>
  <c r="J395" i="1"/>
  <c r="K395" i="1"/>
  <c r="L395" i="1"/>
  <c r="M395" i="1" s="1"/>
  <c r="N395" i="1"/>
  <c r="O395" i="1"/>
  <c r="P395" i="1"/>
  <c r="Q395" i="1"/>
  <c r="R395" i="1"/>
  <c r="S395" i="1" s="1"/>
  <c r="T395" i="1"/>
  <c r="U395" i="1"/>
  <c r="V395" i="1"/>
  <c r="W395" i="1"/>
  <c r="X395" i="1"/>
  <c r="Y395" i="1"/>
  <c r="Z395" i="1"/>
  <c r="AA395" i="1"/>
  <c r="AB395" i="1"/>
  <c r="AC395" i="1"/>
  <c r="AD395" i="1" s="1"/>
  <c r="AE395" i="1"/>
  <c r="AF395" i="1"/>
  <c r="AG395" i="1"/>
  <c r="AH395" i="1" s="1"/>
  <c r="AI395" i="1"/>
  <c r="AJ395" i="1"/>
  <c r="AL395" i="1"/>
  <c r="AM395" i="1"/>
  <c r="AN395" i="1"/>
  <c r="AO395" i="1"/>
  <c r="AP395" i="1"/>
  <c r="AQ395" i="1"/>
  <c r="AR395" i="1"/>
  <c r="AS395" i="1"/>
  <c r="AT395" i="1"/>
  <c r="AU395" i="1"/>
  <c r="AV395" i="1"/>
  <c r="AW395" i="1"/>
  <c r="AX395" i="1"/>
  <c r="AY395" i="1"/>
  <c r="AZ395" i="1"/>
  <c r="BA395" i="1"/>
  <c r="BB395" i="1"/>
  <c r="BC395" i="1"/>
  <c r="BD395" i="1"/>
  <c r="A396" i="1"/>
  <c r="B396" i="1"/>
  <c r="C396" i="1"/>
  <c r="D396" i="1"/>
  <c r="E396" i="1"/>
  <c r="F396" i="1"/>
  <c r="G396" i="1"/>
  <c r="H396" i="1"/>
  <c r="I396" i="1"/>
  <c r="J396" i="1"/>
  <c r="K396" i="1"/>
  <c r="L396" i="1"/>
  <c r="M396" i="1" s="1"/>
  <c r="N396" i="1"/>
  <c r="O396" i="1"/>
  <c r="P396" i="1"/>
  <c r="Q396" i="1"/>
  <c r="R396" i="1"/>
  <c r="S396" i="1" s="1"/>
  <c r="T396" i="1"/>
  <c r="U396" i="1"/>
  <c r="V396" i="1"/>
  <c r="W396" i="1"/>
  <c r="X396" i="1"/>
  <c r="Y396" i="1"/>
  <c r="Z396" i="1"/>
  <c r="AA396" i="1"/>
  <c r="AB396" i="1"/>
  <c r="AC396" i="1"/>
  <c r="AD396" i="1" s="1"/>
  <c r="AE396" i="1"/>
  <c r="AF396" i="1"/>
  <c r="AG396" i="1"/>
  <c r="AH396" i="1" s="1"/>
  <c r="AI396" i="1"/>
  <c r="AJ396" i="1"/>
  <c r="AL396" i="1"/>
  <c r="AM396" i="1"/>
  <c r="AN396" i="1"/>
  <c r="AO396" i="1"/>
  <c r="AP396" i="1"/>
  <c r="AQ396" i="1"/>
  <c r="AR396" i="1"/>
  <c r="AS396" i="1"/>
  <c r="AT396" i="1"/>
  <c r="AU396" i="1"/>
  <c r="AV396" i="1"/>
  <c r="AW396" i="1"/>
  <c r="AX396" i="1"/>
  <c r="AY396" i="1"/>
  <c r="AZ396" i="1"/>
  <c r="BA396" i="1"/>
  <c r="BB396" i="1"/>
  <c r="BC396" i="1"/>
  <c r="BD396" i="1"/>
  <c r="A397" i="1"/>
  <c r="B397" i="1"/>
  <c r="C397" i="1"/>
  <c r="D397" i="1"/>
  <c r="E397" i="1"/>
  <c r="F397" i="1"/>
  <c r="G397" i="1"/>
  <c r="H397" i="1"/>
  <c r="I397" i="1"/>
  <c r="J397" i="1"/>
  <c r="K397" i="1"/>
  <c r="L397" i="1"/>
  <c r="M397" i="1" s="1"/>
  <c r="N397" i="1"/>
  <c r="O397" i="1"/>
  <c r="P397" i="1"/>
  <c r="Q397" i="1"/>
  <c r="S397" i="1"/>
  <c r="T397" i="1"/>
  <c r="U397" i="1"/>
  <c r="V397" i="1"/>
  <c r="W397" i="1"/>
  <c r="X397" i="1"/>
  <c r="Y397" i="1"/>
  <c r="Z397" i="1"/>
  <c r="AA397" i="1"/>
  <c r="AB397" i="1"/>
  <c r="AC397" i="1"/>
  <c r="AD397" i="1" s="1"/>
  <c r="AE397" i="1"/>
  <c r="AF397" i="1"/>
  <c r="AG397" i="1"/>
  <c r="AH397" i="1" s="1"/>
  <c r="AI397" i="1"/>
  <c r="AJ397" i="1"/>
  <c r="AL397" i="1"/>
  <c r="AM397" i="1"/>
  <c r="AN397" i="1"/>
  <c r="AO397" i="1"/>
  <c r="AP397" i="1"/>
  <c r="AQ397" i="1"/>
  <c r="AR397" i="1"/>
  <c r="AS397" i="1"/>
  <c r="AT397" i="1"/>
  <c r="AU397" i="1"/>
  <c r="AV397" i="1"/>
  <c r="AW397" i="1"/>
  <c r="AX397" i="1"/>
  <c r="AY397" i="1"/>
  <c r="AZ397" i="1"/>
  <c r="BA397" i="1"/>
  <c r="BB397" i="1"/>
  <c r="BC397" i="1"/>
  <c r="BD397" i="1"/>
  <c r="A398" i="1"/>
  <c r="B398" i="1"/>
  <c r="C398" i="1"/>
  <c r="D398" i="1"/>
  <c r="E398" i="1"/>
  <c r="F398" i="1"/>
  <c r="G398" i="1"/>
  <c r="H398" i="1"/>
  <c r="I398" i="1"/>
  <c r="J398" i="1"/>
  <c r="K398" i="1"/>
  <c r="L398" i="1"/>
  <c r="M398" i="1" s="1"/>
  <c r="N398" i="1"/>
  <c r="O398" i="1"/>
  <c r="P398" i="1"/>
  <c r="Q398" i="1"/>
  <c r="S398" i="1"/>
  <c r="T398" i="1"/>
  <c r="U398" i="1"/>
  <c r="V398" i="1"/>
  <c r="W398" i="1"/>
  <c r="X398" i="1"/>
  <c r="Y398" i="1"/>
  <c r="Z398" i="1"/>
  <c r="AA398" i="1"/>
  <c r="AB398" i="1"/>
  <c r="AC398" i="1"/>
  <c r="AD398" i="1" s="1"/>
  <c r="AE398" i="1"/>
  <c r="AF398" i="1"/>
  <c r="AG398" i="1"/>
  <c r="AH398" i="1" s="1"/>
  <c r="AI398" i="1"/>
  <c r="AJ398" i="1"/>
  <c r="AL398" i="1"/>
  <c r="AM398" i="1"/>
  <c r="AN398" i="1"/>
  <c r="AO398" i="1"/>
  <c r="AP398" i="1"/>
  <c r="AQ398" i="1"/>
  <c r="AR398" i="1"/>
  <c r="AS398" i="1"/>
  <c r="AT398" i="1"/>
  <c r="AU398" i="1"/>
  <c r="AV398" i="1"/>
  <c r="AW398" i="1"/>
  <c r="AX398" i="1"/>
  <c r="AY398" i="1"/>
  <c r="AZ398" i="1"/>
  <c r="BA398" i="1"/>
  <c r="BB398" i="1"/>
  <c r="BC398" i="1"/>
  <c r="BD398" i="1"/>
  <c r="A399" i="1"/>
  <c r="B399" i="1"/>
  <c r="C399" i="1"/>
  <c r="D399" i="1"/>
  <c r="E399" i="1"/>
  <c r="F399" i="1"/>
  <c r="G399" i="1"/>
  <c r="H399" i="1"/>
  <c r="I399" i="1"/>
  <c r="J399" i="1"/>
  <c r="K399" i="1"/>
  <c r="L399" i="1"/>
  <c r="M399" i="1" s="1"/>
  <c r="N399" i="1"/>
  <c r="O399" i="1"/>
  <c r="P399" i="1"/>
  <c r="Q399" i="1"/>
  <c r="R399" i="1"/>
  <c r="S399" i="1" s="1"/>
  <c r="T399" i="1"/>
  <c r="U399" i="1"/>
  <c r="V399" i="1"/>
  <c r="W399" i="1"/>
  <c r="X399" i="1"/>
  <c r="Y399" i="1"/>
  <c r="Z399" i="1"/>
  <c r="AA399" i="1"/>
  <c r="AB399" i="1"/>
  <c r="AC399" i="1"/>
  <c r="AD399" i="1" s="1"/>
  <c r="AE399" i="1"/>
  <c r="AF399" i="1"/>
  <c r="AG399" i="1"/>
  <c r="AH399" i="1" s="1"/>
  <c r="AI399" i="1"/>
  <c r="AJ399" i="1"/>
  <c r="AL399" i="1"/>
  <c r="AM399" i="1"/>
  <c r="AN399" i="1"/>
  <c r="AO399" i="1"/>
  <c r="AP399" i="1"/>
  <c r="AQ399" i="1"/>
  <c r="AR399" i="1"/>
  <c r="AS399" i="1"/>
  <c r="AT399" i="1"/>
  <c r="AU399" i="1"/>
  <c r="AV399" i="1"/>
  <c r="AW399" i="1"/>
  <c r="AX399" i="1"/>
  <c r="AY399" i="1"/>
  <c r="AZ399" i="1"/>
  <c r="BA399" i="1"/>
  <c r="BB399" i="1"/>
  <c r="BC399" i="1"/>
  <c r="BD399" i="1"/>
  <c r="A400" i="1"/>
  <c r="B400" i="1"/>
  <c r="C400" i="1"/>
  <c r="D400" i="1"/>
  <c r="E400" i="1"/>
  <c r="F400" i="1"/>
  <c r="G400" i="1"/>
  <c r="H400" i="1"/>
  <c r="I400" i="1"/>
  <c r="J400" i="1"/>
  <c r="K400" i="1"/>
  <c r="L400" i="1"/>
  <c r="M400" i="1" s="1"/>
  <c r="N400" i="1"/>
  <c r="O400" i="1"/>
  <c r="P400" i="1"/>
  <c r="Q400" i="1"/>
  <c r="R400" i="1"/>
  <c r="S400" i="1" s="1"/>
  <c r="T400" i="1"/>
  <c r="U400" i="1"/>
  <c r="V400" i="1"/>
  <c r="W400" i="1"/>
  <c r="X400" i="1"/>
  <c r="Y400" i="1"/>
  <c r="Z400" i="1"/>
  <c r="AA400" i="1"/>
  <c r="AB400" i="1"/>
  <c r="AC400" i="1"/>
  <c r="AD400" i="1" s="1"/>
  <c r="AE400" i="1"/>
  <c r="AF400" i="1"/>
  <c r="AG400" i="1"/>
  <c r="AH400" i="1" s="1"/>
  <c r="AI400" i="1"/>
  <c r="AJ400" i="1"/>
  <c r="AL400" i="1"/>
  <c r="AM400" i="1"/>
  <c r="AN400" i="1"/>
  <c r="AO400" i="1"/>
  <c r="AP400" i="1"/>
  <c r="AQ400" i="1"/>
  <c r="AR400" i="1"/>
  <c r="AS400" i="1"/>
  <c r="AT400" i="1"/>
  <c r="AU400" i="1"/>
  <c r="AV400" i="1"/>
  <c r="AW400" i="1"/>
  <c r="AX400" i="1"/>
  <c r="AY400" i="1"/>
  <c r="AZ400" i="1"/>
  <c r="BA400" i="1"/>
  <c r="BB400" i="1"/>
  <c r="BC400" i="1"/>
  <c r="BD400" i="1"/>
  <c r="A401" i="1"/>
  <c r="B401" i="1"/>
  <c r="C401" i="1"/>
  <c r="D401" i="1"/>
  <c r="E401" i="1"/>
  <c r="F401" i="1"/>
  <c r="G401" i="1"/>
  <c r="H401" i="1"/>
  <c r="I401" i="1"/>
  <c r="J401" i="1"/>
  <c r="K401" i="1"/>
  <c r="L401" i="1"/>
  <c r="M401" i="1" s="1"/>
  <c r="N401" i="1"/>
  <c r="O401" i="1"/>
  <c r="P401" i="1"/>
  <c r="Q401" i="1"/>
  <c r="R401" i="1"/>
  <c r="S401" i="1" s="1"/>
  <c r="T401" i="1"/>
  <c r="U401" i="1"/>
  <c r="V401" i="1"/>
  <c r="W401" i="1"/>
  <c r="X401" i="1"/>
  <c r="Y401" i="1"/>
  <c r="Z401" i="1"/>
  <c r="AA401" i="1"/>
  <c r="AB401" i="1"/>
  <c r="AC401" i="1"/>
  <c r="AD401" i="1" s="1"/>
  <c r="AE401" i="1"/>
  <c r="AF401" i="1"/>
  <c r="AG401" i="1"/>
  <c r="AH401" i="1" s="1"/>
  <c r="AI401" i="1"/>
  <c r="AJ401" i="1"/>
  <c r="AL401" i="1"/>
  <c r="AM401" i="1"/>
  <c r="AN401" i="1"/>
  <c r="AO401" i="1"/>
  <c r="AP401" i="1"/>
  <c r="AQ401" i="1"/>
  <c r="AR401" i="1"/>
  <c r="AS401" i="1"/>
  <c r="AT401" i="1"/>
  <c r="AU401" i="1"/>
  <c r="AV401" i="1"/>
  <c r="AW401" i="1"/>
  <c r="AX401" i="1"/>
  <c r="AY401" i="1"/>
  <c r="AZ401" i="1"/>
  <c r="BA401" i="1"/>
  <c r="BB401" i="1"/>
  <c r="BC401" i="1"/>
  <c r="BD401" i="1"/>
  <c r="A402" i="1"/>
  <c r="B402" i="1"/>
  <c r="C402" i="1"/>
  <c r="D402" i="1"/>
  <c r="E402" i="1"/>
  <c r="F402" i="1"/>
  <c r="G402" i="1"/>
  <c r="H402" i="1"/>
  <c r="I402" i="1"/>
  <c r="J402" i="1"/>
  <c r="K402" i="1"/>
  <c r="L402" i="1"/>
  <c r="M402" i="1" s="1"/>
  <c r="N402" i="1"/>
  <c r="O402" i="1"/>
  <c r="P402" i="1"/>
  <c r="Q402" i="1"/>
  <c r="R402" i="1"/>
  <c r="S402" i="1" s="1"/>
  <c r="T402" i="1"/>
  <c r="U402" i="1"/>
  <c r="V402" i="1"/>
  <c r="W402" i="1"/>
  <c r="X402" i="1"/>
  <c r="Y402" i="1"/>
  <c r="Z402" i="1"/>
  <c r="AA402" i="1"/>
  <c r="AB402" i="1"/>
  <c r="AC402" i="1"/>
  <c r="AD402" i="1" s="1"/>
  <c r="AE402" i="1"/>
  <c r="AF402" i="1"/>
  <c r="AG402" i="1"/>
  <c r="AH402" i="1" s="1"/>
  <c r="AI402" i="1"/>
  <c r="AJ402" i="1"/>
  <c r="AL402" i="1"/>
  <c r="AM402" i="1"/>
  <c r="AN402" i="1"/>
  <c r="AO402" i="1"/>
  <c r="AP402" i="1"/>
  <c r="AQ402" i="1"/>
  <c r="AR402" i="1"/>
  <c r="AS402" i="1"/>
  <c r="AT402" i="1"/>
  <c r="AU402" i="1"/>
  <c r="AV402" i="1"/>
  <c r="AW402" i="1"/>
  <c r="AX402" i="1"/>
  <c r="AY402" i="1"/>
  <c r="AZ402" i="1"/>
  <c r="BA402" i="1"/>
  <c r="BB402" i="1"/>
  <c r="BC402" i="1"/>
  <c r="BD402" i="1"/>
  <c r="A403" i="1"/>
  <c r="B403" i="1"/>
  <c r="C403" i="1"/>
  <c r="D403" i="1"/>
  <c r="E403" i="1"/>
  <c r="F403" i="1"/>
  <c r="G403" i="1"/>
  <c r="H403" i="1"/>
  <c r="I403" i="1"/>
  <c r="J403" i="1"/>
  <c r="K403" i="1"/>
  <c r="L403" i="1"/>
  <c r="M403" i="1" s="1"/>
  <c r="N403" i="1"/>
  <c r="O403" i="1"/>
  <c r="P403" i="1"/>
  <c r="Q403" i="1"/>
  <c r="R403" i="1"/>
  <c r="S403" i="1" s="1"/>
  <c r="T403" i="1"/>
  <c r="U403" i="1"/>
  <c r="V403" i="1"/>
  <c r="W403" i="1"/>
  <c r="X403" i="1"/>
  <c r="Y403" i="1"/>
  <c r="Z403" i="1"/>
  <c r="AA403" i="1"/>
  <c r="AB403" i="1"/>
  <c r="AC403" i="1"/>
  <c r="AD403" i="1" s="1"/>
  <c r="AE403" i="1"/>
  <c r="AF403" i="1"/>
  <c r="AG403" i="1"/>
  <c r="AH403" i="1" s="1"/>
  <c r="AI403" i="1"/>
  <c r="AL403" i="1"/>
  <c r="AM403" i="1"/>
  <c r="AN403" i="1"/>
  <c r="AO403" i="1"/>
  <c r="AP403" i="1"/>
  <c r="AQ403" i="1"/>
  <c r="AR403" i="1"/>
  <c r="AS403" i="1"/>
  <c r="AT403" i="1"/>
  <c r="AU403" i="1"/>
  <c r="AV403" i="1"/>
  <c r="AW403" i="1"/>
  <c r="AX403" i="1"/>
  <c r="AY403" i="1"/>
  <c r="AZ403" i="1"/>
  <c r="BA403" i="1"/>
  <c r="BB403" i="1"/>
  <c r="BC403" i="1"/>
  <c r="BD403" i="1"/>
  <c r="A404" i="1"/>
  <c r="B404" i="1"/>
  <c r="C404" i="1"/>
  <c r="D404" i="1"/>
  <c r="E404" i="1"/>
  <c r="F404" i="1"/>
  <c r="G404" i="1"/>
  <c r="H404" i="1"/>
  <c r="I404" i="1"/>
  <c r="J404" i="1"/>
  <c r="K404" i="1"/>
  <c r="L404" i="1"/>
  <c r="M404" i="1" s="1"/>
  <c r="N404" i="1"/>
  <c r="O404" i="1"/>
  <c r="P404" i="1"/>
  <c r="Q404" i="1"/>
  <c r="R404" i="1"/>
  <c r="S404" i="1" s="1"/>
  <c r="T404" i="1"/>
  <c r="U404" i="1"/>
  <c r="V404" i="1"/>
  <c r="W404" i="1"/>
  <c r="X404" i="1"/>
  <c r="Y404" i="1"/>
  <c r="Z404" i="1"/>
  <c r="AA404" i="1"/>
  <c r="AB404" i="1"/>
  <c r="AC404" i="1"/>
  <c r="AD404" i="1" s="1"/>
  <c r="AE404" i="1"/>
  <c r="AF404" i="1"/>
  <c r="AG404" i="1"/>
  <c r="AH404" i="1" s="1"/>
  <c r="AI404" i="1"/>
  <c r="AJ404" i="1"/>
  <c r="AL404" i="1"/>
  <c r="AM404" i="1"/>
  <c r="AN404" i="1"/>
  <c r="AO404" i="1"/>
  <c r="AP404" i="1"/>
  <c r="AQ404" i="1"/>
  <c r="AR404" i="1"/>
  <c r="AS404" i="1"/>
  <c r="AT404" i="1"/>
  <c r="AU404" i="1"/>
  <c r="AV404" i="1"/>
  <c r="AW404" i="1"/>
  <c r="AX404" i="1"/>
  <c r="AY404" i="1"/>
  <c r="AZ404" i="1"/>
  <c r="BA404" i="1"/>
  <c r="BB404" i="1"/>
  <c r="BC404" i="1"/>
  <c r="BD404" i="1"/>
  <c r="A405" i="1"/>
  <c r="B405" i="1"/>
  <c r="C405" i="1"/>
  <c r="D405" i="1"/>
  <c r="E405" i="1"/>
  <c r="F405" i="1"/>
  <c r="G405" i="1"/>
  <c r="H405" i="1"/>
  <c r="I405" i="1"/>
  <c r="J405" i="1"/>
  <c r="K405" i="1"/>
  <c r="L405" i="1"/>
  <c r="M405" i="1" s="1"/>
  <c r="N405" i="1"/>
  <c r="O405" i="1"/>
  <c r="P405" i="1"/>
  <c r="Q405" i="1"/>
  <c r="R405" i="1"/>
  <c r="S405" i="1" s="1"/>
  <c r="T405" i="1"/>
  <c r="U405" i="1"/>
  <c r="V405" i="1"/>
  <c r="W405" i="1"/>
  <c r="X405" i="1"/>
  <c r="Y405" i="1"/>
  <c r="Z405" i="1"/>
  <c r="AA405" i="1"/>
  <c r="AB405" i="1"/>
  <c r="AC405" i="1"/>
  <c r="AD405" i="1" s="1"/>
  <c r="AE405" i="1"/>
  <c r="AF405" i="1"/>
  <c r="AG405" i="1"/>
  <c r="AH405" i="1" s="1"/>
  <c r="AI405" i="1"/>
  <c r="AJ405" i="1"/>
  <c r="AL405" i="1"/>
  <c r="AM405" i="1"/>
  <c r="AN405" i="1"/>
  <c r="AO405" i="1"/>
  <c r="AP405" i="1"/>
  <c r="AQ405" i="1"/>
  <c r="AR405" i="1"/>
  <c r="AS405" i="1"/>
  <c r="AT405" i="1"/>
  <c r="AU405" i="1"/>
  <c r="AV405" i="1"/>
  <c r="AW405" i="1"/>
  <c r="AX405" i="1"/>
  <c r="AY405" i="1"/>
  <c r="AZ405" i="1"/>
  <c r="BA405" i="1"/>
  <c r="BB405" i="1"/>
  <c r="BC405" i="1"/>
  <c r="BD405" i="1"/>
  <c r="A406" i="1"/>
  <c r="B406" i="1"/>
  <c r="C406" i="1"/>
  <c r="D406" i="1"/>
  <c r="E406" i="1"/>
  <c r="F406" i="1"/>
  <c r="G406" i="1"/>
  <c r="H406" i="1"/>
  <c r="I406" i="1"/>
  <c r="J406" i="1"/>
  <c r="K406" i="1"/>
  <c r="L406" i="1"/>
  <c r="M406" i="1" s="1"/>
  <c r="N406" i="1"/>
  <c r="O406" i="1"/>
  <c r="P406" i="1"/>
  <c r="Q406" i="1"/>
  <c r="R406" i="1"/>
  <c r="S406" i="1" s="1"/>
  <c r="T406" i="1"/>
  <c r="U406" i="1"/>
  <c r="V406" i="1"/>
  <c r="W406" i="1"/>
  <c r="X406" i="1"/>
  <c r="Y406" i="1"/>
  <c r="Z406" i="1"/>
  <c r="AA406" i="1"/>
  <c r="AB406" i="1"/>
  <c r="AC406" i="1"/>
  <c r="AD406" i="1" s="1"/>
  <c r="AE406" i="1"/>
  <c r="AF406" i="1"/>
  <c r="AG406" i="1"/>
  <c r="AH406" i="1" s="1"/>
  <c r="AI406" i="1"/>
  <c r="AJ406" i="1"/>
  <c r="AL406" i="1"/>
  <c r="AM406" i="1"/>
  <c r="AN406" i="1"/>
  <c r="AO406" i="1"/>
  <c r="AP406" i="1"/>
  <c r="AQ406" i="1"/>
  <c r="AR406" i="1"/>
  <c r="AS406" i="1"/>
  <c r="AT406" i="1"/>
  <c r="AU406" i="1"/>
  <c r="AV406" i="1"/>
  <c r="AW406" i="1"/>
  <c r="AX406" i="1"/>
  <c r="AY406" i="1"/>
  <c r="AZ406" i="1"/>
  <c r="BA406" i="1"/>
  <c r="BB406" i="1"/>
  <c r="BC406" i="1"/>
  <c r="BD406" i="1"/>
  <c r="A407" i="1"/>
  <c r="B407" i="1"/>
  <c r="C407" i="1"/>
  <c r="D407" i="1"/>
  <c r="E407" i="1"/>
  <c r="F407" i="1"/>
  <c r="G407" i="1"/>
  <c r="H407" i="1"/>
  <c r="I407" i="1"/>
  <c r="J407" i="1"/>
  <c r="K407" i="1"/>
  <c r="L407" i="1"/>
  <c r="M407" i="1" s="1"/>
  <c r="N407" i="1"/>
  <c r="O407" i="1"/>
  <c r="P407" i="1"/>
  <c r="Q407" i="1"/>
  <c r="R407" i="1"/>
  <c r="S407" i="1" s="1"/>
  <c r="T407" i="1"/>
  <c r="U407" i="1"/>
  <c r="V407" i="1"/>
  <c r="W407" i="1"/>
  <c r="X407" i="1"/>
  <c r="Y407" i="1"/>
  <c r="Z407" i="1"/>
  <c r="AA407" i="1"/>
  <c r="AB407" i="1"/>
  <c r="AC407" i="1"/>
  <c r="AD407" i="1" s="1"/>
  <c r="AE407" i="1"/>
  <c r="AF407" i="1"/>
  <c r="AG407" i="1"/>
  <c r="AH407" i="1" s="1"/>
  <c r="AI407" i="1"/>
  <c r="AJ407" i="1"/>
  <c r="AL407" i="1"/>
  <c r="AM407" i="1"/>
  <c r="AN407" i="1"/>
  <c r="AO407" i="1"/>
  <c r="AP407" i="1"/>
  <c r="AQ407" i="1"/>
  <c r="AR407" i="1"/>
  <c r="AS407" i="1"/>
  <c r="AT407" i="1"/>
  <c r="AU407" i="1"/>
  <c r="AV407" i="1"/>
  <c r="AW407" i="1"/>
  <c r="AX407" i="1"/>
  <c r="AY407" i="1"/>
  <c r="AZ407" i="1"/>
  <c r="BA407" i="1"/>
  <c r="BB407" i="1"/>
  <c r="BC407" i="1"/>
  <c r="BD407" i="1"/>
  <c r="A408" i="1"/>
  <c r="B408" i="1"/>
  <c r="C408" i="1"/>
  <c r="D408" i="1"/>
  <c r="E408" i="1"/>
  <c r="F408" i="1"/>
  <c r="G408" i="1"/>
  <c r="H408" i="1"/>
  <c r="I408" i="1"/>
  <c r="J408" i="1"/>
  <c r="K408" i="1"/>
  <c r="L408" i="1"/>
  <c r="M408" i="1" s="1"/>
  <c r="N408" i="1"/>
  <c r="O408" i="1"/>
  <c r="P408" i="1"/>
  <c r="Q408" i="1"/>
  <c r="R408" i="1"/>
  <c r="S408" i="1" s="1"/>
  <c r="T408" i="1"/>
  <c r="U408" i="1"/>
  <c r="V408" i="1"/>
  <c r="W408" i="1"/>
  <c r="X408" i="1"/>
  <c r="Y408" i="1"/>
  <c r="Z408" i="1"/>
  <c r="AA408" i="1"/>
  <c r="AB408" i="1"/>
  <c r="AC408" i="1"/>
  <c r="AD408" i="1" s="1"/>
  <c r="AE408" i="1"/>
  <c r="AF408" i="1"/>
  <c r="AG408" i="1"/>
  <c r="AH408" i="1" s="1"/>
  <c r="AI408" i="1"/>
  <c r="AJ408" i="1"/>
  <c r="AL408" i="1"/>
  <c r="AM408" i="1"/>
  <c r="AN408" i="1"/>
  <c r="AO408" i="1"/>
  <c r="AP408" i="1"/>
  <c r="AQ408" i="1"/>
  <c r="AR408" i="1"/>
  <c r="AS408" i="1"/>
  <c r="AT408" i="1"/>
  <c r="AU408" i="1"/>
  <c r="AV408" i="1"/>
  <c r="AW408" i="1"/>
  <c r="AX408" i="1"/>
  <c r="AY408" i="1"/>
  <c r="AZ408" i="1"/>
  <c r="BA408" i="1"/>
  <c r="BB408" i="1"/>
  <c r="BC408" i="1"/>
  <c r="BD408" i="1"/>
  <c r="A409" i="1"/>
  <c r="B409" i="1"/>
  <c r="C409" i="1"/>
  <c r="D409" i="1"/>
  <c r="E409" i="1"/>
  <c r="F409" i="1"/>
  <c r="G409" i="1"/>
  <c r="H409" i="1"/>
  <c r="I409" i="1"/>
  <c r="J409" i="1"/>
  <c r="K409" i="1"/>
  <c r="M409" i="1"/>
  <c r="N409" i="1"/>
  <c r="O409" i="1"/>
  <c r="P409" i="1"/>
  <c r="Q409" i="1"/>
  <c r="R409" i="1"/>
  <c r="S409" i="1" s="1"/>
  <c r="T409" i="1"/>
  <c r="U409" i="1"/>
  <c r="V409" i="1"/>
  <c r="W409" i="1"/>
  <c r="X409" i="1"/>
  <c r="Y409" i="1"/>
  <c r="Z409" i="1"/>
  <c r="AA409" i="1"/>
  <c r="AB409" i="1"/>
  <c r="AC409" i="1"/>
  <c r="AD409" i="1" s="1"/>
  <c r="AE409" i="1"/>
  <c r="AF409" i="1"/>
  <c r="AG409" i="1"/>
  <c r="AH409" i="1" s="1"/>
  <c r="AI409" i="1"/>
  <c r="AJ409" i="1"/>
  <c r="AL409" i="1"/>
  <c r="AM409" i="1"/>
  <c r="AN409" i="1"/>
  <c r="AO409" i="1"/>
  <c r="AP409" i="1"/>
  <c r="AQ409" i="1"/>
  <c r="AR409" i="1"/>
  <c r="AS409" i="1"/>
  <c r="AT409" i="1"/>
  <c r="AU409" i="1"/>
  <c r="AV409" i="1"/>
  <c r="AW409" i="1"/>
  <c r="AX409" i="1"/>
  <c r="AY409" i="1"/>
  <c r="AZ409" i="1"/>
  <c r="BA409" i="1"/>
  <c r="BB409" i="1"/>
  <c r="BC409" i="1"/>
  <c r="BD409" i="1"/>
  <c r="A410" i="1"/>
  <c r="B410" i="1"/>
  <c r="C410" i="1"/>
  <c r="D410" i="1"/>
  <c r="E410" i="1"/>
  <c r="F410" i="1"/>
  <c r="G410" i="1"/>
  <c r="H410" i="1"/>
  <c r="I410" i="1"/>
  <c r="J410" i="1"/>
  <c r="K410" i="1"/>
  <c r="L410" i="1"/>
  <c r="M410" i="1" s="1"/>
  <c r="N410" i="1"/>
  <c r="O410" i="1"/>
  <c r="P410" i="1"/>
  <c r="Q410" i="1"/>
  <c r="R410" i="1"/>
  <c r="S410" i="1" s="1"/>
  <c r="T410" i="1"/>
  <c r="U410" i="1"/>
  <c r="V410" i="1"/>
  <c r="W410" i="1"/>
  <c r="X410" i="1"/>
  <c r="Y410" i="1"/>
  <c r="Z410" i="1"/>
  <c r="AA410" i="1"/>
  <c r="AB410" i="1"/>
  <c r="AC410" i="1"/>
  <c r="AD410" i="1" s="1"/>
  <c r="AE410" i="1"/>
  <c r="AF410" i="1"/>
  <c r="AG410" i="1"/>
  <c r="AH410" i="1" s="1"/>
  <c r="AI410" i="1"/>
  <c r="AJ410" i="1"/>
  <c r="AL410" i="1"/>
  <c r="AM410" i="1"/>
  <c r="AN410" i="1"/>
  <c r="AO410" i="1"/>
  <c r="AP410" i="1"/>
  <c r="AQ410" i="1"/>
  <c r="AR410" i="1"/>
  <c r="AS410" i="1"/>
  <c r="AT410" i="1"/>
  <c r="AU410" i="1"/>
  <c r="AV410" i="1"/>
  <c r="AW410" i="1"/>
  <c r="AX410" i="1"/>
  <c r="AY410" i="1"/>
  <c r="AZ410" i="1"/>
  <c r="BA410" i="1"/>
  <c r="BB410" i="1"/>
  <c r="BC410" i="1"/>
  <c r="BD410" i="1"/>
  <c r="A411" i="1"/>
  <c r="B411" i="1"/>
  <c r="C411" i="1"/>
  <c r="D411" i="1"/>
  <c r="E411" i="1"/>
  <c r="F411" i="1"/>
  <c r="G411" i="1"/>
  <c r="H411" i="1"/>
  <c r="I411" i="1"/>
  <c r="J411" i="1"/>
  <c r="K411" i="1"/>
  <c r="L411" i="1"/>
  <c r="M411" i="1" s="1"/>
  <c r="N411" i="1"/>
  <c r="O411" i="1"/>
  <c r="P411" i="1"/>
  <c r="Q411" i="1"/>
  <c r="R411" i="1"/>
  <c r="S411" i="1" s="1"/>
  <c r="T411" i="1"/>
  <c r="U411" i="1"/>
  <c r="V411" i="1"/>
  <c r="W411" i="1"/>
  <c r="X411" i="1"/>
  <c r="Y411" i="1"/>
  <c r="Z411" i="1"/>
  <c r="AA411" i="1"/>
  <c r="AB411" i="1"/>
  <c r="AC411" i="1"/>
  <c r="AD411" i="1" s="1"/>
  <c r="AE411" i="1"/>
  <c r="AF411" i="1"/>
  <c r="AG411" i="1"/>
  <c r="AH411" i="1" s="1"/>
  <c r="AI411" i="1"/>
  <c r="AJ411" i="1"/>
  <c r="AL411" i="1"/>
  <c r="AM411" i="1"/>
  <c r="AN411" i="1"/>
  <c r="AO411" i="1"/>
  <c r="AP411" i="1"/>
  <c r="AQ411" i="1"/>
  <c r="AR411" i="1"/>
  <c r="AS411" i="1"/>
  <c r="AT411" i="1"/>
  <c r="AU411" i="1"/>
  <c r="AV411" i="1"/>
  <c r="AW411" i="1"/>
  <c r="AX411" i="1"/>
  <c r="AY411" i="1"/>
  <c r="AZ411" i="1"/>
  <c r="BA411" i="1"/>
  <c r="BB411" i="1"/>
  <c r="BC411" i="1"/>
  <c r="BD411" i="1"/>
  <c r="A412" i="1"/>
  <c r="B412" i="1"/>
  <c r="C412" i="1"/>
  <c r="D412" i="1"/>
  <c r="E412" i="1"/>
  <c r="F412" i="1"/>
  <c r="G412" i="1"/>
  <c r="H412" i="1"/>
  <c r="I412" i="1"/>
  <c r="J412" i="1"/>
  <c r="K412" i="1"/>
  <c r="L412" i="1"/>
  <c r="M412" i="1" s="1"/>
  <c r="N412" i="1"/>
  <c r="O412" i="1"/>
  <c r="P412" i="1"/>
  <c r="Q412" i="1"/>
  <c r="S412" i="1"/>
  <c r="T412" i="1"/>
  <c r="U412" i="1"/>
  <c r="V412" i="1"/>
  <c r="W412" i="1"/>
  <c r="X412" i="1"/>
  <c r="Y412" i="1"/>
  <c r="Z412" i="1"/>
  <c r="AA412" i="1"/>
  <c r="AB412" i="1"/>
  <c r="AC412" i="1"/>
  <c r="AD412" i="1" s="1"/>
  <c r="AE412" i="1"/>
  <c r="AF412" i="1"/>
  <c r="AI412" i="1"/>
  <c r="AL412" i="1"/>
  <c r="AM412" i="1"/>
  <c r="AN412" i="1"/>
  <c r="AO412" i="1"/>
  <c r="AP412" i="1"/>
  <c r="AQ412" i="1"/>
  <c r="AR412" i="1"/>
  <c r="AS412" i="1"/>
  <c r="AT412" i="1"/>
  <c r="AU412" i="1"/>
  <c r="AV412" i="1"/>
  <c r="AW412" i="1"/>
  <c r="AX412" i="1"/>
  <c r="AY412" i="1"/>
  <c r="AZ412" i="1"/>
  <c r="BA412" i="1"/>
  <c r="BB412" i="1"/>
  <c r="BC412" i="1"/>
  <c r="BD412" i="1"/>
  <c r="A413" i="1"/>
  <c r="B413" i="1"/>
  <c r="C413" i="1"/>
  <c r="D413" i="1"/>
  <c r="E413" i="1"/>
  <c r="F413" i="1"/>
  <c r="G413" i="1"/>
  <c r="H413" i="1"/>
  <c r="I413" i="1"/>
  <c r="J413" i="1"/>
  <c r="K413" i="1"/>
  <c r="L413" i="1"/>
  <c r="M413" i="1" s="1"/>
  <c r="N413" i="1"/>
  <c r="O413" i="1"/>
  <c r="P413" i="1"/>
  <c r="Q413" i="1"/>
  <c r="R413" i="1"/>
  <c r="S413" i="1" s="1"/>
  <c r="T413" i="1"/>
  <c r="U413" i="1"/>
  <c r="V413" i="1"/>
  <c r="W413" i="1"/>
  <c r="X413" i="1"/>
  <c r="Y413" i="1"/>
  <c r="Z413" i="1"/>
  <c r="AA413" i="1"/>
  <c r="AB413" i="1"/>
  <c r="AC413" i="1"/>
  <c r="AD413" i="1" s="1"/>
  <c r="AE413" i="1"/>
  <c r="AF413" i="1"/>
  <c r="AG413" i="1"/>
  <c r="AH413" i="1" s="1"/>
  <c r="AI413" i="1"/>
  <c r="AJ413" i="1"/>
  <c r="AL413" i="1"/>
  <c r="AM413" i="1"/>
  <c r="AN413" i="1"/>
  <c r="AO413" i="1"/>
  <c r="AP413" i="1"/>
  <c r="AQ413" i="1"/>
  <c r="AR413" i="1"/>
  <c r="AS413" i="1"/>
  <c r="AT413" i="1"/>
  <c r="AU413" i="1"/>
  <c r="AV413" i="1"/>
  <c r="AW413" i="1"/>
  <c r="AX413" i="1"/>
  <c r="AY413" i="1"/>
  <c r="AZ413" i="1"/>
  <c r="BA413" i="1"/>
  <c r="BB413" i="1"/>
  <c r="BC413" i="1"/>
  <c r="BD413" i="1"/>
  <c r="A414" i="1"/>
  <c r="B414" i="1"/>
  <c r="C414" i="1"/>
  <c r="D414" i="1"/>
  <c r="E414" i="1"/>
  <c r="F414" i="1"/>
  <c r="G414" i="1"/>
  <c r="H414" i="1"/>
  <c r="I414" i="1"/>
  <c r="J414" i="1"/>
  <c r="K414" i="1"/>
  <c r="M414" i="1"/>
  <c r="N414" i="1"/>
  <c r="O414" i="1"/>
  <c r="P414" i="1"/>
  <c r="Q414" i="1"/>
  <c r="R414" i="1"/>
  <c r="S414" i="1" s="1"/>
  <c r="T414" i="1"/>
  <c r="U414" i="1"/>
  <c r="V414" i="1"/>
  <c r="W414" i="1"/>
  <c r="X414" i="1"/>
  <c r="Y414" i="1"/>
  <c r="Z414" i="1"/>
  <c r="AA414" i="1"/>
  <c r="AB414" i="1"/>
  <c r="AC414" i="1"/>
  <c r="AD414" i="1" s="1"/>
  <c r="AE414" i="1"/>
  <c r="AF414" i="1"/>
  <c r="AI414" i="1"/>
  <c r="AJ414" i="1"/>
  <c r="AL414" i="1"/>
  <c r="AM414" i="1"/>
  <c r="AN414" i="1"/>
  <c r="AO414" i="1"/>
  <c r="AP414" i="1"/>
  <c r="AQ414" i="1"/>
  <c r="AR414" i="1"/>
  <c r="AS414" i="1"/>
  <c r="AT414" i="1"/>
  <c r="AU414" i="1"/>
  <c r="AV414" i="1"/>
  <c r="AW414" i="1"/>
  <c r="AX414" i="1"/>
  <c r="AY414" i="1"/>
  <c r="AZ414" i="1"/>
  <c r="BA414" i="1"/>
  <c r="BB414" i="1"/>
  <c r="BC414" i="1"/>
  <c r="BD414" i="1"/>
  <c r="A415" i="1"/>
  <c r="B415" i="1"/>
  <c r="C415" i="1"/>
  <c r="D415" i="1"/>
  <c r="E415" i="1"/>
  <c r="F415" i="1"/>
  <c r="G415" i="1"/>
  <c r="H415" i="1"/>
  <c r="I415" i="1"/>
  <c r="J415" i="1"/>
  <c r="K415" i="1"/>
  <c r="L415" i="1"/>
  <c r="M415" i="1" s="1"/>
  <c r="N415" i="1"/>
  <c r="O415" i="1"/>
  <c r="P415" i="1"/>
  <c r="Q415" i="1"/>
  <c r="R415" i="1"/>
  <c r="S415" i="1" s="1"/>
  <c r="T415" i="1"/>
  <c r="U415" i="1"/>
  <c r="V415" i="1"/>
  <c r="W415" i="1"/>
  <c r="X415" i="1"/>
  <c r="Y415" i="1"/>
  <c r="Z415" i="1"/>
  <c r="AA415" i="1"/>
  <c r="AB415" i="1"/>
  <c r="AC415" i="1"/>
  <c r="AD415" i="1" s="1"/>
  <c r="AE415" i="1"/>
  <c r="AF415" i="1"/>
  <c r="AG415" i="1"/>
  <c r="AH415" i="1" s="1"/>
  <c r="AI415" i="1"/>
  <c r="AJ415" i="1"/>
  <c r="AL415" i="1"/>
  <c r="AM415" i="1"/>
  <c r="AN415" i="1"/>
  <c r="AO415" i="1"/>
  <c r="AP415" i="1"/>
  <c r="AQ415" i="1"/>
  <c r="AR415" i="1"/>
  <c r="AS415" i="1"/>
  <c r="AT415" i="1"/>
  <c r="AU415" i="1"/>
  <c r="AV415" i="1"/>
  <c r="AW415" i="1"/>
  <c r="AX415" i="1"/>
  <c r="AY415" i="1"/>
  <c r="AZ415" i="1"/>
  <c r="BA415" i="1"/>
  <c r="BB415" i="1"/>
  <c r="BC415" i="1"/>
  <c r="BD415" i="1"/>
  <c r="A416" i="1"/>
  <c r="B416" i="1"/>
  <c r="C416" i="1"/>
  <c r="D416" i="1"/>
  <c r="E416" i="1"/>
  <c r="F416" i="1"/>
  <c r="G416" i="1"/>
  <c r="H416" i="1"/>
  <c r="I416" i="1"/>
  <c r="J416" i="1"/>
  <c r="K416" i="1"/>
  <c r="M416" i="1"/>
  <c r="N416" i="1"/>
  <c r="O416" i="1"/>
  <c r="P416" i="1"/>
  <c r="Q416" i="1"/>
  <c r="R416" i="1"/>
  <c r="S416" i="1" s="1"/>
  <c r="T416" i="1"/>
  <c r="U416" i="1"/>
  <c r="V416" i="1"/>
  <c r="W416" i="1"/>
  <c r="X416" i="1"/>
  <c r="Y416" i="1"/>
  <c r="Z416" i="1"/>
  <c r="AA416" i="1"/>
  <c r="AB416" i="1"/>
  <c r="AC416" i="1"/>
  <c r="AD416" i="1" s="1"/>
  <c r="AE416" i="1"/>
  <c r="AF416" i="1"/>
  <c r="AI416" i="1"/>
  <c r="AJ416" i="1"/>
  <c r="AL416" i="1"/>
  <c r="AM416" i="1"/>
  <c r="AN416" i="1"/>
  <c r="AO416" i="1"/>
  <c r="AP416" i="1"/>
  <c r="AQ416" i="1"/>
  <c r="AR416" i="1"/>
  <c r="AS416" i="1"/>
  <c r="AT416" i="1"/>
  <c r="AU416" i="1"/>
  <c r="AV416" i="1"/>
  <c r="AW416" i="1"/>
  <c r="AX416" i="1"/>
  <c r="AY416" i="1"/>
  <c r="AZ416" i="1"/>
  <c r="BA416" i="1"/>
  <c r="BB416" i="1"/>
  <c r="BC416" i="1"/>
  <c r="BD416" i="1"/>
  <c r="A417" i="1"/>
  <c r="B417" i="1"/>
  <c r="C417" i="1"/>
  <c r="D417" i="1"/>
  <c r="E417" i="1"/>
  <c r="F417" i="1"/>
  <c r="G417" i="1"/>
  <c r="H417" i="1"/>
  <c r="I417" i="1"/>
  <c r="J417" i="1"/>
  <c r="K417" i="1"/>
  <c r="L417" i="1"/>
  <c r="M417" i="1" s="1"/>
  <c r="N417" i="1"/>
  <c r="O417" i="1"/>
  <c r="P417" i="1"/>
  <c r="Q417" i="1"/>
  <c r="R417" i="1"/>
  <c r="S417" i="1" s="1"/>
  <c r="T417" i="1"/>
  <c r="U417" i="1"/>
  <c r="V417" i="1"/>
  <c r="W417" i="1"/>
  <c r="X417" i="1"/>
  <c r="Y417" i="1"/>
  <c r="Z417" i="1"/>
  <c r="AA417" i="1"/>
  <c r="AB417" i="1"/>
  <c r="AC417" i="1"/>
  <c r="AD417" i="1" s="1"/>
  <c r="AE417" i="1"/>
  <c r="AF417" i="1"/>
  <c r="AG417" i="1"/>
  <c r="AH417" i="1" s="1"/>
  <c r="AI417" i="1"/>
  <c r="AJ417" i="1"/>
  <c r="AL417" i="1"/>
  <c r="AM417" i="1"/>
  <c r="AN417" i="1"/>
  <c r="AO417" i="1"/>
  <c r="AP417" i="1"/>
  <c r="AQ417" i="1"/>
  <c r="AR417" i="1"/>
  <c r="AS417" i="1"/>
  <c r="AT417" i="1"/>
  <c r="AU417" i="1"/>
  <c r="AV417" i="1"/>
  <c r="AW417" i="1"/>
  <c r="AX417" i="1"/>
  <c r="AY417" i="1"/>
  <c r="AZ417" i="1"/>
  <c r="BA417" i="1"/>
  <c r="BB417" i="1"/>
  <c r="BC417" i="1"/>
  <c r="BD417" i="1"/>
  <c r="A418" i="1"/>
  <c r="B418" i="1"/>
  <c r="C418" i="1"/>
  <c r="D418" i="1"/>
  <c r="E418" i="1"/>
  <c r="F418" i="1"/>
  <c r="G418" i="1"/>
  <c r="H418" i="1"/>
  <c r="I418" i="1"/>
  <c r="J418" i="1"/>
  <c r="K418" i="1"/>
  <c r="L418" i="1"/>
  <c r="M418" i="1" s="1"/>
  <c r="N418" i="1"/>
  <c r="O418" i="1"/>
  <c r="P418" i="1"/>
  <c r="Q418" i="1"/>
  <c r="R418" i="1"/>
  <c r="S418" i="1" s="1"/>
  <c r="T418" i="1"/>
  <c r="U418" i="1"/>
  <c r="V418" i="1"/>
  <c r="W418" i="1"/>
  <c r="X418" i="1"/>
  <c r="Y418" i="1"/>
  <c r="Z418" i="1"/>
  <c r="AA418" i="1"/>
  <c r="AB418" i="1"/>
  <c r="AC418" i="1"/>
  <c r="AD418" i="1" s="1"/>
  <c r="AE418" i="1"/>
  <c r="AF418" i="1"/>
  <c r="AG418" i="1"/>
  <c r="AH418" i="1" s="1"/>
  <c r="AI418" i="1"/>
  <c r="AJ418" i="1"/>
  <c r="AL418" i="1"/>
  <c r="AM418" i="1"/>
  <c r="AN418" i="1"/>
  <c r="AO418" i="1"/>
  <c r="AP418" i="1"/>
  <c r="AQ418" i="1"/>
  <c r="AR418" i="1"/>
  <c r="AS418" i="1"/>
  <c r="AT418" i="1"/>
  <c r="AU418" i="1"/>
  <c r="AV418" i="1"/>
  <c r="AW418" i="1"/>
  <c r="AX418" i="1"/>
  <c r="AY418" i="1"/>
  <c r="AZ418" i="1"/>
  <c r="BA418" i="1"/>
  <c r="BB418" i="1"/>
  <c r="BC418" i="1"/>
  <c r="BD418" i="1"/>
  <c r="A419" i="1"/>
  <c r="B419" i="1"/>
  <c r="C419" i="1"/>
  <c r="D419" i="1"/>
  <c r="E419" i="1"/>
  <c r="F419" i="1"/>
  <c r="G419" i="1"/>
  <c r="H419" i="1"/>
  <c r="I419" i="1"/>
  <c r="J419" i="1"/>
  <c r="K419" i="1"/>
  <c r="L419" i="1"/>
  <c r="M419" i="1" s="1"/>
  <c r="N419" i="1"/>
  <c r="O419" i="1"/>
  <c r="P419" i="1"/>
  <c r="Q419" i="1"/>
  <c r="R419" i="1"/>
  <c r="S419" i="1" s="1"/>
  <c r="T419" i="1"/>
  <c r="U419" i="1"/>
  <c r="V419" i="1"/>
  <c r="W419" i="1"/>
  <c r="X419" i="1"/>
  <c r="Y419" i="1"/>
  <c r="Z419" i="1"/>
  <c r="AA419" i="1"/>
  <c r="AB419" i="1"/>
  <c r="AC419" i="1"/>
  <c r="AD419" i="1" s="1"/>
  <c r="AE419" i="1"/>
  <c r="AF419" i="1"/>
  <c r="AG419" i="1"/>
  <c r="AH419" i="1" s="1"/>
  <c r="AI419" i="1"/>
  <c r="AJ419" i="1"/>
  <c r="AL419" i="1"/>
  <c r="AM419" i="1"/>
  <c r="AN419" i="1"/>
  <c r="AO419" i="1"/>
  <c r="AP419" i="1"/>
  <c r="AQ419" i="1"/>
  <c r="AR419" i="1"/>
  <c r="AS419" i="1"/>
  <c r="AT419" i="1"/>
  <c r="AU419" i="1"/>
  <c r="AV419" i="1"/>
  <c r="AW419" i="1"/>
  <c r="AX419" i="1"/>
  <c r="AY419" i="1"/>
  <c r="AZ419" i="1"/>
  <c r="BA419" i="1"/>
  <c r="BB419" i="1"/>
  <c r="BC419" i="1"/>
  <c r="BD419" i="1"/>
  <c r="A420" i="1"/>
  <c r="B420" i="1"/>
  <c r="C420" i="1"/>
  <c r="D420" i="1"/>
  <c r="E420" i="1"/>
  <c r="F420" i="1"/>
  <c r="G420" i="1"/>
  <c r="H420" i="1"/>
  <c r="I420" i="1"/>
  <c r="J420" i="1"/>
  <c r="K420" i="1"/>
  <c r="L420" i="1"/>
  <c r="M420" i="1" s="1"/>
  <c r="N420" i="1"/>
  <c r="O420" i="1"/>
  <c r="P420" i="1"/>
  <c r="Q420" i="1"/>
  <c r="R420" i="1"/>
  <c r="S420" i="1" s="1"/>
  <c r="T420" i="1"/>
  <c r="U420" i="1"/>
  <c r="V420" i="1"/>
  <c r="W420" i="1"/>
  <c r="X420" i="1"/>
  <c r="Y420" i="1"/>
  <c r="Z420" i="1"/>
  <c r="AA420" i="1"/>
  <c r="AB420" i="1"/>
  <c r="AC420" i="1"/>
  <c r="AD420" i="1" s="1"/>
  <c r="AE420" i="1"/>
  <c r="AF420" i="1"/>
  <c r="AG420" i="1"/>
  <c r="AH420" i="1" s="1"/>
  <c r="AI420" i="1"/>
  <c r="AJ420" i="1"/>
  <c r="AL420" i="1"/>
  <c r="AM420" i="1"/>
  <c r="AN420" i="1"/>
  <c r="AO420" i="1"/>
  <c r="AP420" i="1"/>
  <c r="AQ420" i="1"/>
  <c r="AR420" i="1"/>
  <c r="AS420" i="1"/>
  <c r="AT420" i="1"/>
  <c r="AU420" i="1"/>
  <c r="AV420" i="1"/>
  <c r="AW420" i="1"/>
  <c r="AX420" i="1"/>
  <c r="AY420" i="1"/>
  <c r="AZ420" i="1"/>
  <c r="BA420" i="1"/>
  <c r="BB420" i="1"/>
  <c r="BC420" i="1"/>
  <c r="BD420" i="1"/>
  <c r="A421" i="1"/>
  <c r="B421" i="1"/>
  <c r="C421" i="1"/>
  <c r="D421" i="1"/>
  <c r="E421" i="1"/>
  <c r="F421" i="1"/>
  <c r="G421" i="1"/>
  <c r="H421" i="1"/>
  <c r="I421" i="1"/>
  <c r="J421" i="1"/>
  <c r="K421" i="1"/>
  <c r="M421" i="1"/>
  <c r="N421" i="1"/>
  <c r="O421" i="1"/>
  <c r="P421" i="1"/>
  <c r="Q421" i="1"/>
  <c r="R421" i="1"/>
  <c r="S421" i="1" s="1"/>
  <c r="T421" i="1"/>
  <c r="U421" i="1"/>
  <c r="V421" i="1"/>
  <c r="W421" i="1"/>
  <c r="X421" i="1"/>
  <c r="Y421" i="1"/>
  <c r="Z421" i="1"/>
  <c r="AA421" i="1"/>
  <c r="AB421" i="1"/>
  <c r="AC421" i="1"/>
  <c r="AD421" i="1" s="1"/>
  <c r="AE421" i="1"/>
  <c r="AF421" i="1"/>
  <c r="AI421" i="1"/>
  <c r="AJ421" i="1"/>
  <c r="AL421" i="1"/>
  <c r="AM421" i="1"/>
  <c r="AN421" i="1"/>
  <c r="AO421" i="1"/>
  <c r="AP421" i="1"/>
  <c r="AQ421" i="1"/>
  <c r="AR421" i="1"/>
  <c r="AS421" i="1"/>
  <c r="AT421" i="1"/>
  <c r="AU421" i="1"/>
  <c r="AV421" i="1"/>
  <c r="AW421" i="1"/>
  <c r="AX421" i="1"/>
  <c r="AY421" i="1"/>
  <c r="AZ421" i="1"/>
  <c r="BA421" i="1"/>
  <c r="BB421" i="1"/>
  <c r="BC421" i="1"/>
  <c r="BD421" i="1"/>
  <c r="A422" i="1"/>
  <c r="B422" i="1"/>
  <c r="C422" i="1"/>
  <c r="D422" i="1"/>
  <c r="E422" i="1"/>
  <c r="F422" i="1"/>
  <c r="G422" i="1"/>
  <c r="H422" i="1"/>
  <c r="I422" i="1"/>
  <c r="J422" i="1"/>
  <c r="K422" i="1"/>
  <c r="L422" i="1"/>
  <c r="M422" i="1" s="1"/>
  <c r="N422" i="1"/>
  <c r="O422" i="1"/>
  <c r="P422" i="1"/>
  <c r="Q422" i="1"/>
  <c r="R422" i="1"/>
  <c r="S422" i="1" s="1"/>
  <c r="T422" i="1"/>
  <c r="U422" i="1"/>
  <c r="V422" i="1"/>
  <c r="W422" i="1"/>
  <c r="X422" i="1"/>
  <c r="Y422" i="1"/>
  <c r="Z422" i="1"/>
  <c r="AA422" i="1"/>
  <c r="AB422" i="1"/>
  <c r="AC422" i="1"/>
  <c r="AD422" i="1" s="1"/>
  <c r="AE422" i="1"/>
  <c r="AF422" i="1"/>
  <c r="AG422" i="1"/>
  <c r="AH422" i="1" s="1"/>
  <c r="AI422" i="1"/>
  <c r="AJ422" i="1"/>
  <c r="AL422" i="1"/>
  <c r="AM422" i="1"/>
  <c r="AN422" i="1"/>
  <c r="AO422" i="1"/>
  <c r="AP422" i="1"/>
  <c r="AQ422" i="1"/>
  <c r="AR422" i="1"/>
  <c r="AS422" i="1"/>
  <c r="AT422" i="1"/>
  <c r="AU422" i="1"/>
  <c r="AV422" i="1"/>
  <c r="AW422" i="1"/>
  <c r="AX422" i="1"/>
  <c r="AY422" i="1"/>
  <c r="AZ422" i="1"/>
  <c r="BA422" i="1"/>
  <c r="BB422" i="1"/>
  <c r="BC422" i="1"/>
  <c r="BD422" i="1"/>
  <c r="A423" i="1"/>
  <c r="B423" i="1"/>
  <c r="C423" i="1"/>
  <c r="D423" i="1"/>
  <c r="E423" i="1"/>
  <c r="F423" i="1"/>
  <c r="G423" i="1"/>
  <c r="H423" i="1"/>
  <c r="I423" i="1"/>
  <c r="J423" i="1"/>
  <c r="K423" i="1"/>
  <c r="L423" i="1"/>
  <c r="M423" i="1" s="1"/>
  <c r="N423" i="1"/>
  <c r="O423" i="1"/>
  <c r="P423" i="1"/>
  <c r="Q423" i="1"/>
  <c r="R423" i="1"/>
  <c r="S423" i="1" s="1"/>
  <c r="T423" i="1"/>
  <c r="U423" i="1"/>
  <c r="V423" i="1"/>
  <c r="W423" i="1"/>
  <c r="X423" i="1"/>
  <c r="Y423" i="1"/>
  <c r="Z423" i="1"/>
  <c r="AA423" i="1"/>
  <c r="AB423" i="1"/>
  <c r="AC423" i="1"/>
  <c r="AD423" i="1" s="1"/>
  <c r="AE423" i="1"/>
  <c r="AF423" i="1"/>
  <c r="AG423" i="1"/>
  <c r="AH423" i="1" s="1"/>
  <c r="AI423" i="1"/>
  <c r="AJ423" i="1"/>
  <c r="AL423" i="1"/>
  <c r="AM423" i="1"/>
  <c r="AN423" i="1"/>
  <c r="AO423" i="1"/>
  <c r="AP423" i="1"/>
  <c r="AQ423" i="1"/>
  <c r="AR423" i="1"/>
  <c r="AS423" i="1"/>
  <c r="AT423" i="1"/>
  <c r="AU423" i="1"/>
  <c r="AV423" i="1"/>
  <c r="AW423" i="1"/>
  <c r="AX423" i="1"/>
  <c r="AY423" i="1"/>
  <c r="AZ423" i="1"/>
  <c r="BA423" i="1"/>
  <c r="BB423" i="1"/>
  <c r="BC423" i="1"/>
  <c r="BD423" i="1"/>
  <c r="A424" i="1"/>
  <c r="B424" i="1"/>
  <c r="C424" i="1"/>
  <c r="D424" i="1"/>
  <c r="E424" i="1"/>
  <c r="F424" i="1"/>
  <c r="G424" i="1"/>
  <c r="H424" i="1"/>
  <c r="I424" i="1"/>
  <c r="J424" i="1"/>
  <c r="K424" i="1"/>
  <c r="M424" i="1"/>
  <c r="N424" i="1"/>
  <c r="O424" i="1"/>
  <c r="P424" i="1"/>
  <c r="Q424" i="1"/>
  <c r="R424" i="1"/>
  <c r="S424" i="1" s="1"/>
  <c r="T424" i="1"/>
  <c r="U424" i="1"/>
  <c r="V424" i="1"/>
  <c r="W424" i="1"/>
  <c r="X424" i="1"/>
  <c r="Y424" i="1"/>
  <c r="Z424" i="1"/>
  <c r="AA424" i="1"/>
  <c r="AB424" i="1"/>
  <c r="AD424" i="1"/>
  <c r="AE424" i="1"/>
  <c r="AF424" i="1"/>
  <c r="AG424" i="1"/>
  <c r="AH424" i="1" s="1"/>
  <c r="AI424" i="1"/>
  <c r="AL424" i="1"/>
  <c r="AM424" i="1"/>
  <c r="AN424" i="1"/>
  <c r="AO424" i="1"/>
  <c r="AP424" i="1"/>
  <c r="AQ424" i="1"/>
  <c r="AR424" i="1"/>
  <c r="AS424" i="1"/>
  <c r="AT424" i="1"/>
  <c r="AU424" i="1"/>
  <c r="AV424" i="1"/>
  <c r="AW424" i="1"/>
  <c r="AX424" i="1"/>
  <c r="AY424" i="1"/>
  <c r="AZ424" i="1"/>
  <c r="BA424" i="1"/>
  <c r="BB424" i="1"/>
  <c r="BC424" i="1"/>
  <c r="BD424" i="1"/>
  <c r="A425" i="1"/>
  <c r="B425" i="1"/>
  <c r="C425" i="1"/>
  <c r="D425" i="1"/>
  <c r="E425" i="1"/>
  <c r="F425" i="1"/>
  <c r="G425" i="1"/>
  <c r="H425" i="1"/>
  <c r="I425" i="1"/>
  <c r="J425" i="1"/>
  <c r="K425" i="1"/>
  <c r="M425" i="1"/>
  <c r="N425" i="1"/>
  <c r="O425" i="1"/>
  <c r="P425" i="1"/>
  <c r="Q425" i="1"/>
  <c r="R425" i="1"/>
  <c r="S425" i="1" s="1"/>
  <c r="T425" i="1"/>
  <c r="U425" i="1"/>
  <c r="V425" i="1"/>
  <c r="W425" i="1"/>
  <c r="X425" i="1"/>
  <c r="Y425" i="1"/>
  <c r="Z425" i="1"/>
  <c r="AA425" i="1"/>
  <c r="AB425" i="1"/>
  <c r="AC425" i="1"/>
  <c r="AD425" i="1" s="1"/>
  <c r="AE425" i="1"/>
  <c r="AF425" i="1"/>
  <c r="AG425" i="1"/>
  <c r="AH425" i="1" s="1"/>
  <c r="AI425" i="1"/>
  <c r="AJ425" i="1"/>
  <c r="AL425" i="1"/>
  <c r="AM425" i="1"/>
  <c r="AN425" i="1"/>
  <c r="AO425" i="1"/>
  <c r="AP425" i="1"/>
  <c r="AQ425" i="1"/>
  <c r="AR425" i="1"/>
  <c r="AS425" i="1"/>
  <c r="AT425" i="1"/>
  <c r="AU425" i="1"/>
  <c r="AV425" i="1"/>
  <c r="AW425" i="1"/>
  <c r="AX425" i="1"/>
  <c r="AY425" i="1"/>
  <c r="AZ425" i="1"/>
  <c r="BA425" i="1"/>
  <c r="BB425" i="1"/>
  <c r="BC425" i="1"/>
  <c r="BD425" i="1"/>
  <c r="A426" i="1"/>
  <c r="B426" i="1"/>
  <c r="C426" i="1"/>
  <c r="D426" i="1"/>
  <c r="E426" i="1"/>
  <c r="F426" i="1"/>
  <c r="G426" i="1"/>
  <c r="H426" i="1"/>
  <c r="I426" i="1"/>
  <c r="J426" i="1"/>
  <c r="K426" i="1"/>
  <c r="L426" i="1"/>
  <c r="M426" i="1" s="1"/>
  <c r="N426" i="1"/>
  <c r="O426" i="1"/>
  <c r="P426" i="1"/>
  <c r="Q426" i="1"/>
  <c r="R426" i="1"/>
  <c r="S426" i="1" s="1"/>
  <c r="T426" i="1"/>
  <c r="U426" i="1"/>
  <c r="V426" i="1"/>
  <c r="W426" i="1"/>
  <c r="X426" i="1"/>
  <c r="Y426" i="1"/>
  <c r="Z426" i="1"/>
  <c r="AA426" i="1"/>
  <c r="AB426" i="1"/>
  <c r="AC426" i="1"/>
  <c r="AD426" i="1" s="1"/>
  <c r="AE426" i="1"/>
  <c r="AF426" i="1"/>
  <c r="AG426" i="1"/>
  <c r="AH426" i="1" s="1"/>
  <c r="AI426" i="1"/>
  <c r="AJ426" i="1"/>
  <c r="AL426" i="1"/>
  <c r="AM426" i="1"/>
  <c r="AN426" i="1"/>
  <c r="AO426" i="1"/>
  <c r="AP426" i="1"/>
  <c r="AQ426" i="1"/>
  <c r="AR426" i="1"/>
  <c r="AS426" i="1"/>
  <c r="AT426" i="1"/>
  <c r="AU426" i="1"/>
  <c r="AV426" i="1"/>
  <c r="AW426" i="1"/>
  <c r="AX426" i="1"/>
  <c r="AY426" i="1"/>
  <c r="AZ426" i="1"/>
  <c r="BA426" i="1"/>
  <c r="BB426" i="1"/>
  <c r="BC426" i="1"/>
  <c r="BD426" i="1"/>
  <c r="A427" i="1"/>
  <c r="B427" i="1"/>
  <c r="C427" i="1"/>
  <c r="D427" i="1"/>
  <c r="E427" i="1"/>
  <c r="F427" i="1"/>
  <c r="G427" i="1"/>
  <c r="H427" i="1"/>
  <c r="I427" i="1"/>
  <c r="J427" i="1"/>
  <c r="K427" i="1"/>
  <c r="L427" i="1"/>
  <c r="M427" i="1" s="1"/>
  <c r="N427" i="1"/>
  <c r="O427" i="1"/>
  <c r="P427" i="1"/>
  <c r="Q427" i="1"/>
  <c r="R427" i="1"/>
  <c r="S427" i="1" s="1"/>
  <c r="T427" i="1"/>
  <c r="U427" i="1"/>
  <c r="V427" i="1"/>
  <c r="W427" i="1"/>
  <c r="X427" i="1"/>
  <c r="Y427" i="1"/>
  <c r="Z427" i="1"/>
  <c r="AA427" i="1"/>
  <c r="AB427" i="1"/>
  <c r="AC427" i="1"/>
  <c r="AD427" i="1" s="1"/>
  <c r="AE427" i="1"/>
  <c r="AF427" i="1"/>
  <c r="AG427" i="1"/>
  <c r="AH427" i="1" s="1"/>
  <c r="AI427" i="1"/>
  <c r="AJ427" i="1"/>
  <c r="AL427" i="1"/>
  <c r="AM427" i="1"/>
  <c r="AN427" i="1"/>
  <c r="AO427" i="1"/>
  <c r="AP427" i="1"/>
  <c r="AQ427" i="1"/>
  <c r="AR427" i="1"/>
  <c r="AS427" i="1"/>
  <c r="AT427" i="1"/>
  <c r="AU427" i="1"/>
  <c r="AV427" i="1"/>
  <c r="AW427" i="1"/>
  <c r="AX427" i="1"/>
  <c r="AY427" i="1"/>
  <c r="AZ427" i="1"/>
  <c r="BA427" i="1"/>
  <c r="BB427" i="1"/>
  <c r="BC427" i="1"/>
  <c r="BD427" i="1"/>
  <c r="A428" i="1"/>
  <c r="B428" i="1"/>
  <c r="C428" i="1"/>
  <c r="D428" i="1"/>
  <c r="E428" i="1"/>
  <c r="F428" i="1"/>
  <c r="G428" i="1"/>
  <c r="H428" i="1"/>
  <c r="I428" i="1"/>
  <c r="J428" i="1"/>
  <c r="K428" i="1"/>
  <c r="L428" i="1"/>
  <c r="M428" i="1" s="1"/>
  <c r="N428" i="1"/>
  <c r="O428" i="1"/>
  <c r="P428" i="1"/>
  <c r="Q428" i="1"/>
  <c r="R428" i="1"/>
  <c r="S428" i="1" s="1"/>
  <c r="T428" i="1"/>
  <c r="U428" i="1"/>
  <c r="V428" i="1"/>
  <c r="W428" i="1"/>
  <c r="X428" i="1"/>
  <c r="Y428" i="1"/>
  <c r="Z428" i="1"/>
  <c r="AA428" i="1"/>
  <c r="AB428" i="1"/>
  <c r="AC428" i="1"/>
  <c r="AD428" i="1" s="1"/>
  <c r="AE428" i="1"/>
  <c r="AF428" i="1"/>
  <c r="AG428" i="1"/>
  <c r="AH428" i="1" s="1"/>
  <c r="AI428" i="1"/>
  <c r="AJ428" i="1"/>
  <c r="AL428" i="1"/>
  <c r="AM428" i="1"/>
  <c r="AN428" i="1"/>
  <c r="AO428" i="1"/>
  <c r="AP428" i="1"/>
  <c r="AQ428" i="1"/>
  <c r="AR428" i="1"/>
  <c r="AS428" i="1"/>
  <c r="AT428" i="1"/>
  <c r="AU428" i="1"/>
  <c r="AV428" i="1"/>
  <c r="AW428" i="1"/>
  <c r="AX428" i="1"/>
  <c r="AY428" i="1"/>
  <c r="AZ428" i="1"/>
  <c r="BA428" i="1"/>
  <c r="BB428" i="1"/>
  <c r="BC428" i="1"/>
  <c r="BD428" i="1"/>
  <c r="A429" i="1"/>
  <c r="B429" i="1"/>
  <c r="C429" i="1"/>
  <c r="D429" i="1"/>
  <c r="E429" i="1"/>
  <c r="F429" i="1"/>
  <c r="G429" i="1"/>
  <c r="H429" i="1"/>
  <c r="I429" i="1"/>
  <c r="J429" i="1"/>
  <c r="K429" i="1"/>
  <c r="M429" i="1"/>
  <c r="N429" i="1"/>
  <c r="O429" i="1"/>
  <c r="P429" i="1"/>
  <c r="Q429" i="1"/>
  <c r="R429" i="1"/>
  <c r="S429" i="1" s="1"/>
  <c r="T429" i="1"/>
  <c r="U429" i="1"/>
  <c r="V429" i="1"/>
  <c r="W429" i="1"/>
  <c r="X429" i="1"/>
  <c r="Y429" i="1"/>
  <c r="Z429" i="1"/>
  <c r="AA429" i="1"/>
  <c r="AB429" i="1"/>
  <c r="AC429" i="1"/>
  <c r="AD429" i="1" s="1"/>
  <c r="AE429" i="1"/>
  <c r="AF429" i="1"/>
  <c r="AG429" i="1"/>
  <c r="AH429" i="1" s="1"/>
  <c r="AI429" i="1"/>
  <c r="AJ429" i="1"/>
  <c r="AL429" i="1"/>
  <c r="AM429" i="1"/>
  <c r="AN429" i="1"/>
  <c r="AO429" i="1"/>
  <c r="AP429" i="1"/>
  <c r="AQ429" i="1"/>
  <c r="AR429" i="1"/>
  <c r="AS429" i="1"/>
  <c r="AT429" i="1"/>
  <c r="AU429" i="1"/>
  <c r="AV429" i="1"/>
  <c r="AW429" i="1"/>
  <c r="AX429" i="1"/>
  <c r="AY429" i="1"/>
  <c r="AZ429" i="1"/>
  <c r="BA429" i="1"/>
  <c r="BB429" i="1"/>
  <c r="BC429" i="1"/>
  <c r="BD429" i="1"/>
  <c r="A430" i="1"/>
  <c r="B430" i="1"/>
  <c r="C430" i="1"/>
  <c r="D430" i="1"/>
  <c r="E430" i="1"/>
  <c r="F430" i="1"/>
  <c r="G430" i="1"/>
  <c r="H430" i="1"/>
  <c r="I430" i="1"/>
  <c r="J430" i="1"/>
  <c r="K430" i="1"/>
  <c r="L430" i="1"/>
  <c r="M430" i="1" s="1"/>
  <c r="N430" i="1"/>
  <c r="O430" i="1"/>
  <c r="P430" i="1"/>
  <c r="Q430" i="1"/>
  <c r="R430" i="1"/>
  <c r="S430" i="1" s="1"/>
  <c r="T430" i="1"/>
  <c r="U430" i="1"/>
  <c r="V430" i="1"/>
  <c r="W430" i="1"/>
  <c r="X430" i="1"/>
  <c r="Y430" i="1"/>
  <c r="Z430" i="1"/>
  <c r="AA430" i="1"/>
  <c r="AB430" i="1"/>
  <c r="AC430" i="1"/>
  <c r="AD430" i="1" s="1"/>
  <c r="AE430" i="1"/>
  <c r="AF430" i="1"/>
  <c r="AG430" i="1"/>
  <c r="AH430" i="1" s="1"/>
  <c r="AI430" i="1"/>
  <c r="AL430" i="1"/>
  <c r="AM430" i="1"/>
  <c r="AN430" i="1"/>
  <c r="AO430" i="1"/>
  <c r="AP430" i="1"/>
  <c r="AQ430" i="1"/>
  <c r="AR430" i="1"/>
  <c r="AS430" i="1"/>
  <c r="AT430" i="1"/>
  <c r="AU430" i="1"/>
  <c r="AV430" i="1"/>
  <c r="AW430" i="1"/>
  <c r="AX430" i="1"/>
  <c r="AY430" i="1"/>
  <c r="AZ430" i="1"/>
  <c r="BA430" i="1"/>
  <c r="BB430" i="1"/>
  <c r="BC430" i="1"/>
  <c r="BD430" i="1"/>
  <c r="A431" i="1"/>
  <c r="B431" i="1"/>
  <c r="C431" i="1"/>
  <c r="D431" i="1"/>
  <c r="E431" i="1"/>
  <c r="F431" i="1"/>
  <c r="G431" i="1"/>
  <c r="H431" i="1"/>
  <c r="I431" i="1"/>
  <c r="J431" i="1"/>
  <c r="K431" i="1"/>
  <c r="L431" i="1"/>
  <c r="M431" i="1" s="1"/>
  <c r="N431" i="1"/>
  <c r="O431" i="1"/>
  <c r="P431" i="1"/>
  <c r="Q431" i="1"/>
  <c r="S431" i="1"/>
  <c r="T431" i="1"/>
  <c r="U431" i="1"/>
  <c r="V431" i="1"/>
  <c r="W431" i="1"/>
  <c r="X431" i="1"/>
  <c r="Y431" i="1"/>
  <c r="Z431" i="1"/>
  <c r="AA431" i="1"/>
  <c r="AB431" i="1"/>
  <c r="AC431" i="1"/>
  <c r="AD431" i="1" s="1"/>
  <c r="AE431" i="1"/>
  <c r="AF431" i="1"/>
  <c r="AG431" i="1"/>
  <c r="AH431" i="1" s="1"/>
  <c r="AI431" i="1"/>
  <c r="AL431" i="1"/>
  <c r="AM431" i="1"/>
  <c r="AN431" i="1"/>
  <c r="AO431" i="1"/>
  <c r="AP431" i="1"/>
  <c r="AQ431" i="1"/>
  <c r="AR431" i="1"/>
  <c r="AS431" i="1"/>
  <c r="AT431" i="1"/>
  <c r="AU431" i="1"/>
  <c r="AV431" i="1"/>
  <c r="AW431" i="1"/>
  <c r="AX431" i="1"/>
  <c r="AY431" i="1"/>
  <c r="AZ431" i="1"/>
  <c r="BA431" i="1"/>
  <c r="BB431" i="1"/>
  <c r="BC431" i="1"/>
  <c r="BD431" i="1"/>
  <c r="A432" i="1"/>
  <c r="B432" i="1"/>
  <c r="C432" i="1"/>
  <c r="D432" i="1"/>
  <c r="E432" i="1"/>
  <c r="F432" i="1"/>
  <c r="G432" i="1"/>
  <c r="H432" i="1"/>
  <c r="I432" i="1"/>
  <c r="J432" i="1"/>
  <c r="K432" i="1"/>
  <c r="M432" i="1"/>
  <c r="N432" i="1"/>
  <c r="O432" i="1"/>
  <c r="P432" i="1"/>
  <c r="Q432" i="1"/>
  <c r="R432" i="1"/>
  <c r="S432" i="1" s="1"/>
  <c r="T432" i="1"/>
  <c r="U432" i="1"/>
  <c r="V432" i="1"/>
  <c r="W432" i="1"/>
  <c r="X432" i="1"/>
  <c r="Y432" i="1"/>
  <c r="Z432" i="1"/>
  <c r="AA432" i="1"/>
  <c r="AB432" i="1"/>
  <c r="AC432" i="1"/>
  <c r="AD432" i="1" s="1"/>
  <c r="AE432" i="1"/>
  <c r="AF432" i="1"/>
  <c r="AG432" i="1"/>
  <c r="AH432" i="1" s="1"/>
  <c r="AI432" i="1"/>
  <c r="AJ432" i="1"/>
  <c r="AL432" i="1"/>
  <c r="AM432" i="1"/>
  <c r="AN432" i="1"/>
  <c r="AO432" i="1"/>
  <c r="AP432" i="1"/>
  <c r="AQ432" i="1"/>
  <c r="AR432" i="1"/>
  <c r="AS432" i="1"/>
  <c r="AT432" i="1"/>
  <c r="AU432" i="1"/>
  <c r="AV432" i="1"/>
  <c r="AW432" i="1"/>
  <c r="AX432" i="1"/>
  <c r="AY432" i="1"/>
  <c r="AZ432" i="1"/>
  <c r="BA432" i="1"/>
  <c r="BB432" i="1"/>
  <c r="BC432" i="1"/>
  <c r="BD432" i="1"/>
  <c r="A433" i="1"/>
  <c r="B433" i="1"/>
  <c r="C433" i="1"/>
  <c r="D433" i="1"/>
  <c r="E433" i="1"/>
  <c r="F433" i="1"/>
  <c r="G433" i="1"/>
  <c r="H433" i="1"/>
  <c r="I433" i="1"/>
  <c r="J433" i="1"/>
  <c r="K433" i="1"/>
  <c r="L433" i="1"/>
  <c r="M433" i="1" s="1"/>
  <c r="N433" i="1"/>
  <c r="O433" i="1"/>
  <c r="P433" i="1"/>
  <c r="Q433" i="1"/>
  <c r="R433" i="1"/>
  <c r="S433" i="1" s="1"/>
  <c r="T433" i="1"/>
  <c r="U433" i="1"/>
  <c r="V433" i="1"/>
  <c r="W433" i="1"/>
  <c r="X433" i="1"/>
  <c r="Y433" i="1"/>
  <c r="Z433" i="1"/>
  <c r="AA433" i="1"/>
  <c r="AB433" i="1"/>
  <c r="AC433" i="1"/>
  <c r="AD433" i="1" s="1"/>
  <c r="AE433" i="1"/>
  <c r="AF433" i="1"/>
  <c r="AG433" i="1"/>
  <c r="AH433" i="1" s="1"/>
  <c r="AI433" i="1"/>
  <c r="AJ433" i="1"/>
  <c r="AL433" i="1"/>
  <c r="AM433" i="1"/>
  <c r="AN433" i="1"/>
  <c r="AO433" i="1"/>
  <c r="AP433" i="1"/>
  <c r="AQ433" i="1"/>
  <c r="AR433" i="1"/>
  <c r="AS433" i="1"/>
  <c r="AT433" i="1"/>
  <c r="AU433" i="1"/>
  <c r="AV433" i="1"/>
  <c r="AW433" i="1"/>
  <c r="AX433" i="1"/>
  <c r="AY433" i="1"/>
  <c r="AZ433" i="1"/>
  <c r="BA433" i="1"/>
  <c r="BB433" i="1"/>
  <c r="BC433" i="1"/>
  <c r="BD433" i="1"/>
  <c r="A434" i="1"/>
  <c r="B434" i="1"/>
  <c r="C434" i="1"/>
  <c r="D434" i="1"/>
  <c r="E434" i="1"/>
  <c r="F434" i="1"/>
  <c r="G434" i="1"/>
  <c r="H434" i="1"/>
  <c r="I434" i="1"/>
  <c r="J434" i="1"/>
  <c r="K434" i="1"/>
  <c r="L434" i="1"/>
  <c r="M434" i="1" s="1"/>
  <c r="N434" i="1"/>
  <c r="O434" i="1"/>
  <c r="P434" i="1"/>
  <c r="Q434" i="1"/>
  <c r="S434" i="1"/>
  <c r="T434" i="1"/>
  <c r="U434" i="1"/>
  <c r="V434" i="1"/>
  <c r="W434" i="1"/>
  <c r="X434" i="1"/>
  <c r="Y434" i="1"/>
  <c r="Z434" i="1"/>
  <c r="AA434" i="1"/>
  <c r="AB434" i="1"/>
  <c r="AC434" i="1"/>
  <c r="AD434" i="1" s="1"/>
  <c r="AE434" i="1"/>
  <c r="AF434" i="1"/>
  <c r="AI434" i="1"/>
  <c r="AL434" i="1"/>
  <c r="AM434" i="1"/>
  <c r="AN434" i="1"/>
  <c r="AO434" i="1"/>
  <c r="AP434" i="1"/>
  <c r="AQ434" i="1"/>
  <c r="AR434" i="1"/>
  <c r="AS434" i="1"/>
  <c r="AT434" i="1"/>
  <c r="AU434" i="1"/>
  <c r="AV434" i="1"/>
  <c r="AW434" i="1"/>
  <c r="AX434" i="1"/>
  <c r="AY434" i="1"/>
  <c r="AZ434" i="1"/>
  <c r="BA434" i="1"/>
  <c r="BB434" i="1"/>
  <c r="BC434" i="1"/>
  <c r="BD434" i="1"/>
  <c r="A435" i="1"/>
  <c r="B435" i="1"/>
  <c r="C435" i="1"/>
  <c r="D435" i="1"/>
  <c r="E435" i="1"/>
  <c r="F435" i="1"/>
  <c r="G435" i="1"/>
  <c r="H435" i="1"/>
  <c r="I435" i="1"/>
  <c r="J435" i="1"/>
  <c r="K435" i="1"/>
  <c r="M435" i="1"/>
  <c r="N435" i="1"/>
  <c r="O435" i="1"/>
  <c r="P435" i="1"/>
  <c r="Q435" i="1"/>
  <c r="S435" i="1"/>
  <c r="T435" i="1"/>
  <c r="U435" i="1"/>
  <c r="V435" i="1"/>
  <c r="W435" i="1"/>
  <c r="X435" i="1"/>
  <c r="Y435" i="1"/>
  <c r="Z435" i="1"/>
  <c r="AA435" i="1"/>
  <c r="AB435" i="1"/>
  <c r="AC435" i="1"/>
  <c r="AD435" i="1" s="1"/>
  <c r="AE435" i="1"/>
  <c r="AF435" i="1"/>
  <c r="AG435" i="1"/>
  <c r="AH435" i="1" s="1"/>
  <c r="AI435" i="1"/>
  <c r="AJ435" i="1"/>
  <c r="AL435" i="1"/>
  <c r="AM435" i="1"/>
  <c r="AN435" i="1"/>
  <c r="AO435" i="1"/>
  <c r="AP435" i="1"/>
  <c r="AQ435" i="1"/>
  <c r="AR435" i="1"/>
  <c r="AS435" i="1"/>
  <c r="AT435" i="1"/>
  <c r="AU435" i="1"/>
  <c r="AV435" i="1"/>
  <c r="AW435" i="1"/>
  <c r="AX435" i="1"/>
  <c r="AY435" i="1"/>
  <c r="AZ435" i="1"/>
  <c r="BA435" i="1"/>
  <c r="BB435" i="1"/>
  <c r="BC435" i="1"/>
  <c r="BD435" i="1"/>
  <c r="A436" i="1"/>
  <c r="B436" i="1"/>
  <c r="C436" i="1"/>
  <c r="D436" i="1"/>
  <c r="E436" i="1"/>
  <c r="F436" i="1"/>
  <c r="G436" i="1"/>
  <c r="H436" i="1"/>
  <c r="I436" i="1"/>
  <c r="J436" i="1"/>
  <c r="K436" i="1"/>
  <c r="L436" i="1"/>
  <c r="M436" i="1" s="1"/>
  <c r="N436" i="1"/>
  <c r="O436" i="1"/>
  <c r="P436" i="1"/>
  <c r="Q436" i="1"/>
  <c r="R436" i="1"/>
  <c r="S436" i="1" s="1"/>
  <c r="T436" i="1"/>
  <c r="U436" i="1"/>
  <c r="V436" i="1"/>
  <c r="W436" i="1"/>
  <c r="X436" i="1"/>
  <c r="Y436" i="1"/>
  <c r="Z436" i="1"/>
  <c r="AA436" i="1"/>
  <c r="AB436" i="1"/>
  <c r="AC436" i="1"/>
  <c r="AD436" i="1" s="1"/>
  <c r="AE436" i="1"/>
  <c r="AF436" i="1"/>
  <c r="AG436" i="1"/>
  <c r="AH436" i="1" s="1"/>
  <c r="AI436" i="1"/>
  <c r="AJ436" i="1"/>
  <c r="AL436" i="1"/>
  <c r="AM436" i="1"/>
  <c r="AN436" i="1"/>
  <c r="AO436" i="1"/>
  <c r="AP436" i="1"/>
  <c r="AQ436" i="1"/>
  <c r="AR436" i="1"/>
  <c r="AS436" i="1"/>
  <c r="AT436" i="1"/>
  <c r="AU436" i="1"/>
  <c r="AV436" i="1"/>
  <c r="AW436" i="1"/>
  <c r="AX436" i="1"/>
  <c r="AY436" i="1"/>
  <c r="AZ436" i="1"/>
  <c r="BA436" i="1"/>
  <c r="BB436" i="1"/>
  <c r="BC436" i="1"/>
  <c r="BD436" i="1"/>
  <c r="A437" i="1"/>
  <c r="B437" i="1"/>
  <c r="C437" i="1"/>
  <c r="D437" i="1"/>
  <c r="E437" i="1"/>
  <c r="F437" i="1"/>
  <c r="G437" i="1"/>
  <c r="H437" i="1"/>
  <c r="I437" i="1"/>
  <c r="J437" i="1"/>
  <c r="K437" i="1"/>
  <c r="L437" i="1"/>
  <c r="M437" i="1" s="1"/>
  <c r="N437" i="1"/>
  <c r="O437" i="1"/>
  <c r="P437" i="1"/>
  <c r="Q437" i="1"/>
  <c r="R437" i="1"/>
  <c r="S437" i="1" s="1"/>
  <c r="T437" i="1"/>
  <c r="U437" i="1"/>
  <c r="V437" i="1"/>
  <c r="W437" i="1"/>
  <c r="X437" i="1"/>
  <c r="Y437" i="1"/>
  <c r="Z437" i="1"/>
  <c r="AA437" i="1"/>
  <c r="AB437" i="1"/>
  <c r="AC437" i="1"/>
  <c r="AD437" i="1" s="1"/>
  <c r="AE437" i="1"/>
  <c r="AF437" i="1"/>
  <c r="AG437" i="1"/>
  <c r="AH437" i="1" s="1"/>
  <c r="AI437" i="1"/>
  <c r="AJ437" i="1"/>
  <c r="AL437" i="1"/>
  <c r="AM437" i="1"/>
  <c r="AN437" i="1"/>
  <c r="AO437" i="1"/>
  <c r="AP437" i="1"/>
  <c r="AQ437" i="1"/>
  <c r="AR437" i="1"/>
  <c r="AS437" i="1"/>
  <c r="AT437" i="1"/>
  <c r="AU437" i="1"/>
  <c r="AV437" i="1"/>
  <c r="AW437" i="1"/>
  <c r="AX437" i="1"/>
  <c r="AY437" i="1"/>
  <c r="AZ437" i="1"/>
  <c r="BA437" i="1"/>
  <c r="BB437" i="1"/>
  <c r="BC437" i="1"/>
  <c r="BD437" i="1"/>
  <c r="A438" i="1"/>
  <c r="B438" i="1"/>
  <c r="C438" i="1"/>
  <c r="D438" i="1"/>
  <c r="E438" i="1"/>
  <c r="F438" i="1"/>
  <c r="G438" i="1"/>
  <c r="H438" i="1"/>
  <c r="I438" i="1"/>
  <c r="J438" i="1"/>
  <c r="K438" i="1"/>
  <c r="L438" i="1"/>
  <c r="M438" i="1" s="1"/>
  <c r="N438" i="1"/>
  <c r="O438" i="1"/>
  <c r="P438" i="1"/>
  <c r="Q438" i="1"/>
  <c r="R438" i="1"/>
  <c r="S438" i="1" s="1"/>
  <c r="T438" i="1"/>
  <c r="U438" i="1"/>
  <c r="V438" i="1"/>
  <c r="W438" i="1"/>
  <c r="X438" i="1"/>
  <c r="Y438" i="1"/>
  <c r="Z438" i="1"/>
  <c r="AA438" i="1"/>
  <c r="AB438" i="1"/>
  <c r="AC438" i="1"/>
  <c r="AD438" i="1" s="1"/>
  <c r="AE438" i="1"/>
  <c r="AF438" i="1"/>
  <c r="AG438" i="1"/>
  <c r="AH438" i="1" s="1"/>
  <c r="AI438" i="1"/>
  <c r="AL438" i="1"/>
  <c r="AM438" i="1"/>
  <c r="AN438" i="1"/>
  <c r="AO438" i="1"/>
  <c r="AP438" i="1"/>
  <c r="AQ438" i="1"/>
  <c r="AR438" i="1"/>
  <c r="AS438" i="1"/>
  <c r="AT438" i="1"/>
  <c r="AU438" i="1"/>
  <c r="AV438" i="1"/>
  <c r="AW438" i="1"/>
  <c r="AX438" i="1"/>
  <c r="AY438" i="1"/>
  <c r="AZ438" i="1"/>
  <c r="BA438" i="1"/>
  <c r="BB438" i="1"/>
  <c r="BC438" i="1"/>
  <c r="BD438" i="1"/>
  <c r="A439" i="1"/>
  <c r="B439" i="1"/>
  <c r="C439" i="1"/>
  <c r="D439" i="1"/>
  <c r="E439" i="1"/>
  <c r="F439" i="1"/>
  <c r="G439" i="1"/>
  <c r="H439" i="1"/>
  <c r="I439" i="1"/>
  <c r="J439" i="1"/>
  <c r="K439" i="1"/>
  <c r="L439" i="1"/>
  <c r="M439" i="1" s="1"/>
  <c r="N439" i="1"/>
  <c r="O439" i="1"/>
  <c r="P439" i="1"/>
  <c r="Q439" i="1"/>
  <c r="R439" i="1"/>
  <c r="S439" i="1" s="1"/>
  <c r="T439" i="1"/>
  <c r="U439" i="1"/>
  <c r="V439" i="1"/>
  <c r="W439" i="1"/>
  <c r="X439" i="1"/>
  <c r="Y439" i="1"/>
  <c r="Z439" i="1"/>
  <c r="AA439" i="1"/>
  <c r="AB439" i="1"/>
  <c r="AC439" i="1"/>
  <c r="AD439" i="1" s="1"/>
  <c r="AE439" i="1"/>
  <c r="AF439" i="1"/>
  <c r="AG439" i="1"/>
  <c r="AH439" i="1" s="1"/>
  <c r="AI439" i="1"/>
  <c r="AJ439" i="1"/>
  <c r="AL439" i="1"/>
  <c r="AM439" i="1"/>
  <c r="AN439" i="1"/>
  <c r="AO439" i="1"/>
  <c r="AP439" i="1"/>
  <c r="AQ439" i="1"/>
  <c r="AR439" i="1"/>
  <c r="AS439" i="1"/>
  <c r="AT439" i="1"/>
  <c r="AU439" i="1"/>
  <c r="AV439" i="1"/>
  <c r="AW439" i="1"/>
  <c r="AX439" i="1"/>
  <c r="AY439" i="1"/>
  <c r="AZ439" i="1"/>
  <c r="BA439" i="1"/>
  <c r="BB439" i="1"/>
  <c r="BC439" i="1"/>
  <c r="BD439" i="1"/>
  <c r="A440" i="1"/>
  <c r="B440" i="1"/>
  <c r="C440" i="1"/>
  <c r="D440" i="1"/>
  <c r="E440" i="1"/>
  <c r="F440" i="1"/>
  <c r="G440" i="1"/>
  <c r="H440" i="1"/>
  <c r="I440" i="1"/>
  <c r="J440" i="1"/>
  <c r="K440" i="1"/>
  <c r="M440" i="1"/>
  <c r="N440" i="1"/>
  <c r="O440" i="1"/>
  <c r="P440" i="1"/>
  <c r="Q440" i="1"/>
  <c r="R440" i="1"/>
  <c r="S440" i="1" s="1"/>
  <c r="T440" i="1"/>
  <c r="U440" i="1"/>
  <c r="V440" i="1"/>
  <c r="W440" i="1"/>
  <c r="X440" i="1"/>
  <c r="Y440" i="1"/>
  <c r="Z440" i="1"/>
  <c r="AA440" i="1"/>
  <c r="AB440" i="1"/>
  <c r="AC440" i="1"/>
  <c r="AD440" i="1" s="1"/>
  <c r="AE440" i="1"/>
  <c r="AF440" i="1"/>
  <c r="AG440" i="1"/>
  <c r="AH440" i="1" s="1"/>
  <c r="AI440" i="1"/>
  <c r="AJ440" i="1"/>
  <c r="AL440" i="1"/>
  <c r="AM440" i="1"/>
  <c r="AN440" i="1"/>
  <c r="AO440" i="1"/>
  <c r="AP440" i="1"/>
  <c r="AQ440" i="1"/>
  <c r="AR440" i="1"/>
  <c r="AS440" i="1"/>
  <c r="AT440" i="1"/>
  <c r="AU440" i="1"/>
  <c r="AV440" i="1"/>
  <c r="AW440" i="1"/>
  <c r="AX440" i="1"/>
  <c r="AY440" i="1"/>
  <c r="AZ440" i="1"/>
  <c r="BA440" i="1"/>
  <c r="BB440" i="1"/>
  <c r="BC440" i="1"/>
  <c r="BD440" i="1"/>
  <c r="A441" i="1"/>
  <c r="B441" i="1"/>
  <c r="C441" i="1"/>
  <c r="D441" i="1"/>
  <c r="E441" i="1"/>
  <c r="F441" i="1"/>
  <c r="G441" i="1"/>
  <c r="H441" i="1"/>
  <c r="I441" i="1"/>
  <c r="J441" i="1"/>
  <c r="K441" i="1"/>
  <c r="L441" i="1"/>
  <c r="M441" i="1" s="1"/>
  <c r="N441" i="1"/>
  <c r="O441" i="1"/>
  <c r="P441" i="1"/>
  <c r="Q441" i="1"/>
  <c r="R441" i="1"/>
  <c r="S441" i="1" s="1"/>
  <c r="T441" i="1"/>
  <c r="U441" i="1"/>
  <c r="V441" i="1"/>
  <c r="W441" i="1"/>
  <c r="X441" i="1"/>
  <c r="Y441" i="1"/>
  <c r="Z441" i="1"/>
  <c r="AA441" i="1"/>
  <c r="AB441" i="1"/>
  <c r="AD441" i="1"/>
  <c r="AE441" i="1"/>
  <c r="AF441" i="1"/>
  <c r="AG441" i="1"/>
  <c r="AH441" i="1" s="1"/>
  <c r="AI441" i="1"/>
  <c r="AJ441" i="1"/>
  <c r="AL441" i="1"/>
  <c r="AM441" i="1"/>
  <c r="AN441" i="1"/>
  <c r="AO441" i="1"/>
  <c r="AP441" i="1"/>
  <c r="AQ441" i="1"/>
  <c r="AR441" i="1"/>
  <c r="AS441" i="1"/>
  <c r="AT441" i="1"/>
  <c r="AU441" i="1"/>
  <c r="AV441" i="1"/>
  <c r="AW441" i="1"/>
  <c r="AX441" i="1"/>
  <c r="AY441" i="1"/>
  <c r="AZ441" i="1"/>
  <c r="BA441" i="1"/>
  <c r="BB441" i="1"/>
  <c r="BC441" i="1"/>
  <c r="BD441" i="1"/>
  <c r="A442" i="1"/>
  <c r="B442" i="1"/>
  <c r="C442" i="1"/>
  <c r="D442" i="1"/>
  <c r="E442" i="1"/>
  <c r="F442" i="1"/>
  <c r="G442" i="1"/>
  <c r="H442" i="1"/>
  <c r="I442" i="1"/>
  <c r="J442" i="1"/>
  <c r="K442" i="1"/>
  <c r="L442" i="1"/>
  <c r="M442" i="1" s="1"/>
  <c r="N442" i="1"/>
  <c r="O442" i="1"/>
  <c r="P442" i="1"/>
  <c r="Q442" i="1"/>
  <c r="R442" i="1"/>
  <c r="S442" i="1" s="1"/>
  <c r="T442" i="1"/>
  <c r="U442" i="1"/>
  <c r="V442" i="1"/>
  <c r="W442" i="1"/>
  <c r="X442" i="1"/>
  <c r="Y442" i="1"/>
  <c r="Z442" i="1"/>
  <c r="AA442" i="1"/>
  <c r="AB442" i="1"/>
  <c r="AC442" i="1"/>
  <c r="AD442" i="1" s="1"/>
  <c r="AE442" i="1"/>
  <c r="AF442" i="1"/>
  <c r="AG442" i="1"/>
  <c r="AH442" i="1" s="1"/>
  <c r="AI442" i="1"/>
  <c r="AJ442" i="1"/>
  <c r="AL442" i="1"/>
  <c r="AM442" i="1"/>
  <c r="AN442" i="1"/>
  <c r="AO442" i="1"/>
  <c r="AP442" i="1"/>
  <c r="AQ442" i="1"/>
  <c r="AR442" i="1"/>
  <c r="AS442" i="1"/>
  <c r="AT442" i="1"/>
  <c r="AU442" i="1"/>
  <c r="AV442" i="1"/>
  <c r="AW442" i="1"/>
  <c r="AX442" i="1"/>
  <c r="AY442" i="1"/>
  <c r="AZ442" i="1"/>
  <c r="BA442" i="1"/>
  <c r="BB442" i="1"/>
  <c r="BC442" i="1"/>
  <c r="BD442" i="1"/>
  <c r="A443" i="1"/>
  <c r="B443" i="1"/>
  <c r="C443" i="1"/>
  <c r="D443" i="1"/>
  <c r="E443" i="1"/>
  <c r="F443" i="1"/>
  <c r="G443" i="1"/>
  <c r="H443" i="1"/>
  <c r="I443" i="1"/>
  <c r="J443" i="1"/>
  <c r="K443" i="1"/>
  <c r="L443" i="1"/>
  <c r="M443" i="1" s="1"/>
  <c r="N443" i="1"/>
  <c r="O443" i="1"/>
  <c r="P443" i="1"/>
  <c r="Q443" i="1"/>
  <c r="R443" i="1"/>
  <c r="S443" i="1" s="1"/>
  <c r="T443" i="1"/>
  <c r="U443" i="1"/>
  <c r="V443" i="1"/>
  <c r="W443" i="1"/>
  <c r="X443" i="1"/>
  <c r="Y443" i="1"/>
  <c r="Z443" i="1"/>
  <c r="AA443" i="1"/>
  <c r="AB443" i="1"/>
  <c r="AC443" i="1"/>
  <c r="AD443" i="1" s="1"/>
  <c r="AE443" i="1"/>
  <c r="AF443" i="1"/>
  <c r="AG443" i="1"/>
  <c r="AH443" i="1" s="1"/>
  <c r="AI443" i="1"/>
  <c r="AJ443" i="1"/>
  <c r="AL443" i="1"/>
  <c r="AM443" i="1"/>
  <c r="AN443" i="1"/>
  <c r="AO443" i="1"/>
  <c r="AP443" i="1"/>
  <c r="AQ443" i="1"/>
  <c r="AR443" i="1"/>
  <c r="AS443" i="1"/>
  <c r="AT443" i="1"/>
  <c r="AU443" i="1"/>
  <c r="AV443" i="1"/>
  <c r="AW443" i="1"/>
  <c r="AX443" i="1"/>
  <c r="AY443" i="1"/>
  <c r="AZ443" i="1"/>
  <c r="BA443" i="1"/>
  <c r="BB443" i="1"/>
  <c r="BC443" i="1"/>
  <c r="BD443" i="1"/>
  <c r="A444" i="1"/>
  <c r="B444" i="1"/>
  <c r="C444" i="1"/>
  <c r="D444" i="1"/>
  <c r="E444" i="1"/>
  <c r="F444" i="1"/>
  <c r="G444" i="1"/>
  <c r="H444" i="1"/>
  <c r="I444" i="1"/>
  <c r="J444" i="1"/>
  <c r="K444" i="1"/>
  <c r="L444" i="1"/>
  <c r="M444" i="1" s="1"/>
  <c r="N444" i="1"/>
  <c r="O444" i="1"/>
  <c r="P444" i="1"/>
  <c r="Q444" i="1"/>
  <c r="R444" i="1"/>
  <c r="S444" i="1" s="1"/>
  <c r="T444" i="1"/>
  <c r="U444" i="1"/>
  <c r="V444" i="1"/>
  <c r="W444" i="1"/>
  <c r="X444" i="1"/>
  <c r="Y444" i="1"/>
  <c r="Z444" i="1"/>
  <c r="AA444" i="1"/>
  <c r="AB444" i="1"/>
  <c r="AC444" i="1"/>
  <c r="AD444" i="1" s="1"/>
  <c r="AE444" i="1"/>
  <c r="AF444" i="1"/>
  <c r="AG444" i="1"/>
  <c r="AH444" i="1" s="1"/>
  <c r="AI444" i="1"/>
  <c r="AJ444" i="1"/>
  <c r="AL444" i="1"/>
  <c r="AM444" i="1"/>
  <c r="AN444" i="1"/>
  <c r="AO444" i="1"/>
  <c r="AP444" i="1"/>
  <c r="AQ444" i="1"/>
  <c r="AR444" i="1"/>
  <c r="AS444" i="1"/>
  <c r="AT444" i="1"/>
  <c r="AU444" i="1"/>
  <c r="AV444" i="1"/>
  <c r="AW444" i="1"/>
  <c r="AX444" i="1"/>
  <c r="AY444" i="1"/>
  <c r="AZ444" i="1"/>
  <c r="BA444" i="1"/>
  <c r="BB444" i="1"/>
  <c r="BC444" i="1"/>
  <c r="BD444" i="1"/>
  <c r="A445" i="1"/>
  <c r="B445" i="1"/>
  <c r="C445" i="1"/>
  <c r="D445" i="1"/>
  <c r="E445" i="1"/>
  <c r="F445" i="1"/>
  <c r="G445" i="1"/>
  <c r="H445" i="1"/>
  <c r="I445" i="1"/>
  <c r="J445" i="1"/>
  <c r="K445" i="1"/>
  <c r="L445" i="1"/>
  <c r="M445" i="1" s="1"/>
  <c r="N445" i="1"/>
  <c r="O445" i="1"/>
  <c r="P445" i="1"/>
  <c r="Q445" i="1"/>
  <c r="R445" i="1"/>
  <c r="S445" i="1" s="1"/>
  <c r="T445" i="1"/>
  <c r="U445" i="1"/>
  <c r="V445" i="1"/>
  <c r="W445" i="1"/>
  <c r="X445" i="1"/>
  <c r="Y445" i="1"/>
  <c r="Z445" i="1"/>
  <c r="AA445" i="1"/>
  <c r="AB445" i="1"/>
  <c r="AC445" i="1"/>
  <c r="AD445" i="1" s="1"/>
  <c r="AE445" i="1"/>
  <c r="AF445" i="1"/>
  <c r="AG445" i="1"/>
  <c r="AH445" i="1" s="1"/>
  <c r="AI445" i="1"/>
  <c r="AJ445" i="1"/>
  <c r="AL445" i="1"/>
  <c r="AM445" i="1"/>
  <c r="AN445" i="1"/>
  <c r="AO445" i="1"/>
  <c r="AP445" i="1"/>
  <c r="AQ445" i="1"/>
  <c r="AR445" i="1"/>
  <c r="AS445" i="1"/>
  <c r="AT445" i="1"/>
  <c r="AU445" i="1"/>
  <c r="AV445" i="1"/>
  <c r="AW445" i="1"/>
  <c r="AX445" i="1"/>
  <c r="AY445" i="1"/>
  <c r="AZ445" i="1"/>
  <c r="BA445" i="1"/>
  <c r="BB445" i="1"/>
  <c r="BC445" i="1"/>
  <c r="BD445" i="1"/>
  <c r="A446" i="1"/>
  <c r="B446" i="1"/>
  <c r="C446" i="1"/>
  <c r="D446" i="1"/>
  <c r="E446" i="1"/>
  <c r="F446" i="1"/>
  <c r="G446" i="1"/>
  <c r="H446" i="1"/>
  <c r="I446" i="1"/>
  <c r="J446" i="1"/>
  <c r="K446" i="1"/>
  <c r="M446" i="1"/>
  <c r="N446" i="1"/>
  <c r="O446" i="1"/>
  <c r="P446" i="1"/>
  <c r="Q446" i="1"/>
  <c r="R446" i="1"/>
  <c r="S446" i="1" s="1"/>
  <c r="T446" i="1"/>
  <c r="U446" i="1"/>
  <c r="V446" i="1"/>
  <c r="W446" i="1"/>
  <c r="X446" i="1"/>
  <c r="Y446" i="1"/>
  <c r="Z446" i="1"/>
  <c r="AA446" i="1"/>
  <c r="AB446" i="1"/>
  <c r="AC446" i="1"/>
  <c r="AD446" i="1" s="1"/>
  <c r="AE446" i="1"/>
  <c r="AF446" i="1"/>
  <c r="AG446" i="1"/>
  <c r="AH446" i="1" s="1"/>
  <c r="AI446" i="1"/>
  <c r="AJ446" i="1"/>
  <c r="AL446" i="1"/>
  <c r="AM446" i="1"/>
  <c r="AN446" i="1"/>
  <c r="AO446" i="1"/>
  <c r="AP446" i="1"/>
  <c r="AQ446" i="1"/>
  <c r="AR446" i="1"/>
  <c r="AS446" i="1"/>
  <c r="AT446" i="1"/>
  <c r="AU446" i="1"/>
  <c r="AV446" i="1"/>
  <c r="AW446" i="1"/>
  <c r="AX446" i="1"/>
  <c r="AY446" i="1"/>
  <c r="AZ446" i="1"/>
  <c r="BA446" i="1"/>
  <c r="BB446" i="1"/>
  <c r="BC446" i="1"/>
  <c r="BD446" i="1"/>
  <c r="A447" i="1"/>
  <c r="B447" i="1"/>
  <c r="C447" i="1"/>
  <c r="D447" i="1"/>
  <c r="E447" i="1"/>
  <c r="F447" i="1"/>
  <c r="G447" i="1"/>
  <c r="H447" i="1"/>
  <c r="I447" i="1"/>
  <c r="J447" i="1"/>
  <c r="K447" i="1"/>
  <c r="L447" i="1"/>
  <c r="M447" i="1" s="1"/>
  <c r="N447" i="1"/>
  <c r="O447" i="1"/>
  <c r="P447" i="1"/>
  <c r="Q447" i="1"/>
  <c r="R447" i="1"/>
  <c r="S447" i="1" s="1"/>
  <c r="T447" i="1"/>
  <c r="U447" i="1"/>
  <c r="V447" i="1"/>
  <c r="W447" i="1"/>
  <c r="X447" i="1"/>
  <c r="Y447" i="1"/>
  <c r="Z447" i="1"/>
  <c r="AA447" i="1"/>
  <c r="AB447" i="1"/>
  <c r="AC447" i="1"/>
  <c r="AD447" i="1" s="1"/>
  <c r="AE447" i="1"/>
  <c r="AF447" i="1"/>
  <c r="AG447" i="1"/>
  <c r="AH447" i="1" s="1"/>
  <c r="AI447" i="1"/>
  <c r="AJ447" i="1"/>
  <c r="AL447" i="1"/>
  <c r="AM447" i="1"/>
  <c r="AN447" i="1"/>
  <c r="AO447" i="1"/>
  <c r="AP447" i="1"/>
  <c r="AQ447" i="1"/>
  <c r="AR447" i="1"/>
  <c r="AS447" i="1"/>
  <c r="AT447" i="1"/>
  <c r="AU447" i="1"/>
  <c r="AV447" i="1"/>
  <c r="AW447" i="1"/>
  <c r="AX447" i="1"/>
  <c r="AY447" i="1"/>
  <c r="AZ447" i="1"/>
  <c r="BA447" i="1"/>
  <c r="BB447" i="1"/>
  <c r="BC447" i="1"/>
  <c r="BD447" i="1"/>
  <c r="A448" i="1"/>
  <c r="B448" i="1"/>
  <c r="C448" i="1"/>
  <c r="D448" i="1"/>
  <c r="E448" i="1"/>
  <c r="F448" i="1"/>
  <c r="G448" i="1"/>
  <c r="H448" i="1"/>
  <c r="I448" i="1"/>
  <c r="J448" i="1"/>
  <c r="K448" i="1"/>
  <c r="L448" i="1"/>
  <c r="M448" i="1" s="1"/>
  <c r="N448" i="1"/>
  <c r="O448" i="1"/>
  <c r="P448" i="1"/>
  <c r="Q448" i="1"/>
  <c r="R448" i="1"/>
  <c r="S448" i="1" s="1"/>
  <c r="T448" i="1"/>
  <c r="U448" i="1"/>
  <c r="V448" i="1"/>
  <c r="W448" i="1"/>
  <c r="X448" i="1"/>
  <c r="Y448" i="1"/>
  <c r="Z448" i="1"/>
  <c r="AA448" i="1"/>
  <c r="AB448" i="1"/>
  <c r="AC448" i="1"/>
  <c r="AD448" i="1" s="1"/>
  <c r="AE448" i="1"/>
  <c r="AF448" i="1"/>
  <c r="AG448" i="1"/>
  <c r="AH448" i="1" s="1"/>
  <c r="AI448" i="1"/>
  <c r="AJ448" i="1"/>
  <c r="AL448" i="1"/>
  <c r="AM448" i="1"/>
  <c r="AN448" i="1"/>
  <c r="AO448" i="1"/>
  <c r="AP448" i="1"/>
  <c r="AQ448" i="1"/>
  <c r="AR448" i="1"/>
  <c r="AS448" i="1"/>
  <c r="AT448" i="1"/>
  <c r="AU448" i="1"/>
  <c r="AV448" i="1"/>
  <c r="AW448" i="1"/>
  <c r="AX448" i="1"/>
  <c r="AY448" i="1"/>
  <c r="AZ448" i="1"/>
  <c r="BA448" i="1"/>
  <c r="BB448" i="1"/>
  <c r="BC448" i="1"/>
  <c r="BD448" i="1"/>
  <c r="A449" i="1"/>
  <c r="B449" i="1"/>
  <c r="C449" i="1"/>
  <c r="D449" i="1"/>
  <c r="E449" i="1"/>
  <c r="F449" i="1"/>
  <c r="G449" i="1"/>
  <c r="H449" i="1"/>
  <c r="I449" i="1"/>
  <c r="J449" i="1"/>
  <c r="K449" i="1"/>
  <c r="L449" i="1"/>
  <c r="M449" i="1" s="1"/>
  <c r="N449" i="1"/>
  <c r="O449" i="1"/>
  <c r="P449" i="1"/>
  <c r="Q449" i="1"/>
  <c r="R449" i="1"/>
  <c r="S449" i="1" s="1"/>
  <c r="T449" i="1"/>
  <c r="U449" i="1"/>
  <c r="V449" i="1"/>
  <c r="W449" i="1"/>
  <c r="X449" i="1"/>
  <c r="Y449" i="1"/>
  <c r="Z449" i="1"/>
  <c r="AA449" i="1"/>
  <c r="AB449" i="1"/>
  <c r="AC449" i="1"/>
  <c r="AD449" i="1" s="1"/>
  <c r="AE449" i="1"/>
  <c r="AF449" i="1"/>
  <c r="AG449" i="1"/>
  <c r="AH449" i="1" s="1"/>
  <c r="AI449" i="1"/>
  <c r="AL449" i="1"/>
  <c r="AM449" i="1"/>
  <c r="AN449" i="1"/>
  <c r="AO449" i="1"/>
  <c r="AP449" i="1"/>
  <c r="AQ449" i="1"/>
  <c r="AR449" i="1"/>
  <c r="AS449" i="1"/>
  <c r="AT449" i="1"/>
  <c r="AU449" i="1"/>
  <c r="AV449" i="1"/>
  <c r="AW449" i="1"/>
  <c r="AX449" i="1"/>
  <c r="AY449" i="1"/>
  <c r="AZ449" i="1"/>
  <c r="BA449" i="1"/>
  <c r="BB449" i="1"/>
  <c r="BC449" i="1"/>
  <c r="BD449" i="1"/>
  <c r="A450" i="1"/>
  <c r="B450" i="1"/>
  <c r="C450" i="1"/>
  <c r="D450" i="1"/>
  <c r="E450" i="1"/>
  <c r="F450" i="1"/>
  <c r="G450" i="1"/>
  <c r="H450" i="1"/>
  <c r="I450" i="1"/>
  <c r="J450" i="1"/>
  <c r="K450" i="1"/>
  <c r="M450" i="1"/>
  <c r="N450" i="1"/>
  <c r="O450" i="1"/>
  <c r="P450" i="1"/>
  <c r="Q450" i="1"/>
  <c r="S450" i="1"/>
  <c r="T450" i="1"/>
  <c r="U450" i="1"/>
  <c r="V450" i="1"/>
  <c r="W450" i="1"/>
  <c r="X450" i="1"/>
  <c r="Y450" i="1"/>
  <c r="Z450" i="1"/>
  <c r="AA450" i="1"/>
  <c r="AB450" i="1"/>
  <c r="AC450" i="1"/>
  <c r="AD450" i="1" s="1"/>
  <c r="AE450" i="1"/>
  <c r="AF450" i="1"/>
  <c r="AI450" i="1"/>
  <c r="AL450" i="1"/>
  <c r="AM450" i="1"/>
  <c r="AN450" i="1"/>
  <c r="AO450" i="1"/>
  <c r="AP450" i="1"/>
  <c r="AQ450" i="1"/>
  <c r="AR450" i="1"/>
  <c r="AS450" i="1"/>
  <c r="AT450" i="1"/>
  <c r="AU450" i="1"/>
  <c r="AV450" i="1"/>
  <c r="AW450" i="1"/>
  <c r="AX450" i="1"/>
  <c r="AY450" i="1"/>
  <c r="AZ450" i="1"/>
  <c r="BA450" i="1"/>
  <c r="BB450" i="1"/>
  <c r="BC450" i="1"/>
  <c r="BD450" i="1"/>
  <c r="A451" i="1"/>
  <c r="B451" i="1"/>
  <c r="C451" i="1"/>
  <c r="D451" i="1"/>
  <c r="E451"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s="1"/>
  <c r="AE451" i="1"/>
  <c r="AF451" i="1"/>
  <c r="AG451" i="1"/>
  <c r="AH451" i="1" s="1"/>
  <c r="AI451" i="1"/>
  <c r="AL451" i="1"/>
  <c r="AM451" i="1"/>
  <c r="AN451" i="1"/>
  <c r="AO451" i="1"/>
  <c r="AP451" i="1"/>
  <c r="AQ451" i="1"/>
  <c r="AR451" i="1"/>
  <c r="AS451" i="1"/>
  <c r="AT451" i="1"/>
  <c r="AU451" i="1"/>
  <c r="AV451" i="1"/>
  <c r="AW451" i="1"/>
  <c r="AX451" i="1"/>
  <c r="AY451" i="1"/>
  <c r="AZ451" i="1"/>
  <c r="BA451" i="1"/>
  <c r="BB451" i="1"/>
  <c r="BC451" i="1"/>
  <c r="BD451" i="1"/>
  <c r="A452" i="1"/>
  <c r="B452" i="1"/>
  <c r="C452" i="1"/>
  <c r="D452" i="1"/>
  <c r="E452" i="1"/>
  <c r="F452" i="1"/>
  <c r="G452" i="1"/>
  <c r="H452" i="1"/>
  <c r="I452" i="1"/>
  <c r="J452" i="1"/>
  <c r="K452" i="1"/>
  <c r="M452" i="1"/>
  <c r="N452" i="1"/>
  <c r="O452" i="1"/>
  <c r="P452" i="1"/>
  <c r="Q452" i="1"/>
  <c r="R452" i="1"/>
  <c r="S452" i="1"/>
  <c r="T452" i="1"/>
  <c r="U452" i="1"/>
  <c r="V452" i="1"/>
  <c r="W452" i="1"/>
  <c r="X452" i="1"/>
  <c r="Y452" i="1"/>
  <c r="Z452" i="1"/>
  <c r="AA452" i="1"/>
  <c r="AB452" i="1"/>
  <c r="AC452" i="1"/>
  <c r="AD452" i="1" s="1"/>
  <c r="AE452" i="1"/>
  <c r="AF452" i="1"/>
  <c r="AG452" i="1"/>
  <c r="AH452" i="1" s="1"/>
  <c r="AI452" i="1"/>
  <c r="AL452" i="1"/>
  <c r="AM452" i="1"/>
  <c r="AN452" i="1"/>
  <c r="AO452" i="1"/>
  <c r="AP452" i="1"/>
  <c r="AQ452" i="1"/>
  <c r="AR452" i="1"/>
  <c r="AS452" i="1"/>
  <c r="AT452" i="1"/>
  <c r="AU452" i="1"/>
  <c r="AV452" i="1"/>
  <c r="AW452" i="1"/>
  <c r="AX452" i="1"/>
  <c r="AY452" i="1"/>
  <c r="AZ452" i="1"/>
  <c r="BA452" i="1"/>
  <c r="BB452" i="1"/>
  <c r="BC452" i="1"/>
  <c r="BD452" i="1"/>
  <c r="A453" i="1"/>
  <c r="B453" i="1"/>
  <c r="C453" i="1"/>
  <c r="D453" i="1"/>
  <c r="E453" i="1"/>
  <c r="F453" i="1"/>
  <c r="G453" i="1"/>
  <c r="H453" i="1"/>
  <c r="I453" i="1"/>
  <c r="J453" i="1"/>
  <c r="K453" i="1"/>
  <c r="L453" i="1"/>
  <c r="M453" i="1" s="1"/>
  <c r="N453" i="1"/>
  <c r="O453" i="1"/>
  <c r="P453" i="1"/>
  <c r="Q453" i="1"/>
  <c r="R453" i="1"/>
  <c r="S453" i="1" s="1"/>
  <c r="T453" i="1"/>
  <c r="U453" i="1"/>
  <c r="V453" i="1"/>
  <c r="W453" i="1"/>
  <c r="X453" i="1"/>
  <c r="Y453" i="1"/>
  <c r="Z453" i="1"/>
  <c r="AA453" i="1"/>
  <c r="AB453" i="1"/>
  <c r="AC453" i="1"/>
  <c r="AD453" i="1" s="1"/>
  <c r="AE453" i="1"/>
  <c r="AF453" i="1"/>
  <c r="AI453" i="1"/>
  <c r="AJ453" i="1"/>
  <c r="AL453" i="1"/>
  <c r="AM453" i="1"/>
  <c r="AN453" i="1"/>
  <c r="AO453" i="1"/>
  <c r="AP453" i="1"/>
  <c r="AQ453" i="1"/>
  <c r="AR453" i="1"/>
  <c r="AS453" i="1"/>
  <c r="AT453" i="1"/>
  <c r="AU453" i="1"/>
  <c r="AV453" i="1"/>
  <c r="AW453" i="1"/>
  <c r="AX453" i="1"/>
  <c r="AY453" i="1"/>
  <c r="AZ453" i="1"/>
  <c r="BA453" i="1"/>
  <c r="BB453" i="1"/>
  <c r="BC453" i="1"/>
  <c r="BD453" i="1"/>
  <c r="A454" i="1"/>
  <c r="B454" i="1"/>
  <c r="C454" i="1"/>
  <c r="D454" i="1"/>
  <c r="E454" i="1"/>
  <c r="F454" i="1"/>
  <c r="G454" i="1"/>
  <c r="H454" i="1"/>
  <c r="I454" i="1"/>
  <c r="J454" i="1"/>
  <c r="K454" i="1"/>
  <c r="M454" i="1"/>
  <c r="N454" i="1"/>
  <c r="O454" i="1"/>
  <c r="P454" i="1"/>
  <c r="Q454" i="1"/>
  <c r="R454" i="1"/>
  <c r="S454" i="1" s="1"/>
  <c r="T454" i="1"/>
  <c r="U454" i="1"/>
  <c r="V454" i="1"/>
  <c r="W454" i="1"/>
  <c r="X454" i="1"/>
  <c r="Y454" i="1"/>
  <c r="Z454" i="1"/>
  <c r="AA454" i="1"/>
  <c r="AB454" i="1"/>
  <c r="AC454" i="1"/>
  <c r="AD454" i="1" s="1"/>
  <c r="AE454" i="1"/>
  <c r="AF454" i="1"/>
  <c r="AG454" i="1"/>
  <c r="AH454" i="1" s="1"/>
  <c r="AI454" i="1"/>
  <c r="AJ454" i="1"/>
  <c r="AL454" i="1"/>
  <c r="AM454" i="1"/>
  <c r="AN454" i="1"/>
  <c r="AO454" i="1"/>
  <c r="AP454" i="1"/>
  <c r="AQ454" i="1"/>
  <c r="AR454" i="1"/>
  <c r="AS454" i="1"/>
  <c r="AT454" i="1"/>
  <c r="AU454" i="1"/>
  <c r="AV454" i="1"/>
  <c r="AW454" i="1"/>
  <c r="AX454" i="1"/>
  <c r="AY454" i="1"/>
  <c r="AZ454" i="1"/>
  <c r="BA454" i="1"/>
  <c r="BB454" i="1"/>
  <c r="BC454" i="1"/>
  <c r="BD454" i="1"/>
  <c r="A455" i="1"/>
  <c r="B455" i="1"/>
  <c r="C455" i="1"/>
  <c r="D455" i="1"/>
  <c r="E455" i="1"/>
  <c r="F455" i="1"/>
  <c r="G455" i="1"/>
  <c r="H455" i="1"/>
  <c r="I455" i="1"/>
  <c r="J455" i="1"/>
  <c r="K455" i="1"/>
  <c r="M455" i="1"/>
  <c r="N455" i="1"/>
  <c r="O455" i="1"/>
  <c r="P455" i="1"/>
  <c r="Q455" i="1"/>
  <c r="R455" i="1"/>
  <c r="S455" i="1" s="1"/>
  <c r="T455" i="1"/>
  <c r="U455" i="1"/>
  <c r="V455" i="1"/>
  <c r="W455" i="1"/>
  <c r="X455" i="1"/>
  <c r="Y455" i="1"/>
  <c r="Z455" i="1"/>
  <c r="AA455" i="1"/>
  <c r="AB455" i="1"/>
  <c r="AC455" i="1"/>
  <c r="AD455" i="1" s="1"/>
  <c r="AE455" i="1"/>
  <c r="AF455" i="1"/>
  <c r="AG455" i="1"/>
  <c r="AH455" i="1" s="1"/>
  <c r="AI455" i="1"/>
  <c r="AJ455" i="1"/>
  <c r="AL455" i="1"/>
  <c r="AM455" i="1"/>
  <c r="AN455" i="1"/>
  <c r="AO455" i="1"/>
  <c r="AP455" i="1"/>
  <c r="AQ455" i="1"/>
  <c r="AR455" i="1"/>
  <c r="AS455" i="1"/>
  <c r="AT455" i="1"/>
  <c r="AU455" i="1"/>
  <c r="AV455" i="1"/>
  <c r="AW455" i="1"/>
  <c r="AX455" i="1"/>
  <c r="AY455" i="1"/>
  <c r="AZ455" i="1"/>
  <c r="BA455" i="1"/>
  <c r="BB455" i="1"/>
  <c r="BC455" i="1"/>
  <c r="BD455" i="1"/>
  <c r="A456" i="1"/>
  <c r="B456" i="1"/>
  <c r="C456" i="1"/>
  <c r="D456" i="1"/>
  <c r="E456" i="1"/>
  <c r="F456" i="1"/>
  <c r="G456" i="1"/>
  <c r="H456" i="1"/>
  <c r="I456" i="1"/>
  <c r="J456" i="1"/>
  <c r="K456" i="1"/>
  <c r="L456" i="1"/>
  <c r="M456" i="1" s="1"/>
  <c r="N456" i="1"/>
  <c r="O456" i="1"/>
  <c r="P456" i="1"/>
  <c r="Q456" i="1"/>
  <c r="R456" i="1"/>
  <c r="S456" i="1" s="1"/>
  <c r="T456" i="1"/>
  <c r="U456" i="1"/>
  <c r="V456" i="1"/>
  <c r="W456" i="1"/>
  <c r="X456" i="1"/>
  <c r="Y456" i="1"/>
  <c r="Z456" i="1"/>
  <c r="AA456" i="1"/>
  <c r="AB456" i="1"/>
  <c r="AC456" i="1"/>
  <c r="AD456" i="1" s="1"/>
  <c r="AE456" i="1"/>
  <c r="AF456" i="1"/>
  <c r="AG456" i="1"/>
  <c r="AH456" i="1" s="1"/>
  <c r="AI456" i="1"/>
  <c r="AJ456" i="1"/>
  <c r="AL456" i="1"/>
  <c r="AM456" i="1"/>
  <c r="AN456" i="1"/>
  <c r="AO456" i="1"/>
  <c r="AP456" i="1"/>
  <c r="AQ456" i="1"/>
  <c r="AR456" i="1"/>
  <c r="AS456" i="1"/>
  <c r="AT456" i="1"/>
  <c r="AU456" i="1"/>
  <c r="AV456" i="1"/>
  <c r="AW456" i="1"/>
  <c r="AX456" i="1"/>
  <c r="AY456" i="1"/>
  <c r="AZ456" i="1"/>
  <c r="BA456" i="1"/>
  <c r="BB456" i="1"/>
  <c r="BC456" i="1"/>
  <c r="BD456" i="1"/>
  <c r="A457" i="1"/>
  <c r="B457" i="1"/>
  <c r="C457" i="1"/>
  <c r="D457" i="1"/>
  <c r="E457" i="1"/>
  <c r="F457" i="1"/>
  <c r="G457" i="1"/>
  <c r="H457" i="1"/>
  <c r="I457" i="1"/>
  <c r="J457" i="1"/>
  <c r="K457" i="1"/>
  <c r="L457" i="1"/>
  <c r="M457" i="1" s="1"/>
  <c r="N457" i="1"/>
  <c r="O457" i="1"/>
  <c r="P457" i="1"/>
  <c r="Q457" i="1"/>
  <c r="R457" i="1"/>
  <c r="S457" i="1" s="1"/>
  <c r="T457" i="1"/>
  <c r="U457" i="1"/>
  <c r="V457" i="1"/>
  <c r="W457" i="1"/>
  <c r="X457" i="1"/>
  <c r="Y457" i="1"/>
  <c r="Z457" i="1"/>
  <c r="AA457" i="1"/>
  <c r="AB457" i="1"/>
  <c r="AD457" i="1"/>
  <c r="AE457" i="1"/>
  <c r="AF457" i="1"/>
  <c r="AG457" i="1"/>
  <c r="AH457" i="1" s="1"/>
  <c r="AI457" i="1"/>
  <c r="AJ457" i="1"/>
  <c r="AL457" i="1"/>
  <c r="AM457" i="1"/>
  <c r="AN457" i="1"/>
  <c r="AO457" i="1"/>
  <c r="AP457" i="1"/>
  <c r="AQ457" i="1"/>
  <c r="AR457" i="1"/>
  <c r="AS457" i="1"/>
  <c r="AT457" i="1"/>
  <c r="AU457" i="1"/>
  <c r="AV457" i="1"/>
  <c r="AW457" i="1"/>
  <c r="AX457" i="1"/>
  <c r="AY457" i="1"/>
  <c r="AZ457" i="1"/>
  <c r="BA457" i="1"/>
  <c r="BB457" i="1"/>
  <c r="BC457" i="1"/>
  <c r="BD457" i="1"/>
  <c r="A458" i="1"/>
  <c r="B458" i="1"/>
  <c r="C458" i="1"/>
  <c r="D458" i="1"/>
  <c r="E458" i="1"/>
  <c r="F458" i="1"/>
  <c r="G458" i="1"/>
  <c r="H458" i="1"/>
  <c r="I458" i="1"/>
  <c r="J458" i="1"/>
  <c r="K458" i="1"/>
  <c r="L458" i="1"/>
  <c r="M458" i="1" s="1"/>
  <c r="N458" i="1"/>
  <c r="O458" i="1"/>
  <c r="P458" i="1"/>
  <c r="Q458" i="1"/>
  <c r="R458" i="1"/>
  <c r="S458" i="1" s="1"/>
  <c r="T458" i="1"/>
  <c r="U458" i="1"/>
  <c r="V458" i="1"/>
  <c r="W458" i="1"/>
  <c r="X458" i="1"/>
  <c r="Y458" i="1"/>
  <c r="Z458" i="1"/>
  <c r="AA458" i="1"/>
  <c r="AB458" i="1"/>
  <c r="AC458" i="1"/>
  <c r="AD458" i="1" s="1"/>
  <c r="AE458" i="1"/>
  <c r="AF458" i="1"/>
  <c r="AG458" i="1"/>
  <c r="AH458" i="1" s="1"/>
  <c r="AI458" i="1"/>
  <c r="AL458" i="1"/>
  <c r="AM458" i="1"/>
  <c r="AN458" i="1"/>
  <c r="AO458" i="1"/>
  <c r="AP458" i="1"/>
  <c r="AQ458" i="1"/>
  <c r="AR458" i="1"/>
  <c r="AS458" i="1"/>
  <c r="AT458" i="1"/>
  <c r="AU458" i="1"/>
  <c r="AV458" i="1"/>
  <c r="AW458" i="1"/>
  <c r="AX458" i="1"/>
  <c r="AY458" i="1"/>
  <c r="AZ458" i="1"/>
  <c r="BA458" i="1"/>
  <c r="BB458" i="1"/>
  <c r="BC458" i="1"/>
  <c r="BD458" i="1"/>
  <c r="A459" i="1"/>
  <c r="B459" i="1"/>
  <c r="C459" i="1"/>
  <c r="D459" i="1"/>
  <c r="E459" i="1"/>
  <c r="F459" i="1"/>
  <c r="G459" i="1"/>
  <c r="H459" i="1"/>
  <c r="I459" i="1"/>
  <c r="J459" i="1"/>
  <c r="K459" i="1"/>
  <c r="L459" i="1"/>
  <c r="M459" i="1" s="1"/>
  <c r="N459" i="1"/>
  <c r="O459" i="1"/>
  <c r="P459" i="1"/>
  <c r="Q459" i="1"/>
  <c r="R459" i="1"/>
  <c r="S459" i="1" s="1"/>
  <c r="T459" i="1"/>
  <c r="U459" i="1"/>
  <c r="V459" i="1"/>
  <c r="W459" i="1"/>
  <c r="X459" i="1"/>
  <c r="Y459" i="1"/>
  <c r="Z459" i="1"/>
  <c r="AA459" i="1"/>
  <c r="AB459" i="1"/>
  <c r="AC459" i="1"/>
  <c r="AD459" i="1" s="1"/>
  <c r="AE459" i="1"/>
  <c r="AF459" i="1"/>
  <c r="AG459" i="1"/>
  <c r="AH459" i="1" s="1"/>
  <c r="AI459" i="1"/>
  <c r="AJ459" i="1"/>
  <c r="AL459" i="1"/>
  <c r="AM459" i="1"/>
  <c r="AN459" i="1"/>
  <c r="AO459" i="1"/>
  <c r="AP459" i="1"/>
  <c r="AQ459" i="1"/>
  <c r="AR459" i="1"/>
  <c r="AS459" i="1"/>
  <c r="AT459" i="1"/>
  <c r="AU459" i="1"/>
  <c r="AV459" i="1"/>
  <c r="AW459" i="1"/>
  <c r="AX459" i="1"/>
  <c r="AY459" i="1"/>
  <c r="AZ459" i="1"/>
  <c r="BA459" i="1"/>
  <c r="BB459" i="1"/>
  <c r="BC459" i="1"/>
  <c r="BD459" i="1"/>
  <c r="A460" i="1"/>
  <c r="B460" i="1"/>
  <c r="C460" i="1"/>
  <c r="D460" i="1"/>
  <c r="E460" i="1"/>
  <c r="F460" i="1"/>
  <c r="G460" i="1"/>
  <c r="H460" i="1"/>
  <c r="I460" i="1"/>
  <c r="J460" i="1"/>
  <c r="K460" i="1"/>
  <c r="M460" i="1"/>
  <c r="N460" i="1"/>
  <c r="O460" i="1"/>
  <c r="P460" i="1"/>
  <c r="Q460" i="1"/>
  <c r="R460" i="1"/>
  <c r="S460" i="1" s="1"/>
  <c r="T460" i="1"/>
  <c r="U460" i="1"/>
  <c r="V460" i="1"/>
  <c r="W460" i="1"/>
  <c r="X460" i="1"/>
  <c r="Y460" i="1"/>
  <c r="Z460" i="1"/>
  <c r="AA460" i="1"/>
  <c r="AB460" i="1"/>
  <c r="AC460" i="1"/>
  <c r="AD460" i="1" s="1"/>
  <c r="AE460" i="1"/>
  <c r="AF460" i="1"/>
  <c r="AG460" i="1"/>
  <c r="AH460" i="1" s="1"/>
  <c r="AI460" i="1"/>
  <c r="AJ460" i="1"/>
  <c r="AL460" i="1"/>
  <c r="AM460" i="1"/>
  <c r="AN460" i="1"/>
  <c r="AO460" i="1"/>
  <c r="AP460" i="1"/>
  <c r="AQ460" i="1"/>
  <c r="AR460" i="1"/>
  <c r="AS460" i="1"/>
  <c r="AT460" i="1"/>
  <c r="AU460" i="1"/>
  <c r="AV460" i="1"/>
  <c r="AW460" i="1"/>
  <c r="AX460" i="1"/>
  <c r="AY460" i="1"/>
  <c r="AZ460" i="1"/>
  <c r="BA460" i="1"/>
  <c r="BB460" i="1"/>
  <c r="BC460" i="1"/>
  <c r="BD460" i="1"/>
  <c r="A461" i="1"/>
  <c r="B461" i="1"/>
  <c r="C461" i="1"/>
  <c r="D461" i="1"/>
  <c r="E461" i="1"/>
  <c r="F461" i="1"/>
  <c r="G461" i="1"/>
  <c r="H461" i="1"/>
  <c r="I461" i="1"/>
  <c r="J461" i="1"/>
  <c r="K461" i="1"/>
  <c r="L461" i="1"/>
  <c r="M461" i="1" s="1"/>
  <c r="N461" i="1"/>
  <c r="O461" i="1"/>
  <c r="P461" i="1"/>
  <c r="Q461" i="1"/>
  <c r="R461" i="1"/>
  <c r="S461" i="1" s="1"/>
  <c r="T461" i="1"/>
  <c r="U461" i="1"/>
  <c r="V461" i="1"/>
  <c r="W461" i="1"/>
  <c r="X461" i="1"/>
  <c r="Y461" i="1"/>
  <c r="Z461" i="1"/>
  <c r="AA461" i="1"/>
  <c r="AB461" i="1"/>
  <c r="AC461" i="1"/>
  <c r="AD461" i="1" s="1"/>
  <c r="AE461" i="1"/>
  <c r="AF461" i="1"/>
  <c r="AG461" i="1"/>
  <c r="AH461" i="1" s="1"/>
  <c r="AI461" i="1"/>
  <c r="AJ461" i="1"/>
  <c r="AL461" i="1"/>
  <c r="AM461" i="1"/>
  <c r="AN461" i="1"/>
  <c r="AO461" i="1"/>
  <c r="AP461" i="1"/>
  <c r="AQ461" i="1"/>
  <c r="AR461" i="1"/>
  <c r="AS461" i="1"/>
  <c r="AT461" i="1"/>
  <c r="AU461" i="1"/>
  <c r="AV461" i="1"/>
  <c r="AW461" i="1"/>
  <c r="AX461" i="1"/>
  <c r="AY461" i="1"/>
  <c r="AZ461" i="1"/>
  <c r="BA461" i="1"/>
  <c r="BB461" i="1"/>
  <c r="BC461" i="1"/>
  <c r="BD461" i="1"/>
  <c r="A462" i="1"/>
  <c r="B462" i="1"/>
  <c r="C462" i="1"/>
  <c r="D462" i="1"/>
  <c r="E462" i="1"/>
  <c r="F462" i="1"/>
  <c r="G462" i="1"/>
  <c r="H462" i="1"/>
  <c r="I462" i="1"/>
  <c r="J462" i="1"/>
  <c r="K462" i="1"/>
  <c r="L462" i="1"/>
  <c r="M462" i="1" s="1"/>
  <c r="N462" i="1"/>
  <c r="O462" i="1"/>
  <c r="P462" i="1"/>
  <c r="Q462" i="1"/>
  <c r="R462" i="1"/>
  <c r="S462" i="1" s="1"/>
  <c r="T462" i="1"/>
  <c r="U462" i="1"/>
  <c r="V462" i="1"/>
  <c r="W462" i="1"/>
  <c r="X462" i="1"/>
  <c r="Y462" i="1"/>
  <c r="Z462" i="1"/>
  <c r="AA462" i="1"/>
  <c r="AB462" i="1"/>
  <c r="AC462" i="1"/>
  <c r="AD462" i="1" s="1"/>
  <c r="AE462" i="1"/>
  <c r="AF462" i="1"/>
  <c r="AG462" i="1"/>
  <c r="AH462" i="1" s="1"/>
  <c r="AI462" i="1"/>
  <c r="AJ462" i="1"/>
  <c r="AL462" i="1"/>
  <c r="AM462" i="1"/>
  <c r="AN462" i="1"/>
  <c r="AO462" i="1"/>
  <c r="AP462" i="1"/>
  <c r="AQ462" i="1"/>
  <c r="AR462" i="1"/>
  <c r="AS462" i="1"/>
  <c r="AT462" i="1"/>
  <c r="AU462" i="1"/>
  <c r="AV462" i="1"/>
  <c r="AW462" i="1"/>
  <c r="AX462" i="1"/>
  <c r="AY462" i="1"/>
  <c r="AZ462" i="1"/>
  <c r="BA462" i="1"/>
  <c r="BB462" i="1"/>
  <c r="BC462" i="1"/>
  <c r="BD462" i="1"/>
  <c r="A463" i="1"/>
  <c r="B463" i="1"/>
  <c r="C463" i="1"/>
  <c r="D463" i="1"/>
  <c r="E463" i="1"/>
  <c r="F463" i="1"/>
  <c r="G463" i="1"/>
  <c r="H463" i="1"/>
  <c r="I463" i="1"/>
  <c r="J463" i="1"/>
  <c r="K463" i="1"/>
  <c r="L463" i="1"/>
  <c r="M463" i="1" s="1"/>
  <c r="N463" i="1"/>
  <c r="O463" i="1"/>
  <c r="P463" i="1"/>
  <c r="Q463" i="1"/>
  <c r="R463" i="1"/>
  <c r="S463" i="1" s="1"/>
  <c r="T463" i="1"/>
  <c r="U463" i="1"/>
  <c r="V463" i="1"/>
  <c r="W463" i="1"/>
  <c r="X463" i="1"/>
  <c r="Y463" i="1"/>
  <c r="Z463" i="1"/>
  <c r="AA463" i="1"/>
  <c r="AB463" i="1"/>
  <c r="AC463" i="1"/>
  <c r="AD463" i="1" s="1"/>
  <c r="AE463" i="1"/>
  <c r="AF463" i="1"/>
  <c r="AG463" i="1"/>
  <c r="AH463" i="1" s="1"/>
  <c r="AI463" i="1"/>
  <c r="AJ463" i="1"/>
  <c r="AL463" i="1"/>
  <c r="AM463" i="1"/>
  <c r="AN463" i="1"/>
  <c r="AO463" i="1"/>
  <c r="AP463" i="1"/>
  <c r="AQ463" i="1"/>
  <c r="AR463" i="1"/>
  <c r="AS463" i="1"/>
  <c r="AT463" i="1"/>
  <c r="AU463" i="1"/>
  <c r="AV463" i="1"/>
  <c r="AW463" i="1"/>
  <c r="AX463" i="1"/>
  <c r="AY463" i="1"/>
  <c r="AZ463" i="1"/>
  <c r="BA463" i="1"/>
  <c r="BB463" i="1"/>
  <c r="BC463" i="1"/>
  <c r="BD463" i="1"/>
  <c r="A464" i="1"/>
  <c r="B464" i="1"/>
  <c r="C464" i="1"/>
  <c r="D464" i="1"/>
  <c r="E464" i="1"/>
  <c r="F464" i="1"/>
  <c r="G464" i="1"/>
  <c r="H464" i="1"/>
  <c r="I464" i="1"/>
  <c r="J464" i="1"/>
  <c r="K464" i="1"/>
  <c r="L464" i="1"/>
  <c r="M464" i="1" s="1"/>
  <c r="N464" i="1"/>
  <c r="O464" i="1"/>
  <c r="P464" i="1"/>
  <c r="Q464" i="1"/>
  <c r="R464" i="1"/>
  <c r="S464" i="1" s="1"/>
  <c r="T464" i="1"/>
  <c r="U464" i="1"/>
  <c r="V464" i="1"/>
  <c r="W464" i="1"/>
  <c r="X464" i="1"/>
  <c r="Y464" i="1"/>
  <c r="Z464" i="1"/>
  <c r="AA464" i="1"/>
  <c r="AB464" i="1"/>
  <c r="AC464" i="1"/>
  <c r="AD464" i="1" s="1"/>
  <c r="AE464" i="1"/>
  <c r="AF464" i="1"/>
  <c r="AG464" i="1"/>
  <c r="AH464" i="1" s="1"/>
  <c r="AI464" i="1"/>
  <c r="AJ464" i="1"/>
  <c r="AL464" i="1"/>
  <c r="AM464" i="1"/>
  <c r="AN464" i="1"/>
  <c r="AO464" i="1"/>
  <c r="AP464" i="1"/>
  <c r="AQ464" i="1"/>
  <c r="AR464" i="1"/>
  <c r="AS464" i="1"/>
  <c r="AT464" i="1"/>
  <c r="AU464" i="1"/>
  <c r="AV464" i="1"/>
  <c r="AW464" i="1"/>
  <c r="AX464" i="1"/>
  <c r="AY464" i="1"/>
  <c r="AZ464" i="1"/>
  <c r="BA464" i="1"/>
  <c r="BB464" i="1"/>
  <c r="BC464" i="1"/>
  <c r="BD464" i="1"/>
  <c r="A465" i="1"/>
  <c r="B465" i="1"/>
  <c r="C465" i="1"/>
  <c r="D465" i="1"/>
  <c r="E465" i="1"/>
  <c r="F465" i="1"/>
  <c r="G465" i="1"/>
  <c r="H465" i="1"/>
  <c r="I465" i="1"/>
  <c r="J465" i="1"/>
  <c r="K465" i="1"/>
  <c r="L465" i="1"/>
  <c r="M465" i="1" s="1"/>
  <c r="N465" i="1"/>
  <c r="O465" i="1"/>
  <c r="P465" i="1"/>
  <c r="Q465" i="1"/>
  <c r="S465" i="1"/>
  <c r="T465" i="1"/>
  <c r="U465" i="1"/>
  <c r="V465" i="1"/>
  <c r="W465" i="1"/>
  <c r="X465" i="1"/>
  <c r="Y465" i="1"/>
  <c r="Z465" i="1"/>
  <c r="AA465" i="1"/>
  <c r="AB465" i="1"/>
  <c r="AC465" i="1"/>
  <c r="AD465" i="1" s="1"/>
  <c r="AE465" i="1"/>
  <c r="AF465" i="1"/>
  <c r="AI465" i="1"/>
  <c r="AL465" i="1"/>
  <c r="AM465" i="1"/>
  <c r="AN465" i="1"/>
  <c r="AO465" i="1"/>
  <c r="AP465" i="1"/>
  <c r="AQ465" i="1"/>
  <c r="AR465" i="1"/>
  <c r="AS465" i="1"/>
  <c r="AT465" i="1"/>
  <c r="AU465" i="1"/>
  <c r="AV465" i="1"/>
  <c r="AW465" i="1"/>
  <c r="AX465" i="1"/>
  <c r="AY465" i="1"/>
  <c r="AZ465" i="1"/>
  <c r="BA465" i="1"/>
  <c r="BB465" i="1"/>
  <c r="BC465" i="1"/>
  <c r="BD465" i="1"/>
  <c r="A466" i="1"/>
  <c r="B466" i="1"/>
  <c r="C466" i="1"/>
  <c r="D466" i="1"/>
  <c r="E466" i="1"/>
  <c r="F466" i="1"/>
  <c r="G466" i="1"/>
  <c r="H466" i="1"/>
  <c r="I466" i="1"/>
  <c r="J466" i="1"/>
  <c r="K466" i="1"/>
  <c r="L466" i="1"/>
  <c r="M466" i="1" s="1"/>
  <c r="N466" i="1"/>
  <c r="O466" i="1"/>
  <c r="P466" i="1"/>
  <c r="Q466" i="1"/>
  <c r="R466" i="1"/>
  <c r="S466" i="1" s="1"/>
  <c r="T466" i="1"/>
  <c r="U466" i="1"/>
  <c r="V466" i="1"/>
  <c r="W466" i="1"/>
  <c r="X466" i="1"/>
  <c r="Y466" i="1"/>
  <c r="Z466" i="1"/>
  <c r="AA466" i="1"/>
  <c r="AB466" i="1"/>
  <c r="AC466" i="1"/>
  <c r="AD466" i="1" s="1"/>
  <c r="AE466" i="1"/>
  <c r="AF466" i="1"/>
  <c r="AG466" i="1"/>
  <c r="AH466" i="1" s="1"/>
  <c r="AI466" i="1"/>
  <c r="AJ466" i="1"/>
  <c r="AL466" i="1"/>
  <c r="AM466" i="1"/>
  <c r="AN466" i="1"/>
  <c r="AO466" i="1"/>
  <c r="AP466" i="1"/>
  <c r="AQ466" i="1"/>
  <c r="AR466" i="1"/>
  <c r="AS466" i="1"/>
  <c r="AT466" i="1"/>
  <c r="AU466" i="1"/>
  <c r="AV466" i="1"/>
  <c r="AW466" i="1"/>
  <c r="AX466" i="1"/>
  <c r="AY466" i="1"/>
  <c r="AZ466" i="1"/>
  <c r="BA466" i="1"/>
  <c r="BB466" i="1"/>
  <c r="BC466" i="1"/>
  <c r="BD466" i="1"/>
  <c r="A467" i="1"/>
  <c r="B467" i="1"/>
  <c r="C467" i="1"/>
  <c r="D467" i="1"/>
  <c r="E467" i="1"/>
  <c r="F467" i="1"/>
  <c r="G467" i="1"/>
  <c r="H467" i="1"/>
  <c r="I467" i="1"/>
  <c r="J467" i="1"/>
  <c r="K467" i="1"/>
  <c r="L467" i="1"/>
  <c r="M467" i="1" s="1"/>
  <c r="N467" i="1"/>
  <c r="O467" i="1"/>
  <c r="P467" i="1"/>
  <c r="Q467" i="1"/>
  <c r="R467" i="1"/>
  <c r="S467" i="1" s="1"/>
  <c r="T467" i="1"/>
  <c r="U467" i="1"/>
  <c r="V467" i="1"/>
  <c r="W467" i="1"/>
  <c r="X467" i="1"/>
  <c r="Y467" i="1"/>
  <c r="Z467" i="1"/>
  <c r="AA467" i="1"/>
  <c r="AB467" i="1"/>
  <c r="AC467" i="1"/>
  <c r="AD467" i="1" s="1"/>
  <c r="AE467" i="1"/>
  <c r="AF467" i="1"/>
  <c r="AG467" i="1"/>
  <c r="AH467" i="1" s="1"/>
  <c r="AI467" i="1"/>
  <c r="AJ467" i="1"/>
  <c r="AL467" i="1"/>
  <c r="AM467" i="1"/>
  <c r="AN467" i="1"/>
  <c r="AO467" i="1"/>
  <c r="AP467" i="1"/>
  <c r="AQ467" i="1"/>
  <c r="AR467" i="1"/>
  <c r="AS467" i="1"/>
  <c r="AT467" i="1"/>
  <c r="AU467" i="1"/>
  <c r="AV467" i="1"/>
  <c r="AW467" i="1"/>
  <c r="AX467" i="1"/>
  <c r="AY467" i="1"/>
  <c r="AZ467" i="1"/>
  <c r="BA467" i="1"/>
  <c r="BB467" i="1"/>
  <c r="BC467" i="1"/>
  <c r="BD467" i="1"/>
  <c r="A468" i="1"/>
  <c r="B468" i="1"/>
  <c r="C468" i="1"/>
  <c r="D468" i="1"/>
  <c r="E468" i="1"/>
  <c r="F468" i="1"/>
  <c r="G468" i="1"/>
  <c r="H468" i="1"/>
  <c r="I468" i="1"/>
  <c r="J468" i="1"/>
  <c r="K468" i="1"/>
  <c r="L468" i="1"/>
  <c r="M468" i="1" s="1"/>
  <c r="N468" i="1"/>
  <c r="O468" i="1"/>
  <c r="P468" i="1"/>
  <c r="Q468" i="1"/>
  <c r="R468" i="1"/>
  <c r="S468" i="1" s="1"/>
  <c r="T468" i="1"/>
  <c r="U468" i="1"/>
  <c r="V468" i="1"/>
  <c r="W468" i="1"/>
  <c r="X468" i="1"/>
  <c r="Y468" i="1"/>
  <c r="Z468" i="1"/>
  <c r="AA468" i="1"/>
  <c r="AB468" i="1"/>
  <c r="AC468" i="1"/>
  <c r="AD468" i="1" s="1"/>
  <c r="AE468" i="1"/>
  <c r="AF468" i="1"/>
  <c r="AG468" i="1"/>
  <c r="AH468" i="1" s="1"/>
  <c r="AI468" i="1"/>
  <c r="AJ468" i="1"/>
  <c r="AL468" i="1"/>
  <c r="AM468" i="1"/>
  <c r="AN468" i="1"/>
  <c r="AO468" i="1"/>
  <c r="AP468" i="1"/>
  <c r="AQ468" i="1"/>
  <c r="AR468" i="1"/>
  <c r="AS468" i="1"/>
  <c r="AT468" i="1"/>
  <c r="AU468" i="1"/>
  <c r="AV468" i="1"/>
  <c r="AW468" i="1"/>
  <c r="AX468" i="1"/>
  <c r="AY468" i="1"/>
  <c r="AZ468" i="1"/>
  <c r="BA468" i="1"/>
  <c r="BB468" i="1"/>
  <c r="BC468" i="1"/>
  <c r="BD468" i="1"/>
  <c r="A469" i="1"/>
  <c r="B469" i="1"/>
  <c r="C469" i="1"/>
  <c r="D469" i="1"/>
  <c r="E469" i="1"/>
  <c r="F469" i="1"/>
  <c r="G469" i="1"/>
  <c r="H469" i="1"/>
  <c r="I469" i="1"/>
  <c r="J469" i="1"/>
  <c r="K469" i="1"/>
  <c r="L469" i="1"/>
  <c r="M469" i="1" s="1"/>
  <c r="N469" i="1"/>
  <c r="O469" i="1"/>
  <c r="P469" i="1"/>
  <c r="Q469" i="1"/>
  <c r="R469" i="1"/>
  <c r="S469" i="1" s="1"/>
  <c r="T469" i="1"/>
  <c r="U469" i="1"/>
  <c r="V469" i="1"/>
  <c r="W469" i="1"/>
  <c r="X469" i="1"/>
  <c r="Y469" i="1"/>
  <c r="Z469" i="1"/>
  <c r="AA469" i="1"/>
  <c r="AB469" i="1"/>
  <c r="AC469" i="1"/>
  <c r="AD469" i="1" s="1"/>
  <c r="AE469" i="1"/>
  <c r="AF469" i="1"/>
  <c r="AI469" i="1"/>
  <c r="AL469" i="1"/>
  <c r="AM469" i="1"/>
  <c r="AN469" i="1"/>
  <c r="AO469" i="1"/>
  <c r="AP469" i="1"/>
  <c r="AQ469" i="1"/>
  <c r="AR469" i="1"/>
  <c r="AS469" i="1"/>
  <c r="AT469" i="1"/>
  <c r="AU469" i="1"/>
  <c r="AV469" i="1"/>
  <c r="AW469" i="1"/>
  <c r="AX469" i="1"/>
  <c r="AY469" i="1"/>
  <c r="AZ469" i="1"/>
  <c r="BA469" i="1"/>
  <c r="BB469" i="1"/>
  <c r="BC469" i="1"/>
  <c r="BD469" i="1"/>
  <c r="A470" i="1"/>
  <c r="B470" i="1"/>
  <c r="C470" i="1"/>
  <c r="D470" i="1"/>
  <c r="E470" i="1"/>
  <c r="F470" i="1"/>
  <c r="G470" i="1"/>
  <c r="H470" i="1"/>
  <c r="I470" i="1"/>
  <c r="J470" i="1"/>
  <c r="K470" i="1"/>
  <c r="L470" i="1"/>
  <c r="M470" i="1" s="1"/>
  <c r="N470" i="1"/>
  <c r="O470" i="1"/>
  <c r="P470" i="1"/>
  <c r="Q470" i="1"/>
  <c r="R470" i="1"/>
  <c r="S470" i="1" s="1"/>
  <c r="T470" i="1"/>
  <c r="U470" i="1"/>
  <c r="V470" i="1"/>
  <c r="W470" i="1"/>
  <c r="X470" i="1"/>
  <c r="Y470" i="1"/>
  <c r="Z470" i="1"/>
  <c r="AA470" i="1"/>
  <c r="AB470" i="1"/>
  <c r="AC470" i="1"/>
  <c r="AD470" i="1" s="1"/>
  <c r="AE470" i="1"/>
  <c r="AF470" i="1"/>
  <c r="AI470" i="1"/>
  <c r="AJ470" i="1"/>
  <c r="AL470" i="1"/>
  <c r="AM470" i="1"/>
  <c r="AN470" i="1"/>
  <c r="AO470" i="1"/>
  <c r="AP470" i="1"/>
  <c r="AQ470" i="1"/>
  <c r="AR470" i="1"/>
  <c r="AS470" i="1"/>
  <c r="AT470" i="1"/>
  <c r="AU470" i="1"/>
  <c r="AV470" i="1"/>
  <c r="AW470" i="1"/>
  <c r="AX470" i="1"/>
  <c r="AY470" i="1"/>
  <c r="AZ470" i="1"/>
  <c r="BA470" i="1"/>
  <c r="BB470" i="1"/>
  <c r="BC470" i="1"/>
  <c r="BD470" i="1"/>
  <c r="A471" i="1"/>
  <c r="B471" i="1"/>
  <c r="C471" i="1"/>
  <c r="D471" i="1"/>
  <c r="E471" i="1"/>
  <c r="F471" i="1"/>
  <c r="G471" i="1"/>
  <c r="H471" i="1"/>
  <c r="I471" i="1"/>
  <c r="J471" i="1"/>
  <c r="K471" i="1"/>
  <c r="L471" i="1"/>
  <c r="M471" i="1" s="1"/>
  <c r="N471" i="1"/>
  <c r="O471" i="1"/>
  <c r="P471" i="1"/>
  <c r="Q471" i="1"/>
  <c r="R471" i="1"/>
  <c r="S471" i="1" s="1"/>
  <c r="T471" i="1"/>
  <c r="U471" i="1"/>
  <c r="V471" i="1"/>
  <c r="W471" i="1"/>
  <c r="X471" i="1"/>
  <c r="Y471" i="1"/>
  <c r="Z471" i="1"/>
  <c r="AA471" i="1"/>
  <c r="AB471" i="1"/>
  <c r="AC471" i="1"/>
  <c r="AD471" i="1" s="1"/>
  <c r="AE471" i="1"/>
  <c r="AF471" i="1"/>
  <c r="AI471" i="1"/>
  <c r="AJ471" i="1"/>
  <c r="AL471" i="1"/>
  <c r="AM471" i="1"/>
  <c r="AN471" i="1"/>
  <c r="AO471" i="1"/>
  <c r="AP471" i="1"/>
  <c r="AQ471" i="1"/>
  <c r="AR471" i="1"/>
  <c r="AS471" i="1"/>
  <c r="AT471" i="1"/>
  <c r="AU471" i="1"/>
  <c r="AV471" i="1"/>
  <c r="AW471" i="1"/>
  <c r="AX471" i="1"/>
  <c r="AY471" i="1"/>
  <c r="AZ471" i="1"/>
  <c r="BA471" i="1"/>
  <c r="BB471" i="1"/>
  <c r="BC471" i="1"/>
  <c r="BD471" i="1"/>
  <c r="A472" i="1"/>
  <c r="B472" i="1"/>
  <c r="C472" i="1"/>
  <c r="D472" i="1"/>
  <c r="E472" i="1"/>
  <c r="F472" i="1"/>
  <c r="G472" i="1"/>
  <c r="H472" i="1"/>
  <c r="I472" i="1"/>
  <c r="J472" i="1"/>
  <c r="K472" i="1"/>
  <c r="L472" i="1"/>
  <c r="M472" i="1" s="1"/>
  <c r="N472" i="1"/>
  <c r="O472" i="1"/>
  <c r="P472" i="1"/>
  <c r="Q472" i="1"/>
  <c r="R472" i="1"/>
  <c r="S472" i="1" s="1"/>
  <c r="T472" i="1"/>
  <c r="U472" i="1"/>
  <c r="V472" i="1"/>
  <c r="W472" i="1"/>
  <c r="X472" i="1"/>
  <c r="Y472" i="1"/>
  <c r="Z472" i="1"/>
  <c r="AA472" i="1"/>
  <c r="AB472" i="1"/>
  <c r="AC472" i="1"/>
  <c r="AD472" i="1" s="1"/>
  <c r="AE472" i="1"/>
  <c r="AF472" i="1"/>
  <c r="AG472" i="1"/>
  <c r="AH472" i="1" s="1"/>
  <c r="AI472" i="1"/>
  <c r="AJ472" i="1"/>
  <c r="AL472" i="1"/>
  <c r="AM472" i="1"/>
  <c r="AN472" i="1"/>
  <c r="AO472" i="1"/>
  <c r="AP472" i="1"/>
  <c r="AQ472" i="1"/>
  <c r="AR472" i="1"/>
  <c r="AS472" i="1"/>
  <c r="AT472" i="1"/>
  <c r="AU472" i="1"/>
  <c r="AV472" i="1"/>
  <c r="AW472" i="1"/>
  <c r="AX472" i="1"/>
  <c r="AY472" i="1"/>
  <c r="AZ472" i="1"/>
  <c r="BA472" i="1"/>
  <c r="BB472" i="1"/>
  <c r="BC472" i="1"/>
  <c r="BD472" i="1"/>
  <c r="A473" i="1"/>
  <c r="B473" i="1"/>
  <c r="C473" i="1"/>
  <c r="D473" i="1"/>
  <c r="E473" i="1"/>
  <c r="F473" i="1"/>
  <c r="G473" i="1"/>
  <c r="H473" i="1"/>
  <c r="I473" i="1"/>
  <c r="J473" i="1"/>
  <c r="K473" i="1"/>
  <c r="L473" i="1"/>
  <c r="M473" i="1" s="1"/>
  <c r="N473" i="1"/>
  <c r="O473" i="1"/>
  <c r="P473" i="1"/>
  <c r="Q473" i="1"/>
  <c r="S473" i="1"/>
  <c r="T473" i="1"/>
  <c r="U473" i="1"/>
  <c r="V473" i="1"/>
  <c r="W473" i="1"/>
  <c r="X473" i="1"/>
  <c r="Y473" i="1"/>
  <c r="Z473" i="1"/>
  <c r="AA473" i="1"/>
  <c r="AB473" i="1"/>
  <c r="AC473" i="1"/>
  <c r="AD473" i="1" s="1"/>
  <c r="AE473" i="1"/>
  <c r="AF473" i="1"/>
  <c r="AG473" i="1"/>
  <c r="AH473" i="1" s="1"/>
  <c r="AI473" i="1"/>
  <c r="AJ473" i="1"/>
  <c r="AL473" i="1"/>
  <c r="AM473" i="1"/>
  <c r="AN473" i="1"/>
  <c r="AO473" i="1"/>
  <c r="AP473" i="1"/>
  <c r="AQ473" i="1"/>
  <c r="AR473" i="1"/>
  <c r="AS473" i="1"/>
  <c r="AT473" i="1"/>
  <c r="AU473" i="1"/>
  <c r="AV473" i="1"/>
  <c r="AW473" i="1"/>
  <c r="AX473" i="1"/>
  <c r="AY473" i="1"/>
  <c r="AZ473" i="1"/>
  <c r="BA473" i="1"/>
  <c r="BB473" i="1"/>
  <c r="BC473" i="1"/>
  <c r="BD473" i="1"/>
  <c r="A474" i="1"/>
  <c r="B474" i="1"/>
  <c r="C474" i="1"/>
  <c r="D474" i="1"/>
  <c r="E474" i="1"/>
  <c r="F474" i="1"/>
  <c r="G474" i="1"/>
  <c r="H474" i="1"/>
  <c r="I474" i="1"/>
  <c r="J474" i="1"/>
  <c r="K474" i="1"/>
  <c r="L474" i="1"/>
  <c r="M474" i="1" s="1"/>
  <c r="N474" i="1"/>
  <c r="O474" i="1"/>
  <c r="P474" i="1"/>
  <c r="Q474" i="1"/>
  <c r="R474" i="1"/>
  <c r="S474" i="1" s="1"/>
  <c r="T474" i="1"/>
  <c r="U474" i="1"/>
  <c r="V474" i="1"/>
  <c r="W474" i="1"/>
  <c r="X474" i="1"/>
  <c r="Y474" i="1"/>
  <c r="Z474" i="1"/>
  <c r="AA474" i="1"/>
  <c r="AB474" i="1"/>
  <c r="AC474" i="1"/>
  <c r="AD474" i="1" s="1"/>
  <c r="AE474" i="1"/>
  <c r="AF474" i="1"/>
  <c r="AG474" i="1"/>
  <c r="AH474" i="1" s="1"/>
  <c r="AI474" i="1"/>
  <c r="AJ474" i="1"/>
  <c r="AL474" i="1"/>
  <c r="AM474" i="1"/>
  <c r="AN474" i="1"/>
  <c r="AO474" i="1"/>
  <c r="AP474" i="1"/>
  <c r="AQ474" i="1"/>
  <c r="AR474" i="1"/>
  <c r="AS474" i="1"/>
  <c r="AT474" i="1"/>
  <c r="AU474" i="1"/>
  <c r="AV474" i="1"/>
  <c r="AW474" i="1"/>
  <c r="AX474" i="1"/>
  <c r="AY474" i="1"/>
  <c r="AZ474" i="1"/>
  <c r="BA474" i="1"/>
  <c r="BB474" i="1"/>
  <c r="BC474" i="1"/>
  <c r="BD474" i="1"/>
  <c r="A475" i="1"/>
  <c r="B475" i="1"/>
  <c r="C475" i="1"/>
  <c r="D475" i="1"/>
  <c r="E475" i="1"/>
  <c r="F475" i="1"/>
  <c r="G475" i="1"/>
  <c r="H475" i="1"/>
  <c r="I475" i="1"/>
  <c r="J475" i="1"/>
  <c r="K475" i="1"/>
  <c r="L475" i="1"/>
  <c r="M475" i="1" s="1"/>
  <c r="N475" i="1"/>
  <c r="O475" i="1"/>
  <c r="P475" i="1"/>
  <c r="Q475" i="1"/>
  <c r="R475" i="1"/>
  <c r="S475" i="1" s="1"/>
  <c r="T475" i="1"/>
  <c r="U475" i="1"/>
  <c r="V475" i="1"/>
  <c r="W475" i="1"/>
  <c r="X475" i="1"/>
  <c r="Y475" i="1"/>
  <c r="Z475" i="1"/>
  <c r="AA475" i="1"/>
  <c r="AB475" i="1"/>
  <c r="AC475" i="1"/>
  <c r="AD475" i="1" s="1"/>
  <c r="AE475" i="1"/>
  <c r="AF475" i="1"/>
  <c r="AG475" i="1"/>
  <c r="AH475" i="1" s="1"/>
  <c r="AI475" i="1"/>
  <c r="AJ475" i="1"/>
  <c r="AL475" i="1"/>
  <c r="AM475" i="1"/>
  <c r="AN475" i="1"/>
  <c r="AO475" i="1"/>
  <c r="AP475" i="1"/>
  <c r="AQ475" i="1"/>
  <c r="AR475" i="1"/>
  <c r="AS475" i="1"/>
  <c r="AT475" i="1"/>
  <c r="AU475" i="1"/>
  <c r="AV475" i="1"/>
  <c r="AW475" i="1"/>
  <c r="AX475" i="1"/>
  <c r="AY475" i="1"/>
  <c r="AZ475" i="1"/>
  <c r="BA475" i="1"/>
  <c r="BB475" i="1"/>
  <c r="BC475" i="1"/>
  <c r="BD475" i="1"/>
  <c r="A476" i="1"/>
  <c r="B476" i="1"/>
  <c r="C476" i="1"/>
  <c r="D476" i="1"/>
  <c r="E476" i="1"/>
  <c r="F476" i="1"/>
  <c r="G476" i="1"/>
  <c r="H476" i="1"/>
  <c r="I476" i="1"/>
  <c r="J476" i="1"/>
  <c r="K476" i="1"/>
  <c r="L476" i="1"/>
  <c r="M476" i="1" s="1"/>
  <c r="N476" i="1"/>
  <c r="O476" i="1"/>
  <c r="P476" i="1"/>
  <c r="Q476" i="1"/>
  <c r="R476" i="1"/>
  <c r="S476" i="1" s="1"/>
  <c r="T476" i="1"/>
  <c r="U476" i="1"/>
  <c r="V476" i="1"/>
  <c r="W476" i="1"/>
  <c r="X476" i="1"/>
  <c r="Y476" i="1"/>
  <c r="Z476" i="1"/>
  <c r="AA476" i="1"/>
  <c r="AB476" i="1"/>
  <c r="AC476" i="1"/>
  <c r="AD476" i="1" s="1"/>
  <c r="AE476" i="1"/>
  <c r="AF476" i="1"/>
  <c r="AG476" i="1"/>
  <c r="AH476" i="1" s="1"/>
  <c r="AI476" i="1"/>
  <c r="AJ476" i="1"/>
  <c r="AL476" i="1"/>
  <c r="AM476" i="1"/>
  <c r="AN476" i="1"/>
  <c r="AO476" i="1"/>
  <c r="AP476" i="1"/>
  <c r="AQ476" i="1"/>
  <c r="AR476" i="1"/>
  <c r="AS476" i="1"/>
  <c r="AT476" i="1"/>
  <c r="AU476" i="1"/>
  <c r="AV476" i="1"/>
  <c r="AW476" i="1"/>
  <c r="AX476" i="1"/>
  <c r="AY476" i="1"/>
  <c r="AZ476" i="1"/>
  <c r="BA476" i="1"/>
  <c r="BB476" i="1"/>
  <c r="BC476" i="1"/>
  <c r="BD476" i="1"/>
  <c r="A477" i="1"/>
  <c r="B477" i="1"/>
  <c r="C477" i="1"/>
  <c r="D477" i="1"/>
  <c r="E477" i="1"/>
  <c r="F477" i="1"/>
  <c r="G477" i="1"/>
  <c r="H477" i="1"/>
  <c r="I477" i="1"/>
  <c r="J477" i="1"/>
  <c r="K477" i="1"/>
  <c r="L477" i="1"/>
  <c r="M477" i="1" s="1"/>
  <c r="N477" i="1"/>
  <c r="O477" i="1"/>
  <c r="P477" i="1"/>
  <c r="Q477" i="1"/>
  <c r="R477" i="1"/>
  <c r="S477" i="1" s="1"/>
  <c r="T477" i="1"/>
  <c r="U477" i="1"/>
  <c r="V477" i="1"/>
  <c r="W477" i="1"/>
  <c r="X477" i="1"/>
  <c r="Y477" i="1"/>
  <c r="Z477" i="1"/>
  <c r="AA477" i="1"/>
  <c r="AB477" i="1"/>
  <c r="AC477" i="1"/>
  <c r="AD477" i="1" s="1"/>
  <c r="AE477" i="1"/>
  <c r="AF477" i="1"/>
  <c r="AG477" i="1"/>
  <c r="AH477" i="1" s="1"/>
  <c r="AI477" i="1"/>
  <c r="AJ477" i="1"/>
  <c r="AL477" i="1"/>
  <c r="AM477" i="1"/>
  <c r="AN477" i="1"/>
  <c r="AO477" i="1"/>
  <c r="AP477" i="1"/>
  <c r="AQ477" i="1"/>
  <c r="AR477" i="1"/>
  <c r="AS477" i="1"/>
  <c r="AT477" i="1"/>
  <c r="AU477" i="1"/>
  <c r="AV477" i="1"/>
  <c r="AW477" i="1"/>
  <c r="AX477" i="1"/>
  <c r="AY477" i="1"/>
  <c r="AZ477" i="1"/>
  <c r="BA477" i="1"/>
  <c r="BB477" i="1"/>
  <c r="BC477" i="1"/>
  <c r="BD477" i="1"/>
  <c r="A478" i="1"/>
  <c r="B478" i="1"/>
  <c r="C478" i="1"/>
  <c r="D478" i="1"/>
  <c r="E478" i="1"/>
  <c r="F478" i="1"/>
  <c r="G478" i="1"/>
  <c r="H478" i="1"/>
  <c r="I478" i="1"/>
  <c r="J478" i="1"/>
  <c r="K478" i="1"/>
  <c r="M478" i="1"/>
  <c r="N478" i="1"/>
  <c r="O478" i="1"/>
  <c r="P478" i="1"/>
  <c r="Q478" i="1"/>
  <c r="R478" i="1"/>
  <c r="S478" i="1" s="1"/>
  <c r="T478" i="1"/>
  <c r="U478" i="1"/>
  <c r="V478" i="1"/>
  <c r="W478" i="1"/>
  <c r="X478" i="1"/>
  <c r="Y478" i="1"/>
  <c r="Z478" i="1"/>
  <c r="AA478" i="1"/>
  <c r="AB478" i="1"/>
  <c r="AC478" i="1"/>
  <c r="AD478" i="1" s="1"/>
  <c r="AE478" i="1"/>
  <c r="AF478" i="1"/>
  <c r="AG478" i="1"/>
  <c r="AH478" i="1" s="1"/>
  <c r="AI478" i="1"/>
  <c r="AJ478" i="1"/>
  <c r="AL478" i="1"/>
  <c r="AM478" i="1"/>
  <c r="AN478" i="1"/>
  <c r="AO478" i="1"/>
  <c r="AP478" i="1"/>
  <c r="AQ478" i="1"/>
  <c r="AR478" i="1"/>
  <c r="AS478" i="1"/>
  <c r="AT478" i="1"/>
  <c r="AU478" i="1"/>
  <c r="AV478" i="1"/>
  <c r="AW478" i="1"/>
  <c r="AX478" i="1"/>
  <c r="AY478" i="1"/>
  <c r="AZ478" i="1"/>
  <c r="BA478" i="1"/>
  <c r="BB478" i="1"/>
  <c r="BC478" i="1"/>
  <c r="BD478" i="1"/>
  <c r="A479" i="1"/>
  <c r="B479" i="1"/>
  <c r="C479" i="1"/>
  <c r="D479" i="1"/>
  <c r="E479" i="1"/>
  <c r="F479" i="1"/>
  <c r="G479" i="1"/>
  <c r="H479" i="1"/>
  <c r="I479" i="1"/>
  <c r="J479" i="1"/>
  <c r="K479" i="1"/>
  <c r="L479" i="1"/>
  <c r="M479" i="1" s="1"/>
  <c r="N479" i="1"/>
  <c r="O479" i="1"/>
  <c r="P479" i="1"/>
  <c r="Q479" i="1"/>
  <c r="R479" i="1"/>
  <c r="S479" i="1" s="1"/>
  <c r="T479" i="1"/>
  <c r="U479" i="1"/>
  <c r="V479" i="1"/>
  <c r="W479" i="1"/>
  <c r="X479" i="1"/>
  <c r="Y479" i="1"/>
  <c r="Z479" i="1"/>
  <c r="AA479" i="1"/>
  <c r="AB479" i="1"/>
  <c r="AC479" i="1"/>
  <c r="AD479" i="1" s="1"/>
  <c r="AE479" i="1"/>
  <c r="AF479" i="1"/>
  <c r="AG479" i="1"/>
  <c r="AH479" i="1" s="1"/>
  <c r="AI479" i="1"/>
  <c r="AJ479" i="1"/>
  <c r="AL479" i="1"/>
  <c r="AM479" i="1"/>
  <c r="AN479" i="1"/>
  <c r="AO479" i="1"/>
  <c r="AP479" i="1"/>
  <c r="AQ479" i="1"/>
  <c r="AR479" i="1"/>
  <c r="AS479" i="1"/>
  <c r="AT479" i="1"/>
  <c r="AU479" i="1"/>
  <c r="AV479" i="1"/>
  <c r="AW479" i="1"/>
  <c r="AX479" i="1"/>
  <c r="AY479" i="1"/>
  <c r="AZ479" i="1"/>
  <c r="BA479" i="1"/>
  <c r="BB479" i="1"/>
  <c r="BC479" i="1"/>
  <c r="BD479" i="1"/>
  <c r="A480" i="1"/>
  <c r="B480" i="1"/>
  <c r="C480" i="1"/>
  <c r="D480" i="1"/>
  <c r="E480" i="1"/>
  <c r="F480" i="1"/>
  <c r="G480" i="1"/>
  <c r="H480" i="1"/>
  <c r="I480" i="1"/>
  <c r="J480" i="1"/>
  <c r="K480" i="1"/>
  <c r="L480" i="1"/>
  <c r="M480" i="1" s="1"/>
  <c r="N480" i="1"/>
  <c r="O480" i="1"/>
  <c r="P480" i="1"/>
  <c r="Q480" i="1"/>
  <c r="R480" i="1"/>
  <c r="S480" i="1" s="1"/>
  <c r="T480" i="1"/>
  <c r="U480" i="1"/>
  <c r="V480" i="1"/>
  <c r="W480" i="1"/>
  <c r="X480" i="1"/>
  <c r="Y480" i="1"/>
  <c r="Z480" i="1"/>
  <c r="AA480" i="1"/>
  <c r="AB480" i="1"/>
  <c r="AD480" i="1"/>
  <c r="AE480" i="1"/>
  <c r="AF480" i="1"/>
  <c r="AG480" i="1"/>
  <c r="AH480" i="1" s="1"/>
  <c r="AI480" i="1"/>
  <c r="AJ480" i="1"/>
  <c r="AL480" i="1"/>
  <c r="AM480" i="1"/>
  <c r="AN480" i="1"/>
  <c r="AO480" i="1"/>
  <c r="AP480" i="1"/>
  <c r="AQ480" i="1"/>
  <c r="AR480" i="1"/>
  <c r="AS480" i="1"/>
  <c r="AT480" i="1"/>
  <c r="AU480" i="1"/>
  <c r="AV480" i="1"/>
  <c r="AW480" i="1"/>
  <c r="AX480" i="1"/>
  <c r="AY480" i="1"/>
  <c r="AZ480" i="1"/>
  <c r="BA480" i="1"/>
  <c r="BB480" i="1"/>
  <c r="BC480" i="1"/>
  <c r="BD480" i="1"/>
  <c r="A481" i="1"/>
  <c r="B481" i="1"/>
  <c r="C481" i="1"/>
  <c r="D481" i="1"/>
  <c r="E481" i="1"/>
  <c r="F481" i="1"/>
  <c r="G481" i="1"/>
  <c r="H481" i="1"/>
  <c r="I481" i="1"/>
  <c r="J481" i="1"/>
  <c r="K481" i="1"/>
  <c r="L481" i="1"/>
  <c r="M481" i="1" s="1"/>
  <c r="N481" i="1"/>
  <c r="O481" i="1"/>
  <c r="P481" i="1"/>
  <c r="Q481" i="1"/>
  <c r="R481" i="1"/>
  <c r="S481" i="1" s="1"/>
  <c r="T481" i="1"/>
  <c r="U481" i="1"/>
  <c r="V481" i="1"/>
  <c r="W481" i="1"/>
  <c r="X481" i="1"/>
  <c r="Y481" i="1"/>
  <c r="Z481" i="1"/>
  <c r="AA481" i="1"/>
  <c r="AB481" i="1"/>
  <c r="AC481" i="1"/>
  <c r="AD481" i="1" s="1"/>
  <c r="AE481" i="1"/>
  <c r="AF481" i="1"/>
  <c r="AG481" i="1"/>
  <c r="AH481" i="1" s="1"/>
  <c r="AI481" i="1"/>
  <c r="AJ481" i="1"/>
  <c r="AL481" i="1"/>
  <c r="AM481" i="1"/>
  <c r="AN481" i="1"/>
  <c r="AO481" i="1"/>
  <c r="AP481" i="1"/>
  <c r="AQ481" i="1"/>
  <c r="AR481" i="1"/>
  <c r="AS481" i="1"/>
  <c r="AT481" i="1"/>
  <c r="AU481" i="1"/>
  <c r="AV481" i="1"/>
  <c r="AW481" i="1"/>
  <c r="AX481" i="1"/>
  <c r="AY481" i="1"/>
  <c r="AZ481" i="1"/>
  <c r="BA481" i="1"/>
  <c r="BB481" i="1"/>
  <c r="BC481" i="1"/>
  <c r="BD481" i="1"/>
  <c r="A482" i="1"/>
  <c r="B482" i="1"/>
  <c r="C482" i="1"/>
  <c r="D482" i="1"/>
  <c r="E482" i="1"/>
  <c r="F482" i="1"/>
  <c r="G482" i="1"/>
  <c r="H482" i="1"/>
  <c r="I482" i="1"/>
  <c r="J482" i="1"/>
  <c r="K482" i="1"/>
  <c r="L482" i="1"/>
  <c r="M482" i="1" s="1"/>
  <c r="N482" i="1"/>
  <c r="O482" i="1"/>
  <c r="P482" i="1"/>
  <c r="Q482" i="1"/>
  <c r="R482" i="1"/>
  <c r="S482" i="1" s="1"/>
  <c r="T482" i="1"/>
  <c r="U482" i="1"/>
  <c r="V482" i="1"/>
  <c r="W482" i="1"/>
  <c r="X482" i="1"/>
  <c r="Y482" i="1"/>
  <c r="Z482" i="1"/>
  <c r="AA482" i="1"/>
  <c r="AB482" i="1"/>
  <c r="AC482" i="1"/>
  <c r="AD482" i="1" s="1"/>
  <c r="AE482" i="1"/>
  <c r="AF482" i="1"/>
  <c r="AG482" i="1"/>
  <c r="AH482" i="1" s="1"/>
  <c r="AI482" i="1"/>
  <c r="AJ482" i="1"/>
  <c r="AL482" i="1"/>
  <c r="AM482" i="1"/>
  <c r="AN482" i="1"/>
  <c r="AO482" i="1"/>
  <c r="AP482" i="1"/>
  <c r="AQ482" i="1"/>
  <c r="AR482" i="1"/>
  <c r="AS482" i="1"/>
  <c r="AT482" i="1"/>
  <c r="AU482" i="1"/>
  <c r="AV482" i="1"/>
  <c r="AW482" i="1"/>
  <c r="AX482" i="1"/>
  <c r="AY482" i="1"/>
  <c r="AZ482" i="1"/>
  <c r="BA482" i="1"/>
  <c r="BB482" i="1"/>
  <c r="BC482" i="1"/>
  <c r="BD482" i="1"/>
  <c r="A483" i="1"/>
  <c r="B483" i="1"/>
  <c r="C483" i="1"/>
  <c r="D483" i="1"/>
  <c r="E483" i="1"/>
  <c r="F483" i="1"/>
  <c r="G483" i="1"/>
  <c r="H483" i="1"/>
  <c r="I483" i="1"/>
  <c r="J483" i="1"/>
  <c r="K483" i="1"/>
  <c r="L483" i="1"/>
  <c r="M483" i="1" s="1"/>
  <c r="N483" i="1"/>
  <c r="O483" i="1"/>
  <c r="P483" i="1"/>
  <c r="Q483" i="1"/>
  <c r="R483" i="1"/>
  <c r="S483" i="1" s="1"/>
  <c r="T483" i="1"/>
  <c r="U483" i="1"/>
  <c r="V483" i="1"/>
  <c r="W483" i="1"/>
  <c r="X483" i="1"/>
  <c r="Y483" i="1"/>
  <c r="Z483" i="1"/>
  <c r="AA483" i="1"/>
  <c r="AB483" i="1"/>
  <c r="AD483" i="1"/>
  <c r="AE483" i="1"/>
  <c r="AF483" i="1"/>
  <c r="AG483" i="1"/>
  <c r="AH483" i="1" s="1"/>
  <c r="AI483" i="1"/>
  <c r="AJ483" i="1"/>
  <c r="AL483" i="1"/>
  <c r="AM483" i="1"/>
  <c r="AN483" i="1"/>
  <c r="AO483" i="1"/>
  <c r="AP483" i="1"/>
  <c r="AQ483" i="1"/>
  <c r="AR483" i="1"/>
  <c r="AS483" i="1"/>
  <c r="AT483" i="1"/>
  <c r="AU483" i="1"/>
  <c r="AV483" i="1"/>
  <c r="AW483" i="1"/>
  <c r="AX483" i="1"/>
  <c r="AY483" i="1"/>
  <c r="AZ483" i="1"/>
  <c r="BA483" i="1"/>
  <c r="BB483" i="1"/>
  <c r="BC483" i="1"/>
  <c r="BD483" i="1"/>
  <c r="A484" i="1"/>
  <c r="B484" i="1"/>
  <c r="C484" i="1"/>
  <c r="D484" i="1"/>
  <c r="E484" i="1"/>
  <c r="F484" i="1"/>
  <c r="G484" i="1"/>
  <c r="H484" i="1"/>
  <c r="I484" i="1"/>
  <c r="J484" i="1"/>
  <c r="K484" i="1"/>
  <c r="L484" i="1"/>
  <c r="M484" i="1" s="1"/>
  <c r="N484" i="1"/>
  <c r="O484" i="1"/>
  <c r="P484" i="1"/>
  <c r="Q484" i="1"/>
  <c r="R484" i="1"/>
  <c r="S484" i="1" s="1"/>
  <c r="T484" i="1"/>
  <c r="U484" i="1"/>
  <c r="V484" i="1"/>
  <c r="W484" i="1"/>
  <c r="X484" i="1"/>
  <c r="Y484" i="1"/>
  <c r="Z484" i="1"/>
  <c r="AA484" i="1"/>
  <c r="AB484" i="1"/>
  <c r="AD484" i="1"/>
  <c r="AE484" i="1"/>
  <c r="AF484" i="1"/>
  <c r="AG484" i="1"/>
  <c r="AH484" i="1" s="1"/>
  <c r="AI484" i="1"/>
  <c r="AJ484" i="1"/>
  <c r="AL484" i="1"/>
  <c r="AM484" i="1"/>
  <c r="AN484" i="1"/>
  <c r="AO484" i="1"/>
  <c r="AP484" i="1"/>
  <c r="AQ484" i="1"/>
  <c r="AR484" i="1"/>
  <c r="AS484" i="1"/>
  <c r="AT484" i="1"/>
  <c r="AU484" i="1"/>
  <c r="AV484" i="1"/>
  <c r="AW484" i="1"/>
  <c r="AX484" i="1"/>
  <c r="AY484" i="1"/>
  <c r="AZ484" i="1"/>
  <c r="BA484" i="1"/>
  <c r="BB484" i="1"/>
  <c r="BC484" i="1"/>
  <c r="BD484" i="1"/>
  <c r="A485" i="1"/>
  <c r="B485" i="1"/>
  <c r="C485" i="1"/>
  <c r="D485" i="1"/>
  <c r="E485" i="1"/>
  <c r="F485" i="1"/>
  <c r="G485" i="1"/>
  <c r="H485" i="1"/>
  <c r="I485" i="1"/>
  <c r="J485" i="1"/>
  <c r="K485" i="1"/>
  <c r="L485" i="1"/>
  <c r="M485" i="1" s="1"/>
  <c r="N485" i="1"/>
  <c r="O485" i="1"/>
  <c r="P485" i="1"/>
  <c r="Q485" i="1"/>
  <c r="R485" i="1"/>
  <c r="S485" i="1" s="1"/>
  <c r="T485" i="1"/>
  <c r="U485" i="1"/>
  <c r="V485" i="1"/>
  <c r="W485" i="1"/>
  <c r="X485" i="1"/>
  <c r="Y485" i="1"/>
  <c r="Z485" i="1"/>
  <c r="AA485" i="1"/>
  <c r="AB485" i="1"/>
  <c r="AC485" i="1"/>
  <c r="AD485" i="1" s="1"/>
  <c r="AE485" i="1"/>
  <c r="AF485" i="1"/>
  <c r="AG485" i="1"/>
  <c r="AH485" i="1" s="1"/>
  <c r="AI485" i="1"/>
  <c r="AJ485" i="1"/>
  <c r="AL485" i="1"/>
  <c r="AM485" i="1"/>
  <c r="AN485" i="1"/>
  <c r="AO485" i="1"/>
  <c r="AP485" i="1"/>
  <c r="AQ485" i="1"/>
  <c r="AR485" i="1"/>
  <c r="AS485" i="1"/>
  <c r="AT485" i="1"/>
  <c r="AU485" i="1"/>
  <c r="AV485" i="1"/>
  <c r="AW485" i="1"/>
  <c r="AX485" i="1"/>
  <c r="AY485" i="1"/>
  <c r="AZ485" i="1"/>
  <c r="BA485" i="1"/>
  <c r="BB485" i="1"/>
  <c r="BC485" i="1"/>
  <c r="BD485" i="1"/>
  <c r="A486" i="1"/>
  <c r="B486" i="1"/>
  <c r="C486" i="1"/>
  <c r="D486" i="1"/>
  <c r="E486" i="1"/>
  <c r="F486" i="1"/>
  <c r="G486" i="1"/>
  <c r="H486" i="1"/>
  <c r="I486" i="1"/>
  <c r="J486" i="1"/>
  <c r="K486" i="1"/>
  <c r="L486" i="1"/>
  <c r="M486" i="1" s="1"/>
  <c r="N486" i="1"/>
  <c r="O486" i="1"/>
  <c r="P486" i="1"/>
  <c r="Q486" i="1"/>
  <c r="S486" i="1"/>
  <c r="T486" i="1"/>
  <c r="U486" i="1"/>
  <c r="V486" i="1"/>
  <c r="W486" i="1"/>
  <c r="X486" i="1"/>
  <c r="Y486" i="1"/>
  <c r="Z486" i="1"/>
  <c r="AA486" i="1"/>
  <c r="AB486" i="1"/>
  <c r="AC486" i="1"/>
  <c r="AD486" i="1" s="1"/>
  <c r="AE486" i="1"/>
  <c r="AF486" i="1"/>
  <c r="AI486" i="1"/>
  <c r="AJ486" i="1"/>
  <c r="AL486" i="1"/>
  <c r="AM486" i="1"/>
  <c r="AN486" i="1"/>
  <c r="AO486" i="1"/>
  <c r="AP486" i="1"/>
  <c r="AQ486" i="1"/>
  <c r="AR486" i="1"/>
  <c r="AS486" i="1"/>
  <c r="AT486" i="1"/>
  <c r="AU486" i="1"/>
  <c r="AV486" i="1"/>
  <c r="AW486" i="1"/>
  <c r="AX486" i="1"/>
  <c r="AY486" i="1"/>
  <c r="AZ486" i="1"/>
  <c r="BA486" i="1"/>
  <c r="BB486" i="1"/>
  <c r="BC486" i="1"/>
  <c r="BD486" i="1"/>
  <c r="A487" i="1"/>
  <c r="B487" i="1"/>
  <c r="C487" i="1"/>
  <c r="D487" i="1"/>
  <c r="E487" i="1"/>
  <c r="F487" i="1"/>
  <c r="G487" i="1"/>
  <c r="H487" i="1"/>
  <c r="I487" i="1"/>
  <c r="J487" i="1"/>
  <c r="K487" i="1"/>
  <c r="L487" i="1"/>
  <c r="M487" i="1" s="1"/>
  <c r="N487" i="1"/>
  <c r="O487" i="1"/>
  <c r="P487" i="1"/>
  <c r="Q487" i="1"/>
  <c r="R487" i="1"/>
  <c r="S487" i="1" s="1"/>
  <c r="T487" i="1"/>
  <c r="U487" i="1"/>
  <c r="V487" i="1"/>
  <c r="W487" i="1"/>
  <c r="X487" i="1"/>
  <c r="Y487" i="1"/>
  <c r="Z487" i="1"/>
  <c r="AA487" i="1"/>
  <c r="AB487" i="1"/>
  <c r="AC487" i="1"/>
  <c r="AD487" i="1" s="1"/>
  <c r="AE487" i="1"/>
  <c r="AF487" i="1"/>
  <c r="AG487" i="1"/>
  <c r="AH487" i="1" s="1"/>
  <c r="AI487" i="1"/>
  <c r="AJ487" i="1"/>
  <c r="AL487" i="1"/>
  <c r="AM487" i="1"/>
  <c r="AN487" i="1"/>
  <c r="AO487" i="1"/>
  <c r="AP487" i="1"/>
  <c r="AQ487" i="1"/>
  <c r="AR487" i="1"/>
  <c r="AS487" i="1"/>
  <c r="AT487" i="1"/>
  <c r="AU487" i="1"/>
  <c r="AV487" i="1"/>
  <c r="AW487" i="1"/>
  <c r="AX487" i="1"/>
  <c r="AY487" i="1"/>
  <c r="AZ487" i="1"/>
  <c r="BA487" i="1"/>
  <c r="BB487" i="1"/>
  <c r="BC487" i="1"/>
  <c r="BD487" i="1"/>
  <c r="A488" i="1"/>
  <c r="B488" i="1"/>
  <c r="C488" i="1"/>
  <c r="D488" i="1"/>
  <c r="E488" i="1"/>
  <c r="F488" i="1"/>
  <c r="G488" i="1"/>
  <c r="H488" i="1"/>
  <c r="I488" i="1"/>
  <c r="J488" i="1"/>
  <c r="K488" i="1"/>
  <c r="L488" i="1"/>
  <c r="M488" i="1" s="1"/>
  <c r="N488" i="1"/>
  <c r="O488" i="1"/>
  <c r="P488" i="1"/>
  <c r="Q488" i="1"/>
  <c r="R488" i="1"/>
  <c r="S488" i="1" s="1"/>
  <c r="T488" i="1"/>
  <c r="U488" i="1"/>
  <c r="V488" i="1"/>
  <c r="W488" i="1"/>
  <c r="X488" i="1"/>
  <c r="Y488" i="1"/>
  <c r="Z488" i="1"/>
  <c r="AA488" i="1"/>
  <c r="AB488" i="1"/>
  <c r="AC488" i="1"/>
  <c r="AD488" i="1" s="1"/>
  <c r="AE488" i="1"/>
  <c r="AF488" i="1"/>
  <c r="AG488" i="1"/>
  <c r="AH488" i="1" s="1"/>
  <c r="AI488" i="1"/>
  <c r="AL488" i="1"/>
  <c r="AM488" i="1"/>
  <c r="AN488" i="1"/>
  <c r="AO488" i="1"/>
  <c r="AP488" i="1"/>
  <c r="AQ488" i="1"/>
  <c r="AR488" i="1"/>
  <c r="AS488" i="1"/>
  <c r="AT488" i="1"/>
  <c r="AU488" i="1"/>
  <c r="AV488" i="1"/>
  <c r="AW488" i="1"/>
  <c r="AX488" i="1"/>
  <c r="AY488" i="1"/>
  <c r="AZ488" i="1"/>
  <c r="BA488" i="1"/>
  <c r="BB488" i="1"/>
  <c r="BC488" i="1"/>
  <c r="BD488" i="1"/>
  <c r="A489" i="1"/>
  <c r="B489" i="1"/>
  <c r="C489" i="1"/>
  <c r="D489" i="1"/>
  <c r="E489" i="1"/>
  <c r="F489" i="1"/>
  <c r="G489" i="1"/>
  <c r="H489" i="1"/>
  <c r="I489" i="1"/>
  <c r="J489" i="1"/>
  <c r="K489" i="1"/>
  <c r="L489" i="1"/>
  <c r="M489" i="1" s="1"/>
  <c r="N489" i="1"/>
  <c r="O489" i="1"/>
  <c r="P489" i="1"/>
  <c r="Q489" i="1"/>
  <c r="S489" i="1"/>
  <c r="T489" i="1"/>
  <c r="U489" i="1"/>
  <c r="V489" i="1"/>
  <c r="W489" i="1"/>
  <c r="X489" i="1"/>
  <c r="Y489" i="1"/>
  <c r="Z489" i="1"/>
  <c r="AA489" i="1"/>
  <c r="AB489" i="1"/>
  <c r="AC489" i="1"/>
  <c r="AD489" i="1" s="1"/>
  <c r="AE489" i="1"/>
  <c r="AF489" i="1"/>
  <c r="AG489" i="1"/>
  <c r="AH489" i="1" s="1"/>
  <c r="AI489" i="1"/>
  <c r="AJ489" i="1"/>
  <c r="AL489" i="1"/>
  <c r="AM489" i="1"/>
  <c r="AN489" i="1"/>
  <c r="AO489" i="1"/>
  <c r="AP489" i="1"/>
  <c r="AQ489" i="1"/>
  <c r="AR489" i="1"/>
  <c r="AS489" i="1"/>
  <c r="AT489" i="1"/>
  <c r="AU489" i="1"/>
  <c r="AV489" i="1"/>
  <c r="AW489" i="1"/>
  <c r="AX489" i="1"/>
  <c r="AY489" i="1"/>
  <c r="AZ489" i="1"/>
  <c r="BA489" i="1"/>
  <c r="BB489" i="1"/>
  <c r="BC489" i="1"/>
  <c r="BD489" i="1"/>
  <c r="A490" i="1"/>
  <c r="B490" i="1"/>
  <c r="C490" i="1"/>
  <c r="D490" i="1"/>
  <c r="E490" i="1"/>
  <c r="F490" i="1"/>
  <c r="G490" i="1"/>
  <c r="H490" i="1"/>
  <c r="I490" i="1"/>
  <c r="J490" i="1"/>
  <c r="K490" i="1"/>
  <c r="L490" i="1"/>
  <c r="M490" i="1" s="1"/>
  <c r="N490" i="1"/>
  <c r="O490" i="1"/>
  <c r="P490" i="1"/>
  <c r="Q490" i="1"/>
  <c r="S490" i="1"/>
  <c r="T490" i="1"/>
  <c r="U490" i="1"/>
  <c r="V490" i="1"/>
  <c r="W490" i="1"/>
  <c r="X490" i="1"/>
  <c r="Y490" i="1"/>
  <c r="Z490" i="1"/>
  <c r="AA490" i="1"/>
  <c r="AB490" i="1"/>
  <c r="AC490" i="1"/>
  <c r="AD490" i="1" s="1"/>
  <c r="AE490" i="1"/>
  <c r="AF490" i="1"/>
  <c r="AI490" i="1"/>
  <c r="AJ490" i="1"/>
  <c r="AL490" i="1"/>
  <c r="AM490" i="1"/>
  <c r="AN490" i="1"/>
  <c r="AO490" i="1"/>
  <c r="AP490" i="1"/>
  <c r="AQ490" i="1"/>
  <c r="AR490" i="1"/>
  <c r="AS490" i="1"/>
  <c r="AT490" i="1"/>
  <c r="AU490" i="1"/>
  <c r="AV490" i="1"/>
  <c r="AW490" i="1"/>
  <c r="AX490" i="1"/>
  <c r="AY490" i="1"/>
  <c r="AZ490" i="1"/>
  <c r="BA490" i="1"/>
  <c r="BB490" i="1"/>
  <c r="BC490" i="1"/>
  <c r="BD490" i="1"/>
  <c r="A491" i="1"/>
  <c r="B491" i="1"/>
  <c r="C491" i="1"/>
  <c r="D491" i="1"/>
  <c r="E491" i="1"/>
  <c r="F491" i="1"/>
  <c r="G491" i="1"/>
  <c r="H491" i="1"/>
  <c r="I491" i="1"/>
  <c r="J491" i="1"/>
  <c r="K491" i="1"/>
  <c r="M491" i="1"/>
  <c r="N491" i="1"/>
  <c r="O491" i="1"/>
  <c r="P491" i="1"/>
  <c r="Q491" i="1"/>
  <c r="S491" i="1"/>
  <c r="T491" i="1"/>
  <c r="U491" i="1"/>
  <c r="V491" i="1"/>
  <c r="W491" i="1"/>
  <c r="X491" i="1"/>
  <c r="Y491" i="1"/>
  <c r="Z491" i="1"/>
  <c r="AA491" i="1"/>
  <c r="AB491" i="1"/>
  <c r="AC491" i="1"/>
  <c r="AD491" i="1" s="1"/>
  <c r="AE491" i="1"/>
  <c r="AF491" i="1"/>
  <c r="AG491" i="1"/>
  <c r="AH491" i="1" s="1"/>
  <c r="AI491" i="1"/>
  <c r="AJ491" i="1"/>
  <c r="AL491" i="1"/>
  <c r="AM491" i="1"/>
  <c r="AN491" i="1"/>
  <c r="AO491" i="1"/>
  <c r="AP491" i="1"/>
  <c r="AQ491" i="1"/>
  <c r="AR491" i="1"/>
  <c r="AS491" i="1"/>
  <c r="AT491" i="1"/>
  <c r="AU491" i="1"/>
  <c r="AV491" i="1"/>
  <c r="AW491" i="1"/>
  <c r="AX491" i="1"/>
  <c r="AY491" i="1"/>
  <c r="AZ491" i="1"/>
  <c r="BA491" i="1"/>
  <c r="BB491" i="1"/>
  <c r="BC491" i="1"/>
  <c r="BD491" i="1"/>
  <c r="A492" i="1"/>
  <c r="B492" i="1"/>
  <c r="C492" i="1"/>
  <c r="D492" i="1"/>
  <c r="E492" i="1"/>
  <c r="F492" i="1"/>
  <c r="G492" i="1"/>
  <c r="H492" i="1"/>
  <c r="I492" i="1"/>
  <c r="J492" i="1"/>
  <c r="K492" i="1"/>
  <c r="L492" i="1"/>
  <c r="M492" i="1" s="1"/>
  <c r="N492" i="1"/>
  <c r="O492" i="1"/>
  <c r="P492" i="1"/>
  <c r="Q492" i="1"/>
  <c r="R492" i="1"/>
  <c r="S492" i="1" s="1"/>
  <c r="T492" i="1"/>
  <c r="U492" i="1"/>
  <c r="V492" i="1"/>
  <c r="W492" i="1"/>
  <c r="X492" i="1"/>
  <c r="Y492" i="1"/>
  <c r="Z492" i="1"/>
  <c r="AA492" i="1"/>
  <c r="AB492" i="1"/>
  <c r="AC492" i="1"/>
  <c r="AD492" i="1" s="1"/>
  <c r="AE492" i="1"/>
  <c r="AF492" i="1"/>
  <c r="AG492" i="1"/>
  <c r="AH492" i="1" s="1"/>
  <c r="AI492" i="1"/>
  <c r="AJ492" i="1"/>
  <c r="AL492" i="1"/>
  <c r="AM492" i="1"/>
  <c r="AN492" i="1"/>
  <c r="AO492" i="1"/>
  <c r="AP492" i="1"/>
  <c r="AQ492" i="1"/>
  <c r="AR492" i="1"/>
  <c r="AS492" i="1"/>
  <c r="AT492" i="1"/>
  <c r="AU492" i="1"/>
  <c r="AV492" i="1"/>
  <c r="AW492" i="1"/>
  <c r="AX492" i="1"/>
  <c r="AY492" i="1"/>
  <c r="AZ492" i="1"/>
  <c r="BA492" i="1"/>
  <c r="BB492" i="1"/>
  <c r="BC492" i="1"/>
  <c r="BD492" i="1"/>
  <c r="A493" i="1"/>
  <c r="B493" i="1"/>
  <c r="C493" i="1"/>
  <c r="D493" i="1"/>
  <c r="E493" i="1"/>
  <c r="F493" i="1"/>
  <c r="G493" i="1"/>
  <c r="H493" i="1"/>
  <c r="I493" i="1"/>
  <c r="J493" i="1"/>
  <c r="K493" i="1"/>
  <c r="L493" i="1"/>
  <c r="M493" i="1" s="1"/>
  <c r="N493" i="1"/>
  <c r="O493" i="1"/>
  <c r="P493" i="1"/>
  <c r="Q493" i="1"/>
  <c r="R493" i="1"/>
  <c r="S493" i="1" s="1"/>
  <c r="T493" i="1"/>
  <c r="U493" i="1"/>
  <c r="V493" i="1"/>
  <c r="W493" i="1"/>
  <c r="X493" i="1"/>
  <c r="Y493" i="1"/>
  <c r="Z493" i="1"/>
  <c r="AA493" i="1"/>
  <c r="AB493" i="1"/>
  <c r="AD493" i="1"/>
  <c r="AE493" i="1"/>
  <c r="AF493" i="1"/>
  <c r="AG493" i="1"/>
  <c r="AH493" i="1" s="1"/>
  <c r="AI493" i="1"/>
  <c r="AL493" i="1"/>
  <c r="AM493" i="1"/>
  <c r="AN493" i="1"/>
  <c r="AO493" i="1"/>
  <c r="AP493" i="1"/>
  <c r="AQ493" i="1"/>
  <c r="AR493" i="1"/>
  <c r="AS493" i="1"/>
  <c r="AT493" i="1"/>
  <c r="AU493" i="1"/>
  <c r="AV493" i="1"/>
  <c r="AW493" i="1"/>
  <c r="AX493" i="1"/>
  <c r="AY493" i="1"/>
  <c r="AZ493" i="1"/>
  <c r="BA493" i="1"/>
  <c r="BB493" i="1"/>
  <c r="BC493" i="1"/>
  <c r="BD493" i="1"/>
  <c r="A494" i="1"/>
  <c r="B494" i="1"/>
  <c r="C494" i="1"/>
  <c r="D494" i="1"/>
  <c r="E494" i="1"/>
  <c r="F494" i="1"/>
  <c r="G494" i="1"/>
  <c r="H494" i="1"/>
  <c r="I494" i="1"/>
  <c r="J494" i="1"/>
  <c r="K494" i="1"/>
  <c r="L494" i="1"/>
  <c r="M494" i="1" s="1"/>
  <c r="N494" i="1"/>
  <c r="O494" i="1"/>
  <c r="P494" i="1"/>
  <c r="Q494" i="1"/>
  <c r="R494" i="1"/>
  <c r="S494" i="1" s="1"/>
  <c r="T494" i="1"/>
  <c r="U494" i="1"/>
  <c r="V494" i="1"/>
  <c r="W494" i="1"/>
  <c r="X494" i="1"/>
  <c r="Y494" i="1"/>
  <c r="Z494" i="1"/>
  <c r="AA494" i="1"/>
  <c r="AB494" i="1"/>
  <c r="AC494" i="1"/>
  <c r="AD494" i="1" s="1"/>
  <c r="AE494" i="1"/>
  <c r="AF494" i="1"/>
  <c r="AG494" i="1"/>
  <c r="AH494" i="1" s="1"/>
  <c r="AI494" i="1"/>
  <c r="AJ494" i="1"/>
  <c r="AL494" i="1"/>
  <c r="AM494" i="1"/>
  <c r="AN494" i="1"/>
  <c r="AO494" i="1"/>
  <c r="AP494" i="1"/>
  <c r="AQ494" i="1"/>
  <c r="AR494" i="1"/>
  <c r="AS494" i="1"/>
  <c r="AT494" i="1"/>
  <c r="AU494" i="1"/>
  <c r="AV494" i="1"/>
  <c r="AW494" i="1"/>
  <c r="AX494" i="1"/>
  <c r="AY494" i="1"/>
  <c r="AZ494" i="1"/>
  <c r="BA494" i="1"/>
  <c r="BB494" i="1"/>
  <c r="BC494" i="1"/>
  <c r="BD494" i="1"/>
  <c r="A495" i="1"/>
  <c r="B495" i="1"/>
  <c r="C495" i="1"/>
  <c r="D495" i="1"/>
  <c r="E495" i="1"/>
  <c r="F495" i="1"/>
  <c r="G495" i="1"/>
  <c r="H495" i="1"/>
  <c r="I495" i="1"/>
  <c r="J495" i="1"/>
  <c r="K495" i="1"/>
  <c r="L495" i="1"/>
  <c r="M495" i="1" s="1"/>
  <c r="N495" i="1"/>
  <c r="O495" i="1"/>
  <c r="P495" i="1"/>
  <c r="Q495" i="1"/>
  <c r="R495" i="1"/>
  <c r="S495" i="1" s="1"/>
  <c r="T495" i="1"/>
  <c r="U495" i="1"/>
  <c r="V495" i="1"/>
  <c r="W495" i="1"/>
  <c r="X495" i="1"/>
  <c r="Y495" i="1"/>
  <c r="Z495" i="1"/>
  <c r="AA495" i="1"/>
  <c r="AB495" i="1"/>
  <c r="AC495" i="1"/>
  <c r="AD495" i="1" s="1"/>
  <c r="AE495" i="1"/>
  <c r="AF495" i="1"/>
  <c r="AG495" i="1"/>
  <c r="AH495" i="1" s="1"/>
  <c r="AI495" i="1"/>
  <c r="AJ495" i="1"/>
  <c r="AL495" i="1"/>
  <c r="AM495" i="1"/>
  <c r="AN495" i="1"/>
  <c r="AO495" i="1"/>
  <c r="AP495" i="1"/>
  <c r="AQ495" i="1"/>
  <c r="AR495" i="1"/>
  <c r="AS495" i="1"/>
  <c r="AT495" i="1"/>
  <c r="AU495" i="1"/>
  <c r="AV495" i="1"/>
  <c r="AW495" i="1"/>
  <c r="AX495" i="1"/>
  <c r="AY495" i="1"/>
  <c r="AZ495" i="1"/>
  <c r="BA495" i="1"/>
  <c r="BB495" i="1"/>
  <c r="BC495" i="1"/>
  <c r="BD495" i="1"/>
  <c r="A496" i="1"/>
  <c r="B496" i="1"/>
  <c r="C496" i="1"/>
  <c r="D496" i="1"/>
  <c r="E496" i="1"/>
  <c r="F496" i="1"/>
  <c r="G496" i="1"/>
  <c r="H496" i="1"/>
  <c r="I496" i="1"/>
  <c r="J496" i="1"/>
  <c r="K496" i="1"/>
  <c r="L496" i="1"/>
  <c r="M496" i="1" s="1"/>
  <c r="N496" i="1"/>
  <c r="O496" i="1"/>
  <c r="P496" i="1"/>
  <c r="Q496" i="1"/>
  <c r="S496" i="1"/>
  <c r="T496" i="1"/>
  <c r="U496" i="1"/>
  <c r="V496" i="1"/>
  <c r="W496" i="1"/>
  <c r="X496" i="1"/>
  <c r="Y496" i="1"/>
  <c r="Z496" i="1"/>
  <c r="AA496" i="1"/>
  <c r="AB496" i="1"/>
  <c r="AD496" i="1"/>
  <c r="AE496" i="1"/>
  <c r="AF496" i="1"/>
  <c r="AI496" i="1"/>
  <c r="AL496" i="1"/>
  <c r="AM496" i="1"/>
  <c r="AN496" i="1"/>
  <c r="AO496" i="1"/>
  <c r="AP496" i="1"/>
  <c r="AQ496" i="1"/>
  <c r="AR496" i="1"/>
  <c r="AS496" i="1"/>
  <c r="AT496" i="1"/>
  <c r="AU496" i="1"/>
  <c r="AV496" i="1"/>
  <c r="AW496" i="1"/>
  <c r="AX496" i="1"/>
  <c r="AY496" i="1"/>
  <c r="AZ496" i="1"/>
  <c r="BA496" i="1"/>
  <c r="BB496" i="1"/>
  <c r="BC496" i="1"/>
  <c r="BD496" i="1"/>
  <c r="A497" i="1"/>
  <c r="B497" i="1"/>
  <c r="C497" i="1"/>
  <c r="D497" i="1"/>
  <c r="E497" i="1"/>
  <c r="F497" i="1"/>
  <c r="G497" i="1"/>
  <c r="H497" i="1"/>
  <c r="I497" i="1"/>
  <c r="J497" i="1"/>
  <c r="K497" i="1"/>
  <c r="L497" i="1"/>
  <c r="M497" i="1" s="1"/>
  <c r="N497" i="1"/>
  <c r="O497" i="1"/>
  <c r="P497" i="1"/>
  <c r="Q497" i="1"/>
  <c r="R497" i="1"/>
  <c r="S497" i="1" s="1"/>
  <c r="T497" i="1"/>
  <c r="U497" i="1"/>
  <c r="V497" i="1"/>
  <c r="W497" i="1"/>
  <c r="X497" i="1"/>
  <c r="Y497" i="1"/>
  <c r="Z497" i="1"/>
  <c r="AA497" i="1"/>
  <c r="AB497" i="1"/>
  <c r="AC497" i="1"/>
  <c r="AD497" i="1" s="1"/>
  <c r="AE497" i="1"/>
  <c r="AF497" i="1"/>
  <c r="AG497" i="1"/>
  <c r="AH497" i="1" s="1"/>
  <c r="AI497" i="1"/>
  <c r="AJ497" i="1"/>
  <c r="AL497" i="1"/>
  <c r="AM497" i="1"/>
  <c r="AN497" i="1"/>
  <c r="AO497" i="1"/>
  <c r="AP497" i="1"/>
  <c r="AQ497" i="1"/>
  <c r="AR497" i="1"/>
  <c r="AS497" i="1"/>
  <c r="AT497" i="1"/>
  <c r="AU497" i="1"/>
  <c r="AV497" i="1"/>
  <c r="AW497" i="1"/>
  <c r="AX497" i="1"/>
  <c r="AY497" i="1"/>
  <c r="AZ497" i="1"/>
  <c r="BA497" i="1"/>
  <c r="BB497" i="1"/>
  <c r="BC497" i="1"/>
  <c r="BD497" i="1"/>
  <c r="A498" i="1"/>
  <c r="B498" i="1"/>
  <c r="C498" i="1"/>
  <c r="D498" i="1"/>
  <c r="E498" i="1"/>
  <c r="F498" i="1"/>
  <c r="G498" i="1"/>
  <c r="H498" i="1"/>
  <c r="I498" i="1"/>
  <c r="J498" i="1"/>
  <c r="K498" i="1"/>
  <c r="L498" i="1"/>
  <c r="M498" i="1" s="1"/>
  <c r="N498" i="1"/>
  <c r="O498" i="1"/>
  <c r="P498" i="1"/>
  <c r="Q498" i="1"/>
  <c r="R498" i="1"/>
  <c r="S498" i="1" s="1"/>
  <c r="T498" i="1"/>
  <c r="U498" i="1"/>
  <c r="V498" i="1"/>
  <c r="W498" i="1"/>
  <c r="X498" i="1"/>
  <c r="Y498" i="1"/>
  <c r="Z498" i="1"/>
  <c r="AA498" i="1"/>
  <c r="AB498" i="1"/>
  <c r="AC498" i="1"/>
  <c r="AD498" i="1" s="1"/>
  <c r="AE498" i="1"/>
  <c r="AF498" i="1"/>
  <c r="AG498" i="1"/>
  <c r="AH498" i="1" s="1"/>
  <c r="AI498" i="1"/>
  <c r="AJ498" i="1"/>
  <c r="AL498" i="1"/>
  <c r="AM498" i="1"/>
  <c r="AN498" i="1"/>
  <c r="AO498" i="1"/>
  <c r="AP498" i="1"/>
  <c r="AQ498" i="1"/>
  <c r="AR498" i="1"/>
  <c r="AS498" i="1"/>
  <c r="AT498" i="1"/>
  <c r="AU498" i="1"/>
  <c r="AV498" i="1"/>
  <c r="AW498" i="1"/>
  <c r="AX498" i="1"/>
  <c r="AY498" i="1"/>
  <c r="AZ498" i="1"/>
  <c r="BA498" i="1"/>
  <c r="BB498" i="1"/>
  <c r="BC498" i="1"/>
  <c r="BD498" i="1"/>
  <c r="A499" i="1"/>
  <c r="B499" i="1"/>
  <c r="C499" i="1"/>
  <c r="D499" i="1"/>
  <c r="E499" i="1"/>
  <c r="F499" i="1"/>
  <c r="G499" i="1"/>
  <c r="H499" i="1"/>
  <c r="I499" i="1"/>
  <c r="J499" i="1"/>
  <c r="K499" i="1"/>
  <c r="L499" i="1"/>
  <c r="M499" i="1" s="1"/>
  <c r="N499" i="1"/>
  <c r="O499" i="1"/>
  <c r="P499" i="1"/>
  <c r="Q499" i="1"/>
  <c r="R499" i="1"/>
  <c r="S499" i="1" s="1"/>
  <c r="T499" i="1"/>
  <c r="U499" i="1"/>
  <c r="V499" i="1"/>
  <c r="W499" i="1"/>
  <c r="X499" i="1"/>
  <c r="Y499" i="1"/>
  <c r="Z499" i="1"/>
  <c r="AA499" i="1"/>
  <c r="AB499" i="1"/>
  <c r="AC499" i="1"/>
  <c r="AD499" i="1" s="1"/>
  <c r="AE499" i="1"/>
  <c r="AF499" i="1"/>
  <c r="AG499" i="1"/>
  <c r="AH499" i="1" s="1"/>
  <c r="AI499" i="1"/>
  <c r="AJ499" i="1"/>
  <c r="AL499" i="1"/>
  <c r="AM499" i="1"/>
  <c r="AN499" i="1"/>
  <c r="AO499" i="1"/>
  <c r="AP499" i="1"/>
  <c r="AQ499" i="1"/>
  <c r="AR499" i="1"/>
  <c r="AS499" i="1"/>
  <c r="AT499" i="1"/>
  <c r="AU499" i="1"/>
  <c r="AV499" i="1"/>
  <c r="AW499" i="1"/>
  <c r="AX499" i="1"/>
  <c r="AY499" i="1"/>
  <c r="AZ499" i="1"/>
  <c r="BA499" i="1"/>
  <c r="BB499" i="1"/>
  <c r="BC499" i="1"/>
  <c r="BD499" i="1"/>
  <c r="A500" i="1"/>
  <c r="B500" i="1"/>
  <c r="C500" i="1"/>
  <c r="D500" i="1"/>
  <c r="E500" i="1"/>
  <c r="F500" i="1"/>
  <c r="G500" i="1"/>
  <c r="H500" i="1"/>
  <c r="I500" i="1"/>
  <c r="J500" i="1"/>
  <c r="K500" i="1"/>
  <c r="L500" i="1"/>
  <c r="M500" i="1" s="1"/>
  <c r="N500" i="1"/>
  <c r="O500" i="1"/>
  <c r="P500" i="1"/>
  <c r="Q500" i="1"/>
  <c r="R500" i="1"/>
  <c r="S500" i="1" s="1"/>
  <c r="T500" i="1"/>
  <c r="U500" i="1"/>
  <c r="V500" i="1"/>
  <c r="W500" i="1"/>
  <c r="X500" i="1"/>
  <c r="Y500" i="1"/>
  <c r="Z500" i="1"/>
  <c r="AA500" i="1"/>
  <c r="AB500" i="1"/>
  <c r="AC500" i="1"/>
  <c r="AD500" i="1" s="1"/>
  <c r="AE500" i="1"/>
  <c r="AF500" i="1"/>
  <c r="AI500" i="1"/>
  <c r="AJ500" i="1"/>
  <c r="AL500" i="1"/>
  <c r="AM500" i="1"/>
  <c r="AN500" i="1"/>
  <c r="AO500" i="1"/>
  <c r="AP500" i="1"/>
  <c r="AQ500" i="1"/>
  <c r="AR500" i="1"/>
  <c r="AS500" i="1"/>
  <c r="AT500" i="1"/>
  <c r="AU500" i="1"/>
  <c r="AV500" i="1"/>
  <c r="AW500" i="1"/>
  <c r="AX500" i="1"/>
  <c r="AY500" i="1"/>
  <c r="AZ500" i="1"/>
  <c r="BA500" i="1"/>
  <c r="BB500" i="1"/>
  <c r="BC500" i="1"/>
  <c r="BD500" i="1"/>
  <c r="A501" i="1"/>
  <c r="B501" i="1"/>
  <c r="C501" i="1"/>
  <c r="D501" i="1"/>
  <c r="E501" i="1"/>
  <c r="F501" i="1"/>
  <c r="G501" i="1"/>
  <c r="H501" i="1"/>
  <c r="I501" i="1"/>
  <c r="J501" i="1"/>
  <c r="K501" i="1"/>
  <c r="L501" i="1"/>
  <c r="M501" i="1" s="1"/>
  <c r="N501" i="1"/>
  <c r="O501" i="1"/>
  <c r="P501" i="1"/>
  <c r="Q501" i="1"/>
  <c r="R501" i="1"/>
  <c r="S501" i="1" s="1"/>
  <c r="T501" i="1"/>
  <c r="U501" i="1"/>
  <c r="V501" i="1"/>
  <c r="W501" i="1"/>
  <c r="X501" i="1"/>
  <c r="Y501" i="1"/>
  <c r="Z501" i="1"/>
  <c r="AA501" i="1"/>
  <c r="AB501" i="1"/>
  <c r="AC501" i="1"/>
  <c r="AD501" i="1" s="1"/>
  <c r="AE501" i="1"/>
  <c r="AF501" i="1"/>
  <c r="AG501" i="1"/>
  <c r="AH501" i="1" s="1"/>
  <c r="AI501" i="1"/>
  <c r="AJ501" i="1"/>
  <c r="AL501" i="1"/>
  <c r="AM501" i="1"/>
  <c r="AN501" i="1"/>
  <c r="AO501" i="1"/>
  <c r="AP501" i="1"/>
  <c r="AQ501" i="1"/>
  <c r="AR501" i="1"/>
  <c r="AS501" i="1"/>
  <c r="AT501" i="1"/>
  <c r="AU501" i="1"/>
  <c r="AV501" i="1"/>
  <c r="AW501" i="1"/>
  <c r="AX501" i="1"/>
  <c r="AY501" i="1"/>
  <c r="AZ501" i="1"/>
  <c r="BA501" i="1"/>
  <c r="BB501" i="1"/>
  <c r="BC501" i="1"/>
  <c r="BD501" i="1"/>
  <c r="A502" i="1"/>
  <c r="B502" i="1"/>
  <c r="C502" i="1"/>
  <c r="D502" i="1"/>
  <c r="E502" i="1"/>
  <c r="F502" i="1"/>
  <c r="G502" i="1"/>
  <c r="H502" i="1"/>
  <c r="I502" i="1"/>
  <c r="J502" i="1"/>
  <c r="K502" i="1"/>
  <c r="L502" i="1"/>
  <c r="M502" i="1" s="1"/>
  <c r="N502" i="1"/>
  <c r="O502" i="1"/>
  <c r="P502" i="1"/>
  <c r="Q502" i="1"/>
  <c r="R502" i="1"/>
  <c r="S502" i="1" s="1"/>
  <c r="T502" i="1"/>
  <c r="U502" i="1"/>
  <c r="V502" i="1"/>
  <c r="W502" i="1"/>
  <c r="X502" i="1"/>
  <c r="Y502" i="1"/>
  <c r="Z502" i="1"/>
  <c r="AA502" i="1"/>
  <c r="AB502" i="1"/>
  <c r="AC502" i="1"/>
  <c r="AD502" i="1" s="1"/>
  <c r="AE502" i="1"/>
  <c r="AF502" i="1"/>
  <c r="AG502" i="1"/>
  <c r="AH502" i="1" s="1"/>
  <c r="AI502" i="1"/>
  <c r="AJ502" i="1"/>
  <c r="AL502" i="1"/>
  <c r="AM502" i="1"/>
  <c r="AN502" i="1"/>
  <c r="AO502" i="1"/>
  <c r="AP502" i="1"/>
  <c r="AQ502" i="1"/>
  <c r="AR502" i="1"/>
  <c r="AS502" i="1"/>
  <c r="AT502" i="1"/>
  <c r="AU502" i="1"/>
  <c r="AV502" i="1"/>
  <c r="AW502" i="1"/>
  <c r="AX502" i="1"/>
  <c r="AY502" i="1"/>
  <c r="AZ502" i="1"/>
  <c r="BA502" i="1"/>
  <c r="BB502" i="1"/>
  <c r="BC502" i="1"/>
  <c r="BD502" i="1"/>
  <c r="A503" i="1"/>
  <c r="B503" i="1"/>
  <c r="C503" i="1"/>
  <c r="D503" i="1"/>
  <c r="E503" i="1"/>
  <c r="F503" i="1"/>
  <c r="G503" i="1"/>
  <c r="H503" i="1"/>
  <c r="I503" i="1"/>
  <c r="J503" i="1"/>
  <c r="K503" i="1"/>
  <c r="L503" i="1"/>
  <c r="M503" i="1" s="1"/>
  <c r="N503" i="1"/>
  <c r="O503" i="1"/>
  <c r="P503" i="1"/>
  <c r="Q503" i="1"/>
  <c r="R503" i="1"/>
  <c r="S503" i="1" s="1"/>
  <c r="T503" i="1"/>
  <c r="U503" i="1"/>
  <c r="V503" i="1"/>
  <c r="W503" i="1"/>
  <c r="X503" i="1"/>
  <c r="Y503" i="1"/>
  <c r="Z503" i="1"/>
  <c r="AA503" i="1"/>
  <c r="AB503" i="1"/>
  <c r="AC503" i="1"/>
  <c r="AD503" i="1" s="1"/>
  <c r="AE503" i="1"/>
  <c r="AF503" i="1"/>
  <c r="AG503" i="1"/>
  <c r="AH503" i="1" s="1"/>
  <c r="AI503" i="1"/>
  <c r="AJ503" i="1"/>
  <c r="AL503" i="1"/>
  <c r="AM503" i="1"/>
  <c r="AN503" i="1"/>
  <c r="AO503" i="1"/>
  <c r="AP503" i="1"/>
  <c r="AQ503" i="1"/>
  <c r="AR503" i="1"/>
  <c r="AS503" i="1"/>
  <c r="AT503" i="1"/>
  <c r="AU503" i="1"/>
  <c r="AV503" i="1"/>
  <c r="AW503" i="1"/>
  <c r="AX503" i="1"/>
  <c r="AY503" i="1"/>
  <c r="AZ503" i="1"/>
  <c r="BA503" i="1"/>
  <c r="BB503" i="1"/>
  <c r="BC503" i="1"/>
  <c r="BD503" i="1"/>
  <c r="A504" i="1"/>
  <c r="B504" i="1"/>
  <c r="C504" i="1"/>
  <c r="D504" i="1"/>
  <c r="E504" i="1"/>
  <c r="F504" i="1"/>
  <c r="G504" i="1"/>
  <c r="H504" i="1"/>
  <c r="I504" i="1"/>
  <c r="J504" i="1"/>
  <c r="K504" i="1"/>
  <c r="L504" i="1"/>
  <c r="M504" i="1" s="1"/>
  <c r="N504" i="1"/>
  <c r="O504" i="1"/>
  <c r="P504" i="1"/>
  <c r="Q504" i="1"/>
  <c r="R504" i="1"/>
  <c r="S504" i="1" s="1"/>
  <c r="T504" i="1"/>
  <c r="U504" i="1"/>
  <c r="V504" i="1"/>
  <c r="W504" i="1"/>
  <c r="X504" i="1"/>
  <c r="Y504" i="1"/>
  <c r="Z504" i="1"/>
  <c r="AA504" i="1"/>
  <c r="AB504" i="1"/>
  <c r="AC504" i="1"/>
  <c r="AD504" i="1" s="1"/>
  <c r="AE504" i="1"/>
  <c r="AF504" i="1"/>
  <c r="AG504" i="1"/>
  <c r="AH504" i="1" s="1"/>
  <c r="AI504" i="1"/>
  <c r="AJ504" i="1"/>
  <c r="AL504" i="1"/>
  <c r="AM504" i="1"/>
  <c r="AN504" i="1"/>
  <c r="AO504" i="1"/>
  <c r="AP504" i="1"/>
  <c r="AQ504" i="1"/>
  <c r="AR504" i="1"/>
  <c r="AS504" i="1"/>
  <c r="AT504" i="1"/>
  <c r="AU504" i="1"/>
  <c r="AV504" i="1"/>
  <c r="AW504" i="1"/>
  <c r="AX504" i="1"/>
  <c r="AY504" i="1"/>
  <c r="AZ504" i="1"/>
  <c r="BA504" i="1"/>
  <c r="BB504" i="1"/>
  <c r="BC504" i="1"/>
  <c r="BD504" i="1"/>
  <c r="A505" i="1"/>
  <c r="B505" i="1"/>
  <c r="C505" i="1"/>
  <c r="D505" i="1"/>
  <c r="E505" i="1"/>
  <c r="F505" i="1"/>
  <c r="G505" i="1"/>
  <c r="H505" i="1"/>
  <c r="I505" i="1"/>
  <c r="J505" i="1"/>
  <c r="K505" i="1"/>
  <c r="L505" i="1"/>
  <c r="M505" i="1" s="1"/>
  <c r="N505" i="1"/>
  <c r="O505" i="1"/>
  <c r="P505" i="1"/>
  <c r="Q505" i="1"/>
  <c r="R505" i="1"/>
  <c r="S505" i="1" s="1"/>
  <c r="T505" i="1"/>
  <c r="U505" i="1"/>
  <c r="V505" i="1"/>
  <c r="W505" i="1"/>
  <c r="X505" i="1"/>
  <c r="Y505" i="1"/>
  <c r="Z505" i="1"/>
  <c r="AA505" i="1"/>
  <c r="AB505" i="1"/>
  <c r="AC505" i="1"/>
  <c r="AD505" i="1" s="1"/>
  <c r="AE505" i="1"/>
  <c r="AF505" i="1"/>
  <c r="AG505" i="1"/>
  <c r="AH505" i="1" s="1"/>
  <c r="AI505" i="1"/>
  <c r="AJ505" i="1"/>
  <c r="AL505" i="1"/>
  <c r="AM505" i="1"/>
  <c r="AN505" i="1"/>
  <c r="AO505" i="1"/>
  <c r="AP505" i="1"/>
  <c r="AQ505" i="1"/>
  <c r="AR505" i="1"/>
  <c r="AS505" i="1"/>
  <c r="AT505" i="1"/>
  <c r="AU505" i="1"/>
  <c r="AV505" i="1"/>
  <c r="AW505" i="1"/>
  <c r="AX505" i="1"/>
  <c r="AY505" i="1"/>
  <c r="AZ505" i="1"/>
  <c r="BA505" i="1"/>
  <c r="BB505" i="1"/>
  <c r="BC505" i="1"/>
  <c r="BD505" i="1"/>
  <c r="A506" i="1"/>
  <c r="B506" i="1"/>
  <c r="C506" i="1"/>
  <c r="D506" i="1"/>
  <c r="E506" i="1"/>
  <c r="F506" i="1"/>
  <c r="G506" i="1"/>
  <c r="H506" i="1"/>
  <c r="I506" i="1"/>
  <c r="J506" i="1"/>
  <c r="K506" i="1"/>
  <c r="L506" i="1"/>
  <c r="M506" i="1" s="1"/>
  <c r="N506" i="1"/>
  <c r="O506" i="1"/>
  <c r="P506" i="1"/>
  <c r="Q506" i="1"/>
  <c r="R506" i="1"/>
  <c r="S506" i="1" s="1"/>
  <c r="T506" i="1"/>
  <c r="U506" i="1"/>
  <c r="V506" i="1"/>
  <c r="W506" i="1"/>
  <c r="X506" i="1"/>
  <c r="Y506" i="1"/>
  <c r="Z506" i="1"/>
  <c r="AA506" i="1"/>
  <c r="AB506" i="1"/>
  <c r="AC506" i="1"/>
  <c r="AD506" i="1" s="1"/>
  <c r="AE506" i="1"/>
  <c r="AF506" i="1"/>
  <c r="AG506" i="1"/>
  <c r="AH506" i="1" s="1"/>
  <c r="AI506" i="1"/>
  <c r="AJ506" i="1"/>
  <c r="AL506" i="1"/>
  <c r="AM506" i="1"/>
  <c r="AN506" i="1"/>
  <c r="AO506" i="1"/>
  <c r="AP506" i="1"/>
  <c r="AQ506" i="1"/>
  <c r="AR506" i="1"/>
  <c r="AS506" i="1"/>
  <c r="AT506" i="1"/>
  <c r="AU506" i="1"/>
  <c r="AV506" i="1"/>
  <c r="AW506" i="1"/>
  <c r="AX506" i="1"/>
  <c r="AY506" i="1"/>
  <c r="AZ506" i="1"/>
  <c r="BA506" i="1"/>
  <c r="BB506" i="1"/>
  <c r="BC506" i="1"/>
  <c r="BD506" i="1"/>
  <c r="A507" i="1"/>
  <c r="B507" i="1"/>
  <c r="C507" i="1"/>
  <c r="D507" i="1"/>
  <c r="E507" i="1"/>
  <c r="F507" i="1"/>
  <c r="G507" i="1"/>
  <c r="H507" i="1"/>
  <c r="I507" i="1"/>
  <c r="J507" i="1"/>
  <c r="K507" i="1"/>
  <c r="L507" i="1"/>
  <c r="M507" i="1" s="1"/>
  <c r="N507" i="1"/>
  <c r="O507" i="1"/>
  <c r="P507" i="1"/>
  <c r="Q507" i="1"/>
  <c r="R507" i="1"/>
  <c r="S507" i="1" s="1"/>
  <c r="T507" i="1"/>
  <c r="U507" i="1"/>
  <c r="V507" i="1"/>
  <c r="W507" i="1"/>
  <c r="X507" i="1"/>
  <c r="Y507" i="1"/>
  <c r="Z507" i="1"/>
  <c r="AA507" i="1"/>
  <c r="AB507" i="1"/>
  <c r="AC507" i="1"/>
  <c r="AD507" i="1" s="1"/>
  <c r="AE507" i="1"/>
  <c r="AF507" i="1"/>
  <c r="AG507" i="1"/>
  <c r="AH507" i="1" s="1"/>
  <c r="AI507" i="1"/>
  <c r="AJ507" i="1"/>
  <c r="AL507" i="1"/>
  <c r="AM507" i="1"/>
  <c r="AN507" i="1"/>
  <c r="AO507" i="1"/>
  <c r="AP507" i="1"/>
  <c r="AQ507" i="1"/>
  <c r="AR507" i="1"/>
  <c r="AS507" i="1"/>
  <c r="AT507" i="1"/>
  <c r="AU507" i="1"/>
  <c r="AV507" i="1"/>
  <c r="AW507" i="1"/>
  <c r="AX507" i="1"/>
  <c r="AY507" i="1"/>
  <c r="AZ507" i="1"/>
  <c r="BA507" i="1"/>
  <c r="BB507" i="1"/>
  <c r="BC507" i="1"/>
  <c r="BD507" i="1"/>
  <c r="A508" i="1"/>
  <c r="B508" i="1"/>
  <c r="C508" i="1"/>
  <c r="D508" i="1"/>
  <c r="E508" i="1"/>
  <c r="F508" i="1"/>
  <c r="G508" i="1"/>
  <c r="H508" i="1"/>
  <c r="I508" i="1"/>
  <c r="J508" i="1"/>
  <c r="K508" i="1"/>
  <c r="L508" i="1"/>
  <c r="M508" i="1" s="1"/>
  <c r="N508" i="1"/>
  <c r="O508" i="1"/>
  <c r="P508" i="1"/>
  <c r="Q508" i="1"/>
  <c r="R508" i="1"/>
  <c r="S508" i="1" s="1"/>
  <c r="T508" i="1"/>
  <c r="U508" i="1"/>
  <c r="V508" i="1"/>
  <c r="W508" i="1"/>
  <c r="X508" i="1"/>
  <c r="Y508" i="1"/>
  <c r="Z508" i="1"/>
  <c r="AA508" i="1"/>
  <c r="AB508" i="1"/>
  <c r="AC508" i="1"/>
  <c r="AD508" i="1" s="1"/>
  <c r="AE508" i="1"/>
  <c r="AF508" i="1"/>
  <c r="AG508" i="1"/>
  <c r="AH508" i="1" s="1"/>
  <c r="AI508" i="1"/>
  <c r="AJ508" i="1"/>
  <c r="AL508" i="1"/>
  <c r="AM508" i="1"/>
  <c r="AN508" i="1"/>
  <c r="AO508" i="1"/>
  <c r="AP508" i="1"/>
  <c r="AQ508" i="1"/>
  <c r="AR508" i="1"/>
  <c r="AS508" i="1"/>
  <c r="AT508" i="1"/>
  <c r="AU508" i="1"/>
  <c r="AV508" i="1"/>
  <c r="AW508" i="1"/>
  <c r="AX508" i="1"/>
  <c r="AY508" i="1"/>
  <c r="AZ508" i="1"/>
  <c r="BA508" i="1"/>
  <c r="BB508" i="1"/>
  <c r="BC508" i="1"/>
  <c r="BD508" i="1"/>
  <c r="A509" i="1"/>
  <c r="B509" i="1"/>
  <c r="C509" i="1"/>
  <c r="D509" i="1"/>
  <c r="E509" i="1"/>
  <c r="F509" i="1"/>
  <c r="G509" i="1"/>
  <c r="H509" i="1"/>
  <c r="I509" i="1"/>
  <c r="J509" i="1"/>
  <c r="K509" i="1"/>
  <c r="L509" i="1"/>
  <c r="M509" i="1" s="1"/>
  <c r="N509" i="1"/>
  <c r="O509" i="1"/>
  <c r="P509" i="1"/>
  <c r="Q509" i="1"/>
  <c r="R509" i="1"/>
  <c r="S509" i="1" s="1"/>
  <c r="T509" i="1"/>
  <c r="U509" i="1"/>
  <c r="V509" i="1"/>
  <c r="W509" i="1"/>
  <c r="X509" i="1"/>
  <c r="Y509" i="1"/>
  <c r="Z509" i="1"/>
  <c r="AA509" i="1"/>
  <c r="AB509" i="1"/>
  <c r="AC509" i="1"/>
  <c r="AD509" i="1" s="1"/>
  <c r="AE509" i="1"/>
  <c r="AF509" i="1"/>
  <c r="AG509" i="1"/>
  <c r="AH509" i="1" s="1"/>
  <c r="AI509" i="1"/>
  <c r="AJ509" i="1"/>
  <c r="AL509" i="1"/>
  <c r="AM509" i="1"/>
  <c r="AN509" i="1"/>
  <c r="AO509" i="1"/>
  <c r="AP509" i="1"/>
  <c r="AQ509" i="1"/>
  <c r="AR509" i="1"/>
  <c r="AS509" i="1"/>
  <c r="AT509" i="1"/>
  <c r="AU509" i="1"/>
  <c r="AV509" i="1"/>
  <c r="AW509" i="1"/>
  <c r="AX509" i="1"/>
  <c r="AY509" i="1"/>
  <c r="AZ509" i="1"/>
  <c r="BA509" i="1"/>
  <c r="BB509" i="1"/>
  <c r="BC509" i="1"/>
  <c r="BD509" i="1"/>
  <c r="A510" i="1"/>
  <c r="B510" i="1"/>
  <c r="C510" i="1"/>
  <c r="D510" i="1"/>
  <c r="E510" i="1"/>
  <c r="F510" i="1"/>
  <c r="G510" i="1"/>
  <c r="H510" i="1"/>
  <c r="I510" i="1"/>
  <c r="J510" i="1"/>
  <c r="K510" i="1"/>
  <c r="L510" i="1"/>
  <c r="M510" i="1" s="1"/>
  <c r="N510" i="1"/>
  <c r="O510" i="1"/>
  <c r="P510" i="1"/>
  <c r="Q510" i="1"/>
  <c r="R510" i="1"/>
  <c r="S510" i="1" s="1"/>
  <c r="T510" i="1"/>
  <c r="U510" i="1"/>
  <c r="V510" i="1"/>
  <c r="W510" i="1"/>
  <c r="X510" i="1"/>
  <c r="Y510" i="1"/>
  <c r="Z510" i="1"/>
  <c r="AA510" i="1"/>
  <c r="AB510" i="1"/>
  <c r="AC510" i="1"/>
  <c r="AD510" i="1" s="1"/>
  <c r="AE510" i="1"/>
  <c r="AF510" i="1"/>
  <c r="AG510" i="1"/>
  <c r="AH510" i="1" s="1"/>
  <c r="AI510" i="1"/>
  <c r="AJ510" i="1"/>
  <c r="AL510" i="1"/>
  <c r="AM510" i="1"/>
  <c r="AN510" i="1"/>
  <c r="AO510" i="1"/>
  <c r="AP510" i="1"/>
  <c r="AQ510" i="1"/>
  <c r="AR510" i="1"/>
  <c r="AS510" i="1"/>
  <c r="AT510" i="1"/>
  <c r="AU510" i="1"/>
  <c r="AV510" i="1"/>
  <c r="AW510" i="1"/>
  <c r="AX510" i="1"/>
  <c r="AY510" i="1"/>
  <c r="AZ510" i="1"/>
  <c r="BA510" i="1"/>
  <c r="BB510" i="1"/>
  <c r="BC510" i="1"/>
  <c r="BD510" i="1"/>
  <c r="A511" i="1"/>
  <c r="B511" i="1"/>
  <c r="C511" i="1"/>
  <c r="D511" i="1"/>
  <c r="E511" i="1"/>
  <c r="F511" i="1"/>
  <c r="G511" i="1"/>
  <c r="H511" i="1"/>
  <c r="I511" i="1"/>
  <c r="J511" i="1"/>
  <c r="K511" i="1"/>
  <c r="L511" i="1"/>
  <c r="M511" i="1" s="1"/>
  <c r="N511" i="1"/>
  <c r="O511" i="1"/>
  <c r="P511" i="1"/>
  <c r="Q511" i="1"/>
  <c r="R511" i="1"/>
  <c r="S511" i="1" s="1"/>
  <c r="T511" i="1"/>
  <c r="U511" i="1"/>
  <c r="V511" i="1"/>
  <c r="W511" i="1"/>
  <c r="X511" i="1"/>
  <c r="Y511" i="1"/>
  <c r="Z511" i="1"/>
  <c r="AA511" i="1"/>
  <c r="AB511" i="1"/>
  <c r="AC511" i="1"/>
  <c r="AD511" i="1" s="1"/>
  <c r="AE511" i="1"/>
  <c r="AF511" i="1"/>
  <c r="AG511" i="1"/>
  <c r="AH511" i="1" s="1"/>
  <c r="AI511" i="1"/>
  <c r="AJ511" i="1"/>
  <c r="AL511" i="1"/>
  <c r="AM511" i="1"/>
  <c r="AN511" i="1"/>
  <c r="AO511" i="1"/>
  <c r="AP511" i="1"/>
  <c r="AQ511" i="1"/>
  <c r="AR511" i="1"/>
  <c r="AS511" i="1"/>
  <c r="AT511" i="1"/>
  <c r="AU511" i="1"/>
  <c r="AV511" i="1"/>
  <c r="AW511" i="1"/>
  <c r="AX511" i="1"/>
  <c r="AY511" i="1"/>
  <c r="AZ511" i="1"/>
  <c r="BA511" i="1"/>
  <c r="BB511" i="1"/>
  <c r="BC511" i="1"/>
  <c r="BD511" i="1"/>
  <c r="A2" i="1"/>
  <c r="B2" i="1"/>
  <c r="C2" i="1"/>
  <c r="D2" i="1"/>
  <c r="E2" i="1"/>
  <c r="F2" i="1"/>
  <c r="G2" i="1"/>
  <c r="H2" i="1"/>
  <c r="I2" i="1"/>
  <c r="J2" i="1"/>
  <c r="K2" i="1"/>
  <c r="M2" i="1"/>
  <c r="N2" i="1"/>
  <c r="O2" i="1"/>
  <c r="P2" i="1"/>
  <c r="Q2" i="1"/>
  <c r="S2" i="1"/>
  <c r="T2" i="1"/>
  <c r="U2" i="1"/>
  <c r="V2" i="1"/>
  <c r="W2" i="1"/>
  <c r="X2" i="1"/>
  <c r="Y2" i="1"/>
  <c r="Z2" i="1"/>
  <c r="AA2" i="1"/>
  <c r="AB2" i="1"/>
  <c r="AC2" i="1"/>
  <c r="AD2" i="1" s="1"/>
  <c r="AE2" i="1"/>
  <c r="AF2" i="1"/>
  <c r="AG2" i="1"/>
  <c r="AH2" i="1" s="1"/>
  <c r="AI2" i="1"/>
  <c r="AJ2" i="1"/>
  <c r="AL2" i="1"/>
  <c r="AM2" i="1"/>
  <c r="AN2" i="1"/>
  <c r="AO2" i="1"/>
  <c r="AP2" i="1"/>
  <c r="AQ2" i="1"/>
  <c r="AR2" i="1"/>
  <c r="AS2" i="1"/>
  <c r="AT2" i="1"/>
  <c r="AU2" i="1"/>
  <c r="AV2" i="1"/>
  <c r="AW2" i="1"/>
  <c r="AX2" i="1"/>
  <c r="AY2" i="1"/>
  <c r="AZ2" i="1"/>
  <c r="BA2" i="1"/>
  <c r="A3" i="1"/>
  <c r="B3" i="1"/>
  <c r="C3" i="1"/>
  <c r="D3" i="1"/>
  <c r="E3" i="1"/>
  <c r="F3" i="1"/>
  <c r="G3" i="1"/>
  <c r="H3" i="1"/>
  <c r="I3" i="1"/>
  <c r="J3" i="1"/>
  <c r="K3" i="1"/>
  <c r="M3" i="1"/>
  <c r="N3" i="1"/>
  <c r="O3" i="1"/>
  <c r="P3" i="1"/>
  <c r="Q3" i="1"/>
  <c r="R3" i="1"/>
  <c r="S3" i="1" s="1"/>
  <c r="T3" i="1"/>
  <c r="U3" i="1"/>
  <c r="V3" i="1"/>
  <c r="W3" i="1"/>
  <c r="X3" i="1"/>
  <c r="Y3" i="1"/>
  <c r="Z3" i="1"/>
  <c r="AA3" i="1"/>
  <c r="AB3" i="1"/>
  <c r="AC3" i="1"/>
  <c r="AD3" i="1" s="1"/>
  <c r="AE3" i="1"/>
  <c r="AF3" i="1"/>
  <c r="AI3" i="1"/>
  <c r="AJ3" i="1"/>
  <c r="AL3" i="1"/>
  <c r="AM3" i="1"/>
  <c r="AN3" i="1"/>
  <c r="AO3" i="1"/>
  <c r="AP3" i="1"/>
  <c r="AQ3" i="1"/>
  <c r="AR3" i="1"/>
  <c r="AS3" i="1"/>
  <c r="AT3" i="1"/>
  <c r="AU3" i="1"/>
  <c r="AV3" i="1"/>
  <c r="AW3" i="1"/>
  <c r="AX3" i="1"/>
  <c r="AY3" i="1"/>
  <c r="AZ3" i="1"/>
  <c r="BA3" i="1"/>
  <c r="A4" i="1"/>
  <c r="B4" i="1"/>
  <c r="C4" i="1"/>
  <c r="D4" i="1"/>
  <c r="E4" i="1"/>
  <c r="F4" i="1"/>
  <c r="G4" i="1"/>
  <c r="H4" i="1"/>
  <c r="I4" i="1"/>
  <c r="J4" i="1"/>
  <c r="K4" i="1"/>
  <c r="M4" i="1"/>
  <c r="N4" i="1"/>
  <c r="O4" i="1"/>
  <c r="P4" i="1"/>
  <c r="Q4" i="1"/>
  <c r="R4" i="1"/>
  <c r="S4" i="1" s="1"/>
  <c r="T4" i="1"/>
  <c r="U4" i="1"/>
  <c r="V4" i="1"/>
  <c r="W4" i="1"/>
  <c r="X4" i="1"/>
  <c r="Y4" i="1"/>
  <c r="Z4" i="1"/>
  <c r="AA4" i="1"/>
  <c r="AB4" i="1"/>
  <c r="AC4" i="1"/>
  <c r="AD4" i="1" s="1"/>
  <c r="AE4" i="1"/>
  <c r="AF4" i="1"/>
  <c r="AG4" i="1"/>
  <c r="AH4" i="1" s="1"/>
  <c r="AI4" i="1"/>
  <c r="AJ4" i="1"/>
  <c r="AL4" i="1"/>
  <c r="AM4" i="1"/>
  <c r="AN4" i="1"/>
  <c r="AO4" i="1"/>
  <c r="AP4" i="1"/>
  <c r="AQ4" i="1"/>
  <c r="AR4" i="1"/>
  <c r="AS4" i="1"/>
  <c r="AT4" i="1"/>
  <c r="AU4" i="1"/>
  <c r="AV4" i="1"/>
  <c r="AW4" i="1"/>
  <c r="AX4" i="1"/>
  <c r="AY4" i="1"/>
  <c r="AZ4" i="1"/>
  <c r="BA4" i="1"/>
  <c r="A5" i="1"/>
  <c r="B5" i="1"/>
  <c r="C5" i="1"/>
  <c r="D5" i="1"/>
  <c r="E5" i="1"/>
  <c r="F5" i="1"/>
  <c r="G5" i="1"/>
  <c r="H5" i="1"/>
  <c r="I5" i="1"/>
  <c r="J5" i="1"/>
  <c r="K5" i="1"/>
  <c r="M5" i="1"/>
  <c r="N5" i="1"/>
  <c r="O5" i="1"/>
  <c r="P5" i="1"/>
  <c r="Q5" i="1"/>
  <c r="R5" i="1"/>
  <c r="S5" i="1" s="1"/>
  <c r="T5" i="1"/>
  <c r="U5" i="1"/>
  <c r="V5" i="1"/>
  <c r="W5" i="1"/>
  <c r="X5" i="1"/>
  <c r="Y5" i="1"/>
  <c r="Z5" i="1"/>
  <c r="AA5" i="1"/>
  <c r="AB5" i="1"/>
  <c r="AC5" i="1"/>
  <c r="AD5" i="1" s="1"/>
  <c r="AE5" i="1"/>
  <c r="AF5" i="1"/>
  <c r="AG5" i="1"/>
  <c r="AH5" i="1" s="1"/>
  <c r="AI5" i="1"/>
  <c r="AJ5" i="1"/>
  <c r="AL5" i="1"/>
  <c r="AM5" i="1"/>
  <c r="AN5" i="1"/>
  <c r="AO5" i="1"/>
  <c r="AP5" i="1"/>
  <c r="AQ5" i="1"/>
  <c r="AR5" i="1"/>
  <c r="AS5" i="1"/>
  <c r="AT5" i="1"/>
  <c r="AU5" i="1"/>
  <c r="AV5" i="1"/>
  <c r="AW5" i="1"/>
  <c r="AX5" i="1"/>
  <c r="AY5" i="1"/>
  <c r="AZ5" i="1"/>
  <c r="BA5" i="1"/>
  <c r="A6" i="1"/>
  <c r="B6" i="1"/>
  <c r="C6" i="1"/>
  <c r="D6" i="1"/>
  <c r="E6" i="1"/>
  <c r="F6" i="1"/>
  <c r="G6" i="1"/>
  <c r="H6" i="1"/>
  <c r="I6" i="1"/>
  <c r="J6" i="1"/>
  <c r="K6" i="1"/>
  <c r="M6" i="1"/>
  <c r="N6" i="1"/>
  <c r="O6" i="1"/>
  <c r="P6" i="1"/>
  <c r="Q6" i="1"/>
  <c r="S6" i="1"/>
  <c r="T6" i="1"/>
  <c r="U6" i="1"/>
  <c r="V6" i="1"/>
  <c r="W6" i="1"/>
  <c r="X6" i="1"/>
  <c r="Y6" i="1"/>
  <c r="Z6" i="1"/>
  <c r="AA6" i="1"/>
  <c r="AB6" i="1"/>
  <c r="AC6" i="1"/>
  <c r="AD6" i="1" s="1"/>
  <c r="AE6" i="1"/>
  <c r="AF6" i="1"/>
  <c r="AG6" i="1"/>
  <c r="AH6" i="1" s="1"/>
  <c r="AI6" i="1"/>
  <c r="AJ6" i="1"/>
  <c r="AL6" i="1"/>
  <c r="AM6" i="1"/>
  <c r="AN6" i="1"/>
  <c r="AO6" i="1"/>
  <c r="AP6" i="1"/>
  <c r="AQ6" i="1"/>
  <c r="AR6" i="1"/>
  <c r="AS6" i="1"/>
  <c r="AT6" i="1"/>
  <c r="AU6" i="1"/>
  <c r="AV6" i="1"/>
  <c r="AW6" i="1"/>
  <c r="AX6" i="1"/>
  <c r="AY6" i="1"/>
  <c r="AZ6" i="1"/>
  <c r="BA6" i="1"/>
  <c r="A7" i="1"/>
  <c r="B7" i="1"/>
  <c r="C7" i="1"/>
  <c r="D7" i="1"/>
  <c r="E7" i="1"/>
  <c r="F7" i="1"/>
  <c r="G7" i="1"/>
  <c r="H7" i="1"/>
  <c r="I7" i="1"/>
  <c r="J7" i="1"/>
  <c r="K7" i="1"/>
  <c r="M7" i="1"/>
  <c r="N7" i="1"/>
  <c r="O7" i="1"/>
  <c r="P7" i="1"/>
  <c r="Q7" i="1"/>
  <c r="R7" i="1"/>
  <c r="S7" i="1" s="1"/>
  <c r="T7" i="1"/>
  <c r="U7" i="1"/>
  <c r="V7" i="1"/>
  <c r="W7" i="1"/>
  <c r="X7" i="1"/>
  <c r="Y7" i="1"/>
  <c r="Z7" i="1"/>
  <c r="AA7" i="1"/>
  <c r="AB7" i="1"/>
  <c r="AD7" i="1"/>
  <c r="AE7" i="1"/>
  <c r="AF7" i="1"/>
  <c r="AG7" i="1"/>
  <c r="AH7" i="1" s="1"/>
  <c r="AI7" i="1"/>
  <c r="AJ7" i="1"/>
  <c r="AL7" i="1"/>
  <c r="AM7" i="1"/>
  <c r="AN7" i="1"/>
  <c r="AO7" i="1"/>
  <c r="AP7" i="1"/>
  <c r="AQ7" i="1"/>
  <c r="AR7" i="1"/>
  <c r="AS7" i="1"/>
  <c r="AT7" i="1"/>
  <c r="AU7" i="1"/>
  <c r="AV7" i="1"/>
  <c r="AW7" i="1"/>
  <c r="AX7" i="1"/>
  <c r="AY7" i="1"/>
  <c r="AZ7" i="1"/>
  <c r="BA7" i="1"/>
  <c r="A8" i="1"/>
  <c r="B8" i="1"/>
  <c r="C8" i="1"/>
  <c r="D8" i="1"/>
  <c r="E8" i="1"/>
  <c r="F8" i="1"/>
  <c r="G8" i="1"/>
  <c r="H8" i="1"/>
  <c r="I8" i="1"/>
  <c r="J8" i="1"/>
  <c r="K8" i="1"/>
  <c r="L8" i="1"/>
  <c r="M8" i="1" s="1"/>
  <c r="N8" i="1"/>
  <c r="O8" i="1"/>
  <c r="P8" i="1"/>
  <c r="Q8" i="1"/>
  <c r="R8" i="1"/>
  <c r="S8" i="1" s="1"/>
  <c r="T8" i="1"/>
  <c r="U8" i="1"/>
  <c r="V8" i="1"/>
  <c r="W8" i="1"/>
  <c r="X8" i="1"/>
  <c r="Y8" i="1"/>
  <c r="Z8" i="1"/>
  <c r="AA8" i="1"/>
  <c r="AB8" i="1"/>
  <c r="AC8" i="1"/>
  <c r="AD8" i="1" s="1"/>
  <c r="AE8" i="1"/>
  <c r="AF8" i="1"/>
  <c r="AG8" i="1"/>
  <c r="AH8" i="1" s="1"/>
  <c r="AI8" i="1"/>
  <c r="AJ8" i="1"/>
  <c r="AL8" i="1"/>
  <c r="AM8" i="1"/>
  <c r="AN8" i="1"/>
  <c r="AO8" i="1"/>
  <c r="AP8" i="1"/>
  <c r="AQ8" i="1"/>
  <c r="AR8" i="1"/>
  <c r="AS8" i="1"/>
  <c r="AT8" i="1"/>
  <c r="AU8" i="1"/>
  <c r="AV8" i="1"/>
  <c r="AW8" i="1"/>
  <c r="AX8" i="1"/>
  <c r="AY8" i="1"/>
  <c r="AZ8" i="1"/>
  <c r="BA8" i="1"/>
  <c r="A9" i="1"/>
  <c r="B9" i="1"/>
  <c r="C9" i="1"/>
  <c r="D9" i="1"/>
  <c r="E9" i="1"/>
  <c r="F9" i="1"/>
  <c r="G9" i="1"/>
  <c r="H9" i="1"/>
  <c r="I9" i="1"/>
  <c r="J9" i="1"/>
  <c r="K9" i="1"/>
  <c r="M9" i="1"/>
  <c r="N9" i="1"/>
  <c r="O9" i="1"/>
  <c r="P9" i="1"/>
  <c r="Q9" i="1"/>
  <c r="S9" i="1"/>
  <c r="T9" i="1"/>
  <c r="U9" i="1"/>
  <c r="V9" i="1"/>
  <c r="W9" i="1"/>
  <c r="X9" i="1"/>
  <c r="Y9" i="1"/>
  <c r="Z9" i="1"/>
  <c r="AA9" i="1"/>
  <c r="AB9" i="1"/>
  <c r="AC9" i="1"/>
  <c r="AD9" i="1" s="1"/>
  <c r="AE9" i="1"/>
  <c r="AF9" i="1"/>
  <c r="AG9" i="1"/>
  <c r="AH9" i="1" s="1"/>
  <c r="AI9" i="1"/>
  <c r="AL9" i="1"/>
  <c r="AM9" i="1"/>
  <c r="AN9" i="1"/>
  <c r="AO9" i="1"/>
  <c r="AP9" i="1"/>
  <c r="AQ9" i="1"/>
  <c r="AR9" i="1"/>
  <c r="AS9" i="1"/>
  <c r="AT9" i="1"/>
  <c r="AU9" i="1"/>
  <c r="AV9" i="1"/>
  <c r="AW9" i="1"/>
  <c r="AX9" i="1"/>
  <c r="AY9" i="1"/>
  <c r="AZ9" i="1"/>
  <c r="BA9" i="1"/>
  <c r="A10" i="1"/>
  <c r="B10" i="1"/>
  <c r="C10" i="1"/>
  <c r="D10" i="1"/>
  <c r="E10" i="1"/>
  <c r="F10" i="1"/>
  <c r="G10" i="1"/>
  <c r="H10" i="1"/>
  <c r="I10" i="1"/>
  <c r="J10" i="1"/>
  <c r="K10" i="1"/>
  <c r="L10" i="1"/>
  <c r="M10" i="1" s="1"/>
  <c r="N10" i="1"/>
  <c r="O10" i="1"/>
  <c r="P10" i="1"/>
  <c r="Q10" i="1"/>
  <c r="R10" i="1"/>
  <c r="S10" i="1" s="1"/>
  <c r="T10" i="1"/>
  <c r="U10" i="1"/>
  <c r="V10" i="1"/>
  <c r="W10" i="1"/>
  <c r="X10" i="1"/>
  <c r="Y10" i="1"/>
  <c r="Z10" i="1"/>
  <c r="AA10" i="1"/>
  <c r="AB10" i="1"/>
  <c r="AC10" i="1"/>
  <c r="AD10" i="1" s="1"/>
  <c r="AE10" i="1"/>
  <c r="AF10" i="1"/>
  <c r="AG10" i="1"/>
  <c r="AH10" i="1" s="1"/>
  <c r="AI10" i="1"/>
  <c r="AJ10" i="1"/>
  <c r="AL10" i="1"/>
  <c r="AM10" i="1"/>
  <c r="AN10" i="1"/>
  <c r="AO10" i="1"/>
  <c r="AP10" i="1"/>
  <c r="AQ10" i="1"/>
  <c r="AR10" i="1"/>
  <c r="AS10" i="1"/>
  <c r="AT10" i="1"/>
  <c r="AU10" i="1"/>
  <c r="AV10" i="1"/>
  <c r="AW10" i="1"/>
  <c r="AX10" i="1"/>
  <c r="AY10" i="1"/>
  <c r="AZ10" i="1"/>
  <c r="BA10" i="1"/>
  <c r="A11" i="1"/>
  <c r="B11" i="1"/>
  <c r="C11" i="1"/>
  <c r="D11" i="1"/>
  <c r="E11" i="1"/>
  <c r="F11" i="1"/>
  <c r="G11" i="1"/>
  <c r="H11" i="1"/>
  <c r="I11" i="1"/>
  <c r="J11" i="1"/>
  <c r="K11" i="1"/>
  <c r="M11" i="1"/>
  <c r="N11" i="1"/>
  <c r="O11" i="1"/>
  <c r="P11" i="1"/>
  <c r="Q11" i="1"/>
  <c r="S11" i="1"/>
  <c r="T11" i="1"/>
  <c r="U11" i="1"/>
  <c r="V11" i="1"/>
  <c r="W11" i="1"/>
  <c r="X11" i="1"/>
  <c r="Y11" i="1"/>
  <c r="Z11" i="1"/>
  <c r="AA11" i="1"/>
  <c r="AB11" i="1"/>
  <c r="AD11" i="1"/>
  <c r="AE11" i="1"/>
  <c r="AF11" i="1"/>
  <c r="AG11" i="1"/>
  <c r="AH11" i="1" s="1"/>
  <c r="AI11" i="1"/>
  <c r="AL11" i="1"/>
  <c r="AM11" i="1"/>
  <c r="AN11" i="1"/>
  <c r="AO11" i="1"/>
  <c r="AP11" i="1"/>
  <c r="AQ11" i="1"/>
  <c r="AR11" i="1"/>
  <c r="AS11" i="1"/>
  <c r="AT11" i="1"/>
  <c r="AU11" i="1"/>
  <c r="AV11" i="1"/>
  <c r="AW11" i="1"/>
  <c r="AX11" i="1"/>
  <c r="AY11" i="1"/>
  <c r="AZ11" i="1"/>
  <c r="BA11" i="1"/>
  <c r="A12" i="1"/>
  <c r="B12" i="1"/>
  <c r="C12" i="1"/>
  <c r="D12" i="1"/>
  <c r="E12" i="1"/>
  <c r="F12" i="1"/>
  <c r="G12" i="1"/>
  <c r="H12" i="1"/>
  <c r="I12" i="1"/>
  <c r="J12" i="1"/>
  <c r="K12" i="1"/>
  <c r="L12" i="1"/>
  <c r="M12" i="1" s="1"/>
  <c r="N12" i="1"/>
  <c r="O12" i="1"/>
  <c r="P12" i="1"/>
  <c r="Q12" i="1"/>
  <c r="R12" i="1"/>
  <c r="S12" i="1" s="1"/>
  <c r="T12" i="1"/>
  <c r="U12" i="1"/>
  <c r="V12" i="1"/>
  <c r="W12" i="1"/>
  <c r="X12" i="1"/>
  <c r="Y12" i="1"/>
  <c r="Z12" i="1"/>
  <c r="AA12" i="1"/>
  <c r="AB12" i="1"/>
  <c r="AC12" i="1"/>
  <c r="AD12" i="1" s="1"/>
  <c r="AE12" i="1"/>
  <c r="AF12" i="1"/>
  <c r="AG12" i="1"/>
  <c r="AH12" i="1" s="1"/>
  <c r="AI12" i="1"/>
  <c r="AL12" i="1"/>
  <c r="AM12" i="1"/>
  <c r="AN12" i="1"/>
  <c r="AO12" i="1"/>
  <c r="AP12" i="1"/>
  <c r="AQ12" i="1"/>
  <c r="AR12" i="1"/>
  <c r="AS12" i="1"/>
  <c r="AT12" i="1"/>
  <c r="AU12" i="1"/>
  <c r="AV12" i="1"/>
  <c r="AW12" i="1"/>
  <c r="AX12" i="1"/>
  <c r="AY12" i="1"/>
  <c r="AZ12" i="1"/>
  <c r="BA12" i="1"/>
  <c r="A13" i="1"/>
  <c r="B13" i="1"/>
  <c r="C13" i="1"/>
  <c r="D13" i="1"/>
  <c r="E13" i="1"/>
  <c r="F13" i="1"/>
  <c r="G13" i="1"/>
  <c r="H13" i="1"/>
  <c r="I13" i="1"/>
  <c r="J13" i="1"/>
  <c r="K13" i="1"/>
  <c r="M13" i="1"/>
  <c r="N13" i="1"/>
  <c r="O13" i="1"/>
  <c r="P13" i="1"/>
  <c r="Q13" i="1"/>
  <c r="R13" i="1"/>
  <c r="S13" i="1" s="1"/>
  <c r="T13" i="1"/>
  <c r="U13" i="1"/>
  <c r="V13" i="1"/>
  <c r="W13" i="1"/>
  <c r="X13" i="1"/>
  <c r="Y13" i="1"/>
  <c r="Z13" i="1"/>
  <c r="AA13" i="1"/>
  <c r="AB13" i="1"/>
  <c r="AD13" i="1"/>
  <c r="AE13" i="1"/>
  <c r="AF13" i="1"/>
  <c r="AG13" i="1"/>
  <c r="AH13" i="1" s="1"/>
  <c r="AI13" i="1"/>
  <c r="AJ13" i="1"/>
  <c r="AL13" i="1"/>
  <c r="AM13" i="1"/>
  <c r="AN13" i="1"/>
  <c r="AO13" i="1"/>
  <c r="AP13" i="1"/>
  <c r="AQ13" i="1"/>
  <c r="AR13" i="1"/>
  <c r="AS13" i="1"/>
  <c r="AT13" i="1"/>
  <c r="AU13" i="1"/>
  <c r="AV13" i="1"/>
  <c r="AW13" i="1"/>
  <c r="AX13" i="1"/>
  <c r="AY13" i="1"/>
  <c r="AZ13" i="1"/>
  <c r="BA13" i="1"/>
  <c r="A14" i="1"/>
  <c r="B14" i="1"/>
  <c r="C14" i="1"/>
  <c r="D14" i="1"/>
  <c r="E14" i="1"/>
  <c r="F14" i="1"/>
  <c r="G14" i="1"/>
  <c r="H14" i="1"/>
  <c r="I14" i="1"/>
  <c r="J14" i="1"/>
  <c r="K14" i="1"/>
  <c r="L14" i="1"/>
  <c r="M14" i="1" s="1"/>
  <c r="N14" i="1"/>
  <c r="O14" i="1"/>
  <c r="P14" i="1"/>
  <c r="Q14" i="1"/>
  <c r="R14" i="1"/>
  <c r="S14" i="1" s="1"/>
  <c r="T14" i="1"/>
  <c r="U14" i="1"/>
  <c r="V14" i="1"/>
  <c r="W14" i="1"/>
  <c r="X14" i="1"/>
  <c r="Y14" i="1"/>
  <c r="Z14" i="1"/>
  <c r="AA14" i="1"/>
  <c r="AB14" i="1"/>
  <c r="AC14" i="1"/>
  <c r="AD14" i="1" s="1"/>
  <c r="AE14" i="1"/>
  <c r="AF14" i="1"/>
  <c r="AG14" i="1"/>
  <c r="AH14" i="1" s="1"/>
  <c r="AI14" i="1"/>
  <c r="AJ14" i="1"/>
  <c r="AL14" i="1"/>
  <c r="AM14" i="1"/>
  <c r="AN14" i="1"/>
  <c r="AO14" i="1"/>
  <c r="AP14" i="1"/>
  <c r="AQ14" i="1"/>
  <c r="AR14" i="1"/>
  <c r="AS14" i="1"/>
  <c r="AT14" i="1"/>
  <c r="AU14" i="1"/>
  <c r="AV14" i="1"/>
  <c r="AW14" i="1"/>
  <c r="AX14" i="1"/>
  <c r="AY14" i="1"/>
  <c r="AZ14" i="1"/>
  <c r="BA14" i="1"/>
  <c r="A15" i="1"/>
  <c r="B15" i="1"/>
  <c r="C15" i="1"/>
  <c r="D15" i="1"/>
  <c r="E15" i="1"/>
  <c r="F15" i="1"/>
  <c r="G15" i="1"/>
  <c r="H15" i="1"/>
  <c r="I15" i="1"/>
  <c r="J15" i="1"/>
  <c r="K15" i="1"/>
  <c r="L15" i="1"/>
  <c r="M15" i="1" s="1"/>
  <c r="N15" i="1"/>
  <c r="O15" i="1"/>
  <c r="P15" i="1"/>
  <c r="Q15" i="1"/>
  <c r="S15" i="1"/>
  <c r="T15" i="1"/>
  <c r="U15" i="1"/>
  <c r="V15" i="1"/>
  <c r="W15" i="1"/>
  <c r="X15" i="1"/>
  <c r="Y15" i="1"/>
  <c r="Z15" i="1"/>
  <c r="AA15" i="1"/>
  <c r="AB15" i="1"/>
  <c r="AD15" i="1"/>
  <c r="AE15" i="1"/>
  <c r="AF15" i="1"/>
  <c r="AG15" i="1"/>
  <c r="AH15" i="1" s="1"/>
  <c r="AI15" i="1"/>
  <c r="AJ15" i="1"/>
  <c r="AL15" i="1"/>
  <c r="AM15" i="1"/>
  <c r="AN15" i="1"/>
  <c r="AO15" i="1"/>
  <c r="AP15" i="1"/>
  <c r="AQ15" i="1"/>
  <c r="AR15" i="1"/>
  <c r="AS15" i="1"/>
  <c r="AT15" i="1"/>
  <c r="AU15" i="1"/>
  <c r="AV15" i="1"/>
  <c r="AW15" i="1"/>
  <c r="AX15" i="1"/>
  <c r="AY15" i="1"/>
  <c r="AZ15" i="1"/>
  <c r="BA15" i="1"/>
  <c r="A16" i="1"/>
  <c r="B16" i="1"/>
  <c r="C16" i="1"/>
  <c r="D16" i="1"/>
  <c r="E16" i="1"/>
  <c r="F16" i="1"/>
  <c r="G16" i="1"/>
  <c r="H16" i="1"/>
  <c r="I16" i="1"/>
  <c r="J16" i="1"/>
  <c r="K16" i="1"/>
  <c r="L16" i="1"/>
  <c r="M16" i="1" s="1"/>
  <c r="N16" i="1"/>
  <c r="O16" i="1"/>
  <c r="P16" i="1"/>
  <c r="Q16" i="1"/>
  <c r="S16" i="1"/>
  <c r="T16" i="1"/>
  <c r="U16" i="1"/>
  <c r="V16" i="1"/>
  <c r="W16" i="1"/>
  <c r="X16" i="1"/>
  <c r="Y16" i="1"/>
  <c r="Z16" i="1"/>
  <c r="AA16" i="1"/>
  <c r="AB16" i="1"/>
  <c r="AD16" i="1"/>
  <c r="AE16" i="1"/>
  <c r="AF16" i="1"/>
  <c r="AG16" i="1"/>
  <c r="AH16" i="1" s="1"/>
  <c r="AI16" i="1"/>
  <c r="AJ16" i="1"/>
  <c r="AL16" i="1"/>
  <c r="AM16" i="1"/>
  <c r="AN16" i="1"/>
  <c r="AO16" i="1"/>
  <c r="AP16" i="1"/>
  <c r="AQ16" i="1"/>
  <c r="AR16" i="1"/>
  <c r="AS16" i="1"/>
  <c r="AT16" i="1"/>
  <c r="AU16" i="1"/>
  <c r="AV16" i="1"/>
  <c r="AW16" i="1"/>
  <c r="AX16" i="1"/>
  <c r="AY16" i="1"/>
  <c r="AZ16" i="1"/>
  <c r="BA16" i="1"/>
  <c r="A17" i="1"/>
  <c r="B17" i="1"/>
  <c r="C17" i="1"/>
  <c r="D17" i="1"/>
  <c r="E17" i="1"/>
  <c r="F17" i="1"/>
  <c r="G17" i="1"/>
  <c r="H17" i="1"/>
  <c r="I17" i="1"/>
  <c r="J17" i="1"/>
  <c r="K17" i="1"/>
  <c r="L17" i="1"/>
  <c r="M17" i="1" s="1"/>
  <c r="N17" i="1"/>
  <c r="O17" i="1"/>
  <c r="P17" i="1"/>
  <c r="Q17" i="1"/>
  <c r="R17" i="1"/>
  <c r="S17" i="1" s="1"/>
  <c r="T17" i="1"/>
  <c r="U17" i="1"/>
  <c r="V17" i="1"/>
  <c r="W17" i="1"/>
  <c r="X17" i="1"/>
  <c r="Y17" i="1"/>
  <c r="Z17" i="1"/>
  <c r="AA17" i="1"/>
  <c r="AB17" i="1"/>
  <c r="AC17" i="1"/>
  <c r="AD17" i="1" s="1"/>
  <c r="AE17" i="1"/>
  <c r="AF17" i="1"/>
  <c r="AG17" i="1"/>
  <c r="AH17" i="1" s="1"/>
  <c r="AI17" i="1"/>
  <c r="AJ17" i="1"/>
  <c r="AL17" i="1"/>
  <c r="AM17" i="1"/>
  <c r="AN17" i="1"/>
  <c r="AO17" i="1"/>
  <c r="AP17" i="1"/>
  <c r="AQ17" i="1"/>
  <c r="AR17" i="1"/>
  <c r="AS17" i="1"/>
  <c r="AT17" i="1"/>
  <c r="AU17" i="1"/>
  <c r="AV17" i="1"/>
  <c r="AW17" i="1"/>
  <c r="AX17" i="1"/>
  <c r="AY17" i="1"/>
  <c r="AZ17" i="1"/>
  <c r="BA17" i="1"/>
  <c r="A18" i="1"/>
  <c r="B18" i="1"/>
  <c r="C18" i="1"/>
  <c r="D18" i="1"/>
  <c r="E18" i="1"/>
  <c r="F18" i="1"/>
  <c r="G18" i="1"/>
  <c r="H18" i="1"/>
  <c r="I18" i="1"/>
  <c r="J18" i="1"/>
  <c r="K18" i="1"/>
  <c r="M18" i="1"/>
  <c r="N18" i="1"/>
  <c r="O18" i="1"/>
  <c r="P18" i="1"/>
  <c r="Q18" i="1"/>
  <c r="R18" i="1"/>
  <c r="S18" i="1" s="1"/>
  <c r="T18" i="1"/>
  <c r="U18" i="1"/>
  <c r="V18" i="1"/>
  <c r="W18" i="1"/>
  <c r="X18" i="1"/>
  <c r="Y18" i="1"/>
  <c r="Z18" i="1"/>
  <c r="AA18" i="1"/>
  <c r="AB18" i="1"/>
  <c r="AC18" i="1"/>
  <c r="AD18" i="1" s="1"/>
  <c r="AE18" i="1"/>
  <c r="AF18" i="1"/>
  <c r="AG18" i="1"/>
  <c r="AH18" i="1" s="1"/>
  <c r="AI18" i="1"/>
  <c r="AJ18" i="1"/>
  <c r="AL18" i="1"/>
  <c r="AM18" i="1"/>
  <c r="AN18" i="1"/>
  <c r="AO18" i="1"/>
  <c r="AP18" i="1"/>
  <c r="AQ18" i="1"/>
  <c r="AR18" i="1"/>
  <c r="AS18" i="1"/>
  <c r="AT18" i="1"/>
  <c r="AU18" i="1"/>
  <c r="AV18" i="1"/>
  <c r="AW18" i="1"/>
  <c r="AX18" i="1"/>
  <c r="AY18" i="1"/>
  <c r="AZ18" i="1"/>
  <c r="BA18" i="1"/>
  <c r="A19" i="1"/>
  <c r="B19" i="1"/>
  <c r="C19" i="1"/>
  <c r="D19" i="1"/>
  <c r="E19" i="1"/>
  <c r="F19" i="1"/>
  <c r="G19" i="1"/>
  <c r="H19" i="1"/>
  <c r="I19" i="1"/>
  <c r="J19" i="1"/>
  <c r="K19" i="1"/>
  <c r="L19" i="1"/>
  <c r="M19" i="1" s="1"/>
  <c r="N19" i="1"/>
  <c r="O19" i="1"/>
  <c r="P19" i="1"/>
  <c r="Q19" i="1"/>
  <c r="S19" i="1"/>
  <c r="T19" i="1"/>
  <c r="U19" i="1"/>
  <c r="V19" i="1"/>
  <c r="W19" i="1"/>
  <c r="X19" i="1"/>
  <c r="Y19" i="1"/>
  <c r="Z19" i="1"/>
  <c r="AA19" i="1"/>
  <c r="AB19" i="1"/>
  <c r="AC19" i="1"/>
  <c r="AD19" i="1" s="1"/>
  <c r="AE19" i="1"/>
  <c r="AF19" i="1"/>
  <c r="AG19" i="1"/>
  <c r="AH19" i="1" s="1"/>
  <c r="AI19" i="1"/>
  <c r="AJ19" i="1"/>
  <c r="AL19" i="1"/>
  <c r="AM19" i="1"/>
  <c r="AN19" i="1"/>
  <c r="AO19" i="1"/>
  <c r="AP19" i="1"/>
  <c r="AQ19" i="1"/>
  <c r="AR19" i="1"/>
  <c r="AS19" i="1"/>
  <c r="AT19" i="1"/>
  <c r="AU19" i="1"/>
  <c r="AV19" i="1"/>
  <c r="AW19" i="1"/>
  <c r="AX19" i="1"/>
  <c r="AY19" i="1"/>
  <c r="AZ19" i="1"/>
  <c r="BA19" i="1"/>
  <c r="A20" i="1"/>
  <c r="B20" i="1"/>
  <c r="C20" i="1"/>
  <c r="D20" i="1"/>
  <c r="E20" i="1"/>
  <c r="F20" i="1"/>
  <c r="G20" i="1"/>
  <c r="H20" i="1"/>
  <c r="I20" i="1"/>
  <c r="J20" i="1"/>
  <c r="K20" i="1"/>
  <c r="L20" i="1"/>
  <c r="M20" i="1" s="1"/>
  <c r="N20" i="1"/>
  <c r="O20" i="1"/>
  <c r="P20" i="1"/>
  <c r="Q20" i="1"/>
  <c r="R20" i="1"/>
  <c r="S20" i="1" s="1"/>
  <c r="T20" i="1"/>
  <c r="U20" i="1"/>
  <c r="V20" i="1"/>
  <c r="W20" i="1"/>
  <c r="X20" i="1"/>
  <c r="Y20" i="1"/>
  <c r="Z20" i="1"/>
  <c r="AA20" i="1"/>
  <c r="AB20" i="1"/>
  <c r="AC20" i="1"/>
  <c r="AD20" i="1" s="1"/>
  <c r="AE20" i="1"/>
  <c r="AF20" i="1"/>
  <c r="AG20" i="1"/>
  <c r="AH20" i="1" s="1"/>
  <c r="AI20" i="1"/>
  <c r="AJ20" i="1"/>
  <c r="AL20" i="1"/>
  <c r="AM20" i="1"/>
  <c r="AN20" i="1"/>
  <c r="AO20" i="1"/>
  <c r="AP20" i="1"/>
  <c r="AQ20" i="1"/>
  <c r="AR20" i="1"/>
  <c r="AS20" i="1"/>
  <c r="AT20" i="1"/>
  <c r="AU20" i="1"/>
  <c r="AV20" i="1"/>
  <c r="AW20" i="1"/>
  <c r="AX20" i="1"/>
  <c r="AY20" i="1"/>
  <c r="AZ20" i="1"/>
  <c r="BA20" i="1"/>
  <c r="A21" i="1"/>
  <c r="B21" i="1"/>
  <c r="C21" i="1"/>
  <c r="D21" i="1"/>
  <c r="E21" i="1"/>
  <c r="F21" i="1"/>
  <c r="G21" i="1"/>
  <c r="H21" i="1"/>
  <c r="I21" i="1"/>
  <c r="J21" i="1"/>
  <c r="K21" i="1"/>
  <c r="L21" i="1"/>
  <c r="M21" i="1" s="1"/>
  <c r="N21" i="1"/>
  <c r="O21" i="1"/>
  <c r="P21" i="1"/>
  <c r="Q21" i="1"/>
  <c r="S21" i="1"/>
  <c r="T21" i="1"/>
  <c r="U21" i="1"/>
  <c r="V21" i="1"/>
  <c r="W21" i="1"/>
  <c r="X21" i="1"/>
  <c r="Y21" i="1"/>
  <c r="Z21" i="1"/>
  <c r="AA21" i="1"/>
  <c r="AB21" i="1"/>
  <c r="AC21" i="1"/>
  <c r="AD21" i="1" s="1"/>
  <c r="AE21" i="1"/>
  <c r="AF21" i="1"/>
  <c r="AG21" i="1"/>
  <c r="AH21" i="1" s="1"/>
  <c r="AI21" i="1"/>
  <c r="AJ21" i="1"/>
  <c r="AL21" i="1"/>
  <c r="AM21" i="1"/>
  <c r="AN21" i="1"/>
  <c r="AO21" i="1"/>
  <c r="AP21" i="1"/>
  <c r="AQ21" i="1"/>
  <c r="AR21" i="1"/>
  <c r="AS21" i="1"/>
  <c r="AT21" i="1"/>
  <c r="AU21" i="1"/>
  <c r="AV21" i="1"/>
  <c r="AW21" i="1"/>
  <c r="AX21" i="1"/>
  <c r="AY21" i="1"/>
  <c r="AZ21" i="1"/>
  <c r="BA21" i="1"/>
  <c r="A22" i="1"/>
  <c r="B22" i="1"/>
  <c r="C22" i="1"/>
  <c r="D22" i="1"/>
  <c r="E22" i="1"/>
  <c r="F22" i="1"/>
  <c r="G22" i="1"/>
  <c r="H22" i="1"/>
  <c r="I22" i="1"/>
  <c r="J22" i="1"/>
  <c r="K22" i="1"/>
  <c r="M22" i="1"/>
  <c r="N22" i="1"/>
  <c r="O22" i="1"/>
  <c r="P22" i="1"/>
  <c r="Q22" i="1"/>
  <c r="S22" i="1"/>
  <c r="T22" i="1"/>
  <c r="U22" i="1"/>
  <c r="V22" i="1"/>
  <c r="W22" i="1"/>
  <c r="X22" i="1"/>
  <c r="Y22" i="1"/>
  <c r="Z22" i="1"/>
  <c r="AA22" i="1"/>
  <c r="AB22" i="1"/>
  <c r="AC22" i="1"/>
  <c r="AD22" i="1" s="1"/>
  <c r="AE22" i="1"/>
  <c r="AF22" i="1"/>
  <c r="AG22" i="1"/>
  <c r="AH22" i="1" s="1"/>
  <c r="AI22" i="1"/>
  <c r="AJ22" i="1"/>
  <c r="AL22" i="1"/>
  <c r="AM22" i="1"/>
  <c r="AN22" i="1"/>
  <c r="AO22" i="1"/>
  <c r="AP22" i="1"/>
  <c r="AQ22" i="1"/>
  <c r="AR22" i="1"/>
  <c r="AS22" i="1"/>
  <c r="AT22" i="1"/>
  <c r="AU22" i="1"/>
  <c r="AV22" i="1"/>
  <c r="AW22" i="1"/>
  <c r="AX22" i="1"/>
  <c r="AY22" i="1"/>
  <c r="AZ22" i="1"/>
  <c r="BA22" i="1"/>
  <c r="A23" i="1"/>
  <c r="B23" i="1"/>
  <c r="C23" i="1"/>
  <c r="D23" i="1"/>
  <c r="E23" i="1"/>
  <c r="F23" i="1"/>
  <c r="G23" i="1"/>
  <c r="H23" i="1"/>
  <c r="I23" i="1"/>
  <c r="J23" i="1"/>
  <c r="K23" i="1"/>
  <c r="M23" i="1"/>
  <c r="N23" i="1"/>
  <c r="O23" i="1"/>
  <c r="P23" i="1"/>
  <c r="Q23" i="1"/>
  <c r="S23" i="1"/>
  <c r="T23" i="1"/>
  <c r="U23" i="1"/>
  <c r="V23" i="1"/>
  <c r="W23" i="1"/>
  <c r="X23" i="1"/>
  <c r="Y23" i="1"/>
  <c r="Z23" i="1"/>
  <c r="AA23" i="1"/>
  <c r="AB23" i="1"/>
  <c r="AD23" i="1"/>
  <c r="AE23" i="1"/>
  <c r="AF23" i="1"/>
  <c r="AG23" i="1"/>
  <c r="AH23" i="1" s="1"/>
  <c r="AI23" i="1"/>
  <c r="AJ23" i="1"/>
  <c r="AL23" i="1"/>
  <c r="AM23" i="1"/>
  <c r="AN23" i="1"/>
  <c r="AO23" i="1"/>
  <c r="AP23" i="1"/>
  <c r="AQ23" i="1"/>
  <c r="AR23" i="1"/>
  <c r="AS23" i="1"/>
  <c r="AT23" i="1"/>
  <c r="AU23" i="1"/>
  <c r="AV23" i="1"/>
  <c r="AW23" i="1"/>
  <c r="AX23" i="1"/>
  <c r="AY23" i="1"/>
  <c r="AZ23" i="1"/>
  <c r="BA23" i="1"/>
  <c r="A24" i="1"/>
  <c r="B24" i="1"/>
  <c r="C24" i="1"/>
  <c r="D24" i="1"/>
  <c r="E24" i="1"/>
  <c r="F24" i="1"/>
  <c r="G24" i="1"/>
  <c r="H24" i="1"/>
  <c r="I24" i="1"/>
  <c r="J24" i="1"/>
  <c r="K24" i="1"/>
  <c r="M24" i="1"/>
  <c r="N24" i="1"/>
  <c r="O24" i="1"/>
  <c r="P24" i="1"/>
  <c r="Q24" i="1"/>
  <c r="R24" i="1"/>
  <c r="S24" i="1" s="1"/>
  <c r="T24" i="1"/>
  <c r="U24" i="1"/>
  <c r="V24" i="1"/>
  <c r="W24" i="1"/>
  <c r="X24" i="1"/>
  <c r="Y24" i="1"/>
  <c r="Z24" i="1"/>
  <c r="AA24" i="1"/>
  <c r="AB24" i="1"/>
  <c r="AC24" i="1"/>
  <c r="AD24" i="1" s="1"/>
  <c r="AE24" i="1"/>
  <c r="AF24" i="1"/>
  <c r="AG24" i="1"/>
  <c r="AH24" i="1" s="1"/>
  <c r="AI24" i="1"/>
  <c r="AJ24" i="1"/>
  <c r="AL24" i="1"/>
  <c r="AM24" i="1"/>
  <c r="AN24" i="1"/>
  <c r="AO24" i="1"/>
  <c r="AP24" i="1"/>
  <c r="AQ24" i="1"/>
  <c r="AR24" i="1"/>
  <c r="AS24" i="1"/>
  <c r="AT24" i="1"/>
  <c r="AU24" i="1"/>
  <c r="AV24" i="1"/>
  <c r="AW24" i="1"/>
  <c r="AX24" i="1"/>
  <c r="AY24" i="1"/>
  <c r="AZ24" i="1"/>
  <c r="BA24" i="1"/>
  <c r="A25" i="1"/>
  <c r="B25" i="1"/>
  <c r="C25" i="1"/>
  <c r="D25" i="1"/>
  <c r="E25" i="1"/>
  <c r="F25" i="1"/>
  <c r="G25" i="1"/>
  <c r="H25" i="1"/>
  <c r="I25" i="1"/>
  <c r="J25" i="1"/>
  <c r="K25" i="1"/>
  <c r="L25" i="1"/>
  <c r="M25" i="1" s="1"/>
  <c r="N25" i="1"/>
  <c r="O25" i="1"/>
  <c r="P25" i="1"/>
  <c r="Q25" i="1"/>
  <c r="R25" i="1"/>
  <c r="S25" i="1" s="1"/>
  <c r="T25" i="1"/>
  <c r="U25" i="1"/>
  <c r="V25" i="1"/>
  <c r="W25" i="1"/>
  <c r="X25" i="1"/>
  <c r="Y25" i="1"/>
  <c r="Z25" i="1"/>
  <c r="AA25" i="1"/>
  <c r="AB25" i="1"/>
  <c r="AD25" i="1"/>
  <c r="AE25" i="1"/>
  <c r="AF25" i="1"/>
  <c r="AG25" i="1"/>
  <c r="AH25" i="1" s="1"/>
  <c r="AI25" i="1"/>
  <c r="AJ25" i="1"/>
  <c r="AL25" i="1"/>
  <c r="AM25" i="1"/>
  <c r="AN25" i="1"/>
  <c r="AO25" i="1"/>
  <c r="AP25" i="1"/>
  <c r="AQ25" i="1"/>
  <c r="AR25" i="1"/>
  <c r="AS25" i="1"/>
  <c r="AT25" i="1"/>
  <c r="AU25" i="1"/>
  <c r="AV25" i="1"/>
  <c r="AW25" i="1"/>
  <c r="AX25" i="1"/>
  <c r="AY25" i="1"/>
  <c r="AZ25" i="1"/>
  <c r="BA25" i="1"/>
  <c r="A26" i="1"/>
  <c r="B26" i="1"/>
  <c r="C26" i="1"/>
  <c r="D26" i="1"/>
  <c r="E26" i="1"/>
  <c r="F26" i="1"/>
  <c r="G26" i="1"/>
  <c r="H26" i="1"/>
  <c r="I26" i="1"/>
  <c r="J26" i="1"/>
  <c r="K26" i="1"/>
  <c r="L26" i="1"/>
  <c r="M26" i="1" s="1"/>
  <c r="N26" i="1"/>
  <c r="O26" i="1"/>
  <c r="P26" i="1"/>
  <c r="Q26" i="1"/>
  <c r="R26" i="1"/>
  <c r="S26" i="1" s="1"/>
  <c r="T26" i="1"/>
  <c r="U26" i="1"/>
  <c r="V26" i="1"/>
  <c r="W26" i="1"/>
  <c r="X26" i="1"/>
  <c r="Y26" i="1"/>
  <c r="Z26" i="1"/>
  <c r="AA26" i="1"/>
  <c r="AB26" i="1"/>
  <c r="AC26" i="1"/>
  <c r="AD26" i="1" s="1"/>
  <c r="AE26" i="1"/>
  <c r="AF26" i="1"/>
  <c r="AI26" i="1"/>
  <c r="AL26" i="1"/>
  <c r="AM26" i="1"/>
  <c r="AN26" i="1"/>
  <c r="AO26" i="1"/>
  <c r="AP26" i="1"/>
  <c r="AQ26" i="1"/>
  <c r="AR26" i="1"/>
  <c r="AS26" i="1"/>
  <c r="AT26" i="1"/>
  <c r="AU26" i="1"/>
  <c r="AV26" i="1"/>
  <c r="AW26" i="1"/>
  <c r="AX26" i="1"/>
  <c r="AY26" i="1"/>
  <c r="AZ26" i="1"/>
  <c r="BA26" i="1"/>
  <c r="A27" i="1"/>
  <c r="B27" i="1"/>
  <c r="C27" i="1"/>
  <c r="D27" i="1"/>
  <c r="E27" i="1"/>
  <c r="F27" i="1"/>
  <c r="G27" i="1"/>
  <c r="H27" i="1"/>
  <c r="I27" i="1"/>
  <c r="J27" i="1"/>
  <c r="K27" i="1"/>
  <c r="M27" i="1"/>
  <c r="N27" i="1"/>
  <c r="O27" i="1"/>
  <c r="P27" i="1"/>
  <c r="Q27" i="1"/>
  <c r="S27" i="1"/>
  <c r="T27" i="1"/>
  <c r="U27" i="1"/>
  <c r="V27" i="1"/>
  <c r="W27" i="1"/>
  <c r="X27" i="1"/>
  <c r="Y27" i="1"/>
  <c r="Z27" i="1"/>
  <c r="AA27" i="1"/>
  <c r="AB27" i="1"/>
  <c r="AD27" i="1"/>
  <c r="AE27" i="1"/>
  <c r="AF27" i="1"/>
  <c r="AI27" i="1"/>
  <c r="AL27" i="1"/>
  <c r="AM27" i="1"/>
  <c r="AN27" i="1"/>
  <c r="AO27" i="1"/>
  <c r="AP27" i="1"/>
  <c r="AQ27" i="1"/>
  <c r="AR27" i="1"/>
  <c r="AS27" i="1"/>
  <c r="AT27" i="1"/>
  <c r="AU27" i="1"/>
  <c r="AV27" i="1"/>
  <c r="AW27" i="1"/>
  <c r="AX27" i="1"/>
  <c r="AY27" i="1"/>
  <c r="AZ27" i="1"/>
  <c r="BA27" i="1"/>
  <c r="A28" i="1"/>
  <c r="B28" i="1"/>
  <c r="C28" i="1"/>
  <c r="D28" i="1"/>
  <c r="E28" i="1"/>
  <c r="F28" i="1"/>
  <c r="G28" i="1"/>
  <c r="H28" i="1"/>
  <c r="I28" i="1"/>
  <c r="J28" i="1"/>
  <c r="K28" i="1"/>
  <c r="M28" i="1"/>
  <c r="N28" i="1"/>
  <c r="O28" i="1"/>
  <c r="P28" i="1"/>
  <c r="Q28" i="1"/>
  <c r="S28" i="1"/>
  <c r="T28" i="1"/>
  <c r="U28" i="1"/>
  <c r="V28" i="1"/>
  <c r="W28" i="1"/>
  <c r="X28" i="1"/>
  <c r="Y28" i="1"/>
  <c r="Z28" i="1"/>
  <c r="AA28" i="1"/>
  <c r="AB28" i="1"/>
  <c r="AC28" i="1"/>
  <c r="AD28" i="1" s="1"/>
  <c r="AE28" i="1"/>
  <c r="AF28" i="1"/>
  <c r="AG28" i="1"/>
  <c r="AH28" i="1" s="1"/>
  <c r="AI28" i="1"/>
  <c r="AL28" i="1"/>
  <c r="AM28" i="1"/>
  <c r="AN28" i="1"/>
  <c r="AO28" i="1"/>
  <c r="AP28" i="1"/>
  <c r="AQ28" i="1"/>
  <c r="AR28" i="1"/>
  <c r="AS28" i="1"/>
  <c r="AT28" i="1"/>
  <c r="AU28" i="1"/>
  <c r="AV28" i="1"/>
  <c r="AW28" i="1"/>
  <c r="AX28" i="1"/>
  <c r="AY28" i="1"/>
  <c r="AZ28" i="1"/>
  <c r="BA28" i="1"/>
  <c r="A29" i="1"/>
  <c r="B29" i="1"/>
  <c r="C29" i="1"/>
  <c r="D29" i="1"/>
  <c r="E29" i="1"/>
  <c r="F29" i="1"/>
  <c r="G29" i="1"/>
  <c r="H29" i="1"/>
  <c r="I29" i="1"/>
  <c r="J29" i="1"/>
  <c r="K29" i="1"/>
  <c r="M29" i="1"/>
  <c r="N29" i="1"/>
  <c r="O29" i="1"/>
  <c r="P29" i="1"/>
  <c r="Q29" i="1"/>
  <c r="S29" i="1"/>
  <c r="T29" i="1"/>
  <c r="U29" i="1"/>
  <c r="V29" i="1"/>
  <c r="W29" i="1"/>
  <c r="X29" i="1"/>
  <c r="Y29" i="1"/>
  <c r="Z29" i="1"/>
  <c r="AA29" i="1"/>
  <c r="AB29" i="1"/>
  <c r="AC29" i="1"/>
  <c r="AD29" i="1" s="1"/>
  <c r="AE29" i="1"/>
  <c r="AF29" i="1"/>
  <c r="AG29" i="1"/>
  <c r="AH29" i="1" s="1"/>
  <c r="AI29" i="1"/>
  <c r="AJ29" i="1"/>
  <c r="AL29" i="1"/>
  <c r="AM29" i="1"/>
  <c r="AN29" i="1"/>
  <c r="AO29" i="1"/>
  <c r="AP29" i="1"/>
  <c r="AQ29" i="1"/>
  <c r="AR29" i="1"/>
  <c r="AS29" i="1"/>
  <c r="AT29" i="1"/>
  <c r="AU29" i="1"/>
  <c r="AV29" i="1"/>
  <c r="AW29" i="1"/>
  <c r="AX29" i="1"/>
  <c r="AY29" i="1"/>
  <c r="AZ29" i="1"/>
  <c r="BA29" i="1"/>
  <c r="A30" i="1"/>
  <c r="B30" i="1"/>
  <c r="C30" i="1"/>
  <c r="D30" i="1"/>
  <c r="E30" i="1"/>
  <c r="F30" i="1"/>
  <c r="G30" i="1"/>
  <c r="H30" i="1"/>
  <c r="I30" i="1"/>
  <c r="J30" i="1"/>
  <c r="K30" i="1"/>
  <c r="L30" i="1"/>
  <c r="M30" i="1" s="1"/>
  <c r="N30" i="1"/>
  <c r="O30" i="1"/>
  <c r="P30" i="1"/>
  <c r="Q30" i="1"/>
  <c r="R30" i="1"/>
  <c r="S30" i="1" s="1"/>
  <c r="T30" i="1"/>
  <c r="U30" i="1"/>
  <c r="V30" i="1"/>
  <c r="W30" i="1"/>
  <c r="X30" i="1"/>
  <c r="Y30" i="1"/>
  <c r="Z30" i="1"/>
  <c r="AA30" i="1"/>
  <c r="AB30" i="1"/>
  <c r="AC30" i="1"/>
  <c r="AD30" i="1" s="1"/>
  <c r="AE30" i="1"/>
  <c r="AF30" i="1"/>
  <c r="AG30" i="1"/>
  <c r="AH30" i="1" s="1"/>
  <c r="AI30" i="1"/>
  <c r="AJ30" i="1"/>
  <c r="AL30" i="1"/>
  <c r="AM30" i="1"/>
  <c r="AN30" i="1"/>
  <c r="AO30" i="1"/>
  <c r="AP30" i="1"/>
  <c r="AQ30" i="1"/>
  <c r="AR30" i="1"/>
  <c r="AS30" i="1"/>
  <c r="AT30" i="1"/>
  <c r="AU30" i="1"/>
  <c r="AV30" i="1"/>
  <c r="AW30" i="1"/>
  <c r="AX30" i="1"/>
  <c r="AY30" i="1"/>
  <c r="AZ30" i="1"/>
  <c r="BA30" i="1"/>
  <c r="A31" i="1"/>
  <c r="B31" i="1"/>
  <c r="C31" i="1"/>
  <c r="D31" i="1"/>
  <c r="E31" i="1"/>
  <c r="F31" i="1"/>
  <c r="G31" i="1"/>
  <c r="H31" i="1"/>
  <c r="I31" i="1"/>
  <c r="J31" i="1"/>
  <c r="K31" i="1"/>
  <c r="L31" i="1"/>
  <c r="M31" i="1" s="1"/>
  <c r="N31" i="1"/>
  <c r="O31" i="1"/>
  <c r="P31" i="1"/>
  <c r="Q31" i="1"/>
  <c r="R31" i="1"/>
  <c r="S31" i="1" s="1"/>
  <c r="T31" i="1"/>
  <c r="U31" i="1"/>
  <c r="V31" i="1"/>
  <c r="W31" i="1"/>
  <c r="X31" i="1"/>
  <c r="Y31" i="1"/>
  <c r="Z31" i="1"/>
  <c r="AA31" i="1"/>
  <c r="AB31" i="1"/>
  <c r="AC31" i="1"/>
  <c r="AD31" i="1" s="1"/>
  <c r="AE31" i="1"/>
  <c r="AF31" i="1"/>
  <c r="AG31" i="1"/>
  <c r="AH31" i="1" s="1"/>
  <c r="AI31" i="1"/>
  <c r="AJ31" i="1"/>
  <c r="AL31" i="1"/>
  <c r="AM31" i="1"/>
  <c r="AN31" i="1"/>
  <c r="AO31" i="1"/>
  <c r="AP31" i="1"/>
  <c r="AQ31" i="1"/>
  <c r="AR31" i="1"/>
  <c r="AS31" i="1"/>
  <c r="AT31" i="1"/>
  <c r="AU31" i="1"/>
  <c r="AV31" i="1"/>
  <c r="AW31" i="1"/>
  <c r="AX31" i="1"/>
  <c r="AY31" i="1"/>
  <c r="AZ31" i="1"/>
  <c r="BA31" i="1"/>
  <c r="A32" i="1"/>
  <c r="B32" i="1"/>
  <c r="C32" i="1"/>
  <c r="D32" i="1"/>
  <c r="E32" i="1"/>
  <c r="F32" i="1"/>
  <c r="G32" i="1"/>
  <c r="H32" i="1"/>
  <c r="I32" i="1"/>
  <c r="J32" i="1"/>
  <c r="K32" i="1"/>
  <c r="M32" i="1"/>
  <c r="N32" i="1"/>
  <c r="O32" i="1"/>
  <c r="P32" i="1"/>
  <c r="Q32" i="1"/>
  <c r="R32" i="1"/>
  <c r="S32" i="1" s="1"/>
  <c r="T32" i="1"/>
  <c r="U32" i="1"/>
  <c r="V32" i="1"/>
  <c r="W32" i="1"/>
  <c r="X32" i="1"/>
  <c r="Y32" i="1"/>
  <c r="Z32" i="1"/>
  <c r="AA32" i="1"/>
  <c r="AB32" i="1"/>
  <c r="AD32" i="1"/>
  <c r="AE32" i="1"/>
  <c r="AF32" i="1"/>
  <c r="AG32" i="1"/>
  <c r="AH32" i="1" s="1"/>
  <c r="AI32" i="1"/>
  <c r="AJ32" i="1"/>
  <c r="AL32" i="1"/>
  <c r="AM32" i="1"/>
  <c r="AN32" i="1"/>
  <c r="AO32" i="1"/>
  <c r="AP32" i="1"/>
  <c r="AQ32" i="1"/>
  <c r="AR32" i="1"/>
  <c r="AS32" i="1"/>
  <c r="AT32" i="1"/>
  <c r="AU32" i="1"/>
  <c r="AV32" i="1"/>
  <c r="AW32" i="1"/>
  <c r="AX32" i="1"/>
  <c r="AY32" i="1"/>
  <c r="AZ32" i="1"/>
  <c r="BA32" i="1"/>
  <c r="A33" i="1"/>
  <c r="B33" i="1"/>
  <c r="C33" i="1"/>
  <c r="D33" i="1"/>
  <c r="E33" i="1"/>
  <c r="F33" i="1"/>
  <c r="G33" i="1"/>
  <c r="H33" i="1"/>
  <c r="I33" i="1"/>
  <c r="J33" i="1"/>
  <c r="K33" i="1"/>
  <c r="L33" i="1"/>
  <c r="M33" i="1" s="1"/>
  <c r="N33" i="1"/>
  <c r="O33" i="1"/>
  <c r="P33" i="1"/>
  <c r="Q33" i="1"/>
  <c r="S33" i="1"/>
  <c r="T33" i="1"/>
  <c r="U33" i="1"/>
  <c r="V33" i="1"/>
  <c r="W33" i="1"/>
  <c r="X33" i="1"/>
  <c r="Y33" i="1"/>
  <c r="Z33" i="1"/>
  <c r="AA33" i="1"/>
  <c r="AB33" i="1"/>
  <c r="AD33" i="1"/>
  <c r="AE33" i="1"/>
  <c r="AF33" i="1"/>
  <c r="AI33" i="1"/>
  <c r="AJ33" i="1"/>
  <c r="AL33" i="1"/>
  <c r="AM33" i="1"/>
  <c r="AN33" i="1"/>
  <c r="AO33" i="1"/>
  <c r="AP33" i="1"/>
  <c r="AQ33" i="1"/>
  <c r="AR33" i="1"/>
  <c r="AS33" i="1"/>
  <c r="AT33" i="1"/>
  <c r="AU33" i="1"/>
  <c r="AV33" i="1"/>
  <c r="AW33" i="1"/>
  <c r="AX33" i="1"/>
  <c r="AY33" i="1"/>
  <c r="AZ33" i="1"/>
  <c r="BA33" i="1"/>
  <c r="A34" i="1"/>
  <c r="B34" i="1"/>
  <c r="C34" i="1"/>
  <c r="D34" i="1"/>
  <c r="E34" i="1"/>
  <c r="F34" i="1"/>
  <c r="G34" i="1"/>
  <c r="H34" i="1"/>
  <c r="I34" i="1"/>
  <c r="J34" i="1"/>
  <c r="K34" i="1"/>
  <c r="L34" i="1"/>
  <c r="M34" i="1" s="1"/>
  <c r="N34" i="1"/>
  <c r="O34" i="1"/>
  <c r="P34" i="1"/>
  <c r="Q34" i="1"/>
  <c r="S34" i="1"/>
  <c r="T34" i="1"/>
  <c r="U34" i="1"/>
  <c r="V34" i="1"/>
  <c r="W34" i="1"/>
  <c r="X34" i="1"/>
  <c r="Y34" i="1"/>
  <c r="Z34" i="1"/>
  <c r="AA34" i="1"/>
  <c r="AB34" i="1"/>
  <c r="AD34" i="1"/>
  <c r="AE34" i="1"/>
  <c r="AF34" i="1"/>
  <c r="AG34" i="1"/>
  <c r="AH34" i="1" s="1"/>
  <c r="AI34" i="1"/>
  <c r="AJ34" i="1"/>
  <c r="AL34" i="1"/>
  <c r="AM34" i="1"/>
  <c r="AN34" i="1"/>
  <c r="AO34" i="1"/>
  <c r="AP34" i="1"/>
  <c r="AQ34" i="1"/>
  <c r="AR34" i="1"/>
  <c r="AS34" i="1"/>
  <c r="AT34" i="1"/>
  <c r="AU34" i="1"/>
  <c r="AV34" i="1"/>
  <c r="AW34" i="1"/>
  <c r="AX34" i="1"/>
  <c r="AY34" i="1"/>
  <c r="AZ34" i="1"/>
  <c r="BA34" i="1"/>
  <c r="A35" i="1"/>
  <c r="B35" i="1"/>
  <c r="C35" i="1"/>
  <c r="D35" i="1"/>
  <c r="E35" i="1"/>
  <c r="F35" i="1"/>
  <c r="G35" i="1"/>
  <c r="H35" i="1"/>
  <c r="I35" i="1"/>
  <c r="J35" i="1"/>
  <c r="K35" i="1"/>
  <c r="L35" i="1"/>
  <c r="M35" i="1" s="1"/>
  <c r="N35" i="1"/>
  <c r="O35" i="1"/>
  <c r="P35" i="1"/>
  <c r="Q35" i="1"/>
  <c r="S35" i="1"/>
  <c r="T35" i="1"/>
  <c r="U35" i="1"/>
  <c r="V35" i="1"/>
  <c r="W35" i="1"/>
  <c r="X35" i="1"/>
  <c r="Y35" i="1"/>
  <c r="Z35" i="1"/>
  <c r="AA35" i="1"/>
  <c r="AB35" i="1"/>
  <c r="AC35" i="1"/>
  <c r="AD35" i="1" s="1"/>
  <c r="AE35" i="1"/>
  <c r="AF35" i="1"/>
  <c r="AG35" i="1"/>
  <c r="AH35" i="1" s="1"/>
  <c r="AI35" i="1"/>
  <c r="AL35" i="1"/>
  <c r="AM35" i="1"/>
  <c r="AN35" i="1"/>
  <c r="AO35" i="1"/>
  <c r="AP35" i="1"/>
  <c r="AQ35" i="1"/>
  <c r="AR35" i="1"/>
  <c r="AS35" i="1"/>
  <c r="AT35" i="1"/>
  <c r="AU35" i="1"/>
  <c r="AV35" i="1"/>
  <c r="AW35" i="1"/>
  <c r="AX35" i="1"/>
  <c r="AY35" i="1"/>
  <c r="AZ35" i="1"/>
  <c r="BA35" i="1"/>
  <c r="A36" i="1"/>
  <c r="B36" i="1"/>
  <c r="C36" i="1"/>
  <c r="D36" i="1"/>
  <c r="E36" i="1"/>
  <c r="F36" i="1"/>
  <c r="G36" i="1"/>
  <c r="H36" i="1"/>
  <c r="I36" i="1"/>
  <c r="J36" i="1"/>
  <c r="K36" i="1"/>
  <c r="L36" i="1"/>
  <c r="M36" i="1" s="1"/>
  <c r="N36" i="1"/>
  <c r="O36" i="1"/>
  <c r="P36" i="1"/>
  <c r="Q36" i="1"/>
  <c r="R36" i="1"/>
  <c r="S36" i="1" s="1"/>
  <c r="T36" i="1"/>
  <c r="U36" i="1"/>
  <c r="V36" i="1"/>
  <c r="W36" i="1"/>
  <c r="X36" i="1"/>
  <c r="Y36" i="1"/>
  <c r="Z36" i="1"/>
  <c r="AA36" i="1"/>
  <c r="AB36" i="1"/>
  <c r="AD36" i="1"/>
  <c r="AE36" i="1"/>
  <c r="AF36" i="1"/>
  <c r="AG36" i="1"/>
  <c r="AH36" i="1" s="1"/>
  <c r="AI36" i="1"/>
  <c r="AJ36" i="1"/>
  <c r="AL36" i="1"/>
  <c r="AM36" i="1"/>
  <c r="AN36" i="1"/>
  <c r="AO36" i="1"/>
  <c r="AP36" i="1"/>
  <c r="AQ36" i="1"/>
  <c r="AR36" i="1"/>
  <c r="AS36" i="1"/>
  <c r="AT36" i="1"/>
  <c r="AU36" i="1"/>
  <c r="AV36" i="1"/>
  <c r="AW36" i="1"/>
  <c r="AX36" i="1"/>
  <c r="AY36" i="1"/>
  <c r="AZ36" i="1"/>
  <c r="BA36" i="1"/>
  <c r="A37" i="1"/>
  <c r="B37" i="1"/>
  <c r="C37" i="1"/>
  <c r="D37" i="1"/>
  <c r="E37" i="1"/>
  <c r="F37" i="1"/>
  <c r="G37" i="1"/>
  <c r="H37" i="1"/>
  <c r="I37" i="1"/>
  <c r="J37" i="1"/>
  <c r="K37" i="1"/>
  <c r="M37" i="1"/>
  <c r="N37" i="1"/>
  <c r="O37" i="1"/>
  <c r="P37" i="1"/>
  <c r="Q37" i="1"/>
  <c r="S37" i="1"/>
  <c r="T37" i="1"/>
  <c r="U37" i="1"/>
  <c r="V37" i="1"/>
  <c r="W37" i="1"/>
  <c r="X37" i="1"/>
  <c r="Y37" i="1"/>
  <c r="Z37" i="1"/>
  <c r="AA37" i="1"/>
  <c r="AB37" i="1"/>
  <c r="AD37" i="1"/>
  <c r="AE37" i="1"/>
  <c r="AF37" i="1"/>
  <c r="AG37" i="1"/>
  <c r="AH37" i="1" s="1"/>
  <c r="AI37" i="1"/>
  <c r="AJ37" i="1"/>
  <c r="AL37" i="1"/>
  <c r="AM37" i="1"/>
  <c r="AN37" i="1"/>
  <c r="AO37" i="1"/>
  <c r="AP37" i="1"/>
  <c r="AQ37" i="1"/>
  <c r="AR37" i="1"/>
  <c r="AS37" i="1"/>
  <c r="AT37" i="1"/>
  <c r="AU37" i="1"/>
  <c r="AV37" i="1"/>
  <c r="AW37" i="1"/>
  <c r="AX37" i="1"/>
  <c r="AY37" i="1"/>
  <c r="AZ37" i="1"/>
  <c r="BA37" i="1"/>
  <c r="A38" i="1"/>
  <c r="B38" i="1"/>
  <c r="C38" i="1"/>
  <c r="D38" i="1"/>
  <c r="E38" i="1"/>
  <c r="F38" i="1"/>
  <c r="G38" i="1"/>
  <c r="H38" i="1"/>
  <c r="I38" i="1"/>
  <c r="J38" i="1"/>
  <c r="K38" i="1"/>
  <c r="L38" i="1"/>
  <c r="M38" i="1" s="1"/>
  <c r="N38" i="1"/>
  <c r="O38" i="1"/>
  <c r="P38" i="1"/>
  <c r="Q38" i="1"/>
  <c r="R38" i="1"/>
  <c r="S38" i="1" s="1"/>
  <c r="T38" i="1"/>
  <c r="U38" i="1"/>
  <c r="V38" i="1"/>
  <c r="W38" i="1"/>
  <c r="X38" i="1"/>
  <c r="Y38" i="1"/>
  <c r="Z38" i="1"/>
  <c r="AA38" i="1"/>
  <c r="AB38" i="1"/>
  <c r="AC38" i="1"/>
  <c r="AD38" i="1" s="1"/>
  <c r="AE38" i="1"/>
  <c r="AF38" i="1"/>
  <c r="AG38" i="1"/>
  <c r="AH38" i="1" s="1"/>
  <c r="AI38" i="1"/>
  <c r="AJ38" i="1"/>
  <c r="AL38" i="1"/>
  <c r="AM38" i="1"/>
  <c r="AN38" i="1"/>
  <c r="AO38" i="1"/>
  <c r="AP38" i="1"/>
  <c r="AQ38" i="1"/>
  <c r="AR38" i="1"/>
  <c r="AS38" i="1"/>
  <c r="AT38" i="1"/>
  <c r="AU38" i="1"/>
  <c r="AV38" i="1"/>
  <c r="AW38" i="1"/>
  <c r="AX38" i="1"/>
  <c r="AY38" i="1"/>
  <c r="AZ38" i="1"/>
  <c r="BA38" i="1"/>
  <c r="A39" i="1"/>
  <c r="B39" i="1"/>
  <c r="C39" i="1"/>
  <c r="D39" i="1"/>
  <c r="E39" i="1"/>
  <c r="F39" i="1"/>
  <c r="G39" i="1"/>
  <c r="H39" i="1"/>
  <c r="I39" i="1"/>
  <c r="J39" i="1"/>
  <c r="K39" i="1"/>
  <c r="M39" i="1"/>
  <c r="N39" i="1"/>
  <c r="O39" i="1"/>
  <c r="P39" i="1"/>
  <c r="Q39" i="1"/>
  <c r="R39" i="1"/>
  <c r="S39" i="1" s="1"/>
  <c r="T39" i="1"/>
  <c r="U39" i="1"/>
  <c r="V39" i="1"/>
  <c r="W39" i="1"/>
  <c r="X39" i="1"/>
  <c r="Y39" i="1"/>
  <c r="Z39" i="1"/>
  <c r="AA39" i="1"/>
  <c r="AB39" i="1"/>
  <c r="AD39" i="1"/>
  <c r="AE39" i="1"/>
  <c r="AF39" i="1"/>
  <c r="AG39" i="1"/>
  <c r="AH39" i="1" s="1"/>
  <c r="AI39" i="1"/>
  <c r="AJ39" i="1"/>
  <c r="AL39" i="1"/>
  <c r="AM39" i="1"/>
  <c r="AN39" i="1"/>
  <c r="AO39" i="1"/>
  <c r="AP39" i="1"/>
  <c r="AQ39" i="1"/>
  <c r="AR39" i="1"/>
  <c r="AS39" i="1"/>
  <c r="AT39" i="1"/>
  <c r="AU39" i="1"/>
  <c r="AV39" i="1"/>
  <c r="AW39" i="1"/>
  <c r="AX39" i="1"/>
  <c r="AY39" i="1"/>
  <c r="AZ39" i="1"/>
  <c r="BA39" i="1"/>
  <c r="A40" i="1"/>
  <c r="B40" i="1"/>
  <c r="C40" i="1"/>
  <c r="D40" i="1"/>
  <c r="E40" i="1"/>
  <c r="F40" i="1"/>
  <c r="G40" i="1"/>
  <c r="H40" i="1"/>
  <c r="I40" i="1"/>
  <c r="J40" i="1"/>
  <c r="K40" i="1"/>
  <c r="L40" i="1"/>
  <c r="M40" i="1" s="1"/>
  <c r="N40" i="1"/>
  <c r="O40" i="1"/>
  <c r="P40" i="1"/>
  <c r="Q40" i="1"/>
  <c r="S40" i="1"/>
  <c r="T40" i="1"/>
  <c r="U40" i="1"/>
  <c r="V40" i="1"/>
  <c r="W40" i="1"/>
  <c r="X40" i="1"/>
  <c r="Y40" i="1"/>
  <c r="Z40" i="1"/>
  <c r="AA40" i="1"/>
  <c r="AB40" i="1"/>
  <c r="AD40" i="1"/>
  <c r="AE40" i="1"/>
  <c r="AF40" i="1"/>
  <c r="AG40" i="1"/>
  <c r="AH40" i="1" s="1"/>
  <c r="AI40" i="1"/>
  <c r="AJ40" i="1"/>
  <c r="AL40" i="1"/>
  <c r="AM40" i="1"/>
  <c r="AN40" i="1"/>
  <c r="AO40" i="1"/>
  <c r="AP40" i="1"/>
  <c r="AQ40" i="1"/>
  <c r="AR40" i="1"/>
  <c r="AS40" i="1"/>
  <c r="AT40" i="1"/>
  <c r="AU40" i="1"/>
  <c r="AV40" i="1"/>
  <c r="AW40" i="1"/>
  <c r="AX40" i="1"/>
  <c r="AY40" i="1"/>
  <c r="AZ40" i="1"/>
  <c r="BA40" i="1"/>
  <c r="A41" i="1"/>
  <c r="B41" i="1"/>
  <c r="C41" i="1"/>
  <c r="D41" i="1"/>
  <c r="E41" i="1"/>
  <c r="F41" i="1"/>
  <c r="G41" i="1"/>
  <c r="H41" i="1"/>
  <c r="I41" i="1"/>
  <c r="J41" i="1"/>
  <c r="K41" i="1"/>
  <c r="M41" i="1"/>
  <c r="N41" i="1"/>
  <c r="O41" i="1"/>
  <c r="P41" i="1"/>
  <c r="Q41" i="1"/>
  <c r="S41" i="1"/>
  <c r="T41" i="1"/>
  <c r="U41" i="1"/>
  <c r="V41" i="1"/>
  <c r="W41" i="1"/>
  <c r="X41" i="1"/>
  <c r="Y41" i="1"/>
  <c r="Z41" i="1"/>
  <c r="AA41" i="1"/>
  <c r="AB41" i="1"/>
  <c r="AD41" i="1"/>
  <c r="AE41" i="1"/>
  <c r="AF41" i="1"/>
  <c r="AG41" i="1"/>
  <c r="AH41" i="1" s="1"/>
  <c r="AI41" i="1"/>
  <c r="AL41" i="1"/>
  <c r="AM41" i="1"/>
  <c r="AN41" i="1"/>
  <c r="AO41" i="1"/>
  <c r="AP41" i="1"/>
  <c r="AQ41" i="1"/>
  <c r="AR41" i="1"/>
  <c r="AS41" i="1"/>
  <c r="AT41" i="1"/>
  <c r="AU41" i="1"/>
  <c r="AV41" i="1"/>
  <c r="AW41" i="1"/>
  <c r="AX41" i="1"/>
  <c r="AY41" i="1"/>
  <c r="AZ41" i="1"/>
  <c r="BA41" i="1"/>
  <c r="A42" i="1"/>
  <c r="B42" i="1"/>
  <c r="C42" i="1"/>
  <c r="D42" i="1"/>
  <c r="E42" i="1"/>
  <c r="F42" i="1"/>
  <c r="G42" i="1"/>
  <c r="H42" i="1"/>
  <c r="I42" i="1"/>
  <c r="J42" i="1"/>
  <c r="K42" i="1"/>
  <c r="L42" i="1"/>
  <c r="M42" i="1" s="1"/>
  <c r="N42" i="1"/>
  <c r="O42" i="1"/>
  <c r="P42" i="1"/>
  <c r="Q42" i="1"/>
  <c r="S42" i="1"/>
  <c r="T42" i="1"/>
  <c r="U42" i="1"/>
  <c r="V42" i="1"/>
  <c r="W42" i="1"/>
  <c r="X42" i="1"/>
  <c r="Y42" i="1"/>
  <c r="Z42" i="1"/>
  <c r="AA42" i="1"/>
  <c r="AB42" i="1"/>
  <c r="AC42" i="1"/>
  <c r="AD42" i="1" s="1"/>
  <c r="AE42" i="1"/>
  <c r="AF42" i="1"/>
  <c r="AG42" i="1"/>
  <c r="AH42" i="1" s="1"/>
  <c r="AI42" i="1"/>
  <c r="AJ42" i="1"/>
  <c r="AL42" i="1"/>
  <c r="AM42" i="1"/>
  <c r="AN42" i="1"/>
  <c r="AO42" i="1"/>
  <c r="AP42" i="1"/>
  <c r="AQ42" i="1"/>
  <c r="AR42" i="1"/>
  <c r="AS42" i="1"/>
  <c r="AT42" i="1"/>
  <c r="AU42" i="1"/>
  <c r="AV42" i="1"/>
  <c r="AW42" i="1"/>
  <c r="AX42" i="1"/>
  <c r="AY42" i="1"/>
  <c r="AZ42" i="1"/>
  <c r="BA42" i="1"/>
  <c r="A43" i="1"/>
  <c r="B43" i="1"/>
  <c r="C43" i="1"/>
  <c r="D43" i="1"/>
  <c r="E43" i="1"/>
  <c r="F43" i="1"/>
  <c r="G43" i="1"/>
  <c r="H43" i="1"/>
  <c r="I43" i="1"/>
  <c r="J43" i="1"/>
  <c r="K43" i="1"/>
  <c r="M43" i="1"/>
  <c r="N43" i="1"/>
  <c r="O43" i="1"/>
  <c r="P43" i="1"/>
  <c r="Q43" i="1"/>
  <c r="R43" i="1"/>
  <c r="S43" i="1" s="1"/>
  <c r="T43" i="1"/>
  <c r="U43" i="1"/>
  <c r="V43" i="1"/>
  <c r="W43" i="1"/>
  <c r="X43" i="1"/>
  <c r="Y43" i="1"/>
  <c r="Z43" i="1"/>
  <c r="AA43" i="1"/>
  <c r="AB43" i="1"/>
  <c r="AC43" i="1"/>
  <c r="AD43" i="1" s="1"/>
  <c r="AE43" i="1"/>
  <c r="AF43" i="1"/>
  <c r="AG43" i="1"/>
  <c r="AH43" i="1" s="1"/>
  <c r="AI43" i="1"/>
  <c r="AJ43" i="1"/>
  <c r="AL43" i="1"/>
  <c r="AM43" i="1"/>
  <c r="AN43" i="1"/>
  <c r="AO43" i="1"/>
  <c r="AP43" i="1"/>
  <c r="AQ43" i="1"/>
  <c r="AR43" i="1"/>
  <c r="AS43" i="1"/>
  <c r="AT43" i="1"/>
  <c r="AU43" i="1"/>
  <c r="AV43" i="1"/>
  <c r="AW43" i="1"/>
  <c r="AX43" i="1"/>
  <c r="AY43" i="1"/>
  <c r="AZ43" i="1"/>
  <c r="BA43" i="1"/>
  <c r="A44" i="1"/>
  <c r="B44" i="1"/>
  <c r="C44" i="1"/>
  <c r="D44" i="1"/>
  <c r="E44" i="1"/>
  <c r="F44" i="1"/>
  <c r="G44" i="1"/>
  <c r="H44" i="1"/>
  <c r="I44" i="1"/>
  <c r="J44" i="1"/>
  <c r="K44" i="1"/>
  <c r="L44" i="1"/>
  <c r="M44" i="1" s="1"/>
  <c r="N44" i="1"/>
  <c r="O44" i="1"/>
  <c r="P44" i="1"/>
  <c r="Q44" i="1"/>
  <c r="R44" i="1"/>
  <c r="S44" i="1" s="1"/>
  <c r="T44" i="1"/>
  <c r="U44" i="1"/>
  <c r="V44" i="1"/>
  <c r="W44" i="1"/>
  <c r="X44" i="1"/>
  <c r="Y44" i="1"/>
  <c r="Z44" i="1"/>
  <c r="AA44" i="1"/>
  <c r="AB44" i="1"/>
  <c r="AD44" i="1"/>
  <c r="AE44" i="1"/>
  <c r="AF44" i="1"/>
  <c r="AG44" i="1"/>
  <c r="AH44" i="1" s="1"/>
  <c r="AI44" i="1"/>
  <c r="AL44" i="1"/>
  <c r="AM44" i="1"/>
  <c r="AN44" i="1"/>
  <c r="AO44" i="1"/>
  <c r="AP44" i="1"/>
  <c r="AQ44" i="1"/>
  <c r="AR44" i="1"/>
  <c r="AS44" i="1"/>
  <c r="AT44" i="1"/>
  <c r="AU44" i="1"/>
  <c r="AV44" i="1"/>
  <c r="AW44" i="1"/>
  <c r="AX44" i="1"/>
  <c r="AY44" i="1"/>
  <c r="AZ44" i="1"/>
  <c r="BA44" i="1"/>
  <c r="A45" i="1"/>
  <c r="B45" i="1"/>
  <c r="C45" i="1"/>
  <c r="D45" i="1"/>
  <c r="E45" i="1"/>
  <c r="F45" i="1"/>
  <c r="G45" i="1"/>
  <c r="H45" i="1"/>
  <c r="I45" i="1"/>
  <c r="J45" i="1"/>
  <c r="K45" i="1"/>
  <c r="L45" i="1"/>
  <c r="M45" i="1" s="1"/>
  <c r="N45" i="1"/>
  <c r="O45" i="1"/>
  <c r="P45" i="1"/>
  <c r="Q45" i="1"/>
  <c r="R45" i="1"/>
  <c r="S45" i="1" s="1"/>
  <c r="T45" i="1"/>
  <c r="U45" i="1"/>
  <c r="V45" i="1"/>
  <c r="W45" i="1"/>
  <c r="X45" i="1"/>
  <c r="Y45" i="1"/>
  <c r="Z45" i="1"/>
  <c r="AA45" i="1"/>
  <c r="AB45" i="1"/>
  <c r="AC45" i="1"/>
  <c r="AD45" i="1" s="1"/>
  <c r="AE45" i="1"/>
  <c r="AF45" i="1"/>
  <c r="AG45" i="1"/>
  <c r="AH45" i="1" s="1"/>
  <c r="AI45" i="1"/>
  <c r="AL45" i="1"/>
  <c r="AM45" i="1"/>
  <c r="AN45" i="1"/>
  <c r="AO45" i="1"/>
  <c r="AP45" i="1"/>
  <c r="AQ45" i="1"/>
  <c r="AR45" i="1"/>
  <c r="AS45" i="1"/>
  <c r="AT45" i="1"/>
  <c r="AU45" i="1"/>
  <c r="AV45" i="1"/>
  <c r="AW45" i="1"/>
  <c r="AX45" i="1"/>
  <c r="AY45" i="1"/>
  <c r="AZ45" i="1"/>
  <c r="BA45" i="1"/>
  <c r="A46" i="1"/>
  <c r="B46" i="1"/>
  <c r="C46" i="1"/>
  <c r="D46" i="1"/>
  <c r="E46" i="1"/>
  <c r="F46" i="1"/>
  <c r="G46" i="1"/>
  <c r="H46" i="1"/>
  <c r="I46" i="1"/>
  <c r="J46" i="1"/>
  <c r="K46" i="1"/>
  <c r="L46" i="1"/>
  <c r="M46" i="1" s="1"/>
  <c r="N46" i="1"/>
  <c r="O46" i="1"/>
  <c r="P46" i="1"/>
  <c r="Q46" i="1"/>
  <c r="S46" i="1"/>
  <c r="T46" i="1"/>
  <c r="U46" i="1"/>
  <c r="V46" i="1"/>
  <c r="W46" i="1"/>
  <c r="X46" i="1"/>
  <c r="Y46" i="1"/>
  <c r="Z46" i="1"/>
  <c r="AA46" i="1"/>
  <c r="AB46" i="1"/>
  <c r="AC46" i="1"/>
  <c r="AD46" i="1" s="1"/>
  <c r="AE46" i="1"/>
  <c r="AF46" i="1"/>
  <c r="AI46" i="1"/>
  <c r="AL46" i="1"/>
  <c r="AM46" i="1"/>
  <c r="AN46" i="1"/>
  <c r="AO46" i="1"/>
  <c r="AP46" i="1"/>
  <c r="AQ46" i="1"/>
  <c r="AR46" i="1"/>
  <c r="AS46" i="1"/>
  <c r="AT46" i="1"/>
  <c r="AU46" i="1"/>
  <c r="AV46" i="1"/>
  <c r="AW46" i="1"/>
  <c r="AX46" i="1"/>
  <c r="AY46" i="1"/>
  <c r="AZ46" i="1"/>
  <c r="BA46" i="1"/>
  <c r="A47" i="1"/>
  <c r="B47" i="1"/>
  <c r="C47" i="1"/>
  <c r="D47" i="1"/>
  <c r="E47" i="1"/>
  <c r="F47" i="1"/>
  <c r="G47" i="1"/>
  <c r="H47" i="1"/>
  <c r="I47" i="1"/>
  <c r="J47" i="1"/>
  <c r="K47" i="1"/>
  <c r="L47" i="1"/>
  <c r="M47" i="1" s="1"/>
  <c r="N47" i="1"/>
  <c r="O47" i="1"/>
  <c r="P47" i="1"/>
  <c r="Q47" i="1"/>
  <c r="R47" i="1"/>
  <c r="S47" i="1" s="1"/>
  <c r="T47" i="1"/>
  <c r="U47" i="1"/>
  <c r="V47" i="1"/>
  <c r="W47" i="1"/>
  <c r="X47" i="1"/>
  <c r="Y47" i="1"/>
  <c r="Z47" i="1"/>
  <c r="AA47" i="1"/>
  <c r="AB47" i="1"/>
  <c r="AD47" i="1"/>
  <c r="AE47" i="1"/>
  <c r="AF47" i="1"/>
  <c r="AG47" i="1"/>
  <c r="AH47" i="1" s="1"/>
  <c r="AI47" i="1"/>
  <c r="AJ47" i="1"/>
  <c r="AL47" i="1"/>
  <c r="AM47" i="1"/>
  <c r="AN47" i="1"/>
  <c r="AO47" i="1"/>
  <c r="AP47" i="1"/>
  <c r="AQ47" i="1"/>
  <c r="AR47" i="1"/>
  <c r="AS47" i="1"/>
  <c r="AT47" i="1"/>
  <c r="AU47" i="1"/>
  <c r="AV47" i="1"/>
  <c r="AW47" i="1"/>
  <c r="AX47" i="1"/>
  <c r="AY47" i="1"/>
  <c r="AZ47" i="1"/>
  <c r="BA47" i="1"/>
  <c r="A48" i="1"/>
  <c r="B48" i="1"/>
  <c r="C48" i="1"/>
  <c r="D48" i="1"/>
  <c r="E48" i="1"/>
  <c r="F48" i="1"/>
  <c r="G48" i="1"/>
  <c r="H48" i="1"/>
  <c r="I48" i="1"/>
  <c r="J48" i="1"/>
  <c r="K48" i="1"/>
  <c r="M48" i="1"/>
  <c r="N48" i="1"/>
  <c r="O48" i="1"/>
  <c r="P48" i="1"/>
  <c r="Q48" i="1"/>
  <c r="S48" i="1"/>
  <c r="T48" i="1"/>
  <c r="U48" i="1"/>
  <c r="V48" i="1"/>
  <c r="W48" i="1"/>
  <c r="X48" i="1"/>
  <c r="Y48" i="1"/>
  <c r="Z48" i="1"/>
  <c r="AA48" i="1"/>
  <c r="AB48" i="1"/>
  <c r="AD48" i="1"/>
  <c r="AE48" i="1"/>
  <c r="AF48" i="1"/>
  <c r="AG48" i="1"/>
  <c r="AH48" i="1" s="1"/>
  <c r="AI48" i="1"/>
  <c r="AJ48" i="1"/>
  <c r="AL48" i="1"/>
  <c r="AM48" i="1"/>
  <c r="AN48" i="1"/>
  <c r="AO48" i="1"/>
  <c r="AP48" i="1"/>
  <c r="AQ48" i="1"/>
  <c r="AR48" i="1"/>
  <c r="AS48" i="1"/>
  <c r="AT48" i="1"/>
  <c r="AU48" i="1"/>
  <c r="AV48" i="1"/>
  <c r="AW48" i="1"/>
  <c r="AX48" i="1"/>
  <c r="AY48" i="1"/>
  <c r="AZ48" i="1"/>
  <c r="BA48" i="1"/>
  <c r="A49" i="1"/>
  <c r="B49" i="1"/>
  <c r="C49" i="1"/>
  <c r="D49" i="1"/>
  <c r="E49" i="1"/>
  <c r="F49" i="1"/>
  <c r="G49" i="1"/>
  <c r="H49" i="1"/>
  <c r="I49" i="1"/>
  <c r="J49" i="1"/>
  <c r="K49" i="1"/>
  <c r="M49" i="1"/>
  <c r="N49" i="1"/>
  <c r="O49" i="1"/>
  <c r="P49" i="1"/>
  <c r="Q49" i="1"/>
  <c r="R49" i="1"/>
  <c r="S49" i="1" s="1"/>
  <c r="T49" i="1"/>
  <c r="U49" i="1"/>
  <c r="V49" i="1"/>
  <c r="W49" i="1"/>
  <c r="X49" i="1"/>
  <c r="Y49" i="1"/>
  <c r="Z49" i="1"/>
  <c r="AA49" i="1"/>
  <c r="AB49" i="1"/>
  <c r="AD49" i="1"/>
  <c r="AE49" i="1"/>
  <c r="AF49" i="1"/>
  <c r="AG49" i="1"/>
  <c r="AH49" i="1" s="1"/>
  <c r="AI49" i="1"/>
  <c r="AJ49" i="1"/>
  <c r="AL49" i="1"/>
  <c r="AM49" i="1"/>
  <c r="AN49" i="1"/>
  <c r="AO49" i="1"/>
  <c r="AP49" i="1"/>
  <c r="AQ49" i="1"/>
  <c r="AR49" i="1"/>
  <c r="AS49" i="1"/>
  <c r="AT49" i="1"/>
  <c r="AU49" i="1"/>
  <c r="AV49" i="1"/>
  <c r="AW49" i="1"/>
  <c r="AX49" i="1"/>
  <c r="AY49" i="1"/>
  <c r="AZ49" i="1"/>
  <c r="BA49" i="1"/>
  <c r="A50" i="1"/>
  <c r="B50" i="1"/>
  <c r="C50" i="1"/>
  <c r="D50" i="1"/>
  <c r="E50" i="1"/>
  <c r="F50" i="1"/>
  <c r="G50" i="1"/>
  <c r="H50" i="1"/>
  <c r="I50" i="1"/>
  <c r="J50" i="1"/>
  <c r="K50" i="1"/>
  <c r="M50" i="1"/>
  <c r="N50" i="1"/>
  <c r="O50" i="1"/>
  <c r="P50" i="1"/>
  <c r="Q50" i="1"/>
  <c r="R50" i="1"/>
  <c r="S50" i="1" s="1"/>
  <c r="T50" i="1"/>
  <c r="U50" i="1"/>
  <c r="V50" i="1"/>
  <c r="W50" i="1"/>
  <c r="X50" i="1"/>
  <c r="Y50" i="1"/>
  <c r="Z50" i="1"/>
  <c r="AA50" i="1"/>
  <c r="AB50" i="1"/>
  <c r="AD50" i="1"/>
  <c r="AE50" i="1"/>
  <c r="AF50" i="1"/>
  <c r="AG50" i="1"/>
  <c r="AH50" i="1" s="1"/>
  <c r="AI50" i="1"/>
  <c r="AJ50" i="1"/>
  <c r="AL50" i="1"/>
  <c r="AM50" i="1"/>
  <c r="AN50" i="1"/>
  <c r="AO50" i="1"/>
  <c r="AP50" i="1"/>
  <c r="AQ50" i="1"/>
  <c r="AR50" i="1"/>
  <c r="AS50" i="1"/>
  <c r="AT50" i="1"/>
  <c r="AU50" i="1"/>
  <c r="AV50" i="1"/>
  <c r="AW50" i="1"/>
  <c r="AX50" i="1"/>
  <c r="AY50" i="1"/>
  <c r="AZ50" i="1"/>
  <c r="BA50" i="1"/>
  <c r="A51" i="1"/>
  <c r="B51" i="1"/>
  <c r="C51" i="1"/>
  <c r="D51" i="1"/>
  <c r="E51" i="1"/>
  <c r="F51" i="1"/>
  <c r="G51" i="1"/>
  <c r="H51" i="1"/>
  <c r="I51" i="1"/>
  <c r="J51" i="1"/>
  <c r="K51" i="1"/>
  <c r="L51" i="1"/>
  <c r="M51" i="1" s="1"/>
  <c r="N51" i="1"/>
  <c r="O51" i="1"/>
  <c r="P51" i="1"/>
  <c r="Q51" i="1"/>
  <c r="S51" i="1"/>
  <c r="T51" i="1"/>
  <c r="U51" i="1"/>
  <c r="V51" i="1"/>
  <c r="W51" i="1"/>
  <c r="X51" i="1"/>
  <c r="Y51" i="1"/>
  <c r="Z51" i="1"/>
  <c r="AA51" i="1"/>
  <c r="AB51" i="1"/>
  <c r="AD51" i="1"/>
  <c r="AE51" i="1"/>
  <c r="AF51" i="1"/>
  <c r="AG51" i="1"/>
  <c r="AH51" i="1" s="1"/>
  <c r="AI51" i="1"/>
  <c r="AJ51" i="1"/>
  <c r="AL51" i="1"/>
  <c r="AM51" i="1"/>
  <c r="AN51" i="1"/>
  <c r="AO51" i="1"/>
  <c r="AP51" i="1"/>
  <c r="AQ51" i="1"/>
  <c r="AR51" i="1"/>
  <c r="AS51" i="1"/>
  <c r="AT51" i="1"/>
  <c r="AU51" i="1"/>
  <c r="AV51" i="1"/>
  <c r="AW51" i="1"/>
  <c r="AX51" i="1"/>
  <c r="AY51" i="1"/>
  <c r="AZ51" i="1"/>
  <c r="BA51" i="1"/>
  <c r="A52" i="1"/>
  <c r="B52" i="1"/>
  <c r="C52" i="1"/>
  <c r="D52" i="1"/>
  <c r="E52" i="1"/>
  <c r="F52" i="1"/>
  <c r="G52" i="1"/>
  <c r="H52" i="1"/>
  <c r="I52" i="1"/>
  <c r="J52" i="1"/>
  <c r="K52" i="1"/>
  <c r="M52" i="1"/>
  <c r="N52" i="1"/>
  <c r="O52" i="1"/>
  <c r="P52" i="1"/>
  <c r="Q52" i="1"/>
  <c r="R52" i="1"/>
  <c r="S52" i="1" s="1"/>
  <c r="T52" i="1"/>
  <c r="U52" i="1"/>
  <c r="V52" i="1"/>
  <c r="W52" i="1"/>
  <c r="X52" i="1"/>
  <c r="Y52" i="1"/>
  <c r="Z52" i="1"/>
  <c r="AA52" i="1"/>
  <c r="AB52" i="1"/>
  <c r="AC52" i="1"/>
  <c r="AD52" i="1" s="1"/>
  <c r="AE52" i="1"/>
  <c r="AF52" i="1"/>
  <c r="AG52" i="1"/>
  <c r="AH52" i="1" s="1"/>
  <c r="AI52" i="1"/>
  <c r="AJ52" i="1"/>
  <c r="AL52" i="1"/>
  <c r="AM52" i="1"/>
  <c r="AN52" i="1"/>
  <c r="AO52" i="1"/>
  <c r="AP52" i="1"/>
  <c r="AQ52" i="1"/>
  <c r="AR52" i="1"/>
  <c r="AS52" i="1"/>
  <c r="AT52" i="1"/>
  <c r="AU52" i="1"/>
  <c r="AV52" i="1"/>
  <c r="AW52" i="1"/>
  <c r="AX52" i="1"/>
  <c r="AY52" i="1"/>
  <c r="AZ52" i="1"/>
  <c r="BA52" i="1"/>
  <c r="A53" i="1"/>
  <c r="B53" i="1"/>
  <c r="C53" i="1"/>
  <c r="D53" i="1"/>
  <c r="E53" i="1"/>
  <c r="F53" i="1"/>
  <c r="G53" i="1"/>
  <c r="H53" i="1"/>
  <c r="I53" i="1"/>
  <c r="J53" i="1"/>
  <c r="K53" i="1"/>
  <c r="L53" i="1"/>
  <c r="M53" i="1" s="1"/>
  <c r="N53" i="1"/>
  <c r="O53" i="1"/>
  <c r="P53" i="1"/>
  <c r="Q53" i="1"/>
  <c r="R53" i="1"/>
  <c r="S53" i="1" s="1"/>
  <c r="T53" i="1"/>
  <c r="U53" i="1"/>
  <c r="V53" i="1"/>
  <c r="W53" i="1"/>
  <c r="X53" i="1"/>
  <c r="Y53" i="1"/>
  <c r="Z53" i="1"/>
  <c r="AA53" i="1"/>
  <c r="AB53" i="1"/>
  <c r="AC53" i="1"/>
  <c r="AD53" i="1" s="1"/>
  <c r="AE53" i="1"/>
  <c r="AF53" i="1"/>
  <c r="AG53" i="1"/>
  <c r="AH53" i="1" s="1"/>
  <c r="AI53" i="1"/>
  <c r="AJ53" i="1"/>
  <c r="AL53" i="1"/>
  <c r="AM53" i="1"/>
  <c r="AN53" i="1"/>
  <c r="AO53" i="1"/>
  <c r="AP53" i="1"/>
  <c r="AQ53" i="1"/>
  <c r="AR53" i="1"/>
  <c r="AS53" i="1"/>
  <c r="AT53" i="1"/>
  <c r="AU53" i="1"/>
  <c r="AV53" i="1"/>
  <c r="AW53" i="1"/>
  <c r="AX53" i="1"/>
  <c r="AY53" i="1"/>
  <c r="AZ53" i="1"/>
  <c r="BA53" i="1"/>
  <c r="A54" i="1"/>
  <c r="B54" i="1"/>
  <c r="C54" i="1"/>
  <c r="D54" i="1"/>
  <c r="E54" i="1"/>
  <c r="F54" i="1"/>
  <c r="G54" i="1"/>
  <c r="H54" i="1"/>
  <c r="I54" i="1"/>
  <c r="J54" i="1"/>
  <c r="K54" i="1"/>
  <c r="M54" i="1"/>
  <c r="N54" i="1"/>
  <c r="O54" i="1"/>
  <c r="P54" i="1"/>
  <c r="Q54" i="1"/>
  <c r="R54" i="1"/>
  <c r="S54" i="1" s="1"/>
  <c r="T54" i="1"/>
  <c r="U54" i="1"/>
  <c r="V54" i="1"/>
  <c r="W54" i="1"/>
  <c r="X54" i="1"/>
  <c r="Y54" i="1"/>
  <c r="Z54" i="1"/>
  <c r="AA54" i="1"/>
  <c r="AB54" i="1"/>
  <c r="AD54" i="1"/>
  <c r="AE54" i="1"/>
  <c r="AF54" i="1"/>
  <c r="AG54" i="1"/>
  <c r="AH54" i="1" s="1"/>
  <c r="AI54" i="1"/>
  <c r="AJ54" i="1"/>
  <c r="AL54" i="1"/>
  <c r="AM54" i="1"/>
  <c r="AN54" i="1"/>
  <c r="AO54" i="1"/>
  <c r="AP54" i="1"/>
  <c r="AQ54" i="1"/>
  <c r="AR54" i="1"/>
  <c r="AS54" i="1"/>
  <c r="AT54" i="1"/>
  <c r="AU54" i="1"/>
  <c r="AV54" i="1"/>
  <c r="AW54" i="1"/>
  <c r="AX54" i="1"/>
  <c r="AY54" i="1"/>
  <c r="AZ54" i="1"/>
  <c r="BA54" i="1"/>
  <c r="A55" i="1"/>
  <c r="B55" i="1"/>
  <c r="C55" i="1"/>
  <c r="D55" i="1"/>
  <c r="E55" i="1"/>
  <c r="F55" i="1"/>
  <c r="G55" i="1"/>
  <c r="H55" i="1"/>
  <c r="I55" i="1"/>
  <c r="J55" i="1"/>
  <c r="K55" i="1"/>
  <c r="L55" i="1"/>
  <c r="M55" i="1" s="1"/>
  <c r="N55" i="1"/>
  <c r="O55" i="1"/>
  <c r="P55" i="1"/>
  <c r="Q55" i="1"/>
  <c r="R55" i="1"/>
  <c r="S55" i="1" s="1"/>
  <c r="T55" i="1"/>
  <c r="U55" i="1"/>
  <c r="V55" i="1"/>
  <c r="W55" i="1"/>
  <c r="X55" i="1"/>
  <c r="Y55" i="1"/>
  <c r="Z55" i="1"/>
  <c r="AA55" i="1"/>
  <c r="AB55" i="1"/>
  <c r="AD55" i="1"/>
  <c r="AE55" i="1"/>
  <c r="AF55" i="1"/>
  <c r="AG55" i="1"/>
  <c r="AH55" i="1" s="1"/>
  <c r="AI55" i="1"/>
  <c r="AJ55" i="1"/>
  <c r="AL55" i="1"/>
  <c r="AM55" i="1"/>
  <c r="AN55" i="1"/>
  <c r="AO55" i="1"/>
  <c r="AP55" i="1"/>
  <c r="AQ55" i="1"/>
  <c r="AR55" i="1"/>
  <c r="AS55" i="1"/>
  <c r="AT55" i="1"/>
  <c r="AU55" i="1"/>
  <c r="AV55" i="1"/>
  <c r="AW55" i="1"/>
  <c r="AX55" i="1"/>
  <c r="AY55" i="1"/>
  <c r="AZ55" i="1"/>
  <c r="BA55" i="1"/>
  <c r="A56" i="1"/>
  <c r="B56" i="1"/>
  <c r="C56" i="1"/>
  <c r="D56" i="1"/>
  <c r="E56" i="1"/>
  <c r="F56" i="1"/>
  <c r="G56" i="1"/>
  <c r="H56" i="1"/>
  <c r="I56" i="1"/>
  <c r="J56" i="1"/>
  <c r="K56" i="1"/>
  <c r="M56" i="1"/>
  <c r="N56" i="1"/>
  <c r="O56" i="1"/>
  <c r="P56" i="1"/>
  <c r="Q56" i="1"/>
  <c r="S56" i="1"/>
  <c r="T56" i="1"/>
  <c r="U56" i="1"/>
  <c r="V56" i="1"/>
  <c r="W56" i="1"/>
  <c r="X56" i="1"/>
  <c r="Y56" i="1"/>
  <c r="Z56" i="1"/>
  <c r="AA56" i="1"/>
  <c r="AB56" i="1"/>
  <c r="AD56" i="1"/>
  <c r="AE56" i="1"/>
  <c r="AF56" i="1"/>
  <c r="AG56" i="1"/>
  <c r="AH56" i="1" s="1"/>
  <c r="AI56" i="1"/>
  <c r="AJ56" i="1"/>
  <c r="AL56" i="1"/>
  <c r="AM56" i="1"/>
  <c r="AN56" i="1"/>
  <c r="AO56" i="1"/>
  <c r="AP56" i="1"/>
  <c r="AQ56" i="1"/>
  <c r="AR56" i="1"/>
  <c r="AS56" i="1"/>
  <c r="AT56" i="1"/>
  <c r="AU56" i="1"/>
  <c r="AV56" i="1"/>
  <c r="AW56" i="1"/>
  <c r="AX56" i="1"/>
  <c r="AY56" i="1"/>
  <c r="AZ56" i="1"/>
  <c r="BA56" i="1"/>
  <c r="A57" i="1"/>
  <c r="B57" i="1"/>
  <c r="C57" i="1"/>
  <c r="D57" i="1"/>
  <c r="E57" i="1"/>
  <c r="F57" i="1"/>
  <c r="G57" i="1"/>
  <c r="H57" i="1"/>
  <c r="I57" i="1"/>
  <c r="J57" i="1"/>
  <c r="K57" i="1"/>
  <c r="L57" i="1"/>
  <c r="M57" i="1" s="1"/>
  <c r="N57" i="1"/>
  <c r="O57" i="1"/>
  <c r="P57" i="1"/>
  <c r="Q57" i="1"/>
  <c r="R57" i="1"/>
  <c r="S57" i="1" s="1"/>
  <c r="T57" i="1"/>
  <c r="U57" i="1"/>
  <c r="V57" i="1"/>
  <c r="W57" i="1"/>
  <c r="X57" i="1"/>
  <c r="Y57" i="1"/>
  <c r="Z57" i="1"/>
  <c r="AA57" i="1"/>
  <c r="AB57" i="1"/>
  <c r="AD57" i="1"/>
  <c r="AE57" i="1"/>
  <c r="AF57" i="1"/>
  <c r="AI57" i="1"/>
  <c r="AL57" i="1"/>
  <c r="AM57" i="1"/>
  <c r="AN57" i="1"/>
  <c r="AO57" i="1"/>
  <c r="AP57" i="1"/>
  <c r="AQ57" i="1"/>
  <c r="AR57" i="1"/>
  <c r="AS57" i="1"/>
  <c r="AT57" i="1"/>
  <c r="AU57" i="1"/>
  <c r="AV57" i="1"/>
  <c r="AW57" i="1"/>
  <c r="AX57" i="1"/>
  <c r="AY57" i="1"/>
  <c r="AZ57" i="1"/>
  <c r="BA57" i="1"/>
  <c r="A58" i="1"/>
  <c r="B58" i="1"/>
  <c r="C58" i="1"/>
  <c r="D58" i="1"/>
  <c r="E58" i="1"/>
  <c r="F58" i="1"/>
  <c r="G58" i="1"/>
  <c r="H58" i="1"/>
  <c r="I58" i="1"/>
  <c r="J58" i="1"/>
  <c r="K58" i="1"/>
  <c r="L58" i="1"/>
  <c r="M58" i="1" s="1"/>
  <c r="N58" i="1"/>
  <c r="O58" i="1"/>
  <c r="P58" i="1"/>
  <c r="Q58" i="1"/>
  <c r="R58" i="1"/>
  <c r="S58" i="1" s="1"/>
  <c r="T58" i="1"/>
  <c r="U58" i="1"/>
  <c r="V58" i="1"/>
  <c r="W58" i="1"/>
  <c r="X58" i="1"/>
  <c r="Y58" i="1"/>
  <c r="Z58" i="1"/>
  <c r="AA58" i="1"/>
  <c r="AB58" i="1"/>
  <c r="AD58" i="1"/>
  <c r="AE58" i="1"/>
  <c r="AF58" i="1"/>
  <c r="AG58" i="1"/>
  <c r="AH58" i="1" s="1"/>
  <c r="AI58" i="1"/>
  <c r="AJ58" i="1"/>
  <c r="AL58" i="1"/>
  <c r="AM58" i="1"/>
  <c r="AN58" i="1"/>
  <c r="AO58" i="1"/>
  <c r="AP58" i="1"/>
  <c r="AQ58" i="1"/>
  <c r="AR58" i="1"/>
  <c r="AS58" i="1"/>
  <c r="AT58" i="1"/>
  <c r="AU58" i="1"/>
  <c r="AV58" i="1"/>
  <c r="AW58" i="1"/>
  <c r="AX58" i="1"/>
  <c r="AY58" i="1"/>
  <c r="AZ58" i="1"/>
  <c r="BA58" i="1"/>
  <c r="A59" i="1"/>
  <c r="B59" i="1"/>
  <c r="C59" i="1"/>
  <c r="D59" i="1"/>
  <c r="E59" i="1"/>
  <c r="F59" i="1"/>
  <c r="G59" i="1"/>
  <c r="H59" i="1"/>
  <c r="I59" i="1"/>
  <c r="J59" i="1"/>
  <c r="K59" i="1"/>
  <c r="L59" i="1"/>
  <c r="M59" i="1" s="1"/>
  <c r="N59" i="1"/>
  <c r="O59" i="1"/>
  <c r="P59" i="1"/>
  <c r="Q59" i="1"/>
  <c r="R59" i="1"/>
  <c r="S59" i="1" s="1"/>
  <c r="T59" i="1"/>
  <c r="U59" i="1"/>
  <c r="V59" i="1"/>
  <c r="W59" i="1"/>
  <c r="X59" i="1"/>
  <c r="Y59" i="1"/>
  <c r="Z59" i="1"/>
  <c r="AA59" i="1"/>
  <c r="AB59" i="1"/>
  <c r="AC59" i="1"/>
  <c r="AD59" i="1" s="1"/>
  <c r="AE59" i="1"/>
  <c r="AF59" i="1"/>
  <c r="AG59" i="1"/>
  <c r="AH59" i="1" s="1"/>
  <c r="AI59" i="1"/>
  <c r="AJ59" i="1"/>
  <c r="AL59" i="1"/>
  <c r="AM59" i="1"/>
  <c r="AN59" i="1"/>
  <c r="AO59" i="1"/>
  <c r="AP59" i="1"/>
  <c r="AQ59" i="1"/>
  <c r="AR59" i="1"/>
  <c r="AS59" i="1"/>
  <c r="AT59" i="1"/>
  <c r="AU59" i="1"/>
  <c r="AV59" i="1"/>
  <c r="AW59" i="1"/>
  <c r="AX59" i="1"/>
  <c r="AY59" i="1"/>
  <c r="AZ59" i="1"/>
  <c r="BA59" i="1"/>
  <c r="A60" i="1"/>
  <c r="B60" i="1"/>
  <c r="C60" i="1"/>
  <c r="D60" i="1"/>
  <c r="E60" i="1"/>
  <c r="F60" i="1"/>
  <c r="G60" i="1"/>
  <c r="H60" i="1"/>
  <c r="I60" i="1"/>
  <c r="J60" i="1"/>
  <c r="K60" i="1"/>
  <c r="L60" i="1"/>
  <c r="M60" i="1" s="1"/>
  <c r="N60" i="1"/>
  <c r="O60" i="1"/>
  <c r="P60" i="1"/>
  <c r="Q60" i="1"/>
  <c r="R60" i="1"/>
  <c r="S60" i="1" s="1"/>
  <c r="T60" i="1"/>
  <c r="U60" i="1"/>
  <c r="V60" i="1"/>
  <c r="W60" i="1"/>
  <c r="X60" i="1"/>
  <c r="Y60" i="1"/>
  <c r="Z60" i="1"/>
  <c r="AA60" i="1"/>
  <c r="AB60" i="1"/>
  <c r="AC60" i="1"/>
  <c r="AD60" i="1" s="1"/>
  <c r="AE60" i="1"/>
  <c r="AF60" i="1"/>
  <c r="AG60" i="1"/>
  <c r="AH60" i="1" s="1"/>
  <c r="AI60" i="1"/>
  <c r="AJ60" i="1"/>
  <c r="AL60" i="1"/>
  <c r="AM60" i="1"/>
  <c r="AN60" i="1"/>
  <c r="AO60" i="1"/>
  <c r="AP60" i="1"/>
  <c r="AQ60" i="1"/>
  <c r="AR60" i="1"/>
  <c r="AS60" i="1"/>
  <c r="AT60" i="1"/>
  <c r="AU60" i="1"/>
  <c r="AV60" i="1"/>
  <c r="AW60" i="1"/>
  <c r="AX60" i="1"/>
  <c r="AY60" i="1"/>
  <c r="AZ60" i="1"/>
  <c r="BA60" i="1"/>
  <c r="A61" i="1"/>
  <c r="B61" i="1"/>
  <c r="C61" i="1"/>
  <c r="D61" i="1"/>
  <c r="E61" i="1"/>
  <c r="F61" i="1"/>
  <c r="G61" i="1"/>
  <c r="H61" i="1"/>
  <c r="I61" i="1"/>
  <c r="J61" i="1"/>
  <c r="K61" i="1"/>
  <c r="L61" i="1"/>
  <c r="M61" i="1" s="1"/>
  <c r="N61" i="1"/>
  <c r="O61" i="1"/>
  <c r="P61" i="1"/>
  <c r="Q61" i="1"/>
  <c r="S61" i="1"/>
  <c r="T61" i="1"/>
  <c r="U61" i="1"/>
  <c r="V61" i="1"/>
  <c r="W61" i="1"/>
  <c r="X61" i="1"/>
  <c r="Y61" i="1"/>
  <c r="Z61" i="1"/>
  <c r="AA61" i="1"/>
  <c r="AB61" i="1"/>
  <c r="AC61" i="1"/>
  <c r="AD61" i="1" s="1"/>
  <c r="AE61" i="1"/>
  <c r="AF61" i="1"/>
  <c r="AG61" i="1"/>
  <c r="AH61" i="1" s="1"/>
  <c r="AI61" i="1"/>
  <c r="AL61" i="1"/>
  <c r="AM61" i="1"/>
  <c r="AN61" i="1"/>
  <c r="AO61" i="1"/>
  <c r="AP61" i="1"/>
  <c r="AQ61" i="1"/>
  <c r="AR61" i="1"/>
  <c r="AS61" i="1"/>
  <c r="AT61" i="1"/>
  <c r="AU61" i="1"/>
  <c r="AV61" i="1"/>
  <c r="AW61" i="1"/>
  <c r="AX61" i="1"/>
  <c r="AY61" i="1"/>
  <c r="AZ61" i="1"/>
  <c r="BA61" i="1"/>
  <c r="A62" i="1"/>
  <c r="B62" i="1"/>
  <c r="C62" i="1"/>
  <c r="D62" i="1"/>
  <c r="E62" i="1"/>
  <c r="F62" i="1"/>
  <c r="G62" i="1"/>
  <c r="H62" i="1"/>
  <c r="I62" i="1"/>
  <c r="J62" i="1"/>
  <c r="K62" i="1"/>
  <c r="M62" i="1"/>
  <c r="N62" i="1"/>
  <c r="O62" i="1"/>
  <c r="P62" i="1"/>
  <c r="Q62" i="1"/>
  <c r="R62" i="1"/>
  <c r="S62" i="1" s="1"/>
  <c r="T62" i="1"/>
  <c r="U62" i="1"/>
  <c r="V62" i="1"/>
  <c r="W62" i="1"/>
  <c r="X62" i="1"/>
  <c r="Y62" i="1"/>
  <c r="Z62" i="1"/>
  <c r="AA62" i="1"/>
  <c r="AB62" i="1"/>
  <c r="AD62" i="1"/>
  <c r="AE62" i="1"/>
  <c r="AF62" i="1"/>
  <c r="AG62" i="1"/>
  <c r="AH62" i="1" s="1"/>
  <c r="AI62" i="1"/>
  <c r="AJ62" i="1"/>
  <c r="AL62" i="1"/>
  <c r="AM62" i="1"/>
  <c r="AN62" i="1"/>
  <c r="AO62" i="1"/>
  <c r="AP62" i="1"/>
  <c r="AQ62" i="1"/>
  <c r="AR62" i="1"/>
  <c r="AS62" i="1"/>
  <c r="AT62" i="1"/>
  <c r="AU62" i="1"/>
  <c r="AV62" i="1"/>
  <c r="AW62" i="1"/>
  <c r="AX62" i="1"/>
  <c r="AY62" i="1"/>
  <c r="AZ62" i="1"/>
  <c r="BA62" i="1"/>
  <c r="A63" i="1"/>
  <c r="B63" i="1"/>
  <c r="C63" i="1"/>
  <c r="D63" i="1"/>
  <c r="E63" i="1"/>
  <c r="F63" i="1"/>
  <c r="G63" i="1"/>
  <c r="H63" i="1"/>
  <c r="I63" i="1"/>
  <c r="J63" i="1"/>
  <c r="K63" i="1"/>
  <c r="L63" i="1"/>
  <c r="M63" i="1" s="1"/>
  <c r="N63" i="1"/>
  <c r="O63" i="1"/>
  <c r="P63" i="1"/>
  <c r="Q63" i="1"/>
  <c r="R63" i="1"/>
  <c r="S63" i="1" s="1"/>
  <c r="T63" i="1"/>
  <c r="U63" i="1"/>
  <c r="V63" i="1"/>
  <c r="W63" i="1"/>
  <c r="X63" i="1"/>
  <c r="Y63" i="1"/>
  <c r="Z63" i="1"/>
  <c r="AA63" i="1"/>
  <c r="AB63" i="1"/>
  <c r="AC63" i="1"/>
  <c r="AD63" i="1" s="1"/>
  <c r="AE63" i="1"/>
  <c r="AF63" i="1"/>
  <c r="AG63" i="1"/>
  <c r="AH63" i="1" s="1"/>
  <c r="AI63" i="1"/>
  <c r="AL63" i="1"/>
  <c r="AM63" i="1"/>
  <c r="AN63" i="1"/>
  <c r="AO63" i="1"/>
  <c r="AP63" i="1"/>
  <c r="AQ63" i="1"/>
  <c r="AR63" i="1"/>
  <c r="AS63" i="1"/>
  <c r="AT63" i="1"/>
  <c r="AU63" i="1"/>
  <c r="AV63" i="1"/>
  <c r="AW63" i="1"/>
  <c r="AX63" i="1"/>
  <c r="AY63" i="1"/>
  <c r="AZ63" i="1"/>
  <c r="BA63" i="1"/>
  <c r="A64" i="1"/>
  <c r="B64" i="1"/>
  <c r="C64" i="1"/>
  <c r="D64" i="1"/>
  <c r="E64" i="1"/>
  <c r="F64" i="1"/>
  <c r="G64" i="1"/>
  <c r="H64" i="1"/>
  <c r="I64" i="1"/>
  <c r="J64" i="1"/>
  <c r="K64" i="1"/>
  <c r="M64" i="1"/>
  <c r="N64" i="1"/>
  <c r="O64" i="1"/>
  <c r="P64" i="1"/>
  <c r="Q64" i="1"/>
  <c r="S64" i="1"/>
  <c r="T64" i="1"/>
  <c r="U64" i="1"/>
  <c r="V64" i="1"/>
  <c r="W64" i="1"/>
  <c r="X64" i="1"/>
  <c r="Y64" i="1"/>
  <c r="Z64" i="1"/>
  <c r="AA64" i="1"/>
  <c r="AB64" i="1"/>
  <c r="AD64" i="1"/>
  <c r="AE64" i="1"/>
  <c r="AF64" i="1"/>
  <c r="AG64" i="1"/>
  <c r="AH64" i="1" s="1"/>
  <c r="AI64" i="1"/>
  <c r="AJ64" i="1"/>
  <c r="AL64" i="1"/>
  <c r="AM64" i="1"/>
  <c r="AN64" i="1"/>
  <c r="AO64" i="1"/>
  <c r="AP64" i="1"/>
  <c r="AQ64" i="1"/>
  <c r="AR64" i="1"/>
  <c r="AS64" i="1"/>
  <c r="AT64" i="1"/>
  <c r="AU64" i="1"/>
  <c r="AV64" i="1"/>
  <c r="AW64" i="1"/>
  <c r="AX64" i="1"/>
  <c r="AY64" i="1"/>
  <c r="AZ64" i="1"/>
  <c r="BA64" i="1"/>
  <c r="A65" i="1"/>
  <c r="B65" i="1"/>
  <c r="C65" i="1"/>
  <c r="D65" i="1"/>
  <c r="E65" i="1"/>
  <c r="F65" i="1"/>
  <c r="G65" i="1"/>
  <c r="H65" i="1"/>
  <c r="I65" i="1"/>
  <c r="J65" i="1"/>
  <c r="K65" i="1"/>
  <c r="M65" i="1"/>
  <c r="N65" i="1"/>
  <c r="O65" i="1"/>
  <c r="P65" i="1"/>
  <c r="Q65" i="1"/>
  <c r="S65" i="1"/>
  <c r="T65" i="1"/>
  <c r="U65" i="1"/>
  <c r="V65" i="1"/>
  <c r="W65" i="1"/>
  <c r="X65" i="1"/>
  <c r="Y65" i="1"/>
  <c r="Z65" i="1"/>
  <c r="AA65" i="1"/>
  <c r="AB65" i="1"/>
  <c r="AD65" i="1"/>
  <c r="AE65" i="1"/>
  <c r="AF65" i="1"/>
  <c r="AG65" i="1"/>
  <c r="AH65" i="1" s="1"/>
  <c r="AI65" i="1"/>
  <c r="AJ65" i="1"/>
  <c r="AL65" i="1"/>
  <c r="AM65" i="1"/>
  <c r="AN65" i="1"/>
  <c r="AO65" i="1"/>
  <c r="AP65" i="1"/>
  <c r="AQ65" i="1"/>
  <c r="AR65" i="1"/>
  <c r="AS65" i="1"/>
  <c r="AT65" i="1"/>
  <c r="AU65" i="1"/>
  <c r="AV65" i="1"/>
  <c r="AW65" i="1"/>
  <c r="AX65" i="1"/>
  <c r="AY65" i="1"/>
  <c r="AZ65" i="1"/>
  <c r="BA65" i="1"/>
  <c r="A66" i="1"/>
  <c r="B66" i="1"/>
  <c r="C66" i="1"/>
  <c r="D66" i="1"/>
  <c r="E66" i="1"/>
  <c r="F66" i="1"/>
  <c r="G66" i="1"/>
  <c r="H66" i="1"/>
  <c r="I66" i="1"/>
  <c r="J66" i="1"/>
  <c r="K66" i="1"/>
  <c r="L66" i="1"/>
  <c r="M66" i="1" s="1"/>
  <c r="N66" i="1"/>
  <c r="O66" i="1"/>
  <c r="P66" i="1"/>
  <c r="Q66" i="1"/>
  <c r="S66" i="1"/>
  <c r="T66" i="1"/>
  <c r="U66" i="1"/>
  <c r="V66" i="1"/>
  <c r="W66" i="1"/>
  <c r="X66" i="1"/>
  <c r="Y66" i="1"/>
  <c r="Z66" i="1"/>
  <c r="AA66" i="1"/>
  <c r="AB66" i="1"/>
  <c r="AD66" i="1"/>
  <c r="AE66" i="1"/>
  <c r="AF66" i="1"/>
  <c r="AG66" i="1"/>
  <c r="AH66" i="1" s="1"/>
  <c r="AI66" i="1"/>
  <c r="AJ66" i="1"/>
  <c r="AL66" i="1"/>
  <c r="AM66" i="1"/>
  <c r="AN66" i="1"/>
  <c r="AO66" i="1"/>
  <c r="AP66" i="1"/>
  <c r="AQ66" i="1"/>
  <c r="AR66" i="1"/>
  <c r="AS66" i="1"/>
  <c r="AT66" i="1"/>
  <c r="AU66" i="1"/>
  <c r="AV66" i="1"/>
  <c r="AW66" i="1"/>
  <c r="AX66" i="1"/>
  <c r="AY66" i="1"/>
  <c r="AZ66" i="1"/>
  <c r="BA66" i="1"/>
  <c r="A67" i="1"/>
  <c r="B67" i="1"/>
  <c r="C67" i="1"/>
  <c r="D67" i="1"/>
  <c r="E67" i="1"/>
  <c r="F67" i="1"/>
  <c r="G67" i="1"/>
  <c r="H67" i="1"/>
  <c r="I67" i="1"/>
  <c r="J67" i="1"/>
  <c r="K67" i="1"/>
  <c r="M67" i="1"/>
  <c r="N67" i="1"/>
  <c r="O67" i="1"/>
  <c r="P67" i="1"/>
  <c r="Q67" i="1"/>
  <c r="S67" i="1"/>
  <c r="T67" i="1"/>
  <c r="U67" i="1"/>
  <c r="V67" i="1"/>
  <c r="W67" i="1"/>
  <c r="X67" i="1"/>
  <c r="Y67" i="1"/>
  <c r="Z67" i="1"/>
  <c r="AA67" i="1"/>
  <c r="AB67" i="1"/>
  <c r="AD67" i="1"/>
  <c r="AE67" i="1"/>
  <c r="AF67" i="1"/>
  <c r="AG67" i="1"/>
  <c r="AH67" i="1" s="1"/>
  <c r="AI67" i="1"/>
  <c r="AJ67" i="1"/>
  <c r="AL67" i="1"/>
  <c r="AM67" i="1"/>
  <c r="AN67" i="1"/>
  <c r="AO67" i="1"/>
  <c r="AP67" i="1"/>
  <c r="AQ67" i="1"/>
  <c r="AR67" i="1"/>
  <c r="AS67" i="1"/>
  <c r="AT67" i="1"/>
  <c r="AU67" i="1"/>
  <c r="AV67" i="1"/>
  <c r="AW67" i="1"/>
  <c r="AX67" i="1"/>
  <c r="AY67" i="1"/>
  <c r="AZ67" i="1"/>
  <c r="BA67" i="1"/>
  <c r="A68" i="1"/>
  <c r="B68" i="1"/>
  <c r="C68" i="1"/>
  <c r="D68" i="1"/>
  <c r="E68" i="1"/>
  <c r="F68" i="1"/>
  <c r="G68" i="1"/>
  <c r="H68" i="1"/>
  <c r="I68" i="1"/>
  <c r="J68" i="1"/>
  <c r="K68" i="1"/>
  <c r="L68" i="1"/>
  <c r="M68" i="1" s="1"/>
  <c r="N68" i="1"/>
  <c r="O68" i="1"/>
  <c r="P68" i="1"/>
  <c r="Q68" i="1"/>
  <c r="R68" i="1"/>
  <c r="S68" i="1" s="1"/>
  <c r="T68" i="1"/>
  <c r="U68" i="1"/>
  <c r="V68" i="1"/>
  <c r="W68" i="1"/>
  <c r="X68" i="1"/>
  <c r="Y68" i="1"/>
  <c r="Z68" i="1"/>
  <c r="AA68" i="1"/>
  <c r="AB68" i="1"/>
  <c r="AD68" i="1"/>
  <c r="AE68" i="1"/>
  <c r="AF68" i="1"/>
  <c r="AG68" i="1"/>
  <c r="AH68" i="1" s="1"/>
  <c r="AI68" i="1"/>
  <c r="AJ68" i="1"/>
  <c r="AL68" i="1"/>
  <c r="AM68" i="1"/>
  <c r="AN68" i="1"/>
  <c r="AO68" i="1"/>
  <c r="AP68" i="1"/>
  <c r="AQ68" i="1"/>
  <c r="AR68" i="1"/>
  <c r="AS68" i="1"/>
  <c r="AT68" i="1"/>
  <c r="AU68" i="1"/>
  <c r="AV68" i="1"/>
  <c r="AW68" i="1"/>
  <c r="AX68" i="1"/>
  <c r="AY68" i="1"/>
  <c r="AZ68" i="1"/>
  <c r="BA68" i="1"/>
  <c r="A69" i="1"/>
  <c r="B69" i="1"/>
  <c r="C69" i="1"/>
  <c r="D69" i="1"/>
  <c r="E69" i="1"/>
  <c r="F69" i="1"/>
  <c r="G69" i="1"/>
  <c r="H69" i="1"/>
  <c r="I69" i="1"/>
  <c r="J69" i="1"/>
  <c r="K69" i="1"/>
  <c r="L69" i="1"/>
  <c r="M69" i="1" s="1"/>
  <c r="N69" i="1"/>
  <c r="O69" i="1"/>
  <c r="P69" i="1"/>
  <c r="Q69" i="1"/>
  <c r="R69" i="1"/>
  <c r="S69" i="1" s="1"/>
  <c r="T69" i="1"/>
  <c r="U69" i="1"/>
  <c r="V69" i="1"/>
  <c r="W69" i="1"/>
  <c r="X69" i="1"/>
  <c r="Y69" i="1"/>
  <c r="Z69" i="1"/>
  <c r="AA69" i="1"/>
  <c r="AB69" i="1"/>
  <c r="AC69" i="1"/>
  <c r="AD69" i="1" s="1"/>
  <c r="AE69" i="1"/>
  <c r="AF69" i="1"/>
  <c r="AG69" i="1"/>
  <c r="AH69" i="1" s="1"/>
  <c r="AI69" i="1"/>
  <c r="AJ69" i="1"/>
  <c r="AL69" i="1"/>
  <c r="AM69" i="1"/>
  <c r="AN69" i="1"/>
  <c r="AO69" i="1"/>
  <c r="AP69" i="1"/>
  <c r="AQ69" i="1"/>
  <c r="AR69" i="1"/>
  <c r="AS69" i="1"/>
  <c r="AT69" i="1"/>
  <c r="AU69" i="1"/>
  <c r="AV69" i="1"/>
  <c r="AW69" i="1"/>
  <c r="AX69" i="1"/>
  <c r="AY69" i="1"/>
  <c r="AZ69" i="1"/>
  <c r="BA69" i="1"/>
  <c r="A70" i="1"/>
  <c r="B70" i="1"/>
  <c r="C70" i="1"/>
  <c r="D70" i="1"/>
  <c r="E70" i="1"/>
  <c r="F70" i="1"/>
  <c r="G70" i="1"/>
  <c r="H70" i="1"/>
  <c r="I70" i="1"/>
  <c r="J70" i="1"/>
  <c r="K70" i="1"/>
  <c r="M70" i="1"/>
  <c r="N70" i="1"/>
  <c r="O70" i="1"/>
  <c r="P70" i="1"/>
  <c r="Q70" i="1"/>
  <c r="S70" i="1"/>
  <c r="T70" i="1"/>
  <c r="U70" i="1"/>
  <c r="V70" i="1"/>
  <c r="W70" i="1"/>
  <c r="X70" i="1"/>
  <c r="Y70" i="1"/>
  <c r="Z70" i="1"/>
  <c r="AA70" i="1"/>
  <c r="AB70" i="1"/>
  <c r="AD70" i="1"/>
  <c r="AE70" i="1"/>
  <c r="AF70" i="1"/>
  <c r="AG70" i="1"/>
  <c r="AH70" i="1" s="1"/>
  <c r="AI70" i="1"/>
  <c r="AL70" i="1"/>
  <c r="AM70" i="1"/>
  <c r="AN70" i="1"/>
  <c r="AO70" i="1"/>
  <c r="AP70" i="1"/>
  <c r="AQ70" i="1"/>
  <c r="AR70" i="1"/>
  <c r="AS70" i="1"/>
  <c r="AT70" i="1"/>
  <c r="AU70" i="1"/>
  <c r="AV70" i="1"/>
  <c r="AW70" i="1"/>
  <c r="AX70" i="1"/>
  <c r="AY70" i="1"/>
  <c r="AZ70" i="1"/>
  <c r="BA70" i="1"/>
  <c r="A71" i="1"/>
  <c r="B71" i="1"/>
  <c r="C71" i="1"/>
  <c r="D71" i="1"/>
  <c r="E71" i="1"/>
  <c r="F71" i="1"/>
  <c r="G71" i="1"/>
  <c r="H71" i="1"/>
  <c r="I71" i="1"/>
  <c r="J71" i="1"/>
  <c r="K71" i="1"/>
  <c r="M71" i="1"/>
  <c r="N71" i="1"/>
  <c r="O71" i="1"/>
  <c r="P71" i="1"/>
  <c r="Q71" i="1"/>
  <c r="R71" i="1"/>
  <c r="S71" i="1" s="1"/>
  <c r="T71" i="1"/>
  <c r="U71" i="1"/>
  <c r="V71" i="1"/>
  <c r="W71" i="1"/>
  <c r="X71" i="1"/>
  <c r="Y71" i="1"/>
  <c r="Z71" i="1"/>
  <c r="AA71" i="1"/>
  <c r="AB71" i="1"/>
  <c r="AD71" i="1"/>
  <c r="AE71" i="1"/>
  <c r="AF71" i="1"/>
  <c r="AG71" i="1"/>
  <c r="AH71" i="1" s="1"/>
  <c r="AI71" i="1"/>
  <c r="AJ71" i="1"/>
  <c r="AL71" i="1"/>
  <c r="AM71" i="1"/>
  <c r="AN71" i="1"/>
  <c r="AO71" i="1"/>
  <c r="AP71" i="1"/>
  <c r="AQ71" i="1"/>
  <c r="AR71" i="1"/>
  <c r="AS71" i="1"/>
  <c r="AT71" i="1"/>
  <c r="AU71" i="1"/>
  <c r="AV71" i="1"/>
  <c r="AW71" i="1"/>
  <c r="AX71" i="1"/>
  <c r="AY71" i="1"/>
  <c r="AZ71" i="1"/>
  <c r="BA71" i="1"/>
  <c r="A72" i="1"/>
  <c r="B72" i="1"/>
  <c r="C72" i="1"/>
  <c r="D72" i="1"/>
  <c r="E72" i="1"/>
  <c r="F72" i="1"/>
  <c r="G72" i="1"/>
  <c r="H72" i="1"/>
  <c r="I72" i="1"/>
  <c r="J72" i="1"/>
  <c r="K72" i="1"/>
  <c r="L72" i="1"/>
  <c r="M72" i="1" s="1"/>
  <c r="N72" i="1"/>
  <c r="O72" i="1"/>
  <c r="P72" i="1"/>
  <c r="Q72" i="1"/>
  <c r="R72" i="1"/>
  <c r="S72" i="1" s="1"/>
  <c r="T72" i="1"/>
  <c r="U72" i="1"/>
  <c r="V72" i="1"/>
  <c r="W72" i="1"/>
  <c r="X72" i="1"/>
  <c r="Y72" i="1"/>
  <c r="Z72" i="1"/>
  <c r="AA72" i="1"/>
  <c r="AB72" i="1"/>
  <c r="AC72" i="1"/>
  <c r="AD72" i="1" s="1"/>
  <c r="AE72" i="1"/>
  <c r="AF72" i="1"/>
  <c r="AG72" i="1"/>
  <c r="AH72" i="1" s="1"/>
  <c r="AI72" i="1"/>
  <c r="AJ72" i="1"/>
  <c r="AL72" i="1"/>
  <c r="AM72" i="1"/>
  <c r="AN72" i="1"/>
  <c r="AO72" i="1"/>
  <c r="AP72" i="1"/>
  <c r="AQ72" i="1"/>
  <c r="AR72" i="1"/>
  <c r="AS72" i="1"/>
  <c r="AT72" i="1"/>
  <c r="AU72" i="1"/>
  <c r="AV72" i="1"/>
  <c r="AW72" i="1"/>
  <c r="AX72" i="1"/>
  <c r="AY72" i="1"/>
  <c r="AZ72" i="1"/>
  <c r="BA72" i="1"/>
  <c r="A73" i="1"/>
  <c r="B73" i="1"/>
  <c r="C73" i="1"/>
  <c r="D73" i="1"/>
  <c r="E73" i="1"/>
  <c r="F73" i="1"/>
  <c r="G73" i="1"/>
  <c r="H73" i="1"/>
  <c r="I73" i="1"/>
  <c r="J73" i="1"/>
  <c r="K73" i="1"/>
  <c r="L73" i="1"/>
  <c r="M73" i="1" s="1"/>
  <c r="N73" i="1"/>
  <c r="O73" i="1"/>
  <c r="P73" i="1"/>
  <c r="Q73" i="1"/>
  <c r="R73" i="1"/>
  <c r="S73" i="1" s="1"/>
  <c r="T73" i="1"/>
  <c r="U73" i="1"/>
  <c r="V73" i="1"/>
  <c r="W73" i="1"/>
  <c r="X73" i="1"/>
  <c r="Y73" i="1"/>
  <c r="Z73" i="1"/>
  <c r="AA73" i="1"/>
  <c r="AB73" i="1"/>
  <c r="AD73" i="1"/>
  <c r="AE73" i="1"/>
  <c r="AF73" i="1"/>
  <c r="AG73" i="1"/>
  <c r="AH73" i="1" s="1"/>
  <c r="AI73" i="1"/>
  <c r="AJ73" i="1"/>
  <c r="AL73" i="1"/>
  <c r="AM73" i="1"/>
  <c r="AN73" i="1"/>
  <c r="AO73" i="1"/>
  <c r="AP73" i="1"/>
  <c r="AQ73" i="1"/>
  <c r="AR73" i="1"/>
  <c r="AS73" i="1"/>
  <c r="AT73" i="1"/>
  <c r="AU73" i="1"/>
  <c r="AV73" i="1"/>
  <c r="AW73" i="1"/>
  <c r="AX73" i="1"/>
  <c r="AY73" i="1"/>
  <c r="AZ73" i="1"/>
  <c r="BA73" i="1"/>
  <c r="A74" i="1"/>
  <c r="B74" i="1"/>
  <c r="C74" i="1"/>
  <c r="D74" i="1"/>
  <c r="E74" i="1"/>
  <c r="F74" i="1"/>
  <c r="G74" i="1"/>
  <c r="H74" i="1"/>
  <c r="I74" i="1"/>
  <c r="J74" i="1"/>
  <c r="K74" i="1"/>
  <c r="L74" i="1"/>
  <c r="M74" i="1" s="1"/>
  <c r="N74" i="1"/>
  <c r="O74" i="1"/>
  <c r="P74" i="1"/>
  <c r="Q74" i="1"/>
  <c r="R74" i="1"/>
  <c r="S74" i="1" s="1"/>
  <c r="T74" i="1"/>
  <c r="U74" i="1"/>
  <c r="V74" i="1"/>
  <c r="W74" i="1"/>
  <c r="X74" i="1"/>
  <c r="Y74" i="1"/>
  <c r="Z74" i="1"/>
  <c r="AA74" i="1"/>
  <c r="AB74" i="1"/>
  <c r="AC74" i="1"/>
  <c r="AD74" i="1" s="1"/>
  <c r="AE74" i="1"/>
  <c r="AF74" i="1"/>
  <c r="AG74" i="1"/>
  <c r="AH74" i="1" s="1"/>
  <c r="AI74" i="1"/>
  <c r="AL74" i="1"/>
  <c r="AM74" i="1"/>
  <c r="AN74" i="1"/>
  <c r="AO74" i="1"/>
  <c r="AP74" i="1"/>
  <c r="AQ74" i="1"/>
  <c r="AR74" i="1"/>
  <c r="AS74" i="1"/>
  <c r="AT74" i="1"/>
  <c r="AU74" i="1"/>
  <c r="AV74" i="1"/>
  <c r="AW74" i="1"/>
  <c r="AX74" i="1"/>
  <c r="AY74" i="1"/>
  <c r="AZ74" i="1"/>
  <c r="BA74" i="1"/>
  <c r="A75" i="1"/>
  <c r="B75" i="1"/>
  <c r="C75" i="1"/>
  <c r="D75" i="1"/>
  <c r="E75" i="1"/>
  <c r="F75" i="1"/>
  <c r="G75" i="1"/>
  <c r="H75" i="1"/>
  <c r="I75" i="1"/>
  <c r="J75" i="1"/>
  <c r="K75" i="1"/>
  <c r="L75" i="1"/>
  <c r="M75" i="1" s="1"/>
  <c r="N75" i="1"/>
  <c r="O75" i="1"/>
  <c r="P75" i="1"/>
  <c r="Q75" i="1"/>
  <c r="R75" i="1"/>
  <c r="S75" i="1" s="1"/>
  <c r="T75" i="1"/>
  <c r="U75" i="1"/>
  <c r="V75" i="1"/>
  <c r="W75" i="1"/>
  <c r="X75" i="1"/>
  <c r="Y75" i="1"/>
  <c r="Z75" i="1"/>
  <c r="AA75" i="1"/>
  <c r="AB75" i="1"/>
  <c r="AC75" i="1"/>
  <c r="AD75" i="1" s="1"/>
  <c r="AE75" i="1"/>
  <c r="AF75" i="1"/>
  <c r="AG75" i="1"/>
  <c r="AH75" i="1" s="1"/>
  <c r="AI75" i="1"/>
  <c r="AJ75" i="1"/>
  <c r="AL75" i="1"/>
  <c r="AM75" i="1"/>
  <c r="AN75" i="1"/>
  <c r="AO75" i="1"/>
  <c r="AP75" i="1"/>
  <c r="AQ75" i="1"/>
  <c r="AR75" i="1"/>
  <c r="AS75" i="1"/>
  <c r="AT75" i="1"/>
  <c r="AU75" i="1"/>
  <c r="AV75" i="1"/>
  <c r="AW75" i="1"/>
  <c r="AX75" i="1"/>
  <c r="AY75" i="1"/>
  <c r="AZ75" i="1"/>
  <c r="BA75" i="1"/>
  <c r="A76" i="1"/>
  <c r="B76" i="1"/>
  <c r="C76" i="1"/>
  <c r="D76" i="1"/>
  <c r="E76" i="1"/>
  <c r="F76" i="1"/>
  <c r="G76" i="1"/>
  <c r="H76" i="1"/>
  <c r="I76" i="1"/>
  <c r="J76" i="1"/>
  <c r="K76" i="1"/>
  <c r="M76" i="1"/>
  <c r="N76" i="1"/>
  <c r="O76" i="1"/>
  <c r="P76" i="1"/>
  <c r="Q76" i="1"/>
  <c r="R76" i="1"/>
  <c r="S76" i="1" s="1"/>
  <c r="T76" i="1"/>
  <c r="U76" i="1"/>
  <c r="V76" i="1"/>
  <c r="W76" i="1"/>
  <c r="X76" i="1"/>
  <c r="Y76" i="1"/>
  <c r="Z76" i="1"/>
  <c r="AA76" i="1"/>
  <c r="AB76" i="1"/>
  <c r="AC76" i="1"/>
  <c r="AD76" i="1" s="1"/>
  <c r="AE76" i="1"/>
  <c r="AF76" i="1"/>
  <c r="AG76" i="1"/>
  <c r="AH76" i="1" s="1"/>
  <c r="AI76" i="1"/>
  <c r="AJ76" i="1"/>
  <c r="AL76" i="1"/>
  <c r="AM76" i="1"/>
  <c r="AN76" i="1"/>
  <c r="AO76" i="1"/>
  <c r="AP76" i="1"/>
  <c r="AQ76" i="1"/>
  <c r="AR76" i="1"/>
  <c r="AS76" i="1"/>
  <c r="AT76" i="1"/>
  <c r="AU76" i="1"/>
  <c r="AV76" i="1"/>
  <c r="AW76" i="1"/>
  <c r="AX76" i="1"/>
  <c r="AY76" i="1"/>
  <c r="AZ76" i="1"/>
  <c r="BA76" i="1"/>
  <c r="A77" i="1"/>
  <c r="B77" i="1"/>
  <c r="C77" i="1"/>
  <c r="D77" i="1"/>
  <c r="E77" i="1"/>
  <c r="F77" i="1"/>
  <c r="G77" i="1"/>
  <c r="H77" i="1"/>
  <c r="I77" i="1"/>
  <c r="J77" i="1"/>
  <c r="K77" i="1"/>
  <c r="L77" i="1"/>
  <c r="M77" i="1" s="1"/>
  <c r="N77" i="1"/>
  <c r="O77" i="1"/>
  <c r="P77" i="1"/>
  <c r="Q77" i="1"/>
  <c r="R77" i="1"/>
  <c r="S77" i="1" s="1"/>
  <c r="T77" i="1"/>
  <c r="U77" i="1"/>
  <c r="V77" i="1"/>
  <c r="W77" i="1"/>
  <c r="X77" i="1"/>
  <c r="Y77" i="1"/>
  <c r="Z77" i="1"/>
  <c r="AA77" i="1"/>
  <c r="AB77" i="1"/>
  <c r="AC77" i="1"/>
  <c r="AD77" i="1" s="1"/>
  <c r="AE77" i="1"/>
  <c r="AF77" i="1"/>
  <c r="AG77" i="1"/>
  <c r="AH77" i="1" s="1"/>
  <c r="AI77" i="1"/>
  <c r="AJ77" i="1"/>
  <c r="AL77" i="1"/>
  <c r="AM77" i="1"/>
  <c r="AN77" i="1"/>
  <c r="AO77" i="1"/>
  <c r="AP77" i="1"/>
  <c r="AQ77" i="1"/>
  <c r="AR77" i="1"/>
  <c r="AS77" i="1"/>
  <c r="AT77" i="1"/>
  <c r="AU77" i="1"/>
  <c r="AV77" i="1"/>
  <c r="AW77" i="1"/>
  <c r="AX77" i="1"/>
  <c r="AY77" i="1"/>
  <c r="AZ77" i="1"/>
  <c r="BA77" i="1"/>
  <c r="A78" i="1"/>
  <c r="B78" i="1"/>
  <c r="C78" i="1"/>
  <c r="D78" i="1"/>
  <c r="E78" i="1"/>
  <c r="F78" i="1"/>
  <c r="G78" i="1"/>
  <c r="H78" i="1"/>
  <c r="I78" i="1"/>
  <c r="J78" i="1"/>
  <c r="K78" i="1"/>
  <c r="L78" i="1"/>
  <c r="M78" i="1" s="1"/>
  <c r="N78" i="1"/>
  <c r="O78" i="1"/>
  <c r="P78" i="1"/>
  <c r="Q78" i="1"/>
  <c r="R78" i="1"/>
  <c r="S78" i="1" s="1"/>
  <c r="T78" i="1"/>
  <c r="U78" i="1"/>
  <c r="V78" i="1"/>
  <c r="W78" i="1"/>
  <c r="X78" i="1"/>
  <c r="Y78" i="1"/>
  <c r="Z78" i="1"/>
  <c r="AA78" i="1"/>
  <c r="AB78" i="1"/>
  <c r="AC78" i="1"/>
  <c r="AD78" i="1" s="1"/>
  <c r="AE78" i="1"/>
  <c r="AF78" i="1"/>
  <c r="AG78" i="1"/>
  <c r="AH78" i="1" s="1"/>
  <c r="AI78" i="1"/>
  <c r="AJ78" i="1"/>
  <c r="AL78" i="1"/>
  <c r="AM78" i="1"/>
  <c r="AN78" i="1"/>
  <c r="AO78" i="1"/>
  <c r="AP78" i="1"/>
  <c r="AQ78" i="1"/>
  <c r="AR78" i="1"/>
  <c r="AS78" i="1"/>
  <c r="AT78" i="1"/>
  <c r="AU78" i="1"/>
  <c r="AV78" i="1"/>
  <c r="AW78" i="1"/>
  <c r="AX78" i="1"/>
  <c r="AY78" i="1"/>
  <c r="AZ78" i="1"/>
  <c r="BA78" i="1"/>
  <c r="A79" i="1"/>
  <c r="B79" i="1"/>
  <c r="C79" i="1"/>
  <c r="D79" i="1"/>
  <c r="E79" i="1"/>
  <c r="F79" i="1"/>
  <c r="G79" i="1"/>
  <c r="H79" i="1"/>
  <c r="I79" i="1"/>
  <c r="J79" i="1"/>
  <c r="K79" i="1"/>
  <c r="M79" i="1"/>
  <c r="N79" i="1"/>
  <c r="O79" i="1"/>
  <c r="P79" i="1"/>
  <c r="Q79" i="1"/>
  <c r="R79" i="1"/>
  <c r="S79" i="1" s="1"/>
  <c r="T79" i="1"/>
  <c r="U79" i="1"/>
  <c r="V79" i="1"/>
  <c r="W79" i="1"/>
  <c r="X79" i="1"/>
  <c r="Y79" i="1"/>
  <c r="Z79" i="1"/>
  <c r="AA79" i="1"/>
  <c r="AB79" i="1"/>
  <c r="AD79" i="1"/>
  <c r="AE79" i="1"/>
  <c r="AF79" i="1"/>
  <c r="AG79" i="1"/>
  <c r="AH79" i="1" s="1"/>
  <c r="AI79" i="1"/>
  <c r="AL79" i="1"/>
  <c r="AM79" i="1"/>
  <c r="AN79" i="1"/>
  <c r="AO79" i="1"/>
  <c r="AP79" i="1"/>
  <c r="AQ79" i="1"/>
  <c r="AR79" i="1"/>
  <c r="AS79" i="1"/>
  <c r="AT79" i="1"/>
  <c r="AU79" i="1"/>
  <c r="AV79" i="1"/>
  <c r="AW79" i="1"/>
  <c r="AX79" i="1"/>
  <c r="AY79" i="1"/>
  <c r="AZ79" i="1"/>
  <c r="BA79" i="1"/>
  <c r="A80" i="1"/>
  <c r="B80" i="1"/>
  <c r="C80" i="1"/>
  <c r="D80" i="1"/>
  <c r="E80" i="1"/>
  <c r="F80" i="1"/>
  <c r="G80" i="1"/>
  <c r="H80" i="1"/>
  <c r="I80" i="1"/>
  <c r="J80" i="1"/>
  <c r="K80" i="1"/>
  <c r="M80" i="1"/>
  <c r="N80" i="1"/>
  <c r="O80" i="1"/>
  <c r="P80" i="1"/>
  <c r="Q80" i="1"/>
  <c r="R80" i="1"/>
  <c r="S80" i="1" s="1"/>
  <c r="T80" i="1"/>
  <c r="U80" i="1"/>
  <c r="V80" i="1"/>
  <c r="W80" i="1"/>
  <c r="X80" i="1"/>
  <c r="Y80" i="1"/>
  <c r="Z80" i="1"/>
  <c r="AA80" i="1"/>
  <c r="AB80" i="1"/>
  <c r="AD80" i="1"/>
  <c r="AE80" i="1"/>
  <c r="AF80" i="1"/>
  <c r="AG80" i="1"/>
  <c r="AH80" i="1" s="1"/>
  <c r="AI80" i="1"/>
  <c r="AJ80" i="1"/>
  <c r="AL80" i="1"/>
  <c r="AM80" i="1"/>
  <c r="AN80" i="1"/>
  <c r="AO80" i="1"/>
  <c r="AP80" i="1"/>
  <c r="AQ80" i="1"/>
  <c r="AR80" i="1"/>
  <c r="AS80" i="1"/>
  <c r="AT80" i="1"/>
  <c r="AU80" i="1"/>
  <c r="AV80" i="1"/>
  <c r="AW80" i="1"/>
  <c r="AX80" i="1"/>
  <c r="AY80" i="1"/>
  <c r="AZ80" i="1"/>
  <c r="BA80" i="1"/>
  <c r="A81" i="1"/>
  <c r="B81" i="1"/>
  <c r="C81" i="1"/>
  <c r="D81" i="1"/>
  <c r="E81" i="1"/>
  <c r="F81" i="1"/>
  <c r="G81" i="1"/>
  <c r="H81" i="1"/>
  <c r="I81" i="1"/>
  <c r="J81" i="1"/>
  <c r="K81" i="1"/>
  <c r="L81" i="1"/>
  <c r="M81" i="1" s="1"/>
  <c r="N81" i="1"/>
  <c r="O81" i="1"/>
  <c r="P81" i="1"/>
  <c r="Q81" i="1"/>
  <c r="R81" i="1"/>
  <c r="S81" i="1" s="1"/>
  <c r="T81" i="1"/>
  <c r="U81" i="1"/>
  <c r="V81" i="1"/>
  <c r="W81" i="1"/>
  <c r="X81" i="1"/>
  <c r="Y81" i="1"/>
  <c r="Z81" i="1"/>
  <c r="AA81" i="1"/>
  <c r="AB81" i="1"/>
  <c r="AD81" i="1"/>
  <c r="AE81" i="1"/>
  <c r="AF81" i="1"/>
  <c r="AG81" i="1"/>
  <c r="AH81" i="1" s="1"/>
  <c r="AI81" i="1"/>
  <c r="AJ81" i="1"/>
  <c r="AL81" i="1"/>
  <c r="AM81" i="1"/>
  <c r="AN81" i="1"/>
  <c r="AO81" i="1"/>
  <c r="AP81" i="1"/>
  <c r="AQ81" i="1"/>
  <c r="AR81" i="1"/>
  <c r="AS81" i="1"/>
  <c r="AT81" i="1"/>
  <c r="AU81" i="1"/>
  <c r="AV81" i="1"/>
  <c r="AW81" i="1"/>
  <c r="AX81" i="1"/>
  <c r="AY81" i="1"/>
  <c r="AZ81" i="1"/>
  <c r="BA81" i="1"/>
  <c r="A82" i="1"/>
  <c r="B82" i="1"/>
  <c r="C82" i="1"/>
  <c r="D82" i="1"/>
  <c r="E82" i="1"/>
  <c r="F82" i="1"/>
  <c r="G82" i="1"/>
  <c r="H82" i="1"/>
  <c r="I82" i="1"/>
  <c r="J82" i="1"/>
  <c r="K82" i="1"/>
  <c r="L82" i="1"/>
  <c r="M82" i="1" s="1"/>
  <c r="N82" i="1"/>
  <c r="O82" i="1"/>
  <c r="P82" i="1"/>
  <c r="Q82" i="1"/>
  <c r="R82" i="1"/>
  <c r="S82" i="1" s="1"/>
  <c r="T82" i="1"/>
  <c r="U82" i="1"/>
  <c r="V82" i="1"/>
  <c r="W82" i="1"/>
  <c r="X82" i="1"/>
  <c r="Y82" i="1"/>
  <c r="Z82" i="1"/>
  <c r="AA82" i="1"/>
  <c r="AB82" i="1"/>
  <c r="AC82" i="1"/>
  <c r="AD82" i="1" s="1"/>
  <c r="AE82" i="1"/>
  <c r="AF82" i="1"/>
  <c r="AG82" i="1"/>
  <c r="AH82" i="1" s="1"/>
  <c r="AI82" i="1"/>
  <c r="AJ82" i="1"/>
  <c r="AL82" i="1"/>
  <c r="AM82" i="1"/>
  <c r="AN82" i="1"/>
  <c r="AO82" i="1"/>
  <c r="AP82" i="1"/>
  <c r="AQ82" i="1"/>
  <c r="AR82" i="1"/>
  <c r="AS82" i="1"/>
  <c r="AT82" i="1"/>
  <c r="AU82" i="1"/>
  <c r="AV82" i="1"/>
  <c r="AW82" i="1"/>
  <c r="AX82" i="1"/>
  <c r="AY82" i="1"/>
  <c r="AZ82" i="1"/>
  <c r="BA82" i="1"/>
  <c r="A83" i="1"/>
  <c r="B83" i="1"/>
  <c r="C83" i="1"/>
  <c r="D83" i="1"/>
  <c r="E83" i="1"/>
  <c r="F83" i="1"/>
  <c r="G83" i="1"/>
  <c r="H83" i="1"/>
  <c r="I83" i="1"/>
  <c r="J83" i="1"/>
  <c r="K83" i="1"/>
  <c r="M83" i="1"/>
  <c r="N83" i="1"/>
  <c r="O83" i="1"/>
  <c r="P83" i="1"/>
  <c r="Q83" i="1"/>
  <c r="R83" i="1"/>
  <c r="S83" i="1" s="1"/>
  <c r="T83" i="1"/>
  <c r="U83" i="1"/>
  <c r="V83" i="1"/>
  <c r="W83" i="1"/>
  <c r="X83" i="1"/>
  <c r="Y83" i="1"/>
  <c r="Z83" i="1"/>
  <c r="AA83" i="1"/>
  <c r="AB83" i="1"/>
  <c r="AC83" i="1"/>
  <c r="AD83" i="1" s="1"/>
  <c r="AE83" i="1"/>
  <c r="AF83" i="1"/>
  <c r="AG83" i="1"/>
  <c r="AH83" i="1" s="1"/>
  <c r="AI83" i="1"/>
  <c r="AL83" i="1"/>
  <c r="AM83" i="1"/>
  <c r="AN83" i="1"/>
  <c r="AO83" i="1"/>
  <c r="AP83" i="1"/>
  <c r="AQ83" i="1"/>
  <c r="AR83" i="1"/>
  <c r="AS83" i="1"/>
  <c r="AT83" i="1"/>
  <c r="AU83" i="1"/>
  <c r="AV83" i="1"/>
  <c r="AW83" i="1"/>
  <c r="AX83" i="1"/>
  <c r="AY83" i="1"/>
  <c r="AZ83" i="1"/>
  <c r="BA83" i="1"/>
  <c r="A84" i="1"/>
  <c r="B84" i="1"/>
  <c r="C84" i="1"/>
  <c r="D84" i="1"/>
  <c r="E84" i="1"/>
  <c r="F84" i="1"/>
  <c r="G84" i="1"/>
  <c r="H84" i="1"/>
  <c r="I84" i="1"/>
  <c r="J84" i="1"/>
  <c r="K84" i="1"/>
  <c r="M84" i="1"/>
  <c r="N84" i="1"/>
  <c r="O84" i="1"/>
  <c r="P84" i="1"/>
  <c r="Q84" i="1"/>
  <c r="S84" i="1"/>
  <c r="T84" i="1"/>
  <c r="U84" i="1"/>
  <c r="V84" i="1"/>
  <c r="W84" i="1"/>
  <c r="X84" i="1"/>
  <c r="Y84" i="1"/>
  <c r="Z84" i="1"/>
  <c r="AA84" i="1"/>
  <c r="AB84" i="1"/>
  <c r="AD84" i="1"/>
  <c r="AE84" i="1"/>
  <c r="AF84" i="1"/>
  <c r="AG84" i="1"/>
  <c r="AH84" i="1" s="1"/>
  <c r="AI84" i="1"/>
  <c r="AL84" i="1"/>
  <c r="AM84" i="1"/>
  <c r="AN84" i="1"/>
  <c r="AO84" i="1"/>
  <c r="AP84" i="1"/>
  <c r="AQ84" i="1"/>
  <c r="AR84" i="1"/>
  <c r="AS84" i="1"/>
  <c r="AT84" i="1"/>
  <c r="AU84" i="1"/>
  <c r="AV84" i="1"/>
  <c r="AW84" i="1"/>
  <c r="AX84" i="1"/>
  <c r="AY84" i="1"/>
  <c r="AZ84" i="1"/>
  <c r="BA84" i="1"/>
  <c r="A85" i="1"/>
  <c r="B85" i="1"/>
  <c r="C85" i="1"/>
  <c r="D85" i="1"/>
  <c r="E85" i="1"/>
  <c r="F85" i="1"/>
  <c r="G85" i="1"/>
  <c r="H85" i="1"/>
  <c r="I85" i="1"/>
  <c r="J85" i="1"/>
  <c r="K85" i="1"/>
  <c r="L85" i="1"/>
  <c r="M85" i="1" s="1"/>
  <c r="N85" i="1"/>
  <c r="O85" i="1"/>
  <c r="P85" i="1"/>
  <c r="Q85" i="1"/>
  <c r="R85" i="1"/>
  <c r="S85" i="1" s="1"/>
  <c r="T85" i="1"/>
  <c r="U85" i="1"/>
  <c r="V85" i="1"/>
  <c r="W85" i="1"/>
  <c r="X85" i="1"/>
  <c r="Y85" i="1"/>
  <c r="Z85" i="1"/>
  <c r="AA85" i="1"/>
  <c r="AB85" i="1"/>
  <c r="AC85" i="1"/>
  <c r="AD85" i="1" s="1"/>
  <c r="AE85" i="1"/>
  <c r="AF85" i="1"/>
  <c r="AG85" i="1"/>
  <c r="AH85" i="1" s="1"/>
  <c r="AI85" i="1"/>
  <c r="AL85" i="1"/>
  <c r="AM85" i="1"/>
  <c r="AN85" i="1"/>
  <c r="AO85" i="1"/>
  <c r="AP85" i="1"/>
  <c r="AQ85" i="1"/>
  <c r="AR85" i="1"/>
  <c r="AS85" i="1"/>
  <c r="AT85" i="1"/>
  <c r="AU85" i="1"/>
  <c r="AV85" i="1"/>
  <c r="AW85" i="1"/>
  <c r="AX85" i="1"/>
  <c r="AY85" i="1"/>
  <c r="AZ85" i="1"/>
  <c r="BA85" i="1"/>
  <c r="A86" i="1"/>
  <c r="B86" i="1"/>
  <c r="C86" i="1"/>
  <c r="D86" i="1"/>
  <c r="E86" i="1"/>
  <c r="F86" i="1"/>
  <c r="G86" i="1"/>
  <c r="H86" i="1"/>
  <c r="I86" i="1"/>
  <c r="J86" i="1"/>
  <c r="K86" i="1"/>
  <c r="M86" i="1"/>
  <c r="N86" i="1"/>
  <c r="O86" i="1"/>
  <c r="P86" i="1"/>
  <c r="Q86" i="1"/>
  <c r="S86" i="1"/>
  <c r="T86" i="1"/>
  <c r="U86" i="1"/>
  <c r="V86" i="1"/>
  <c r="W86" i="1"/>
  <c r="X86" i="1"/>
  <c r="Y86" i="1"/>
  <c r="Z86" i="1"/>
  <c r="AA86" i="1"/>
  <c r="AB86" i="1"/>
  <c r="AD86" i="1"/>
  <c r="AE86" i="1"/>
  <c r="AF86" i="1"/>
  <c r="AG86" i="1"/>
  <c r="AH86" i="1" s="1"/>
  <c r="AI86" i="1"/>
  <c r="AJ86" i="1"/>
  <c r="AL86" i="1"/>
  <c r="AM86" i="1"/>
  <c r="AN86" i="1"/>
  <c r="AO86" i="1"/>
  <c r="AP86" i="1"/>
  <c r="AQ86" i="1"/>
  <c r="AR86" i="1"/>
  <c r="AS86" i="1"/>
  <c r="AT86" i="1"/>
  <c r="AU86" i="1"/>
  <c r="AV86" i="1"/>
  <c r="AW86" i="1"/>
  <c r="AX86" i="1"/>
  <c r="AY86" i="1"/>
  <c r="AZ86" i="1"/>
  <c r="BA86" i="1"/>
  <c r="A87" i="1"/>
  <c r="B87" i="1"/>
  <c r="C87" i="1"/>
  <c r="D87" i="1"/>
  <c r="E87" i="1"/>
  <c r="F87" i="1"/>
  <c r="G87" i="1"/>
  <c r="H87" i="1"/>
  <c r="I87" i="1"/>
  <c r="J87" i="1"/>
  <c r="K87" i="1"/>
  <c r="L87" i="1"/>
  <c r="M87" i="1" s="1"/>
  <c r="N87" i="1"/>
  <c r="O87" i="1"/>
  <c r="P87" i="1"/>
  <c r="Q87" i="1"/>
  <c r="S87" i="1"/>
  <c r="T87" i="1"/>
  <c r="U87" i="1"/>
  <c r="V87" i="1"/>
  <c r="W87" i="1"/>
  <c r="X87" i="1"/>
  <c r="Y87" i="1"/>
  <c r="Z87" i="1"/>
  <c r="AA87" i="1"/>
  <c r="AB87" i="1"/>
  <c r="AD87" i="1"/>
  <c r="AE87" i="1"/>
  <c r="AF87" i="1"/>
  <c r="AG87" i="1"/>
  <c r="AH87" i="1" s="1"/>
  <c r="AI87" i="1"/>
  <c r="AJ87" i="1"/>
  <c r="AL87" i="1"/>
  <c r="AM87" i="1"/>
  <c r="AN87" i="1"/>
  <c r="AO87" i="1"/>
  <c r="AP87" i="1"/>
  <c r="AQ87" i="1"/>
  <c r="AR87" i="1"/>
  <c r="AS87" i="1"/>
  <c r="AT87" i="1"/>
  <c r="AU87" i="1"/>
  <c r="AV87" i="1"/>
  <c r="AW87" i="1"/>
  <c r="AX87" i="1"/>
  <c r="AY87" i="1"/>
  <c r="AZ87" i="1"/>
  <c r="BA87" i="1"/>
  <c r="A88" i="1"/>
  <c r="B88" i="1"/>
  <c r="C88" i="1"/>
  <c r="D88" i="1"/>
  <c r="E88" i="1"/>
  <c r="F88" i="1"/>
  <c r="G88" i="1"/>
  <c r="H88" i="1"/>
  <c r="I88" i="1"/>
  <c r="J88" i="1"/>
  <c r="K88" i="1"/>
  <c r="L88" i="1"/>
  <c r="M88" i="1" s="1"/>
  <c r="N88" i="1"/>
  <c r="O88" i="1"/>
  <c r="P88" i="1"/>
  <c r="Q88" i="1"/>
  <c r="S88" i="1"/>
  <c r="T88" i="1"/>
  <c r="U88" i="1"/>
  <c r="V88" i="1"/>
  <c r="W88" i="1"/>
  <c r="X88" i="1"/>
  <c r="Y88" i="1"/>
  <c r="Z88" i="1"/>
  <c r="AA88" i="1"/>
  <c r="AB88" i="1"/>
  <c r="AD88" i="1"/>
  <c r="AE88" i="1"/>
  <c r="AF88" i="1"/>
  <c r="AG88" i="1"/>
  <c r="AH88" i="1" s="1"/>
  <c r="AI88" i="1"/>
  <c r="AL88" i="1"/>
  <c r="AM88" i="1"/>
  <c r="AN88" i="1"/>
  <c r="AO88" i="1"/>
  <c r="AP88" i="1"/>
  <c r="AQ88" i="1"/>
  <c r="AR88" i="1"/>
  <c r="AS88" i="1"/>
  <c r="AT88" i="1"/>
  <c r="AU88" i="1"/>
  <c r="AV88" i="1"/>
  <c r="AW88" i="1"/>
  <c r="AX88" i="1"/>
  <c r="AY88" i="1"/>
  <c r="AZ88" i="1"/>
  <c r="BA88" i="1"/>
  <c r="A89" i="1"/>
  <c r="B89" i="1"/>
  <c r="C89" i="1"/>
  <c r="D89" i="1"/>
  <c r="E89" i="1"/>
  <c r="F89" i="1"/>
  <c r="G89" i="1"/>
  <c r="H89" i="1"/>
  <c r="I89" i="1"/>
  <c r="J89" i="1"/>
  <c r="K89" i="1"/>
  <c r="L89" i="1"/>
  <c r="M89" i="1" s="1"/>
  <c r="N89" i="1"/>
  <c r="O89" i="1"/>
  <c r="P89" i="1"/>
  <c r="Q89" i="1"/>
  <c r="R89" i="1"/>
  <c r="S89" i="1" s="1"/>
  <c r="T89" i="1"/>
  <c r="U89" i="1"/>
  <c r="V89" i="1"/>
  <c r="W89" i="1"/>
  <c r="X89" i="1"/>
  <c r="Y89" i="1"/>
  <c r="Z89" i="1"/>
  <c r="AA89" i="1"/>
  <c r="AB89" i="1"/>
  <c r="AD89" i="1"/>
  <c r="AE89" i="1"/>
  <c r="AF89" i="1"/>
  <c r="AG89" i="1"/>
  <c r="AH89" i="1" s="1"/>
  <c r="AI89" i="1"/>
  <c r="AJ89" i="1"/>
  <c r="AL89" i="1"/>
  <c r="AM89" i="1"/>
  <c r="AN89" i="1"/>
  <c r="AO89" i="1"/>
  <c r="AP89" i="1"/>
  <c r="AQ89" i="1"/>
  <c r="AR89" i="1"/>
  <c r="AS89" i="1"/>
  <c r="AT89" i="1"/>
  <c r="AU89" i="1"/>
  <c r="AV89" i="1"/>
  <c r="AW89" i="1"/>
  <c r="AX89" i="1"/>
  <c r="AY89" i="1"/>
  <c r="AZ89" i="1"/>
  <c r="BA89" i="1"/>
  <c r="A90" i="1"/>
  <c r="B90" i="1"/>
  <c r="C90" i="1"/>
  <c r="D90" i="1"/>
  <c r="E90" i="1"/>
  <c r="F90" i="1"/>
  <c r="G90" i="1"/>
  <c r="H90" i="1"/>
  <c r="I90" i="1"/>
  <c r="J90" i="1"/>
  <c r="K90" i="1"/>
  <c r="L90" i="1"/>
  <c r="M90" i="1" s="1"/>
  <c r="N90" i="1"/>
  <c r="O90" i="1"/>
  <c r="P90" i="1"/>
  <c r="Q90" i="1"/>
  <c r="R90" i="1"/>
  <c r="S90" i="1" s="1"/>
  <c r="T90" i="1"/>
  <c r="U90" i="1"/>
  <c r="V90" i="1"/>
  <c r="W90" i="1"/>
  <c r="X90" i="1"/>
  <c r="Y90" i="1"/>
  <c r="Z90" i="1"/>
  <c r="AA90" i="1"/>
  <c r="AB90" i="1"/>
  <c r="AD90" i="1"/>
  <c r="AE90" i="1"/>
  <c r="AF90" i="1"/>
  <c r="AG90" i="1"/>
  <c r="AH90" i="1" s="1"/>
  <c r="AI90" i="1"/>
  <c r="AJ90" i="1"/>
  <c r="AL90" i="1"/>
  <c r="AM90" i="1"/>
  <c r="AN90" i="1"/>
  <c r="AO90" i="1"/>
  <c r="AP90" i="1"/>
  <c r="AQ90" i="1"/>
  <c r="AR90" i="1"/>
  <c r="AS90" i="1"/>
  <c r="AT90" i="1"/>
  <c r="AU90" i="1"/>
  <c r="AV90" i="1"/>
  <c r="AW90" i="1"/>
  <c r="AX90" i="1"/>
  <c r="AY90" i="1"/>
  <c r="AZ90" i="1"/>
  <c r="BA90" i="1"/>
  <c r="A91" i="1"/>
  <c r="B91" i="1"/>
  <c r="C91" i="1"/>
  <c r="D91" i="1"/>
  <c r="E91" i="1"/>
  <c r="F91" i="1"/>
  <c r="G91" i="1"/>
  <c r="H91" i="1"/>
  <c r="I91" i="1"/>
  <c r="J91" i="1"/>
  <c r="K91" i="1"/>
  <c r="L91" i="1"/>
  <c r="M91" i="1" s="1"/>
  <c r="N91" i="1"/>
  <c r="O91" i="1"/>
  <c r="P91" i="1"/>
  <c r="Q91" i="1"/>
  <c r="S91" i="1"/>
  <c r="T91" i="1"/>
  <c r="U91" i="1"/>
  <c r="V91" i="1"/>
  <c r="W91" i="1"/>
  <c r="X91" i="1"/>
  <c r="Y91" i="1"/>
  <c r="Z91" i="1"/>
  <c r="AA91" i="1"/>
  <c r="AB91" i="1"/>
  <c r="AD91" i="1"/>
  <c r="AE91" i="1"/>
  <c r="AF91" i="1"/>
  <c r="AG91" i="1"/>
  <c r="AH91" i="1" s="1"/>
  <c r="AI91" i="1"/>
  <c r="AJ91" i="1"/>
  <c r="AL91" i="1"/>
  <c r="AM91" i="1"/>
  <c r="AN91" i="1"/>
  <c r="AO91" i="1"/>
  <c r="AP91" i="1"/>
  <c r="AQ91" i="1"/>
  <c r="AR91" i="1"/>
  <c r="AS91" i="1"/>
  <c r="AT91" i="1"/>
  <c r="AU91" i="1"/>
  <c r="AV91" i="1"/>
  <c r="AW91" i="1"/>
  <c r="AX91" i="1"/>
  <c r="AY91" i="1"/>
  <c r="AZ91" i="1"/>
  <c r="BA91" i="1"/>
  <c r="A92" i="1"/>
  <c r="B92" i="1"/>
  <c r="C92" i="1"/>
  <c r="D92" i="1"/>
  <c r="E92" i="1"/>
  <c r="F92" i="1"/>
  <c r="G92" i="1"/>
  <c r="H92" i="1"/>
  <c r="I92" i="1"/>
  <c r="J92" i="1"/>
  <c r="K92" i="1"/>
  <c r="L92" i="1"/>
  <c r="M92" i="1" s="1"/>
  <c r="N92" i="1"/>
  <c r="O92" i="1"/>
  <c r="P92" i="1"/>
  <c r="Q92" i="1"/>
  <c r="S92" i="1"/>
  <c r="T92" i="1"/>
  <c r="U92" i="1"/>
  <c r="V92" i="1"/>
  <c r="W92" i="1"/>
  <c r="X92" i="1"/>
  <c r="Y92" i="1"/>
  <c r="Z92" i="1"/>
  <c r="AA92" i="1"/>
  <c r="AB92" i="1"/>
  <c r="AD92" i="1"/>
  <c r="AE92" i="1"/>
  <c r="AF92" i="1"/>
  <c r="AG92" i="1"/>
  <c r="AH92" i="1" s="1"/>
  <c r="AI92" i="1"/>
  <c r="AJ92" i="1"/>
  <c r="AL92" i="1"/>
  <c r="AM92" i="1"/>
  <c r="AN92" i="1"/>
  <c r="AO92" i="1"/>
  <c r="AP92" i="1"/>
  <c r="AQ92" i="1"/>
  <c r="AR92" i="1"/>
  <c r="AS92" i="1"/>
  <c r="AT92" i="1"/>
  <c r="AU92" i="1"/>
  <c r="AV92" i="1"/>
  <c r="AW92" i="1"/>
  <c r="AX92" i="1"/>
  <c r="AY92" i="1"/>
  <c r="AZ92" i="1"/>
  <c r="BA92" i="1"/>
  <c r="A93" i="1"/>
  <c r="B93" i="1"/>
  <c r="C93" i="1"/>
  <c r="D93" i="1"/>
  <c r="E93" i="1"/>
  <c r="F93" i="1"/>
  <c r="G93" i="1"/>
  <c r="H93" i="1"/>
  <c r="I93" i="1"/>
  <c r="J93" i="1"/>
  <c r="K93" i="1"/>
  <c r="L93" i="1"/>
  <c r="M93" i="1" s="1"/>
  <c r="N93" i="1"/>
  <c r="O93" i="1"/>
  <c r="P93" i="1"/>
  <c r="Q93" i="1"/>
  <c r="S93" i="1"/>
  <c r="T93" i="1"/>
  <c r="U93" i="1"/>
  <c r="V93" i="1"/>
  <c r="W93" i="1"/>
  <c r="X93" i="1"/>
  <c r="Y93" i="1"/>
  <c r="Z93" i="1"/>
  <c r="AA93" i="1"/>
  <c r="AB93" i="1"/>
  <c r="AC93" i="1"/>
  <c r="AD93" i="1" s="1"/>
  <c r="AE93" i="1"/>
  <c r="AF93" i="1"/>
  <c r="AG93" i="1"/>
  <c r="AH93" i="1" s="1"/>
  <c r="AI93" i="1"/>
  <c r="AL93" i="1"/>
  <c r="AM93" i="1"/>
  <c r="AN93" i="1"/>
  <c r="AO93" i="1"/>
  <c r="AP93" i="1"/>
  <c r="AQ93" i="1"/>
  <c r="AR93" i="1"/>
  <c r="AS93" i="1"/>
  <c r="AT93" i="1"/>
  <c r="AU93" i="1"/>
  <c r="AV93" i="1"/>
  <c r="AW93" i="1"/>
  <c r="AX93" i="1"/>
  <c r="AY93" i="1"/>
  <c r="AZ93" i="1"/>
  <c r="BA93" i="1"/>
  <c r="A94" i="1"/>
  <c r="B94" i="1"/>
  <c r="C94" i="1"/>
  <c r="D94" i="1"/>
  <c r="E94" i="1"/>
  <c r="F94" i="1"/>
  <c r="G94" i="1"/>
  <c r="H94" i="1"/>
  <c r="I94" i="1"/>
  <c r="J94" i="1"/>
  <c r="K94" i="1"/>
  <c r="M94" i="1"/>
  <c r="N94" i="1"/>
  <c r="O94" i="1"/>
  <c r="P94" i="1"/>
  <c r="Q94" i="1"/>
  <c r="S94" i="1"/>
  <c r="T94" i="1"/>
  <c r="U94" i="1"/>
  <c r="V94" i="1"/>
  <c r="W94" i="1"/>
  <c r="X94" i="1"/>
  <c r="Y94" i="1"/>
  <c r="Z94" i="1"/>
  <c r="AA94" i="1"/>
  <c r="AB94" i="1"/>
  <c r="AC94" i="1"/>
  <c r="AD94" i="1" s="1"/>
  <c r="AE94" i="1"/>
  <c r="AF94" i="1"/>
  <c r="AI94" i="1"/>
  <c r="AL94" i="1"/>
  <c r="AM94" i="1"/>
  <c r="AN94" i="1"/>
  <c r="AO94" i="1"/>
  <c r="AP94" i="1"/>
  <c r="AQ94" i="1"/>
  <c r="AR94" i="1"/>
  <c r="AS94" i="1"/>
  <c r="AT94" i="1"/>
  <c r="AU94" i="1"/>
  <c r="AV94" i="1"/>
  <c r="AW94" i="1"/>
  <c r="AX94" i="1"/>
  <c r="AY94" i="1"/>
  <c r="AZ94" i="1"/>
  <c r="BA94" i="1"/>
  <c r="A95" i="1"/>
  <c r="B95" i="1"/>
  <c r="C95" i="1"/>
  <c r="D95" i="1"/>
  <c r="E95" i="1"/>
  <c r="F95" i="1"/>
  <c r="G95" i="1"/>
  <c r="H95" i="1"/>
  <c r="I95" i="1"/>
  <c r="J95" i="1"/>
  <c r="K95" i="1"/>
  <c r="L95" i="1"/>
  <c r="M95" i="1" s="1"/>
  <c r="N95" i="1"/>
  <c r="O95" i="1"/>
  <c r="P95" i="1"/>
  <c r="Q95" i="1"/>
  <c r="S95" i="1"/>
  <c r="T95" i="1"/>
  <c r="U95" i="1"/>
  <c r="V95" i="1"/>
  <c r="W95" i="1"/>
  <c r="X95" i="1"/>
  <c r="Y95" i="1"/>
  <c r="Z95" i="1"/>
  <c r="AA95" i="1"/>
  <c r="AB95" i="1"/>
  <c r="AC95" i="1"/>
  <c r="AD95" i="1" s="1"/>
  <c r="AE95" i="1"/>
  <c r="AF95" i="1"/>
  <c r="AG95" i="1"/>
  <c r="AH95" i="1" s="1"/>
  <c r="AI95" i="1"/>
  <c r="AJ95" i="1"/>
  <c r="AL95" i="1"/>
  <c r="AM95" i="1"/>
  <c r="AN95" i="1"/>
  <c r="AO95" i="1"/>
  <c r="AP95" i="1"/>
  <c r="AQ95" i="1"/>
  <c r="AR95" i="1"/>
  <c r="AS95" i="1"/>
  <c r="AT95" i="1"/>
  <c r="AU95" i="1"/>
  <c r="AV95" i="1"/>
  <c r="AW95" i="1"/>
  <c r="AX95" i="1"/>
  <c r="AY95" i="1"/>
  <c r="AZ95" i="1"/>
  <c r="BA95" i="1"/>
  <c r="A96" i="1"/>
  <c r="B96" i="1"/>
  <c r="C96" i="1"/>
  <c r="D96" i="1"/>
  <c r="E96" i="1"/>
  <c r="F96" i="1"/>
  <c r="G96" i="1"/>
  <c r="H96" i="1"/>
  <c r="I96" i="1"/>
  <c r="J96" i="1"/>
  <c r="K96" i="1"/>
  <c r="M96" i="1"/>
  <c r="N96" i="1"/>
  <c r="O96" i="1"/>
  <c r="P96" i="1"/>
  <c r="Q96" i="1"/>
  <c r="S96" i="1"/>
  <c r="T96" i="1"/>
  <c r="U96" i="1"/>
  <c r="V96" i="1"/>
  <c r="W96" i="1"/>
  <c r="X96" i="1"/>
  <c r="Y96" i="1"/>
  <c r="Z96" i="1"/>
  <c r="AA96" i="1"/>
  <c r="AB96" i="1"/>
  <c r="AC96" i="1"/>
  <c r="AD96" i="1" s="1"/>
  <c r="AE96" i="1"/>
  <c r="AF96" i="1"/>
  <c r="AG96" i="1"/>
  <c r="AH96" i="1" s="1"/>
  <c r="AI96" i="1"/>
  <c r="AJ96" i="1"/>
  <c r="AL96" i="1"/>
  <c r="AM96" i="1"/>
  <c r="AN96" i="1"/>
  <c r="AO96" i="1"/>
  <c r="AP96" i="1"/>
  <c r="AQ96" i="1"/>
  <c r="AR96" i="1"/>
  <c r="AS96" i="1"/>
  <c r="AT96" i="1"/>
  <c r="AU96" i="1"/>
  <c r="AV96" i="1"/>
  <c r="AW96" i="1"/>
  <c r="AX96" i="1"/>
  <c r="AY96" i="1"/>
  <c r="AZ96" i="1"/>
  <c r="BA96" i="1"/>
  <c r="A97" i="1"/>
  <c r="B97" i="1"/>
  <c r="C97" i="1"/>
  <c r="D97" i="1"/>
  <c r="E97" i="1"/>
  <c r="F97" i="1"/>
  <c r="G97" i="1"/>
  <c r="H97" i="1"/>
  <c r="I97" i="1"/>
  <c r="J97" i="1"/>
  <c r="K97" i="1"/>
  <c r="L97" i="1"/>
  <c r="M97" i="1" s="1"/>
  <c r="N97" i="1"/>
  <c r="O97" i="1"/>
  <c r="P97" i="1"/>
  <c r="Q97" i="1"/>
  <c r="S97" i="1"/>
  <c r="T97" i="1"/>
  <c r="U97" i="1"/>
  <c r="V97" i="1"/>
  <c r="W97" i="1"/>
  <c r="X97" i="1"/>
  <c r="Y97" i="1"/>
  <c r="Z97" i="1"/>
  <c r="AA97" i="1"/>
  <c r="AB97" i="1"/>
  <c r="AC97" i="1"/>
  <c r="AD97" i="1" s="1"/>
  <c r="AE97" i="1"/>
  <c r="AF97" i="1"/>
  <c r="AG97" i="1"/>
  <c r="AH97" i="1" s="1"/>
  <c r="AI97" i="1"/>
  <c r="AJ97" i="1"/>
  <c r="AL97" i="1"/>
  <c r="AM97" i="1"/>
  <c r="AN97" i="1"/>
  <c r="AO97" i="1"/>
  <c r="AP97" i="1"/>
  <c r="AQ97" i="1"/>
  <c r="AR97" i="1"/>
  <c r="AS97" i="1"/>
  <c r="AT97" i="1"/>
  <c r="AU97" i="1"/>
  <c r="AV97" i="1"/>
  <c r="AW97" i="1"/>
  <c r="AX97" i="1"/>
  <c r="AY97" i="1"/>
  <c r="AZ97" i="1"/>
  <c r="BA97" i="1"/>
  <c r="A98" i="1"/>
  <c r="B98" i="1"/>
  <c r="C98" i="1"/>
  <c r="D98" i="1"/>
  <c r="E98" i="1"/>
  <c r="F98" i="1"/>
  <c r="G98" i="1"/>
  <c r="H98" i="1"/>
  <c r="I98" i="1"/>
  <c r="J98" i="1"/>
  <c r="K98" i="1"/>
  <c r="L98" i="1"/>
  <c r="M98" i="1" s="1"/>
  <c r="N98" i="1"/>
  <c r="O98" i="1"/>
  <c r="P98" i="1"/>
  <c r="Q98" i="1"/>
  <c r="R98" i="1"/>
  <c r="S98" i="1" s="1"/>
  <c r="T98" i="1"/>
  <c r="U98" i="1"/>
  <c r="V98" i="1"/>
  <c r="W98" i="1"/>
  <c r="X98" i="1"/>
  <c r="Y98" i="1"/>
  <c r="Z98" i="1"/>
  <c r="AA98" i="1"/>
  <c r="AB98" i="1"/>
  <c r="AC98" i="1"/>
  <c r="AD98" i="1" s="1"/>
  <c r="AE98" i="1"/>
  <c r="AF98" i="1"/>
  <c r="AG98" i="1"/>
  <c r="AH98" i="1" s="1"/>
  <c r="AI98" i="1"/>
  <c r="AJ98" i="1"/>
  <c r="AL98" i="1"/>
  <c r="AM98" i="1"/>
  <c r="AN98" i="1"/>
  <c r="AO98" i="1"/>
  <c r="AP98" i="1"/>
  <c r="AQ98" i="1"/>
  <c r="AR98" i="1"/>
  <c r="AS98" i="1"/>
  <c r="AT98" i="1"/>
  <c r="AU98" i="1"/>
  <c r="AV98" i="1"/>
  <c r="AW98" i="1"/>
  <c r="AX98" i="1"/>
  <c r="AY98" i="1"/>
  <c r="AZ98" i="1"/>
  <c r="BA98" i="1"/>
  <c r="A99" i="1"/>
  <c r="B99" i="1"/>
  <c r="C99" i="1"/>
  <c r="D99" i="1"/>
  <c r="E99" i="1"/>
  <c r="F99" i="1"/>
  <c r="G99" i="1"/>
  <c r="H99" i="1"/>
  <c r="I99" i="1"/>
  <c r="J99" i="1"/>
  <c r="K99" i="1"/>
  <c r="L99" i="1"/>
  <c r="M99" i="1" s="1"/>
  <c r="N99" i="1"/>
  <c r="O99" i="1"/>
  <c r="P99" i="1"/>
  <c r="Q99" i="1"/>
  <c r="R99" i="1"/>
  <c r="S99" i="1" s="1"/>
  <c r="T99" i="1"/>
  <c r="U99" i="1"/>
  <c r="V99" i="1"/>
  <c r="W99" i="1"/>
  <c r="X99" i="1"/>
  <c r="Y99" i="1"/>
  <c r="Z99" i="1"/>
  <c r="AA99" i="1"/>
  <c r="AB99" i="1"/>
  <c r="AC99" i="1"/>
  <c r="AD99" i="1" s="1"/>
  <c r="AE99" i="1"/>
  <c r="AF99" i="1"/>
  <c r="AG99" i="1"/>
  <c r="AH99" i="1" s="1"/>
  <c r="AI99" i="1"/>
  <c r="AJ99" i="1"/>
  <c r="AL99" i="1"/>
  <c r="AM99" i="1"/>
  <c r="AN99" i="1"/>
  <c r="AO99" i="1"/>
  <c r="AP99" i="1"/>
  <c r="AQ99" i="1"/>
  <c r="AR99" i="1"/>
  <c r="AS99" i="1"/>
  <c r="AT99" i="1"/>
  <c r="AU99" i="1"/>
  <c r="AV99" i="1"/>
  <c r="AW99" i="1"/>
  <c r="AX99" i="1"/>
  <c r="AY99" i="1"/>
  <c r="AZ99" i="1"/>
  <c r="BA99" i="1"/>
  <c r="A100" i="1"/>
  <c r="B100" i="1"/>
  <c r="C100" i="1"/>
  <c r="D100" i="1"/>
  <c r="E100" i="1"/>
  <c r="F100" i="1"/>
  <c r="G100" i="1"/>
  <c r="H100" i="1"/>
  <c r="I100" i="1"/>
  <c r="J100" i="1"/>
  <c r="K100" i="1"/>
  <c r="L100" i="1"/>
  <c r="M100" i="1" s="1"/>
  <c r="N100" i="1"/>
  <c r="O100" i="1"/>
  <c r="P100" i="1"/>
  <c r="Q100" i="1"/>
  <c r="R100" i="1"/>
  <c r="S100" i="1" s="1"/>
  <c r="T100" i="1"/>
  <c r="U100" i="1"/>
  <c r="V100" i="1"/>
  <c r="W100" i="1"/>
  <c r="X100" i="1"/>
  <c r="Y100" i="1"/>
  <c r="Z100" i="1"/>
  <c r="AA100" i="1"/>
  <c r="AB100" i="1"/>
  <c r="AD100" i="1"/>
  <c r="AE100" i="1"/>
  <c r="AF100" i="1"/>
  <c r="AG100" i="1"/>
  <c r="AH100" i="1" s="1"/>
  <c r="AI100" i="1"/>
  <c r="AJ100" i="1"/>
  <c r="AL100" i="1"/>
  <c r="AM100" i="1"/>
  <c r="AN100" i="1"/>
  <c r="AO100" i="1"/>
  <c r="AP100" i="1"/>
  <c r="AQ100" i="1"/>
  <c r="AR100" i="1"/>
  <c r="AS100" i="1"/>
  <c r="AT100" i="1"/>
  <c r="AU100" i="1"/>
  <c r="AV100" i="1"/>
  <c r="AW100" i="1"/>
  <c r="AX100" i="1"/>
  <c r="AY100" i="1"/>
  <c r="AZ100" i="1"/>
  <c r="BA100" i="1"/>
  <c r="A101" i="1"/>
  <c r="B101" i="1"/>
  <c r="C101" i="1"/>
  <c r="D101" i="1"/>
  <c r="E101" i="1"/>
  <c r="F101" i="1"/>
  <c r="G101" i="1"/>
  <c r="H101" i="1"/>
  <c r="I101" i="1"/>
  <c r="J101" i="1"/>
  <c r="K101" i="1"/>
  <c r="L101" i="1"/>
  <c r="M101" i="1" s="1"/>
  <c r="N101" i="1"/>
  <c r="O101" i="1"/>
  <c r="P101" i="1"/>
  <c r="Q101" i="1"/>
  <c r="R101" i="1"/>
  <c r="S101" i="1" s="1"/>
  <c r="T101" i="1"/>
  <c r="U101" i="1"/>
  <c r="V101" i="1"/>
  <c r="W101" i="1"/>
  <c r="X101" i="1"/>
  <c r="Y101" i="1"/>
  <c r="Z101" i="1"/>
  <c r="AA101" i="1"/>
  <c r="AB101" i="1"/>
  <c r="AD101" i="1"/>
  <c r="AE101" i="1"/>
  <c r="AF101" i="1"/>
  <c r="AG101" i="1"/>
  <c r="AH101" i="1" s="1"/>
  <c r="AI101" i="1"/>
  <c r="AJ101" i="1"/>
  <c r="AL101" i="1"/>
  <c r="AM101" i="1"/>
  <c r="AN101" i="1"/>
  <c r="AO101" i="1"/>
  <c r="AP101" i="1"/>
  <c r="AQ101" i="1"/>
  <c r="AR101" i="1"/>
  <c r="AS101" i="1"/>
  <c r="AT101" i="1"/>
  <c r="AU101" i="1"/>
  <c r="AV101" i="1"/>
  <c r="AW101" i="1"/>
  <c r="AX101" i="1"/>
  <c r="AY101" i="1"/>
  <c r="AZ101" i="1"/>
  <c r="BA101" i="1"/>
  <c r="A102" i="1"/>
  <c r="B102" i="1"/>
  <c r="C102" i="1"/>
  <c r="D102" i="1"/>
  <c r="E102" i="1"/>
  <c r="F102" i="1"/>
  <c r="G102" i="1"/>
  <c r="H102" i="1"/>
  <c r="I102" i="1"/>
  <c r="J102" i="1"/>
  <c r="K102" i="1"/>
  <c r="M102" i="1"/>
  <c r="N102" i="1"/>
  <c r="O102" i="1"/>
  <c r="P102" i="1"/>
  <c r="Q102" i="1"/>
  <c r="R102" i="1"/>
  <c r="S102" i="1" s="1"/>
  <c r="T102" i="1"/>
  <c r="U102" i="1"/>
  <c r="V102" i="1"/>
  <c r="W102" i="1"/>
  <c r="X102" i="1"/>
  <c r="Y102" i="1"/>
  <c r="Z102" i="1"/>
  <c r="AA102" i="1"/>
  <c r="AB102" i="1"/>
  <c r="AD102" i="1"/>
  <c r="AE102" i="1"/>
  <c r="AF102" i="1"/>
  <c r="AI102" i="1"/>
  <c r="AL102" i="1"/>
  <c r="AM102" i="1"/>
  <c r="AN102" i="1"/>
  <c r="AO102" i="1"/>
  <c r="AP102" i="1"/>
  <c r="AQ102" i="1"/>
  <c r="AR102" i="1"/>
  <c r="AS102" i="1"/>
  <c r="AT102" i="1"/>
  <c r="AU102" i="1"/>
  <c r="AV102" i="1"/>
  <c r="AW102" i="1"/>
  <c r="AX102" i="1"/>
  <c r="AY102" i="1"/>
  <c r="AZ102" i="1"/>
  <c r="BA102" i="1"/>
  <c r="A103" i="1"/>
  <c r="B103" i="1"/>
  <c r="C103" i="1"/>
  <c r="D103" i="1"/>
  <c r="E103" i="1"/>
  <c r="F103" i="1"/>
  <c r="G103" i="1"/>
  <c r="H103" i="1"/>
  <c r="I103" i="1"/>
  <c r="J103" i="1"/>
  <c r="K103" i="1"/>
  <c r="M103" i="1"/>
  <c r="N103" i="1"/>
  <c r="O103" i="1"/>
  <c r="P103" i="1"/>
  <c r="Q103" i="1"/>
  <c r="R103" i="1"/>
  <c r="S103" i="1" s="1"/>
  <c r="T103" i="1"/>
  <c r="U103" i="1"/>
  <c r="V103" i="1"/>
  <c r="W103" i="1"/>
  <c r="X103" i="1"/>
  <c r="Y103" i="1"/>
  <c r="Z103" i="1"/>
  <c r="AA103" i="1"/>
  <c r="AB103" i="1"/>
  <c r="AD103" i="1"/>
  <c r="AE103" i="1"/>
  <c r="AF103" i="1"/>
  <c r="AG103" i="1"/>
  <c r="AH103" i="1" s="1"/>
  <c r="AI103" i="1"/>
  <c r="AJ103" i="1"/>
  <c r="AL103" i="1"/>
  <c r="AM103" i="1"/>
  <c r="AN103" i="1"/>
  <c r="AO103" i="1"/>
  <c r="AP103" i="1"/>
  <c r="AQ103" i="1"/>
  <c r="AR103" i="1"/>
  <c r="AS103" i="1"/>
  <c r="AT103" i="1"/>
  <c r="AU103" i="1"/>
  <c r="AV103" i="1"/>
  <c r="AW103" i="1"/>
  <c r="AX103" i="1"/>
  <c r="AY103" i="1"/>
  <c r="AZ103" i="1"/>
  <c r="BA103" i="1"/>
  <c r="A104" i="1"/>
  <c r="B104" i="1"/>
  <c r="C104" i="1"/>
  <c r="D104" i="1"/>
  <c r="E104" i="1"/>
  <c r="F104" i="1"/>
  <c r="G104" i="1"/>
  <c r="H104" i="1"/>
  <c r="I104" i="1"/>
  <c r="J104" i="1"/>
  <c r="K104" i="1"/>
  <c r="L104" i="1"/>
  <c r="M104" i="1" s="1"/>
  <c r="N104" i="1"/>
  <c r="O104" i="1"/>
  <c r="P104" i="1"/>
  <c r="Q104" i="1"/>
  <c r="R104" i="1"/>
  <c r="S104" i="1" s="1"/>
  <c r="T104" i="1"/>
  <c r="U104" i="1"/>
  <c r="V104" i="1"/>
  <c r="W104" i="1"/>
  <c r="X104" i="1"/>
  <c r="Y104" i="1"/>
  <c r="Z104" i="1"/>
  <c r="AA104" i="1"/>
  <c r="AB104" i="1"/>
  <c r="AD104" i="1"/>
  <c r="AE104" i="1"/>
  <c r="AF104" i="1"/>
  <c r="AG104" i="1"/>
  <c r="AH104" i="1" s="1"/>
  <c r="AI104" i="1"/>
  <c r="AJ104" i="1"/>
  <c r="AL104" i="1"/>
  <c r="AM104" i="1"/>
  <c r="AN104" i="1"/>
  <c r="AO104" i="1"/>
  <c r="AP104" i="1"/>
  <c r="AQ104" i="1"/>
  <c r="AR104" i="1"/>
  <c r="AS104" i="1"/>
  <c r="AT104" i="1"/>
  <c r="AU104" i="1"/>
  <c r="AV104" i="1"/>
  <c r="AW104" i="1"/>
  <c r="AX104" i="1"/>
  <c r="AY104" i="1"/>
  <c r="AZ104" i="1"/>
  <c r="BA104" i="1"/>
  <c r="A105" i="1"/>
  <c r="B105" i="1"/>
  <c r="C105" i="1"/>
  <c r="D105" i="1"/>
  <c r="E105" i="1"/>
  <c r="F105" i="1"/>
  <c r="G105" i="1"/>
  <c r="H105" i="1"/>
  <c r="I105" i="1"/>
  <c r="J105" i="1"/>
  <c r="K105" i="1"/>
  <c r="M105" i="1"/>
  <c r="N105" i="1"/>
  <c r="O105" i="1"/>
  <c r="P105" i="1"/>
  <c r="Q105" i="1"/>
  <c r="R105" i="1"/>
  <c r="S105" i="1" s="1"/>
  <c r="T105" i="1"/>
  <c r="U105" i="1"/>
  <c r="V105" i="1"/>
  <c r="W105" i="1"/>
  <c r="X105" i="1"/>
  <c r="Y105" i="1"/>
  <c r="Z105" i="1"/>
  <c r="AA105" i="1"/>
  <c r="AB105" i="1"/>
  <c r="AC105" i="1"/>
  <c r="AD105" i="1" s="1"/>
  <c r="AE105" i="1"/>
  <c r="AF105" i="1"/>
  <c r="AG105" i="1"/>
  <c r="AH105" i="1" s="1"/>
  <c r="AI105" i="1"/>
  <c r="AJ105" i="1"/>
  <c r="AL105" i="1"/>
  <c r="AM105" i="1"/>
  <c r="AN105" i="1"/>
  <c r="AO105" i="1"/>
  <c r="AP105" i="1"/>
  <c r="AQ105" i="1"/>
  <c r="AR105" i="1"/>
  <c r="AS105" i="1"/>
  <c r="AT105" i="1"/>
  <c r="AU105" i="1"/>
  <c r="AV105" i="1"/>
  <c r="AW105" i="1"/>
  <c r="AX105" i="1"/>
  <c r="AY105" i="1"/>
  <c r="AZ105" i="1"/>
  <c r="BA105" i="1"/>
  <c r="A106" i="1"/>
  <c r="B106" i="1"/>
  <c r="C106" i="1"/>
  <c r="D106" i="1"/>
  <c r="E106" i="1"/>
  <c r="F106" i="1"/>
  <c r="G106" i="1"/>
  <c r="H106" i="1"/>
  <c r="I106" i="1"/>
  <c r="J106" i="1"/>
  <c r="K106" i="1"/>
  <c r="L106" i="1"/>
  <c r="M106" i="1" s="1"/>
  <c r="N106" i="1"/>
  <c r="O106" i="1"/>
  <c r="P106" i="1"/>
  <c r="Q106" i="1"/>
  <c r="R106" i="1"/>
  <c r="S106" i="1" s="1"/>
  <c r="T106" i="1"/>
  <c r="U106" i="1"/>
  <c r="V106" i="1"/>
  <c r="W106" i="1"/>
  <c r="X106" i="1"/>
  <c r="Y106" i="1"/>
  <c r="Z106" i="1"/>
  <c r="AA106" i="1"/>
  <c r="AB106" i="1"/>
  <c r="AC106" i="1"/>
  <c r="AD106" i="1" s="1"/>
  <c r="AE106" i="1"/>
  <c r="AF106" i="1"/>
  <c r="AG106" i="1"/>
  <c r="AH106" i="1" s="1"/>
  <c r="AI106" i="1"/>
  <c r="AJ106" i="1"/>
  <c r="AL106" i="1"/>
  <c r="AM106" i="1"/>
  <c r="AN106" i="1"/>
  <c r="AO106" i="1"/>
  <c r="AP106" i="1"/>
  <c r="AQ106" i="1"/>
  <c r="AR106" i="1"/>
  <c r="AS106" i="1"/>
  <c r="AT106" i="1"/>
  <c r="AU106" i="1"/>
  <c r="AV106" i="1"/>
  <c r="AW106" i="1"/>
  <c r="AX106" i="1"/>
  <c r="AY106" i="1"/>
  <c r="AZ106" i="1"/>
  <c r="BA106" i="1"/>
  <c r="A107" i="1"/>
  <c r="B107" i="1"/>
  <c r="C107" i="1"/>
  <c r="D107" i="1"/>
  <c r="E107" i="1"/>
  <c r="F107" i="1"/>
  <c r="G107" i="1"/>
  <c r="H107" i="1"/>
  <c r="I107" i="1"/>
  <c r="J107" i="1"/>
  <c r="K107" i="1"/>
  <c r="M107" i="1"/>
  <c r="N107" i="1"/>
  <c r="O107" i="1"/>
  <c r="P107" i="1"/>
  <c r="Q107" i="1"/>
  <c r="R107" i="1"/>
  <c r="S107" i="1" s="1"/>
  <c r="T107" i="1"/>
  <c r="U107" i="1"/>
  <c r="V107" i="1"/>
  <c r="W107" i="1"/>
  <c r="X107" i="1"/>
  <c r="Y107" i="1"/>
  <c r="Z107" i="1"/>
  <c r="AA107" i="1"/>
  <c r="AB107" i="1"/>
  <c r="AC107" i="1"/>
  <c r="AD107" i="1" s="1"/>
  <c r="AE107" i="1"/>
  <c r="AF107" i="1"/>
  <c r="AI107" i="1"/>
  <c r="AL107" i="1"/>
  <c r="AM107" i="1"/>
  <c r="AN107" i="1"/>
  <c r="AO107" i="1"/>
  <c r="AP107" i="1"/>
  <c r="AQ107" i="1"/>
  <c r="AR107" i="1"/>
  <c r="AS107" i="1"/>
  <c r="AT107" i="1"/>
  <c r="AU107" i="1"/>
  <c r="AV107" i="1"/>
  <c r="AW107" i="1"/>
  <c r="AX107" i="1"/>
  <c r="AY107" i="1"/>
  <c r="AZ107" i="1"/>
  <c r="BA107" i="1"/>
  <c r="A108" i="1"/>
  <c r="B108" i="1"/>
  <c r="C108" i="1"/>
  <c r="D108" i="1"/>
  <c r="E108" i="1"/>
  <c r="F108" i="1"/>
  <c r="G108" i="1"/>
  <c r="H108" i="1"/>
  <c r="I108" i="1"/>
  <c r="J108" i="1"/>
  <c r="K108" i="1"/>
  <c r="L108" i="1"/>
  <c r="M108" i="1" s="1"/>
  <c r="N108" i="1"/>
  <c r="O108" i="1"/>
  <c r="P108" i="1"/>
  <c r="Q108" i="1"/>
  <c r="R108" i="1"/>
  <c r="S108" i="1" s="1"/>
  <c r="T108" i="1"/>
  <c r="U108" i="1"/>
  <c r="V108" i="1"/>
  <c r="W108" i="1"/>
  <c r="X108" i="1"/>
  <c r="Y108" i="1"/>
  <c r="Z108" i="1"/>
  <c r="AA108" i="1"/>
  <c r="AB108" i="1"/>
  <c r="AC108" i="1"/>
  <c r="AD108" i="1" s="1"/>
  <c r="AE108" i="1"/>
  <c r="AF108" i="1"/>
  <c r="AG108" i="1"/>
  <c r="AH108" i="1" s="1"/>
  <c r="AI108" i="1"/>
  <c r="AJ108" i="1"/>
  <c r="AL108" i="1"/>
  <c r="AM108" i="1"/>
  <c r="AN108" i="1"/>
  <c r="AO108" i="1"/>
  <c r="AP108" i="1"/>
  <c r="AQ108" i="1"/>
  <c r="AR108" i="1"/>
  <c r="AS108" i="1"/>
  <c r="AT108" i="1"/>
  <c r="AU108" i="1"/>
  <c r="AV108" i="1"/>
  <c r="AW108" i="1"/>
  <c r="AX108" i="1"/>
  <c r="AY108" i="1"/>
  <c r="AZ108" i="1"/>
  <c r="BA108" i="1"/>
  <c r="A109" i="1"/>
  <c r="B109" i="1"/>
  <c r="C109" i="1"/>
  <c r="D109" i="1"/>
  <c r="E109" i="1"/>
  <c r="F109" i="1"/>
  <c r="G109" i="1"/>
  <c r="H109" i="1"/>
  <c r="I109" i="1"/>
  <c r="J109" i="1"/>
  <c r="K109" i="1"/>
  <c r="M109" i="1"/>
  <c r="N109" i="1"/>
  <c r="O109" i="1"/>
  <c r="P109" i="1"/>
  <c r="Q109" i="1"/>
  <c r="S109" i="1"/>
  <c r="T109" i="1"/>
  <c r="U109" i="1"/>
  <c r="V109" i="1"/>
  <c r="W109" i="1"/>
  <c r="X109" i="1"/>
  <c r="Y109" i="1"/>
  <c r="Z109" i="1"/>
  <c r="AA109" i="1"/>
  <c r="AB109" i="1"/>
  <c r="AC109" i="1"/>
  <c r="AD109" i="1" s="1"/>
  <c r="AE109" i="1"/>
  <c r="AF109" i="1"/>
  <c r="AI109" i="1"/>
  <c r="AJ109" i="1"/>
  <c r="AL109" i="1"/>
  <c r="AM109" i="1"/>
  <c r="AN109" i="1"/>
  <c r="AO109" i="1"/>
  <c r="AP109" i="1"/>
  <c r="AQ109" i="1"/>
  <c r="AR109" i="1"/>
  <c r="AS109" i="1"/>
  <c r="AT109" i="1"/>
  <c r="AU109" i="1"/>
  <c r="AV109" i="1"/>
  <c r="AW109" i="1"/>
  <c r="AX109" i="1"/>
  <c r="AY109" i="1"/>
  <c r="AZ109" i="1"/>
  <c r="BA109" i="1"/>
  <c r="A110" i="1"/>
  <c r="B110" i="1"/>
  <c r="C110" i="1"/>
  <c r="D110" i="1"/>
  <c r="E110" i="1"/>
  <c r="F110" i="1"/>
  <c r="G110" i="1"/>
  <c r="H110" i="1"/>
  <c r="I110" i="1"/>
  <c r="J110" i="1"/>
  <c r="K110" i="1"/>
  <c r="L110" i="1"/>
  <c r="M110" i="1" s="1"/>
  <c r="N110" i="1"/>
  <c r="O110" i="1"/>
  <c r="P110" i="1"/>
  <c r="Q110" i="1"/>
  <c r="R110" i="1"/>
  <c r="S110" i="1" s="1"/>
  <c r="T110" i="1"/>
  <c r="U110" i="1"/>
  <c r="V110" i="1"/>
  <c r="W110" i="1"/>
  <c r="X110" i="1"/>
  <c r="Y110" i="1"/>
  <c r="Z110" i="1"/>
  <c r="AA110" i="1"/>
  <c r="AB110" i="1"/>
  <c r="AC110" i="1"/>
  <c r="AD110" i="1" s="1"/>
  <c r="AE110" i="1"/>
  <c r="AF110" i="1"/>
  <c r="AG110" i="1"/>
  <c r="AH110" i="1" s="1"/>
  <c r="AI110" i="1"/>
  <c r="AJ110" i="1"/>
  <c r="AL110" i="1"/>
  <c r="AM110" i="1"/>
  <c r="AN110" i="1"/>
  <c r="AO110" i="1"/>
  <c r="AP110" i="1"/>
  <c r="AQ110" i="1"/>
  <c r="AR110" i="1"/>
  <c r="AS110" i="1"/>
  <c r="AT110" i="1"/>
  <c r="AU110" i="1"/>
  <c r="AV110" i="1"/>
  <c r="AW110" i="1"/>
  <c r="AX110" i="1"/>
  <c r="AY110" i="1"/>
  <c r="AZ110" i="1"/>
  <c r="BA110" i="1"/>
  <c r="A111" i="1"/>
  <c r="B111" i="1"/>
  <c r="C111" i="1"/>
  <c r="D111" i="1"/>
  <c r="E111" i="1"/>
  <c r="F111" i="1"/>
  <c r="G111" i="1"/>
  <c r="H111" i="1"/>
  <c r="I111" i="1"/>
  <c r="J111" i="1"/>
  <c r="K111" i="1"/>
  <c r="L111" i="1"/>
  <c r="M111" i="1" s="1"/>
  <c r="N111" i="1"/>
  <c r="O111" i="1"/>
  <c r="P111" i="1"/>
  <c r="Q111" i="1"/>
  <c r="R111" i="1"/>
  <c r="S111" i="1" s="1"/>
  <c r="T111" i="1"/>
  <c r="U111" i="1"/>
  <c r="V111" i="1"/>
  <c r="W111" i="1"/>
  <c r="X111" i="1"/>
  <c r="Y111" i="1"/>
  <c r="Z111" i="1"/>
  <c r="AA111" i="1"/>
  <c r="AB111" i="1"/>
  <c r="AC111" i="1"/>
  <c r="AD111" i="1" s="1"/>
  <c r="AE111" i="1"/>
  <c r="AF111" i="1"/>
  <c r="AG111" i="1"/>
  <c r="AH111" i="1" s="1"/>
  <c r="AI111" i="1"/>
  <c r="AJ111" i="1"/>
  <c r="AL111" i="1"/>
  <c r="AM111" i="1"/>
  <c r="AN111" i="1"/>
  <c r="AO111" i="1"/>
  <c r="AP111" i="1"/>
  <c r="AQ111" i="1"/>
  <c r="AR111" i="1"/>
  <c r="AS111" i="1"/>
  <c r="AT111" i="1"/>
  <c r="AU111" i="1"/>
  <c r="AV111" i="1"/>
  <c r="AW111" i="1"/>
  <c r="AX111" i="1"/>
  <c r="AY111" i="1"/>
  <c r="AZ111" i="1"/>
  <c r="BA111" i="1"/>
  <c r="A112" i="1"/>
  <c r="B112" i="1"/>
  <c r="C112" i="1"/>
  <c r="D112" i="1"/>
  <c r="E112" i="1"/>
  <c r="F112" i="1"/>
  <c r="G112" i="1"/>
  <c r="H112" i="1"/>
  <c r="I112" i="1"/>
  <c r="J112" i="1"/>
  <c r="K112" i="1"/>
  <c r="L112" i="1"/>
  <c r="M112" i="1" s="1"/>
  <c r="N112" i="1"/>
  <c r="O112" i="1"/>
  <c r="P112" i="1"/>
  <c r="Q112" i="1"/>
  <c r="R112" i="1"/>
  <c r="S112" i="1" s="1"/>
  <c r="T112" i="1"/>
  <c r="U112" i="1"/>
  <c r="V112" i="1"/>
  <c r="W112" i="1"/>
  <c r="X112" i="1"/>
  <c r="Y112" i="1"/>
  <c r="Z112" i="1"/>
  <c r="AA112" i="1"/>
  <c r="AB112" i="1"/>
  <c r="AC112" i="1"/>
  <c r="AD112" i="1" s="1"/>
  <c r="AE112" i="1"/>
  <c r="AF112" i="1"/>
  <c r="AG112" i="1"/>
  <c r="AH112" i="1" s="1"/>
  <c r="AI112" i="1"/>
  <c r="AJ112" i="1"/>
  <c r="AL112" i="1"/>
  <c r="AM112" i="1"/>
  <c r="AN112" i="1"/>
  <c r="AO112" i="1"/>
  <c r="AP112" i="1"/>
  <c r="AQ112" i="1"/>
  <c r="AR112" i="1"/>
  <c r="AS112" i="1"/>
  <c r="AT112" i="1"/>
  <c r="AU112" i="1"/>
  <c r="AV112" i="1"/>
  <c r="AW112" i="1"/>
  <c r="AX112" i="1"/>
  <c r="AY112" i="1"/>
  <c r="AZ112" i="1"/>
  <c r="BA112" i="1"/>
  <c r="A113" i="1"/>
  <c r="B113" i="1"/>
  <c r="C113" i="1"/>
  <c r="D113" i="1"/>
  <c r="E113" i="1"/>
  <c r="F113" i="1"/>
  <c r="G113" i="1"/>
  <c r="H113" i="1"/>
  <c r="I113" i="1"/>
  <c r="J113" i="1"/>
  <c r="K113" i="1"/>
  <c r="M113" i="1"/>
  <c r="N113" i="1"/>
  <c r="O113" i="1"/>
  <c r="P113" i="1"/>
  <c r="Q113" i="1"/>
  <c r="R113" i="1"/>
  <c r="S113" i="1" s="1"/>
  <c r="T113" i="1"/>
  <c r="U113" i="1"/>
  <c r="V113" i="1"/>
  <c r="W113" i="1"/>
  <c r="X113" i="1"/>
  <c r="Y113" i="1"/>
  <c r="Z113" i="1"/>
  <c r="AA113" i="1"/>
  <c r="AB113" i="1"/>
  <c r="AD113" i="1"/>
  <c r="AE113" i="1"/>
  <c r="AF113" i="1"/>
  <c r="AG113" i="1"/>
  <c r="AH113" i="1" s="1"/>
  <c r="AI113" i="1"/>
  <c r="AL113" i="1"/>
  <c r="AM113" i="1"/>
  <c r="AN113" i="1"/>
  <c r="AO113" i="1"/>
  <c r="AP113" i="1"/>
  <c r="AQ113" i="1"/>
  <c r="AR113" i="1"/>
  <c r="AS113" i="1"/>
  <c r="AT113" i="1"/>
  <c r="AU113" i="1"/>
  <c r="AV113" i="1"/>
  <c r="AW113" i="1"/>
  <c r="AX113" i="1"/>
  <c r="AY113" i="1"/>
  <c r="AZ113" i="1"/>
  <c r="BA113" i="1"/>
  <c r="A114" i="1"/>
  <c r="B114" i="1"/>
  <c r="C114" i="1"/>
  <c r="D114" i="1"/>
  <c r="E114" i="1"/>
  <c r="F114" i="1"/>
  <c r="G114" i="1"/>
  <c r="H114" i="1"/>
  <c r="I114" i="1"/>
  <c r="J114" i="1"/>
  <c r="K114" i="1"/>
  <c r="M114" i="1"/>
  <c r="N114" i="1"/>
  <c r="O114" i="1"/>
  <c r="P114" i="1"/>
  <c r="Q114" i="1"/>
  <c r="R114" i="1"/>
  <c r="S114" i="1" s="1"/>
  <c r="T114" i="1"/>
  <c r="U114" i="1"/>
  <c r="V114" i="1"/>
  <c r="W114" i="1"/>
  <c r="X114" i="1"/>
  <c r="Y114" i="1"/>
  <c r="Z114" i="1"/>
  <c r="AA114" i="1"/>
  <c r="AB114" i="1"/>
  <c r="AD114" i="1"/>
  <c r="AE114" i="1"/>
  <c r="AF114" i="1"/>
  <c r="AG114" i="1"/>
  <c r="AH114" i="1" s="1"/>
  <c r="AI114" i="1"/>
  <c r="AJ114" i="1"/>
  <c r="AL114" i="1"/>
  <c r="AM114" i="1"/>
  <c r="AN114" i="1"/>
  <c r="AO114" i="1"/>
  <c r="AP114" i="1"/>
  <c r="AQ114" i="1"/>
  <c r="AR114" i="1"/>
  <c r="AS114" i="1"/>
  <c r="AT114" i="1"/>
  <c r="AU114" i="1"/>
  <c r="AV114" i="1"/>
  <c r="AW114" i="1"/>
  <c r="AX114" i="1"/>
  <c r="AY114" i="1"/>
  <c r="AZ114" i="1"/>
  <c r="BA114" i="1"/>
  <c r="A115" i="1"/>
  <c r="B115" i="1"/>
  <c r="C115" i="1"/>
  <c r="D115" i="1"/>
  <c r="E115" i="1"/>
  <c r="F115" i="1"/>
  <c r="G115" i="1"/>
  <c r="H115" i="1"/>
  <c r="I115" i="1"/>
  <c r="J115" i="1"/>
  <c r="K115" i="1"/>
  <c r="M115" i="1"/>
  <c r="N115" i="1"/>
  <c r="O115" i="1"/>
  <c r="P115" i="1"/>
  <c r="Q115" i="1"/>
  <c r="S115" i="1"/>
  <c r="T115" i="1"/>
  <c r="U115" i="1"/>
  <c r="V115" i="1"/>
  <c r="W115" i="1"/>
  <c r="X115" i="1"/>
  <c r="Y115" i="1"/>
  <c r="Z115" i="1"/>
  <c r="AA115" i="1"/>
  <c r="AB115" i="1"/>
  <c r="AC115" i="1"/>
  <c r="AD115" i="1" s="1"/>
  <c r="AE115" i="1"/>
  <c r="AF115" i="1"/>
  <c r="AG115" i="1"/>
  <c r="AH115" i="1" s="1"/>
  <c r="AI115" i="1"/>
  <c r="AL115" i="1"/>
  <c r="AM115" i="1"/>
  <c r="AN115" i="1"/>
  <c r="AO115" i="1"/>
  <c r="AP115" i="1"/>
  <c r="AQ115" i="1"/>
  <c r="AR115" i="1"/>
  <c r="AS115" i="1"/>
  <c r="AT115" i="1"/>
  <c r="AU115" i="1"/>
  <c r="AV115" i="1"/>
  <c r="AW115" i="1"/>
  <c r="AX115" i="1"/>
  <c r="AY115" i="1"/>
  <c r="AZ115" i="1"/>
  <c r="BA115" i="1"/>
  <c r="A116" i="1"/>
  <c r="B116" i="1"/>
  <c r="C116" i="1"/>
  <c r="D116" i="1"/>
  <c r="E116" i="1"/>
  <c r="F116" i="1"/>
  <c r="G116" i="1"/>
  <c r="H116" i="1"/>
  <c r="I116" i="1"/>
  <c r="J116" i="1"/>
  <c r="K116" i="1"/>
  <c r="M116" i="1"/>
  <c r="N116" i="1"/>
  <c r="O116" i="1"/>
  <c r="P116" i="1"/>
  <c r="Q116" i="1"/>
  <c r="S116" i="1"/>
  <c r="T116" i="1"/>
  <c r="U116" i="1"/>
  <c r="V116" i="1"/>
  <c r="W116" i="1"/>
  <c r="X116" i="1"/>
  <c r="Y116" i="1"/>
  <c r="Z116" i="1"/>
  <c r="AA116" i="1"/>
  <c r="AB116" i="1"/>
  <c r="AC116" i="1"/>
  <c r="AD116" i="1" s="1"/>
  <c r="AE116" i="1"/>
  <c r="AF116" i="1"/>
  <c r="AG116" i="1"/>
  <c r="AH116" i="1" s="1"/>
  <c r="AI116" i="1"/>
  <c r="AJ116" i="1"/>
  <c r="AL116" i="1"/>
  <c r="AM116" i="1"/>
  <c r="AN116" i="1"/>
  <c r="AO116" i="1"/>
  <c r="AP116" i="1"/>
  <c r="AQ116" i="1"/>
  <c r="AR116" i="1"/>
  <c r="AS116" i="1"/>
  <c r="AT116" i="1"/>
  <c r="AU116" i="1"/>
  <c r="AV116" i="1"/>
  <c r="AW116" i="1"/>
  <c r="AX116" i="1"/>
  <c r="AY116" i="1"/>
  <c r="AZ116" i="1"/>
  <c r="BA116" i="1"/>
  <c r="A117" i="1"/>
  <c r="B117" i="1"/>
  <c r="C117" i="1"/>
  <c r="D117" i="1"/>
  <c r="E117" i="1"/>
  <c r="F117" i="1"/>
  <c r="G117" i="1"/>
  <c r="H117" i="1"/>
  <c r="I117" i="1"/>
  <c r="J117" i="1"/>
  <c r="K117" i="1"/>
  <c r="L117" i="1"/>
  <c r="M117" i="1" s="1"/>
  <c r="N117" i="1"/>
  <c r="O117" i="1"/>
  <c r="P117" i="1"/>
  <c r="Q117" i="1"/>
  <c r="R117" i="1"/>
  <c r="S117" i="1" s="1"/>
  <c r="T117" i="1"/>
  <c r="U117" i="1"/>
  <c r="V117" i="1"/>
  <c r="W117" i="1"/>
  <c r="X117" i="1"/>
  <c r="Y117" i="1"/>
  <c r="Z117" i="1"/>
  <c r="AA117" i="1"/>
  <c r="AB117" i="1"/>
  <c r="AC117" i="1"/>
  <c r="AD117" i="1" s="1"/>
  <c r="AE117" i="1"/>
  <c r="AF117" i="1"/>
  <c r="AG117" i="1"/>
  <c r="AH117" i="1" s="1"/>
  <c r="AI117" i="1"/>
  <c r="AJ117" i="1"/>
  <c r="AL117" i="1"/>
  <c r="AM117" i="1"/>
  <c r="AN117" i="1"/>
  <c r="AO117" i="1"/>
  <c r="AP117" i="1"/>
  <c r="AQ117" i="1"/>
  <c r="AR117" i="1"/>
  <c r="AS117" i="1"/>
  <c r="AT117" i="1"/>
  <c r="AU117" i="1"/>
  <c r="AV117" i="1"/>
  <c r="AW117" i="1"/>
  <c r="AX117" i="1"/>
  <c r="AY117" i="1"/>
  <c r="AZ117" i="1"/>
  <c r="BA117" i="1"/>
  <c r="A118" i="1"/>
  <c r="B118" i="1"/>
  <c r="C118" i="1"/>
  <c r="D118" i="1"/>
  <c r="E118" i="1"/>
  <c r="F118" i="1"/>
  <c r="G118" i="1"/>
  <c r="H118" i="1"/>
  <c r="I118" i="1"/>
  <c r="J118" i="1"/>
  <c r="K118" i="1"/>
  <c r="L118" i="1"/>
  <c r="M118" i="1" s="1"/>
  <c r="N118" i="1"/>
  <c r="O118" i="1"/>
  <c r="P118" i="1"/>
  <c r="Q118" i="1"/>
  <c r="S118" i="1"/>
  <c r="T118" i="1"/>
  <c r="U118" i="1"/>
  <c r="V118" i="1"/>
  <c r="W118" i="1"/>
  <c r="X118" i="1"/>
  <c r="Y118" i="1"/>
  <c r="Z118" i="1"/>
  <c r="AA118" i="1"/>
  <c r="AB118" i="1"/>
  <c r="AC118" i="1"/>
  <c r="AD118" i="1" s="1"/>
  <c r="AE118" i="1"/>
  <c r="AF118" i="1"/>
  <c r="AG118" i="1"/>
  <c r="AH118" i="1" s="1"/>
  <c r="AI118" i="1"/>
  <c r="AJ118" i="1"/>
  <c r="AL118" i="1"/>
  <c r="AM118" i="1"/>
  <c r="AN118" i="1"/>
  <c r="AO118" i="1"/>
  <c r="AP118" i="1"/>
  <c r="AQ118" i="1"/>
  <c r="AR118" i="1"/>
  <c r="AS118" i="1"/>
  <c r="AT118" i="1"/>
  <c r="AU118" i="1"/>
  <c r="AV118" i="1"/>
  <c r="AW118" i="1"/>
  <c r="AX118" i="1"/>
  <c r="AY118" i="1"/>
  <c r="AZ118" i="1"/>
  <c r="BA118" i="1"/>
  <c r="A119" i="1"/>
  <c r="B119" i="1"/>
  <c r="C119" i="1"/>
  <c r="D119" i="1"/>
  <c r="E119" i="1"/>
  <c r="F119" i="1"/>
  <c r="G119" i="1"/>
  <c r="H119" i="1"/>
  <c r="I119" i="1"/>
  <c r="J119" i="1"/>
  <c r="K119" i="1"/>
  <c r="M119" i="1"/>
  <c r="N119" i="1"/>
  <c r="O119" i="1"/>
  <c r="P119" i="1"/>
  <c r="Q119" i="1"/>
  <c r="R119" i="1"/>
  <c r="S119" i="1" s="1"/>
  <c r="T119" i="1"/>
  <c r="U119" i="1"/>
  <c r="V119" i="1"/>
  <c r="W119" i="1"/>
  <c r="X119" i="1"/>
  <c r="Y119" i="1"/>
  <c r="Z119" i="1"/>
  <c r="AA119" i="1"/>
  <c r="AB119" i="1"/>
  <c r="AC119" i="1"/>
  <c r="AD119" i="1" s="1"/>
  <c r="AE119" i="1"/>
  <c r="AF119" i="1"/>
  <c r="AG119" i="1"/>
  <c r="AH119" i="1" s="1"/>
  <c r="AI119" i="1"/>
  <c r="AJ119" i="1"/>
  <c r="AL119" i="1"/>
  <c r="AM119" i="1"/>
  <c r="AN119" i="1"/>
  <c r="AO119" i="1"/>
  <c r="AP119" i="1"/>
  <c r="AQ119" i="1"/>
  <c r="AR119" i="1"/>
  <c r="AS119" i="1"/>
  <c r="AT119" i="1"/>
  <c r="AU119" i="1"/>
  <c r="AV119" i="1"/>
  <c r="AW119" i="1"/>
  <c r="AX119" i="1"/>
  <c r="AY119" i="1"/>
  <c r="AZ119" i="1"/>
  <c r="BA119" i="1"/>
  <c r="A120" i="1"/>
  <c r="B120" i="1"/>
  <c r="C120" i="1"/>
  <c r="D120" i="1"/>
  <c r="E120" i="1"/>
  <c r="F120" i="1"/>
  <c r="G120" i="1"/>
  <c r="H120" i="1"/>
  <c r="I120" i="1"/>
  <c r="J120" i="1"/>
  <c r="K120" i="1"/>
  <c r="M120" i="1"/>
  <c r="N120" i="1"/>
  <c r="O120" i="1"/>
  <c r="P120" i="1"/>
  <c r="Q120" i="1"/>
  <c r="R120" i="1"/>
  <c r="S120" i="1" s="1"/>
  <c r="T120" i="1"/>
  <c r="U120" i="1"/>
  <c r="V120" i="1"/>
  <c r="W120" i="1"/>
  <c r="X120" i="1"/>
  <c r="Y120" i="1"/>
  <c r="Z120" i="1"/>
  <c r="AA120" i="1"/>
  <c r="AB120" i="1"/>
  <c r="AC120" i="1"/>
  <c r="AD120" i="1" s="1"/>
  <c r="AE120" i="1"/>
  <c r="AF120" i="1"/>
  <c r="AG120" i="1"/>
  <c r="AH120" i="1" s="1"/>
  <c r="AI120" i="1"/>
  <c r="AJ120" i="1"/>
  <c r="AL120" i="1"/>
  <c r="AM120" i="1"/>
  <c r="AN120" i="1"/>
  <c r="AO120" i="1"/>
  <c r="AP120" i="1"/>
  <c r="AQ120" i="1"/>
  <c r="AR120" i="1"/>
  <c r="AS120" i="1"/>
  <c r="AT120" i="1"/>
  <c r="AU120" i="1"/>
  <c r="AV120" i="1"/>
  <c r="AW120" i="1"/>
  <c r="AX120" i="1"/>
  <c r="AY120" i="1"/>
  <c r="AZ120" i="1"/>
  <c r="BA120" i="1"/>
  <c r="A121" i="1"/>
  <c r="B121" i="1"/>
  <c r="C121" i="1"/>
  <c r="D121" i="1"/>
  <c r="E121" i="1"/>
  <c r="F121" i="1"/>
  <c r="G121" i="1"/>
  <c r="H121" i="1"/>
  <c r="I121" i="1"/>
  <c r="J121" i="1"/>
  <c r="K121" i="1"/>
  <c r="L121" i="1"/>
  <c r="M121" i="1" s="1"/>
  <c r="N121" i="1"/>
  <c r="O121" i="1"/>
  <c r="P121" i="1"/>
  <c r="Q121" i="1"/>
  <c r="S121" i="1"/>
  <c r="T121" i="1"/>
  <c r="U121" i="1"/>
  <c r="V121" i="1"/>
  <c r="W121" i="1"/>
  <c r="X121" i="1"/>
  <c r="Y121" i="1"/>
  <c r="Z121" i="1"/>
  <c r="AA121" i="1"/>
  <c r="AB121" i="1"/>
  <c r="AC121" i="1"/>
  <c r="AD121" i="1" s="1"/>
  <c r="AE121" i="1"/>
  <c r="AF121" i="1"/>
  <c r="AG121" i="1"/>
  <c r="AH121" i="1" s="1"/>
  <c r="AI121" i="1"/>
  <c r="AJ121" i="1"/>
  <c r="AL121" i="1"/>
  <c r="AM121" i="1"/>
  <c r="AN121" i="1"/>
  <c r="AO121" i="1"/>
  <c r="AP121" i="1"/>
  <c r="AQ121" i="1"/>
  <c r="AR121" i="1"/>
  <c r="AS121" i="1"/>
  <c r="AT121" i="1"/>
  <c r="AU121" i="1"/>
  <c r="AV121" i="1"/>
  <c r="AW121" i="1"/>
  <c r="AX121" i="1"/>
  <c r="AY121" i="1"/>
  <c r="AZ121" i="1"/>
  <c r="BA121" i="1"/>
  <c r="A122" i="1"/>
  <c r="B122" i="1"/>
  <c r="C122" i="1"/>
  <c r="D122" i="1"/>
  <c r="E122" i="1"/>
  <c r="F122" i="1"/>
  <c r="G122" i="1"/>
  <c r="H122" i="1"/>
  <c r="I122" i="1"/>
  <c r="J122" i="1"/>
  <c r="K122" i="1"/>
  <c r="M122" i="1"/>
  <c r="N122" i="1"/>
  <c r="O122" i="1"/>
  <c r="P122" i="1"/>
  <c r="Q122" i="1"/>
  <c r="R122" i="1"/>
  <c r="S122" i="1" s="1"/>
  <c r="T122" i="1"/>
  <c r="U122" i="1"/>
  <c r="V122" i="1"/>
  <c r="W122" i="1"/>
  <c r="X122" i="1"/>
  <c r="Y122" i="1"/>
  <c r="Z122" i="1"/>
  <c r="AA122" i="1"/>
  <c r="AB122" i="1"/>
  <c r="AC122" i="1"/>
  <c r="AD122" i="1" s="1"/>
  <c r="AE122" i="1"/>
  <c r="AF122" i="1"/>
  <c r="AG122" i="1"/>
  <c r="AH122" i="1" s="1"/>
  <c r="AI122" i="1"/>
  <c r="AJ122" i="1"/>
  <c r="AL122" i="1"/>
  <c r="AM122" i="1"/>
  <c r="AN122" i="1"/>
  <c r="AO122" i="1"/>
  <c r="AP122" i="1"/>
  <c r="AQ122" i="1"/>
  <c r="AR122" i="1"/>
  <c r="AS122" i="1"/>
  <c r="AT122" i="1"/>
  <c r="AU122" i="1"/>
  <c r="AV122" i="1"/>
  <c r="AW122" i="1"/>
  <c r="AX122" i="1"/>
  <c r="AY122" i="1"/>
  <c r="AZ122" i="1"/>
  <c r="BA122" i="1"/>
  <c r="A123" i="1"/>
  <c r="B123" i="1"/>
  <c r="C123" i="1"/>
  <c r="D123" i="1"/>
  <c r="E123" i="1"/>
  <c r="F123" i="1"/>
  <c r="G123" i="1"/>
  <c r="H123" i="1"/>
  <c r="I123" i="1"/>
  <c r="J123" i="1"/>
  <c r="K123" i="1"/>
  <c r="L123" i="1"/>
  <c r="M123" i="1" s="1"/>
  <c r="N123" i="1"/>
  <c r="O123" i="1"/>
  <c r="P123" i="1"/>
  <c r="Q123" i="1"/>
  <c r="R123" i="1"/>
  <c r="S123" i="1" s="1"/>
  <c r="T123" i="1"/>
  <c r="U123" i="1"/>
  <c r="V123" i="1"/>
  <c r="W123" i="1"/>
  <c r="X123" i="1"/>
  <c r="Y123" i="1"/>
  <c r="Z123" i="1"/>
  <c r="AA123" i="1"/>
  <c r="AB123" i="1"/>
  <c r="AD123" i="1"/>
  <c r="AE123" i="1"/>
  <c r="AF123" i="1"/>
  <c r="AG123" i="1"/>
  <c r="AH123" i="1" s="1"/>
  <c r="AI123" i="1"/>
  <c r="AJ123" i="1"/>
  <c r="AL123" i="1"/>
  <c r="AM123" i="1"/>
  <c r="AN123" i="1"/>
  <c r="AO123" i="1"/>
  <c r="AP123" i="1"/>
  <c r="AQ123" i="1"/>
  <c r="AR123" i="1"/>
  <c r="AS123" i="1"/>
  <c r="AT123" i="1"/>
  <c r="AU123" i="1"/>
  <c r="AV123" i="1"/>
  <c r="AW123" i="1"/>
  <c r="AX123" i="1"/>
  <c r="AY123" i="1"/>
  <c r="AZ123" i="1"/>
  <c r="BA123" i="1"/>
  <c r="A124" i="1"/>
  <c r="B124" i="1"/>
  <c r="C124" i="1"/>
  <c r="D124" i="1"/>
  <c r="E124" i="1"/>
  <c r="F124" i="1"/>
  <c r="G124" i="1"/>
  <c r="H124" i="1"/>
  <c r="I124" i="1"/>
  <c r="J124" i="1"/>
  <c r="K124" i="1"/>
  <c r="L124" i="1"/>
  <c r="M124" i="1" s="1"/>
  <c r="N124" i="1"/>
  <c r="O124" i="1"/>
  <c r="P124" i="1"/>
  <c r="Q124" i="1"/>
  <c r="R124" i="1"/>
  <c r="S124" i="1" s="1"/>
  <c r="T124" i="1"/>
  <c r="U124" i="1"/>
  <c r="V124" i="1"/>
  <c r="W124" i="1"/>
  <c r="X124" i="1"/>
  <c r="Y124" i="1"/>
  <c r="Z124" i="1"/>
  <c r="AA124" i="1"/>
  <c r="AB124" i="1"/>
  <c r="AD124" i="1"/>
  <c r="AE124" i="1"/>
  <c r="AF124" i="1"/>
  <c r="AI124" i="1"/>
  <c r="AL124" i="1"/>
  <c r="AM124" i="1"/>
  <c r="AN124" i="1"/>
  <c r="AO124" i="1"/>
  <c r="AP124" i="1"/>
  <c r="AQ124" i="1"/>
  <c r="AR124" i="1"/>
  <c r="AS124" i="1"/>
  <c r="AT124" i="1"/>
  <c r="AU124" i="1"/>
  <c r="AV124" i="1"/>
  <c r="AW124" i="1"/>
  <c r="AX124" i="1"/>
  <c r="AY124" i="1"/>
  <c r="AZ124" i="1"/>
  <c r="BA124" i="1"/>
  <c r="A125" i="1"/>
  <c r="B125" i="1"/>
  <c r="C125" i="1"/>
  <c r="D125" i="1"/>
  <c r="E125" i="1"/>
  <c r="F125" i="1"/>
  <c r="G125" i="1"/>
  <c r="H125" i="1"/>
  <c r="I125" i="1"/>
  <c r="J125" i="1"/>
  <c r="K125" i="1"/>
  <c r="L125" i="1"/>
  <c r="M125" i="1" s="1"/>
  <c r="N125" i="1"/>
  <c r="O125" i="1"/>
  <c r="P125" i="1"/>
  <c r="Q125" i="1"/>
  <c r="S125" i="1"/>
  <c r="T125" i="1"/>
  <c r="U125" i="1"/>
  <c r="V125" i="1"/>
  <c r="W125" i="1"/>
  <c r="X125" i="1"/>
  <c r="Y125" i="1"/>
  <c r="Z125" i="1"/>
  <c r="AA125" i="1"/>
  <c r="AB125" i="1"/>
  <c r="AC125" i="1"/>
  <c r="AD125" i="1" s="1"/>
  <c r="AE125" i="1"/>
  <c r="AF125" i="1"/>
  <c r="AG125" i="1"/>
  <c r="AH125" i="1" s="1"/>
  <c r="AI125" i="1"/>
  <c r="AJ125" i="1"/>
  <c r="AL125" i="1"/>
  <c r="AM125" i="1"/>
  <c r="AN125" i="1"/>
  <c r="AO125" i="1"/>
  <c r="AP125" i="1"/>
  <c r="AQ125" i="1"/>
  <c r="AR125" i="1"/>
  <c r="AS125" i="1"/>
  <c r="AT125" i="1"/>
  <c r="AU125" i="1"/>
  <c r="AV125" i="1"/>
  <c r="AW125" i="1"/>
  <c r="AX125" i="1"/>
  <c r="AY125" i="1"/>
  <c r="AZ125" i="1"/>
  <c r="BA125" i="1"/>
  <c r="A126" i="1"/>
  <c r="B126" i="1"/>
  <c r="C126" i="1"/>
  <c r="D126" i="1"/>
  <c r="E126" i="1"/>
  <c r="F126" i="1"/>
  <c r="G126" i="1"/>
  <c r="H126" i="1"/>
  <c r="I126" i="1"/>
  <c r="J126" i="1"/>
  <c r="K126" i="1"/>
  <c r="M126" i="1"/>
  <c r="N126" i="1"/>
  <c r="O126" i="1"/>
  <c r="P126" i="1"/>
  <c r="Q126" i="1"/>
  <c r="R126" i="1"/>
  <c r="S126" i="1" s="1"/>
  <c r="T126" i="1"/>
  <c r="U126" i="1"/>
  <c r="V126" i="1"/>
  <c r="W126" i="1"/>
  <c r="X126" i="1"/>
  <c r="Y126" i="1"/>
  <c r="Z126" i="1"/>
  <c r="AA126" i="1"/>
  <c r="AB126" i="1"/>
  <c r="AC126" i="1"/>
  <c r="AD126" i="1" s="1"/>
  <c r="AE126" i="1"/>
  <c r="AF126" i="1"/>
  <c r="AI126" i="1"/>
  <c r="AL126" i="1"/>
  <c r="AM126" i="1"/>
  <c r="AN126" i="1"/>
  <c r="AO126" i="1"/>
  <c r="AP126" i="1"/>
  <c r="AQ126" i="1"/>
  <c r="AR126" i="1"/>
  <c r="AS126" i="1"/>
  <c r="AT126" i="1"/>
  <c r="AU126" i="1"/>
  <c r="AV126" i="1"/>
  <c r="AW126" i="1"/>
  <c r="AX126" i="1"/>
  <c r="AY126" i="1"/>
  <c r="AZ126" i="1"/>
  <c r="BA126" i="1"/>
  <c r="A127" i="1"/>
  <c r="B127" i="1"/>
  <c r="C127" i="1"/>
  <c r="D127" i="1"/>
  <c r="E127" i="1"/>
  <c r="F127" i="1"/>
  <c r="G127" i="1"/>
  <c r="H127" i="1"/>
  <c r="I127" i="1"/>
  <c r="J127" i="1"/>
  <c r="K127" i="1"/>
  <c r="M127" i="1"/>
  <c r="N127" i="1"/>
  <c r="O127" i="1"/>
  <c r="P127" i="1"/>
  <c r="Q127" i="1"/>
  <c r="S127" i="1"/>
  <c r="T127" i="1"/>
  <c r="U127" i="1"/>
  <c r="V127" i="1"/>
  <c r="W127" i="1"/>
  <c r="X127" i="1"/>
  <c r="Y127" i="1"/>
  <c r="Z127" i="1"/>
  <c r="AA127" i="1"/>
  <c r="AB127" i="1"/>
  <c r="AC127" i="1"/>
  <c r="AD127" i="1" s="1"/>
  <c r="AE127" i="1"/>
  <c r="AF127" i="1"/>
  <c r="AG127" i="1"/>
  <c r="AH127" i="1" s="1"/>
  <c r="AI127" i="1"/>
  <c r="AJ127" i="1"/>
  <c r="AL127" i="1"/>
  <c r="AM127" i="1"/>
  <c r="AN127" i="1"/>
  <c r="AO127" i="1"/>
  <c r="AP127" i="1"/>
  <c r="AQ127" i="1"/>
  <c r="AR127" i="1"/>
  <c r="AS127" i="1"/>
  <c r="AT127" i="1"/>
  <c r="AU127" i="1"/>
  <c r="AV127" i="1"/>
  <c r="AW127" i="1"/>
  <c r="AX127" i="1"/>
  <c r="AY127" i="1"/>
  <c r="AZ127" i="1"/>
  <c r="BA127" i="1"/>
  <c r="A128" i="1"/>
  <c r="B128" i="1"/>
  <c r="C128" i="1"/>
  <c r="D128" i="1"/>
  <c r="E128" i="1"/>
  <c r="F128" i="1"/>
  <c r="G128" i="1"/>
  <c r="H128" i="1"/>
  <c r="I128" i="1"/>
  <c r="J128" i="1"/>
  <c r="K128" i="1"/>
  <c r="L128" i="1"/>
  <c r="M128" i="1" s="1"/>
  <c r="N128" i="1"/>
  <c r="O128" i="1"/>
  <c r="P128" i="1"/>
  <c r="Q128" i="1"/>
  <c r="R128" i="1"/>
  <c r="S128" i="1" s="1"/>
  <c r="T128" i="1"/>
  <c r="U128" i="1"/>
  <c r="V128" i="1"/>
  <c r="W128" i="1"/>
  <c r="X128" i="1"/>
  <c r="Y128" i="1"/>
  <c r="Z128" i="1"/>
  <c r="AA128" i="1"/>
  <c r="AB128" i="1"/>
  <c r="AC128" i="1"/>
  <c r="AD128" i="1" s="1"/>
  <c r="AE128" i="1"/>
  <c r="AF128" i="1"/>
  <c r="AG128" i="1"/>
  <c r="AH128" i="1" s="1"/>
  <c r="AI128" i="1"/>
  <c r="AL128" i="1"/>
  <c r="AM128" i="1"/>
  <c r="AN128" i="1"/>
  <c r="AO128" i="1"/>
  <c r="AP128" i="1"/>
  <c r="AQ128" i="1"/>
  <c r="AR128" i="1"/>
  <c r="AS128" i="1"/>
  <c r="AT128" i="1"/>
  <c r="AU128" i="1"/>
  <c r="AV128" i="1"/>
  <c r="AW128" i="1"/>
  <c r="AX128" i="1"/>
  <c r="AY128" i="1"/>
  <c r="AZ128" i="1"/>
  <c r="BA128" i="1"/>
  <c r="A129" i="1"/>
  <c r="B129" i="1"/>
  <c r="C129" i="1"/>
  <c r="D129" i="1"/>
  <c r="E129" i="1"/>
  <c r="F129" i="1"/>
  <c r="G129" i="1"/>
  <c r="H129" i="1"/>
  <c r="I129" i="1"/>
  <c r="J129" i="1"/>
  <c r="K129" i="1"/>
  <c r="L129" i="1"/>
  <c r="M129" i="1" s="1"/>
  <c r="N129" i="1"/>
  <c r="O129" i="1"/>
  <c r="P129" i="1"/>
  <c r="Q129" i="1"/>
  <c r="S129" i="1"/>
  <c r="T129" i="1"/>
  <c r="U129" i="1"/>
  <c r="V129" i="1"/>
  <c r="W129" i="1"/>
  <c r="X129" i="1"/>
  <c r="Y129" i="1"/>
  <c r="Z129" i="1"/>
  <c r="AA129" i="1"/>
  <c r="AB129" i="1"/>
  <c r="AC129" i="1"/>
  <c r="AD129" i="1" s="1"/>
  <c r="AE129" i="1"/>
  <c r="AF129" i="1"/>
  <c r="AI129" i="1"/>
  <c r="AL129" i="1"/>
  <c r="AM129" i="1"/>
  <c r="AN129" i="1"/>
  <c r="AO129" i="1"/>
  <c r="AP129" i="1"/>
  <c r="AQ129" i="1"/>
  <c r="AR129" i="1"/>
  <c r="AS129" i="1"/>
  <c r="AT129" i="1"/>
  <c r="AU129" i="1"/>
  <c r="AV129" i="1"/>
  <c r="AW129" i="1"/>
  <c r="AX129" i="1"/>
  <c r="AY129" i="1"/>
  <c r="AZ129" i="1"/>
  <c r="BA129" i="1"/>
  <c r="A130" i="1"/>
  <c r="B130" i="1"/>
  <c r="C130" i="1"/>
  <c r="D130" i="1"/>
  <c r="E130" i="1"/>
  <c r="F130" i="1"/>
  <c r="G130" i="1"/>
  <c r="H130" i="1"/>
  <c r="I130" i="1"/>
  <c r="J130" i="1"/>
  <c r="K130" i="1"/>
  <c r="L130" i="1"/>
  <c r="M130" i="1" s="1"/>
  <c r="N130" i="1"/>
  <c r="O130" i="1"/>
  <c r="P130" i="1"/>
  <c r="Q130" i="1"/>
  <c r="S130" i="1"/>
  <c r="T130" i="1"/>
  <c r="U130" i="1"/>
  <c r="V130" i="1"/>
  <c r="W130" i="1"/>
  <c r="X130" i="1"/>
  <c r="Y130" i="1"/>
  <c r="Z130" i="1"/>
  <c r="AA130" i="1"/>
  <c r="AB130" i="1"/>
  <c r="AD130" i="1"/>
  <c r="AE130" i="1"/>
  <c r="AF130" i="1"/>
  <c r="AG130" i="1"/>
  <c r="AH130" i="1" s="1"/>
  <c r="AI130" i="1"/>
  <c r="AJ130" i="1"/>
  <c r="AL130" i="1"/>
  <c r="AM130" i="1"/>
  <c r="AN130" i="1"/>
  <c r="AO130" i="1"/>
  <c r="AP130" i="1"/>
  <c r="AQ130" i="1"/>
  <c r="AR130" i="1"/>
  <c r="AS130" i="1"/>
  <c r="AT130" i="1"/>
  <c r="AU130" i="1"/>
  <c r="AV130" i="1"/>
  <c r="AW130" i="1"/>
  <c r="AX130" i="1"/>
  <c r="AY130" i="1"/>
  <c r="AZ130" i="1"/>
  <c r="BA130" i="1"/>
  <c r="A131" i="1"/>
  <c r="B131" i="1"/>
  <c r="C131" i="1"/>
  <c r="D131" i="1"/>
  <c r="E131" i="1"/>
  <c r="F131" i="1"/>
  <c r="G131" i="1"/>
  <c r="H131" i="1"/>
  <c r="I131" i="1"/>
  <c r="J131" i="1"/>
  <c r="K131" i="1"/>
  <c r="L131" i="1"/>
  <c r="M131" i="1" s="1"/>
  <c r="N131" i="1"/>
  <c r="O131" i="1"/>
  <c r="P131" i="1"/>
  <c r="Q131" i="1"/>
  <c r="R131" i="1"/>
  <c r="S131" i="1" s="1"/>
  <c r="T131" i="1"/>
  <c r="U131" i="1"/>
  <c r="V131" i="1"/>
  <c r="W131" i="1"/>
  <c r="X131" i="1"/>
  <c r="Y131" i="1"/>
  <c r="Z131" i="1"/>
  <c r="AA131" i="1"/>
  <c r="AB131" i="1"/>
  <c r="AD131" i="1"/>
  <c r="AE131" i="1"/>
  <c r="AF131" i="1"/>
  <c r="AG131" i="1"/>
  <c r="AH131" i="1" s="1"/>
  <c r="AI131" i="1"/>
  <c r="AJ131" i="1"/>
  <c r="AL131" i="1"/>
  <c r="AM131" i="1"/>
  <c r="AN131" i="1"/>
  <c r="AO131" i="1"/>
  <c r="AP131" i="1"/>
  <c r="AQ131" i="1"/>
  <c r="AR131" i="1"/>
  <c r="AS131" i="1"/>
  <c r="AT131" i="1"/>
  <c r="AU131" i="1"/>
  <c r="AV131" i="1"/>
  <c r="AW131" i="1"/>
  <c r="AX131" i="1"/>
  <c r="AY131" i="1"/>
  <c r="AZ131" i="1"/>
  <c r="BA131" i="1"/>
  <c r="A132" i="1"/>
  <c r="B132" i="1"/>
  <c r="C132" i="1"/>
  <c r="D132" i="1"/>
  <c r="E132" i="1"/>
  <c r="F132" i="1"/>
  <c r="G132" i="1"/>
  <c r="H132" i="1"/>
  <c r="I132" i="1"/>
  <c r="J132" i="1"/>
  <c r="K132" i="1"/>
  <c r="L132" i="1"/>
  <c r="M132" i="1" s="1"/>
  <c r="N132" i="1"/>
  <c r="O132" i="1"/>
  <c r="P132" i="1"/>
  <c r="Q132" i="1"/>
  <c r="S132" i="1"/>
  <c r="T132" i="1"/>
  <c r="U132" i="1"/>
  <c r="V132" i="1"/>
  <c r="W132" i="1"/>
  <c r="X132" i="1"/>
  <c r="Y132" i="1"/>
  <c r="Z132" i="1"/>
  <c r="AA132" i="1"/>
  <c r="AB132" i="1"/>
  <c r="AC132" i="1"/>
  <c r="AD132" i="1" s="1"/>
  <c r="AE132" i="1"/>
  <c r="AF132" i="1"/>
  <c r="AG132" i="1"/>
  <c r="AH132" i="1" s="1"/>
  <c r="AI132" i="1"/>
  <c r="AJ132" i="1"/>
  <c r="AL132" i="1"/>
  <c r="AM132" i="1"/>
  <c r="AN132" i="1"/>
  <c r="AO132" i="1"/>
  <c r="AP132" i="1"/>
  <c r="AQ132" i="1"/>
  <c r="AR132" i="1"/>
  <c r="AS132" i="1"/>
  <c r="AT132" i="1"/>
  <c r="AU132" i="1"/>
  <c r="AV132" i="1"/>
  <c r="AW132" i="1"/>
  <c r="AX132" i="1"/>
  <c r="AY132" i="1"/>
  <c r="AZ132" i="1"/>
  <c r="BA132" i="1"/>
  <c r="A133" i="1"/>
  <c r="B133" i="1"/>
  <c r="C133" i="1"/>
  <c r="D133" i="1"/>
  <c r="E133" i="1"/>
  <c r="F133" i="1"/>
  <c r="G133" i="1"/>
  <c r="H133" i="1"/>
  <c r="I133" i="1"/>
  <c r="J133" i="1"/>
  <c r="K133" i="1"/>
  <c r="L133" i="1"/>
  <c r="M133" i="1" s="1"/>
  <c r="N133" i="1"/>
  <c r="O133" i="1"/>
  <c r="P133" i="1"/>
  <c r="Q133" i="1"/>
  <c r="S133" i="1"/>
  <c r="T133" i="1"/>
  <c r="U133" i="1"/>
  <c r="V133" i="1"/>
  <c r="W133" i="1"/>
  <c r="X133" i="1"/>
  <c r="Y133" i="1"/>
  <c r="Z133" i="1"/>
  <c r="AA133" i="1"/>
  <c r="AB133" i="1"/>
  <c r="AD133" i="1"/>
  <c r="AE133" i="1"/>
  <c r="AF133" i="1"/>
  <c r="AI133" i="1"/>
  <c r="AJ133" i="1"/>
  <c r="AL133" i="1"/>
  <c r="AM133" i="1"/>
  <c r="AN133" i="1"/>
  <c r="AO133" i="1"/>
  <c r="AP133" i="1"/>
  <c r="AQ133" i="1"/>
  <c r="AR133" i="1"/>
  <c r="AS133" i="1"/>
  <c r="AT133" i="1"/>
  <c r="AU133" i="1"/>
  <c r="AV133" i="1"/>
  <c r="AW133" i="1"/>
  <c r="AX133" i="1"/>
  <c r="AY133" i="1"/>
  <c r="AZ133" i="1"/>
  <c r="BA133" i="1"/>
  <c r="A134" i="1"/>
  <c r="B134" i="1"/>
  <c r="C134" i="1"/>
  <c r="D134" i="1"/>
  <c r="E134" i="1"/>
  <c r="F134" i="1"/>
  <c r="G134" i="1"/>
  <c r="H134" i="1"/>
  <c r="I134" i="1"/>
  <c r="J134" i="1"/>
  <c r="K134" i="1"/>
  <c r="L134" i="1"/>
  <c r="M134" i="1" s="1"/>
  <c r="N134" i="1"/>
  <c r="O134" i="1"/>
  <c r="P134" i="1"/>
  <c r="Q134" i="1"/>
  <c r="S134" i="1"/>
  <c r="T134" i="1"/>
  <c r="U134" i="1"/>
  <c r="V134" i="1"/>
  <c r="W134" i="1"/>
  <c r="X134" i="1"/>
  <c r="Y134" i="1"/>
  <c r="Z134" i="1"/>
  <c r="AA134" i="1"/>
  <c r="AB134" i="1"/>
  <c r="AC134" i="1"/>
  <c r="AD134" i="1" s="1"/>
  <c r="AE134" i="1"/>
  <c r="AF134" i="1"/>
  <c r="AG134" i="1"/>
  <c r="AH134" i="1" s="1"/>
  <c r="AI134" i="1"/>
  <c r="AJ134" i="1"/>
  <c r="AL134" i="1"/>
  <c r="AM134" i="1"/>
  <c r="AN134" i="1"/>
  <c r="AO134" i="1"/>
  <c r="AP134" i="1"/>
  <c r="AQ134" i="1"/>
  <c r="AR134" i="1"/>
  <c r="AS134" i="1"/>
  <c r="AT134" i="1"/>
  <c r="AU134" i="1"/>
  <c r="AV134" i="1"/>
  <c r="AW134" i="1"/>
  <c r="AX134" i="1"/>
  <c r="AY134" i="1"/>
  <c r="AZ134" i="1"/>
  <c r="BA134" i="1"/>
  <c r="A135" i="1"/>
  <c r="B135" i="1"/>
  <c r="C135" i="1"/>
  <c r="D135" i="1"/>
  <c r="E135" i="1"/>
  <c r="F135" i="1"/>
  <c r="G135" i="1"/>
  <c r="H135" i="1"/>
  <c r="I135" i="1"/>
  <c r="J135" i="1"/>
  <c r="K135" i="1"/>
  <c r="M135" i="1"/>
  <c r="N135" i="1"/>
  <c r="O135" i="1"/>
  <c r="P135" i="1"/>
  <c r="Q135" i="1"/>
  <c r="S135" i="1"/>
  <c r="T135" i="1"/>
  <c r="U135" i="1"/>
  <c r="V135" i="1"/>
  <c r="W135" i="1"/>
  <c r="X135" i="1"/>
  <c r="Y135" i="1"/>
  <c r="Z135" i="1"/>
  <c r="AA135" i="1"/>
  <c r="AB135" i="1"/>
  <c r="AC135" i="1"/>
  <c r="AD135" i="1" s="1"/>
  <c r="AE135" i="1"/>
  <c r="AF135" i="1"/>
  <c r="AG135" i="1"/>
  <c r="AH135" i="1" s="1"/>
  <c r="AI135" i="1"/>
  <c r="AJ135" i="1"/>
  <c r="AL135" i="1"/>
  <c r="AM135" i="1"/>
  <c r="AN135" i="1"/>
  <c r="AO135" i="1"/>
  <c r="AP135" i="1"/>
  <c r="AQ135" i="1"/>
  <c r="AR135" i="1"/>
  <c r="AS135" i="1"/>
  <c r="AT135" i="1"/>
  <c r="AU135" i="1"/>
  <c r="AV135" i="1"/>
  <c r="AW135" i="1"/>
  <c r="AX135" i="1"/>
  <c r="AY135" i="1"/>
  <c r="AZ135" i="1"/>
  <c r="BA135" i="1"/>
  <c r="A136" i="1"/>
  <c r="B136" i="1"/>
  <c r="C136" i="1"/>
  <c r="D136" i="1"/>
  <c r="E136" i="1"/>
  <c r="F136" i="1"/>
  <c r="G136" i="1"/>
  <c r="H136" i="1"/>
  <c r="I136" i="1"/>
  <c r="J136" i="1"/>
  <c r="K136" i="1"/>
  <c r="L136" i="1"/>
  <c r="M136" i="1" s="1"/>
  <c r="N136" i="1"/>
  <c r="O136" i="1"/>
  <c r="P136" i="1"/>
  <c r="Q136" i="1"/>
  <c r="S136" i="1"/>
  <c r="T136" i="1"/>
  <c r="U136" i="1"/>
  <c r="V136" i="1"/>
  <c r="W136" i="1"/>
  <c r="X136" i="1"/>
  <c r="Y136" i="1"/>
  <c r="Z136" i="1"/>
  <c r="AA136" i="1"/>
  <c r="AB136" i="1"/>
  <c r="AD136" i="1"/>
  <c r="AE136" i="1"/>
  <c r="AF136" i="1"/>
  <c r="AG136" i="1"/>
  <c r="AH136" i="1" s="1"/>
  <c r="AI136" i="1"/>
  <c r="AJ136" i="1"/>
  <c r="AL136" i="1"/>
  <c r="AM136" i="1"/>
  <c r="AN136" i="1"/>
  <c r="AO136" i="1"/>
  <c r="AP136" i="1"/>
  <c r="AQ136" i="1"/>
  <c r="AR136" i="1"/>
  <c r="AS136" i="1"/>
  <c r="AT136" i="1"/>
  <c r="AU136" i="1"/>
  <c r="AV136" i="1"/>
  <c r="AW136" i="1"/>
  <c r="AX136" i="1"/>
  <c r="AY136" i="1"/>
  <c r="AZ136" i="1"/>
  <c r="BA136" i="1"/>
  <c r="A137" i="1"/>
  <c r="B137" i="1"/>
  <c r="C137" i="1"/>
  <c r="D137" i="1"/>
  <c r="E137" i="1"/>
  <c r="F137" i="1"/>
  <c r="G137" i="1"/>
  <c r="H137" i="1"/>
  <c r="I137" i="1"/>
  <c r="J137" i="1"/>
  <c r="K137" i="1"/>
  <c r="M137" i="1"/>
  <c r="N137" i="1"/>
  <c r="O137" i="1"/>
  <c r="P137" i="1"/>
  <c r="Q137" i="1"/>
  <c r="S137" i="1"/>
  <c r="T137" i="1"/>
  <c r="U137" i="1"/>
  <c r="V137" i="1"/>
  <c r="W137" i="1"/>
  <c r="X137" i="1"/>
  <c r="Y137" i="1"/>
  <c r="Z137" i="1"/>
  <c r="AA137" i="1"/>
  <c r="AB137" i="1"/>
  <c r="AC137" i="1"/>
  <c r="AD137" i="1" s="1"/>
  <c r="AE137" i="1"/>
  <c r="AF137" i="1"/>
  <c r="AG137" i="1"/>
  <c r="AH137" i="1" s="1"/>
  <c r="AI137" i="1"/>
  <c r="AJ137" i="1"/>
  <c r="AL137" i="1"/>
  <c r="AM137" i="1"/>
  <c r="AN137" i="1"/>
  <c r="AO137" i="1"/>
  <c r="AP137" i="1"/>
  <c r="AQ137" i="1"/>
  <c r="AR137" i="1"/>
  <c r="AS137" i="1"/>
  <c r="AT137" i="1"/>
  <c r="AU137" i="1"/>
  <c r="AV137" i="1"/>
  <c r="AW137" i="1"/>
  <c r="AX137" i="1"/>
  <c r="AY137" i="1"/>
  <c r="AZ137" i="1"/>
  <c r="BA137" i="1"/>
  <c r="A138" i="1"/>
  <c r="B138" i="1"/>
  <c r="C138" i="1"/>
  <c r="D138" i="1"/>
  <c r="E138" i="1"/>
  <c r="F138" i="1"/>
  <c r="G138" i="1"/>
  <c r="H138" i="1"/>
  <c r="I138" i="1"/>
  <c r="J138" i="1"/>
  <c r="K138" i="1"/>
  <c r="L138" i="1"/>
  <c r="M138" i="1" s="1"/>
  <c r="N138" i="1"/>
  <c r="O138" i="1"/>
  <c r="P138" i="1"/>
  <c r="Q138" i="1"/>
  <c r="R138" i="1"/>
  <c r="S138" i="1" s="1"/>
  <c r="T138" i="1"/>
  <c r="U138" i="1"/>
  <c r="V138" i="1"/>
  <c r="W138" i="1"/>
  <c r="X138" i="1"/>
  <c r="Y138" i="1"/>
  <c r="Z138" i="1"/>
  <c r="AA138" i="1"/>
  <c r="AB138" i="1"/>
  <c r="AC138" i="1"/>
  <c r="AD138" i="1" s="1"/>
  <c r="AE138" i="1"/>
  <c r="AF138" i="1"/>
  <c r="AG138" i="1"/>
  <c r="AH138" i="1" s="1"/>
  <c r="AI138" i="1"/>
  <c r="AJ138" i="1"/>
  <c r="AL138" i="1"/>
  <c r="AM138" i="1"/>
  <c r="AN138" i="1"/>
  <c r="AO138" i="1"/>
  <c r="AP138" i="1"/>
  <c r="AQ138" i="1"/>
  <c r="AR138" i="1"/>
  <c r="AS138" i="1"/>
  <c r="AT138" i="1"/>
  <c r="AU138" i="1"/>
  <c r="AV138" i="1"/>
  <c r="AW138" i="1"/>
  <c r="AX138" i="1"/>
  <c r="AY138" i="1"/>
  <c r="AZ138" i="1"/>
  <c r="BA138" i="1"/>
  <c r="A139" i="1"/>
  <c r="B139" i="1"/>
  <c r="C139" i="1"/>
  <c r="D139" i="1"/>
  <c r="E139" i="1"/>
  <c r="F139" i="1"/>
  <c r="G139" i="1"/>
  <c r="H139" i="1"/>
  <c r="I139" i="1"/>
  <c r="J139" i="1"/>
  <c r="K139" i="1"/>
  <c r="L139" i="1"/>
  <c r="M139" i="1" s="1"/>
  <c r="N139" i="1"/>
  <c r="O139" i="1"/>
  <c r="P139" i="1"/>
  <c r="Q139" i="1"/>
  <c r="R139" i="1"/>
  <c r="S139" i="1" s="1"/>
  <c r="T139" i="1"/>
  <c r="U139" i="1"/>
  <c r="V139" i="1"/>
  <c r="W139" i="1"/>
  <c r="X139" i="1"/>
  <c r="Y139" i="1"/>
  <c r="Z139" i="1"/>
  <c r="AA139" i="1"/>
  <c r="AB139" i="1"/>
  <c r="AC139" i="1"/>
  <c r="AD139" i="1" s="1"/>
  <c r="AE139" i="1"/>
  <c r="AF139" i="1"/>
  <c r="AI139" i="1"/>
  <c r="AJ139" i="1"/>
  <c r="AL139" i="1"/>
  <c r="AM139" i="1"/>
  <c r="AN139" i="1"/>
  <c r="AO139" i="1"/>
  <c r="AP139" i="1"/>
  <c r="AQ139" i="1"/>
  <c r="AR139" i="1"/>
  <c r="AS139" i="1"/>
  <c r="AT139" i="1"/>
  <c r="AU139" i="1"/>
  <c r="AV139" i="1"/>
  <c r="AW139" i="1"/>
  <c r="AX139" i="1"/>
  <c r="AY139" i="1"/>
  <c r="AZ139" i="1"/>
  <c r="BA139" i="1"/>
  <c r="A140" i="1"/>
  <c r="B140" i="1"/>
  <c r="C140" i="1"/>
  <c r="D140" i="1"/>
  <c r="E140" i="1"/>
  <c r="F140" i="1"/>
  <c r="G140" i="1"/>
  <c r="H140" i="1"/>
  <c r="I140" i="1"/>
  <c r="J140" i="1"/>
  <c r="K140" i="1"/>
  <c r="L140" i="1"/>
  <c r="M140" i="1" s="1"/>
  <c r="N140" i="1"/>
  <c r="O140" i="1"/>
  <c r="P140" i="1"/>
  <c r="Q140" i="1"/>
  <c r="R140" i="1"/>
  <c r="S140" i="1" s="1"/>
  <c r="T140" i="1"/>
  <c r="U140" i="1"/>
  <c r="V140" i="1"/>
  <c r="W140" i="1"/>
  <c r="X140" i="1"/>
  <c r="Y140" i="1"/>
  <c r="Z140" i="1"/>
  <c r="AA140" i="1"/>
  <c r="AB140" i="1"/>
  <c r="AC140" i="1"/>
  <c r="AD140" i="1" s="1"/>
  <c r="AE140" i="1"/>
  <c r="AF140" i="1"/>
  <c r="AG140" i="1"/>
  <c r="AH140" i="1" s="1"/>
  <c r="AI140" i="1"/>
  <c r="AJ140" i="1"/>
  <c r="AL140" i="1"/>
  <c r="AM140" i="1"/>
  <c r="AN140" i="1"/>
  <c r="AO140" i="1"/>
  <c r="AP140" i="1"/>
  <c r="AQ140" i="1"/>
  <c r="AR140" i="1"/>
  <c r="AS140" i="1"/>
  <c r="AT140" i="1"/>
  <c r="AU140" i="1"/>
  <c r="AV140" i="1"/>
  <c r="AW140" i="1"/>
  <c r="AX140" i="1"/>
  <c r="AY140" i="1"/>
  <c r="AZ140" i="1"/>
  <c r="BA140" i="1"/>
  <c r="A141" i="1"/>
  <c r="B141" i="1"/>
  <c r="C141" i="1"/>
  <c r="D141" i="1"/>
  <c r="E141" i="1"/>
  <c r="F141" i="1"/>
  <c r="G141" i="1"/>
  <c r="H141" i="1"/>
  <c r="I141" i="1"/>
  <c r="J141" i="1"/>
  <c r="K141" i="1"/>
  <c r="L141" i="1"/>
  <c r="M141" i="1" s="1"/>
  <c r="N141" i="1"/>
  <c r="O141" i="1"/>
  <c r="P141" i="1"/>
  <c r="Q141" i="1"/>
  <c r="R141" i="1"/>
  <c r="S141" i="1" s="1"/>
  <c r="T141" i="1"/>
  <c r="U141" i="1"/>
  <c r="V141" i="1"/>
  <c r="W141" i="1"/>
  <c r="X141" i="1"/>
  <c r="Y141" i="1"/>
  <c r="Z141" i="1"/>
  <c r="AA141" i="1"/>
  <c r="AB141" i="1"/>
  <c r="AC141" i="1"/>
  <c r="AD141" i="1" s="1"/>
  <c r="AE141" i="1"/>
  <c r="AF141" i="1"/>
  <c r="AG141" i="1"/>
  <c r="AH141" i="1" s="1"/>
  <c r="AI141" i="1"/>
  <c r="AJ141" i="1"/>
  <c r="AL141" i="1"/>
  <c r="AM141" i="1"/>
  <c r="AN141" i="1"/>
  <c r="AO141" i="1"/>
  <c r="AP141" i="1"/>
  <c r="AQ141" i="1"/>
  <c r="AR141" i="1"/>
  <c r="AS141" i="1"/>
  <c r="AT141" i="1"/>
  <c r="AU141" i="1"/>
  <c r="AV141" i="1"/>
  <c r="AW141" i="1"/>
  <c r="AX141" i="1"/>
  <c r="AY141" i="1"/>
  <c r="AZ141" i="1"/>
  <c r="BA141" i="1"/>
  <c r="A142" i="1"/>
  <c r="B142" i="1"/>
  <c r="C142" i="1"/>
  <c r="D142" i="1"/>
  <c r="E142" i="1"/>
  <c r="F142" i="1"/>
  <c r="G142" i="1"/>
  <c r="H142" i="1"/>
  <c r="I142" i="1"/>
  <c r="J142" i="1"/>
  <c r="K142" i="1"/>
  <c r="M142" i="1"/>
  <c r="N142" i="1"/>
  <c r="O142" i="1"/>
  <c r="P142" i="1"/>
  <c r="Q142" i="1"/>
  <c r="S142" i="1"/>
  <c r="T142" i="1"/>
  <c r="U142" i="1"/>
  <c r="V142" i="1"/>
  <c r="W142" i="1"/>
  <c r="X142" i="1"/>
  <c r="Y142" i="1"/>
  <c r="Z142" i="1"/>
  <c r="AA142" i="1"/>
  <c r="AB142" i="1"/>
  <c r="AD142" i="1"/>
  <c r="AE142" i="1"/>
  <c r="AF142" i="1"/>
  <c r="AG142" i="1"/>
  <c r="AH142" i="1" s="1"/>
  <c r="AI142" i="1"/>
  <c r="AJ142" i="1"/>
  <c r="AL142" i="1"/>
  <c r="AM142" i="1"/>
  <c r="AN142" i="1"/>
  <c r="AO142" i="1"/>
  <c r="AP142" i="1"/>
  <c r="AQ142" i="1"/>
  <c r="AR142" i="1"/>
  <c r="AS142" i="1"/>
  <c r="AT142" i="1"/>
  <c r="AU142" i="1"/>
  <c r="AV142" i="1"/>
  <c r="AW142" i="1"/>
  <c r="AX142" i="1"/>
  <c r="AY142" i="1"/>
  <c r="AZ142" i="1"/>
  <c r="BA142" i="1"/>
  <c r="A143" i="1"/>
  <c r="B143" i="1"/>
  <c r="C143" i="1"/>
  <c r="D143" i="1"/>
  <c r="E143" i="1"/>
  <c r="F143" i="1"/>
  <c r="G143" i="1"/>
  <c r="H143" i="1"/>
  <c r="I143" i="1"/>
  <c r="J143" i="1"/>
  <c r="K143" i="1"/>
  <c r="L143" i="1"/>
  <c r="M143" i="1" s="1"/>
  <c r="N143" i="1"/>
  <c r="O143" i="1"/>
  <c r="P143" i="1"/>
  <c r="Q143" i="1"/>
  <c r="R143" i="1"/>
  <c r="S143" i="1" s="1"/>
  <c r="T143" i="1"/>
  <c r="U143" i="1"/>
  <c r="V143" i="1"/>
  <c r="W143" i="1"/>
  <c r="X143" i="1"/>
  <c r="Y143" i="1"/>
  <c r="Z143" i="1"/>
  <c r="AA143" i="1"/>
  <c r="AB143" i="1"/>
  <c r="AC143" i="1"/>
  <c r="AD143" i="1" s="1"/>
  <c r="AE143" i="1"/>
  <c r="AF143" i="1"/>
  <c r="AG143" i="1"/>
  <c r="AH143" i="1" s="1"/>
  <c r="AI143" i="1"/>
  <c r="AJ143" i="1"/>
  <c r="AL143" i="1"/>
  <c r="AM143" i="1"/>
  <c r="AN143" i="1"/>
  <c r="AO143" i="1"/>
  <c r="AP143" i="1"/>
  <c r="AQ143" i="1"/>
  <c r="AR143" i="1"/>
  <c r="AS143" i="1"/>
  <c r="AT143" i="1"/>
  <c r="AU143" i="1"/>
  <c r="AV143" i="1"/>
  <c r="AW143" i="1"/>
  <c r="AX143" i="1"/>
  <c r="AY143" i="1"/>
  <c r="AZ143" i="1"/>
  <c r="BA143" i="1"/>
  <c r="A144" i="1"/>
  <c r="B144" i="1"/>
  <c r="C144" i="1"/>
  <c r="D144" i="1"/>
  <c r="E144" i="1"/>
  <c r="F144" i="1"/>
  <c r="G144" i="1"/>
  <c r="H144" i="1"/>
  <c r="I144" i="1"/>
  <c r="J144" i="1"/>
  <c r="K144" i="1"/>
  <c r="L144" i="1"/>
  <c r="M144" i="1" s="1"/>
  <c r="N144" i="1"/>
  <c r="O144" i="1"/>
  <c r="P144" i="1"/>
  <c r="Q144" i="1"/>
  <c r="S144" i="1"/>
  <c r="T144" i="1"/>
  <c r="U144" i="1"/>
  <c r="V144" i="1"/>
  <c r="W144" i="1"/>
  <c r="X144" i="1"/>
  <c r="Y144" i="1"/>
  <c r="Z144" i="1"/>
  <c r="AA144" i="1"/>
  <c r="AB144" i="1"/>
  <c r="AC144" i="1"/>
  <c r="AD144" i="1" s="1"/>
  <c r="AE144" i="1"/>
  <c r="AF144" i="1"/>
  <c r="AG144" i="1"/>
  <c r="AH144" i="1" s="1"/>
  <c r="AI144" i="1"/>
  <c r="AJ144" i="1"/>
  <c r="AL144" i="1"/>
  <c r="AM144" i="1"/>
  <c r="AN144" i="1"/>
  <c r="AO144" i="1"/>
  <c r="AP144" i="1"/>
  <c r="AQ144" i="1"/>
  <c r="AR144" i="1"/>
  <c r="AS144" i="1"/>
  <c r="AT144" i="1"/>
  <c r="AU144" i="1"/>
  <c r="AV144" i="1"/>
  <c r="AW144" i="1"/>
  <c r="AX144" i="1"/>
  <c r="AY144" i="1"/>
  <c r="AZ144" i="1"/>
  <c r="BA144" i="1"/>
  <c r="A145" i="1"/>
  <c r="B145" i="1"/>
  <c r="C145" i="1"/>
  <c r="D145" i="1"/>
  <c r="E145" i="1"/>
  <c r="F145" i="1"/>
  <c r="G145" i="1"/>
  <c r="H145" i="1"/>
  <c r="I145" i="1"/>
  <c r="J145" i="1"/>
  <c r="K145" i="1"/>
  <c r="L145" i="1"/>
  <c r="M145" i="1" s="1"/>
  <c r="N145" i="1"/>
  <c r="O145" i="1"/>
  <c r="P145" i="1"/>
  <c r="Q145" i="1"/>
  <c r="S145" i="1"/>
  <c r="T145" i="1"/>
  <c r="U145" i="1"/>
  <c r="V145" i="1"/>
  <c r="W145" i="1"/>
  <c r="X145" i="1"/>
  <c r="Y145" i="1"/>
  <c r="Z145" i="1"/>
  <c r="AA145" i="1"/>
  <c r="AB145" i="1"/>
  <c r="AC145" i="1"/>
  <c r="AD145" i="1" s="1"/>
  <c r="AE145" i="1"/>
  <c r="AF145" i="1"/>
  <c r="AG145" i="1"/>
  <c r="AH145" i="1" s="1"/>
  <c r="AI145" i="1"/>
  <c r="AJ145" i="1"/>
  <c r="AL145" i="1"/>
  <c r="AM145" i="1"/>
  <c r="AN145" i="1"/>
  <c r="AO145" i="1"/>
  <c r="AP145" i="1"/>
  <c r="AQ145" i="1"/>
  <c r="AR145" i="1"/>
  <c r="AS145" i="1"/>
  <c r="AT145" i="1"/>
  <c r="AU145" i="1"/>
  <c r="AV145" i="1"/>
  <c r="AW145" i="1"/>
  <c r="AX145" i="1"/>
  <c r="AY145" i="1"/>
  <c r="AZ145" i="1"/>
  <c r="BA145" i="1"/>
  <c r="A146" i="1"/>
  <c r="B146" i="1"/>
  <c r="C146" i="1"/>
  <c r="D146" i="1"/>
  <c r="E146" i="1"/>
  <c r="F146" i="1"/>
  <c r="G146" i="1"/>
  <c r="H146" i="1"/>
  <c r="I146" i="1"/>
  <c r="J146" i="1"/>
  <c r="K146" i="1"/>
  <c r="L146" i="1"/>
  <c r="M146" i="1" s="1"/>
  <c r="N146" i="1"/>
  <c r="O146" i="1"/>
  <c r="P146" i="1"/>
  <c r="Q146" i="1"/>
  <c r="R146" i="1"/>
  <c r="S146" i="1" s="1"/>
  <c r="T146" i="1"/>
  <c r="U146" i="1"/>
  <c r="V146" i="1"/>
  <c r="W146" i="1"/>
  <c r="X146" i="1"/>
  <c r="Y146" i="1"/>
  <c r="Z146" i="1"/>
  <c r="AA146" i="1"/>
  <c r="AB146" i="1"/>
  <c r="AC146" i="1"/>
  <c r="AD146" i="1" s="1"/>
  <c r="AE146" i="1"/>
  <c r="AF146" i="1"/>
  <c r="AG146" i="1"/>
  <c r="AH146" i="1" s="1"/>
  <c r="AI146" i="1"/>
  <c r="AJ146" i="1"/>
  <c r="AL146" i="1"/>
  <c r="AM146" i="1"/>
  <c r="AN146" i="1"/>
  <c r="AO146" i="1"/>
  <c r="AP146" i="1"/>
  <c r="AQ146" i="1"/>
  <c r="AR146" i="1"/>
  <c r="AS146" i="1"/>
  <c r="AT146" i="1"/>
  <c r="AU146" i="1"/>
  <c r="AV146" i="1"/>
  <c r="AW146" i="1"/>
  <c r="AX146" i="1"/>
  <c r="AY146" i="1"/>
  <c r="AZ146" i="1"/>
  <c r="BA146" i="1"/>
  <c r="A147" i="1"/>
  <c r="B147" i="1"/>
  <c r="C147" i="1"/>
  <c r="D147" i="1"/>
  <c r="E147" i="1"/>
  <c r="F147" i="1"/>
  <c r="G147" i="1"/>
  <c r="H147" i="1"/>
  <c r="I147" i="1"/>
  <c r="J147" i="1"/>
  <c r="K147" i="1"/>
  <c r="L147" i="1"/>
  <c r="M147" i="1" s="1"/>
  <c r="N147" i="1"/>
  <c r="O147" i="1"/>
  <c r="P147" i="1"/>
  <c r="Q147" i="1"/>
  <c r="S147" i="1"/>
  <c r="T147" i="1"/>
  <c r="U147" i="1"/>
  <c r="V147" i="1"/>
  <c r="W147" i="1"/>
  <c r="X147" i="1"/>
  <c r="Y147" i="1"/>
  <c r="Z147" i="1"/>
  <c r="AA147" i="1"/>
  <c r="AB147" i="1"/>
  <c r="AC147" i="1"/>
  <c r="AD147" i="1" s="1"/>
  <c r="AE147" i="1"/>
  <c r="AF147" i="1"/>
  <c r="AG147" i="1"/>
  <c r="AH147" i="1" s="1"/>
  <c r="AI147" i="1"/>
  <c r="AJ147" i="1"/>
  <c r="AL147" i="1"/>
  <c r="AM147" i="1"/>
  <c r="AN147" i="1"/>
  <c r="AO147" i="1"/>
  <c r="AP147" i="1"/>
  <c r="AQ147" i="1"/>
  <c r="AR147" i="1"/>
  <c r="AS147" i="1"/>
  <c r="AT147" i="1"/>
  <c r="AU147" i="1"/>
  <c r="AV147" i="1"/>
  <c r="AW147" i="1"/>
  <c r="AX147" i="1"/>
  <c r="AY147" i="1"/>
  <c r="AZ147" i="1"/>
  <c r="BA147" i="1"/>
  <c r="A148" i="1"/>
  <c r="B148" i="1"/>
  <c r="C148" i="1"/>
  <c r="D148" i="1"/>
  <c r="E148" i="1"/>
  <c r="F148" i="1"/>
  <c r="G148" i="1"/>
  <c r="H148" i="1"/>
  <c r="I148" i="1"/>
  <c r="J148" i="1"/>
  <c r="K148" i="1"/>
  <c r="L148" i="1"/>
  <c r="M148" i="1" s="1"/>
  <c r="N148" i="1"/>
  <c r="O148" i="1"/>
  <c r="P148" i="1"/>
  <c r="Q148" i="1"/>
  <c r="R148" i="1"/>
  <c r="S148" i="1" s="1"/>
  <c r="T148" i="1"/>
  <c r="U148" i="1"/>
  <c r="V148" i="1"/>
  <c r="W148" i="1"/>
  <c r="X148" i="1"/>
  <c r="Y148" i="1"/>
  <c r="Z148" i="1"/>
  <c r="AA148" i="1"/>
  <c r="AB148" i="1"/>
  <c r="AC148" i="1"/>
  <c r="AD148" i="1" s="1"/>
  <c r="AE148" i="1"/>
  <c r="AF148" i="1"/>
  <c r="AG148" i="1"/>
  <c r="AH148" i="1" s="1"/>
  <c r="AI148" i="1"/>
  <c r="AL148" i="1"/>
  <c r="AM148" i="1"/>
  <c r="AN148" i="1"/>
  <c r="AO148" i="1"/>
  <c r="AP148" i="1"/>
  <c r="AQ148" i="1"/>
  <c r="AR148" i="1"/>
  <c r="AS148" i="1"/>
  <c r="AT148" i="1"/>
  <c r="AU148" i="1"/>
  <c r="AV148" i="1"/>
  <c r="AW148" i="1"/>
  <c r="AX148" i="1"/>
  <c r="AY148" i="1"/>
  <c r="AZ148" i="1"/>
  <c r="BA148" i="1"/>
  <c r="A149" i="1"/>
  <c r="B149" i="1"/>
  <c r="C149" i="1"/>
  <c r="D149" i="1"/>
  <c r="E149" i="1"/>
  <c r="F149" i="1"/>
  <c r="G149" i="1"/>
  <c r="H149" i="1"/>
  <c r="I149" i="1"/>
  <c r="J149" i="1"/>
  <c r="K149" i="1"/>
  <c r="L149" i="1"/>
  <c r="M149" i="1" s="1"/>
  <c r="N149" i="1"/>
  <c r="O149" i="1"/>
  <c r="P149" i="1"/>
  <c r="Q149" i="1"/>
  <c r="R149" i="1"/>
  <c r="S149" i="1" s="1"/>
  <c r="T149" i="1"/>
  <c r="U149" i="1"/>
  <c r="V149" i="1"/>
  <c r="W149" i="1"/>
  <c r="X149" i="1"/>
  <c r="Y149" i="1"/>
  <c r="Z149" i="1"/>
  <c r="AA149" i="1"/>
  <c r="AB149" i="1"/>
  <c r="AD149" i="1"/>
  <c r="AE149" i="1"/>
  <c r="AF149" i="1"/>
  <c r="AG149" i="1"/>
  <c r="AH149" i="1" s="1"/>
  <c r="AI149" i="1"/>
  <c r="AJ149" i="1"/>
  <c r="AL149" i="1"/>
  <c r="AM149" i="1"/>
  <c r="AN149" i="1"/>
  <c r="AO149" i="1"/>
  <c r="AP149" i="1"/>
  <c r="AQ149" i="1"/>
  <c r="AR149" i="1"/>
  <c r="AS149" i="1"/>
  <c r="AT149" i="1"/>
  <c r="AU149" i="1"/>
  <c r="AV149" i="1"/>
  <c r="AW149" i="1"/>
  <c r="AX149" i="1"/>
  <c r="AY149" i="1"/>
  <c r="AZ149" i="1"/>
  <c r="BA149" i="1"/>
  <c r="A150" i="1"/>
  <c r="B150" i="1"/>
  <c r="C150" i="1"/>
  <c r="D150" i="1"/>
  <c r="E150" i="1"/>
  <c r="F150" i="1"/>
  <c r="G150" i="1"/>
  <c r="H150" i="1"/>
  <c r="I150" i="1"/>
  <c r="J150" i="1"/>
  <c r="K150" i="1"/>
  <c r="M150" i="1"/>
  <c r="N150" i="1"/>
  <c r="O150" i="1"/>
  <c r="P150" i="1"/>
  <c r="Q150" i="1"/>
  <c r="S150" i="1"/>
  <c r="T150" i="1"/>
  <c r="U150" i="1"/>
  <c r="V150" i="1"/>
  <c r="W150" i="1"/>
  <c r="X150" i="1"/>
  <c r="Y150" i="1"/>
  <c r="Z150" i="1"/>
  <c r="AA150" i="1"/>
  <c r="AB150" i="1"/>
  <c r="AD150" i="1"/>
  <c r="AE150" i="1"/>
  <c r="AF150" i="1"/>
  <c r="AG150" i="1"/>
  <c r="AH150" i="1" s="1"/>
  <c r="AI150" i="1"/>
  <c r="AJ150" i="1"/>
  <c r="AL150" i="1"/>
  <c r="AM150" i="1"/>
  <c r="AN150" i="1"/>
  <c r="AO150" i="1"/>
  <c r="AP150" i="1"/>
  <c r="AQ150" i="1"/>
  <c r="AR150" i="1"/>
  <c r="AS150" i="1"/>
  <c r="AT150" i="1"/>
  <c r="AU150" i="1"/>
  <c r="AV150" i="1"/>
  <c r="AW150" i="1"/>
  <c r="AX150" i="1"/>
  <c r="AY150" i="1"/>
  <c r="AZ150" i="1"/>
  <c r="BA150" i="1"/>
  <c r="A151" i="1"/>
  <c r="B151" i="1"/>
  <c r="C151" i="1"/>
  <c r="D151" i="1"/>
  <c r="E151" i="1"/>
  <c r="F151" i="1"/>
  <c r="G151" i="1"/>
  <c r="H151" i="1"/>
  <c r="I151" i="1"/>
  <c r="J151" i="1"/>
  <c r="K151" i="1"/>
  <c r="L151" i="1"/>
  <c r="M151" i="1" s="1"/>
  <c r="N151" i="1"/>
  <c r="O151" i="1"/>
  <c r="P151" i="1"/>
  <c r="Q151" i="1"/>
  <c r="R151" i="1"/>
  <c r="S151" i="1" s="1"/>
  <c r="T151" i="1"/>
  <c r="U151" i="1"/>
  <c r="V151" i="1"/>
  <c r="W151" i="1"/>
  <c r="X151" i="1"/>
  <c r="Y151" i="1"/>
  <c r="Z151" i="1"/>
  <c r="AA151" i="1"/>
  <c r="AB151" i="1"/>
  <c r="AC151" i="1"/>
  <c r="AD151" i="1" s="1"/>
  <c r="AE151" i="1"/>
  <c r="AF151" i="1"/>
  <c r="AI151" i="1"/>
  <c r="AJ151" i="1"/>
  <c r="AL151" i="1"/>
  <c r="AM151" i="1"/>
  <c r="AN151" i="1"/>
  <c r="AO151" i="1"/>
  <c r="AP151" i="1"/>
  <c r="AQ151" i="1"/>
  <c r="AR151" i="1"/>
  <c r="AS151" i="1"/>
  <c r="AT151" i="1"/>
  <c r="AU151" i="1"/>
  <c r="AV151" i="1"/>
  <c r="AW151" i="1"/>
  <c r="AX151" i="1"/>
  <c r="AY151" i="1"/>
  <c r="AZ151" i="1"/>
  <c r="BA151" i="1"/>
  <c r="A152" i="1"/>
  <c r="B152" i="1"/>
  <c r="C152" i="1"/>
  <c r="D152" i="1"/>
  <c r="E152" i="1"/>
  <c r="F152" i="1"/>
  <c r="G152" i="1"/>
  <c r="H152" i="1"/>
  <c r="I152" i="1"/>
  <c r="J152" i="1"/>
  <c r="K152" i="1"/>
  <c r="L152" i="1"/>
  <c r="M152" i="1" s="1"/>
  <c r="N152" i="1"/>
  <c r="O152" i="1"/>
  <c r="P152" i="1"/>
  <c r="Q152" i="1"/>
  <c r="R152" i="1"/>
  <c r="S152" i="1" s="1"/>
  <c r="T152" i="1"/>
  <c r="U152" i="1"/>
  <c r="V152" i="1"/>
  <c r="W152" i="1"/>
  <c r="X152" i="1"/>
  <c r="Y152" i="1"/>
  <c r="Z152" i="1"/>
  <c r="AA152" i="1"/>
  <c r="AB152" i="1"/>
  <c r="AD152" i="1"/>
  <c r="AE152" i="1"/>
  <c r="AF152" i="1"/>
  <c r="AG152" i="1"/>
  <c r="AH152" i="1" s="1"/>
  <c r="AI152" i="1"/>
  <c r="AJ152" i="1"/>
  <c r="AL152" i="1"/>
  <c r="AM152" i="1"/>
  <c r="AN152" i="1"/>
  <c r="AO152" i="1"/>
  <c r="AP152" i="1"/>
  <c r="AQ152" i="1"/>
  <c r="AR152" i="1"/>
  <c r="AS152" i="1"/>
  <c r="AT152" i="1"/>
  <c r="AU152" i="1"/>
  <c r="AV152" i="1"/>
  <c r="AW152" i="1"/>
  <c r="AX152" i="1"/>
  <c r="AY152" i="1"/>
  <c r="AZ152" i="1"/>
  <c r="BA152" i="1"/>
  <c r="A153" i="1"/>
  <c r="B153" i="1"/>
  <c r="C153" i="1"/>
  <c r="D153" i="1"/>
  <c r="E153" i="1"/>
  <c r="F153" i="1"/>
  <c r="G153" i="1"/>
  <c r="H153" i="1"/>
  <c r="I153" i="1"/>
  <c r="J153" i="1"/>
  <c r="K153" i="1"/>
  <c r="M153" i="1"/>
  <c r="N153" i="1"/>
  <c r="O153" i="1"/>
  <c r="P153" i="1"/>
  <c r="Q153" i="1"/>
  <c r="S153" i="1"/>
  <c r="T153" i="1"/>
  <c r="U153" i="1"/>
  <c r="V153" i="1"/>
  <c r="W153" i="1"/>
  <c r="X153" i="1"/>
  <c r="Y153" i="1"/>
  <c r="Z153" i="1"/>
  <c r="AA153" i="1"/>
  <c r="AB153" i="1"/>
  <c r="AD153" i="1"/>
  <c r="AE153" i="1"/>
  <c r="AF153" i="1"/>
  <c r="AG153" i="1"/>
  <c r="AH153" i="1" s="1"/>
  <c r="AI153" i="1"/>
  <c r="AJ153" i="1"/>
  <c r="AL153" i="1"/>
  <c r="AM153" i="1"/>
  <c r="AN153" i="1"/>
  <c r="AO153" i="1"/>
  <c r="AP153" i="1"/>
  <c r="AQ153" i="1"/>
  <c r="AR153" i="1"/>
  <c r="AS153" i="1"/>
  <c r="AT153" i="1"/>
  <c r="AU153" i="1"/>
  <c r="AV153" i="1"/>
  <c r="AW153" i="1"/>
  <c r="AX153" i="1"/>
  <c r="AY153" i="1"/>
  <c r="AZ153" i="1"/>
  <c r="BA153" i="1"/>
  <c r="A154" i="1"/>
  <c r="B154" i="1"/>
  <c r="C154" i="1"/>
  <c r="D154" i="1"/>
  <c r="E154" i="1"/>
  <c r="F154" i="1"/>
  <c r="G154" i="1"/>
  <c r="H154" i="1"/>
  <c r="I154" i="1"/>
  <c r="J154" i="1"/>
  <c r="K154" i="1"/>
  <c r="L154" i="1"/>
  <c r="M154" i="1" s="1"/>
  <c r="N154" i="1"/>
  <c r="O154" i="1"/>
  <c r="P154" i="1"/>
  <c r="Q154" i="1"/>
  <c r="R154" i="1"/>
  <c r="S154" i="1" s="1"/>
  <c r="T154" i="1"/>
  <c r="U154" i="1"/>
  <c r="V154" i="1"/>
  <c r="W154" i="1"/>
  <c r="X154" i="1"/>
  <c r="Y154" i="1"/>
  <c r="Z154" i="1"/>
  <c r="AA154" i="1"/>
  <c r="AB154" i="1"/>
  <c r="AD154" i="1"/>
  <c r="AE154" i="1"/>
  <c r="AF154" i="1"/>
  <c r="AI154" i="1"/>
  <c r="AL154" i="1"/>
  <c r="AM154" i="1"/>
  <c r="AN154" i="1"/>
  <c r="AO154" i="1"/>
  <c r="AP154" i="1"/>
  <c r="AQ154" i="1"/>
  <c r="AR154" i="1"/>
  <c r="AS154" i="1"/>
  <c r="AT154" i="1"/>
  <c r="AU154" i="1"/>
  <c r="AV154" i="1"/>
  <c r="AW154" i="1"/>
  <c r="AX154" i="1"/>
  <c r="AY154" i="1"/>
  <c r="AZ154" i="1"/>
  <c r="BA154" i="1"/>
  <c r="A155" i="1"/>
  <c r="B155" i="1"/>
  <c r="C155" i="1"/>
  <c r="D155" i="1"/>
  <c r="E155" i="1"/>
  <c r="F155" i="1"/>
  <c r="G155" i="1"/>
  <c r="H155" i="1"/>
  <c r="I155" i="1"/>
  <c r="J155" i="1"/>
  <c r="K155" i="1"/>
  <c r="M155" i="1"/>
  <c r="N155" i="1"/>
  <c r="O155" i="1"/>
  <c r="P155" i="1"/>
  <c r="Q155" i="1"/>
  <c r="R155" i="1"/>
  <c r="S155" i="1" s="1"/>
  <c r="T155" i="1"/>
  <c r="U155" i="1"/>
  <c r="V155" i="1"/>
  <c r="W155" i="1"/>
  <c r="X155" i="1"/>
  <c r="Y155" i="1"/>
  <c r="Z155" i="1"/>
  <c r="AA155" i="1"/>
  <c r="AB155" i="1"/>
  <c r="AC155" i="1"/>
  <c r="AD155" i="1" s="1"/>
  <c r="AE155" i="1"/>
  <c r="AF155" i="1"/>
  <c r="AG155" i="1"/>
  <c r="AH155" i="1" s="1"/>
  <c r="AI155" i="1"/>
  <c r="AJ155" i="1"/>
  <c r="AL155" i="1"/>
  <c r="AM155" i="1"/>
  <c r="AN155" i="1"/>
  <c r="AO155" i="1"/>
  <c r="AP155" i="1"/>
  <c r="AQ155" i="1"/>
  <c r="AR155" i="1"/>
  <c r="AS155" i="1"/>
  <c r="AT155" i="1"/>
  <c r="AU155" i="1"/>
  <c r="AV155" i="1"/>
  <c r="AW155" i="1"/>
  <c r="AX155" i="1"/>
  <c r="AY155" i="1"/>
  <c r="AZ155" i="1"/>
  <c r="BA155" i="1"/>
  <c r="A156" i="1"/>
  <c r="B156" i="1"/>
  <c r="C156" i="1"/>
  <c r="D156" i="1"/>
  <c r="E156" i="1"/>
  <c r="F156" i="1"/>
  <c r="G156" i="1"/>
  <c r="H156" i="1"/>
  <c r="I156" i="1"/>
  <c r="J156" i="1"/>
  <c r="K156" i="1"/>
  <c r="L156" i="1"/>
  <c r="M156" i="1" s="1"/>
  <c r="N156" i="1"/>
  <c r="O156" i="1"/>
  <c r="P156" i="1"/>
  <c r="Q156" i="1"/>
  <c r="R156" i="1"/>
  <c r="S156" i="1" s="1"/>
  <c r="T156" i="1"/>
  <c r="U156" i="1"/>
  <c r="V156" i="1"/>
  <c r="W156" i="1"/>
  <c r="X156" i="1"/>
  <c r="Y156" i="1"/>
  <c r="Z156" i="1"/>
  <c r="AA156" i="1"/>
  <c r="AB156" i="1"/>
  <c r="AC156" i="1"/>
  <c r="AD156" i="1" s="1"/>
  <c r="AE156" i="1"/>
  <c r="AF156" i="1"/>
  <c r="AG156" i="1"/>
  <c r="AH156" i="1" s="1"/>
  <c r="AI156" i="1"/>
  <c r="AJ156" i="1"/>
  <c r="AL156" i="1"/>
  <c r="AM156" i="1"/>
  <c r="AN156" i="1"/>
  <c r="AO156" i="1"/>
  <c r="AP156" i="1"/>
  <c r="AQ156" i="1"/>
  <c r="AR156" i="1"/>
  <c r="AS156" i="1"/>
  <c r="AT156" i="1"/>
  <c r="AU156" i="1"/>
  <c r="AV156" i="1"/>
  <c r="AW156" i="1"/>
  <c r="AX156" i="1"/>
  <c r="AY156" i="1"/>
  <c r="AZ156" i="1"/>
  <c r="BA156" i="1"/>
  <c r="A157" i="1"/>
  <c r="B157" i="1"/>
  <c r="C157" i="1"/>
  <c r="D157" i="1"/>
  <c r="E157" i="1"/>
  <c r="F157" i="1"/>
  <c r="G157" i="1"/>
  <c r="H157" i="1"/>
  <c r="I157" i="1"/>
  <c r="J157" i="1"/>
  <c r="K157" i="1"/>
  <c r="M157" i="1"/>
  <c r="N157" i="1"/>
  <c r="O157" i="1"/>
  <c r="P157" i="1"/>
  <c r="Q157" i="1"/>
  <c r="R157" i="1"/>
  <c r="S157" i="1" s="1"/>
  <c r="T157" i="1"/>
  <c r="U157" i="1"/>
  <c r="V157" i="1"/>
  <c r="W157" i="1"/>
  <c r="X157" i="1"/>
  <c r="Y157" i="1"/>
  <c r="Z157" i="1"/>
  <c r="AA157" i="1"/>
  <c r="AB157" i="1"/>
  <c r="AC157" i="1"/>
  <c r="AD157" i="1" s="1"/>
  <c r="AE157" i="1"/>
  <c r="AF157" i="1"/>
  <c r="AG157" i="1"/>
  <c r="AH157" i="1" s="1"/>
  <c r="AI157" i="1"/>
  <c r="AJ157" i="1"/>
  <c r="AL157" i="1"/>
  <c r="AM157" i="1"/>
  <c r="AN157" i="1"/>
  <c r="AO157" i="1"/>
  <c r="AP157" i="1"/>
  <c r="AQ157" i="1"/>
  <c r="AR157" i="1"/>
  <c r="AS157" i="1"/>
  <c r="AT157" i="1"/>
  <c r="AU157" i="1"/>
  <c r="AV157" i="1"/>
  <c r="AW157" i="1"/>
  <c r="AX157" i="1"/>
  <c r="AY157" i="1"/>
  <c r="AZ157" i="1"/>
  <c r="BA157" i="1"/>
  <c r="A158" i="1"/>
  <c r="B158" i="1"/>
  <c r="C158" i="1"/>
  <c r="D158" i="1"/>
  <c r="E158" i="1"/>
  <c r="F158" i="1"/>
  <c r="G158" i="1"/>
  <c r="H158" i="1"/>
  <c r="I158" i="1"/>
  <c r="J158" i="1"/>
  <c r="K158" i="1"/>
  <c r="M158" i="1"/>
  <c r="N158" i="1"/>
  <c r="O158" i="1"/>
  <c r="P158" i="1"/>
  <c r="Q158" i="1"/>
  <c r="S158" i="1"/>
  <c r="T158" i="1"/>
  <c r="U158" i="1"/>
  <c r="V158" i="1"/>
  <c r="W158" i="1"/>
  <c r="X158" i="1"/>
  <c r="Y158" i="1"/>
  <c r="Z158" i="1"/>
  <c r="AA158" i="1"/>
  <c r="AB158" i="1"/>
  <c r="AD158" i="1"/>
  <c r="AE158" i="1"/>
  <c r="AF158" i="1"/>
  <c r="AG158" i="1"/>
  <c r="AH158" i="1" s="1"/>
  <c r="AI158" i="1"/>
  <c r="AL158" i="1"/>
  <c r="AM158" i="1"/>
  <c r="AN158" i="1"/>
  <c r="AO158" i="1"/>
  <c r="AP158" i="1"/>
  <c r="AQ158" i="1"/>
  <c r="AR158" i="1"/>
  <c r="AS158" i="1"/>
  <c r="AT158" i="1"/>
  <c r="AU158" i="1"/>
  <c r="AV158" i="1"/>
  <c r="AW158" i="1"/>
  <c r="AX158" i="1"/>
  <c r="AY158" i="1"/>
  <c r="AZ158" i="1"/>
  <c r="BA158" i="1"/>
  <c r="A159" i="1"/>
  <c r="B159" i="1"/>
  <c r="C159" i="1"/>
  <c r="D159" i="1"/>
  <c r="E159" i="1"/>
  <c r="F159" i="1"/>
  <c r="G159" i="1"/>
  <c r="H159" i="1"/>
  <c r="I159" i="1"/>
  <c r="J159" i="1"/>
  <c r="K159" i="1"/>
  <c r="L159" i="1"/>
  <c r="M159" i="1" s="1"/>
  <c r="N159" i="1"/>
  <c r="O159" i="1"/>
  <c r="P159" i="1"/>
  <c r="Q159" i="1"/>
  <c r="R159" i="1"/>
  <c r="S159" i="1" s="1"/>
  <c r="T159" i="1"/>
  <c r="U159" i="1"/>
  <c r="V159" i="1"/>
  <c r="W159" i="1"/>
  <c r="X159" i="1"/>
  <c r="Y159" i="1"/>
  <c r="Z159" i="1"/>
  <c r="AA159" i="1"/>
  <c r="AB159" i="1"/>
  <c r="AC159" i="1"/>
  <c r="AD159" i="1" s="1"/>
  <c r="AE159" i="1"/>
  <c r="AF159" i="1"/>
  <c r="AG159" i="1"/>
  <c r="AH159" i="1" s="1"/>
  <c r="AI159" i="1"/>
  <c r="AJ159" i="1"/>
  <c r="AL159" i="1"/>
  <c r="AM159" i="1"/>
  <c r="AN159" i="1"/>
  <c r="AO159" i="1"/>
  <c r="AP159" i="1"/>
  <c r="AQ159" i="1"/>
  <c r="AR159" i="1"/>
  <c r="AS159" i="1"/>
  <c r="AT159" i="1"/>
  <c r="AU159" i="1"/>
  <c r="AV159" i="1"/>
  <c r="AW159" i="1"/>
  <c r="AX159" i="1"/>
  <c r="AY159" i="1"/>
  <c r="AZ159" i="1"/>
  <c r="BA159" i="1"/>
  <c r="A160" i="1"/>
  <c r="B160" i="1"/>
  <c r="C160" i="1"/>
  <c r="D160" i="1"/>
  <c r="E160" i="1"/>
  <c r="F160" i="1"/>
  <c r="G160" i="1"/>
  <c r="H160" i="1"/>
  <c r="I160" i="1"/>
  <c r="J160" i="1"/>
  <c r="K160" i="1"/>
  <c r="M160" i="1"/>
  <c r="N160" i="1"/>
  <c r="O160" i="1"/>
  <c r="P160" i="1"/>
  <c r="Q160" i="1"/>
  <c r="S160" i="1"/>
  <c r="T160" i="1"/>
  <c r="U160" i="1"/>
  <c r="V160" i="1"/>
  <c r="W160" i="1"/>
  <c r="X160" i="1"/>
  <c r="Y160" i="1"/>
  <c r="Z160" i="1"/>
  <c r="AA160" i="1"/>
  <c r="AB160" i="1"/>
  <c r="AD160" i="1"/>
  <c r="AE160" i="1"/>
  <c r="AF160" i="1"/>
  <c r="AG160" i="1"/>
  <c r="AH160" i="1" s="1"/>
  <c r="AI160" i="1"/>
  <c r="AJ160" i="1"/>
  <c r="AL160" i="1"/>
  <c r="AM160" i="1"/>
  <c r="AN160" i="1"/>
  <c r="AO160" i="1"/>
  <c r="AP160" i="1"/>
  <c r="AQ160" i="1"/>
  <c r="AR160" i="1"/>
  <c r="AS160" i="1"/>
  <c r="AT160" i="1"/>
  <c r="AU160" i="1"/>
  <c r="AV160" i="1"/>
  <c r="AW160" i="1"/>
  <c r="AX160" i="1"/>
  <c r="AY160" i="1"/>
  <c r="AZ160" i="1"/>
  <c r="BA160" i="1"/>
  <c r="A161" i="1"/>
  <c r="B161" i="1"/>
  <c r="C161" i="1"/>
  <c r="D161" i="1"/>
  <c r="E161" i="1"/>
  <c r="F161" i="1"/>
  <c r="G161" i="1"/>
  <c r="H161" i="1"/>
  <c r="I161" i="1"/>
  <c r="J161" i="1"/>
  <c r="K161" i="1"/>
  <c r="L161" i="1"/>
  <c r="M161" i="1" s="1"/>
  <c r="N161" i="1"/>
  <c r="O161" i="1"/>
  <c r="P161" i="1"/>
  <c r="Q161" i="1"/>
  <c r="S161" i="1"/>
  <c r="T161" i="1"/>
  <c r="U161" i="1"/>
  <c r="V161" i="1"/>
  <c r="W161" i="1"/>
  <c r="X161" i="1"/>
  <c r="Y161" i="1"/>
  <c r="Z161" i="1"/>
  <c r="AA161" i="1"/>
  <c r="AB161" i="1"/>
  <c r="AC161" i="1"/>
  <c r="AD161" i="1" s="1"/>
  <c r="AE161" i="1"/>
  <c r="AF161" i="1"/>
  <c r="AG161" i="1"/>
  <c r="AH161" i="1" s="1"/>
  <c r="AI161" i="1"/>
  <c r="AL161" i="1"/>
  <c r="AM161" i="1"/>
  <c r="AN161" i="1"/>
  <c r="AO161" i="1"/>
  <c r="AP161" i="1"/>
  <c r="AQ161" i="1"/>
  <c r="AR161" i="1"/>
  <c r="AS161" i="1"/>
  <c r="AT161" i="1"/>
  <c r="AU161" i="1"/>
  <c r="AV161" i="1"/>
  <c r="AW161" i="1"/>
  <c r="AX161" i="1"/>
  <c r="AY161" i="1"/>
  <c r="AZ161" i="1"/>
  <c r="BA161" i="1"/>
  <c r="A162" i="1"/>
  <c r="B162" i="1"/>
  <c r="C162" i="1"/>
  <c r="D162" i="1"/>
  <c r="E162" i="1"/>
  <c r="F162" i="1"/>
  <c r="G162" i="1"/>
  <c r="H162" i="1"/>
  <c r="I162" i="1"/>
  <c r="J162" i="1"/>
  <c r="K162" i="1"/>
  <c r="L162" i="1"/>
  <c r="M162" i="1" s="1"/>
  <c r="N162" i="1"/>
  <c r="O162" i="1"/>
  <c r="P162" i="1"/>
  <c r="Q162" i="1"/>
  <c r="R162" i="1"/>
  <c r="S162" i="1" s="1"/>
  <c r="T162" i="1"/>
  <c r="U162" i="1"/>
  <c r="V162" i="1"/>
  <c r="W162" i="1"/>
  <c r="X162" i="1"/>
  <c r="Y162" i="1"/>
  <c r="Z162" i="1"/>
  <c r="AA162" i="1"/>
  <c r="AB162" i="1"/>
  <c r="AC162" i="1"/>
  <c r="AD162" i="1" s="1"/>
  <c r="AE162" i="1"/>
  <c r="AF162" i="1"/>
  <c r="AG162" i="1"/>
  <c r="AH162" i="1" s="1"/>
  <c r="AI162" i="1"/>
  <c r="AL162" i="1"/>
  <c r="AM162" i="1"/>
  <c r="AN162" i="1"/>
  <c r="AO162" i="1"/>
  <c r="AP162" i="1"/>
  <c r="AQ162" i="1"/>
  <c r="AR162" i="1"/>
  <c r="AS162" i="1"/>
  <c r="AT162" i="1"/>
  <c r="AU162" i="1"/>
  <c r="AV162" i="1"/>
  <c r="AW162" i="1"/>
  <c r="AX162" i="1"/>
  <c r="AY162" i="1"/>
  <c r="AZ162" i="1"/>
  <c r="BA162" i="1"/>
  <c r="A163" i="1"/>
  <c r="B163" i="1"/>
  <c r="C163" i="1"/>
  <c r="D163" i="1"/>
  <c r="E163" i="1"/>
  <c r="F163" i="1"/>
  <c r="G163" i="1"/>
  <c r="H163" i="1"/>
  <c r="I163" i="1"/>
  <c r="J163" i="1"/>
  <c r="K163" i="1"/>
  <c r="L163" i="1"/>
  <c r="M163" i="1" s="1"/>
  <c r="N163" i="1"/>
  <c r="O163" i="1"/>
  <c r="P163" i="1"/>
  <c r="Q163" i="1"/>
  <c r="R163" i="1"/>
  <c r="S163" i="1" s="1"/>
  <c r="T163" i="1"/>
  <c r="U163" i="1"/>
  <c r="V163" i="1"/>
  <c r="W163" i="1"/>
  <c r="X163" i="1"/>
  <c r="Y163" i="1"/>
  <c r="Z163" i="1"/>
  <c r="AA163" i="1"/>
  <c r="AB163" i="1"/>
  <c r="AC163" i="1"/>
  <c r="AD163" i="1" s="1"/>
  <c r="AE163" i="1"/>
  <c r="AF163" i="1"/>
  <c r="AG163" i="1"/>
  <c r="AH163" i="1" s="1"/>
  <c r="AI163" i="1"/>
  <c r="AJ163" i="1"/>
  <c r="AL163" i="1"/>
  <c r="AM163" i="1"/>
  <c r="AN163" i="1"/>
  <c r="AO163" i="1"/>
  <c r="AP163" i="1"/>
  <c r="AQ163" i="1"/>
  <c r="AR163" i="1"/>
  <c r="AS163" i="1"/>
  <c r="AT163" i="1"/>
  <c r="AU163" i="1"/>
  <c r="AV163" i="1"/>
  <c r="AW163" i="1"/>
  <c r="AX163" i="1"/>
  <c r="AY163" i="1"/>
  <c r="AZ163" i="1"/>
  <c r="BA163" i="1"/>
  <c r="A164" i="1"/>
  <c r="B164" i="1"/>
  <c r="C164" i="1"/>
  <c r="D164" i="1"/>
  <c r="E164" i="1"/>
  <c r="F164" i="1"/>
  <c r="G164" i="1"/>
  <c r="H164" i="1"/>
  <c r="I164" i="1"/>
  <c r="J164" i="1"/>
  <c r="K164" i="1"/>
  <c r="M164" i="1"/>
  <c r="N164" i="1"/>
  <c r="O164" i="1"/>
  <c r="P164" i="1"/>
  <c r="Q164" i="1"/>
  <c r="S164" i="1"/>
  <c r="T164" i="1"/>
  <c r="U164" i="1"/>
  <c r="V164" i="1"/>
  <c r="W164" i="1"/>
  <c r="X164" i="1"/>
  <c r="Y164" i="1"/>
  <c r="Z164" i="1"/>
  <c r="AA164" i="1"/>
  <c r="AB164" i="1"/>
  <c r="AD164" i="1"/>
  <c r="AE164" i="1"/>
  <c r="AF164" i="1"/>
  <c r="AG164" i="1"/>
  <c r="AH164" i="1" s="1"/>
  <c r="AI164" i="1"/>
  <c r="AJ164" i="1"/>
  <c r="AL164" i="1"/>
  <c r="AM164" i="1"/>
  <c r="AN164" i="1"/>
  <c r="AO164" i="1"/>
  <c r="AP164" i="1"/>
  <c r="AQ164" i="1"/>
  <c r="AR164" i="1"/>
  <c r="AS164" i="1"/>
  <c r="AT164" i="1"/>
  <c r="AU164" i="1"/>
  <c r="AV164" i="1"/>
  <c r="AW164" i="1"/>
  <c r="AX164" i="1"/>
  <c r="AY164" i="1"/>
  <c r="AZ164" i="1"/>
  <c r="BA164" i="1"/>
  <c r="A165" i="1"/>
  <c r="B165" i="1"/>
  <c r="C165" i="1"/>
  <c r="D165" i="1"/>
  <c r="E165" i="1"/>
  <c r="F165" i="1"/>
  <c r="G165" i="1"/>
  <c r="H165" i="1"/>
  <c r="I165" i="1"/>
  <c r="J165" i="1"/>
  <c r="K165" i="1"/>
  <c r="L165" i="1"/>
  <c r="M165" i="1" s="1"/>
  <c r="N165" i="1"/>
  <c r="O165" i="1"/>
  <c r="P165" i="1"/>
  <c r="Q165" i="1"/>
  <c r="R165" i="1"/>
  <c r="S165" i="1" s="1"/>
  <c r="T165" i="1"/>
  <c r="U165" i="1"/>
  <c r="V165" i="1"/>
  <c r="W165" i="1"/>
  <c r="X165" i="1"/>
  <c r="Y165" i="1"/>
  <c r="Z165" i="1"/>
  <c r="AA165" i="1"/>
  <c r="AB165" i="1"/>
  <c r="AD165" i="1"/>
  <c r="AE165" i="1"/>
  <c r="AF165" i="1"/>
  <c r="AG165" i="1"/>
  <c r="AH165" i="1" s="1"/>
  <c r="AI165" i="1"/>
  <c r="AJ165" i="1"/>
  <c r="AL165" i="1"/>
  <c r="AM165" i="1"/>
  <c r="AN165" i="1"/>
  <c r="AO165" i="1"/>
  <c r="AP165" i="1"/>
  <c r="AQ165" i="1"/>
  <c r="AR165" i="1"/>
  <c r="AS165" i="1"/>
  <c r="AT165" i="1"/>
  <c r="AU165" i="1"/>
  <c r="AV165" i="1"/>
  <c r="AW165" i="1"/>
  <c r="AX165" i="1"/>
  <c r="AY165" i="1"/>
  <c r="AZ165" i="1"/>
  <c r="BA165" i="1"/>
  <c r="A166" i="1"/>
  <c r="B166" i="1"/>
  <c r="C166" i="1"/>
  <c r="D166" i="1"/>
  <c r="E166" i="1"/>
  <c r="F166" i="1"/>
  <c r="G166" i="1"/>
  <c r="H166" i="1"/>
  <c r="I166" i="1"/>
  <c r="J166" i="1"/>
  <c r="K166" i="1"/>
  <c r="L166" i="1"/>
  <c r="M166" i="1" s="1"/>
  <c r="N166" i="1"/>
  <c r="O166" i="1"/>
  <c r="P166" i="1"/>
  <c r="Q166" i="1"/>
  <c r="R166" i="1"/>
  <c r="S166" i="1" s="1"/>
  <c r="T166" i="1"/>
  <c r="U166" i="1"/>
  <c r="V166" i="1"/>
  <c r="W166" i="1"/>
  <c r="X166" i="1"/>
  <c r="Y166" i="1"/>
  <c r="Z166" i="1"/>
  <c r="AA166" i="1"/>
  <c r="AB166" i="1"/>
  <c r="AC166" i="1"/>
  <c r="AD166" i="1" s="1"/>
  <c r="AE166" i="1"/>
  <c r="AF166" i="1"/>
  <c r="AI166" i="1"/>
  <c r="AJ166" i="1"/>
  <c r="AL166" i="1"/>
  <c r="AM166" i="1"/>
  <c r="AN166" i="1"/>
  <c r="AO166" i="1"/>
  <c r="AP166" i="1"/>
  <c r="AQ166" i="1"/>
  <c r="AR166" i="1"/>
  <c r="AS166" i="1"/>
  <c r="AT166" i="1"/>
  <c r="AU166" i="1"/>
  <c r="AV166" i="1"/>
  <c r="AW166" i="1"/>
  <c r="AX166" i="1"/>
  <c r="AY166" i="1"/>
  <c r="AZ166" i="1"/>
  <c r="BA166" i="1"/>
  <c r="A167" i="1"/>
  <c r="B167" i="1"/>
  <c r="C167" i="1"/>
  <c r="D167" i="1"/>
  <c r="E167" i="1"/>
  <c r="F167" i="1"/>
  <c r="G167" i="1"/>
  <c r="H167" i="1"/>
  <c r="I167" i="1"/>
  <c r="J167" i="1"/>
  <c r="K167" i="1"/>
  <c r="M167" i="1"/>
  <c r="N167" i="1"/>
  <c r="O167" i="1"/>
  <c r="P167" i="1"/>
  <c r="Q167" i="1"/>
  <c r="S167" i="1"/>
  <c r="T167" i="1"/>
  <c r="U167" i="1"/>
  <c r="V167" i="1"/>
  <c r="W167" i="1"/>
  <c r="X167" i="1"/>
  <c r="Y167" i="1"/>
  <c r="Z167" i="1"/>
  <c r="AA167" i="1"/>
  <c r="AB167" i="1"/>
  <c r="AD167" i="1"/>
  <c r="AE167" i="1"/>
  <c r="AF167" i="1"/>
  <c r="AG167" i="1"/>
  <c r="AH167" i="1" s="1"/>
  <c r="AI167" i="1"/>
  <c r="AJ167" i="1"/>
  <c r="AL167" i="1"/>
  <c r="AM167" i="1"/>
  <c r="AN167" i="1"/>
  <c r="AO167" i="1"/>
  <c r="AP167" i="1"/>
  <c r="AQ167" i="1"/>
  <c r="AR167" i="1"/>
  <c r="AS167" i="1"/>
  <c r="AT167" i="1"/>
  <c r="AU167" i="1"/>
  <c r="AV167" i="1"/>
  <c r="AW167" i="1"/>
  <c r="AX167" i="1"/>
  <c r="AY167" i="1"/>
  <c r="AZ167" i="1"/>
  <c r="BA167" i="1"/>
  <c r="A168" i="1"/>
  <c r="B168" i="1"/>
  <c r="C168" i="1"/>
  <c r="D168" i="1"/>
  <c r="E168" i="1"/>
  <c r="F168" i="1"/>
  <c r="G168" i="1"/>
  <c r="H168" i="1"/>
  <c r="I168" i="1"/>
  <c r="J168" i="1"/>
  <c r="K168" i="1"/>
  <c r="M168" i="1"/>
  <c r="N168" i="1"/>
  <c r="O168" i="1"/>
  <c r="P168" i="1"/>
  <c r="Q168" i="1"/>
  <c r="S168" i="1"/>
  <c r="T168" i="1"/>
  <c r="U168" i="1"/>
  <c r="V168" i="1"/>
  <c r="W168" i="1"/>
  <c r="X168" i="1"/>
  <c r="Y168" i="1"/>
  <c r="Z168" i="1"/>
  <c r="AA168" i="1"/>
  <c r="AB168" i="1"/>
  <c r="AC168" i="1"/>
  <c r="AD168" i="1" s="1"/>
  <c r="AE168" i="1"/>
  <c r="AF168" i="1"/>
  <c r="AI168" i="1"/>
  <c r="AJ168" i="1"/>
  <c r="AL168" i="1"/>
  <c r="AM168" i="1"/>
  <c r="AN168" i="1"/>
  <c r="AO168" i="1"/>
  <c r="AP168" i="1"/>
  <c r="AQ168" i="1"/>
  <c r="AR168" i="1"/>
  <c r="AS168" i="1"/>
  <c r="AT168" i="1"/>
  <c r="AU168" i="1"/>
  <c r="AV168" i="1"/>
  <c r="AW168" i="1"/>
  <c r="AX168" i="1"/>
  <c r="AY168" i="1"/>
  <c r="AZ168" i="1"/>
  <c r="BA168" i="1"/>
  <c r="A169" i="1"/>
  <c r="B169" i="1"/>
  <c r="C169" i="1"/>
  <c r="D169" i="1"/>
  <c r="E169" i="1"/>
  <c r="F169" i="1"/>
  <c r="G169" i="1"/>
  <c r="H169" i="1"/>
  <c r="I169" i="1"/>
  <c r="J169" i="1"/>
  <c r="K169" i="1"/>
  <c r="M169" i="1"/>
  <c r="N169" i="1"/>
  <c r="O169" i="1"/>
  <c r="P169" i="1"/>
  <c r="Q169" i="1"/>
  <c r="S169" i="1"/>
  <c r="T169" i="1"/>
  <c r="U169" i="1"/>
  <c r="V169" i="1"/>
  <c r="W169" i="1"/>
  <c r="X169" i="1"/>
  <c r="Y169" i="1"/>
  <c r="Z169" i="1"/>
  <c r="AA169" i="1"/>
  <c r="AB169" i="1"/>
  <c r="AD169" i="1"/>
  <c r="AE169" i="1"/>
  <c r="AF169" i="1"/>
  <c r="AG169" i="1"/>
  <c r="AH169" i="1" s="1"/>
  <c r="AI169" i="1"/>
  <c r="AJ169" i="1"/>
  <c r="AL169" i="1"/>
  <c r="AM169" i="1"/>
  <c r="AN169" i="1"/>
  <c r="AO169" i="1"/>
  <c r="AP169" i="1"/>
  <c r="AQ169" i="1"/>
  <c r="AR169" i="1"/>
  <c r="AS169" i="1"/>
  <c r="AT169" i="1"/>
  <c r="AU169" i="1"/>
  <c r="AV169" i="1"/>
  <c r="AW169" i="1"/>
  <c r="AX169" i="1"/>
  <c r="AY169" i="1"/>
  <c r="AZ169" i="1"/>
  <c r="BA169" i="1"/>
  <c r="A170" i="1"/>
  <c r="B170" i="1"/>
  <c r="C170" i="1"/>
  <c r="D170" i="1"/>
  <c r="E170" i="1"/>
  <c r="F170" i="1"/>
  <c r="G170" i="1"/>
  <c r="H170" i="1"/>
  <c r="I170" i="1"/>
  <c r="J170" i="1"/>
  <c r="K170" i="1"/>
  <c r="L170" i="1"/>
  <c r="M170" i="1" s="1"/>
  <c r="N170" i="1"/>
  <c r="O170" i="1"/>
  <c r="P170" i="1"/>
  <c r="Q170" i="1"/>
  <c r="R170" i="1"/>
  <c r="S170" i="1" s="1"/>
  <c r="T170" i="1"/>
  <c r="U170" i="1"/>
  <c r="V170" i="1"/>
  <c r="W170" i="1"/>
  <c r="X170" i="1"/>
  <c r="Y170" i="1"/>
  <c r="Z170" i="1"/>
  <c r="AA170" i="1"/>
  <c r="AB170" i="1"/>
  <c r="AD170" i="1"/>
  <c r="AE170" i="1"/>
  <c r="AF170" i="1"/>
  <c r="AG170" i="1"/>
  <c r="AH170" i="1" s="1"/>
  <c r="AI170" i="1"/>
  <c r="AJ170" i="1"/>
  <c r="AL170" i="1"/>
  <c r="AM170" i="1"/>
  <c r="AN170" i="1"/>
  <c r="AO170" i="1"/>
  <c r="AP170" i="1"/>
  <c r="AQ170" i="1"/>
  <c r="AR170" i="1"/>
  <c r="AS170" i="1"/>
  <c r="AT170" i="1"/>
  <c r="AU170" i="1"/>
  <c r="AV170" i="1"/>
  <c r="AW170" i="1"/>
  <c r="AX170" i="1"/>
  <c r="AY170" i="1"/>
  <c r="AZ170" i="1"/>
  <c r="BA170" i="1"/>
  <c r="A171" i="1"/>
  <c r="B171" i="1"/>
  <c r="C171" i="1"/>
  <c r="D171" i="1"/>
  <c r="E171" i="1"/>
  <c r="F171" i="1"/>
  <c r="G171" i="1"/>
  <c r="H171" i="1"/>
  <c r="I171" i="1"/>
  <c r="J171" i="1"/>
  <c r="K171" i="1"/>
  <c r="L171" i="1"/>
  <c r="M171" i="1" s="1"/>
  <c r="N171" i="1"/>
  <c r="O171" i="1"/>
  <c r="P171" i="1"/>
  <c r="Q171" i="1"/>
  <c r="S171" i="1"/>
  <c r="T171" i="1"/>
  <c r="U171" i="1"/>
  <c r="V171" i="1"/>
  <c r="W171" i="1"/>
  <c r="X171" i="1"/>
  <c r="Y171" i="1"/>
  <c r="Z171" i="1"/>
  <c r="AA171" i="1"/>
  <c r="AB171" i="1"/>
  <c r="AD171" i="1"/>
  <c r="AE171" i="1"/>
  <c r="AF171" i="1"/>
  <c r="AG171" i="1"/>
  <c r="AH171" i="1" s="1"/>
  <c r="AI171" i="1"/>
  <c r="AJ171" i="1"/>
  <c r="AL171" i="1"/>
  <c r="AM171" i="1"/>
  <c r="AN171" i="1"/>
  <c r="AO171" i="1"/>
  <c r="AP171" i="1"/>
  <c r="AQ171" i="1"/>
  <c r="AR171" i="1"/>
  <c r="AS171" i="1"/>
  <c r="AT171" i="1"/>
  <c r="AU171" i="1"/>
  <c r="AV171" i="1"/>
  <c r="AW171" i="1"/>
  <c r="AX171" i="1"/>
  <c r="AY171" i="1"/>
  <c r="AZ171" i="1"/>
  <c r="BA171" i="1"/>
  <c r="A172" i="1"/>
  <c r="B172" i="1"/>
  <c r="C172" i="1"/>
  <c r="D172" i="1"/>
  <c r="E172" i="1"/>
  <c r="F172" i="1"/>
  <c r="G172" i="1"/>
  <c r="H172" i="1"/>
  <c r="I172" i="1"/>
  <c r="J172" i="1"/>
  <c r="K172" i="1"/>
  <c r="M172" i="1"/>
  <c r="N172" i="1"/>
  <c r="O172" i="1"/>
  <c r="P172" i="1"/>
  <c r="Q172" i="1"/>
  <c r="S172" i="1"/>
  <c r="T172" i="1"/>
  <c r="U172" i="1"/>
  <c r="V172" i="1"/>
  <c r="W172" i="1"/>
  <c r="X172" i="1"/>
  <c r="Y172" i="1"/>
  <c r="Z172" i="1"/>
  <c r="AA172" i="1"/>
  <c r="AB172" i="1"/>
  <c r="AC172" i="1"/>
  <c r="AD172" i="1" s="1"/>
  <c r="AE172" i="1"/>
  <c r="AF172" i="1"/>
  <c r="AG172" i="1"/>
  <c r="AH172" i="1" s="1"/>
  <c r="AI172" i="1"/>
  <c r="AJ172" i="1"/>
  <c r="AL172" i="1"/>
  <c r="AM172" i="1"/>
  <c r="AN172" i="1"/>
  <c r="AO172" i="1"/>
  <c r="AP172" i="1"/>
  <c r="AQ172" i="1"/>
  <c r="AR172" i="1"/>
  <c r="AS172" i="1"/>
  <c r="AT172" i="1"/>
  <c r="AU172" i="1"/>
  <c r="AV172" i="1"/>
  <c r="AW172" i="1"/>
  <c r="AX172" i="1"/>
  <c r="AY172" i="1"/>
  <c r="AZ172" i="1"/>
  <c r="BA172" i="1"/>
  <c r="A173" i="1"/>
  <c r="B173" i="1"/>
  <c r="C173" i="1"/>
  <c r="D173" i="1"/>
  <c r="E173" i="1"/>
  <c r="F173" i="1"/>
  <c r="G173" i="1"/>
  <c r="H173" i="1"/>
  <c r="I173" i="1"/>
  <c r="J173" i="1"/>
  <c r="K173" i="1"/>
  <c r="L173" i="1"/>
  <c r="M173" i="1" s="1"/>
  <c r="N173" i="1"/>
  <c r="O173" i="1"/>
  <c r="P173" i="1"/>
  <c r="Q173" i="1"/>
  <c r="R173" i="1"/>
  <c r="S173" i="1" s="1"/>
  <c r="T173" i="1"/>
  <c r="U173" i="1"/>
  <c r="V173" i="1"/>
  <c r="W173" i="1"/>
  <c r="X173" i="1"/>
  <c r="Y173" i="1"/>
  <c r="Z173" i="1"/>
  <c r="AA173" i="1"/>
  <c r="AB173" i="1"/>
  <c r="AC173" i="1"/>
  <c r="AD173" i="1" s="1"/>
  <c r="AE173" i="1"/>
  <c r="AF173" i="1"/>
  <c r="AG173" i="1"/>
  <c r="AH173" i="1" s="1"/>
  <c r="AI173" i="1"/>
  <c r="AJ173" i="1"/>
  <c r="AL173" i="1"/>
  <c r="AM173" i="1"/>
  <c r="AN173" i="1"/>
  <c r="AO173" i="1"/>
  <c r="AP173" i="1"/>
  <c r="AQ173" i="1"/>
  <c r="AR173" i="1"/>
  <c r="AS173" i="1"/>
  <c r="AT173" i="1"/>
  <c r="AU173" i="1"/>
  <c r="AV173" i="1"/>
  <c r="AW173" i="1"/>
  <c r="AX173" i="1"/>
  <c r="AY173" i="1"/>
  <c r="AZ173" i="1"/>
  <c r="BA173" i="1"/>
  <c r="A174" i="1"/>
  <c r="B174" i="1"/>
  <c r="C174" i="1"/>
  <c r="D174" i="1"/>
  <c r="E174" i="1"/>
  <c r="F174" i="1"/>
  <c r="G174" i="1"/>
  <c r="H174" i="1"/>
  <c r="I174" i="1"/>
  <c r="J174" i="1"/>
  <c r="K174" i="1"/>
  <c r="L174" i="1"/>
  <c r="M174" i="1" s="1"/>
  <c r="N174" i="1"/>
  <c r="O174" i="1"/>
  <c r="P174" i="1"/>
  <c r="Q174" i="1"/>
  <c r="R174" i="1"/>
  <c r="S174" i="1" s="1"/>
  <c r="T174" i="1"/>
  <c r="U174" i="1"/>
  <c r="V174" i="1"/>
  <c r="W174" i="1"/>
  <c r="X174" i="1"/>
  <c r="Y174" i="1"/>
  <c r="Z174" i="1"/>
  <c r="AA174" i="1"/>
  <c r="AB174" i="1"/>
  <c r="AC174" i="1"/>
  <c r="AD174" i="1" s="1"/>
  <c r="AE174" i="1"/>
  <c r="AF174" i="1"/>
  <c r="AG174" i="1"/>
  <c r="AH174" i="1" s="1"/>
  <c r="AI174" i="1"/>
  <c r="AJ174" i="1"/>
  <c r="AL174" i="1"/>
  <c r="AM174" i="1"/>
  <c r="AN174" i="1"/>
  <c r="AO174" i="1"/>
  <c r="AP174" i="1"/>
  <c r="AQ174" i="1"/>
  <c r="AR174" i="1"/>
  <c r="AS174" i="1"/>
  <c r="AT174" i="1"/>
  <c r="AU174" i="1"/>
  <c r="AV174" i="1"/>
  <c r="AW174" i="1"/>
  <c r="AX174" i="1"/>
  <c r="AY174" i="1"/>
  <c r="AZ174" i="1"/>
  <c r="BA174" i="1"/>
  <c r="A175" i="1"/>
  <c r="B175" i="1"/>
  <c r="C175" i="1"/>
  <c r="D175" i="1"/>
  <c r="E175" i="1"/>
  <c r="F175" i="1"/>
  <c r="G175" i="1"/>
  <c r="H175" i="1"/>
  <c r="I175" i="1"/>
  <c r="J175" i="1"/>
  <c r="K175" i="1"/>
  <c r="L175" i="1"/>
  <c r="M175" i="1" s="1"/>
  <c r="N175" i="1"/>
  <c r="O175" i="1"/>
  <c r="P175" i="1"/>
  <c r="Q175" i="1"/>
  <c r="R175" i="1"/>
  <c r="S175" i="1" s="1"/>
  <c r="T175" i="1"/>
  <c r="U175" i="1"/>
  <c r="V175" i="1"/>
  <c r="W175" i="1"/>
  <c r="X175" i="1"/>
  <c r="Y175" i="1"/>
  <c r="Z175" i="1"/>
  <c r="AA175" i="1"/>
  <c r="AB175" i="1"/>
  <c r="AD175" i="1"/>
  <c r="AE175" i="1"/>
  <c r="AF175" i="1"/>
  <c r="AG175" i="1"/>
  <c r="AH175" i="1" s="1"/>
  <c r="AI175" i="1"/>
  <c r="AJ175" i="1"/>
  <c r="AL175" i="1"/>
  <c r="AM175" i="1"/>
  <c r="AN175" i="1"/>
  <c r="AO175" i="1"/>
  <c r="AP175" i="1"/>
  <c r="AQ175" i="1"/>
  <c r="AR175" i="1"/>
  <c r="AS175" i="1"/>
  <c r="AT175" i="1"/>
  <c r="AU175" i="1"/>
  <c r="AV175" i="1"/>
  <c r="AW175" i="1"/>
  <c r="AX175" i="1"/>
  <c r="AY175" i="1"/>
  <c r="AZ175" i="1"/>
  <c r="BA175" i="1"/>
  <c r="A176" i="1"/>
  <c r="B176" i="1"/>
  <c r="C176" i="1"/>
  <c r="D176" i="1"/>
  <c r="E176" i="1"/>
  <c r="F176" i="1"/>
  <c r="G176" i="1"/>
  <c r="H176" i="1"/>
  <c r="I176" i="1"/>
  <c r="J176" i="1"/>
  <c r="K176" i="1"/>
  <c r="L176" i="1"/>
  <c r="M176" i="1" s="1"/>
  <c r="N176" i="1"/>
  <c r="O176" i="1"/>
  <c r="P176" i="1"/>
  <c r="Q176" i="1"/>
  <c r="S176" i="1"/>
  <c r="T176" i="1"/>
  <c r="U176" i="1"/>
  <c r="V176" i="1"/>
  <c r="W176" i="1"/>
  <c r="X176" i="1"/>
  <c r="Y176" i="1"/>
  <c r="Z176" i="1"/>
  <c r="AA176" i="1"/>
  <c r="AB176" i="1"/>
  <c r="AC176" i="1"/>
  <c r="AD176" i="1" s="1"/>
  <c r="AE176" i="1"/>
  <c r="AF176" i="1"/>
  <c r="AG176" i="1"/>
  <c r="AH176" i="1" s="1"/>
  <c r="AI176" i="1"/>
  <c r="AL176" i="1"/>
  <c r="AM176" i="1"/>
  <c r="AN176" i="1"/>
  <c r="AO176" i="1"/>
  <c r="AP176" i="1"/>
  <c r="AQ176" i="1"/>
  <c r="AR176" i="1"/>
  <c r="AS176" i="1"/>
  <c r="AT176" i="1"/>
  <c r="AU176" i="1"/>
  <c r="AV176" i="1"/>
  <c r="AW176" i="1"/>
  <c r="AX176" i="1"/>
  <c r="AY176" i="1"/>
  <c r="AZ176" i="1"/>
  <c r="BA176" i="1"/>
  <c r="A177" i="1"/>
  <c r="B177" i="1"/>
  <c r="C177" i="1"/>
  <c r="D177" i="1"/>
  <c r="E177" i="1"/>
  <c r="F177" i="1"/>
  <c r="G177" i="1"/>
  <c r="H177" i="1"/>
  <c r="I177" i="1"/>
  <c r="J177" i="1"/>
  <c r="K177" i="1"/>
  <c r="M177" i="1"/>
  <c r="N177" i="1"/>
  <c r="O177" i="1"/>
  <c r="P177" i="1"/>
  <c r="Q177" i="1"/>
  <c r="S177" i="1"/>
  <c r="T177" i="1"/>
  <c r="U177" i="1"/>
  <c r="V177" i="1"/>
  <c r="W177" i="1"/>
  <c r="X177" i="1"/>
  <c r="Y177" i="1"/>
  <c r="Z177" i="1"/>
  <c r="AA177" i="1"/>
  <c r="AB177" i="1"/>
  <c r="AC177" i="1"/>
  <c r="AD177" i="1" s="1"/>
  <c r="AE177" i="1"/>
  <c r="AF177" i="1"/>
  <c r="AG177" i="1"/>
  <c r="AH177" i="1" s="1"/>
  <c r="AI177" i="1"/>
  <c r="AL177" i="1"/>
  <c r="AM177" i="1"/>
  <c r="AN177" i="1"/>
  <c r="AO177" i="1"/>
  <c r="AP177" i="1"/>
  <c r="AQ177" i="1"/>
  <c r="AR177" i="1"/>
  <c r="AS177" i="1"/>
  <c r="AT177" i="1"/>
  <c r="AU177" i="1"/>
  <c r="AV177" i="1"/>
  <c r="AW177" i="1"/>
  <c r="AX177" i="1"/>
  <c r="AY177" i="1"/>
  <c r="AZ177" i="1"/>
  <c r="BA177" i="1"/>
  <c r="A178" i="1"/>
  <c r="B178" i="1"/>
  <c r="C178" i="1"/>
  <c r="D178" i="1"/>
  <c r="E178" i="1"/>
  <c r="F178" i="1"/>
  <c r="G178" i="1"/>
  <c r="H178" i="1"/>
  <c r="I178" i="1"/>
  <c r="J178" i="1"/>
  <c r="K178" i="1"/>
  <c r="M178" i="1"/>
  <c r="N178" i="1"/>
  <c r="O178" i="1"/>
  <c r="P178" i="1"/>
  <c r="Q178" i="1"/>
  <c r="S178" i="1"/>
  <c r="T178" i="1"/>
  <c r="U178" i="1"/>
  <c r="V178" i="1"/>
  <c r="W178" i="1"/>
  <c r="X178" i="1"/>
  <c r="Y178" i="1"/>
  <c r="Z178" i="1"/>
  <c r="AA178" i="1"/>
  <c r="AB178" i="1"/>
  <c r="AD178" i="1"/>
  <c r="AE178" i="1"/>
  <c r="AF178" i="1"/>
  <c r="AG178" i="1"/>
  <c r="AH178" i="1" s="1"/>
  <c r="AI178" i="1"/>
  <c r="AL178" i="1"/>
  <c r="AM178" i="1"/>
  <c r="AN178" i="1"/>
  <c r="AO178" i="1"/>
  <c r="AP178" i="1"/>
  <c r="AQ178" i="1"/>
  <c r="AR178" i="1"/>
  <c r="AS178" i="1"/>
  <c r="AT178" i="1"/>
  <c r="AU178" i="1"/>
  <c r="AV178" i="1"/>
  <c r="AW178" i="1"/>
  <c r="AX178" i="1"/>
  <c r="AY178" i="1"/>
  <c r="AZ178" i="1"/>
  <c r="BA178" i="1"/>
  <c r="A179" i="1"/>
  <c r="B179" i="1"/>
  <c r="C179" i="1"/>
  <c r="D179" i="1"/>
  <c r="E179" i="1"/>
  <c r="F179" i="1"/>
  <c r="G179" i="1"/>
  <c r="H179" i="1"/>
  <c r="I179" i="1"/>
  <c r="J179" i="1"/>
  <c r="K179" i="1"/>
  <c r="L179" i="1"/>
  <c r="M179" i="1" s="1"/>
  <c r="N179" i="1"/>
  <c r="O179" i="1"/>
  <c r="P179" i="1"/>
  <c r="Q179" i="1"/>
  <c r="R179" i="1"/>
  <c r="S179" i="1" s="1"/>
  <c r="T179" i="1"/>
  <c r="U179" i="1"/>
  <c r="V179" i="1"/>
  <c r="W179" i="1"/>
  <c r="X179" i="1"/>
  <c r="Y179" i="1"/>
  <c r="Z179" i="1"/>
  <c r="AA179" i="1"/>
  <c r="AB179" i="1"/>
  <c r="AD179" i="1"/>
  <c r="AE179" i="1"/>
  <c r="AF179" i="1"/>
  <c r="AG179" i="1"/>
  <c r="AH179" i="1" s="1"/>
  <c r="AI179" i="1"/>
  <c r="AJ179" i="1"/>
  <c r="AL179" i="1"/>
  <c r="AM179" i="1"/>
  <c r="AN179" i="1"/>
  <c r="AO179" i="1"/>
  <c r="AP179" i="1"/>
  <c r="AQ179" i="1"/>
  <c r="AR179" i="1"/>
  <c r="AS179" i="1"/>
  <c r="AT179" i="1"/>
  <c r="AU179" i="1"/>
  <c r="AV179" i="1"/>
  <c r="AW179" i="1"/>
  <c r="AX179" i="1"/>
  <c r="AY179" i="1"/>
  <c r="AZ179" i="1"/>
  <c r="BA179" i="1"/>
  <c r="A180" i="1"/>
  <c r="B180" i="1"/>
  <c r="C180" i="1"/>
  <c r="D180" i="1"/>
  <c r="E180" i="1"/>
  <c r="F180" i="1"/>
  <c r="G180" i="1"/>
  <c r="H180" i="1"/>
  <c r="I180" i="1"/>
  <c r="J180" i="1"/>
  <c r="K180" i="1"/>
  <c r="M180" i="1"/>
  <c r="N180" i="1"/>
  <c r="O180" i="1"/>
  <c r="P180" i="1"/>
  <c r="Q180" i="1"/>
  <c r="R180" i="1"/>
  <c r="S180" i="1" s="1"/>
  <c r="T180" i="1"/>
  <c r="U180" i="1"/>
  <c r="V180" i="1"/>
  <c r="W180" i="1"/>
  <c r="X180" i="1"/>
  <c r="Y180" i="1"/>
  <c r="Z180" i="1"/>
  <c r="AA180" i="1"/>
  <c r="AB180" i="1"/>
  <c r="AD180" i="1"/>
  <c r="AE180" i="1"/>
  <c r="AF180" i="1"/>
  <c r="AG180" i="1"/>
  <c r="AH180" i="1" s="1"/>
  <c r="AI180" i="1"/>
  <c r="AJ180" i="1"/>
  <c r="AL180" i="1"/>
  <c r="AM180" i="1"/>
  <c r="AN180" i="1"/>
  <c r="AO180" i="1"/>
  <c r="AP180" i="1"/>
  <c r="AQ180" i="1"/>
  <c r="AR180" i="1"/>
  <c r="AS180" i="1"/>
  <c r="AT180" i="1"/>
  <c r="AU180" i="1"/>
  <c r="AV180" i="1"/>
  <c r="AW180" i="1"/>
  <c r="AX180" i="1"/>
  <c r="AY180" i="1"/>
  <c r="AZ180" i="1"/>
  <c r="BA180" i="1"/>
  <c r="A181" i="1"/>
  <c r="B181" i="1"/>
  <c r="C181" i="1"/>
  <c r="D181" i="1"/>
  <c r="E181" i="1"/>
  <c r="F181" i="1"/>
  <c r="G181" i="1"/>
  <c r="H181" i="1"/>
  <c r="I181" i="1"/>
  <c r="J181" i="1"/>
  <c r="K181" i="1"/>
  <c r="M181" i="1"/>
  <c r="N181" i="1"/>
  <c r="O181" i="1"/>
  <c r="P181" i="1"/>
  <c r="Q181" i="1"/>
  <c r="S181" i="1"/>
  <c r="T181" i="1"/>
  <c r="U181" i="1"/>
  <c r="V181" i="1"/>
  <c r="W181" i="1"/>
  <c r="X181" i="1"/>
  <c r="Y181" i="1"/>
  <c r="Z181" i="1"/>
  <c r="AA181" i="1"/>
  <c r="AB181" i="1"/>
  <c r="AC181" i="1"/>
  <c r="AD181" i="1" s="1"/>
  <c r="AE181" i="1"/>
  <c r="AF181" i="1"/>
  <c r="AG181" i="1"/>
  <c r="AH181" i="1" s="1"/>
  <c r="AI181" i="1"/>
  <c r="AJ181" i="1"/>
  <c r="AL181" i="1"/>
  <c r="AM181" i="1"/>
  <c r="AN181" i="1"/>
  <c r="AO181" i="1"/>
  <c r="AP181" i="1"/>
  <c r="AQ181" i="1"/>
  <c r="AR181" i="1"/>
  <c r="AS181" i="1"/>
  <c r="AT181" i="1"/>
  <c r="AU181" i="1"/>
  <c r="AV181" i="1"/>
  <c r="AW181" i="1"/>
  <c r="AX181" i="1"/>
  <c r="AY181" i="1"/>
  <c r="AZ181" i="1"/>
  <c r="BA181" i="1"/>
  <c r="A182" i="1"/>
  <c r="B182" i="1"/>
  <c r="C182" i="1"/>
  <c r="D182" i="1"/>
  <c r="E182" i="1"/>
  <c r="F182" i="1"/>
  <c r="G182" i="1"/>
  <c r="H182" i="1"/>
  <c r="I182" i="1"/>
  <c r="J182" i="1"/>
  <c r="K182" i="1"/>
  <c r="L182" i="1"/>
  <c r="M182" i="1" s="1"/>
  <c r="N182" i="1"/>
  <c r="O182" i="1"/>
  <c r="P182" i="1"/>
  <c r="Q182" i="1"/>
  <c r="S182" i="1"/>
  <c r="T182" i="1"/>
  <c r="U182" i="1"/>
  <c r="V182" i="1"/>
  <c r="W182" i="1"/>
  <c r="X182" i="1"/>
  <c r="Y182" i="1"/>
  <c r="Z182" i="1"/>
  <c r="AA182" i="1"/>
  <c r="AB182" i="1"/>
  <c r="AC182" i="1"/>
  <c r="AD182" i="1" s="1"/>
  <c r="AE182" i="1"/>
  <c r="AF182" i="1"/>
  <c r="AG182" i="1"/>
  <c r="AH182" i="1" s="1"/>
  <c r="AI182" i="1"/>
  <c r="AJ182" i="1"/>
  <c r="AL182" i="1"/>
  <c r="AM182" i="1"/>
  <c r="AN182" i="1"/>
  <c r="AO182" i="1"/>
  <c r="AP182" i="1"/>
  <c r="AQ182" i="1"/>
  <c r="AR182" i="1"/>
  <c r="AS182" i="1"/>
  <c r="AT182" i="1"/>
  <c r="AU182" i="1"/>
  <c r="AV182" i="1"/>
  <c r="AW182" i="1"/>
  <c r="AX182" i="1"/>
  <c r="AY182" i="1"/>
  <c r="AZ182" i="1"/>
  <c r="BA182" i="1"/>
  <c r="A183" i="1"/>
  <c r="B183" i="1"/>
  <c r="C183" i="1"/>
  <c r="D183" i="1"/>
  <c r="E183" i="1"/>
  <c r="F183" i="1"/>
  <c r="G183" i="1"/>
  <c r="H183" i="1"/>
  <c r="I183" i="1"/>
  <c r="J183" i="1"/>
  <c r="K183" i="1"/>
  <c r="L183" i="1"/>
  <c r="M183" i="1" s="1"/>
  <c r="N183" i="1"/>
  <c r="O183" i="1"/>
  <c r="P183" i="1"/>
  <c r="Q183" i="1"/>
  <c r="R183" i="1"/>
  <c r="S183" i="1" s="1"/>
  <c r="T183" i="1"/>
  <c r="U183" i="1"/>
  <c r="V183" i="1"/>
  <c r="W183" i="1"/>
  <c r="X183" i="1"/>
  <c r="Y183" i="1"/>
  <c r="Z183" i="1"/>
  <c r="AA183" i="1"/>
  <c r="AB183" i="1"/>
  <c r="AC183" i="1"/>
  <c r="AD183" i="1" s="1"/>
  <c r="AE183" i="1"/>
  <c r="AF183" i="1"/>
  <c r="AG183" i="1"/>
  <c r="AH183" i="1" s="1"/>
  <c r="AI183" i="1"/>
  <c r="AJ183" i="1"/>
  <c r="AL183" i="1"/>
  <c r="AM183" i="1"/>
  <c r="AN183" i="1"/>
  <c r="AO183" i="1"/>
  <c r="AP183" i="1"/>
  <c r="AQ183" i="1"/>
  <c r="AR183" i="1"/>
  <c r="AS183" i="1"/>
  <c r="AT183" i="1"/>
  <c r="AU183" i="1"/>
  <c r="AV183" i="1"/>
  <c r="AW183" i="1"/>
  <c r="AX183" i="1"/>
  <c r="AY183" i="1"/>
  <c r="AZ183" i="1"/>
  <c r="BA183" i="1"/>
  <c r="A184" i="1"/>
  <c r="B184" i="1"/>
  <c r="C184" i="1"/>
  <c r="D184" i="1"/>
  <c r="E184" i="1"/>
  <c r="F184" i="1"/>
  <c r="G184" i="1"/>
  <c r="H184" i="1"/>
  <c r="I184" i="1"/>
  <c r="J184" i="1"/>
  <c r="K184" i="1"/>
  <c r="M184" i="1"/>
  <c r="N184" i="1"/>
  <c r="O184" i="1"/>
  <c r="P184" i="1"/>
  <c r="Q184" i="1"/>
  <c r="S184" i="1"/>
  <c r="T184" i="1"/>
  <c r="U184" i="1"/>
  <c r="V184" i="1"/>
  <c r="W184" i="1"/>
  <c r="X184" i="1"/>
  <c r="Y184" i="1"/>
  <c r="Z184" i="1"/>
  <c r="AA184" i="1"/>
  <c r="AB184" i="1"/>
  <c r="AC184" i="1"/>
  <c r="AD184" i="1" s="1"/>
  <c r="AE184" i="1"/>
  <c r="AF184" i="1"/>
  <c r="AG184" i="1"/>
  <c r="AH184" i="1" s="1"/>
  <c r="AI184" i="1"/>
  <c r="AJ184" i="1"/>
  <c r="AL184" i="1"/>
  <c r="AM184" i="1"/>
  <c r="AN184" i="1"/>
  <c r="AO184" i="1"/>
  <c r="AP184" i="1"/>
  <c r="AQ184" i="1"/>
  <c r="AR184" i="1"/>
  <c r="AS184" i="1"/>
  <c r="AT184" i="1"/>
  <c r="AU184" i="1"/>
  <c r="AV184" i="1"/>
  <c r="AW184" i="1"/>
  <c r="AX184" i="1"/>
  <c r="AY184" i="1"/>
  <c r="AZ184" i="1"/>
  <c r="BA184" i="1"/>
  <c r="A185" i="1"/>
  <c r="B185" i="1"/>
  <c r="C185" i="1"/>
  <c r="D185" i="1"/>
  <c r="E185" i="1"/>
  <c r="F185" i="1"/>
  <c r="G185" i="1"/>
  <c r="H185" i="1"/>
  <c r="I185" i="1"/>
  <c r="J185" i="1"/>
  <c r="K185" i="1"/>
  <c r="L185" i="1"/>
  <c r="M185" i="1" s="1"/>
  <c r="N185" i="1"/>
  <c r="O185" i="1"/>
  <c r="P185" i="1"/>
  <c r="Q185" i="1"/>
  <c r="R185" i="1"/>
  <c r="S185" i="1" s="1"/>
  <c r="T185" i="1"/>
  <c r="U185" i="1"/>
  <c r="V185" i="1"/>
  <c r="W185" i="1"/>
  <c r="X185" i="1"/>
  <c r="Y185" i="1"/>
  <c r="Z185" i="1"/>
  <c r="AA185" i="1"/>
  <c r="AB185" i="1"/>
  <c r="AC185" i="1"/>
  <c r="AD185" i="1" s="1"/>
  <c r="AE185" i="1"/>
  <c r="AF185" i="1"/>
  <c r="AG185" i="1"/>
  <c r="AH185" i="1" s="1"/>
  <c r="AI185" i="1"/>
  <c r="AJ185" i="1"/>
  <c r="AL185" i="1"/>
  <c r="AM185" i="1"/>
  <c r="AN185" i="1"/>
  <c r="AO185" i="1"/>
  <c r="AP185" i="1"/>
  <c r="AQ185" i="1"/>
  <c r="AR185" i="1"/>
  <c r="AS185" i="1"/>
  <c r="AT185" i="1"/>
  <c r="AU185" i="1"/>
  <c r="AV185" i="1"/>
  <c r="AW185" i="1"/>
  <c r="AX185" i="1"/>
  <c r="AY185" i="1"/>
  <c r="AZ185" i="1"/>
  <c r="BA185" i="1"/>
  <c r="A186" i="1"/>
  <c r="B186" i="1"/>
  <c r="C186" i="1"/>
  <c r="D186" i="1"/>
  <c r="E186" i="1"/>
  <c r="F186" i="1"/>
  <c r="G186" i="1"/>
  <c r="H186" i="1"/>
  <c r="I186" i="1"/>
  <c r="J186" i="1"/>
  <c r="K186" i="1"/>
  <c r="M186" i="1"/>
  <c r="N186" i="1"/>
  <c r="O186" i="1"/>
  <c r="P186" i="1"/>
  <c r="Q186" i="1"/>
  <c r="S186" i="1"/>
  <c r="T186" i="1"/>
  <c r="U186" i="1"/>
  <c r="V186" i="1"/>
  <c r="W186" i="1"/>
  <c r="X186" i="1"/>
  <c r="Y186" i="1"/>
  <c r="Z186" i="1"/>
  <c r="AA186" i="1"/>
  <c r="AB186" i="1"/>
  <c r="AD186" i="1"/>
  <c r="AE186" i="1"/>
  <c r="AF186" i="1"/>
  <c r="AI186" i="1"/>
  <c r="AJ186" i="1"/>
  <c r="AL186" i="1"/>
  <c r="AM186" i="1"/>
  <c r="AN186" i="1"/>
  <c r="AO186" i="1"/>
  <c r="AP186" i="1"/>
  <c r="AQ186" i="1"/>
  <c r="AR186" i="1"/>
  <c r="AS186" i="1"/>
  <c r="AT186" i="1"/>
  <c r="AU186" i="1"/>
  <c r="AV186" i="1"/>
  <c r="AW186" i="1"/>
  <c r="AX186" i="1"/>
  <c r="AY186" i="1"/>
  <c r="AZ186" i="1"/>
  <c r="BA186" i="1"/>
  <c r="A187" i="1"/>
  <c r="B187" i="1"/>
  <c r="C187" i="1"/>
  <c r="D187" i="1"/>
  <c r="E187" i="1"/>
  <c r="F187" i="1"/>
  <c r="G187" i="1"/>
  <c r="H187" i="1"/>
  <c r="I187" i="1"/>
  <c r="J187" i="1"/>
  <c r="K187" i="1"/>
  <c r="L187" i="1"/>
  <c r="M187" i="1" s="1"/>
  <c r="N187" i="1"/>
  <c r="O187" i="1"/>
  <c r="P187" i="1"/>
  <c r="Q187" i="1"/>
  <c r="R187" i="1"/>
  <c r="S187" i="1" s="1"/>
  <c r="T187" i="1"/>
  <c r="U187" i="1"/>
  <c r="V187" i="1"/>
  <c r="W187" i="1"/>
  <c r="X187" i="1"/>
  <c r="Y187" i="1"/>
  <c r="Z187" i="1"/>
  <c r="AA187" i="1"/>
  <c r="AB187" i="1"/>
  <c r="AD187" i="1"/>
  <c r="AE187" i="1"/>
  <c r="AF187" i="1"/>
  <c r="AI187" i="1"/>
  <c r="AJ187" i="1"/>
  <c r="AL187" i="1"/>
  <c r="AM187" i="1"/>
  <c r="AN187" i="1"/>
  <c r="AO187" i="1"/>
  <c r="AP187" i="1"/>
  <c r="AQ187" i="1"/>
  <c r="AR187" i="1"/>
  <c r="AS187" i="1"/>
  <c r="AT187" i="1"/>
  <c r="AU187" i="1"/>
  <c r="AV187" i="1"/>
  <c r="AW187" i="1"/>
  <c r="AX187" i="1"/>
  <c r="AY187" i="1"/>
  <c r="AZ187" i="1"/>
  <c r="BA187" i="1"/>
  <c r="A188" i="1"/>
  <c r="B188" i="1"/>
  <c r="C188" i="1"/>
  <c r="D188" i="1"/>
  <c r="E188" i="1"/>
  <c r="F188" i="1"/>
  <c r="G188" i="1"/>
  <c r="H188" i="1"/>
  <c r="I188" i="1"/>
  <c r="J188" i="1"/>
  <c r="K188" i="1"/>
  <c r="L188" i="1"/>
  <c r="M188" i="1" s="1"/>
  <c r="N188" i="1"/>
  <c r="O188" i="1"/>
  <c r="P188" i="1"/>
  <c r="Q188" i="1"/>
  <c r="S188" i="1"/>
  <c r="T188" i="1"/>
  <c r="U188" i="1"/>
  <c r="V188" i="1"/>
  <c r="W188" i="1"/>
  <c r="X188" i="1"/>
  <c r="Y188" i="1"/>
  <c r="Z188" i="1"/>
  <c r="AA188" i="1"/>
  <c r="AB188" i="1"/>
  <c r="AC188" i="1"/>
  <c r="AD188" i="1" s="1"/>
  <c r="AE188" i="1"/>
  <c r="AF188" i="1"/>
  <c r="AG188" i="1"/>
  <c r="AH188" i="1" s="1"/>
  <c r="AI188" i="1"/>
  <c r="AJ188" i="1"/>
  <c r="AL188" i="1"/>
  <c r="AM188" i="1"/>
  <c r="AN188" i="1"/>
  <c r="AO188" i="1"/>
  <c r="AP188" i="1"/>
  <c r="AQ188" i="1"/>
  <c r="AR188" i="1"/>
  <c r="AS188" i="1"/>
  <c r="AT188" i="1"/>
  <c r="AU188" i="1"/>
  <c r="AV188" i="1"/>
  <c r="AW188" i="1"/>
  <c r="AX188" i="1"/>
  <c r="AY188" i="1"/>
  <c r="AZ188" i="1"/>
  <c r="BA188" i="1"/>
  <c r="A189" i="1"/>
  <c r="B189" i="1"/>
  <c r="C189" i="1"/>
  <c r="D189" i="1"/>
  <c r="E189" i="1"/>
  <c r="F189" i="1"/>
  <c r="G189" i="1"/>
  <c r="H189" i="1"/>
  <c r="I189" i="1"/>
  <c r="J189" i="1"/>
  <c r="K189" i="1"/>
  <c r="M189" i="1"/>
  <c r="N189" i="1"/>
  <c r="O189" i="1"/>
  <c r="P189" i="1"/>
  <c r="Q189" i="1"/>
  <c r="S189" i="1"/>
  <c r="T189" i="1"/>
  <c r="U189" i="1"/>
  <c r="V189" i="1"/>
  <c r="W189" i="1"/>
  <c r="X189" i="1"/>
  <c r="Y189" i="1"/>
  <c r="Z189" i="1"/>
  <c r="AA189" i="1"/>
  <c r="AB189" i="1"/>
  <c r="AD189" i="1"/>
  <c r="AE189" i="1"/>
  <c r="AF189" i="1"/>
  <c r="AG189" i="1"/>
  <c r="AH189" i="1" s="1"/>
  <c r="AI189" i="1"/>
  <c r="AJ189" i="1"/>
  <c r="AL189" i="1"/>
  <c r="AM189" i="1"/>
  <c r="AN189" i="1"/>
  <c r="AO189" i="1"/>
  <c r="AP189" i="1"/>
  <c r="AQ189" i="1"/>
  <c r="AR189" i="1"/>
  <c r="AS189" i="1"/>
  <c r="AT189" i="1"/>
  <c r="AU189" i="1"/>
  <c r="AV189" i="1"/>
  <c r="AW189" i="1"/>
  <c r="AX189" i="1"/>
  <c r="AY189" i="1"/>
  <c r="AZ189" i="1"/>
  <c r="BA189" i="1"/>
  <c r="A190" i="1"/>
  <c r="B190" i="1"/>
  <c r="C190" i="1"/>
  <c r="D190" i="1"/>
  <c r="E190" i="1"/>
  <c r="F190" i="1"/>
  <c r="G190" i="1"/>
  <c r="H190" i="1"/>
  <c r="I190" i="1"/>
  <c r="J190" i="1"/>
  <c r="K190" i="1"/>
  <c r="M190" i="1"/>
  <c r="N190" i="1"/>
  <c r="O190" i="1"/>
  <c r="P190" i="1"/>
  <c r="Q190" i="1"/>
  <c r="R190" i="1"/>
  <c r="S190" i="1" s="1"/>
  <c r="T190" i="1"/>
  <c r="U190" i="1"/>
  <c r="V190" i="1"/>
  <c r="W190" i="1"/>
  <c r="X190" i="1"/>
  <c r="Y190" i="1"/>
  <c r="Z190" i="1"/>
  <c r="AA190" i="1"/>
  <c r="AB190" i="1"/>
  <c r="AD190" i="1"/>
  <c r="AE190" i="1"/>
  <c r="AF190" i="1"/>
  <c r="AG190" i="1"/>
  <c r="AH190" i="1" s="1"/>
  <c r="AI190" i="1"/>
  <c r="AL190" i="1"/>
  <c r="AM190" i="1"/>
  <c r="AN190" i="1"/>
  <c r="AO190" i="1"/>
  <c r="AP190" i="1"/>
  <c r="AQ190" i="1"/>
  <c r="AR190" i="1"/>
  <c r="AS190" i="1"/>
  <c r="AT190" i="1"/>
  <c r="AU190" i="1"/>
  <c r="AV190" i="1"/>
  <c r="AW190" i="1"/>
  <c r="AX190" i="1"/>
  <c r="AY190" i="1"/>
  <c r="AZ190" i="1"/>
  <c r="BA190" i="1"/>
  <c r="A191" i="1"/>
  <c r="B191" i="1"/>
  <c r="C191" i="1"/>
  <c r="D191" i="1"/>
  <c r="E191" i="1"/>
  <c r="F191" i="1"/>
  <c r="G191" i="1"/>
  <c r="H191" i="1"/>
  <c r="I191" i="1"/>
  <c r="J191" i="1"/>
  <c r="K191" i="1"/>
  <c r="L191" i="1"/>
  <c r="M191" i="1" s="1"/>
  <c r="N191" i="1"/>
  <c r="O191" i="1"/>
  <c r="P191" i="1"/>
  <c r="Q191" i="1"/>
  <c r="R191" i="1"/>
  <c r="S191" i="1" s="1"/>
  <c r="T191" i="1"/>
  <c r="U191" i="1"/>
  <c r="V191" i="1"/>
  <c r="W191" i="1"/>
  <c r="X191" i="1"/>
  <c r="Y191" i="1"/>
  <c r="Z191" i="1"/>
  <c r="AA191" i="1"/>
  <c r="AB191" i="1"/>
  <c r="AC191" i="1"/>
  <c r="AD191" i="1" s="1"/>
  <c r="AE191" i="1"/>
  <c r="AF191" i="1"/>
  <c r="AG191" i="1"/>
  <c r="AH191" i="1" s="1"/>
  <c r="AI191" i="1"/>
  <c r="AJ191" i="1"/>
  <c r="AL191" i="1"/>
  <c r="AM191" i="1"/>
  <c r="AN191" i="1"/>
  <c r="AO191" i="1"/>
  <c r="AP191" i="1"/>
  <c r="AQ191" i="1"/>
  <c r="AR191" i="1"/>
  <c r="AS191" i="1"/>
  <c r="AT191" i="1"/>
  <c r="AU191" i="1"/>
  <c r="AV191" i="1"/>
  <c r="AW191" i="1"/>
  <c r="AX191" i="1"/>
  <c r="AY191" i="1"/>
  <c r="AZ191" i="1"/>
  <c r="BA191" i="1"/>
  <c r="A192" i="1"/>
  <c r="B192" i="1"/>
  <c r="C192" i="1"/>
  <c r="D192" i="1"/>
  <c r="E192" i="1"/>
  <c r="F192" i="1"/>
  <c r="G192" i="1"/>
  <c r="H192" i="1"/>
  <c r="I192" i="1"/>
  <c r="J192" i="1"/>
  <c r="K192" i="1"/>
  <c r="L192" i="1"/>
  <c r="M192" i="1" s="1"/>
  <c r="N192" i="1"/>
  <c r="O192" i="1"/>
  <c r="P192" i="1"/>
  <c r="Q192" i="1"/>
  <c r="S192" i="1"/>
  <c r="T192" i="1"/>
  <c r="U192" i="1"/>
  <c r="V192" i="1"/>
  <c r="W192" i="1"/>
  <c r="X192" i="1"/>
  <c r="Y192" i="1"/>
  <c r="Z192" i="1"/>
  <c r="AA192" i="1"/>
  <c r="AB192" i="1"/>
  <c r="AD192" i="1"/>
  <c r="AE192" i="1"/>
  <c r="AF192" i="1"/>
  <c r="AG192" i="1"/>
  <c r="AH192" i="1" s="1"/>
  <c r="AI192" i="1"/>
  <c r="AL192" i="1"/>
  <c r="AM192" i="1"/>
  <c r="AN192" i="1"/>
  <c r="AO192" i="1"/>
  <c r="AP192" i="1"/>
  <c r="AQ192" i="1"/>
  <c r="AR192" i="1"/>
  <c r="AS192" i="1"/>
  <c r="AT192" i="1"/>
  <c r="AU192" i="1"/>
  <c r="AV192" i="1"/>
  <c r="AW192" i="1"/>
  <c r="AX192" i="1"/>
  <c r="AY192" i="1"/>
  <c r="AZ192" i="1"/>
  <c r="BA192" i="1"/>
  <c r="A193" i="1"/>
  <c r="B193" i="1"/>
  <c r="C193" i="1"/>
  <c r="D193" i="1"/>
  <c r="E193" i="1"/>
  <c r="F193" i="1"/>
  <c r="G193" i="1"/>
  <c r="H193" i="1"/>
  <c r="I193" i="1"/>
  <c r="J193" i="1"/>
  <c r="K193" i="1"/>
  <c r="M193" i="1"/>
  <c r="N193" i="1"/>
  <c r="O193" i="1"/>
  <c r="P193" i="1"/>
  <c r="Q193" i="1"/>
  <c r="S193" i="1"/>
  <c r="T193" i="1"/>
  <c r="U193" i="1"/>
  <c r="V193" i="1"/>
  <c r="W193" i="1"/>
  <c r="X193" i="1"/>
  <c r="Y193" i="1"/>
  <c r="Z193" i="1"/>
  <c r="AA193" i="1"/>
  <c r="AB193" i="1"/>
  <c r="AD193" i="1"/>
  <c r="AE193" i="1"/>
  <c r="AF193" i="1"/>
  <c r="AG193" i="1"/>
  <c r="AH193" i="1" s="1"/>
  <c r="AI193" i="1"/>
  <c r="AJ193" i="1"/>
  <c r="AL193" i="1"/>
  <c r="AM193" i="1"/>
  <c r="AN193" i="1"/>
  <c r="AO193" i="1"/>
  <c r="AP193" i="1"/>
  <c r="AQ193" i="1"/>
  <c r="AR193" i="1"/>
  <c r="AS193" i="1"/>
  <c r="AT193" i="1"/>
  <c r="AU193" i="1"/>
  <c r="AV193" i="1"/>
  <c r="AW193" i="1"/>
  <c r="AX193" i="1"/>
  <c r="AY193" i="1"/>
  <c r="AZ193" i="1"/>
  <c r="BA193" i="1"/>
  <c r="A194" i="1"/>
  <c r="B194" i="1"/>
  <c r="C194" i="1"/>
  <c r="D194" i="1"/>
  <c r="E194" i="1"/>
  <c r="F194" i="1"/>
  <c r="G194" i="1"/>
  <c r="H194" i="1"/>
  <c r="I194" i="1"/>
  <c r="J194" i="1"/>
  <c r="K194" i="1"/>
  <c r="L194" i="1"/>
  <c r="M194" i="1" s="1"/>
  <c r="N194" i="1"/>
  <c r="O194" i="1"/>
  <c r="P194" i="1"/>
  <c r="Q194" i="1"/>
  <c r="R194" i="1"/>
  <c r="S194" i="1" s="1"/>
  <c r="T194" i="1"/>
  <c r="U194" i="1"/>
  <c r="V194" i="1"/>
  <c r="W194" i="1"/>
  <c r="X194" i="1"/>
  <c r="Y194" i="1"/>
  <c r="Z194" i="1"/>
  <c r="AA194" i="1"/>
  <c r="AB194" i="1"/>
  <c r="AC194" i="1"/>
  <c r="AD194" i="1" s="1"/>
  <c r="AE194" i="1"/>
  <c r="AF194" i="1"/>
  <c r="AG194" i="1"/>
  <c r="AH194" i="1" s="1"/>
  <c r="AI194" i="1"/>
  <c r="AJ194" i="1"/>
  <c r="AL194" i="1"/>
  <c r="AM194" i="1"/>
  <c r="AN194" i="1"/>
  <c r="AO194" i="1"/>
  <c r="AP194" i="1"/>
  <c r="AQ194" i="1"/>
  <c r="AR194" i="1"/>
  <c r="AS194" i="1"/>
  <c r="AT194" i="1"/>
  <c r="AU194" i="1"/>
  <c r="AV194" i="1"/>
  <c r="AW194" i="1"/>
  <c r="AX194" i="1"/>
  <c r="AY194" i="1"/>
  <c r="AZ194" i="1"/>
  <c r="BA194" i="1"/>
  <c r="A195" i="1"/>
  <c r="B195" i="1"/>
  <c r="C195" i="1"/>
  <c r="D195" i="1"/>
  <c r="E195" i="1"/>
  <c r="F195" i="1"/>
  <c r="G195" i="1"/>
  <c r="H195" i="1"/>
  <c r="I195" i="1"/>
  <c r="J195" i="1"/>
  <c r="K195" i="1"/>
  <c r="L195" i="1"/>
  <c r="M195" i="1" s="1"/>
  <c r="N195" i="1"/>
  <c r="O195" i="1"/>
  <c r="P195" i="1"/>
  <c r="Q195" i="1"/>
  <c r="R195" i="1"/>
  <c r="S195" i="1" s="1"/>
  <c r="T195" i="1"/>
  <c r="U195" i="1"/>
  <c r="V195" i="1"/>
  <c r="W195" i="1"/>
  <c r="X195" i="1"/>
  <c r="Y195" i="1"/>
  <c r="Z195" i="1"/>
  <c r="AA195" i="1"/>
  <c r="AB195" i="1"/>
  <c r="AC195" i="1"/>
  <c r="AD195" i="1" s="1"/>
  <c r="AE195" i="1"/>
  <c r="AF195" i="1"/>
  <c r="AI195" i="1"/>
  <c r="AJ195" i="1"/>
  <c r="AL195" i="1"/>
  <c r="AM195" i="1"/>
  <c r="AN195" i="1"/>
  <c r="AO195" i="1"/>
  <c r="AP195" i="1"/>
  <c r="AQ195" i="1"/>
  <c r="AR195" i="1"/>
  <c r="AS195" i="1"/>
  <c r="AT195" i="1"/>
  <c r="AU195" i="1"/>
  <c r="AV195" i="1"/>
  <c r="AW195" i="1"/>
  <c r="AX195" i="1"/>
  <c r="AY195" i="1"/>
  <c r="AZ195" i="1"/>
  <c r="BA195" i="1"/>
  <c r="A196" i="1"/>
  <c r="B196" i="1"/>
  <c r="C196" i="1"/>
  <c r="D196" i="1"/>
  <c r="E196" i="1"/>
  <c r="F196" i="1"/>
  <c r="G196" i="1"/>
  <c r="H196" i="1"/>
  <c r="I196" i="1"/>
  <c r="J196" i="1"/>
  <c r="K196" i="1"/>
  <c r="L196" i="1"/>
  <c r="M196" i="1" s="1"/>
  <c r="N196" i="1"/>
  <c r="O196" i="1"/>
  <c r="P196" i="1"/>
  <c r="Q196" i="1"/>
  <c r="S196" i="1"/>
  <c r="T196" i="1"/>
  <c r="U196" i="1"/>
  <c r="V196" i="1"/>
  <c r="W196" i="1"/>
  <c r="X196" i="1"/>
  <c r="Y196" i="1"/>
  <c r="Z196" i="1"/>
  <c r="AA196" i="1"/>
  <c r="AB196" i="1"/>
  <c r="AD196" i="1"/>
  <c r="AE196" i="1"/>
  <c r="AF196" i="1"/>
  <c r="AG196" i="1"/>
  <c r="AH196" i="1" s="1"/>
  <c r="AI196" i="1"/>
  <c r="AJ196" i="1"/>
  <c r="AL196" i="1"/>
  <c r="AM196" i="1"/>
  <c r="AN196" i="1"/>
  <c r="AO196" i="1"/>
  <c r="AP196" i="1"/>
  <c r="AQ196" i="1"/>
  <c r="AR196" i="1"/>
  <c r="AS196" i="1"/>
  <c r="AT196" i="1"/>
  <c r="AU196" i="1"/>
  <c r="AV196" i="1"/>
  <c r="AW196" i="1"/>
  <c r="AX196" i="1"/>
  <c r="AY196" i="1"/>
  <c r="AZ196" i="1"/>
  <c r="BA196" i="1"/>
  <c r="A197" i="1"/>
  <c r="B197" i="1"/>
  <c r="C197" i="1"/>
  <c r="D197" i="1"/>
  <c r="E197" i="1"/>
  <c r="F197" i="1"/>
  <c r="G197" i="1"/>
  <c r="H197" i="1"/>
  <c r="I197" i="1"/>
  <c r="J197" i="1"/>
  <c r="K197" i="1"/>
  <c r="L197" i="1"/>
  <c r="M197" i="1" s="1"/>
  <c r="N197" i="1"/>
  <c r="O197" i="1"/>
  <c r="P197" i="1"/>
  <c r="Q197" i="1"/>
  <c r="R197" i="1"/>
  <c r="S197" i="1" s="1"/>
  <c r="T197" i="1"/>
  <c r="U197" i="1"/>
  <c r="V197" i="1"/>
  <c r="W197" i="1"/>
  <c r="X197" i="1"/>
  <c r="Y197" i="1"/>
  <c r="Z197" i="1"/>
  <c r="AA197" i="1"/>
  <c r="AB197" i="1"/>
  <c r="AD197" i="1"/>
  <c r="AE197" i="1"/>
  <c r="AF197" i="1"/>
  <c r="AG197" i="1"/>
  <c r="AH197" i="1" s="1"/>
  <c r="AI197" i="1"/>
  <c r="AJ197" i="1"/>
  <c r="AL197" i="1"/>
  <c r="AM197" i="1"/>
  <c r="AN197" i="1"/>
  <c r="AO197" i="1"/>
  <c r="AP197" i="1"/>
  <c r="AQ197" i="1"/>
  <c r="AR197" i="1"/>
  <c r="AS197" i="1"/>
  <c r="AT197" i="1"/>
  <c r="AU197" i="1"/>
  <c r="AV197" i="1"/>
  <c r="AW197" i="1"/>
  <c r="AX197" i="1"/>
  <c r="AY197" i="1"/>
  <c r="AZ197" i="1"/>
  <c r="BA197" i="1"/>
  <c r="A198" i="1"/>
  <c r="B198" i="1"/>
  <c r="C198" i="1"/>
  <c r="D198" i="1"/>
  <c r="E198" i="1"/>
  <c r="F198" i="1"/>
  <c r="G198" i="1"/>
  <c r="H198" i="1"/>
  <c r="I198" i="1"/>
  <c r="J198" i="1"/>
  <c r="K198" i="1"/>
  <c r="L198" i="1"/>
  <c r="M198" i="1" s="1"/>
  <c r="N198" i="1"/>
  <c r="O198" i="1"/>
  <c r="P198" i="1"/>
  <c r="Q198" i="1"/>
  <c r="S198" i="1"/>
  <c r="T198" i="1"/>
  <c r="U198" i="1"/>
  <c r="V198" i="1"/>
  <c r="W198" i="1"/>
  <c r="X198" i="1"/>
  <c r="Y198" i="1"/>
  <c r="Z198" i="1"/>
  <c r="AA198" i="1"/>
  <c r="AB198" i="1"/>
  <c r="AC198" i="1"/>
  <c r="AD198" i="1" s="1"/>
  <c r="AE198" i="1"/>
  <c r="AF198" i="1"/>
  <c r="AI198" i="1"/>
  <c r="AL198" i="1"/>
  <c r="AM198" i="1"/>
  <c r="AN198" i="1"/>
  <c r="AO198" i="1"/>
  <c r="AP198" i="1"/>
  <c r="AQ198" i="1"/>
  <c r="AR198" i="1"/>
  <c r="AS198" i="1"/>
  <c r="AT198" i="1"/>
  <c r="AU198" i="1"/>
  <c r="AV198" i="1"/>
  <c r="AW198" i="1"/>
  <c r="AX198" i="1"/>
  <c r="AY198" i="1"/>
  <c r="AZ198" i="1"/>
  <c r="BA198" i="1"/>
  <c r="A199" i="1"/>
  <c r="B199" i="1"/>
  <c r="C199" i="1"/>
  <c r="D199" i="1"/>
  <c r="E199" i="1"/>
  <c r="F199" i="1"/>
  <c r="G199" i="1"/>
  <c r="H199" i="1"/>
  <c r="I199" i="1"/>
  <c r="J199" i="1"/>
  <c r="K199" i="1"/>
  <c r="M199" i="1"/>
  <c r="N199" i="1"/>
  <c r="O199" i="1"/>
  <c r="P199" i="1"/>
  <c r="Q199" i="1"/>
  <c r="S199" i="1"/>
  <c r="T199" i="1"/>
  <c r="U199" i="1"/>
  <c r="V199" i="1"/>
  <c r="W199" i="1"/>
  <c r="X199" i="1"/>
  <c r="Y199" i="1"/>
  <c r="Z199" i="1"/>
  <c r="AA199" i="1"/>
  <c r="AB199" i="1"/>
  <c r="AC199" i="1"/>
  <c r="AD199" i="1" s="1"/>
  <c r="AE199" i="1"/>
  <c r="AF199" i="1"/>
  <c r="AG199" i="1"/>
  <c r="AH199" i="1" s="1"/>
  <c r="AI199" i="1"/>
  <c r="AL199" i="1"/>
  <c r="AM199" i="1"/>
  <c r="AN199" i="1"/>
  <c r="AO199" i="1"/>
  <c r="AP199" i="1"/>
  <c r="AQ199" i="1"/>
  <c r="AR199" i="1"/>
  <c r="AS199" i="1"/>
  <c r="AT199" i="1"/>
  <c r="AU199" i="1"/>
  <c r="AV199" i="1"/>
  <c r="AW199" i="1"/>
  <c r="AX199" i="1"/>
  <c r="AY199" i="1"/>
  <c r="AZ199" i="1"/>
  <c r="BA199" i="1"/>
  <c r="A200" i="1"/>
  <c r="B200" i="1"/>
  <c r="C200" i="1"/>
  <c r="D200" i="1"/>
  <c r="E200" i="1"/>
  <c r="F200" i="1"/>
  <c r="G200" i="1"/>
  <c r="H200" i="1"/>
  <c r="I200" i="1"/>
  <c r="J200" i="1"/>
  <c r="K200" i="1"/>
  <c r="L200" i="1"/>
  <c r="M200" i="1" s="1"/>
  <c r="N200" i="1"/>
  <c r="O200" i="1"/>
  <c r="P200" i="1"/>
  <c r="Q200" i="1"/>
  <c r="R200" i="1"/>
  <c r="S200" i="1" s="1"/>
  <c r="T200" i="1"/>
  <c r="U200" i="1"/>
  <c r="V200" i="1"/>
  <c r="W200" i="1"/>
  <c r="X200" i="1"/>
  <c r="Y200" i="1"/>
  <c r="Z200" i="1"/>
  <c r="AA200" i="1"/>
  <c r="AB200" i="1"/>
  <c r="AC200" i="1"/>
  <c r="AD200" i="1" s="1"/>
  <c r="AE200" i="1"/>
  <c r="AF200" i="1"/>
  <c r="AG200" i="1"/>
  <c r="AH200" i="1" s="1"/>
  <c r="AI200" i="1"/>
  <c r="AJ200" i="1"/>
  <c r="AL200" i="1"/>
  <c r="AM200" i="1"/>
  <c r="AN200" i="1"/>
  <c r="AO200" i="1"/>
  <c r="AP200" i="1"/>
  <c r="AQ200" i="1"/>
  <c r="AR200" i="1"/>
  <c r="AS200" i="1"/>
  <c r="AT200" i="1"/>
  <c r="AU200" i="1"/>
  <c r="AV200" i="1"/>
  <c r="AW200" i="1"/>
  <c r="AX200" i="1"/>
  <c r="AY200" i="1"/>
  <c r="AZ200" i="1"/>
  <c r="BA200" i="1"/>
  <c r="A201" i="1"/>
  <c r="B201" i="1"/>
  <c r="C201" i="1"/>
  <c r="D201" i="1"/>
  <c r="E201" i="1"/>
  <c r="F201" i="1"/>
  <c r="G201" i="1"/>
  <c r="H201" i="1"/>
  <c r="I201" i="1"/>
  <c r="J201" i="1"/>
  <c r="K201" i="1"/>
  <c r="L201" i="1"/>
  <c r="M201" i="1" s="1"/>
  <c r="N201" i="1"/>
  <c r="O201" i="1"/>
  <c r="P201" i="1"/>
  <c r="Q201" i="1"/>
  <c r="S201" i="1"/>
  <c r="T201" i="1"/>
  <c r="U201" i="1"/>
  <c r="V201" i="1"/>
  <c r="W201" i="1"/>
  <c r="X201" i="1"/>
  <c r="Y201" i="1"/>
  <c r="Z201" i="1"/>
  <c r="AA201" i="1"/>
  <c r="AB201" i="1"/>
  <c r="AC201" i="1"/>
  <c r="AD201" i="1" s="1"/>
  <c r="AE201" i="1"/>
  <c r="AF201" i="1"/>
  <c r="AG201" i="1"/>
  <c r="AH201" i="1" s="1"/>
  <c r="AI201" i="1"/>
  <c r="AJ201" i="1"/>
  <c r="AL201" i="1"/>
  <c r="AM201" i="1"/>
  <c r="AN201" i="1"/>
  <c r="AO201" i="1"/>
  <c r="AP201" i="1"/>
  <c r="AQ201" i="1"/>
  <c r="AR201" i="1"/>
  <c r="AS201" i="1"/>
  <c r="AT201" i="1"/>
  <c r="AU201" i="1"/>
  <c r="AV201" i="1"/>
  <c r="AW201" i="1"/>
  <c r="AX201" i="1"/>
  <c r="AY201" i="1"/>
  <c r="AZ201" i="1"/>
  <c r="BA201" i="1"/>
  <c r="A202" i="1"/>
  <c r="B202" i="1"/>
  <c r="C202" i="1"/>
  <c r="D202" i="1"/>
  <c r="E202" i="1"/>
  <c r="F202" i="1"/>
  <c r="G202" i="1"/>
  <c r="H202" i="1"/>
  <c r="I202" i="1"/>
  <c r="J202" i="1"/>
  <c r="K202" i="1"/>
  <c r="L202" i="1"/>
  <c r="M202" i="1" s="1"/>
  <c r="N202" i="1"/>
  <c r="O202" i="1"/>
  <c r="P202" i="1"/>
  <c r="Q202" i="1"/>
  <c r="R202" i="1"/>
  <c r="S202" i="1" s="1"/>
  <c r="T202" i="1"/>
  <c r="U202" i="1"/>
  <c r="V202" i="1"/>
  <c r="W202" i="1"/>
  <c r="X202" i="1"/>
  <c r="Y202" i="1"/>
  <c r="Z202" i="1"/>
  <c r="AA202" i="1"/>
  <c r="AB202" i="1"/>
  <c r="AC202" i="1"/>
  <c r="AD202" i="1" s="1"/>
  <c r="AE202" i="1"/>
  <c r="AF202" i="1"/>
  <c r="AG202" i="1"/>
  <c r="AH202" i="1" s="1"/>
  <c r="AI202" i="1"/>
  <c r="AJ202" i="1"/>
  <c r="AL202" i="1"/>
  <c r="AM202" i="1"/>
  <c r="AN202" i="1"/>
  <c r="AO202" i="1"/>
  <c r="AP202" i="1"/>
  <c r="AQ202" i="1"/>
  <c r="AR202" i="1"/>
  <c r="AS202" i="1"/>
  <c r="AT202" i="1"/>
  <c r="AU202" i="1"/>
  <c r="AV202" i="1"/>
  <c r="AW202" i="1"/>
  <c r="AX202" i="1"/>
  <c r="AY202" i="1"/>
  <c r="AZ202" i="1"/>
  <c r="BA202" i="1"/>
  <c r="A203" i="1"/>
  <c r="B203" i="1"/>
  <c r="C203" i="1"/>
  <c r="D203" i="1"/>
  <c r="E203" i="1"/>
  <c r="F203" i="1"/>
  <c r="G203" i="1"/>
  <c r="H203" i="1"/>
  <c r="I203" i="1"/>
  <c r="J203" i="1"/>
  <c r="K203" i="1"/>
  <c r="M203" i="1"/>
  <c r="N203" i="1"/>
  <c r="O203" i="1"/>
  <c r="P203" i="1"/>
  <c r="Q203" i="1"/>
  <c r="S203" i="1"/>
  <c r="T203" i="1"/>
  <c r="U203" i="1"/>
  <c r="V203" i="1"/>
  <c r="W203" i="1"/>
  <c r="X203" i="1"/>
  <c r="Y203" i="1"/>
  <c r="Z203" i="1"/>
  <c r="AA203" i="1"/>
  <c r="AB203" i="1"/>
  <c r="AD203" i="1"/>
  <c r="AE203" i="1"/>
  <c r="AF203" i="1"/>
  <c r="AG203" i="1"/>
  <c r="AH203" i="1" s="1"/>
  <c r="AI203" i="1"/>
  <c r="AJ203" i="1"/>
  <c r="AL203" i="1"/>
  <c r="AM203" i="1"/>
  <c r="AN203" i="1"/>
  <c r="AO203" i="1"/>
  <c r="AP203" i="1"/>
  <c r="AQ203" i="1"/>
  <c r="AR203" i="1"/>
  <c r="AS203" i="1"/>
  <c r="AT203" i="1"/>
  <c r="AU203" i="1"/>
  <c r="AV203" i="1"/>
  <c r="AW203" i="1"/>
  <c r="AX203" i="1"/>
  <c r="AY203" i="1"/>
  <c r="AZ203" i="1"/>
  <c r="BA203" i="1"/>
  <c r="A204" i="1"/>
  <c r="B204" i="1"/>
  <c r="C204" i="1"/>
  <c r="D204" i="1"/>
  <c r="E204" i="1"/>
  <c r="F204" i="1"/>
  <c r="G204" i="1"/>
  <c r="H204" i="1"/>
  <c r="I204" i="1"/>
  <c r="J204" i="1"/>
  <c r="K204" i="1"/>
  <c r="M204" i="1"/>
  <c r="N204" i="1"/>
  <c r="O204" i="1"/>
  <c r="P204" i="1"/>
  <c r="Q204" i="1"/>
  <c r="S204" i="1"/>
  <c r="T204" i="1"/>
  <c r="U204" i="1"/>
  <c r="V204" i="1"/>
  <c r="W204" i="1"/>
  <c r="X204" i="1"/>
  <c r="Y204" i="1"/>
  <c r="Z204" i="1"/>
  <c r="AA204" i="1"/>
  <c r="AB204" i="1"/>
  <c r="AD204" i="1"/>
  <c r="AE204" i="1"/>
  <c r="AF204" i="1"/>
  <c r="AI204" i="1"/>
  <c r="AJ204" i="1"/>
  <c r="AL204" i="1"/>
  <c r="AM204" i="1"/>
  <c r="AN204" i="1"/>
  <c r="AO204" i="1"/>
  <c r="AP204" i="1"/>
  <c r="AQ204" i="1"/>
  <c r="AR204" i="1"/>
  <c r="AS204" i="1"/>
  <c r="AT204" i="1"/>
  <c r="AU204" i="1"/>
  <c r="AV204" i="1"/>
  <c r="AW204" i="1"/>
  <c r="AX204" i="1"/>
  <c r="AY204" i="1"/>
  <c r="AZ204" i="1"/>
  <c r="BA204" i="1"/>
  <c r="A205" i="1"/>
  <c r="B205" i="1"/>
  <c r="C205" i="1"/>
  <c r="D205" i="1"/>
  <c r="E205" i="1"/>
  <c r="F205" i="1"/>
  <c r="G205" i="1"/>
  <c r="H205" i="1"/>
  <c r="I205" i="1"/>
  <c r="J205" i="1"/>
  <c r="K205" i="1"/>
  <c r="L205" i="1"/>
  <c r="M205" i="1" s="1"/>
  <c r="N205" i="1"/>
  <c r="O205" i="1"/>
  <c r="P205" i="1"/>
  <c r="Q205" i="1"/>
  <c r="S205" i="1"/>
  <c r="T205" i="1"/>
  <c r="U205" i="1"/>
  <c r="V205" i="1"/>
  <c r="W205" i="1"/>
  <c r="X205" i="1"/>
  <c r="Y205" i="1"/>
  <c r="Z205" i="1"/>
  <c r="AA205" i="1"/>
  <c r="AB205" i="1"/>
  <c r="AC205" i="1"/>
  <c r="AD205" i="1" s="1"/>
  <c r="AE205" i="1"/>
  <c r="AF205" i="1"/>
  <c r="AG205" i="1"/>
  <c r="AH205" i="1" s="1"/>
  <c r="AI205" i="1"/>
  <c r="AJ205" i="1"/>
  <c r="AL205" i="1"/>
  <c r="AM205" i="1"/>
  <c r="AN205" i="1"/>
  <c r="AO205" i="1"/>
  <c r="AP205" i="1"/>
  <c r="AQ205" i="1"/>
  <c r="AR205" i="1"/>
  <c r="AS205" i="1"/>
  <c r="AT205" i="1"/>
  <c r="AU205" i="1"/>
  <c r="AV205" i="1"/>
  <c r="AW205" i="1"/>
  <c r="AX205" i="1"/>
  <c r="AY205" i="1"/>
  <c r="AZ205" i="1"/>
  <c r="BA205" i="1"/>
  <c r="A206" i="1"/>
  <c r="B206" i="1"/>
  <c r="C206" i="1"/>
  <c r="D206" i="1"/>
  <c r="E206" i="1"/>
  <c r="F206" i="1"/>
  <c r="G206" i="1"/>
  <c r="H206" i="1"/>
  <c r="I206" i="1"/>
  <c r="J206" i="1"/>
  <c r="K206" i="1"/>
  <c r="L206" i="1"/>
  <c r="M206" i="1" s="1"/>
  <c r="N206" i="1"/>
  <c r="O206" i="1"/>
  <c r="P206" i="1"/>
  <c r="Q206" i="1"/>
  <c r="R206" i="1"/>
  <c r="S206" i="1" s="1"/>
  <c r="T206" i="1"/>
  <c r="U206" i="1"/>
  <c r="V206" i="1"/>
  <c r="W206" i="1"/>
  <c r="X206" i="1"/>
  <c r="Y206" i="1"/>
  <c r="Z206" i="1"/>
  <c r="AA206" i="1"/>
  <c r="AB206" i="1"/>
  <c r="AC206" i="1"/>
  <c r="AD206" i="1" s="1"/>
  <c r="AE206" i="1"/>
  <c r="AF206" i="1"/>
  <c r="AG206" i="1"/>
  <c r="AH206" i="1" s="1"/>
  <c r="AI206" i="1"/>
  <c r="AJ206" i="1"/>
  <c r="AL206" i="1"/>
  <c r="AM206" i="1"/>
  <c r="AN206" i="1"/>
  <c r="AO206" i="1"/>
  <c r="AP206" i="1"/>
  <c r="AQ206" i="1"/>
  <c r="AR206" i="1"/>
  <c r="AS206" i="1"/>
  <c r="AT206" i="1"/>
  <c r="AU206" i="1"/>
  <c r="AV206" i="1"/>
  <c r="AW206" i="1"/>
  <c r="AX206" i="1"/>
  <c r="AY206" i="1"/>
  <c r="AZ206" i="1"/>
  <c r="BA206" i="1"/>
  <c r="A207" i="1"/>
  <c r="B207" i="1"/>
  <c r="C207" i="1"/>
  <c r="D207" i="1"/>
  <c r="E207" i="1"/>
  <c r="F207" i="1"/>
  <c r="G207" i="1"/>
  <c r="H207" i="1"/>
  <c r="I207" i="1"/>
  <c r="J207" i="1"/>
  <c r="K207" i="1"/>
  <c r="L207" i="1"/>
  <c r="M207" i="1" s="1"/>
  <c r="N207" i="1"/>
  <c r="O207" i="1"/>
  <c r="P207" i="1"/>
  <c r="Q207" i="1"/>
  <c r="S207" i="1"/>
  <c r="T207" i="1"/>
  <c r="U207" i="1"/>
  <c r="V207" i="1"/>
  <c r="W207" i="1"/>
  <c r="X207" i="1"/>
  <c r="Y207" i="1"/>
  <c r="Z207" i="1"/>
  <c r="AA207" i="1"/>
  <c r="AB207" i="1"/>
  <c r="AD207" i="1"/>
  <c r="AE207" i="1"/>
  <c r="AF207" i="1"/>
  <c r="AG207" i="1"/>
  <c r="AH207" i="1" s="1"/>
  <c r="AI207" i="1"/>
  <c r="AJ207" i="1"/>
  <c r="AL207" i="1"/>
  <c r="AM207" i="1"/>
  <c r="AN207" i="1"/>
  <c r="AO207" i="1"/>
  <c r="AP207" i="1"/>
  <c r="AQ207" i="1"/>
  <c r="AR207" i="1"/>
  <c r="AS207" i="1"/>
  <c r="AT207" i="1"/>
  <c r="AU207" i="1"/>
  <c r="AV207" i="1"/>
  <c r="AW207" i="1"/>
  <c r="AX207" i="1"/>
  <c r="AY207" i="1"/>
  <c r="AZ207" i="1"/>
  <c r="BA207" i="1"/>
  <c r="A208" i="1"/>
  <c r="B208" i="1"/>
  <c r="C208" i="1"/>
  <c r="D208" i="1"/>
  <c r="E208" i="1"/>
  <c r="F208" i="1"/>
  <c r="G208" i="1"/>
  <c r="H208" i="1"/>
  <c r="I208" i="1"/>
  <c r="J208" i="1"/>
  <c r="K208" i="1"/>
  <c r="M208" i="1"/>
  <c r="N208" i="1"/>
  <c r="O208" i="1"/>
  <c r="P208" i="1"/>
  <c r="Q208" i="1"/>
  <c r="S208" i="1"/>
  <c r="T208" i="1"/>
  <c r="U208" i="1"/>
  <c r="V208" i="1"/>
  <c r="W208" i="1"/>
  <c r="X208" i="1"/>
  <c r="Y208" i="1"/>
  <c r="Z208" i="1"/>
  <c r="AA208" i="1"/>
  <c r="AB208" i="1"/>
  <c r="AC208" i="1"/>
  <c r="AD208" i="1" s="1"/>
  <c r="AE208" i="1"/>
  <c r="AF208" i="1"/>
  <c r="AG208" i="1"/>
  <c r="AH208" i="1" s="1"/>
  <c r="AI208" i="1"/>
  <c r="AL208" i="1"/>
  <c r="AM208" i="1"/>
  <c r="AN208" i="1"/>
  <c r="AO208" i="1"/>
  <c r="AP208" i="1"/>
  <c r="AQ208" i="1"/>
  <c r="AR208" i="1"/>
  <c r="AS208" i="1"/>
  <c r="AT208" i="1"/>
  <c r="AU208" i="1"/>
  <c r="AV208" i="1"/>
  <c r="AW208" i="1"/>
  <c r="AX208" i="1"/>
  <c r="AY208" i="1"/>
  <c r="AZ208" i="1"/>
  <c r="BA208" i="1"/>
  <c r="A209" i="1"/>
  <c r="B209" i="1"/>
  <c r="C209" i="1"/>
  <c r="D209" i="1"/>
  <c r="E209" i="1"/>
  <c r="F209" i="1"/>
  <c r="G209" i="1"/>
  <c r="H209" i="1"/>
  <c r="I209" i="1"/>
  <c r="J209" i="1"/>
  <c r="K209" i="1"/>
  <c r="L209" i="1"/>
  <c r="M209" i="1" s="1"/>
  <c r="N209" i="1"/>
  <c r="O209" i="1"/>
  <c r="P209" i="1"/>
  <c r="Q209" i="1"/>
  <c r="R209" i="1"/>
  <c r="S209" i="1" s="1"/>
  <c r="T209" i="1"/>
  <c r="U209" i="1"/>
  <c r="V209" i="1"/>
  <c r="W209" i="1"/>
  <c r="X209" i="1"/>
  <c r="Y209" i="1"/>
  <c r="Z209" i="1"/>
  <c r="AA209" i="1"/>
  <c r="AB209" i="1"/>
  <c r="AC209" i="1"/>
  <c r="AD209" i="1" s="1"/>
  <c r="AE209" i="1"/>
  <c r="AF209" i="1"/>
  <c r="AG209" i="1"/>
  <c r="AH209" i="1" s="1"/>
  <c r="AI209" i="1"/>
  <c r="AJ209" i="1"/>
  <c r="AL209" i="1"/>
  <c r="AM209" i="1"/>
  <c r="AN209" i="1"/>
  <c r="AO209" i="1"/>
  <c r="AP209" i="1"/>
  <c r="AQ209" i="1"/>
  <c r="AR209" i="1"/>
  <c r="AS209" i="1"/>
  <c r="AT209" i="1"/>
  <c r="AU209" i="1"/>
  <c r="AV209" i="1"/>
  <c r="AW209" i="1"/>
  <c r="AX209" i="1"/>
  <c r="AY209" i="1"/>
  <c r="AZ209" i="1"/>
  <c r="BA209" i="1"/>
  <c r="A210" i="1"/>
  <c r="B210" i="1"/>
  <c r="C210" i="1"/>
  <c r="D210" i="1"/>
  <c r="E210" i="1"/>
  <c r="F210" i="1"/>
  <c r="G210" i="1"/>
  <c r="H210" i="1"/>
  <c r="I210" i="1"/>
  <c r="J210" i="1"/>
  <c r="K210" i="1"/>
  <c r="L210" i="1"/>
  <c r="M210" i="1" s="1"/>
  <c r="N210" i="1"/>
  <c r="O210" i="1"/>
  <c r="P210" i="1"/>
  <c r="Q210" i="1"/>
  <c r="R210" i="1"/>
  <c r="S210" i="1" s="1"/>
  <c r="T210" i="1"/>
  <c r="U210" i="1"/>
  <c r="V210" i="1"/>
  <c r="W210" i="1"/>
  <c r="X210" i="1"/>
  <c r="Y210" i="1"/>
  <c r="Z210" i="1"/>
  <c r="AA210" i="1"/>
  <c r="AB210" i="1"/>
  <c r="AC210" i="1"/>
  <c r="AD210" i="1" s="1"/>
  <c r="AE210" i="1"/>
  <c r="AF210" i="1"/>
  <c r="AG210" i="1"/>
  <c r="AH210" i="1" s="1"/>
  <c r="AI210" i="1"/>
  <c r="AJ210" i="1"/>
  <c r="AL210" i="1"/>
  <c r="AM210" i="1"/>
  <c r="AN210" i="1"/>
  <c r="AO210" i="1"/>
  <c r="AP210" i="1"/>
  <c r="AQ210" i="1"/>
  <c r="AR210" i="1"/>
  <c r="AS210" i="1"/>
  <c r="AT210" i="1"/>
  <c r="AU210" i="1"/>
  <c r="AV210" i="1"/>
  <c r="AW210" i="1"/>
  <c r="AX210" i="1"/>
  <c r="AY210" i="1"/>
  <c r="AZ210" i="1"/>
  <c r="BA210" i="1"/>
  <c r="A211" i="1"/>
  <c r="B211" i="1"/>
  <c r="C211" i="1"/>
  <c r="D211" i="1"/>
  <c r="E211" i="1"/>
  <c r="F211" i="1"/>
  <c r="G211" i="1"/>
  <c r="H211" i="1"/>
  <c r="I211" i="1"/>
  <c r="J211" i="1"/>
  <c r="K211" i="1"/>
  <c r="L211" i="1"/>
  <c r="M211" i="1" s="1"/>
  <c r="N211" i="1"/>
  <c r="O211" i="1"/>
  <c r="P211" i="1"/>
  <c r="Q211" i="1"/>
  <c r="R211" i="1"/>
  <c r="S211" i="1" s="1"/>
  <c r="T211" i="1"/>
  <c r="U211" i="1"/>
  <c r="V211" i="1"/>
  <c r="W211" i="1"/>
  <c r="X211" i="1"/>
  <c r="Y211" i="1"/>
  <c r="Z211" i="1"/>
  <c r="AA211" i="1"/>
  <c r="AB211" i="1"/>
  <c r="AD211" i="1"/>
  <c r="AE211" i="1"/>
  <c r="AF211" i="1"/>
  <c r="AG211" i="1"/>
  <c r="AH211" i="1" s="1"/>
  <c r="AI211" i="1"/>
  <c r="AJ211" i="1"/>
  <c r="AL211" i="1"/>
  <c r="AM211" i="1"/>
  <c r="AN211" i="1"/>
  <c r="AO211" i="1"/>
  <c r="AP211" i="1"/>
  <c r="AQ211" i="1"/>
  <c r="AR211" i="1"/>
  <c r="AS211" i="1"/>
  <c r="AT211" i="1"/>
  <c r="AU211" i="1"/>
  <c r="AV211" i="1"/>
  <c r="AW211" i="1"/>
  <c r="AX211" i="1"/>
  <c r="AY211" i="1"/>
  <c r="AZ211" i="1"/>
  <c r="BA211" i="1"/>
  <c r="A212" i="1"/>
  <c r="B212" i="1"/>
  <c r="C212" i="1"/>
  <c r="D212" i="1"/>
  <c r="E212" i="1"/>
  <c r="F212" i="1"/>
  <c r="G212" i="1"/>
  <c r="H212" i="1"/>
  <c r="I212" i="1"/>
  <c r="J212" i="1"/>
  <c r="K212" i="1"/>
  <c r="M212" i="1"/>
  <c r="N212" i="1"/>
  <c r="O212" i="1"/>
  <c r="P212" i="1"/>
  <c r="Q212" i="1"/>
  <c r="S212" i="1"/>
  <c r="T212" i="1"/>
  <c r="U212" i="1"/>
  <c r="V212" i="1"/>
  <c r="W212" i="1"/>
  <c r="X212" i="1"/>
  <c r="Y212" i="1"/>
  <c r="Z212" i="1"/>
  <c r="AA212" i="1"/>
  <c r="AB212" i="1"/>
  <c r="AD212" i="1"/>
  <c r="AE212" i="1"/>
  <c r="AF212" i="1"/>
  <c r="AI212" i="1"/>
  <c r="AL212" i="1"/>
  <c r="AM212" i="1"/>
  <c r="AN212" i="1"/>
  <c r="AO212" i="1"/>
  <c r="AP212" i="1"/>
  <c r="AQ212" i="1"/>
  <c r="AR212" i="1"/>
  <c r="AS212" i="1"/>
  <c r="AT212" i="1"/>
  <c r="AU212" i="1"/>
  <c r="AV212" i="1"/>
  <c r="AW212" i="1"/>
  <c r="AX212" i="1"/>
  <c r="AY212" i="1"/>
  <c r="AZ212" i="1"/>
  <c r="BA212" i="1"/>
  <c r="A213" i="1"/>
  <c r="B213" i="1"/>
  <c r="C213" i="1"/>
  <c r="D213" i="1"/>
  <c r="E213" i="1"/>
  <c r="F213" i="1"/>
  <c r="G213" i="1"/>
  <c r="H213" i="1"/>
  <c r="I213" i="1"/>
  <c r="J213" i="1"/>
  <c r="K213" i="1"/>
  <c r="M213" i="1"/>
  <c r="N213" i="1"/>
  <c r="O213" i="1"/>
  <c r="P213" i="1"/>
  <c r="Q213" i="1"/>
  <c r="S213" i="1"/>
  <c r="T213" i="1"/>
  <c r="U213" i="1"/>
  <c r="V213" i="1"/>
  <c r="W213" i="1"/>
  <c r="X213" i="1"/>
  <c r="Y213" i="1"/>
  <c r="Z213" i="1"/>
  <c r="AA213" i="1"/>
  <c r="AB213" i="1"/>
  <c r="AC213" i="1"/>
  <c r="AD213" i="1" s="1"/>
  <c r="AE213" i="1"/>
  <c r="AF213" i="1"/>
  <c r="AG213" i="1"/>
  <c r="AH213" i="1" s="1"/>
  <c r="AI213" i="1"/>
  <c r="AL213" i="1"/>
  <c r="AM213" i="1"/>
  <c r="AN213" i="1"/>
  <c r="AO213" i="1"/>
  <c r="AP213" i="1"/>
  <c r="AQ213" i="1"/>
  <c r="AR213" i="1"/>
  <c r="AS213" i="1"/>
  <c r="AT213" i="1"/>
  <c r="AU213" i="1"/>
  <c r="AV213" i="1"/>
  <c r="AW213" i="1"/>
  <c r="AX213" i="1"/>
  <c r="AY213" i="1"/>
  <c r="AZ213" i="1"/>
  <c r="BA213" i="1"/>
  <c r="A214" i="1"/>
  <c r="B214" i="1"/>
  <c r="C214" i="1"/>
  <c r="D214" i="1"/>
  <c r="E214" i="1"/>
  <c r="F214" i="1"/>
  <c r="G214" i="1"/>
  <c r="H214" i="1"/>
  <c r="I214" i="1"/>
  <c r="J214" i="1"/>
  <c r="K214" i="1"/>
  <c r="L214" i="1"/>
  <c r="M214" i="1" s="1"/>
  <c r="N214" i="1"/>
  <c r="O214" i="1"/>
  <c r="P214" i="1"/>
  <c r="Q214" i="1"/>
  <c r="R214" i="1"/>
  <c r="S214" i="1" s="1"/>
  <c r="T214" i="1"/>
  <c r="U214" i="1"/>
  <c r="V214" i="1"/>
  <c r="W214" i="1"/>
  <c r="X214" i="1"/>
  <c r="Y214" i="1"/>
  <c r="Z214" i="1"/>
  <c r="AA214" i="1"/>
  <c r="AB214" i="1"/>
  <c r="AC214" i="1"/>
  <c r="AD214" i="1" s="1"/>
  <c r="AE214" i="1"/>
  <c r="AF214" i="1"/>
  <c r="AG214" i="1"/>
  <c r="AH214" i="1" s="1"/>
  <c r="AI214" i="1"/>
  <c r="AL214" i="1"/>
  <c r="AM214" i="1"/>
  <c r="AN214" i="1"/>
  <c r="AO214" i="1"/>
  <c r="AP214" i="1"/>
  <c r="AQ214" i="1"/>
  <c r="AR214" i="1"/>
  <c r="AS214" i="1"/>
  <c r="AT214" i="1"/>
  <c r="AU214" i="1"/>
  <c r="AV214" i="1"/>
  <c r="AW214" i="1"/>
  <c r="AX214" i="1"/>
  <c r="AY214" i="1"/>
  <c r="AZ214" i="1"/>
  <c r="BA214" i="1"/>
  <c r="A215" i="1"/>
  <c r="B215" i="1"/>
  <c r="C215" i="1"/>
  <c r="D215" i="1"/>
  <c r="E215" i="1"/>
  <c r="F215" i="1"/>
  <c r="G215" i="1"/>
  <c r="H215" i="1"/>
  <c r="I215" i="1"/>
  <c r="J215" i="1"/>
  <c r="K215" i="1"/>
  <c r="L215" i="1"/>
  <c r="M215" i="1" s="1"/>
  <c r="N215" i="1"/>
  <c r="O215" i="1"/>
  <c r="P215" i="1"/>
  <c r="Q215" i="1"/>
  <c r="R215" i="1"/>
  <c r="S215" i="1" s="1"/>
  <c r="T215" i="1"/>
  <c r="U215" i="1"/>
  <c r="V215" i="1"/>
  <c r="W215" i="1"/>
  <c r="X215" i="1"/>
  <c r="Y215" i="1"/>
  <c r="Z215" i="1"/>
  <c r="AA215" i="1"/>
  <c r="AB215" i="1"/>
  <c r="AC215" i="1"/>
  <c r="AD215" i="1" s="1"/>
  <c r="AE215" i="1"/>
  <c r="AF215" i="1"/>
  <c r="AG215" i="1"/>
  <c r="AH215" i="1" s="1"/>
  <c r="AI215" i="1"/>
  <c r="AJ215" i="1"/>
  <c r="AL215" i="1"/>
  <c r="AM215" i="1"/>
  <c r="AN215" i="1"/>
  <c r="AO215" i="1"/>
  <c r="AP215" i="1"/>
  <c r="AQ215" i="1"/>
  <c r="AR215" i="1"/>
  <c r="AS215" i="1"/>
  <c r="AT215" i="1"/>
  <c r="AU215" i="1"/>
  <c r="AV215" i="1"/>
  <c r="AW215" i="1"/>
  <c r="AX215" i="1"/>
  <c r="AY215" i="1"/>
  <c r="AZ215" i="1"/>
  <c r="BA215" i="1"/>
  <c r="A216" i="1"/>
  <c r="B216" i="1"/>
  <c r="C216" i="1"/>
  <c r="D216" i="1"/>
  <c r="E216" i="1"/>
  <c r="F216" i="1"/>
  <c r="G216" i="1"/>
  <c r="H216" i="1"/>
  <c r="I216" i="1"/>
  <c r="J216" i="1"/>
  <c r="K216" i="1"/>
  <c r="L216" i="1"/>
  <c r="M216" i="1" s="1"/>
  <c r="N216" i="1"/>
  <c r="O216" i="1"/>
  <c r="P216" i="1"/>
  <c r="Q216" i="1"/>
  <c r="S216" i="1"/>
  <c r="T216" i="1"/>
  <c r="U216" i="1"/>
  <c r="V216" i="1"/>
  <c r="W216" i="1"/>
  <c r="X216" i="1"/>
  <c r="Y216" i="1"/>
  <c r="Z216" i="1"/>
  <c r="AA216" i="1"/>
  <c r="AB216" i="1"/>
  <c r="AC216" i="1"/>
  <c r="AD216" i="1" s="1"/>
  <c r="AE216" i="1"/>
  <c r="AF216" i="1"/>
  <c r="AI216" i="1"/>
  <c r="AL216" i="1"/>
  <c r="AM216" i="1"/>
  <c r="AN216" i="1"/>
  <c r="AO216" i="1"/>
  <c r="AP216" i="1"/>
  <c r="AQ216" i="1"/>
  <c r="AR216" i="1"/>
  <c r="AS216" i="1"/>
  <c r="AT216" i="1"/>
  <c r="AU216" i="1"/>
  <c r="AV216" i="1"/>
  <c r="AW216" i="1"/>
  <c r="AX216" i="1"/>
  <c r="AY216" i="1"/>
  <c r="AZ216" i="1"/>
  <c r="BA216" i="1"/>
  <c r="A217" i="1"/>
  <c r="B217" i="1"/>
  <c r="C217" i="1"/>
  <c r="D217" i="1"/>
  <c r="E217" i="1"/>
  <c r="F217" i="1"/>
  <c r="G217" i="1"/>
  <c r="H217" i="1"/>
  <c r="I217" i="1"/>
  <c r="J217" i="1"/>
  <c r="K217" i="1"/>
  <c r="L217" i="1"/>
  <c r="M217" i="1" s="1"/>
  <c r="N217" i="1"/>
  <c r="O217" i="1"/>
  <c r="P217" i="1"/>
  <c r="Q217" i="1"/>
  <c r="R217" i="1"/>
  <c r="S217" i="1" s="1"/>
  <c r="T217" i="1"/>
  <c r="U217" i="1"/>
  <c r="V217" i="1"/>
  <c r="W217" i="1"/>
  <c r="X217" i="1"/>
  <c r="Y217" i="1"/>
  <c r="Z217" i="1"/>
  <c r="AA217" i="1"/>
  <c r="AB217" i="1"/>
  <c r="AD217" i="1"/>
  <c r="AE217" i="1"/>
  <c r="AF217" i="1"/>
  <c r="AI217" i="1"/>
  <c r="AL217" i="1"/>
  <c r="AM217" i="1"/>
  <c r="AN217" i="1"/>
  <c r="AO217" i="1"/>
  <c r="AP217" i="1"/>
  <c r="AQ217" i="1"/>
  <c r="AR217" i="1"/>
  <c r="AS217" i="1"/>
  <c r="AT217" i="1"/>
  <c r="AU217" i="1"/>
  <c r="AV217" i="1"/>
  <c r="AW217" i="1"/>
  <c r="AX217" i="1"/>
  <c r="AY217" i="1"/>
  <c r="AZ217" i="1"/>
  <c r="BA217" i="1"/>
  <c r="A218" i="1"/>
  <c r="B218" i="1"/>
  <c r="C218" i="1"/>
  <c r="D218" i="1"/>
  <c r="E218" i="1"/>
  <c r="F218" i="1"/>
  <c r="G218" i="1"/>
  <c r="H218" i="1"/>
  <c r="I218" i="1"/>
  <c r="J218" i="1"/>
  <c r="K218" i="1"/>
  <c r="L218" i="1"/>
  <c r="M218" i="1" s="1"/>
  <c r="N218" i="1"/>
  <c r="O218" i="1"/>
  <c r="P218" i="1"/>
  <c r="Q218" i="1"/>
  <c r="R218" i="1"/>
  <c r="S218" i="1" s="1"/>
  <c r="T218" i="1"/>
  <c r="U218" i="1"/>
  <c r="V218" i="1"/>
  <c r="W218" i="1"/>
  <c r="X218" i="1"/>
  <c r="Y218" i="1"/>
  <c r="Z218" i="1"/>
  <c r="AA218" i="1"/>
  <c r="AB218" i="1"/>
  <c r="AC218" i="1"/>
  <c r="AD218" i="1" s="1"/>
  <c r="AE218" i="1"/>
  <c r="AF218" i="1"/>
  <c r="AG218" i="1"/>
  <c r="AH218" i="1" s="1"/>
  <c r="AI218" i="1"/>
  <c r="AJ218" i="1"/>
  <c r="AL218" i="1"/>
  <c r="AM218" i="1"/>
  <c r="AN218" i="1"/>
  <c r="AO218" i="1"/>
  <c r="AP218" i="1"/>
  <c r="AQ218" i="1"/>
  <c r="AR218" i="1"/>
  <c r="AS218" i="1"/>
  <c r="AT218" i="1"/>
  <c r="AU218" i="1"/>
  <c r="AV218" i="1"/>
  <c r="AW218" i="1"/>
  <c r="AX218" i="1"/>
  <c r="AY218" i="1"/>
  <c r="AZ218" i="1"/>
  <c r="BA218" i="1"/>
  <c r="A219" i="1"/>
  <c r="B219" i="1"/>
  <c r="C219" i="1"/>
  <c r="D219" i="1"/>
  <c r="E219" i="1"/>
  <c r="F219" i="1"/>
  <c r="G219" i="1"/>
  <c r="H219" i="1"/>
  <c r="I219" i="1"/>
  <c r="J219" i="1"/>
  <c r="K219" i="1"/>
  <c r="L219" i="1"/>
  <c r="M219" i="1" s="1"/>
  <c r="N219" i="1"/>
  <c r="O219" i="1"/>
  <c r="P219" i="1"/>
  <c r="Q219" i="1"/>
  <c r="R219" i="1"/>
  <c r="S219" i="1" s="1"/>
  <c r="T219" i="1"/>
  <c r="U219" i="1"/>
  <c r="V219" i="1"/>
  <c r="W219" i="1"/>
  <c r="X219" i="1"/>
  <c r="Y219" i="1"/>
  <c r="Z219" i="1"/>
  <c r="AA219" i="1"/>
  <c r="AB219" i="1"/>
  <c r="AC219" i="1"/>
  <c r="AD219" i="1" s="1"/>
  <c r="AE219" i="1"/>
  <c r="AF219" i="1"/>
  <c r="AG219" i="1"/>
  <c r="AH219" i="1" s="1"/>
  <c r="AI219" i="1"/>
  <c r="AJ219" i="1"/>
  <c r="AL219" i="1"/>
  <c r="AM219" i="1"/>
  <c r="AN219" i="1"/>
  <c r="AO219" i="1"/>
  <c r="AP219" i="1"/>
  <c r="AQ219" i="1"/>
  <c r="AR219" i="1"/>
  <c r="AS219" i="1"/>
  <c r="AT219" i="1"/>
  <c r="AU219" i="1"/>
  <c r="AV219" i="1"/>
  <c r="AW219" i="1"/>
  <c r="AX219" i="1"/>
  <c r="AY219" i="1"/>
  <c r="AZ219" i="1"/>
  <c r="BA219" i="1"/>
  <c r="A220" i="1"/>
  <c r="B220" i="1"/>
  <c r="C220" i="1"/>
  <c r="D220" i="1"/>
  <c r="E220" i="1"/>
  <c r="F220" i="1"/>
  <c r="G220" i="1"/>
  <c r="H220" i="1"/>
  <c r="I220" i="1"/>
  <c r="J220" i="1"/>
  <c r="K220" i="1"/>
  <c r="L220" i="1"/>
  <c r="M220" i="1" s="1"/>
  <c r="N220" i="1"/>
  <c r="O220" i="1"/>
  <c r="P220" i="1"/>
  <c r="Q220" i="1"/>
  <c r="R220" i="1"/>
  <c r="S220" i="1" s="1"/>
  <c r="T220" i="1"/>
  <c r="U220" i="1"/>
  <c r="V220" i="1"/>
  <c r="W220" i="1"/>
  <c r="X220" i="1"/>
  <c r="Y220" i="1"/>
  <c r="Z220" i="1"/>
  <c r="AA220" i="1"/>
  <c r="AB220" i="1"/>
  <c r="AC220" i="1"/>
  <c r="AD220" i="1" s="1"/>
  <c r="AE220" i="1"/>
  <c r="AF220" i="1"/>
  <c r="AG220" i="1"/>
  <c r="AH220" i="1" s="1"/>
  <c r="AI220" i="1"/>
  <c r="AL220" i="1"/>
  <c r="AM220" i="1"/>
  <c r="AN220" i="1"/>
  <c r="AO220" i="1"/>
  <c r="AP220" i="1"/>
  <c r="AQ220" i="1"/>
  <c r="AR220" i="1"/>
  <c r="AS220" i="1"/>
  <c r="AT220" i="1"/>
  <c r="AU220" i="1"/>
  <c r="AV220" i="1"/>
  <c r="AW220" i="1"/>
  <c r="AX220" i="1"/>
  <c r="AY220" i="1"/>
  <c r="AZ220" i="1"/>
  <c r="BA220" i="1"/>
  <c r="A221" i="1"/>
  <c r="B221" i="1"/>
  <c r="C221" i="1"/>
  <c r="D221" i="1"/>
  <c r="E221" i="1"/>
  <c r="F221" i="1"/>
  <c r="G221" i="1"/>
  <c r="H221" i="1"/>
  <c r="I221" i="1"/>
  <c r="J221" i="1"/>
  <c r="K221" i="1"/>
  <c r="L221" i="1"/>
  <c r="M221" i="1" s="1"/>
  <c r="N221" i="1"/>
  <c r="O221" i="1"/>
  <c r="P221" i="1"/>
  <c r="Q221" i="1"/>
  <c r="R221" i="1"/>
  <c r="S221" i="1" s="1"/>
  <c r="T221" i="1"/>
  <c r="U221" i="1"/>
  <c r="V221" i="1"/>
  <c r="W221" i="1"/>
  <c r="X221" i="1"/>
  <c r="Y221" i="1"/>
  <c r="Z221" i="1"/>
  <c r="AA221" i="1"/>
  <c r="AB221" i="1"/>
  <c r="AC221" i="1"/>
  <c r="AD221" i="1" s="1"/>
  <c r="AE221" i="1"/>
  <c r="AF221" i="1"/>
  <c r="AG221" i="1"/>
  <c r="AH221" i="1" s="1"/>
  <c r="AI221" i="1"/>
  <c r="AJ221" i="1"/>
  <c r="AL221" i="1"/>
  <c r="AM221" i="1"/>
  <c r="AN221" i="1"/>
  <c r="AO221" i="1"/>
  <c r="AP221" i="1"/>
  <c r="AQ221" i="1"/>
  <c r="AR221" i="1"/>
  <c r="AS221" i="1"/>
  <c r="AT221" i="1"/>
  <c r="AU221" i="1"/>
  <c r="AV221" i="1"/>
  <c r="AW221" i="1"/>
  <c r="AX221" i="1"/>
  <c r="AY221" i="1"/>
  <c r="AZ221" i="1"/>
  <c r="BA221" i="1"/>
  <c r="A222" i="1"/>
  <c r="B222" i="1"/>
  <c r="C222" i="1"/>
  <c r="D222" i="1"/>
  <c r="E222" i="1"/>
  <c r="F222" i="1"/>
  <c r="G222" i="1"/>
  <c r="H222" i="1"/>
  <c r="I222" i="1"/>
  <c r="J222" i="1"/>
  <c r="K222" i="1"/>
  <c r="L222" i="1"/>
  <c r="M222" i="1" s="1"/>
  <c r="N222" i="1"/>
  <c r="O222" i="1"/>
  <c r="P222" i="1"/>
  <c r="Q222" i="1"/>
  <c r="R222" i="1"/>
  <c r="S222" i="1" s="1"/>
  <c r="T222" i="1"/>
  <c r="U222" i="1"/>
  <c r="V222" i="1"/>
  <c r="W222" i="1"/>
  <c r="X222" i="1"/>
  <c r="Y222" i="1"/>
  <c r="Z222" i="1"/>
  <c r="AA222" i="1"/>
  <c r="AB222" i="1"/>
  <c r="AC222" i="1"/>
  <c r="AD222" i="1" s="1"/>
  <c r="AE222" i="1"/>
  <c r="AF222" i="1"/>
  <c r="AG222" i="1"/>
  <c r="AH222" i="1" s="1"/>
  <c r="AI222" i="1"/>
  <c r="AJ222" i="1"/>
  <c r="AL222" i="1"/>
  <c r="AM222" i="1"/>
  <c r="AN222" i="1"/>
  <c r="AO222" i="1"/>
  <c r="AP222" i="1"/>
  <c r="AQ222" i="1"/>
  <c r="AR222" i="1"/>
  <c r="AS222" i="1"/>
  <c r="AT222" i="1"/>
  <c r="AU222" i="1"/>
  <c r="AV222" i="1"/>
  <c r="AW222" i="1"/>
  <c r="AX222" i="1"/>
  <c r="AY222" i="1"/>
  <c r="AZ222" i="1"/>
  <c r="BA222" i="1"/>
  <c r="A223" i="1"/>
  <c r="B223" i="1"/>
  <c r="C223" i="1"/>
  <c r="D223" i="1"/>
  <c r="E223" i="1"/>
  <c r="F223" i="1"/>
  <c r="G223" i="1"/>
  <c r="H223" i="1"/>
  <c r="I223" i="1"/>
  <c r="J223" i="1"/>
  <c r="K223" i="1"/>
  <c r="L223" i="1"/>
  <c r="M223" i="1" s="1"/>
  <c r="N223" i="1"/>
  <c r="O223" i="1"/>
  <c r="P223" i="1"/>
  <c r="Q223" i="1"/>
  <c r="R223" i="1"/>
  <c r="S223" i="1" s="1"/>
  <c r="T223" i="1"/>
  <c r="U223" i="1"/>
  <c r="V223" i="1"/>
  <c r="W223" i="1"/>
  <c r="X223" i="1"/>
  <c r="Y223" i="1"/>
  <c r="Z223" i="1"/>
  <c r="AA223" i="1"/>
  <c r="AB223" i="1"/>
  <c r="AC223" i="1"/>
  <c r="AD223" i="1" s="1"/>
  <c r="AE223" i="1"/>
  <c r="AF223" i="1"/>
  <c r="AG223" i="1"/>
  <c r="AH223" i="1" s="1"/>
  <c r="AI223" i="1"/>
  <c r="AJ223" i="1"/>
  <c r="AL223" i="1"/>
  <c r="AM223" i="1"/>
  <c r="AN223" i="1"/>
  <c r="AO223" i="1"/>
  <c r="AP223" i="1"/>
  <c r="AQ223" i="1"/>
  <c r="AR223" i="1"/>
  <c r="AS223" i="1"/>
  <c r="AT223" i="1"/>
  <c r="AU223" i="1"/>
  <c r="AV223" i="1"/>
  <c r="AW223" i="1"/>
  <c r="AX223" i="1"/>
  <c r="AY223" i="1"/>
  <c r="AZ223" i="1"/>
  <c r="BA223" i="1"/>
  <c r="A224" i="1"/>
  <c r="B224" i="1"/>
  <c r="C224" i="1"/>
  <c r="D224" i="1"/>
  <c r="E224" i="1"/>
  <c r="F224" i="1"/>
  <c r="G224" i="1"/>
  <c r="H224" i="1"/>
  <c r="I224" i="1"/>
  <c r="J224" i="1"/>
  <c r="K224" i="1"/>
  <c r="L224" i="1"/>
  <c r="M224" i="1" s="1"/>
  <c r="N224" i="1"/>
  <c r="O224" i="1"/>
  <c r="P224" i="1"/>
  <c r="Q224" i="1"/>
  <c r="R224" i="1"/>
  <c r="S224" i="1" s="1"/>
  <c r="T224" i="1"/>
  <c r="U224" i="1"/>
  <c r="V224" i="1"/>
  <c r="W224" i="1"/>
  <c r="X224" i="1"/>
  <c r="Y224" i="1"/>
  <c r="Z224" i="1"/>
  <c r="AA224" i="1"/>
  <c r="AB224" i="1"/>
  <c r="AC224" i="1"/>
  <c r="AD224" i="1" s="1"/>
  <c r="AE224" i="1"/>
  <c r="AF224" i="1"/>
  <c r="AG224" i="1"/>
  <c r="AH224" i="1" s="1"/>
  <c r="AI224" i="1"/>
  <c r="AJ224" i="1"/>
  <c r="AL224" i="1"/>
  <c r="AM224" i="1"/>
  <c r="AN224" i="1"/>
  <c r="AO224" i="1"/>
  <c r="AP224" i="1"/>
  <c r="AQ224" i="1"/>
  <c r="AR224" i="1"/>
  <c r="AS224" i="1"/>
  <c r="AT224" i="1"/>
  <c r="AU224" i="1"/>
  <c r="AV224" i="1"/>
  <c r="AW224" i="1"/>
  <c r="AX224" i="1"/>
  <c r="AY224" i="1"/>
  <c r="AZ224" i="1"/>
  <c r="BA224" i="1"/>
  <c r="A225" i="1"/>
  <c r="B225" i="1"/>
  <c r="C225" i="1"/>
  <c r="D225" i="1"/>
  <c r="E225" i="1"/>
  <c r="F225" i="1"/>
  <c r="G225" i="1"/>
  <c r="H225" i="1"/>
  <c r="I225" i="1"/>
  <c r="J225" i="1"/>
  <c r="K225" i="1"/>
  <c r="M225" i="1"/>
  <c r="N225" i="1"/>
  <c r="O225" i="1"/>
  <c r="P225" i="1"/>
  <c r="Q225" i="1"/>
  <c r="R225" i="1"/>
  <c r="S225" i="1" s="1"/>
  <c r="T225" i="1"/>
  <c r="U225" i="1"/>
  <c r="V225" i="1"/>
  <c r="W225" i="1"/>
  <c r="X225" i="1"/>
  <c r="Y225" i="1"/>
  <c r="Z225" i="1"/>
  <c r="AA225" i="1"/>
  <c r="AB225" i="1"/>
  <c r="AC225" i="1"/>
  <c r="AD225" i="1" s="1"/>
  <c r="AE225" i="1"/>
  <c r="AF225" i="1"/>
  <c r="AG225" i="1"/>
  <c r="AH225" i="1" s="1"/>
  <c r="AI225" i="1"/>
  <c r="AJ225" i="1"/>
  <c r="AL225" i="1"/>
  <c r="AM225" i="1"/>
  <c r="AN225" i="1"/>
  <c r="AO225" i="1"/>
  <c r="AP225" i="1"/>
  <c r="AQ225" i="1"/>
  <c r="AR225" i="1"/>
  <c r="AS225" i="1"/>
  <c r="AT225" i="1"/>
  <c r="AU225" i="1"/>
  <c r="AV225" i="1"/>
  <c r="AW225" i="1"/>
  <c r="AX225" i="1"/>
  <c r="AY225" i="1"/>
  <c r="AZ225" i="1"/>
  <c r="BA225" i="1"/>
  <c r="A226" i="1"/>
  <c r="B226" i="1"/>
  <c r="C226" i="1"/>
  <c r="D226" i="1"/>
  <c r="E226" i="1"/>
  <c r="F226" i="1"/>
  <c r="G226" i="1"/>
  <c r="H226" i="1"/>
  <c r="I226" i="1"/>
  <c r="J226" i="1"/>
  <c r="K226" i="1"/>
  <c r="L226" i="1"/>
  <c r="M226" i="1" s="1"/>
  <c r="N226" i="1"/>
  <c r="O226" i="1"/>
  <c r="P226" i="1"/>
  <c r="Q226" i="1"/>
  <c r="R226" i="1"/>
  <c r="S226" i="1" s="1"/>
  <c r="T226" i="1"/>
  <c r="U226" i="1"/>
  <c r="V226" i="1"/>
  <c r="W226" i="1"/>
  <c r="X226" i="1"/>
  <c r="Y226" i="1"/>
  <c r="Z226" i="1"/>
  <c r="AA226" i="1"/>
  <c r="AB226" i="1"/>
  <c r="AC226" i="1"/>
  <c r="AD226" i="1" s="1"/>
  <c r="AE226" i="1"/>
  <c r="AF226" i="1"/>
  <c r="AG226" i="1"/>
  <c r="AH226" i="1" s="1"/>
  <c r="AI226" i="1"/>
  <c r="AJ226" i="1"/>
  <c r="AL226" i="1"/>
  <c r="AM226" i="1"/>
  <c r="AN226" i="1"/>
  <c r="AO226" i="1"/>
  <c r="AP226" i="1"/>
  <c r="AQ226" i="1"/>
  <c r="AR226" i="1"/>
  <c r="AS226" i="1"/>
  <c r="AT226" i="1"/>
  <c r="AU226" i="1"/>
  <c r="AV226" i="1"/>
  <c r="AW226" i="1"/>
  <c r="AX226" i="1"/>
  <c r="AY226" i="1"/>
  <c r="AZ226" i="1"/>
  <c r="BA226" i="1"/>
  <c r="A227" i="1"/>
  <c r="B227" i="1"/>
  <c r="C227" i="1"/>
  <c r="D227" i="1"/>
  <c r="E227" i="1"/>
  <c r="F227" i="1"/>
  <c r="G227" i="1"/>
  <c r="H227" i="1"/>
  <c r="I227" i="1"/>
  <c r="J227" i="1"/>
  <c r="K227" i="1"/>
  <c r="L227" i="1"/>
  <c r="M227" i="1" s="1"/>
  <c r="N227" i="1"/>
  <c r="O227" i="1"/>
  <c r="P227" i="1"/>
  <c r="Q227" i="1"/>
  <c r="R227" i="1"/>
  <c r="S227" i="1" s="1"/>
  <c r="T227" i="1"/>
  <c r="U227" i="1"/>
  <c r="V227" i="1"/>
  <c r="W227" i="1"/>
  <c r="X227" i="1"/>
  <c r="Y227" i="1"/>
  <c r="Z227" i="1"/>
  <c r="AA227" i="1"/>
  <c r="AB227" i="1"/>
  <c r="AC227" i="1"/>
  <c r="AD227" i="1" s="1"/>
  <c r="AE227" i="1"/>
  <c r="AF227" i="1"/>
  <c r="AG227" i="1"/>
  <c r="AH227" i="1" s="1"/>
  <c r="AI227" i="1"/>
  <c r="AJ227" i="1"/>
  <c r="AL227" i="1"/>
  <c r="AM227" i="1"/>
  <c r="AN227" i="1"/>
  <c r="AO227" i="1"/>
  <c r="AP227" i="1"/>
  <c r="AQ227" i="1"/>
  <c r="AR227" i="1"/>
  <c r="AS227" i="1"/>
  <c r="AT227" i="1"/>
  <c r="AU227" i="1"/>
  <c r="AV227" i="1"/>
  <c r="AW227" i="1"/>
  <c r="AX227" i="1"/>
  <c r="AY227" i="1"/>
  <c r="AZ227" i="1"/>
  <c r="BA227" i="1"/>
  <c r="A228" i="1"/>
  <c r="B228" i="1"/>
  <c r="C228" i="1"/>
  <c r="D228" i="1"/>
  <c r="E228" i="1"/>
  <c r="F228" i="1"/>
  <c r="G228" i="1"/>
  <c r="H228" i="1"/>
  <c r="I228" i="1"/>
  <c r="J228" i="1"/>
  <c r="K228" i="1"/>
  <c r="M228" i="1"/>
  <c r="N228" i="1"/>
  <c r="O228" i="1"/>
  <c r="P228" i="1"/>
  <c r="Q228" i="1"/>
  <c r="R228" i="1"/>
  <c r="S228" i="1" s="1"/>
  <c r="T228" i="1"/>
  <c r="U228" i="1"/>
  <c r="V228" i="1"/>
  <c r="W228" i="1"/>
  <c r="X228" i="1"/>
  <c r="Y228" i="1"/>
  <c r="Z228" i="1"/>
  <c r="AA228" i="1"/>
  <c r="AB228" i="1"/>
  <c r="AC228" i="1"/>
  <c r="AD228" i="1" s="1"/>
  <c r="AE228" i="1"/>
  <c r="AF228" i="1"/>
  <c r="AG228" i="1"/>
  <c r="AH228" i="1" s="1"/>
  <c r="AI228" i="1"/>
  <c r="AJ228" i="1"/>
  <c r="AL228" i="1"/>
  <c r="AM228" i="1"/>
  <c r="AN228" i="1"/>
  <c r="AO228" i="1"/>
  <c r="AP228" i="1"/>
  <c r="AQ228" i="1"/>
  <c r="AR228" i="1"/>
  <c r="AS228" i="1"/>
  <c r="AT228" i="1"/>
  <c r="AU228" i="1"/>
  <c r="AV228" i="1"/>
  <c r="AW228" i="1"/>
  <c r="AX228" i="1"/>
  <c r="AY228" i="1"/>
  <c r="AZ228" i="1"/>
  <c r="BA228" i="1"/>
  <c r="A229" i="1"/>
  <c r="B229" i="1"/>
  <c r="C229" i="1"/>
  <c r="D229" i="1"/>
  <c r="E229" i="1"/>
  <c r="F229" i="1"/>
  <c r="G229" i="1"/>
  <c r="H229" i="1"/>
  <c r="I229" i="1"/>
  <c r="J229" i="1"/>
  <c r="K229" i="1"/>
  <c r="L229" i="1"/>
  <c r="M229" i="1" s="1"/>
  <c r="N229" i="1"/>
  <c r="O229" i="1"/>
  <c r="P229" i="1"/>
  <c r="Q229" i="1"/>
  <c r="R229" i="1"/>
  <c r="S229" i="1" s="1"/>
  <c r="T229" i="1"/>
  <c r="U229" i="1"/>
  <c r="V229" i="1"/>
  <c r="W229" i="1"/>
  <c r="X229" i="1"/>
  <c r="Y229" i="1"/>
  <c r="Z229" i="1"/>
  <c r="AA229" i="1"/>
  <c r="AB229" i="1"/>
  <c r="AC229" i="1"/>
  <c r="AD229" i="1" s="1"/>
  <c r="AE229" i="1"/>
  <c r="AF229" i="1"/>
  <c r="AG229" i="1"/>
  <c r="AH229" i="1" s="1"/>
  <c r="AI229" i="1"/>
  <c r="AJ229" i="1"/>
  <c r="AL229" i="1"/>
  <c r="AM229" i="1"/>
  <c r="AN229" i="1"/>
  <c r="AO229" i="1"/>
  <c r="AP229" i="1"/>
  <c r="AQ229" i="1"/>
  <c r="AR229" i="1"/>
  <c r="AS229" i="1"/>
  <c r="AT229" i="1"/>
  <c r="AU229" i="1"/>
  <c r="AV229" i="1"/>
  <c r="AW229" i="1"/>
  <c r="AX229" i="1"/>
  <c r="AY229" i="1"/>
  <c r="AZ229" i="1"/>
  <c r="BA229" i="1"/>
  <c r="A230" i="1"/>
  <c r="B230" i="1"/>
  <c r="C230" i="1"/>
  <c r="D230" i="1"/>
  <c r="E230" i="1"/>
  <c r="F230" i="1"/>
  <c r="G230" i="1"/>
  <c r="H230" i="1"/>
  <c r="I230" i="1"/>
  <c r="J230" i="1"/>
  <c r="K230" i="1"/>
  <c r="M230" i="1"/>
  <c r="N230" i="1"/>
  <c r="O230" i="1"/>
  <c r="P230" i="1"/>
  <c r="Q230" i="1"/>
  <c r="R230" i="1"/>
  <c r="S230" i="1" s="1"/>
  <c r="T230" i="1"/>
  <c r="U230" i="1"/>
  <c r="V230" i="1"/>
  <c r="W230" i="1"/>
  <c r="X230" i="1"/>
  <c r="Y230" i="1"/>
  <c r="Z230" i="1"/>
  <c r="AA230" i="1"/>
  <c r="AB230" i="1"/>
  <c r="AC230" i="1"/>
  <c r="AD230" i="1" s="1"/>
  <c r="AE230" i="1"/>
  <c r="AF230" i="1"/>
  <c r="AG230" i="1"/>
  <c r="AH230" i="1" s="1"/>
  <c r="AI230" i="1"/>
  <c r="AJ230" i="1"/>
  <c r="AL230" i="1"/>
  <c r="AM230" i="1"/>
  <c r="AN230" i="1"/>
  <c r="AO230" i="1"/>
  <c r="AP230" i="1"/>
  <c r="AQ230" i="1"/>
  <c r="AR230" i="1"/>
  <c r="AS230" i="1"/>
  <c r="AT230" i="1"/>
  <c r="AU230" i="1"/>
  <c r="AV230" i="1"/>
  <c r="AW230" i="1"/>
  <c r="AX230" i="1"/>
  <c r="AY230" i="1"/>
  <c r="AZ230" i="1"/>
  <c r="BA230" i="1"/>
  <c r="A231" i="1"/>
  <c r="B231" i="1"/>
  <c r="C231" i="1"/>
  <c r="D231" i="1"/>
  <c r="E231" i="1"/>
  <c r="F231" i="1"/>
  <c r="G231" i="1"/>
  <c r="H231" i="1"/>
  <c r="I231" i="1"/>
  <c r="J231" i="1"/>
  <c r="K231" i="1"/>
  <c r="L231" i="1"/>
  <c r="M231" i="1" s="1"/>
  <c r="N231" i="1"/>
  <c r="O231" i="1"/>
  <c r="P231" i="1"/>
  <c r="Q231" i="1"/>
  <c r="S231" i="1"/>
  <c r="T231" i="1"/>
  <c r="U231" i="1"/>
  <c r="V231" i="1"/>
  <c r="W231" i="1"/>
  <c r="X231" i="1"/>
  <c r="Y231" i="1"/>
  <c r="Z231" i="1"/>
  <c r="AA231" i="1"/>
  <c r="AB231" i="1"/>
  <c r="AC231" i="1"/>
  <c r="AD231" i="1" s="1"/>
  <c r="AE231" i="1"/>
  <c r="AF231" i="1"/>
  <c r="AG231" i="1"/>
  <c r="AH231" i="1" s="1"/>
  <c r="AI231" i="1"/>
  <c r="AJ231" i="1"/>
  <c r="AL231" i="1"/>
  <c r="AM231" i="1"/>
  <c r="AN231" i="1"/>
  <c r="AO231" i="1"/>
  <c r="AP231" i="1"/>
  <c r="AQ231" i="1"/>
  <c r="AR231" i="1"/>
  <c r="AS231" i="1"/>
  <c r="AT231" i="1"/>
  <c r="AU231" i="1"/>
  <c r="AV231" i="1"/>
  <c r="AW231" i="1"/>
  <c r="AX231" i="1"/>
  <c r="AY231" i="1"/>
  <c r="AZ231" i="1"/>
  <c r="BA231" i="1"/>
  <c r="A232" i="1"/>
  <c r="B232" i="1"/>
  <c r="C232" i="1"/>
  <c r="D232" i="1"/>
  <c r="E232" i="1"/>
  <c r="F232" i="1"/>
  <c r="G232" i="1"/>
  <c r="H232" i="1"/>
  <c r="I232" i="1"/>
  <c r="J232" i="1"/>
  <c r="K232" i="1"/>
  <c r="L232" i="1"/>
  <c r="M232" i="1" s="1"/>
  <c r="N232" i="1"/>
  <c r="O232" i="1"/>
  <c r="P232" i="1"/>
  <c r="Q232" i="1"/>
  <c r="R232" i="1"/>
  <c r="S232" i="1" s="1"/>
  <c r="T232" i="1"/>
  <c r="U232" i="1"/>
  <c r="V232" i="1"/>
  <c r="W232" i="1"/>
  <c r="X232" i="1"/>
  <c r="Y232" i="1"/>
  <c r="Z232" i="1"/>
  <c r="AA232" i="1"/>
  <c r="AB232" i="1"/>
  <c r="AC232" i="1"/>
  <c r="AD232" i="1" s="1"/>
  <c r="AE232" i="1"/>
  <c r="AF232" i="1"/>
  <c r="AG232" i="1"/>
  <c r="AH232" i="1" s="1"/>
  <c r="AI232" i="1"/>
  <c r="AJ232" i="1"/>
  <c r="AL232" i="1"/>
  <c r="AM232" i="1"/>
  <c r="AN232" i="1"/>
  <c r="AO232" i="1"/>
  <c r="AP232" i="1"/>
  <c r="AQ232" i="1"/>
  <c r="AR232" i="1"/>
  <c r="AS232" i="1"/>
  <c r="AT232" i="1"/>
  <c r="AU232" i="1"/>
  <c r="AV232" i="1"/>
  <c r="AW232" i="1"/>
  <c r="AX232" i="1"/>
  <c r="AY232" i="1"/>
  <c r="AZ232" i="1"/>
  <c r="BA232" i="1"/>
  <c r="A233" i="1"/>
  <c r="B233" i="1"/>
  <c r="C233" i="1"/>
  <c r="D233" i="1"/>
  <c r="E233" i="1"/>
  <c r="F233" i="1"/>
  <c r="G233" i="1"/>
  <c r="H233" i="1"/>
  <c r="I233" i="1"/>
  <c r="J233" i="1"/>
  <c r="K233" i="1"/>
  <c r="L233" i="1"/>
  <c r="M233" i="1" s="1"/>
  <c r="N233" i="1"/>
  <c r="O233" i="1"/>
  <c r="P233" i="1"/>
  <c r="Q233" i="1"/>
  <c r="R233" i="1"/>
  <c r="S233" i="1" s="1"/>
  <c r="T233" i="1"/>
  <c r="U233" i="1"/>
  <c r="V233" i="1"/>
  <c r="W233" i="1"/>
  <c r="X233" i="1"/>
  <c r="Y233" i="1"/>
  <c r="Z233" i="1"/>
  <c r="AA233" i="1"/>
  <c r="AB233" i="1"/>
  <c r="AD233" i="1"/>
  <c r="AE233" i="1"/>
  <c r="AF233" i="1"/>
  <c r="AG233" i="1"/>
  <c r="AH233" i="1" s="1"/>
  <c r="AI233" i="1"/>
  <c r="AL233" i="1"/>
  <c r="AM233" i="1"/>
  <c r="AN233" i="1"/>
  <c r="AO233" i="1"/>
  <c r="AP233" i="1"/>
  <c r="AQ233" i="1"/>
  <c r="AR233" i="1"/>
  <c r="AS233" i="1"/>
  <c r="AT233" i="1"/>
  <c r="AU233" i="1"/>
  <c r="AV233" i="1"/>
  <c r="AW233" i="1"/>
  <c r="AX233" i="1"/>
  <c r="AY233" i="1"/>
  <c r="AZ233" i="1"/>
  <c r="BA233" i="1"/>
  <c r="A234" i="1"/>
  <c r="B234" i="1"/>
  <c r="C234" i="1"/>
  <c r="D234" i="1"/>
  <c r="E234" i="1"/>
  <c r="F234" i="1"/>
  <c r="G234" i="1"/>
  <c r="H234" i="1"/>
  <c r="I234" i="1"/>
  <c r="J234" i="1"/>
  <c r="K234" i="1"/>
  <c r="L234" i="1"/>
  <c r="M234" i="1" s="1"/>
  <c r="N234" i="1"/>
  <c r="O234" i="1"/>
  <c r="P234" i="1"/>
  <c r="Q234" i="1"/>
  <c r="R234" i="1"/>
  <c r="S234" i="1" s="1"/>
  <c r="T234" i="1"/>
  <c r="U234" i="1"/>
  <c r="V234" i="1"/>
  <c r="W234" i="1"/>
  <c r="X234" i="1"/>
  <c r="Y234" i="1"/>
  <c r="Z234" i="1"/>
  <c r="AA234" i="1"/>
  <c r="AB234" i="1"/>
  <c r="AC234" i="1"/>
  <c r="AD234" i="1" s="1"/>
  <c r="AE234" i="1"/>
  <c r="AF234" i="1"/>
  <c r="AG234" i="1"/>
  <c r="AH234" i="1" s="1"/>
  <c r="AI234" i="1"/>
  <c r="AJ234" i="1"/>
  <c r="AL234" i="1"/>
  <c r="AM234" i="1"/>
  <c r="AN234" i="1"/>
  <c r="AO234" i="1"/>
  <c r="AP234" i="1"/>
  <c r="AQ234" i="1"/>
  <c r="AR234" i="1"/>
  <c r="AS234" i="1"/>
  <c r="AT234" i="1"/>
  <c r="AU234" i="1"/>
  <c r="AV234" i="1"/>
  <c r="AW234" i="1"/>
  <c r="AX234" i="1"/>
  <c r="AY234" i="1"/>
  <c r="AZ234" i="1"/>
  <c r="BA234" i="1"/>
  <c r="A235" i="1"/>
  <c r="B235" i="1"/>
  <c r="C235" i="1"/>
  <c r="D235" i="1"/>
  <c r="E235" i="1"/>
  <c r="F235" i="1"/>
  <c r="G235" i="1"/>
  <c r="H235" i="1"/>
  <c r="I235" i="1"/>
  <c r="J235" i="1"/>
  <c r="K235" i="1"/>
  <c r="L235" i="1"/>
  <c r="M235" i="1" s="1"/>
  <c r="N235" i="1"/>
  <c r="O235" i="1"/>
  <c r="P235" i="1"/>
  <c r="Q235" i="1"/>
  <c r="R235" i="1"/>
  <c r="S235" i="1" s="1"/>
  <c r="T235" i="1"/>
  <c r="U235" i="1"/>
  <c r="V235" i="1"/>
  <c r="W235" i="1"/>
  <c r="X235" i="1"/>
  <c r="Y235" i="1"/>
  <c r="Z235" i="1"/>
  <c r="AA235" i="1"/>
  <c r="AB235" i="1"/>
  <c r="AD235" i="1"/>
  <c r="AE235" i="1"/>
  <c r="AF235" i="1"/>
  <c r="AI235" i="1"/>
  <c r="AL235" i="1"/>
  <c r="AM235" i="1"/>
  <c r="AN235" i="1"/>
  <c r="AO235" i="1"/>
  <c r="AP235" i="1"/>
  <c r="AQ235" i="1"/>
  <c r="AR235" i="1"/>
  <c r="AS235" i="1"/>
  <c r="AT235" i="1"/>
  <c r="AU235" i="1"/>
  <c r="AV235" i="1"/>
  <c r="AW235" i="1"/>
  <c r="AX235" i="1"/>
  <c r="AY235" i="1"/>
  <c r="AZ235" i="1"/>
  <c r="BA235" i="1"/>
  <c r="A236" i="1"/>
  <c r="B236" i="1"/>
  <c r="C236" i="1"/>
  <c r="D236" i="1"/>
  <c r="E236" i="1"/>
  <c r="F236" i="1"/>
  <c r="G236" i="1"/>
  <c r="H236" i="1"/>
  <c r="I236" i="1"/>
  <c r="J236" i="1"/>
  <c r="K236" i="1"/>
  <c r="M236" i="1"/>
  <c r="N236" i="1"/>
  <c r="O236" i="1"/>
  <c r="P236" i="1"/>
  <c r="Q236" i="1"/>
  <c r="R236" i="1"/>
  <c r="S236" i="1" s="1"/>
  <c r="T236" i="1"/>
  <c r="U236" i="1"/>
  <c r="V236" i="1"/>
  <c r="W236" i="1"/>
  <c r="X236" i="1"/>
  <c r="Y236" i="1"/>
  <c r="Z236" i="1"/>
  <c r="AA236" i="1"/>
  <c r="AB236" i="1"/>
  <c r="AC236" i="1"/>
  <c r="AD236" i="1" s="1"/>
  <c r="AE236" i="1"/>
  <c r="AF236" i="1"/>
  <c r="AG236" i="1"/>
  <c r="AH236" i="1" s="1"/>
  <c r="AI236" i="1"/>
  <c r="AL236" i="1"/>
  <c r="AM236" i="1"/>
  <c r="AN236" i="1"/>
  <c r="AO236" i="1"/>
  <c r="AP236" i="1"/>
  <c r="AQ236" i="1"/>
  <c r="AR236" i="1"/>
  <c r="AS236" i="1"/>
  <c r="AT236" i="1"/>
  <c r="AU236" i="1"/>
  <c r="AV236" i="1"/>
  <c r="AW236" i="1"/>
  <c r="AX236" i="1"/>
  <c r="AY236" i="1"/>
  <c r="AZ236" i="1"/>
  <c r="BA236" i="1"/>
  <c r="A237" i="1"/>
  <c r="B237" i="1"/>
  <c r="C237" i="1"/>
  <c r="D237" i="1"/>
  <c r="E237" i="1"/>
  <c r="F237" i="1"/>
  <c r="G237" i="1"/>
  <c r="H237" i="1"/>
  <c r="I237" i="1"/>
  <c r="J237" i="1"/>
  <c r="K237" i="1"/>
  <c r="L237" i="1"/>
  <c r="M237" i="1" s="1"/>
  <c r="N237" i="1"/>
  <c r="O237" i="1"/>
  <c r="P237" i="1"/>
  <c r="Q237" i="1"/>
  <c r="R237" i="1"/>
  <c r="S237" i="1" s="1"/>
  <c r="T237" i="1"/>
  <c r="U237" i="1"/>
  <c r="V237" i="1"/>
  <c r="W237" i="1"/>
  <c r="X237" i="1"/>
  <c r="Y237" i="1"/>
  <c r="Z237" i="1"/>
  <c r="AA237" i="1"/>
  <c r="AB237" i="1"/>
  <c r="AC237" i="1"/>
  <c r="AD237" i="1" s="1"/>
  <c r="AE237" i="1"/>
  <c r="AF237" i="1"/>
  <c r="AG237" i="1"/>
  <c r="AH237" i="1" s="1"/>
  <c r="AI237" i="1"/>
  <c r="AJ237" i="1"/>
  <c r="AL237" i="1"/>
  <c r="AM237" i="1"/>
  <c r="AN237" i="1"/>
  <c r="AO237" i="1"/>
  <c r="AP237" i="1"/>
  <c r="AQ237" i="1"/>
  <c r="AR237" i="1"/>
  <c r="AS237" i="1"/>
  <c r="AT237" i="1"/>
  <c r="AU237" i="1"/>
  <c r="AV237" i="1"/>
  <c r="AW237" i="1"/>
  <c r="AX237" i="1"/>
  <c r="AY237" i="1"/>
  <c r="AZ237" i="1"/>
  <c r="BA237" i="1"/>
  <c r="A238" i="1"/>
  <c r="B238" i="1"/>
  <c r="C238" i="1"/>
  <c r="D238" i="1"/>
  <c r="E238" i="1"/>
  <c r="F238" i="1"/>
  <c r="G238" i="1"/>
  <c r="H238" i="1"/>
  <c r="I238" i="1"/>
  <c r="J238" i="1"/>
  <c r="K238" i="1"/>
  <c r="M238" i="1"/>
  <c r="N238" i="1"/>
  <c r="O238" i="1"/>
  <c r="P238" i="1"/>
  <c r="Q238" i="1"/>
  <c r="R238" i="1"/>
  <c r="S238" i="1" s="1"/>
  <c r="T238" i="1"/>
  <c r="U238" i="1"/>
  <c r="V238" i="1"/>
  <c r="W238" i="1"/>
  <c r="X238" i="1"/>
  <c r="Y238" i="1"/>
  <c r="Z238" i="1"/>
  <c r="AA238" i="1"/>
  <c r="AB238" i="1"/>
  <c r="AD238" i="1"/>
  <c r="AE238" i="1"/>
  <c r="AF238" i="1"/>
  <c r="AG238" i="1"/>
  <c r="AH238" i="1" s="1"/>
  <c r="AI238" i="1"/>
  <c r="AJ238" i="1"/>
  <c r="AL238" i="1"/>
  <c r="AM238" i="1"/>
  <c r="AN238" i="1"/>
  <c r="AO238" i="1"/>
  <c r="AP238" i="1"/>
  <c r="AQ238" i="1"/>
  <c r="AR238" i="1"/>
  <c r="AS238" i="1"/>
  <c r="AT238" i="1"/>
  <c r="AU238" i="1"/>
  <c r="AV238" i="1"/>
  <c r="AW238" i="1"/>
  <c r="AX238" i="1"/>
  <c r="AY238" i="1"/>
  <c r="AZ238" i="1"/>
  <c r="BA238" i="1"/>
  <c r="A239" i="1"/>
  <c r="B239" i="1"/>
  <c r="C239" i="1"/>
  <c r="D239" i="1"/>
  <c r="E239" i="1"/>
  <c r="F239" i="1"/>
  <c r="G239" i="1"/>
  <c r="H239" i="1"/>
  <c r="I239" i="1"/>
  <c r="J239" i="1"/>
  <c r="K239" i="1"/>
  <c r="L239" i="1"/>
  <c r="M239" i="1" s="1"/>
  <c r="N239" i="1"/>
  <c r="O239" i="1"/>
  <c r="P239" i="1"/>
  <c r="Q239" i="1"/>
  <c r="R239" i="1"/>
  <c r="S239" i="1" s="1"/>
  <c r="T239" i="1"/>
  <c r="U239" i="1"/>
  <c r="V239" i="1"/>
  <c r="W239" i="1"/>
  <c r="X239" i="1"/>
  <c r="Y239" i="1"/>
  <c r="Z239" i="1"/>
  <c r="AA239" i="1"/>
  <c r="AB239" i="1"/>
  <c r="AC239" i="1"/>
  <c r="AD239" i="1" s="1"/>
  <c r="AE239" i="1"/>
  <c r="AF239" i="1"/>
  <c r="AG239" i="1"/>
  <c r="AH239" i="1" s="1"/>
  <c r="AI239" i="1"/>
  <c r="AJ239" i="1"/>
  <c r="AL239" i="1"/>
  <c r="AM239" i="1"/>
  <c r="AN239" i="1"/>
  <c r="AO239" i="1"/>
  <c r="AP239" i="1"/>
  <c r="AQ239" i="1"/>
  <c r="AR239" i="1"/>
  <c r="AS239" i="1"/>
  <c r="AT239" i="1"/>
  <c r="AU239" i="1"/>
  <c r="AV239" i="1"/>
  <c r="AW239" i="1"/>
  <c r="AX239" i="1"/>
  <c r="AY239" i="1"/>
  <c r="AZ239" i="1"/>
  <c r="BA239" i="1"/>
  <c r="A240" i="1"/>
  <c r="B240" i="1"/>
  <c r="C240" i="1"/>
  <c r="D240" i="1"/>
  <c r="E240" i="1"/>
  <c r="F240" i="1"/>
  <c r="G240" i="1"/>
  <c r="H240" i="1"/>
  <c r="I240" i="1"/>
  <c r="J240" i="1"/>
  <c r="K240" i="1"/>
  <c r="L240" i="1"/>
  <c r="M240" i="1" s="1"/>
  <c r="N240" i="1"/>
  <c r="O240" i="1"/>
  <c r="P240" i="1"/>
  <c r="Q240" i="1"/>
  <c r="R240" i="1"/>
  <c r="S240" i="1" s="1"/>
  <c r="T240" i="1"/>
  <c r="U240" i="1"/>
  <c r="V240" i="1"/>
  <c r="W240" i="1"/>
  <c r="X240" i="1"/>
  <c r="Y240" i="1"/>
  <c r="Z240" i="1"/>
  <c r="AA240" i="1"/>
  <c r="AB240" i="1"/>
  <c r="AD240" i="1"/>
  <c r="AE240" i="1"/>
  <c r="AF240" i="1"/>
  <c r="AG240" i="1"/>
  <c r="AH240" i="1" s="1"/>
  <c r="AI240" i="1"/>
  <c r="AJ240" i="1"/>
  <c r="AL240" i="1"/>
  <c r="AM240" i="1"/>
  <c r="AN240" i="1"/>
  <c r="AO240" i="1"/>
  <c r="AP240" i="1"/>
  <c r="AQ240" i="1"/>
  <c r="AR240" i="1"/>
  <c r="AS240" i="1"/>
  <c r="AT240" i="1"/>
  <c r="AU240" i="1"/>
  <c r="AV240" i="1"/>
  <c r="AW240" i="1"/>
  <c r="AX240" i="1"/>
  <c r="AY240" i="1"/>
  <c r="AZ240" i="1"/>
  <c r="BA240" i="1"/>
  <c r="A241" i="1"/>
  <c r="B241" i="1"/>
  <c r="C241" i="1"/>
  <c r="D241" i="1"/>
  <c r="E241" i="1"/>
  <c r="F241" i="1"/>
  <c r="G241" i="1"/>
  <c r="H241" i="1"/>
  <c r="I241" i="1"/>
  <c r="J241" i="1"/>
  <c r="K241" i="1"/>
  <c r="L241" i="1"/>
  <c r="M241" i="1" s="1"/>
  <c r="N241" i="1"/>
  <c r="O241" i="1"/>
  <c r="P241" i="1"/>
  <c r="Q241" i="1"/>
  <c r="R241" i="1"/>
  <c r="S241" i="1" s="1"/>
  <c r="T241" i="1"/>
  <c r="U241" i="1"/>
  <c r="V241" i="1"/>
  <c r="W241" i="1"/>
  <c r="X241" i="1"/>
  <c r="Y241" i="1"/>
  <c r="Z241" i="1"/>
  <c r="AA241" i="1"/>
  <c r="AB241" i="1"/>
  <c r="AC241" i="1"/>
  <c r="AD241" i="1" s="1"/>
  <c r="AE241" i="1"/>
  <c r="AF241" i="1"/>
  <c r="AG241" i="1"/>
  <c r="AH241" i="1" s="1"/>
  <c r="AI241" i="1"/>
  <c r="AJ241" i="1"/>
  <c r="AL241" i="1"/>
  <c r="AM241" i="1"/>
  <c r="AN241" i="1"/>
  <c r="AO241" i="1"/>
  <c r="AP241" i="1"/>
  <c r="AQ241" i="1"/>
  <c r="AR241" i="1"/>
  <c r="AS241" i="1"/>
  <c r="AT241" i="1"/>
  <c r="AU241" i="1"/>
  <c r="AV241" i="1"/>
  <c r="AW241" i="1"/>
  <c r="AX241" i="1"/>
  <c r="AY241" i="1"/>
  <c r="AZ241" i="1"/>
  <c r="BA241" i="1"/>
  <c r="A242" i="1"/>
  <c r="B242" i="1"/>
  <c r="C242" i="1"/>
  <c r="D242" i="1"/>
  <c r="E242" i="1"/>
  <c r="F242" i="1"/>
  <c r="G242" i="1"/>
  <c r="H242" i="1"/>
  <c r="I242" i="1"/>
  <c r="J242" i="1"/>
  <c r="K242" i="1"/>
  <c r="L242" i="1"/>
  <c r="M242" i="1" s="1"/>
  <c r="N242" i="1"/>
  <c r="O242" i="1"/>
  <c r="P242" i="1"/>
  <c r="Q242" i="1"/>
  <c r="R242" i="1"/>
  <c r="S242" i="1" s="1"/>
  <c r="T242" i="1"/>
  <c r="U242" i="1"/>
  <c r="V242" i="1"/>
  <c r="W242" i="1"/>
  <c r="X242" i="1"/>
  <c r="Y242" i="1"/>
  <c r="Z242" i="1"/>
  <c r="AA242" i="1"/>
  <c r="AB242" i="1"/>
  <c r="AC242" i="1"/>
  <c r="AD242" i="1" s="1"/>
  <c r="AE242" i="1"/>
  <c r="AF242" i="1"/>
  <c r="AG242" i="1"/>
  <c r="AH242" i="1" s="1"/>
  <c r="AI242" i="1"/>
  <c r="AJ242" i="1"/>
  <c r="AL242" i="1"/>
  <c r="AM242" i="1"/>
  <c r="AN242" i="1"/>
  <c r="AO242" i="1"/>
  <c r="AP242" i="1"/>
  <c r="AQ242" i="1"/>
  <c r="AR242" i="1"/>
  <c r="AS242" i="1"/>
  <c r="AT242" i="1"/>
  <c r="AU242" i="1"/>
  <c r="AV242" i="1"/>
  <c r="AW242" i="1"/>
  <c r="AX242" i="1"/>
  <c r="AY242" i="1"/>
  <c r="AZ242" i="1"/>
  <c r="BA242" i="1"/>
  <c r="A243" i="1"/>
  <c r="B243" i="1"/>
  <c r="C243" i="1"/>
  <c r="D243" i="1"/>
  <c r="E243" i="1"/>
  <c r="F243" i="1"/>
  <c r="G243" i="1"/>
  <c r="H243" i="1"/>
  <c r="I243" i="1"/>
  <c r="J243" i="1"/>
  <c r="K243" i="1"/>
  <c r="L243" i="1"/>
  <c r="M243" i="1" s="1"/>
  <c r="N243" i="1"/>
  <c r="O243" i="1"/>
  <c r="P243" i="1"/>
  <c r="Q243" i="1"/>
  <c r="R243" i="1"/>
  <c r="S243" i="1" s="1"/>
  <c r="T243" i="1"/>
  <c r="U243" i="1"/>
  <c r="V243" i="1"/>
  <c r="W243" i="1"/>
  <c r="X243" i="1"/>
  <c r="Y243" i="1"/>
  <c r="Z243" i="1"/>
  <c r="AA243" i="1"/>
  <c r="AB243" i="1"/>
  <c r="AC243" i="1"/>
  <c r="AD243" i="1" s="1"/>
  <c r="AE243" i="1"/>
  <c r="AF243" i="1"/>
  <c r="AG243" i="1"/>
  <c r="AH243" i="1" s="1"/>
  <c r="AI243" i="1"/>
  <c r="AJ243" i="1"/>
  <c r="AL243" i="1"/>
  <c r="AM243" i="1"/>
  <c r="AN243" i="1"/>
  <c r="AO243" i="1"/>
  <c r="AP243" i="1"/>
  <c r="AQ243" i="1"/>
  <c r="AR243" i="1"/>
  <c r="AS243" i="1"/>
  <c r="AT243" i="1"/>
  <c r="AU243" i="1"/>
  <c r="AV243" i="1"/>
  <c r="AW243" i="1"/>
  <c r="AX243" i="1"/>
  <c r="AY243" i="1"/>
  <c r="AZ243" i="1"/>
  <c r="BA243" i="1"/>
  <c r="A244" i="1"/>
  <c r="B244" i="1"/>
  <c r="C244" i="1"/>
  <c r="D244" i="1"/>
  <c r="E244" i="1"/>
  <c r="F244" i="1"/>
  <c r="G244" i="1"/>
  <c r="H244" i="1"/>
  <c r="I244" i="1"/>
  <c r="J244" i="1"/>
  <c r="K244" i="1"/>
  <c r="L244" i="1"/>
  <c r="M244" i="1" s="1"/>
  <c r="N244" i="1"/>
  <c r="O244" i="1"/>
  <c r="P244" i="1"/>
  <c r="Q244" i="1"/>
  <c r="S244" i="1"/>
  <c r="T244" i="1"/>
  <c r="U244" i="1"/>
  <c r="V244" i="1"/>
  <c r="W244" i="1"/>
  <c r="X244" i="1"/>
  <c r="Y244" i="1"/>
  <c r="Z244" i="1"/>
  <c r="AA244" i="1"/>
  <c r="AB244" i="1"/>
  <c r="AC244" i="1"/>
  <c r="AD244" i="1" s="1"/>
  <c r="AE244" i="1"/>
  <c r="AF244" i="1"/>
  <c r="AG244" i="1"/>
  <c r="AH244" i="1" s="1"/>
  <c r="AI244" i="1"/>
  <c r="AJ244" i="1"/>
  <c r="AL244" i="1"/>
  <c r="AM244" i="1"/>
  <c r="AN244" i="1"/>
  <c r="AO244" i="1"/>
  <c r="AP244" i="1"/>
  <c r="AQ244" i="1"/>
  <c r="AR244" i="1"/>
  <c r="AS244" i="1"/>
  <c r="AT244" i="1"/>
  <c r="AU244" i="1"/>
  <c r="AV244" i="1"/>
  <c r="AW244" i="1"/>
  <c r="AX244" i="1"/>
  <c r="AY244" i="1"/>
  <c r="AZ244" i="1"/>
  <c r="BA244" i="1"/>
  <c r="A245" i="1"/>
  <c r="B245" i="1"/>
  <c r="C245" i="1"/>
  <c r="D245" i="1"/>
  <c r="E245" i="1"/>
  <c r="F245" i="1"/>
  <c r="G245" i="1"/>
  <c r="H245" i="1"/>
  <c r="I245" i="1"/>
  <c r="J245" i="1"/>
  <c r="K245" i="1"/>
  <c r="M245" i="1"/>
  <c r="N245" i="1"/>
  <c r="O245" i="1"/>
  <c r="P245" i="1"/>
  <c r="Q245" i="1"/>
  <c r="S245" i="1"/>
  <c r="T245" i="1"/>
  <c r="U245" i="1"/>
  <c r="V245" i="1"/>
  <c r="W245" i="1"/>
  <c r="X245" i="1"/>
  <c r="Y245" i="1"/>
  <c r="Z245" i="1"/>
  <c r="AA245" i="1"/>
  <c r="AB245" i="1"/>
  <c r="AD245" i="1"/>
  <c r="AE245" i="1"/>
  <c r="AF245" i="1"/>
  <c r="AG245" i="1"/>
  <c r="AH245" i="1" s="1"/>
  <c r="AI245" i="1"/>
  <c r="AL245" i="1"/>
  <c r="AM245" i="1"/>
  <c r="AN245" i="1"/>
  <c r="AO245" i="1"/>
  <c r="AP245" i="1"/>
  <c r="AQ245" i="1"/>
  <c r="AR245" i="1"/>
  <c r="AS245" i="1"/>
  <c r="AT245" i="1"/>
  <c r="AU245" i="1"/>
  <c r="AV245" i="1"/>
  <c r="AW245" i="1"/>
  <c r="AX245" i="1"/>
  <c r="AY245" i="1"/>
  <c r="AZ245" i="1"/>
  <c r="BA245" i="1"/>
  <c r="A246" i="1"/>
  <c r="B246" i="1"/>
  <c r="C246" i="1"/>
  <c r="D246" i="1"/>
  <c r="E246" i="1"/>
  <c r="F246" i="1"/>
  <c r="G246" i="1"/>
  <c r="H246" i="1"/>
  <c r="I246" i="1"/>
  <c r="J246" i="1"/>
  <c r="K246" i="1"/>
  <c r="L246" i="1"/>
  <c r="M246" i="1" s="1"/>
  <c r="N246" i="1"/>
  <c r="O246" i="1"/>
  <c r="P246" i="1"/>
  <c r="Q246" i="1"/>
  <c r="S246" i="1"/>
  <c r="T246" i="1"/>
  <c r="U246" i="1"/>
  <c r="V246" i="1"/>
  <c r="W246" i="1"/>
  <c r="X246" i="1"/>
  <c r="Y246" i="1"/>
  <c r="Z246" i="1"/>
  <c r="AA246" i="1"/>
  <c r="AB246" i="1"/>
  <c r="AC246" i="1"/>
  <c r="AD246" i="1" s="1"/>
  <c r="AE246" i="1"/>
  <c r="AF246" i="1"/>
  <c r="AG246" i="1"/>
  <c r="AH246" i="1" s="1"/>
  <c r="AI246" i="1"/>
  <c r="AJ246" i="1"/>
  <c r="AL246" i="1"/>
  <c r="AM246" i="1"/>
  <c r="AN246" i="1"/>
  <c r="AO246" i="1"/>
  <c r="AP246" i="1"/>
  <c r="AQ246" i="1"/>
  <c r="AR246" i="1"/>
  <c r="AS246" i="1"/>
  <c r="AT246" i="1"/>
  <c r="AU246" i="1"/>
  <c r="AV246" i="1"/>
  <c r="AW246" i="1"/>
  <c r="AX246" i="1"/>
  <c r="AY246" i="1"/>
  <c r="AZ246" i="1"/>
  <c r="BA246" i="1"/>
  <c r="A247" i="1"/>
  <c r="B247" i="1"/>
  <c r="C247" i="1"/>
  <c r="D247" i="1"/>
  <c r="E247" i="1"/>
  <c r="F247" i="1"/>
  <c r="G247" i="1"/>
  <c r="H247" i="1"/>
  <c r="I247" i="1"/>
  <c r="J247" i="1"/>
  <c r="K247" i="1"/>
  <c r="L247" i="1"/>
  <c r="M247" i="1" s="1"/>
  <c r="N247" i="1"/>
  <c r="O247" i="1"/>
  <c r="P247" i="1"/>
  <c r="Q247" i="1"/>
  <c r="R247" i="1"/>
  <c r="S247" i="1" s="1"/>
  <c r="T247" i="1"/>
  <c r="U247" i="1"/>
  <c r="V247" i="1"/>
  <c r="W247" i="1"/>
  <c r="X247" i="1"/>
  <c r="Y247" i="1"/>
  <c r="Z247" i="1"/>
  <c r="AA247" i="1"/>
  <c r="AB247" i="1"/>
  <c r="AC247" i="1"/>
  <c r="AD247" i="1" s="1"/>
  <c r="AE247" i="1"/>
  <c r="AF247" i="1"/>
  <c r="AG247" i="1"/>
  <c r="AH247" i="1" s="1"/>
  <c r="AI247" i="1"/>
  <c r="AJ247" i="1"/>
  <c r="AL247" i="1"/>
  <c r="AM247" i="1"/>
  <c r="AN247" i="1"/>
  <c r="AO247" i="1"/>
  <c r="AP247" i="1"/>
  <c r="AQ247" i="1"/>
  <c r="AR247" i="1"/>
  <c r="AS247" i="1"/>
  <c r="AT247" i="1"/>
  <c r="AU247" i="1"/>
  <c r="AV247" i="1"/>
  <c r="AW247" i="1"/>
  <c r="AX247" i="1"/>
  <c r="AY247" i="1"/>
  <c r="AZ247" i="1"/>
  <c r="BA247" i="1"/>
  <c r="A248" i="1"/>
  <c r="B248" i="1"/>
  <c r="C248" i="1"/>
  <c r="D248" i="1"/>
  <c r="E248" i="1"/>
  <c r="F248" i="1"/>
  <c r="G248" i="1"/>
  <c r="H248" i="1"/>
  <c r="I248" i="1"/>
  <c r="J248" i="1"/>
  <c r="K248" i="1"/>
  <c r="M248" i="1"/>
  <c r="N248" i="1"/>
  <c r="O248" i="1"/>
  <c r="P248" i="1"/>
  <c r="Q248" i="1"/>
  <c r="R248" i="1"/>
  <c r="S248" i="1" s="1"/>
  <c r="T248" i="1"/>
  <c r="U248" i="1"/>
  <c r="V248" i="1"/>
  <c r="W248" i="1"/>
  <c r="X248" i="1"/>
  <c r="Y248" i="1"/>
  <c r="Z248" i="1"/>
  <c r="AA248" i="1"/>
  <c r="AB248" i="1"/>
  <c r="AC248" i="1"/>
  <c r="AD248" i="1" s="1"/>
  <c r="AE248" i="1"/>
  <c r="AF248" i="1"/>
  <c r="AG248" i="1"/>
  <c r="AH248" i="1" s="1"/>
  <c r="AI248" i="1"/>
  <c r="AJ248" i="1"/>
  <c r="AL248" i="1"/>
  <c r="AM248" i="1"/>
  <c r="AN248" i="1"/>
  <c r="AO248" i="1"/>
  <c r="AP248" i="1"/>
  <c r="AQ248" i="1"/>
  <c r="AR248" i="1"/>
  <c r="AS248" i="1"/>
  <c r="AT248" i="1"/>
  <c r="AU248" i="1"/>
  <c r="AV248" i="1"/>
  <c r="AW248" i="1"/>
  <c r="AX248" i="1"/>
  <c r="AY248" i="1"/>
  <c r="AZ248" i="1"/>
  <c r="BA248" i="1"/>
  <c r="A249" i="1"/>
  <c r="B249" i="1"/>
  <c r="C249" i="1"/>
  <c r="D249" i="1"/>
  <c r="E249" i="1"/>
  <c r="F249" i="1"/>
  <c r="G249" i="1"/>
  <c r="H249" i="1"/>
  <c r="I249" i="1"/>
  <c r="J249" i="1"/>
  <c r="K249" i="1"/>
  <c r="L249" i="1"/>
  <c r="M249" i="1" s="1"/>
  <c r="N249" i="1"/>
  <c r="O249" i="1"/>
  <c r="P249" i="1"/>
  <c r="Q249" i="1"/>
  <c r="R249" i="1"/>
  <c r="S249" i="1" s="1"/>
  <c r="T249" i="1"/>
  <c r="U249" i="1"/>
  <c r="V249" i="1"/>
  <c r="W249" i="1"/>
  <c r="X249" i="1"/>
  <c r="Y249" i="1"/>
  <c r="Z249" i="1"/>
  <c r="AA249" i="1"/>
  <c r="AB249" i="1"/>
  <c r="AC249" i="1"/>
  <c r="AD249" i="1" s="1"/>
  <c r="AE249" i="1"/>
  <c r="AF249" i="1"/>
  <c r="AG249" i="1"/>
  <c r="AH249" i="1" s="1"/>
  <c r="AI249" i="1"/>
  <c r="AJ249" i="1"/>
  <c r="AL249" i="1"/>
  <c r="AM249" i="1"/>
  <c r="AN249" i="1"/>
  <c r="AO249" i="1"/>
  <c r="AP249" i="1"/>
  <c r="AQ249" i="1"/>
  <c r="AR249" i="1"/>
  <c r="AS249" i="1"/>
  <c r="AT249" i="1"/>
  <c r="AU249" i="1"/>
  <c r="AV249" i="1"/>
  <c r="AW249" i="1"/>
  <c r="AX249" i="1"/>
  <c r="AY249" i="1"/>
  <c r="AZ249" i="1"/>
  <c r="BA249" i="1"/>
  <c r="A250" i="1"/>
  <c r="B250" i="1"/>
  <c r="C250" i="1"/>
  <c r="D250" i="1"/>
  <c r="E250" i="1"/>
  <c r="F250" i="1"/>
  <c r="G250" i="1"/>
  <c r="H250" i="1"/>
  <c r="I250" i="1"/>
  <c r="J250" i="1"/>
  <c r="K250" i="1"/>
  <c r="L250" i="1"/>
  <c r="M250" i="1" s="1"/>
  <c r="N250" i="1"/>
  <c r="O250" i="1"/>
  <c r="P250" i="1"/>
  <c r="Q250" i="1"/>
  <c r="R250" i="1"/>
  <c r="S250" i="1" s="1"/>
  <c r="T250" i="1"/>
  <c r="U250" i="1"/>
  <c r="V250" i="1"/>
  <c r="W250" i="1"/>
  <c r="X250" i="1"/>
  <c r="Y250" i="1"/>
  <c r="Z250" i="1"/>
  <c r="AA250" i="1"/>
  <c r="AB250" i="1"/>
  <c r="AC250" i="1"/>
  <c r="AD250" i="1" s="1"/>
  <c r="AE250" i="1"/>
  <c r="AF250" i="1"/>
  <c r="AG250" i="1"/>
  <c r="AH250" i="1" s="1"/>
  <c r="AI250" i="1"/>
  <c r="AJ250" i="1"/>
  <c r="AL250" i="1"/>
  <c r="AM250" i="1"/>
  <c r="AN250" i="1"/>
  <c r="AO250" i="1"/>
  <c r="AP250" i="1"/>
  <c r="AQ250" i="1"/>
  <c r="AR250" i="1"/>
  <c r="AS250" i="1"/>
  <c r="AT250" i="1"/>
  <c r="AU250" i="1"/>
  <c r="AV250" i="1"/>
  <c r="AW250" i="1"/>
  <c r="AX250" i="1"/>
  <c r="AY250" i="1"/>
  <c r="AZ250" i="1"/>
  <c r="BA250" i="1"/>
  <c r="A251" i="1"/>
  <c r="B251" i="1"/>
  <c r="C251" i="1"/>
  <c r="D251" i="1"/>
  <c r="E251" i="1"/>
  <c r="F251" i="1"/>
  <c r="G251" i="1"/>
  <c r="H251" i="1"/>
  <c r="I251" i="1"/>
  <c r="J251" i="1"/>
  <c r="K251" i="1"/>
  <c r="L251" i="1"/>
  <c r="M251" i="1" s="1"/>
  <c r="N251" i="1"/>
  <c r="O251" i="1"/>
  <c r="P251" i="1"/>
  <c r="Q251" i="1"/>
  <c r="R251" i="1"/>
  <c r="S251" i="1" s="1"/>
  <c r="T251" i="1"/>
  <c r="U251" i="1"/>
  <c r="V251" i="1"/>
  <c r="W251" i="1"/>
  <c r="X251" i="1"/>
  <c r="Y251" i="1"/>
  <c r="Z251" i="1"/>
  <c r="AA251" i="1"/>
  <c r="AB251" i="1"/>
  <c r="AC251" i="1"/>
  <c r="AD251" i="1" s="1"/>
  <c r="AE251" i="1"/>
  <c r="AF251" i="1"/>
  <c r="AG251" i="1"/>
  <c r="AH251" i="1" s="1"/>
  <c r="AI251" i="1"/>
  <c r="AJ251" i="1"/>
  <c r="AL251" i="1"/>
  <c r="AM251" i="1"/>
  <c r="AN251" i="1"/>
  <c r="AO251" i="1"/>
  <c r="AP251" i="1"/>
  <c r="AQ251" i="1"/>
  <c r="AR251" i="1"/>
  <c r="AS251" i="1"/>
  <c r="AT251" i="1"/>
  <c r="AU251" i="1"/>
  <c r="AV251" i="1"/>
  <c r="AW251" i="1"/>
  <c r="AX251" i="1"/>
  <c r="AY251" i="1"/>
  <c r="AZ251" i="1"/>
  <c r="BA251" i="1"/>
  <c r="A252" i="1"/>
  <c r="B252" i="1"/>
  <c r="C252" i="1"/>
  <c r="D252" i="1"/>
  <c r="E252" i="1"/>
  <c r="F252" i="1"/>
  <c r="G252" i="1"/>
  <c r="H252" i="1"/>
  <c r="I252" i="1"/>
  <c r="J252" i="1"/>
  <c r="K252" i="1"/>
  <c r="M252" i="1"/>
  <c r="N252" i="1"/>
  <c r="O252" i="1"/>
  <c r="P252" i="1"/>
  <c r="Q252" i="1"/>
  <c r="R252" i="1"/>
  <c r="S252" i="1" s="1"/>
  <c r="T252" i="1"/>
  <c r="U252" i="1"/>
  <c r="V252" i="1"/>
  <c r="W252" i="1"/>
  <c r="X252" i="1"/>
  <c r="Y252" i="1"/>
  <c r="Z252" i="1"/>
  <c r="AA252" i="1"/>
  <c r="AB252" i="1"/>
  <c r="AC252" i="1"/>
  <c r="AD252" i="1" s="1"/>
  <c r="AE252" i="1"/>
  <c r="AF252" i="1"/>
  <c r="AG252" i="1"/>
  <c r="AH252" i="1" s="1"/>
  <c r="AI252" i="1"/>
  <c r="AJ252" i="1"/>
  <c r="AL252" i="1"/>
  <c r="AM252" i="1"/>
  <c r="AN252" i="1"/>
  <c r="AO252" i="1"/>
  <c r="AP252" i="1"/>
  <c r="AQ252" i="1"/>
  <c r="AR252" i="1"/>
  <c r="AS252" i="1"/>
  <c r="AT252" i="1"/>
  <c r="AU252" i="1"/>
  <c r="AV252" i="1"/>
  <c r="AW252" i="1"/>
  <c r="AX252" i="1"/>
  <c r="AY252" i="1"/>
  <c r="AZ252" i="1"/>
  <c r="BA252" i="1"/>
  <c r="A253" i="1"/>
  <c r="B253" i="1"/>
  <c r="C253" i="1"/>
  <c r="D253" i="1"/>
  <c r="E253" i="1"/>
  <c r="F253" i="1"/>
  <c r="G253" i="1"/>
  <c r="H253" i="1"/>
  <c r="I253" i="1"/>
  <c r="J253" i="1"/>
  <c r="K253" i="1"/>
  <c r="L253" i="1"/>
  <c r="M253" i="1" s="1"/>
  <c r="N253" i="1"/>
  <c r="O253" i="1"/>
  <c r="P253" i="1"/>
  <c r="Q253" i="1"/>
  <c r="R253" i="1"/>
  <c r="S253" i="1" s="1"/>
  <c r="T253" i="1"/>
  <c r="U253" i="1"/>
  <c r="V253" i="1"/>
  <c r="W253" i="1"/>
  <c r="X253" i="1"/>
  <c r="Y253" i="1"/>
  <c r="Z253" i="1"/>
  <c r="AA253" i="1"/>
  <c r="AB253" i="1"/>
  <c r="AC253" i="1"/>
  <c r="AD253" i="1" s="1"/>
  <c r="AE253" i="1"/>
  <c r="AF253" i="1"/>
  <c r="AG253" i="1"/>
  <c r="AH253" i="1" s="1"/>
  <c r="AI253" i="1"/>
  <c r="AJ253" i="1"/>
  <c r="AL253" i="1"/>
  <c r="AM253" i="1"/>
  <c r="AN253" i="1"/>
  <c r="AO253" i="1"/>
  <c r="AP253" i="1"/>
  <c r="AQ253" i="1"/>
  <c r="AR253" i="1"/>
  <c r="AS253" i="1"/>
  <c r="AT253" i="1"/>
  <c r="AU253" i="1"/>
  <c r="AV253" i="1"/>
  <c r="AW253" i="1"/>
  <c r="AX253" i="1"/>
  <c r="AY253" i="1"/>
  <c r="AZ253" i="1"/>
  <c r="BA253" i="1"/>
  <c r="A254" i="1"/>
  <c r="B254" i="1"/>
  <c r="C254" i="1"/>
  <c r="D254" i="1"/>
  <c r="E254" i="1"/>
  <c r="F254" i="1"/>
  <c r="G254" i="1"/>
  <c r="H254" i="1"/>
  <c r="I254" i="1"/>
  <c r="J254" i="1"/>
  <c r="K254" i="1"/>
  <c r="M254" i="1"/>
  <c r="N254" i="1"/>
  <c r="O254" i="1"/>
  <c r="P254" i="1"/>
  <c r="Q254" i="1"/>
  <c r="R254" i="1"/>
  <c r="S254" i="1" s="1"/>
  <c r="T254" i="1"/>
  <c r="U254" i="1"/>
  <c r="V254" i="1"/>
  <c r="W254" i="1"/>
  <c r="X254" i="1"/>
  <c r="Y254" i="1"/>
  <c r="Z254" i="1"/>
  <c r="AA254" i="1"/>
  <c r="AB254" i="1"/>
  <c r="AC254" i="1"/>
  <c r="AD254" i="1" s="1"/>
  <c r="AE254" i="1"/>
  <c r="AF254" i="1"/>
  <c r="AG254" i="1"/>
  <c r="AH254" i="1" s="1"/>
  <c r="AI254" i="1"/>
  <c r="AJ254" i="1"/>
  <c r="AL254" i="1"/>
  <c r="AM254" i="1"/>
  <c r="AN254" i="1"/>
  <c r="AO254" i="1"/>
  <c r="AP254" i="1"/>
  <c r="AQ254" i="1"/>
  <c r="AR254" i="1"/>
  <c r="AS254" i="1"/>
  <c r="AT254" i="1"/>
  <c r="AU254" i="1"/>
  <c r="AV254" i="1"/>
  <c r="AW254" i="1"/>
  <c r="AX254" i="1"/>
  <c r="AY254" i="1"/>
  <c r="AZ254" i="1"/>
  <c r="BA254" i="1"/>
  <c r="A255" i="1"/>
  <c r="B255" i="1"/>
  <c r="C255" i="1"/>
  <c r="D255" i="1"/>
  <c r="E255" i="1"/>
  <c r="F255" i="1"/>
  <c r="G255" i="1"/>
  <c r="H255" i="1"/>
  <c r="I255" i="1"/>
  <c r="J255" i="1"/>
  <c r="K255" i="1"/>
  <c r="L255" i="1"/>
  <c r="M255" i="1" s="1"/>
  <c r="N255" i="1"/>
  <c r="O255" i="1"/>
  <c r="P255" i="1"/>
  <c r="Q255" i="1"/>
  <c r="R255" i="1"/>
  <c r="S255" i="1" s="1"/>
  <c r="T255" i="1"/>
  <c r="U255" i="1"/>
  <c r="V255" i="1"/>
  <c r="W255" i="1"/>
  <c r="X255" i="1"/>
  <c r="Y255" i="1"/>
  <c r="Z255" i="1"/>
  <c r="AA255" i="1"/>
  <c r="AB255" i="1"/>
  <c r="AC255" i="1"/>
  <c r="AD255" i="1" s="1"/>
  <c r="AE255" i="1"/>
  <c r="AF255" i="1"/>
  <c r="AG255" i="1"/>
  <c r="AH255" i="1" s="1"/>
  <c r="AI255" i="1"/>
  <c r="AJ255" i="1"/>
  <c r="AL255" i="1"/>
  <c r="AM255" i="1"/>
  <c r="AN255" i="1"/>
  <c r="AO255" i="1"/>
  <c r="AP255" i="1"/>
  <c r="AQ255" i="1"/>
  <c r="AR255" i="1"/>
  <c r="AS255" i="1"/>
  <c r="AT255" i="1"/>
  <c r="AU255" i="1"/>
  <c r="AV255" i="1"/>
  <c r="AW255" i="1"/>
  <c r="AX255" i="1"/>
  <c r="AY255" i="1"/>
  <c r="AZ255" i="1"/>
  <c r="BA255" i="1"/>
  <c r="A256" i="1"/>
  <c r="B256" i="1"/>
  <c r="C256" i="1"/>
  <c r="D256" i="1"/>
  <c r="E256" i="1"/>
  <c r="F256" i="1"/>
  <c r="G256" i="1"/>
  <c r="H256" i="1"/>
  <c r="I256" i="1"/>
  <c r="J256" i="1"/>
  <c r="K256" i="1"/>
  <c r="L256" i="1"/>
  <c r="M256" i="1" s="1"/>
  <c r="N256" i="1"/>
  <c r="O256" i="1"/>
  <c r="P256" i="1"/>
  <c r="Q256" i="1"/>
  <c r="R256" i="1"/>
  <c r="S256" i="1" s="1"/>
  <c r="T256" i="1"/>
  <c r="U256" i="1"/>
  <c r="V256" i="1"/>
  <c r="W256" i="1"/>
  <c r="X256" i="1"/>
  <c r="Y256" i="1"/>
  <c r="Z256" i="1"/>
  <c r="AA256" i="1"/>
  <c r="AB256" i="1"/>
  <c r="AC256" i="1"/>
  <c r="AD256" i="1" s="1"/>
  <c r="AE256" i="1"/>
  <c r="AF256" i="1"/>
  <c r="AG256" i="1"/>
  <c r="AH256" i="1" s="1"/>
  <c r="AI256" i="1"/>
  <c r="AJ256" i="1"/>
  <c r="AL256" i="1"/>
  <c r="AM256" i="1"/>
  <c r="AN256" i="1"/>
  <c r="AO256" i="1"/>
  <c r="AP256" i="1"/>
  <c r="AQ256" i="1"/>
  <c r="AR256" i="1"/>
  <c r="AS256" i="1"/>
  <c r="AT256" i="1"/>
  <c r="AU256" i="1"/>
  <c r="AV256" i="1"/>
  <c r="AW256" i="1"/>
  <c r="AX256" i="1"/>
  <c r="AY256" i="1"/>
  <c r="AZ256" i="1"/>
  <c r="BA256" i="1"/>
  <c r="A257" i="1"/>
  <c r="B257" i="1"/>
  <c r="C257" i="1"/>
  <c r="D257" i="1"/>
  <c r="E257" i="1"/>
  <c r="F257" i="1"/>
  <c r="G257" i="1"/>
  <c r="H257" i="1"/>
  <c r="I257" i="1"/>
  <c r="J257" i="1"/>
  <c r="K257" i="1"/>
  <c r="L257" i="1"/>
  <c r="M257" i="1" s="1"/>
  <c r="N257" i="1"/>
  <c r="O257" i="1"/>
  <c r="P257" i="1"/>
  <c r="Q257" i="1"/>
  <c r="R257" i="1"/>
  <c r="S257" i="1" s="1"/>
  <c r="T257" i="1"/>
  <c r="U257" i="1"/>
  <c r="V257" i="1"/>
  <c r="W257" i="1"/>
  <c r="X257" i="1"/>
  <c r="Y257" i="1"/>
  <c r="Z257" i="1"/>
  <c r="AA257" i="1"/>
  <c r="AB257" i="1"/>
  <c r="AC257" i="1"/>
  <c r="AD257" i="1" s="1"/>
  <c r="AE257" i="1"/>
  <c r="AF257" i="1"/>
  <c r="AG257" i="1"/>
  <c r="AH257" i="1" s="1"/>
  <c r="AI257" i="1"/>
  <c r="AL257" i="1"/>
  <c r="AM257" i="1"/>
  <c r="AN257" i="1"/>
  <c r="AO257" i="1"/>
  <c r="AP257" i="1"/>
  <c r="AQ257" i="1"/>
  <c r="AR257" i="1"/>
  <c r="AS257" i="1"/>
  <c r="AT257" i="1"/>
  <c r="AU257" i="1"/>
  <c r="AV257" i="1"/>
  <c r="AW257" i="1"/>
  <c r="AX257" i="1"/>
  <c r="AY257" i="1"/>
  <c r="AZ257" i="1"/>
  <c r="BA257" i="1"/>
  <c r="A258" i="1"/>
  <c r="B258" i="1"/>
  <c r="C258" i="1"/>
  <c r="D258" i="1"/>
  <c r="E258" i="1"/>
  <c r="F258" i="1"/>
  <c r="G258" i="1"/>
  <c r="H258" i="1"/>
  <c r="I258" i="1"/>
  <c r="J258" i="1"/>
  <c r="K258" i="1"/>
  <c r="L258" i="1"/>
  <c r="M258" i="1" s="1"/>
  <c r="N258" i="1"/>
  <c r="O258" i="1"/>
  <c r="P258" i="1"/>
  <c r="Q258" i="1"/>
  <c r="R258" i="1"/>
  <c r="S258" i="1" s="1"/>
  <c r="T258" i="1"/>
  <c r="U258" i="1"/>
  <c r="V258" i="1"/>
  <c r="W258" i="1"/>
  <c r="X258" i="1"/>
  <c r="Y258" i="1"/>
  <c r="Z258" i="1"/>
  <c r="AA258" i="1"/>
  <c r="AB258" i="1"/>
  <c r="AC258" i="1"/>
  <c r="AD258" i="1" s="1"/>
  <c r="AE258" i="1"/>
  <c r="AF258" i="1"/>
  <c r="AG258" i="1"/>
  <c r="AH258" i="1" s="1"/>
  <c r="AI258" i="1"/>
  <c r="AJ258" i="1"/>
  <c r="AL258" i="1"/>
  <c r="AM258" i="1"/>
  <c r="AN258" i="1"/>
  <c r="AO258" i="1"/>
  <c r="AP258" i="1"/>
  <c r="AQ258" i="1"/>
  <c r="AR258" i="1"/>
  <c r="AS258" i="1"/>
  <c r="AT258" i="1"/>
  <c r="AU258" i="1"/>
  <c r="AV258" i="1"/>
  <c r="AW258" i="1"/>
  <c r="AX258" i="1"/>
  <c r="AY258" i="1"/>
  <c r="AZ258" i="1"/>
  <c r="BA258" i="1"/>
  <c r="A259" i="1"/>
  <c r="B259" i="1"/>
  <c r="C259" i="1"/>
  <c r="D259" i="1"/>
  <c r="E259" i="1"/>
  <c r="F259" i="1"/>
  <c r="G259" i="1"/>
  <c r="H259" i="1"/>
  <c r="I259" i="1"/>
  <c r="J259" i="1"/>
  <c r="K259" i="1"/>
  <c r="L259" i="1"/>
  <c r="M259" i="1" s="1"/>
  <c r="N259" i="1"/>
  <c r="O259" i="1"/>
  <c r="P259" i="1"/>
  <c r="Q259" i="1"/>
  <c r="R259" i="1"/>
  <c r="S259" i="1" s="1"/>
  <c r="T259" i="1"/>
  <c r="U259" i="1"/>
  <c r="V259" i="1"/>
  <c r="W259" i="1"/>
  <c r="X259" i="1"/>
  <c r="Y259" i="1"/>
  <c r="Z259" i="1"/>
  <c r="AA259" i="1"/>
  <c r="AB259" i="1"/>
  <c r="AC259" i="1"/>
  <c r="AD259" i="1" s="1"/>
  <c r="AE259" i="1"/>
  <c r="AF259" i="1"/>
  <c r="AG259" i="1"/>
  <c r="AH259" i="1" s="1"/>
  <c r="AI259" i="1"/>
  <c r="AJ259" i="1"/>
  <c r="AL259" i="1"/>
  <c r="AM259" i="1"/>
  <c r="AN259" i="1"/>
  <c r="AO259" i="1"/>
  <c r="AP259" i="1"/>
  <c r="AQ259" i="1"/>
  <c r="AR259" i="1"/>
  <c r="AS259" i="1"/>
  <c r="AT259" i="1"/>
  <c r="AU259" i="1"/>
  <c r="AV259" i="1"/>
  <c r="AW259" i="1"/>
  <c r="AX259" i="1"/>
  <c r="AY259" i="1"/>
  <c r="AZ259" i="1"/>
  <c r="BA259" i="1"/>
  <c r="A260" i="1"/>
  <c r="B260" i="1"/>
  <c r="C260" i="1"/>
  <c r="D260" i="1"/>
  <c r="E260" i="1"/>
  <c r="F260" i="1"/>
  <c r="G260" i="1"/>
  <c r="H260" i="1"/>
  <c r="I260" i="1"/>
  <c r="J260" i="1"/>
  <c r="K260" i="1"/>
  <c r="L260" i="1"/>
  <c r="M260" i="1" s="1"/>
  <c r="N260" i="1"/>
  <c r="O260" i="1"/>
  <c r="P260" i="1"/>
  <c r="Q260" i="1"/>
  <c r="R260" i="1"/>
  <c r="S260" i="1" s="1"/>
  <c r="T260" i="1"/>
  <c r="U260" i="1"/>
  <c r="V260" i="1"/>
  <c r="W260" i="1"/>
  <c r="X260" i="1"/>
  <c r="Y260" i="1"/>
  <c r="Z260" i="1"/>
  <c r="AA260" i="1"/>
  <c r="AB260" i="1"/>
  <c r="AC260" i="1"/>
  <c r="AD260" i="1" s="1"/>
  <c r="AE260" i="1"/>
  <c r="AF260" i="1"/>
  <c r="AG260" i="1"/>
  <c r="AH260" i="1" s="1"/>
  <c r="AI260" i="1"/>
  <c r="AJ260" i="1"/>
  <c r="AL260" i="1"/>
  <c r="AM260" i="1"/>
  <c r="AN260" i="1"/>
  <c r="AO260" i="1"/>
  <c r="AP260" i="1"/>
  <c r="AQ260" i="1"/>
  <c r="AR260" i="1"/>
  <c r="AS260" i="1"/>
  <c r="AT260" i="1"/>
  <c r="AU260" i="1"/>
  <c r="AV260" i="1"/>
  <c r="AW260" i="1"/>
  <c r="AX260" i="1"/>
  <c r="AY260" i="1"/>
  <c r="AZ260" i="1"/>
  <c r="BA260" i="1"/>
  <c r="A261" i="1"/>
  <c r="B261" i="1"/>
  <c r="C261" i="1"/>
  <c r="D261" i="1"/>
  <c r="E261" i="1"/>
  <c r="F261" i="1"/>
  <c r="G261" i="1"/>
  <c r="H261" i="1"/>
  <c r="I261" i="1"/>
  <c r="J261" i="1"/>
  <c r="K261" i="1"/>
  <c r="L261" i="1"/>
  <c r="M261" i="1" s="1"/>
  <c r="N261" i="1"/>
  <c r="O261" i="1"/>
  <c r="P261" i="1"/>
  <c r="Q261" i="1"/>
  <c r="R261" i="1"/>
  <c r="S261" i="1" s="1"/>
  <c r="T261" i="1"/>
  <c r="U261" i="1"/>
  <c r="V261" i="1"/>
  <c r="W261" i="1"/>
  <c r="X261" i="1"/>
  <c r="Y261" i="1"/>
  <c r="Z261" i="1"/>
  <c r="AA261" i="1"/>
  <c r="AB261" i="1"/>
  <c r="AD261" i="1"/>
  <c r="AE261" i="1"/>
  <c r="AF261" i="1"/>
  <c r="AG261" i="1"/>
  <c r="AH261" i="1" s="1"/>
  <c r="AI261" i="1"/>
  <c r="AJ261" i="1"/>
  <c r="AL261" i="1"/>
  <c r="AM261" i="1"/>
  <c r="AN261" i="1"/>
  <c r="AO261" i="1"/>
  <c r="AP261" i="1"/>
  <c r="AQ261" i="1"/>
  <c r="AR261" i="1"/>
  <c r="AS261" i="1"/>
  <c r="AT261" i="1"/>
  <c r="AU261" i="1"/>
  <c r="AV261" i="1"/>
  <c r="AW261" i="1"/>
  <c r="AX261" i="1"/>
  <c r="AY261" i="1"/>
  <c r="AZ261" i="1"/>
  <c r="BA261" i="1"/>
  <c r="A262" i="1"/>
  <c r="B262" i="1"/>
  <c r="C262" i="1"/>
  <c r="D262" i="1"/>
  <c r="E262" i="1"/>
  <c r="F262" i="1"/>
  <c r="G262" i="1"/>
  <c r="H262" i="1"/>
  <c r="I262" i="1"/>
  <c r="J262" i="1"/>
  <c r="K262" i="1"/>
  <c r="L262" i="1"/>
  <c r="M262" i="1" s="1"/>
  <c r="N262" i="1"/>
  <c r="O262" i="1"/>
  <c r="P262" i="1"/>
  <c r="Q262" i="1"/>
  <c r="R262" i="1"/>
  <c r="S262" i="1" s="1"/>
  <c r="T262" i="1"/>
  <c r="U262" i="1"/>
  <c r="V262" i="1"/>
  <c r="W262" i="1"/>
  <c r="X262" i="1"/>
  <c r="Y262" i="1"/>
  <c r="Z262" i="1"/>
  <c r="AA262" i="1"/>
  <c r="AB262" i="1"/>
  <c r="AC262" i="1"/>
  <c r="AD262" i="1" s="1"/>
  <c r="AE262" i="1"/>
  <c r="AF262" i="1"/>
  <c r="AG262" i="1"/>
  <c r="AH262" i="1" s="1"/>
  <c r="AI262" i="1"/>
  <c r="AJ262" i="1"/>
  <c r="AL262" i="1"/>
  <c r="AM262" i="1"/>
  <c r="AN262" i="1"/>
  <c r="AO262" i="1"/>
  <c r="AP262" i="1"/>
  <c r="AQ262" i="1"/>
  <c r="AR262" i="1"/>
  <c r="AS262" i="1"/>
  <c r="AT262" i="1"/>
  <c r="AU262" i="1"/>
  <c r="AV262" i="1"/>
  <c r="AW262" i="1"/>
  <c r="AX262" i="1"/>
  <c r="AY262" i="1"/>
  <c r="AZ262" i="1"/>
  <c r="BA262" i="1"/>
  <c r="A263" i="1"/>
  <c r="B263" i="1"/>
  <c r="C263" i="1"/>
  <c r="D263" i="1"/>
  <c r="E263" i="1"/>
  <c r="F263" i="1"/>
  <c r="G263" i="1"/>
  <c r="H263" i="1"/>
  <c r="I263" i="1"/>
  <c r="J263" i="1"/>
  <c r="K263" i="1"/>
  <c r="L263" i="1"/>
  <c r="M263" i="1" s="1"/>
  <c r="N263" i="1"/>
  <c r="O263" i="1"/>
  <c r="P263" i="1"/>
  <c r="Q263" i="1"/>
  <c r="R263" i="1"/>
  <c r="S263" i="1" s="1"/>
  <c r="T263" i="1"/>
  <c r="U263" i="1"/>
  <c r="V263" i="1"/>
  <c r="W263" i="1"/>
  <c r="X263" i="1"/>
  <c r="Y263" i="1"/>
  <c r="Z263" i="1"/>
  <c r="AA263" i="1"/>
  <c r="AB263" i="1"/>
  <c r="AD263" i="1"/>
  <c r="AE263" i="1"/>
  <c r="AF263" i="1"/>
  <c r="AG263" i="1"/>
  <c r="AH263" i="1" s="1"/>
  <c r="AI263" i="1"/>
  <c r="AJ263" i="1"/>
  <c r="AL263" i="1"/>
  <c r="AM263" i="1"/>
  <c r="AN263" i="1"/>
  <c r="AO263" i="1"/>
  <c r="AP263" i="1"/>
  <c r="AQ263" i="1"/>
  <c r="AR263" i="1"/>
  <c r="AS263" i="1"/>
  <c r="AT263" i="1"/>
  <c r="AU263" i="1"/>
  <c r="AV263" i="1"/>
  <c r="AW263" i="1"/>
  <c r="AX263" i="1"/>
  <c r="AY263" i="1"/>
  <c r="AZ263" i="1"/>
  <c r="BA263" i="1"/>
  <c r="A264" i="1"/>
  <c r="B264" i="1"/>
  <c r="C264" i="1"/>
  <c r="D264" i="1"/>
  <c r="E264" i="1"/>
  <c r="F264" i="1"/>
  <c r="G264" i="1"/>
  <c r="H264" i="1"/>
  <c r="I264" i="1"/>
  <c r="J264" i="1"/>
  <c r="K264" i="1"/>
  <c r="L264" i="1"/>
  <c r="M264" i="1" s="1"/>
  <c r="N264" i="1"/>
  <c r="O264" i="1"/>
  <c r="P264" i="1"/>
  <c r="Q264" i="1"/>
  <c r="R264" i="1"/>
  <c r="S264" i="1" s="1"/>
  <c r="T264" i="1"/>
  <c r="U264" i="1"/>
  <c r="V264" i="1"/>
  <c r="W264" i="1"/>
  <c r="X264" i="1"/>
  <c r="Y264" i="1"/>
  <c r="Z264" i="1"/>
  <c r="AA264" i="1"/>
  <c r="AB264" i="1"/>
  <c r="AC264" i="1"/>
  <c r="AD264" i="1" s="1"/>
  <c r="AE264" i="1"/>
  <c r="AF264" i="1"/>
  <c r="AG264" i="1"/>
  <c r="AH264" i="1" s="1"/>
  <c r="AI264" i="1"/>
  <c r="AJ264" i="1"/>
  <c r="AL264" i="1"/>
  <c r="AM264" i="1"/>
  <c r="AN264" i="1"/>
  <c r="AO264" i="1"/>
  <c r="AP264" i="1"/>
  <c r="AQ264" i="1"/>
  <c r="AR264" i="1"/>
  <c r="AS264" i="1"/>
  <c r="AT264" i="1"/>
  <c r="AU264" i="1"/>
  <c r="AV264" i="1"/>
  <c r="AW264" i="1"/>
  <c r="AX264" i="1"/>
  <c r="AY264" i="1"/>
  <c r="AZ264" i="1"/>
  <c r="BA264" i="1"/>
  <c r="A265" i="1"/>
  <c r="B265" i="1"/>
  <c r="C265" i="1"/>
  <c r="D265" i="1"/>
  <c r="E265" i="1"/>
  <c r="F265" i="1"/>
  <c r="G265" i="1"/>
  <c r="H265" i="1"/>
  <c r="I265" i="1"/>
  <c r="J265" i="1"/>
  <c r="K265" i="1"/>
  <c r="L265" i="1"/>
  <c r="M265" i="1" s="1"/>
  <c r="N265" i="1"/>
  <c r="O265" i="1"/>
  <c r="P265" i="1"/>
  <c r="Q265" i="1"/>
  <c r="R265" i="1"/>
  <c r="S265" i="1" s="1"/>
  <c r="T265" i="1"/>
  <c r="U265" i="1"/>
  <c r="V265" i="1"/>
  <c r="W265" i="1"/>
  <c r="X265" i="1"/>
  <c r="Y265" i="1"/>
  <c r="Z265" i="1"/>
  <c r="AA265" i="1"/>
  <c r="AB265" i="1"/>
  <c r="AC265" i="1"/>
  <c r="AD265" i="1" s="1"/>
  <c r="AE265" i="1"/>
  <c r="AF265" i="1"/>
  <c r="AG265" i="1"/>
  <c r="AH265" i="1" s="1"/>
  <c r="AI265" i="1"/>
  <c r="AJ265" i="1"/>
  <c r="AL265" i="1"/>
  <c r="AM265" i="1"/>
  <c r="AN265" i="1"/>
  <c r="AO265" i="1"/>
  <c r="AP265" i="1"/>
  <c r="AQ265" i="1"/>
  <c r="AR265" i="1"/>
  <c r="AS265" i="1"/>
  <c r="AT265" i="1"/>
  <c r="AU265" i="1"/>
  <c r="AV265" i="1"/>
  <c r="AW265" i="1"/>
  <c r="AX265" i="1"/>
  <c r="AY265" i="1"/>
  <c r="AZ265" i="1"/>
  <c r="BA265" i="1"/>
  <c r="A266" i="1"/>
  <c r="B266" i="1"/>
  <c r="C266" i="1"/>
  <c r="D266" i="1"/>
  <c r="E266" i="1"/>
  <c r="F266" i="1"/>
  <c r="G266" i="1"/>
  <c r="H266" i="1"/>
  <c r="I266" i="1"/>
  <c r="J266" i="1"/>
  <c r="K266" i="1"/>
  <c r="L266" i="1"/>
  <c r="M266" i="1" s="1"/>
  <c r="N266" i="1"/>
  <c r="O266" i="1"/>
  <c r="P266" i="1"/>
  <c r="Q266" i="1"/>
  <c r="R266" i="1"/>
  <c r="S266" i="1" s="1"/>
  <c r="T266" i="1"/>
  <c r="U266" i="1"/>
  <c r="V266" i="1"/>
  <c r="W266" i="1"/>
  <c r="X266" i="1"/>
  <c r="Y266" i="1"/>
  <c r="Z266" i="1"/>
  <c r="AA266" i="1"/>
  <c r="AB266" i="1"/>
  <c r="AC266" i="1"/>
  <c r="AD266" i="1" s="1"/>
  <c r="AE266" i="1"/>
  <c r="AF266" i="1"/>
  <c r="AG266" i="1"/>
  <c r="AH266" i="1" s="1"/>
  <c r="AI266" i="1"/>
  <c r="AJ266" i="1"/>
  <c r="AL266" i="1"/>
  <c r="AM266" i="1"/>
  <c r="AN266" i="1"/>
  <c r="AO266" i="1"/>
  <c r="AP266" i="1"/>
  <c r="AQ266" i="1"/>
  <c r="AR266" i="1"/>
  <c r="AS266" i="1"/>
  <c r="AT266" i="1"/>
  <c r="AU266" i="1"/>
  <c r="AV266" i="1"/>
  <c r="AW266" i="1"/>
  <c r="AX266" i="1"/>
  <c r="AY266" i="1"/>
  <c r="AZ266" i="1"/>
  <c r="BA266" i="1"/>
  <c r="A267" i="1"/>
  <c r="B267" i="1"/>
  <c r="C267" i="1"/>
  <c r="D267" i="1"/>
  <c r="E267" i="1"/>
  <c r="F267" i="1"/>
  <c r="G267" i="1"/>
  <c r="H267" i="1"/>
  <c r="I267" i="1"/>
  <c r="J267" i="1"/>
  <c r="K267" i="1"/>
  <c r="L267" i="1"/>
  <c r="M267" i="1" s="1"/>
  <c r="N267" i="1"/>
  <c r="O267" i="1"/>
  <c r="P267" i="1"/>
  <c r="Q267" i="1"/>
  <c r="R267" i="1"/>
  <c r="S267" i="1" s="1"/>
  <c r="T267" i="1"/>
  <c r="U267" i="1"/>
  <c r="V267" i="1"/>
  <c r="W267" i="1"/>
  <c r="X267" i="1"/>
  <c r="Y267" i="1"/>
  <c r="Z267" i="1"/>
  <c r="AA267" i="1"/>
  <c r="AB267" i="1"/>
  <c r="AC267" i="1"/>
  <c r="AD267" i="1" s="1"/>
  <c r="AE267" i="1"/>
  <c r="AF267" i="1"/>
  <c r="AG267" i="1"/>
  <c r="AH267" i="1" s="1"/>
  <c r="AI267" i="1"/>
  <c r="AJ267" i="1"/>
  <c r="AL267" i="1"/>
  <c r="AM267" i="1"/>
  <c r="AN267" i="1"/>
  <c r="AO267" i="1"/>
  <c r="AP267" i="1"/>
  <c r="AQ267" i="1"/>
  <c r="AR267" i="1"/>
  <c r="AS267" i="1"/>
  <c r="AT267" i="1"/>
  <c r="AU267" i="1"/>
  <c r="AV267" i="1"/>
  <c r="AW267" i="1"/>
  <c r="AX267" i="1"/>
  <c r="AY267" i="1"/>
  <c r="AZ267" i="1"/>
  <c r="BA267" i="1"/>
  <c r="A268" i="1"/>
  <c r="B268" i="1"/>
  <c r="C268" i="1"/>
  <c r="D268" i="1"/>
  <c r="E268" i="1"/>
  <c r="F268" i="1"/>
  <c r="G268" i="1"/>
  <c r="H268" i="1"/>
  <c r="I268" i="1"/>
  <c r="J268" i="1"/>
  <c r="K268" i="1"/>
  <c r="L268" i="1"/>
  <c r="M268" i="1" s="1"/>
  <c r="N268" i="1"/>
  <c r="O268" i="1"/>
  <c r="P268" i="1"/>
  <c r="Q268" i="1"/>
  <c r="R268" i="1"/>
  <c r="S268" i="1" s="1"/>
  <c r="T268" i="1"/>
  <c r="U268" i="1"/>
  <c r="V268" i="1"/>
  <c r="W268" i="1"/>
  <c r="X268" i="1"/>
  <c r="Y268" i="1"/>
  <c r="Z268" i="1"/>
  <c r="AA268" i="1"/>
  <c r="AB268" i="1"/>
  <c r="AC268" i="1"/>
  <c r="AD268" i="1" s="1"/>
  <c r="AE268" i="1"/>
  <c r="AF268" i="1"/>
  <c r="AG268" i="1"/>
  <c r="AH268" i="1" s="1"/>
  <c r="AI268" i="1"/>
  <c r="AJ268" i="1"/>
  <c r="AL268" i="1"/>
  <c r="AM268" i="1"/>
  <c r="AN268" i="1"/>
  <c r="AO268" i="1"/>
  <c r="AP268" i="1"/>
  <c r="AQ268" i="1"/>
  <c r="AR268" i="1"/>
  <c r="AS268" i="1"/>
  <c r="AT268" i="1"/>
  <c r="AU268" i="1"/>
  <c r="AV268" i="1"/>
  <c r="AW268" i="1"/>
  <c r="AX268" i="1"/>
  <c r="AY268" i="1"/>
  <c r="AZ268" i="1"/>
  <c r="BA268" i="1"/>
  <c r="A269" i="1"/>
  <c r="B269" i="1"/>
  <c r="C269" i="1"/>
  <c r="D269" i="1"/>
  <c r="E269" i="1"/>
  <c r="F269" i="1"/>
  <c r="G269" i="1"/>
  <c r="H269" i="1"/>
  <c r="I269" i="1"/>
  <c r="J269" i="1"/>
  <c r="K269" i="1"/>
  <c r="L269" i="1"/>
  <c r="M269" i="1" s="1"/>
  <c r="N269" i="1"/>
  <c r="O269" i="1"/>
  <c r="P269" i="1"/>
  <c r="Q269" i="1"/>
  <c r="R269" i="1"/>
  <c r="S269" i="1" s="1"/>
  <c r="T269" i="1"/>
  <c r="U269" i="1"/>
  <c r="V269" i="1"/>
  <c r="W269" i="1"/>
  <c r="X269" i="1"/>
  <c r="Y269" i="1"/>
  <c r="Z269" i="1"/>
  <c r="AA269" i="1"/>
  <c r="AB269" i="1"/>
  <c r="AC269" i="1"/>
  <c r="AD269" i="1" s="1"/>
  <c r="AE269" i="1"/>
  <c r="AF269" i="1"/>
  <c r="AG269" i="1"/>
  <c r="AH269" i="1" s="1"/>
  <c r="AI269" i="1"/>
  <c r="AJ269" i="1"/>
  <c r="AL269" i="1"/>
  <c r="AM269" i="1"/>
  <c r="AN269" i="1"/>
  <c r="AO269" i="1"/>
  <c r="AP269" i="1"/>
  <c r="AQ269" i="1"/>
  <c r="AR269" i="1"/>
  <c r="AS269" i="1"/>
  <c r="AT269" i="1"/>
  <c r="AU269" i="1"/>
  <c r="AV269" i="1"/>
  <c r="AW269" i="1"/>
  <c r="AX269" i="1"/>
  <c r="AY269" i="1"/>
  <c r="AZ269" i="1"/>
  <c r="BA269" i="1"/>
  <c r="A270" i="1"/>
  <c r="B270" i="1"/>
  <c r="C270" i="1"/>
  <c r="D270" i="1"/>
  <c r="E270" i="1"/>
  <c r="F270" i="1"/>
  <c r="G270" i="1"/>
  <c r="H270" i="1"/>
  <c r="I270" i="1"/>
  <c r="J270" i="1"/>
  <c r="K270" i="1"/>
  <c r="M270" i="1"/>
  <c r="N270" i="1"/>
  <c r="O270" i="1"/>
  <c r="P270" i="1"/>
  <c r="Q270" i="1"/>
  <c r="S270" i="1"/>
  <c r="T270" i="1"/>
  <c r="U270" i="1"/>
  <c r="V270" i="1"/>
  <c r="W270" i="1"/>
  <c r="X270" i="1"/>
  <c r="Y270" i="1"/>
  <c r="Z270" i="1"/>
  <c r="AA270" i="1"/>
  <c r="AB270" i="1"/>
  <c r="AC270" i="1"/>
  <c r="AD270" i="1" s="1"/>
  <c r="AE270" i="1"/>
  <c r="AF270" i="1"/>
  <c r="AG270" i="1"/>
  <c r="AH270" i="1" s="1"/>
  <c r="AI270" i="1"/>
  <c r="AJ270" i="1"/>
  <c r="AL270" i="1"/>
  <c r="AM270" i="1"/>
  <c r="AN270" i="1"/>
  <c r="AO270" i="1"/>
  <c r="AP270" i="1"/>
  <c r="AQ270" i="1"/>
  <c r="AR270" i="1"/>
  <c r="AS270" i="1"/>
  <c r="AT270" i="1"/>
  <c r="AU270" i="1"/>
  <c r="AV270" i="1"/>
  <c r="AW270" i="1"/>
  <c r="AX270" i="1"/>
  <c r="AY270" i="1"/>
  <c r="AZ270" i="1"/>
  <c r="BA270" i="1"/>
  <c r="A271" i="1"/>
  <c r="B271" i="1"/>
  <c r="C271" i="1"/>
  <c r="D271" i="1"/>
  <c r="E271" i="1"/>
  <c r="F271" i="1"/>
  <c r="G271" i="1"/>
  <c r="H271" i="1"/>
  <c r="I271" i="1"/>
  <c r="J271" i="1"/>
  <c r="K271" i="1"/>
  <c r="L271" i="1"/>
  <c r="M271" i="1" s="1"/>
  <c r="N271" i="1"/>
  <c r="O271" i="1"/>
  <c r="P271" i="1"/>
  <c r="Q271" i="1"/>
  <c r="R271" i="1"/>
  <c r="S271" i="1" s="1"/>
  <c r="T271" i="1"/>
  <c r="U271" i="1"/>
  <c r="V271" i="1"/>
  <c r="W271" i="1"/>
  <c r="X271" i="1"/>
  <c r="Y271" i="1"/>
  <c r="Z271" i="1"/>
  <c r="AA271" i="1"/>
  <c r="AB271" i="1"/>
  <c r="AC271" i="1"/>
  <c r="AD271" i="1" s="1"/>
  <c r="AE271" i="1"/>
  <c r="AF271" i="1"/>
  <c r="AG271" i="1"/>
  <c r="AH271" i="1" s="1"/>
  <c r="AI271" i="1"/>
  <c r="AJ271" i="1"/>
  <c r="AL271" i="1"/>
  <c r="AM271" i="1"/>
  <c r="AN271" i="1"/>
  <c r="AO271" i="1"/>
  <c r="AP271" i="1"/>
  <c r="AQ271" i="1"/>
  <c r="AR271" i="1"/>
  <c r="AS271" i="1"/>
  <c r="AT271" i="1"/>
  <c r="AU271" i="1"/>
  <c r="AV271" i="1"/>
  <c r="AW271" i="1"/>
  <c r="AX271" i="1"/>
  <c r="AY271" i="1"/>
  <c r="AZ271" i="1"/>
  <c r="BA271" i="1"/>
  <c r="A272" i="1"/>
  <c r="B272" i="1"/>
  <c r="C272" i="1"/>
  <c r="D272" i="1"/>
  <c r="E272" i="1"/>
  <c r="F272" i="1"/>
  <c r="G272" i="1"/>
  <c r="H272" i="1"/>
  <c r="I272" i="1"/>
  <c r="J272" i="1"/>
  <c r="K272" i="1"/>
  <c r="L272" i="1"/>
  <c r="M272" i="1" s="1"/>
  <c r="N272" i="1"/>
  <c r="O272" i="1"/>
  <c r="P272" i="1"/>
  <c r="Q272" i="1"/>
  <c r="R272" i="1"/>
  <c r="S272" i="1" s="1"/>
  <c r="T272" i="1"/>
  <c r="U272" i="1"/>
  <c r="V272" i="1"/>
  <c r="W272" i="1"/>
  <c r="X272" i="1"/>
  <c r="Y272" i="1"/>
  <c r="Z272" i="1"/>
  <c r="AA272" i="1"/>
  <c r="AB272" i="1"/>
  <c r="AC272" i="1"/>
  <c r="AD272" i="1" s="1"/>
  <c r="AE272" i="1"/>
  <c r="AF272" i="1"/>
  <c r="AG272" i="1"/>
  <c r="AH272" i="1" s="1"/>
  <c r="AI272" i="1"/>
  <c r="AJ272" i="1"/>
  <c r="AL272" i="1"/>
  <c r="AM272" i="1"/>
  <c r="AN272" i="1"/>
  <c r="AO272" i="1"/>
  <c r="AP272" i="1"/>
  <c r="AQ272" i="1"/>
  <c r="AR272" i="1"/>
  <c r="AS272" i="1"/>
  <c r="AT272" i="1"/>
  <c r="AU272" i="1"/>
  <c r="AV272" i="1"/>
  <c r="AW272" i="1"/>
  <c r="AX272" i="1"/>
  <c r="AY272" i="1"/>
  <c r="AZ272" i="1"/>
  <c r="BA272" i="1"/>
  <c r="A273" i="1"/>
  <c r="B273" i="1"/>
  <c r="C273" i="1"/>
  <c r="D273" i="1"/>
  <c r="E273" i="1"/>
  <c r="F273" i="1"/>
  <c r="G273" i="1"/>
  <c r="H273" i="1"/>
  <c r="I273" i="1"/>
  <c r="J273" i="1"/>
  <c r="K273" i="1"/>
  <c r="L273" i="1"/>
  <c r="M273" i="1" s="1"/>
  <c r="N273" i="1"/>
  <c r="O273" i="1"/>
  <c r="P273" i="1"/>
  <c r="Q273" i="1"/>
  <c r="R273" i="1"/>
  <c r="S273" i="1" s="1"/>
  <c r="T273" i="1"/>
  <c r="U273" i="1"/>
  <c r="V273" i="1"/>
  <c r="W273" i="1"/>
  <c r="X273" i="1"/>
  <c r="Y273" i="1"/>
  <c r="Z273" i="1"/>
  <c r="AA273" i="1"/>
  <c r="AB273" i="1"/>
  <c r="AC273" i="1"/>
  <c r="AD273" i="1" s="1"/>
  <c r="AE273" i="1"/>
  <c r="AF273" i="1"/>
  <c r="AG273" i="1"/>
  <c r="AH273" i="1" s="1"/>
  <c r="AI273" i="1"/>
  <c r="AJ273" i="1"/>
  <c r="AL273" i="1"/>
  <c r="AM273" i="1"/>
  <c r="AN273" i="1"/>
  <c r="AO273" i="1"/>
  <c r="AP273" i="1"/>
  <c r="AQ273" i="1"/>
  <c r="AR273" i="1"/>
  <c r="AS273" i="1"/>
  <c r="AT273" i="1"/>
  <c r="AU273" i="1"/>
  <c r="AV273" i="1"/>
  <c r="AW273" i="1"/>
  <c r="AX273" i="1"/>
  <c r="AY273" i="1"/>
  <c r="AZ273" i="1"/>
  <c r="BA273" i="1"/>
  <c r="A274" i="1"/>
  <c r="B274" i="1"/>
  <c r="C274" i="1"/>
  <c r="D274" i="1"/>
  <c r="E274" i="1"/>
  <c r="F274" i="1"/>
  <c r="G274" i="1"/>
  <c r="H274" i="1"/>
  <c r="I274" i="1"/>
  <c r="J274" i="1"/>
  <c r="K274" i="1"/>
  <c r="L274" i="1"/>
  <c r="M274" i="1" s="1"/>
  <c r="N274" i="1"/>
  <c r="O274" i="1"/>
  <c r="P274" i="1"/>
  <c r="Q274" i="1"/>
  <c r="R274" i="1"/>
  <c r="S274" i="1" s="1"/>
  <c r="T274" i="1"/>
  <c r="U274" i="1"/>
  <c r="V274" i="1"/>
  <c r="W274" i="1"/>
  <c r="X274" i="1"/>
  <c r="Y274" i="1"/>
  <c r="Z274" i="1"/>
  <c r="AA274" i="1"/>
  <c r="AB274" i="1"/>
  <c r="AC274" i="1"/>
  <c r="AD274" i="1" s="1"/>
  <c r="AE274" i="1"/>
  <c r="AF274" i="1"/>
  <c r="AG274" i="1"/>
  <c r="AH274" i="1" s="1"/>
  <c r="AI274" i="1"/>
  <c r="AJ274" i="1"/>
  <c r="AL274" i="1"/>
  <c r="AM274" i="1"/>
  <c r="AN274" i="1"/>
  <c r="AO274" i="1"/>
  <c r="AP274" i="1"/>
  <c r="AQ274" i="1"/>
  <c r="AR274" i="1"/>
  <c r="AS274" i="1"/>
  <c r="AT274" i="1"/>
  <c r="AU274" i="1"/>
  <c r="AV274" i="1"/>
  <c r="AW274" i="1"/>
  <c r="AX274" i="1"/>
  <c r="AY274" i="1"/>
  <c r="AZ274" i="1"/>
  <c r="BA274" i="1"/>
  <c r="A275" i="1"/>
  <c r="B275" i="1"/>
  <c r="C275" i="1"/>
  <c r="D275" i="1"/>
  <c r="E275" i="1"/>
  <c r="F275" i="1"/>
  <c r="G275" i="1"/>
  <c r="H275" i="1"/>
  <c r="I275" i="1"/>
  <c r="J275" i="1"/>
  <c r="K275" i="1"/>
  <c r="L275" i="1"/>
  <c r="M275" i="1" s="1"/>
  <c r="N275" i="1"/>
  <c r="O275" i="1"/>
  <c r="P275" i="1"/>
  <c r="Q275" i="1"/>
  <c r="R275" i="1"/>
  <c r="S275" i="1" s="1"/>
  <c r="T275" i="1"/>
  <c r="U275" i="1"/>
  <c r="V275" i="1"/>
  <c r="W275" i="1"/>
  <c r="X275" i="1"/>
  <c r="Y275" i="1"/>
  <c r="Z275" i="1"/>
  <c r="AA275" i="1"/>
  <c r="AB275" i="1"/>
  <c r="AC275" i="1"/>
  <c r="AD275" i="1" s="1"/>
  <c r="AE275" i="1"/>
  <c r="AF275" i="1"/>
  <c r="AG275" i="1"/>
  <c r="AH275" i="1" s="1"/>
  <c r="AI275" i="1"/>
  <c r="AJ275" i="1"/>
  <c r="AL275" i="1"/>
  <c r="AM275" i="1"/>
  <c r="AN275" i="1"/>
  <c r="AO275" i="1"/>
  <c r="AP275" i="1"/>
  <c r="AQ275" i="1"/>
  <c r="AR275" i="1"/>
  <c r="AS275" i="1"/>
  <c r="AT275" i="1"/>
  <c r="AU275" i="1"/>
  <c r="AV275" i="1"/>
  <c r="AW275" i="1"/>
  <c r="AX275" i="1"/>
  <c r="AY275" i="1"/>
  <c r="AZ275" i="1"/>
  <c r="BA275" i="1"/>
  <c r="A276" i="1"/>
  <c r="B276" i="1"/>
  <c r="C276" i="1"/>
  <c r="D276" i="1"/>
  <c r="E276" i="1"/>
  <c r="F276" i="1"/>
  <c r="G276" i="1"/>
  <c r="H276" i="1"/>
  <c r="I276" i="1"/>
  <c r="J276" i="1"/>
  <c r="K276" i="1"/>
  <c r="L276" i="1"/>
  <c r="M276" i="1" s="1"/>
  <c r="N276" i="1"/>
  <c r="O276" i="1"/>
  <c r="P276" i="1"/>
  <c r="Q276" i="1"/>
  <c r="S276" i="1"/>
  <c r="T276" i="1"/>
  <c r="U276" i="1"/>
  <c r="V276" i="1"/>
  <c r="W276" i="1"/>
  <c r="X276" i="1"/>
  <c r="Y276" i="1"/>
  <c r="Z276" i="1"/>
  <c r="AA276" i="1"/>
  <c r="AB276" i="1"/>
  <c r="AC276" i="1"/>
  <c r="AD276" i="1" s="1"/>
  <c r="AE276" i="1"/>
  <c r="AF276" i="1"/>
  <c r="AG276" i="1"/>
  <c r="AH276" i="1" s="1"/>
  <c r="AI276" i="1"/>
  <c r="AJ276" i="1"/>
  <c r="AL276" i="1"/>
  <c r="AM276" i="1"/>
  <c r="AN276" i="1"/>
  <c r="AO276" i="1"/>
  <c r="AP276" i="1"/>
  <c r="AQ276" i="1"/>
  <c r="AR276" i="1"/>
  <c r="AS276" i="1"/>
  <c r="AT276" i="1"/>
  <c r="AU276" i="1"/>
  <c r="AV276" i="1"/>
  <c r="AW276" i="1"/>
  <c r="AX276" i="1"/>
  <c r="AY276" i="1"/>
  <c r="AZ276" i="1"/>
  <c r="BA276" i="1"/>
  <c r="A277" i="1"/>
  <c r="B277" i="1"/>
  <c r="C277" i="1"/>
  <c r="D277" i="1"/>
  <c r="E277" i="1"/>
  <c r="F277" i="1"/>
  <c r="G277" i="1"/>
  <c r="H277" i="1"/>
  <c r="I277" i="1"/>
  <c r="J277" i="1"/>
  <c r="K277" i="1"/>
  <c r="L277" i="1"/>
  <c r="M277" i="1" s="1"/>
  <c r="N277" i="1"/>
  <c r="O277" i="1"/>
  <c r="P277" i="1"/>
  <c r="Q277" i="1"/>
  <c r="R277" i="1"/>
  <c r="S277" i="1" s="1"/>
  <c r="T277" i="1"/>
  <c r="U277" i="1"/>
  <c r="V277" i="1"/>
  <c r="W277" i="1"/>
  <c r="X277" i="1"/>
  <c r="Y277" i="1"/>
  <c r="Z277" i="1"/>
  <c r="AA277" i="1"/>
  <c r="AB277" i="1"/>
  <c r="AC277" i="1"/>
  <c r="AD277" i="1" s="1"/>
  <c r="AE277" i="1"/>
  <c r="AF277" i="1"/>
  <c r="AG277" i="1"/>
  <c r="AH277" i="1" s="1"/>
  <c r="AI277" i="1"/>
  <c r="AJ277" i="1"/>
  <c r="AL277" i="1"/>
  <c r="AM277" i="1"/>
  <c r="AN277" i="1"/>
  <c r="AO277" i="1"/>
  <c r="AP277" i="1"/>
  <c r="AQ277" i="1"/>
  <c r="AR277" i="1"/>
  <c r="AS277" i="1"/>
  <c r="AT277" i="1"/>
  <c r="AU277" i="1"/>
  <c r="AV277" i="1"/>
  <c r="AW277" i="1"/>
  <c r="AX277" i="1"/>
  <c r="AY277" i="1"/>
  <c r="AZ277" i="1"/>
  <c r="BA277" i="1"/>
  <c r="A278" i="1"/>
  <c r="B278" i="1"/>
  <c r="C278" i="1"/>
  <c r="D278" i="1"/>
  <c r="E278" i="1"/>
  <c r="F278" i="1"/>
  <c r="G278" i="1"/>
  <c r="H278" i="1"/>
  <c r="I278" i="1"/>
  <c r="J278" i="1"/>
  <c r="K278" i="1"/>
  <c r="L278" i="1"/>
  <c r="M278" i="1" s="1"/>
  <c r="N278" i="1"/>
  <c r="O278" i="1"/>
  <c r="P278" i="1"/>
  <c r="Q278" i="1"/>
  <c r="R278" i="1"/>
  <c r="S278" i="1" s="1"/>
  <c r="T278" i="1"/>
  <c r="U278" i="1"/>
  <c r="V278" i="1"/>
  <c r="W278" i="1"/>
  <c r="X278" i="1"/>
  <c r="Y278" i="1"/>
  <c r="Z278" i="1"/>
  <c r="AA278" i="1"/>
  <c r="AB278" i="1"/>
  <c r="AD278" i="1"/>
  <c r="AE278" i="1"/>
  <c r="AF278" i="1"/>
  <c r="AG278" i="1"/>
  <c r="AH278" i="1" s="1"/>
  <c r="AI278" i="1"/>
  <c r="AJ278" i="1"/>
  <c r="AL278" i="1"/>
  <c r="AM278" i="1"/>
  <c r="AN278" i="1"/>
  <c r="AO278" i="1"/>
  <c r="AP278" i="1"/>
  <c r="AQ278" i="1"/>
  <c r="AR278" i="1"/>
  <c r="AS278" i="1"/>
  <c r="AT278" i="1"/>
  <c r="AU278" i="1"/>
  <c r="AV278" i="1"/>
  <c r="AW278" i="1"/>
  <c r="AX278" i="1"/>
  <c r="AY278" i="1"/>
  <c r="AZ278" i="1"/>
  <c r="BA278" i="1"/>
  <c r="A279" i="1"/>
  <c r="B279" i="1"/>
  <c r="C279" i="1"/>
  <c r="D279" i="1"/>
  <c r="E279" i="1"/>
  <c r="F279" i="1"/>
  <c r="G279" i="1"/>
  <c r="H279" i="1"/>
  <c r="I279" i="1"/>
  <c r="J279" i="1"/>
  <c r="K279" i="1"/>
  <c r="L279" i="1"/>
  <c r="M279" i="1" s="1"/>
  <c r="N279" i="1"/>
  <c r="O279" i="1"/>
  <c r="P279" i="1"/>
  <c r="Q279" i="1"/>
  <c r="R279" i="1"/>
  <c r="S279" i="1" s="1"/>
  <c r="T279" i="1"/>
  <c r="U279" i="1"/>
  <c r="V279" i="1"/>
  <c r="W279" i="1"/>
  <c r="X279" i="1"/>
  <c r="Y279" i="1"/>
  <c r="Z279" i="1"/>
  <c r="AA279" i="1"/>
  <c r="AB279" i="1"/>
  <c r="AC279" i="1"/>
  <c r="AD279" i="1" s="1"/>
  <c r="AE279" i="1"/>
  <c r="AF279" i="1"/>
  <c r="AG279" i="1"/>
  <c r="AH279" i="1" s="1"/>
  <c r="AI279" i="1"/>
  <c r="AJ279" i="1"/>
  <c r="AL279" i="1"/>
  <c r="AM279" i="1"/>
  <c r="AN279" i="1"/>
  <c r="AO279" i="1"/>
  <c r="AP279" i="1"/>
  <c r="AQ279" i="1"/>
  <c r="AR279" i="1"/>
  <c r="AS279" i="1"/>
  <c r="AT279" i="1"/>
  <c r="AU279" i="1"/>
  <c r="AV279" i="1"/>
  <c r="AW279" i="1"/>
  <c r="AX279" i="1"/>
  <c r="AY279" i="1"/>
  <c r="AZ279" i="1"/>
  <c r="BA279" i="1"/>
  <c r="A280" i="1"/>
  <c r="B280" i="1"/>
  <c r="C280" i="1"/>
  <c r="D280" i="1"/>
  <c r="E280" i="1"/>
  <c r="F280" i="1"/>
  <c r="G280" i="1"/>
  <c r="H280" i="1"/>
  <c r="I280" i="1"/>
  <c r="J280" i="1"/>
  <c r="K280" i="1"/>
  <c r="M280" i="1"/>
  <c r="N280" i="1"/>
  <c r="O280" i="1"/>
  <c r="P280" i="1"/>
  <c r="Q280" i="1"/>
  <c r="R280" i="1"/>
  <c r="S280" i="1" s="1"/>
  <c r="T280" i="1"/>
  <c r="U280" i="1"/>
  <c r="V280" i="1"/>
  <c r="W280" i="1"/>
  <c r="X280" i="1"/>
  <c r="Y280" i="1"/>
  <c r="Z280" i="1"/>
  <c r="AA280" i="1"/>
  <c r="AB280" i="1"/>
  <c r="AC280" i="1"/>
  <c r="AD280" i="1" s="1"/>
  <c r="AE280" i="1"/>
  <c r="AF280" i="1"/>
  <c r="AI280" i="1"/>
  <c r="AL280" i="1"/>
  <c r="AM280" i="1"/>
  <c r="AN280" i="1"/>
  <c r="AO280" i="1"/>
  <c r="AP280" i="1"/>
  <c r="AQ280" i="1"/>
  <c r="AR280" i="1"/>
  <c r="AS280" i="1"/>
  <c r="AT280" i="1"/>
  <c r="AU280" i="1"/>
  <c r="AV280" i="1"/>
  <c r="AW280" i="1"/>
  <c r="AX280" i="1"/>
  <c r="AY280" i="1"/>
  <c r="AZ280" i="1"/>
  <c r="BA280" i="1"/>
  <c r="A281" i="1"/>
  <c r="B281" i="1"/>
  <c r="C281" i="1"/>
  <c r="D281" i="1"/>
  <c r="E281" i="1"/>
  <c r="F281" i="1"/>
  <c r="G281" i="1"/>
  <c r="H281" i="1"/>
  <c r="I281" i="1"/>
  <c r="J281" i="1"/>
  <c r="K281" i="1"/>
  <c r="L281" i="1"/>
  <c r="M281" i="1" s="1"/>
  <c r="N281" i="1"/>
  <c r="O281" i="1"/>
  <c r="P281" i="1"/>
  <c r="Q281" i="1"/>
  <c r="R281" i="1"/>
  <c r="S281" i="1" s="1"/>
  <c r="T281" i="1"/>
  <c r="U281" i="1"/>
  <c r="V281" i="1"/>
  <c r="W281" i="1"/>
  <c r="X281" i="1"/>
  <c r="Y281" i="1"/>
  <c r="Z281" i="1"/>
  <c r="AA281" i="1"/>
  <c r="AB281" i="1"/>
  <c r="AC281" i="1"/>
  <c r="AD281" i="1" s="1"/>
  <c r="AE281" i="1"/>
  <c r="AF281" i="1"/>
  <c r="AG281" i="1"/>
  <c r="AH281" i="1" s="1"/>
  <c r="AI281" i="1"/>
  <c r="AL281" i="1"/>
  <c r="AM281" i="1"/>
  <c r="AN281" i="1"/>
  <c r="AO281" i="1"/>
  <c r="AP281" i="1"/>
  <c r="AQ281" i="1"/>
  <c r="AR281" i="1"/>
  <c r="AS281" i="1"/>
  <c r="AT281" i="1"/>
  <c r="AU281" i="1"/>
  <c r="AV281" i="1"/>
  <c r="AW281" i="1"/>
  <c r="AX281" i="1"/>
  <c r="AY281" i="1"/>
  <c r="AZ281" i="1"/>
  <c r="BA281" i="1"/>
  <c r="A282" i="1"/>
  <c r="B282" i="1"/>
  <c r="C282" i="1"/>
  <c r="D282" i="1"/>
  <c r="E282" i="1"/>
  <c r="F282" i="1"/>
  <c r="G282" i="1"/>
  <c r="H282" i="1"/>
  <c r="I282" i="1"/>
  <c r="J282" i="1"/>
  <c r="K282" i="1"/>
  <c r="L282" i="1"/>
  <c r="M282" i="1" s="1"/>
  <c r="N282" i="1"/>
  <c r="O282" i="1"/>
  <c r="P282" i="1"/>
  <c r="Q282" i="1"/>
  <c r="R282" i="1"/>
  <c r="S282" i="1" s="1"/>
  <c r="T282" i="1"/>
  <c r="U282" i="1"/>
  <c r="V282" i="1"/>
  <c r="W282" i="1"/>
  <c r="X282" i="1"/>
  <c r="Y282" i="1"/>
  <c r="Z282" i="1"/>
  <c r="AA282" i="1"/>
  <c r="AB282" i="1"/>
  <c r="AC282" i="1"/>
  <c r="AD282" i="1" s="1"/>
  <c r="AE282" i="1"/>
  <c r="AF282" i="1"/>
  <c r="AG282" i="1"/>
  <c r="AH282" i="1" s="1"/>
  <c r="AI282" i="1"/>
  <c r="AJ282" i="1"/>
  <c r="AL282" i="1"/>
  <c r="AM282" i="1"/>
  <c r="AN282" i="1"/>
  <c r="AO282" i="1"/>
  <c r="AP282" i="1"/>
  <c r="AQ282" i="1"/>
  <c r="AR282" i="1"/>
  <c r="AS282" i="1"/>
  <c r="AT282" i="1"/>
  <c r="AU282" i="1"/>
  <c r="AV282" i="1"/>
  <c r="AW282" i="1"/>
  <c r="AX282" i="1"/>
  <c r="AY282" i="1"/>
  <c r="AZ282" i="1"/>
  <c r="BA282" i="1"/>
  <c r="A283" i="1"/>
  <c r="B283" i="1"/>
  <c r="C283" i="1"/>
  <c r="D283" i="1"/>
  <c r="E283" i="1"/>
  <c r="F283" i="1"/>
  <c r="G283" i="1"/>
  <c r="H283" i="1"/>
  <c r="I283" i="1"/>
  <c r="J283" i="1"/>
  <c r="K283" i="1"/>
  <c r="L283" i="1"/>
  <c r="M283" i="1" s="1"/>
  <c r="N283" i="1"/>
  <c r="O283" i="1"/>
  <c r="P283" i="1"/>
  <c r="Q283" i="1"/>
  <c r="R283" i="1"/>
  <c r="S283" i="1" s="1"/>
  <c r="T283" i="1"/>
  <c r="U283" i="1"/>
  <c r="V283" i="1"/>
  <c r="W283" i="1"/>
  <c r="X283" i="1"/>
  <c r="Y283" i="1"/>
  <c r="Z283" i="1"/>
  <c r="AA283" i="1"/>
  <c r="AB283" i="1"/>
  <c r="AC283" i="1"/>
  <c r="AD283" i="1" s="1"/>
  <c r="AE283" i="1"/>
  <c r="AF283" i="1"/>
  <c r="AG283" i="1"/>
  <c r="AH283" i="1" s="1"/>
  <c r="AI283" i="1"/>
  <c r="AJ283" i="1"/>
  <c r="AL283" i="1"/>
  <c r="AM283" i="1"/>
  <c r="AN283" i="1"/>
  <c r="AO283" i="1"/>
  <c r="AP283" i="1"/>
  <c r="AQ283" i="1"/>
  <c r="AR283" i="1"/>
  <c r="AS283" i="1"/>
  <c r="AT283" i="1"/>
  <c r="AU283" i="1"/>
  <c r="AV283" i="1"/>
  <c r="AW283" i="1"/>
  <c r="AX283" i="1"/>
  <c r="AY283" i="1"/>
  <c r="AZ283" i="1"/>
  <c r="BA283" i="1"/>
  <c r="A284" i="1"/>
  <c r="B284" i="1"/>
  <c r="C284" i="1"/>
  <c r="D284" i="1"/>
  <c r="E284" i="1"/>
  <c r="F284" i="1"/>
  <c r="G284" i="1"/>
  <c r="H284" i="1"/>
  <c r="I284" i="1"/>
  <c r="J284" i="1"/>
  <c r="K284" i="1"/>
  <c r="L284" i="1"/>
  <c r="M284" i="1" s="1"/>
  <c r="N284" i="1"/>
  <c r="O284" i="1"/>
  <c r="P284" i="1"/>
  <c r="Q284" i="1"/>
  <c r="R284" i="1"/>
  <c r="S284" i="1" s="1"/>
  <c r="T284" i="1"/>
  <c r="U284" i="1"/>
  <c r="V284" i="1"/>
  <c r="W284" i="1"/>
  <c r="X284" i="1"/>
  <c r="Y284" i="1"/>
  <c r="Z284" i="1"/>
  <c r="AA284" i="1"/>
  <c r="AB284" i="1"/>
  <c r="AC284" i="1"/>
  <c r="AD284" i="1" s="1"/>
  <c r="AE284" i="1"/>
  <c r="AF284" i="1"/>
  <c r="AG284" i="1"/>
  <c r="AH284" i="1" s="1"/>
  <c r="AI284" i="1"/>
  <c r="AJ284" i="1"/>
  <c r="AL284" i="1"/>
  <c r="AM284" i="1"/>
  <c r="AN284" i="1"/>
  <c r="AO284" i="1"/>
  <c r="AP284" i="1"/>
  <c r="AQ284" i="1"/>
  <c r="AR284" i="1"/>
  <c r="AS284" i="1"/>
  <c r="AT284" i="1"/>
  <c r="AU284" i="1"/>
  <c r="AV284" i="1"/>
  <c r="AW284" i="1"/>
  <c r="AX284" i="1"/>
  <c r="AY284" i="1"/>
  <c r="AZ284" i="1"/>
  <c r="BA284" i="1"/>
  <c r="A285" i="1"/>
  <c r="B285" i="1"/>
  <c r="C285" i="1"/>
  <c r="D285" i="1"/>
  <c r="E285" i="1"/>
  <c r="F285" i="1"/>
  <c r="G285" i="1"/>
  <c r="H285" i="1"/>
  <c r="I285" i="1"/>
  <c r="J285" i="1"/>
  <c r="K285" i="1"/>
  <c r="L285" i="1"/>
  <c r="M285" i="1" s="1"/>
  <c r="N285" i="1"/>
  <c r="O285" i="1"/>
  <c r="P285" i="1"/>
  <c r="Q285" i="1"/>
  <c r="R285" i="1"/>
  <c r="S285" i="1" s="1"/>
  <c r="T285" i="1"/>
  <c r="U285" i="1"/>
  <c r="V285" i="1"/>
  <c r="W285" i="1"/>
  <c r="X285" i="1"/>
  <c r="Y285" i="1"/>
  <c r="Z285" i="1"/>
  <c r="AA285" i="1"/>
  <c r="AB285" i="1"/>
  <c r="AC285" i="1"/>
  <c r="AD285" i="1" s="1"/>
  <c r="AE285" i="1"/>
  <c r="AF285" i="1"/>
  <c r="AG285" i="1"/>
  <c r="AH285" i="1" s="1"/>
  <c r="AI285" i="1"/>
  <c r="AJ285" i="1"/>
  <c r="AL285" i="1"/>
  <c r="AM285" i="1"/>
  <c r="AN285" i="1"/>
  <c r="AO285" i="1"/>
  <c r="AP285" i="1"/>
  <c r="AQ285" i="1"/>
  <c r="AR285" i="1"/>
  <c r="AS285" i="1"/>
  <c r="AT285" i="1"/>
  <c r="AU285" i="1"/>
  <c r="AV285" i="1"/>
  <c r="AW285" i="1"/>
  <c r="AX285" i="1"/>
  <c r="AY285" i="1"/>
  <c r="AZ285" i="1"/>
  <c r="BA285" i="1"/>
  <c r="A286" i="1"/>
  <c r="B286" i="1"/>
  <c r="C286" i="1"/>
  <c r="D286" i="1"/>
  <c r="E286" i="1"/>
  <c r="F286" i="1"/>
  <c r="G286" i="1"/>
  <c r="H286" i="1"/>
  <c r="I286" i="1"/>
  <c r="J286" i="1"/>
  <c r="K286" i="1"/>
  <c r="M286" i="1"/>
  <c r="N286" i="1"/>
  <c r="O286" i="1"/>
  <c r="P286" i="1"/>
  <c r="Q286" i="1"/>
  <c r="R286" i="1"/>
  <c r="S286" i="1" s="1"/>
  <c r="T286" i="1"/>
  <c r="U286" i="1"/>
  <c r="V286" i="1"/>
  <c r="W286" i="1"/>
  <c r="X286" i="1"/>
  <c r="Y286" i="1"/>
  <c r="Z286" i="1"/>
  <c r="AA286" i="1"/>
  <c r="AB286" i="1"/>
  <c r="AD286" i="1"/>
  <c r="AE286" i="1"/>
  <c r="AF286" i="1"/>
  <c r="AG286" i="1"/>
  <c r="AH286" i="1" s="1"/>
  <c r="AI286" i="1"/>
  <c r="AJ286" i="1"/>
  <c r="AL286" i="1"/>
  <c r="AM286" i="1"/>
  <c r="AN286" i="1"/>
  <c r="AO286" i="1"/>
  <c r="AP286" i="1"/>
  <c r="AQ286" i="1"/>
  <c r="AR286" i="1"/>
  <c r="AS286" i="1"/>
  <c r="AT286" i="1"/>
  <c r="AU286" i="1"/>
  <c r="AV286" i="1"/>
  <c r="AW286" i="1"/>
  <c r="AX286" i="1"/>
  <c r="AY286" i="1"/>
  <c r="AZ286" i="1"/>
  <c r="BA286" i="1"/>
  <c r="A287" i="1"/>
  <c r="B287" i="1"/>
  <c r="C287" i="1"/>
  <c r="D287" i="1"/>
  <c r="E287" i="1"/>
  <c r="F287" i="1"/>
  <c r="G287" i="1"/>
  <c r="H287" i="1"/>
  <c r="I287" i="1"/>
  <c r="J287" i="1"/>
  <c r="K287" i="1"/>
  <c r="L287" i="1"/>
  <c r="M287" i="1" s="1"/>
  <c r="N287" i="1"/>
  <c r="O287" i="1"/>
  <c r="P287" i="1"/>
  <c r="Q287" i="1"/>
  <c r="R287" i="1"/>
  <c r="S287" i="1" s="1"/>
  <c r="T287" i="1"/>
  <c r="U287" i="1"/>
  <c r="V287" i="1"/>
  <c r="W287" i="1"/>
  <c r="X287" i="1"/>
  <c r="Y287" i="1"/>
  <c r="Z287" i="1"/>
  <c r="AA287" i="1"/>
  <c r="AB287" i="1"/>
  <c r="AC287" i="1"/>
  <c r="AD287" i="1" s="1"/>
  <c r="AE287" i="1"/>
  <c r="AF287" i="1"/>
  <c r="AG287" i="1"/>
  <c r="AH287" i="1" s="1"/>
  <c r="AI287" i="1"/>
  <c r="AJ287" i="1"/>
  <c r="AL287" i="1"/>
  <c r="AM287" i="1"/>
  <c r="AN287" i="1"/>
  <c r="AO287" i="1"/>
  <c r="AP287" i="1"/>
  <c r="AQ287" i="1"/>
  <c r="AR287" i="1"/>
  <c r="AS287" i="1"/>
  <c r="AT287" i="1"/>
  <c r="AU287" i="1"/>
  <c r="AV287" i="1"/>
  <c r="AW287" i="1"/>
  <c r="AX287" i="1"/>
  <c r="AY287" i="1"/>
  <c r="AZ287" i="1"/>
  <c r="BA287" i="1"/>
  <c r="A288" i="1"/>
  <c r="B288" i="1"/>
  <c r="C288" i="1"/>
  <c r="D288" i="1"/>
  <c r="E288" i="1"/>
  <c r="F288" i="1"/>
  <c r="G288" i="1"/>
  <c r="H288" i="1"/>
  <c r="I288" i="1"/>
  <c r="J288" i="1"/>
  <c r="K288" i="1"/>
  <c r="L288" i="1"/>
  <c r="M288" i="1" s="1"/>
  <c r="N288" i="1"/>
  <c r="O288" i="1"/>
  <c r="P288" i="1"/>
  <c r="Q288" i="1"/>
  <c r="R288" i="1"/>
  <c r="S288" i="1" s="1"/>
  <c r="T288" i="1"/>
  <c r="U288" i="1"/>
  <c r="V288" i="1"/>
  <c r="W288" i="1"/>
  <c r="X288" i="1"/>
  <c r="Y288" i="1"/>
  <c r="Z288" i="1"/>
  <c r="AA288" i="1"/>
  <c r="AB288" i="1"/>
  <c r="AC288" i="1"/>
  <c r="AD288" i="1" s="1"/>
  <c r="AE288" i="1"/>
  <c r="AF288" i="1"/>
  <c r="AG288" i="1"/>
  <c r="AH288" i="1" s="1"/>
  <c r="AI288" i="1"/>
  <c r="AJ288" i="1"/>
  <c r="AL288" i="1"/>
  <c r="AM288" i="1"/>
  <c r="AN288" i="1"/>
  <c r="AO288" i="1"/>
  <c r="AP288" i="1"/>
  <c r="AQ288" i="1"/>
  <c r="AR288" i="1"/>
  <c r="AS288" i="1"/>
  <c r="AT288" i="1"/>
  <c r="AU288" i="1"/>
  <c r="AV288" i="1"/>
  <c r="AW288" i="1"/>
  <c r="AX288" i="1"/>
  <c r="AY288" i="1"/>
  <c r="AZ288" i="1"/>
  <c r="BA288" i="1"/>
  <c r="A289" i="1"/>
  <c r="B289" i="1"/>
  <c r="C289" i="1"/>
  <c r="D289" i="1"/>
  <c r="E289" i="1"/>
  <c r="F289" i="1"/>
  <c r="G289" i="1"/>
  <c r="H289" i="1"/>
  <c r="I289" i="1"/>
  <c r="J289" i="1"/>
  <c r="K289" i="1"/>
  <c r="L289" i="1"/>
  <c r="M289" i="1" s="1"/>
  <c r="N289" i="1"/>
  <c r="O289" i="1"/>
  <c r="P289" i="1"/>
  <c r="Q289" i="1"/>
  <c r="R289" i="1"/>
  <c r="S289" i="1" s="1"/>
  <c r="T289" i="1"/>
  <c r="U289" i="1"/>
  <c r="V289" i="1"/>
  <c r="W289" i="1"/>
  <c r="X289" i="1"/>
  <c r="Y289" i="1"/>
  <c r="Z289" i="1"/>
  <c r="AA289" i="1"/>
  <c r="AB289" i="1"/>
  <c r="AC289" i="1"/>
  <c r="AD289" i="1" s="1"/>
  <c r="AE289" i="1"/>
  <c r="AF289" i="1"/>
  <c r="AG289" i="1"/>
  <c r="AH289" i="1" s="1"/>
  <c r="AI289" i="1"/>
  <c r="AJ289" i="1"/>
  <c r="AL289" i="1"/>
  <c r="AM289" i="1"/>
  <c r="AN289" i="1"/>
  <c r="AO289" i="1"/>
  <c r="AP289" i="1"/>
  <c r="AQ289" i="1"/>
  <c r="AR289" i="1"/>
  <c r="AS289" i="1"/>
  <c r="AT289" i="1"/>
  <c r="AU289" i="1"/>
  <c r="AV289" i="1"/>
  <c r="AW289" i="1"/>
  <c r="AX289" i="1"/>
  <c r="AY289" i="1"/>
  <c r="AZ289" i="1"/>
  <c r="BA289" i="1"/>
  <c r="A290" i="1"/>
  <c r="B290" i="1"/>
  <c r="C290" i="1"/>
  <c r="D290" i="1"/>
  <c r="E290" i="1"/>
  <c r="F290" i="1"/>
  <c r="G290" i="1"/>
  <c r="H290" i="1"/>
  <c r="I290" i="1"/>
  <c r="J290" i="1"/>
  <c r="K290" i="1"/>
  <c r="M290" i="1"/>
  <c r="N290" i="1"/>
  <c r="O290" i="1"/>
  <c r="P290" i="1"/>
  <c r="Q290" i="1"/>
  <c r="R290" i="1"/>
  <c r="S290" i="1" s="1"/>
  <c r="T290" i="1"/>
  <c r="U290" i="1"/>
  <c r="V290" i="1"/>
  <c r="W290" i="1"/>
  <c r="X290" i="1"/>
  <c r="Y290" i="1"/>
  <c r="Z290" i="1"/>
  <c r="AA290" i="1"/>
  <c r="AB290" i="1"/>
  <c r="AC290" i="1"/>
  <c r="AD290" i="1" s="1"/>
  <c r="AE290" i="1"/>
  <c r="AF290" i="1"/>
  <c r="AI290" i="1"/>
  <c r="AL290" i="1"/>
  <c r="AM290" i="1"/>
  <c r="AN290" i="1"/>
  <c r="AO290" i="1"/>
  <c r="AP290" i="1"/>
  <c r="AQ290" i="1"/>
  <c r="AR290" i="1"/>
  <c r="AS290" i="1"/>
  <c r="AT290" i="1"/>
  <c r="AU290" i="1"/>
  <c r="AV290" i="1"/>
  <c r="AW290" i="1"/>
  <c r="AX290" i="1"/>
  <c r="AY290" i="1"/>
  <c r="AZ290" i="1"/>
  <c r="BA290" i="1"/>
  <c r="A291" i="1"/>
  <c r="B291" i="1"/>
  <c r="C291" i="1"/>
  <c r="D291" i="1"/>
  <c r="E291" i="1"/>
  <c r="F291" i="1"/>
  <c r="G291" i="1"/>
  <c r="H291" i="1"/>
  <c r="I291" i="1"/>
  <c r="J291" i="1"/>
  <c r="K291" i="1"/>
  <c r="L291" i="1"/>
  <c r="M291" i="1" s="1"/>
  <c r="N291" i="1"/>
  <c r="O291" i="1"/>
  <c r="P291" i="1"/>
  <c r="Q291" i="1"/>
  <c r="R291" i="1"/>
  <c r="S291" i="1" s="1"/>
  <c r="T291" i="1"/>
  <c r="U291" i="1"/>
  <c r="V291" i="1"/>
  <c r="W291" i="1"/>
  <c r="X291" i="1"/>
  <c r="Y291" i="1"/>
  <c r="Z291" i="1"/>
  <c r="AA291" i="1"/>
  <c r="AB291" i="1"/>
  <c r="AC291" i="1"/>
  <c r="AD291" i="1" s="1"/>
  <c r="AE291" i="1"/>
  <c r="AF291" i="1"/>
  <c r="AG291" i="1"/>
  <c r="AH291" i="1" s="1"/>
  <c r="AI291" i="1"/>
  <c r="AJ291" i="1"/>
  <c r="AL291" i="1"/>
  <c r="AM291" i="1"/>
  <c r="AN291" i="1"/>
  <c r="AO291" i="1"/>
  <c r="AP291" i="1"/>
  <c r="AQ291" i="1"/>
  <c r="AR291" i="1"/>
  <c r="AS291" i="1"/>
  <c r="AT291" i="1"/>
  <c r="AU291" i="1"/>
  <c r="AV291" i="1"/>
  <c r="AW291" i="1"/>
  <c r="AX291" i="1"/>
  <c r="AY291" i="1"/>
  <c r="AZ291" i="1"/>
  <c r="BA291" i="1"/>
  <c r="A292" i="1"/>
  <c r="B292" i="1"/>
  <c r="C292" i="1"/>
  <c r="D292" i="1"/>
  <c r="E292" i="1"/>
  <c r="F292" i="1"/>
  <c r="G292" i="1"/>
  <c r="H292" i="1"/>
  <c r="I292" i="1"/>
  <c r="J292" i="1"/>
  <c r="K292" i="1"/>
  <c r="L292" i="1"/>
  <c r="M292" i="1" s="1"/>
  <c r="N292" i="1"/>
  <c r="O292" i="1"/>
  <c r="P292" i="1"/>
  <c r="Q292" i="1"/>
  <c r="R292" i="1"/>
  <c r="S292" i="1" s="1"/>
  <c r="T292" i="1"/>
  <c r="U292" i="1"/>
  <c r="V292" i="1"/>
  <c r="W292" i="1"/>
  <c r="X292" i="1"/>
  <c r="Y292" i="1"/>
  <c r="Z292" i="1"/>
  <c r="AA292" i="1"/>
  <c r="AB292" i="1"/>
  <c r="AD292" i="1"/>
  <c r="AE292" i="1"/>
  <c r="AF292" i="1"/>
  <c r="AG292" i="1"/>
  <c r="AH292" i="1" s="1"/>
  <c r="AI292" i="1"/>
  <c r="AJ292" i="1"/>
  <c r="AL292" i="1"/>
  <c r="AM292" i="1"/>
  <c r="AN292" i="1"/>
  <c r="AO292" i="1"/>
  <c r="AP292" i="1"/>
  <c r="AQ292" i="1"/>
  <c r="AR292" i="1"/>
  <c r="AS292" i="1"/>
  <c r="AT292" i="1"/>
  <c r="AU292" i="1"/>
  <c r="AV292" i="1"/>
  <c r="AW292" i="1"/>
  <c r="AX292" i="1"/>
  <c r="AY292" i="1"/>
  <c r="AZ292" i="1"/>
  <c r="BA292" i="1"/>
  <c r="A293" i="1"/>
  <c r="B293" i="1"/>
  <c r="C293" i="1"/>
  <c r="D293" i="1"/>
  <c r="E293" i="1"/>
  <c r="F293" i="1"/>
  <c r="G293" i="1"/>
  <c r="H293" i="1"/>
  <c r="I293" i="1"/>
  <c r="J293" i="1"/>
  <c r="K293" i="1"/>
  <c r="L293" i="1"/>
  <c r="M293" i="1" s="1"/>
  <c r="N293" i="1"/>
  <c r="O293" i="1"/>
  <c r="P293" i="1"/>
  <c r="Q293" i="1"/>
  <c r="R293" i="1"/>
  <c r="S293" i="1" s="1"/>
  <c r="T293" i="1"/>
  <c r="U293" i="1"/>
  <c r="V293" i="1"/>
  <c r="W293" i="1"/>
  <c r="X293" i="1"/>
  <c r="Y293" i="1"/>
  <c r="Z293" i="1"/>
  <c r="AA293" i="1"/>
  <c r="AB293" i="1"/>
  <c r="AC293" i="1"/>
  <c r="AD293" i="1" s="1"/>
  <c r="AE293" i="1"/>
  <c r="AF293" i="1"/>
  <c r="AG293" i="1"/>
  <c r="AH293" i="1" s="1"/>
  <c r="AI293" i="1"/>
  <c r="AJ293" i="1"/>
  <c r="AL293" i="1"/>
  <c r="AM293" i="1"/>
  <c r="AN293" i="1"/>
  <c r="AO293" i="1"/>
  <c r="AP293" i="1"/>
  <c r="AQ293" i="1"/>
  <c r="AR293" i="1"/>
  <c r="AS293" i="1"/>
  <c r="AT293" i="1"/>
  <c r="AU293" i="1"/>
  <c r="AV293" i="1"/>
  <c r="AW293" i="1"/>
  <c r="AX293" i="1"/>
  <c r="AY293" i="1"/>
  <c r="AZ293" i="1"/>
  <c r="BA293" i="1"/>
  <c r="A294" i="1"/>
  <c r="B294" i="1"/>
  <c r="C294" i="1"/>
  <c r="D294" i="1"/>
  <c r="E294" i="1"/>
  <c r="F294" i="1"/>
  <c r="G294" i="1"/>
  <c r="H294" i="1"/>
  <c r="I294" i="1"/>
  <c r="J294" i="1"/>
  <c r="K294" i="1"/>
  <c r="L294" i="1"/>
  <c r="M294" i="1" s="1"/>
  <c r="N294" i="1"/>
  <c r="O294" i="1"/>
  <c r="P294" i="1"/>
  <c r="Q294" i="1"/>
  <c r="R294" i="1"/>
  <c r="S294" i="1" s="1"/>
  <c r="T294" i="1"/>
  <c r="U294" i="1"/>
  <c r="V294" i="1"/>
  <c r="W294" i="1"/>
  <c r="X294" i="1"/>
  <c r="Y294" i="1"/>
  <c r="Z294" i="1"/>
  <c r="AA294" i="1"/>
  <c r="AB294" i="1"/>
  <c r="AC294" i="1"/>
  <c r="AD294" i="1" s="1"/>
  <c r="AE294" i="1"/>
  <c r="AF294" i="1"/>
  <c r="AG294" i="1"/>
  <c r="AH294" i="1" s="1"/>
  <c r="AI294" i="1"/>
  <c r="AJ294" i="1"/>
  <c r="AL294" i="1"/>
  <c r="AM294" i="1"/>
  <c r="AN294" i="1"/>
  <c r="AO294" i="1"/>
  <c r="AP294" i="1"/>
  <c r="AQ294" i="1"/>
  <c r="AR294" i="1"/>
  <c r="AS294" i="1"/>
  <c r="AT294" i="1"/>
  <c r="AU294" i="1"/>
  <c r="AV294" i="1"/>
  <c r="AW294" i="1"/>
  <c r="AX294" i="1"/>
  <c r="AY294" i="1"/>
  <c r="AZ294" i="1"/>
  <c r="BA294" i="1"/>
  <c r="A295" i="1"/>
  <c r="B295" i="1"/>
  <c r="C295" i="1"/>
  <c r="D295" i="1"/>
  <c r="E295" i="1"/>
  <c r="F295" i="1"/>
  <c r="G295" i="1"/>
  <c r="H295" i="1"/>
  <c r="I295" i="1"/>
  <c r="J295" i="1"/>
  <c r="K295" i="1"/>
  <c r="L295" i="1"/>
  <c r="M295" i="1" s="1"/>
  <c r="N295" i="1"/>
  <c r="O295" i="1"/>
  <c r="P295" i="1"/>
  <c r="Q295" i="1"/>
  <c r="R295" i="1"/>
  <c r="S295" i="1" s="1"/>
  <c r="T295" i="1"/>
  <c r="U295" i="1"/>
  <c r="V295" i="1"/>
  <c r="W295" i="1"/>
  <c r="X295" i="1"/>
  <c r="Y295" i="1"/>
  <c r="Z295" i="1"/>
  <c r="AA295" i="1"/>
  <c r="AB295" i="1"/>
  <c r="AC295" i="1"/>
  <c r="AD295" i="1" s="1"/>
  <c r="AE295" i="1"/>
  <c r="AF295" i="1"/>
  <c r="AG295" i="1"/>
  <c r="AH295" i="1" s="1"/>
  <c r="AI295" i="1"/>
  <c r="AJ295" i="1"/>
  <c r="AL295" i="1"/>
  <c r="AM295" i="1"/>
  <c r="AN295" i="1"/>
  <c r="AO295" i="1"/>
  <c r="AP295" i="1"/>
  <c r="AQ295" i="1"/>
  <c r="AR295" i="1"/>
  <c r="AS295" i="1"/>
  <c r="AT295" i="1"/>
  <c r="AU295" i="1"/>
  <c r="AV295" i="1"/>
  <c r="AW295" i="1"/>
  <c r="AX295" i="1"/>
  <c r="AY295" i="1"/>
  <c r="AZ295" i="1"/>
  <c r="BA295" i="1"/>
  <c r="A296" i="1"/>
  <c r="B296" i="1"/>
  <c r="C296" i="1"/>
  <c r="D296" i="1"/>
  <c r="E296" i="1"/>
  <c r="F296" i="1"/>
  <c r="G296" i="1"/>
  <c r="H296" i="1"/>
  <c r="I296" i="1"/>
  <c r="J296" i="1"/>
  <c r="K296" i="1"/>
  <c r="L296" i="1"/>
  <c r="M296" i="1" s="1"/>
  <c r="N296" i="1"/>
  <c r="O296" i="1"/>
  <c r="P296" i="1"/>
  <c r="Q296" i="1"/>
  <c r="R296" i="1"/>
  <c r="S296" i="1" s="1"/>
  <c r="T296" i="1"/>
  <c r="U296" i="1"/>
  <c r="V296" i="1"/>
  <c r="W296" i="1"/>
  <c r="X296" i="1"/>
  <c r="Y296" i="1"/>
  <c r="Z296" i="1"/>
  <c r="AA296" i="1"/>
  <c r="AB296" i="1"/>
  <c r="AC296" i="1"/>
  <c r="AD296" i="1" s="1"/>
  <c r="AE296" i="1"/>
  <c r="AF296" i="1"/>
  <c r="AG296" i="1"/>
  <c r="AH296" i="1" s="1"/>
  <c r="AI296" i="1"/>
  <c r="AJ296" i="1"/>
  <c r="AL296" i="1"/>
  <c r="AM296" i="1"/>
  <c r="AN296" i="1"/>
  <c r="AO296" i="1"/>
  <c r="AP296" i="1"/>
  <c r="AQ296" i="1"/>
  <c r="AR296" i="1"/>
  <c r="AS296" i="1"/>
  <c r="AT296" i="1"/>
  <c r="AU296" i="1"/>
  <c r="AV296" i="1"/>
  <c r="AW296" i="1"/>
  <c r="AX296" i="1"/>
  <c r="AY296" i="1"/>
  <c r="AZ296" i="1"/>
  <c r="BA296" i="1"/>
  <c r="A297" i="1"/>
  <c r="B297" i="1"/>
  <c r="C297" i="1"/>
  <c r="D297" i="1"/>
  <c r="E297" i="1"/>
  <c r="F297" i="1"/>
  <c r="G297" i="1"/>
  <c r="H297" i="1"/>
  <c r="I297" i="1"/>
  <c r="J297" i="1"/>
  <c r="K297" i="1"/>
  <c r="L297" i="1"/>
  <c r="M297" i="1" s="1"/>
  <c r="N297" i="1"/>
  <c r="O297" i="1"/>
  <c r="P297" i="1"/>
  <c r="Q297" i="1"/>
  <c r="R297" i="1"/>
  <c r="S297" i="1" s="1"/>
  <c r="T297" i="1"/>
  <c r="U297" i="1"/>
  <c r="V297" i="1"/>
  <c r="W297" i="1"/>
  <c r="X297" i="1"/>
  <c r="Y297" i="1"/>
  <c r="Z297" i="1"/>
  <c r="AA297" i="1"/>
  <c r="AB297" i="1"/>
  <c r="AD297" i="1"/>
  <c r="AE297" i="1"/>
  <c r="AF297" i="1"/>
  <c r="AG297" i="1"/>
  <c r="AH297" i="1" s="1"/>
  <c r="AI297" i="1"/>
  <c r="AJ297" i="1"/>
  <c r="AL297" i="1"/>
  <c r="AM297" i="1"/>
  <c r="AN297" i="1"/>
  <c r="AO297" i="1"/>
  <c r="AP297" i="1"/>
  <c r="AQ297" i="1"/>
  <c r="AR297" i="1"/>
  <c r="AS297" i="1"/>
  <c r="AT297" i="1"/>
  <c r="AU297" i="1"/>
  <c r="AV297" i="1"/>
  <c r="AW297" i="1"/>
  <c r="AX297" i="1"/>
  <c r="AY297" i="1"/>
  <c r="AZ297" i="1"/>
  <c r="BA297" i="1"/>
  <c r="A298" i="1"/>
  <c r="B298" i="1"/>
  <c r="C298" i="1"/>
  <c r="D298" i="1"/>
  <c r="E298" i="1"/>
  <c r="F298" i="1"/>
  <c r="G298" i="1"/>
  <c r="H298" i="1"/>
  <c r="I298" i="1"/>
  <c r="J298" i="1"/>
  <c r="K298" i="1"/>
  <c r="L298" i="1"/>
  <c r="M298" i="1" s="1"/>
  <c r="N298" i="1"/>
  <c r="O298" i="1"/>
  <c r="P298" i="1"/>
  <c r="Q298" i="1"/>
  <c r="R298" i="1"/>
  <c r="S298" i="1" s="1"/>
  <c r="T298" i="1"/>
  <c r="U298" i="1"/>
  <c r="V298" i="1"/>
  <c r="W298" i="1"/>
  <c r="X298" i="1"/>
  <c r="Y298" i="1"/>
  <c r="Z298" i="1"/>
  <c r="AA298" i="1"/>
  <c r="AB298" i="1"/>
  <c r="AC298" i="1"/>
  <c r="AD298" i="1" s="1"/>
  <c r="AE298" i="1"/>
  <c r="AF298" i="1"/>
  <c r="AG298" i="1"/>
  <c r="AH298" i="1" s="1"/>
  <c r="AI298" i="1"/>
  <c r="AJ298" i="1"/>
  <c r="AL298" i="1"/>
  <c r="AM298" i="1"/>
  <c r="AN298" i="1"/>
  <c r="AO298" i="1"/>
  <c r="AP298" i="1"/>
  <c r="AQ298" i="1"/>
  <c r="AR298" i="1"/>
  <c r="AS298" i="1"/>
  <c r="AT298" i="1"/>
  <c r="AU298" i="1"/>
  <c r="AV298" i="1"/>
  <c r="AW298" i="1"/>
  <c r="AX298" i="1"/>
  <c r="AY298" i="1"/>
  <c r="AZ298" i="1"/>
  <c r="BA298" i="1"/>
  <c r="A299" i="1"/>
  <c r="B299" i="1"/>
  <c r="C299" i="1"/>
  <c r="D299" i="1"/>
  <c r="E299" i="1"/>
  <c r="F299" i="1"/>
  <c r="G299" i="1"/>
  <c r="H299" i="1"/>
  <c r="I299" i="1"/>
  <c r="J299" i="1"/>
  <c r="K299" i="1"/>
  <c r="L299" i="1"/>
  <c r="M299" i="1" s="1"/>
  <c r="N299" i="1"/>
  <c r="O299" i="1"/>
  <c r="P299" i="1"/>
  <c r="Q299" i="1"/>
  <c r="S299" i="1"/>
  <c r="T299" i="1"/>
  <c r="U299" i="1"/>
  <c r="V299" i="1"/>
  <c r="W299" i="1"/>
  <c r="X299" i="1"/>
  <c r="Y299" i="1"/>
  <c r="Z299" i="1"/>
  <c r="AA299" i="1"/>
  <c r="AB299" i="1"/>
  <c r="AC299" i="1"/>
  <c r="AD299" i="1" s="1"/>
  <c r="AE299" i="1"/>
  <c r="AF299" i="1"/>
  <c r="AG299" i="1"/>
  <c r="AH299" i="1" s="1"/>
  <c r="AI299" i="1"/>
  <c r="AJ299" i="1"/>
  <c r="AL299" i="1"/>
  <c r="AM299" i="1"/>
  <c r="AN299" i="1"/>
  <c r="AO299" i="1"/>
  <c r="AP299" i="1"/>
  <c r="AQ299" i="1"/>
  <c r="AR299" i="1"/>
  <c r="AS299" i="1"/>
  <c r="AT299" i="1"/>
  <c r="AU299" i="1"/>
  <c r="AV299" i="1"/>
  <c r="AW299" i="1"/>
  <c r="AX299" i="1"/>
  <c r="AY299" i="1"/>
  <c r="AZ299" i="1"/>
  <c r="BA299" i="1"/>
  <c r="A300" i="1"/>
  <c r="B300" i="1"/>
  <c r="C300" i="1"/>
  <c r="D300" i="1"/>
  <c r="E300" i="1"/>
  <c r="F300" i="1"/>
  <c r="G300" i="1"/>
  <c r="H300" i="1"/>
  <c r="I300" i="1"/>
  <c r="J300" i="1"/>
  <c r="K300" i="1"/>
  <c r="L300" i="1"/>
  <c r="M300" i="1" s="1"/>
  <c r="N300" i="1"/>
  <c r="O300" i="1"/>
  <c r="P300" i="1"/>
  <c r="Q300" i="1"/>
  <c r="R300" i="1"/>
  <c r="S300" i="1" s="1"/>
  <c r="T300" i="1"/>
  <c r="U300" i="1"/>
  <c r="V300" i="1"/>
  <c r="W300" i="1"/>
  <c r="X300" i="1"/>
  <c r="Y300" i="1"/>
  <c r="Z300" i="1"/>
  <c r="AA300" i="1"/>
  <c r="AB300" i="1"/>
  <c r="AC300" i="1"/>
  <c r="AD300" i="1" s="1"/>
  <c r="AE300" i="1"/>
  <c r="AF300" i="1"/>
  <c r="AG300" i="1"/>
  <c r="AH300" i="1" s="1"/>
  <c r="AI300" i="1"/>
  <c r="AL300" i="1"/>
  <c r="AM300" i="1"/>
  <c r="AN300" i="1"/>
  <c r="AO300" i="1"/>
  <c r="AP300" i="1"/>
  <c r="AQ300" i="1"/>
  <c r="AR300" i="1"/>
  <c r="AS300" i="1"/>
  <c r="AT300" i="1"/>
  <c r="AU300" i="1"/>
  <c r="AV300" i="1"/>
  <c r="AW300" i="1"/>
  <c r="AX300" i="1"/>
  <c r="AY300" i="1"/>
  <c r="AZ300" i="1"/>
  <c r="BA300" i="1"/>
  <c r="A301" i="1"/>
  <c r="B301" i="1"/>
  <c r="C301" i="1"/>
  <c r="D301" i="1"/>
  <c r="E301" i="1"/>
  <c r="F301" i="1"/>
  <c r="G301" i="1"/>
  <c r="H301" i="1"/>
  <c r="I301" i="1"/>
  <c r="J301" i="1"/>
  <c r="K301" i="1"/>
  <c r="L301" i="1"/>
  <c r="M301" i="1" s="1"/>
  <c r="N301" i="1"/>
  <c r="O301" i="1"/>
  <c r="P301" i="1"/>
  <c r="Q301" i="1"/>
  <c r="R301" i="1"/>
  <c r="S301" i="1" s="1"/>
  <c r="T301" i="1"/>
  <c r="U301" i="1"/>
  <c r="V301" i="1"/>
  <c r="W301" i="1"/>
  <c r="X301" i="1"/>
  <c r="Y301" i="1"/>
  <c r="Z301" i="1"/>
  <c r="AA301" i="1"/>
  <c r="AB301" i="1"/>
  <c r="AC301" i="1"/>
  <c r="AD301" i="1" s="1"/>
  <c r="AE301" i="1"/>
  <c r="AF301" i="1"/>
  <c r="AG301" i="1"/>
  <c r="AH301" i="1" s="1"/>
  <c r="AI301" i="1"/>
  <c r="AJ301" i="1"/>
  <c r="AL301" i="1"/>
  <c r="AM301" i="1"/>
  <c r="AN301" i="1"/>
  <c r="AO301" i="1"/>
  <c r="AP301" i="1"/>
  <c r="AQ301" i="1"/>
  <c r="AR301" i="1"/>
  <c r="AS301" i="1"/>
  <c r="AT301" i="1"/>
  <c r="AU301" i="1"/>
  <c r="AV301" i="1"/>
  <c r="AW301" i="1"/>
  <c r="AX301" i="1"/>
  <c r="AY301" i="1"/>
  <c r="AZ301" i="1"/>
  <c r="BA301" i="1"/>
  <c r="A302" i="1"/>
  <c r="B302" i="1"/>
  <c r="C302" i="1"/>
  <c r="D302" i="1"/>
  <c r="E302" i="1"/>
  <c r="F302" i="1"/>
  <c r="G302" i="1"/>
  <c r="H302" i="1"/>
  <c r="I302" i="1"/>
  <c r="J302" i="1"/>
  <c r="K302" i="1"/>
  <c r="L302" i="1"/>
  <c r="M302" i="1" s="1"/>
  <c r="N302" i="1"/>
  <c r="O302" i="1"/>
  <c r="P302" i="1"/>
  <c r="Q302" i="1"/>
  <c r="R302" i="1"/>
  <c r="S302" i="1" s="1"/>
  <c r="T302" i="1"/>
  <c r="U302" i="1"/>
  <c r="V302" i="1"/>
  <c r="W302" i="1"/>
  <c r="X302" i="1"/>
  <c r="Y302" i="1"/>
  <c r="Z302" i="1"/>
  <c r="AA302" i="1"/>
  <c r="AB302" i="1"/>
  <c r="AC302" i="1"/>
  <c r="AD302" i="1" s="1"/>
  <c r="AE302" i="1"/>
  <c r="AF302" i="1"/>
  <c r="AG302" i="1"/>
  <c r="AH302" i="1" s="1"/>
  <c r="AI302" i="1"/>
  <c r="AJ302" i="1"/>
  <c r="AL302" i="1"/>
  <c r="AM302" i="1"/>
  <c r="AN302" i="1"/>
  <c r="AO302" i="1"/>
  <c r="AP302" i="1"/>
  <c r="AQ302" i="1"/>
  <c r="AR302" i="1"/>
  <c r="AS302" i="1"/>
  <c r="AT302" i="1"/>
  <c r="AU302" i="1"/>
  <c r="AV302" i="1"/>
  <c r="AW302" i="1"/>
  <c r="AX302" i="1"/>
  <c r="AY302" i="1"/>
  <c r="AZ302" i="1"/>
  <c r="BA302" i="1"/>
  <c r="A303" i="1"/>
  <c r="B303" i="1"/>
  <c r="C303" i="1"/>
  <c r="D303" i="1"/>
  <c r="E303" i="1"/>
  <c r="F303" i="1"/>
  <c r="G303" i="1"/>
  <c r="H303" i="1"/>
  <c r="I303" i="1"/>
  <c r="J303" i="1"/>
  <c r="K303" i="1"/>
  <c r="L303" i="1"/>
  <c r="M303" i="1" s="1"/>
  <c r="N303" i="1"/>
  <c r="O303" i="1"/>
  <c r="P303" i="1"/>
  <c r="Q303" i="1"/>
  <c r="R303" i="1"/>
  <c r="S303" i="1" s="1"/>
  <c r="T303" i="1"/>
  <c r="U303" i="1"/>
  <c r="V303" i="1"/>
  <c r="W303" i="1"/>
  <c r="X303" i="1"/>
  <c r="Y303" i="1"/>
  <c r="Z303" i="1"/>
  <c r="AA303" i="1"/>
  <c r="AB303" i="1"/>
  <c r="AD303" i="1"/>
  <c r="AE303" i="1"/>
  <c r="AF303" i="1"/>
  <c r="AG303" i="1"/>
  <c r="AH303" i="1" s="1"/>
  <c r="AI303" i="1"/>
  <c r="AJ303" i="1"/>
  <c r="AL303" i="1"/>
  <c r="AM303" i="1"/>
  <c r="AN303" i="1"/>
  <c r="AO303" i="1"/>
  <c r="AP303" i="1"/>
  <c r="AQ303" i="1"/>
  <c r="AR303" i="1"/>
  <c r="AS303" i="1"/>
  <c r="AT303" i="1"/>
  <c r="AU303" i="1"/>
  <c r="AV303" i="1"/>
  <c r="AW303" i="1"/>
  <c r="AX303" i="1"/>
  <c r="AY303" i="1"/>
  <c r="AZ303" i="1"/>
  <c r="BA303" i="1"/>
  <c r="A304" i="1"/>
  <c r="B304" i="1"/>
  <c r="C304" i="1"/>
  <c r="D304" i="1"/>
  <c r="E304" i="1"/>
  <c r="F304" i="1"/>
  <c r="G304" i="1"/>
  <c r="H304" i="1"/>
  <c r="I304" i="1"/>
  <c r="J304" i="1"/>
  <c r="K304" i="1"/>
  <c r="L304" i="1"/>
  <c r="M304" i="1" s="1"/>
  <c r="N304" i="1"/>
  <c r="O304" i="1"/>
  <c r="P304" i="1"/>
  <c r="Q304" i="1"/>
  <c r="S304" i="1"/>
  <c r="T304" i="1"/>
  <c r="U304" i="1"/>
  <c r="V304" i="1"/>
  <c r="W304" i="1"/>
  <c r="X304" i="1"/>
  <c r="Y304" i="1"/>
  <c r="Z304" i="1"/>
  <c r="AA304" i="1"/>
  <c r="AB304" i="1"/>
  <c r="AD304" i="1"/>
  <c r="AE304" i="1"/>
  <c r="AF304" i="1"/>
  <c r="AG304" i="1"/>
  <c r="AH304" i="1" s="1"/>
  <c r="AI304" i="1"/>
  <c r="AJ304" i="1"/>
  <c r="AL304" i="1"/>
  <c r="AM304" i="1"/>
  <c r="AN304" i="1"/>
  <c r="AO304" i="1"/>
  <c r="AP304" i="1"/>
  <c r="AQ304" i="1"/>
  <c r="AR304" i="1"/>
  <c r="AS304" i="1"/>
  <c r="AT304" i="1"/>
  <c r="AU304" i="1"/>
  <c r="AV304" i="1"/>
  <c r="AW304" i="1"/>
  <c r="AX304" i="1"/>
  <c r="AY304" i="1"/>
  <c r="AZ304" i="1"/>
  <c r="BA304" i="1"/>
  <c r="A305" i="1"/>
  <c r="B305" i="1"/>
  <c r="C305" i="1"/>
  <c r="D305" i="1"/>
  <c r="E305" i="1"/>
  <c r="F305" i="1"/>
  <c r="G305" i="1"/>
  <c r="H305" i="1"/>
  <c r="I305" i="1"/>
  <c r="J305" i="1"/>
  <c r="K305" i="1"/>
  <c r="L305" i="1"/>
  <c r="M305" i="1" s="1"/>
  <c r="N305" i="1"/>
  <c r="O305" i="1"/>
  <c r="P305" i="1"/>
  <c r="Q305" i="1"/>
  <c r="R305" i="1"/>
  <c r="S305" i="1" s="1"/>
  <c r="T305" i="1"/>
  <c r="U305" i="1"/>
  <c r="V305" i="1"/>
  <c r="W305" i="1"/>
  <c r="X305" i="1"/>
  <c r="Y305" i="1"/>
  <c r="Z305" i="1"/>
  <c r="AA305" i="1"/>
  <c r="AB305" i="1"/>
  <c r="AC305" i="1"/>
  <c r="AD305" i="1" s="1"/>
  <c r="AE305" i="1"/>
  <c r="AF305" i="1"/>
  <c r="AG305" i="1"/>
  <c r="AH305" i="1" s="1"/>
  <c r="AI305" i="1"/>
  <c r="AJ305" i="1"/>
  <c r="AL305" i="1"/>
  <c r="AM305" i="1"/>
  <c r="AN305" i="1"/>
  <c r="AO305" i="1"/>
  <c r="AP305" i="1"/>
  <c r="AQ305" i="1"/>
  <c r="AR305" i="1"/>
  <c r="AS305" i="1"/>
  <c r="AT305" i="1"/>
  <c r="AU305" i="1"/>
  <c r="AV305" i="1"/>
  <c r="AW305" i="1"/>
  <c r="AX305" i="1"/>
  <c r="AY305" i="1"/>
  <c r="AZ305" i="1"/>
  <c r="BA305" i="1"/>
  <c r="A306" i="1"/>
  <c r="B306" i="1"/>
  <c r="C306" i="1"/>
  <c r="D306" i="1"/>
  <c r="E306" i="1"/>
  <c r="F306" i="1"/>
  <c r="G306" i="1"/>
  <c r="H306" i="1"/>
  <c r="I306" i="1"/>
  <c r="J306" i="1"/>
  <c r="K306" i="1"/>
  <c r="L306" i="1"/>
  <c r="M306" i="1" s="1"/>
  <c r="N306" i="1"/>
  <c r="O306" i="1"/>
  <c r="P306" i="1"/>
  <c r="Q306" i="1"/>
  <c r="R306" i="1"/>
  <c r="S306" i="1" s="1"/>
  <c r="T306" i="1"/>
  <c r="U306" i="1"/>
  <c r="V306" i="1"/>
  <c r="W306" i="1"/>
  <c r="X306" i="1"/>
  <c r="Y306" i="1"/>
  <c r="Z306" i="1"/>
  <c r="AA306" i="1"/>
  <c r="AB306" i="1"/>
  <c r="AC306" i="1"/>
  <c r="AD306" i="1" s="1"/>
  <c r="AE306" i="1"/>
  <c r="AF306" i="1"/>
  <c r="AG306" i="1"/>
  <c r="AH306" i="1" s="1"/>
  <c r="AI306" i="1"/>
  <c r="AJ306" i="1"/>
  <c r="AL306" i="1"/>
  <c r="AM306" i="1"/>
  <c r="AN306" i="1"/>
  <c r="AO306" i="1"/>
  <c r="AP306" i="1"/>
  <c r="AQ306" i="1"/>
  <c r="AR306" i="1"/>
  <c r="AS306" i="1"/>
  <c r="AT306" i="1"/>
  <c r="AU306" i="1"/>
  <c r="AV306" i="1"/>
  <c r="AW306" i="1"/>
  <c r="AX306" i="1"/>
  <c r="AY306" i="1"/>
  <c r="AZ306" i="1"/>
  <c r="BA306" i="1"/>
  <c r="A307" i="1"/>
  <c r="B307" i="1"/>
  <c r="C307" i="1"/>
  <c r="D307" i="1"/>
  <c r="E307" i="1"/>
  <c r="F307" i="1"/>
  <c r="G307" i="1"/>
  <c r="H307" i="1"/>
  <c r="I307" i="1"/>
  <c r="J307" i="1"/>
  <c r="K307" i="1"/>
  <c r="L307" i="1"/>
  <c r="M307" i="1" s="1"/>
  <c r="N307" i="1"/>
  <c r="O307" i="1"/>
  <c r="P307" i="1"/>
  <c r="Q307" i="1"/>
  <c r="R307" i="1"/>
  <c r="S307" i="1" s="1"/>
  <c r="T307" i="1"/>
  <c r="U307" i="1"/>
  <c r="V307" i="1"/>
  <c r="W307" i="1"/>
  <c r="X307" i="1"/>
  <c r="Y307" i="1"/>
  <c r="Z307" i="1"/>
  <c r="AA307" i="1"/>
  <c r="AB307" i="1"/>
  <c r="AC307" i="1"/>
  <c r="AD307" i="1" s="1"/>
  <c r="AE307" i="1"/>
  <c r="AF307" i="1"/>
  <c r="AG307" i="1"/>
  <c r="AH307" i="1" s="1"/>
  <c r="AI307" i="1"/>
  <c r="AL307" i="1"/>
  <c r="AM307" i="1"/>
  <c r="AN307" i="1"/>
  <c r="AO307" i="1"/>
  <c r="AP307" i="1"/>
  <c r="AQ307" i="1"/>
  <c r="AR307" i="1"/>
  <c r="AS307" i="1"/>
  <c r="AT307" i="1"/>
  <c r="AU307" i="1"/>
  <c r="AV307" i="1"/>
  <c r="AW307" i="1"/>
  <c r="AX307" i="1"/>
  <c r="AY307" i="1"/>
  <c r="AZ307" i="1"/>
  <c r="BA307" i="1"/>
  <c r="A308" i="1"/>
  <c r="B308" i="1"/>
  <c r="C308" i="1"/>
  <c r="D308" i="1"/>
  <c r="E308" i="1"/>
  <c r="F308" i="1"/>
  <c r="G308" i="1"/>
  <c r="H308" i="1"/>
  <c r="I308" i="1"/>
  <c r="J308" i="1"/>
  <c r="K308" i="1"/>
  <c r="L308" i="1"/>
  <c r="M308" i="1" s="1"/>
  <c r="N308" i="1"/>
  <c r="O308" i="1"/>
  <c r="P308" i="1"/>
  <c r="Q308" i="1"/>
  <c r="R308" i="1"/>
  <c r="S308" i="1" s="1"/>
  <c r="T308" i="1"/>
  <c r="U308" i="1"/>
  <c r="V308" i="1"/>
  <c r="W308" i="1"/>
  <c r="X308" i="1"/>
  <c r="Y308" i="1"/>
  <c r="Z308" i="1"/>
  <c r="AA308" i="1"/>
  <c r="AB308" i="1"/>
  <c r="AC308" i="1"/>
  <c r="AD308" i="1" s="1"/>
  <c r="AE308" i="1"/>
  <c r="AF308" i="1"/>
  <c r="AG308" i="1"/>
  <c r="AH308" i="1" s="1"/>
  <c r="AI308" i="1"/>
  <c r="AJ308" i="1"/>
  <c r="AL308" i="1"/>
  <c r="AM308" i="1"/>
  <c r="AN308" i="1"/>
  <c r="AO308" i="1"/>
  <c r="AP308" i="1"/>
  <c r="AQ308" i="1"/>
  <c r="AR308" i="1"/>
  <c r="AS308" i="1"/>
  <c r="AT308" i="1"/>
  <c r="AU308" i="1"/>
  <c r="AV308" i="1"/>
  <c r="AW308" i="1"/>
  <c r="AX308" i="1"/>
  <c r="AY308" i="1"/>
  <c r="AZ308" i="1"/>
  <c r="BA308" i="1"/>
  <c r="A309" i="1"/>
  <c r="B309" i="1"/>
  <c r="C309" i="1"/>
  <c r="D309" i="1"/>
  <c r="E309" i="1"/>
  <c r="F309" i="1"/>
  <c r="G309" i="1"/>
  <c r="H309" i="1"/>
  <c r="I309" i="1"/>
  <c r="J309" i="1"/>
  <c r="K309" i="1"/>
  <c r="L309" i="1"/>
  <c r="M309" i="1" s="1"/>
  <c r="N309" i="1"/>
  <c r="O309" i="1"/>
  <c r="P309" i="1"/>
  <c r="Q309" i="1"/>
  <c r="S309" i="1"/>
  <c r="T309" i="1"/>
  <c r="U309" i="1"/>
  <c r="V309" i="1"/>
  <c r="W309" i="1"/>
  <c r="X309" i="1"/>
  <c r="Y309" i="1"/>
  <c r="Z309" i="1"/>
  <c r="AA309" i="1"/>
  <c r="AB309" i="1"/>
  <c r="AC309" i="1"/>
  <c r="AD309" i="1" s="1"/>
  <c r="AE309" i="1"/>
  <c r="AF309" i="1"/>
  <c r="AG309" i="1"/>
  <c r="AH309" i="1" s="1"/>
  <c r="AI309" i="1"/>
  <c r="AJ309" i="1"/>
  <c r="AL309" i="1"/>
  <c r="AM309" i="1"/>
  <c r="AN309" i="1"/>
  <c r="AO309" i="1"/>
  <c r="AP309" i="1"/>
  <c r="AQ309" i="1"/>
  <c r="AR309" i="1"/>
  <c r="AS309" i="1"/>
  <c r="AT309" i="1"/>
  <c r="AU309" i="1"/>
  <c r="AV309" i="1"/>
  <c r="AW309" i="1"/>
  <c r="AX309" i="1"/>
  <c r="AY309" i="1"/>
  <c r="AZ309" i="1"/>
  <c r="BA309" i="1"/>
  <c r="A310" i="1"/>
  <c r="B310" i="1"/>
  <c r="C310" i="1"/>
  <c r="D310" i="1"/>
  <c r="E310" i="1"/>
  <c r="F310" i="1"/>
  <c r="G310" i="1"/>
  <c r="H310" i="1"/>
  <c r="I310" i="1"/>
  <c r="J310" i="1"/>
  <c r="K310" i="1"/>
  <c r="L310" i="1"/>
  <c r="M310" i="1" s="1"/>
  <c r="N310" i="1"/>
  <c r="O310" i="1"/>
  <c r="P310" i="1"/>
  <c r="Q310" i="1"/>
  <c r="S310" i="1"/>
  <c r="T310" i="1"/>
  <c r="U310" i="1"/>
  <c r="V310" i="1"/>
  <c r="W310" i="1"/>
  <c r="X310" i="1"/>
  <c r="Y310" i="1"/>
  <c r="Z310" i="1"/>
  <c r="AA310" i="1"/>
  <c r="AB310" i="1"/>
  <c r="AD310" i="1"/>
  <c r="AE310" i="1"/>
  <c r="AF310" i="1"/>
  <c r="AG310" i="1"/>
  <c r="AH310" i="1" s="1"/>
  <c r="AI310" i="1"/>
  <c r="AJ310" i="1"/>
  <c r="AL310" i="1"/>
  <c r="AM310" i="1"/>
  <c r="AN310" i="1"/>
  <c r="AO310" i="1"/>
  <c r="AP310" i="1"/>
  <c r="AQ310" i="1"/>
  <c r="AR310" i="1"/>
  <c r="AS310" i="1"/>
  <c r="AT310" i="1"/>
  <c r="AU310" i="1"/>
  <c r="AV310" i="1"/>
  <c r="AW310" i="1"/>
  <c r="AX310" i="1"/>
  <c r="AY310" i="1"/>
  <c r="AZ310" i="1"/>
  <c r="BA310" i="1"/>
  <c r="A311" i="1"/>
  <c r="B311" i="1"/>
  <c r="C311" i="1"/>
  <c r="D311" i="1"/>
  <c r="E311" i="1"/>
  <c r="F311" i="1"/>
  <c r="G311" i="1"/>
  <c r="H311" i="1"/>
  <c r="I311" i="1"/>
  <c r="J311" i="1"/>
  <c r="K311" i="1"/>
  <c r="L311" i="1"/>
  <c r="M311" i="1" s="1"/>
  <c r="N311" i="1"/>
  <c r="O311" i="1"/>
  <c r="P311" i="1"/>
  <c r="Q311" i="1"/>
  <c r="R311" i="1"/>
  <c r="S311" i="1" s="1"/>
  <c r="T311" i="1"/>
  <c r="U311" i="1"/>
  <c r="V311" i="1"/>
  <c r="W311" i="1"/>
  <c r="X311" i="1"/>
  <c r="Y311" i="1"/>
  <c r="Z311" i="1"/>
  <c r="AA311" i="1"/>
  <c r="AB311" i="1"/>
  <c r="AC311" i="1"/>
  <c r="AD311" i="1" s="1"/>
  <c r="AE311" i="1"/>
  <c r="AF311" i="1"/>
  <c r="AG311" i="1"/>
  <c r="AH311" i="1" s="1"/>
  <c r="AI311" i="1"/>
  <c r="AJ311" i="1"/>
  <c r="AL311" i="1"/>
  <c r="AM311" i="1"/>
  <c r="AN311" i="1"/>
  <c r="AO311" i="1"/>
  <c r="AP311" i="1"/>
  <c r="AQ311" i="1"/>
  <c r="AR311" i="1"/>
  <c r="AS311" i="1"/>
  <c r="AT311" i="1"/>
  <c r="AU311" i="1"/>
  <c r="AV311" i="1"/>
  <c r="AW311" i="1"/>
  <c r="AX311" i="1"/>
  <c r="AY311" i="1"/>
  <c r="AZ311" i="1"/>
  <c r="BA311" i="1"/>
  <c r="A312" i="1"/>
  <c r="B312" i="1"/>
  <c r="C312" i="1"/>
  <c r="D312" i="1"/>
  <c r="E312" i="1"/>
  <c r="F312" i="1"/>
  <c r="G312" i="1"/>
  <c r="H312" i="1"/>
  <c r="I312" i="1"/>
  <c r="J312" i="1"/>
  <c r="K312" i="1"/>
  <c r="L312" i="1"/>
  <c r="M312" i="1" s="1"/>
  <c r="N312" i="1"/>
  <c r="O312" i="1"/>
  <c r="P312" i="1"/>
  <c r="Q312" i="1"/>
  <c r="R312" i="1"/>
  <c r="S312" i="1" s="1"/>
  <c r="T312" i="1"/>
  <c r="U312" i="1"/>
  <c r="V312" i="1"/>
  <c r="W312" i="1"/>
  <c r="X312" i="1"/>
  <c r="Y312" i="1"/>
  <c r="Z312" i="1"/>
  <c r="AA312" i="1"/>
  <c r="AB312" i="1"/>
  <c r="AC312" i="1"/>
  <c r="AD312" i="1" s="1"/>
  <c r="AE312" i="1"/>
  <c r="AF312" i="1"/>
  <c r="AG312" i="1"/>
  <c r="AH312" i="1" s="1"/>
  <c r="AI312" i="1"/>
  <c r="AJ312" i="1"/>
  <c r="AL312" i="1"/>
  <c r="AM312" i="1"/>
  <c r="AN312" i="1"/>
  <c r="AO312" i="1"/>
  <c r="AP312" i="1"/>
  <c r="AQ312" i="1"/>
  <c r="AR312" i="1"/>
  <c r="AS312" i="1"/>
  <c r="AT312" i="1"/>
  <c r="AU312" i="1"/>
  <c r="AV312" i="1"/>
  <c r="AW312" i="1"/>
  <c r="AX312" i="1"/>
  <c r="AY312" i="1"/>
  <c r="AZ312" i="1"/>
  <c r="BA312" i="1"/>
  <c r="A313" i="1"/>
  <c r="B313" i="1"/>
  <c r="C313" i="1"/>
  <c r="D313" i="1"/>
  <c r="E313" i="1"/>
  <c r="F313" i="1"/>
  <c r="G313" i="1"/>
  <c r="H313" i="1"/>
  <c r="I313" i="1"/>
  <c r="J313" i="1"/>
  <c r="K313" i="1"/>
  <c r="L313" i="1"/>
  <c r="M313" i="1" s="1"/>
  <c r="N313" i="1"/>
  <c r="O313" i="1"/>
  <c r="P313" i="1"/>
  <c r="Q313" i="1"/>
  <c r="R313" i="1"/>
  <c r="S313" i="1" s="1"/>
  <c r="T313" i="1"/>
  <c r="U313" i="1"/>
  <c r="V313" i="1"/>
  <c r="W313" i="1"/>
  <c r="X313" i="1"/>
  <c r="Y313" i="1"/>
  <c r="Z313" i="1"/>
  <c r="AA313" i="1"/>
  <c r="AB313" i="1"/>
  <c r="AD313" i="1"/>
  <c r="AE313" i="1"/>
  <c r="AF313" i="1"/>
  <c r="AG313" i="1"/>
  <c r="AH313" i="1" s="1"/>
  <c r="AI313" i="1"/>
  <c r="AJ313" i="1"/>
  <c r="AL313" i="1"/>
  <c r="AM313" i="1"/>
  <c r="AN313" i="1"/>
  <c r="AO313" i="1"/>
  <c r="AP313" i="1"/>
  <c r="AQ313" i="1"/>
  <c r="AR313" i="1"/>
  <c r="AS313" i="1"/>
  <c r="AT313" i="1"/>
  <c r="AU313" i="1"/>
  <c r="AV313" i="1"/>
  <c r="AW313" i="1"/>
  <c r="AX313" i="1"/>
  <c r="AY313" i="1"/>
  <c r="AZ313" i="1"/>
  <c r="BA313" i="1"/>
  <c r="A314" i="1"/>
  <c r="B314" i="1"/>
  <c r="C314" i="1"/>
  <c r="D314" i="1"/>
  <c r="E314" i="1"/>
  <c r="F314" i="1"/>
  <c r="G314" i="1"/>
  <c r="H314" i="1"/>
  <c r="I314" i="1"/>
  <c r="J314" i="1"/>
  <c r="K314" i="1"/>
  <c r="L314" i="1"/>
  <c r="M314" i="1" s="1"/>
  <c r="N314" i="1"/>
  <c r="O314" i="1"/>
  <c r="P314" i="1"/>
  <c r="Q314" i="1"/>
  <c r="R314" i="1"/>
  <c r="S314" i="1" s="1"/>
  <c r="T314" i="1"/>
  <c r="U314" i="1"/>
  <c r="V314" i="1"/>
  <c r="W314" i="1"/>
  <c r="X314" i="1"/>
  <c r="Y314" i="1"/>
  <c r="Z314" i="1"/>
  <c r="AA314" i="1"/>
  <c r="AB314" i="1"/>
  <c r="AC314" i="1"/>
  <c r="AD314" i="1" s="1"/>
  <c r="AE314" i="1"/>
  <c r="AF314" i="1"/>
  <c r="AG314" i="1"/>
  <c r="AH314" i="1" s="1"/>
  <c r="AI314" i="1"/>
  <c r="AJ314" i="1"/>
  <c r="AL314" i="1"/>
  <c r="AM314" i="1"/>
  <c r="AN314" i="1"/>
  <c r="AO314" i="1"/>
  <c r="AP314" i="1"/>
  <c r="AQ314" i="1"/>
  <c r="AR314" i="1"/>
  <c r="AS314" i="1"/>
  <c r="AT314" i="1"/>
  <c r="AU314" i="1"/>
  <c r="AV314" i="1"/>
  <c r="AW314" i="1"/>
  <c r="AX314" i="1"/>
  <c r="AY314" i="1"/>
  <c r="AZ314" i="1"/>
  <c r="BA314" i="1"/>
  <c r="A315" i="1"/>
  <c r="B315" i="1"/>
  <c r="C315" i="1"/>
  <c r="D315" i="1"/>
  <c r="E315" i="1"/>
  <c r="F315" i="1"/>
  <c r="G315" i="1"/>
  <c r="H315" i="1"/>
  <c r="I315" i="1"/>
  <c r="J315" i="1"/>
  <c r="K315" i="1"/>
  <c r="L315" i="1"/>
  <c r="M315" i="1" s="1"/>
  <c r="N315" i="1"/>
  <c r="O315" i="1"/>
  <c r="P315" i="1"/>
  <c r="Q315" i="1"/>
  <c r="R315" i="1"/>
  <c r="S315" i="1" s="1"/>
  <c r="T315" i="1"/>
  <c r="U315" i="1"/>
  <c r="V315" i="1"/>
  <c r="W315" i="1"/>
  <c r="X315" i="1"/>
  <c r="Y315" i="1"/>
  <c r="Z315" i="1"/>
  <c r="AA315" i="1"/>
  <c r="AB315" i="1"/>
  <c r="AC315" i="1"/>
  <c r="AD315" i="1" s="1"/>
  <c r="AE315" i="1"/>
  <c r="AF315" i="1"/>
  <c r="AG315" i="1"/>
  <c r="AH315" i="1" s="1"/>
  <c r="AI315" i="1"/>
  <c r="AJ315" i="1"/>
  <c r="AL315" i="1"/>
  <c r="AM315" i="1"/>
  <c r="AN315" i="1"/>
  <c r="AO315" i="1"/>
  <c r="AP315" i="1"/>
  <c r="AQ315" i="1"/>
  <c r="AR315" i="1"/>
  <c r="AS315" i="1"/>
  <c r="AT315" i="1"/>
  <c r="AU315" i="1"/>
  <c r="AV315" i="1"/>
  <c r="AW315" i="1"/>
  <c r="AX315" i="1"/>
  <c r="AY315" i="1"/>
  <c r="AZ315" i="1"/>
  <c r="BA315" i="1"/>
  <c r="A316" i="1"/>
  <c r="B316" i="1"/>
  <c r="C316" i="1"/>
  <c r="D316" i="1"/>
  <c r="E316" i="1"/>
  <c r="F316" i="1"/>
  <c r="G316" i="1"/>
  <c r="H316" i="1"/>
  <c r="I316" i="1"/>
  <c r="J316" i="1"/>
  <c r="K316" i="1"/>
  <c r="L316" i="1"/>
  <c r="M316" i="1" s="1"/>
  <c r="N316" i="1"/>
  <c r="O316" i="1"/>
  <c r="P316" i="1"/>
  <c r="Q316" i="1"/>
  <c r="R316" i="1"/>
  <c r="S316" i="1" s="1"/>
  <c r="T316" i="1"/>
  <c r="U316" i="1"/>
  <c r="V316" i="1"/>
  <c r="W316" i="1"/>
  <c r="X316" i="1"/>
  <c r="Y316" i="1"/>
  <c r="Z316" i="1"/>
  <c r="AA316" i="1"/>
  <c r="AB316" i="1"/>
  <c r="AC316" i="1"/>
  <c r="AD316" i="1" s="1"/>
  <c r="AE316" i="1"/>
  <c r="AF316" i="1"/>
  <c r="AG316" i="1"/>
  <c r="AH316" i="1" s="1"/>
  <c r="AI316" i="1"/>
  <c r="AJ316" i="1"/>
  <c r="AL316" i="1"/>
  <c r="AM316" i="1"/>
  <c r="AN316" i="1"/>
  <c r="AO316" i="1"/>
  <c r="AP316" i="1"/>
  <c r="AQ316" i="1"/>
  <c r="AR316" i="1"/>
  <c r="AS316" i="1"/>
  <c r="AT316" i="1"/>
  <c r="AU316" i="1"/>
  <c r="AV316" i="1"/>
  <c r="AW316" i="1"/>
  <c r="AX316" i="1"/>
  <c r="AY316" i="1"/>
  <c r="AZ316" i="1"/>
  <c r="BA316" i="1"/>
  <c r="A317" i="1"/>
  <c r="B317" i="1"/>
  <c r="C317" i="1"/>
  <c r="D317" i="1"/>
  <c r="E317" i="1"/>
  <c r="F317" i="1"/>
  <c r="G317" i="1"/>
  <c r="H317" i="1"/>
  <c r="I317" i="1"/>
  <c r="J317" i="1"/>
  <c r="K317" i="1"/>
  <c r="L317" i="1"/>
  <c r="M317" i="1" s="1"/>
  <c r="N317" i="1"/>
  <c r="O317" i="1"/>
  <c r="P317" i="1"/>
  <c r="Q317" i="1"/>
  <c r="R317" i="1"/>
  <c r="S317" i="1" s="1"/>
  <c r="T317" i="1"/>
  <c r="U317" i="1"/>
  <c r="V317" i="1"/>
  <c r="W317" i="1"/>
  <c r="X317" i="1"/>
  <c r="Y317" i="1"/>
  <c r="Z317" i="1"/>
  <c r="AA317" i="1"/>
  <c r="AB317" i="1"/>
  <c r="AC317" i="1"/>
  <c r="AD317" i="1" s="1"/>
  <c r="AE317" i="1"/>
  <c r="AF317" i="1"/>
  <c r="AG317" i="1"/>
  <c r="AH317" i="1" s="1"/>
  <c r="AI317" i="1"/>
  <c r="AJ317" i="1"/>
  <c r="AL317" i="1"/>
  <c r="AM317" i="1"/>
  <c r="AN317" i="1"/>
  <c r="AO317" i="1"/>
  <c r="AP317" i="1"/>
  <c r="AQ317" i="1"/>
  <c r="AR317" i="1"/>
  <c r="AS317" i="1"/>
  <c r="AT317" i="1"/>
  <c r="AU317" i="1"/>
  <c r="AV317" i="1"/>
  <c r="AW317" i="1"/>
  <c r="AX317" i="1"/>
  <c r="AY317" i="1"/>
  <c r="AZ317" i="1"/>
  <c r="BA317" i="1"/>
  <c r="A318" i="1"/>
  <c r="B318" i="1"/>
  <c r="C318" i="1"/>
  <c r="D318" i="1"/>
  <c r="E318" i="1"/>
  <c r="F318" i="1"/>
  <c r="G318" i="1"/>
  <c r="H318" i="1"/>
  <c r="I318" i="1"/>
  <c r="J318" i="1"/>
  <c r="K318" i="1"/>
  <c r="L318" i="1"/>
  <c r="M318" i="1" s="1"/>
  <c r="N318" i="1"/>
  <c r="O318" i="1"/>
  <c r="P318" i="1"/>
  <c r="Q318" i="1"/>
  <c r="R318" i="1"/>
  <c r="S318" i="1" s="1"/>
  <c r="T318" i="1"/>
  <c r="U318" i="1"/>
  <c r="V318" i="1"/>
  <c r="W318" i="1"/>
  <c r="X318" i="1"/>
  <c r="Y318" i="1"/>
  <c r="Z318" i="1"/>
  <c r="AA318" i="1"/>
  <c r="AB318" i="1"/>
  <c r="AC318" i="1"/>
  <c r="AD318" i="1" s="1"/>
  <c r="AE318" i="1"/>
  <c r="AF318" i="1"/>
  <c r="AG318" i="1"/>
  <c r="AH318" i="1" s="1"/>
  <c r="AI318" i="1"/>
  <c r="AJ318" i="1"/>
  <c r="AL318" i="1"/>
  <c r="AM318" i="1"/>
  <c r="AN318" i="1"/>
  <c r="AO318" i="1"/>
  <c r="AP318" i="1"/>
  <c r="AQ318" i="1"/>
  <c r="AR318" i="1"/>
  <c r="AS318" i="1"/>
  <c r="AT318" i="1"/>
  <c r="AU318" i="1"/>
  <c r="AV318" i="1"/>
  <c r="AW318" i="1"/>
  <c r="AX318" i="1"/>
  <c r="AY318" i="1"/>
  <c r="AZ318" i="1"/>
  <c r="BA318" i="1"/>
  <c r="A319" i="1"/>
  <c r="B319" i="1"/>
  <c r="C319" i="1"/>
  <c r="D319" i="1"/>
  <c r="E319" i="1"/>
  <c r="F319" i="1"/>
  <c r="G319" i="1"/>
  <c r="H319" i="1"/>
  <c r="I319" i="1"/>
  <c r="J319" i="1"/>
  <c r="K319" i="1"/>
  <c r="L319" i="1"/>
  <c r="M319" i="1" s="1"/>
  <c r="N319" i="1"/>
  <c r="O319" i="1"/>
  <c r="P319" i="1"/>
  <c r="Q319" i="1"/>
  <c r="R319" i="1"/>
  <c r="S319" i="1" s="1"/>
  <c r="T319" i="1"/>
  <c r="U319" i="1"/>
  <c r="V319" i="1"/>
  <c r="W319" i="1"/>
  <c r="X319" i="1"/>
  <c r="Y319" i="1"/>
  <c r="Z319" i="1"/>
  <c r="AA319" i="1"/>
  <c r="AB319" i="1"/>
  <c r="AC319" i="1"/>
  <c r="AD319" i="1" s="1"/>
  <c r="AE319" i="1"/>
  <c r="AF319" i="1"/>
  <c r="AG319" i="1"/>
  <c r="AH319" i="1" s="1"/>
  <c r="AI319" i="1"/>
  <c r="AJ319" i="1"/>
  <c r="AL319" i="1"/>
  <c r="AM319" i="1"/>
  <c r="AN319" i="1"/>
  <c r="AO319" i="1"/>
  <c r="AP319" i="1"/>
  <c r="AQ319" i="1"/>
  <c r="AR319" i="1"/>
  <c r="AS319" i="1"/>
  <c r="AT319" i="1"/>
  <c r="AU319" i="1"/>
  <c r="AV319" i="1"/>
  <c r="AW319" i="1"/>
  <c r="AX319" i="1"/>
  <c r="AY319" i="1"/>
  <c r="AZ319" i="1"/>
  <c r="BA319" i="1"/>
  <c r="A320" i="1"/>
  <c r="B320" i="1"/>
  <c r="C320" i="1"/>
  <c r="D320" i="1"/>
  <c r="E320" i="1"/>
  <c r="F320" i="1"/>
  <c r="G320" i="1"/>
  <c r="H320" i="1"/>
  <c r="I320" i="1"/>
  <c r="J320" i="1"/>
  <c r="K320" i="1"/>
  <c r="M320" i="1"/>
  <c r="N320" i="1"/>
  <c r="O320" i="1"/>
  <c r="P320" i="1"/>
  <c r="Q320" i="1"/>
  <c r="R320" i="1"/>
  <c r="S320" i="1" s="1"/>
  <c r="T320" i="1"/>
  <c r="U320" i="1"/>
  <c r="V320" i="1"/>
  <c r="W320" i="1"/>
  <c r="X320" i="1"/>
  <c r="Y320" i="1"/>
  <c r="Z320" i="1"/>
  <c r="AA320" i="1"/>
  <c r="AB320" i="1"/>
  <c r="AC320" i="1"/>
  <c r="AD320" i="1" s="1"/>
  <c r="AE320" i="1"/>
  <c r="AF320" i="1"/>
  <c r="AI320" i="1"/>
  <c r="AJ320" i="1"/>
  <c r="AL320" i="1"/>
  <c r="AM320" i="1"/>
  <c r="AN320" i="1"/>
  <c r="AO320" i="1"/>
  <c r="AP320" i="1"/>
  <c r="AQ320" i="1"/>
  <c r="AR320" i="1"/>
  <c r="AS320" i="1"/>
  <c r="AT320" i="1"/>
  <c r="AU320" i="1"/>
  <c r="AV320" i="1"/>
  <c r="AW320" i="1"/>
  <c r="AX320" i="1"/>
  <c r="AY320" i="1"/>
  <c r="AZ320" i="1"/>
  <c r="BA320" i="1"/>
  <c r="A321" i="1"/>
  <c r="B321" i="1"/>
  <c r="C321" i="1"/>
  <c r="D321" i="1"/>
  <c r="E321" i="1"/>
  <c r="F321" i="1"/>
  <c r="G321" i="1"/>
  <c r="H321" i="1"/>
  <c r="I321" i="1"/>
  <c r="J321" i="1"/>
  <c r="K321" i="1"/>
  <c r="L321" i="1"/>
  <c r="M321" i="1" s="1"/>
  <c r="N321" i="1"/>
  <c r="O321" i="1"/>
  <c r="P321" i="1"/>
  <c r="Q321" i="1"/>
  <c r="R321" i="1"/>
  <c r="S321" i="1" s="1"/>
  <c r="T321" i="1"/>
  <c r="U321" i="1"/>
  <c r="V321" i="1"/>
  <c r="W321" i="1"/>
  <c r="X321" i="1"/>
  <c r="Y321" i="1"/>
  <c r="Z321" i="1"/>
  <c r="AA321" i="1"/>
  <c r="AB321" i="1"/>
  <c r="AC321" i="1"/>
  <c r="AD321" i="1" s="1"/>
  <c r="AE321" i="1"/>
  <c r="AF321" i="1"/>
  <c r="AG321" i="1"/>
  <c r="AH321" i="1" s="1"/>
  <c r="AI321" i="1"/>
  <c r="AJ321" i="1"/>
  <c r="AL321" i="1"/>
  <c r="AM321" i="1"/>
  <c r="AN321" i="1"/>
  <c r="AO321" i="1"/>
  <c r="AP321" i="1"/>
  <c r="AQ321" i="1"/>
  <c r="AR321" i="1"/>
  <c r="AS321" i="1"/>
  <c r="AT321" i="1"/>
  <c r="AU321" i="1"/>
  <c r="AV321" i="1"/>
  <c r="AW321" i="1"/>
  <c r="AX321" i="1"/>
  <c r="AY321" i="1"/>
  <c r="AZ321" i="1"/>
  <c r="BA321" i="1"/>
  <c r="A322" i="1"/>
  <c r="B322" i="1"/>
  <c r="C322" i="1"/>
  <c r="D322" i="1"/>
  <c r="E322" i="1"/>
  <c r="F322" i="1"/>
  <c r="G322" i="1"/>
  <c r="H322" i="1"/>
  <c r="I322" i="1"/>
  <c r="J322" i="1"/>
  <c r="K322" i="1"/>
  <c r="L322" i="1"/>
  <c r="M322" i="1" s="1"/>
  <c r="N322" i="1"/>
  <c r="O322" i="1"/>
  <c r="P322" i="1"/>
  <c r="Q322" i="1"/>
  <c r="R322" i="1"/>
  <c r="S322" i="1" s="1"/>
  <c r="T322" i="1"/>
  <c r="U322" i="1"/>
  <c r="V322" i="1"/>
  <c r="W322" i="1"/>
  <c r="X322" i="1"/>
  <c r="Y322" i="1"/>
  <c r="Z322" i="1"/>
  <c r="AA322" i="1"/>
  <c r="AB322" i="1"/>
  <c r="AC322" i="1"/>
  <c r="AD322" i="1" s="1"/>
  <c r="AE322" i="1"/>
  <c r="AF322" i="1"/>
  <c r="AG322" i="1"/>
  <c r="AH322" i="1" s="1"/>
  <c r="AI322" i="1"/>
  <c r="AJ322" i="1"/>
  <c r="AL322" i="1"/>
  <c r="AM322" i="1"/>
  <c r="AN322" i="1"/>
  <c r="AO322" i="1"/>
  <c r="AP322" i="1"/>
  <c r="AQ322" i="1"/>
  <c r="AR322" i="1"/>
  <c r="AS322" i="1"/>
  <c r="AT322" i="1"/>
  <c r="AU322" i="1"/>
  <c r="AV322" i="1"/>
  <c r="AW322" i="1"/>
  <c r="AX322" i="1"/>
  <c r="AY322" i="1"/>
  <c r="AZ322" i="1"/>
  <c r="BA322" i="1"/>
  <c r="A323" i="1"/>
  <c r="B323" i="1"/>
  <c r="C323" i="1"/>
  <c r="D323" i="1"/>
  <c r="E323" i="1"/>
  <c r="F323" i="1"/>
  <c r="G323" i="1"/>
  <c r="H323" i="1"/>
  <c r="I323" i="1"/>
  <c r="J323" i="1"/>
  <c r="K323" i="1"/>
  <c r="L323" i="1"/>
  <c r="M323" i="1" s="1"/>
  <c r="N323" i="1"/>
  <c r="O323" i="1"/>
  <c r="P323" i="1"/>
  <c r="Q323" i="1"/>
  <c r="R323" i="1"/>
  <c r="S323" i="1" s="1"/>
  <c r="T323" i="1"/>
  <c r="U323" i="1"/>
  <c r="V323" i="1"/>
  <c r="W323" i="1"/>
  <c r="X323" i="1"/>
  <c r="Y323" i="1"/>
  <c r="Z323" i="1"/>
  <c r="AA323" i="1"/>
  <c r="AB323" i="1"/>
  <c r="AC323" i="1"/>
  <c r="AD323" i="1" s="1"/>
  <c r="AE323" i="1"/>
  <c r="AF323" i="1"/>
  <c r="AG323" i="1"/>
  <c r="AH323" i="1" s="1"/>
  <c r="AI323" i="1"/>
  <c r="AJ323" i="1"/>
  <c r="AL323" i="1"/>
  <c r="AM323" i="1"/>
  <c r="AN323" i="1"/>
  <c r="AO323" i="1"/>
  <c r="AP323" i="1"/>
  <c r="AQ323" i="1"/>
  <c r="AR323" i="1"/>
  <c r="AS323" i="1"/>
  <c r="AT323" i="1"/>
  <c r="AU323" i="1"/>
  <c r="AV323" i="1"/>
  <c r="AW323" i="1"/>
  <c r="AX323" i="1"/>
  <c r="AY323" i="1"/>
  <c r="AZ323" i="1"/>
  <c r="BA323" i="1"/>
  <c r="A324" i="1"/>
  <c r="B324" i="1"/>
  <c r="C324" i="1"/>
  <c r="D324" i="1"/>
  <c r="E324" i="1"/>
  <c r="F324" i="1"/>
  <c r="G324" i="1"/>
  <c r="H324" i="1"/>
  <c r="I324" i="1"/>
  <c r="J324" i="1"/>
  <c r="K324" i="1"/>
  <c r="L324" i="1"/>
  <c r="M324" i="1" s="1"/>
  <c r="N324" i="1"/>
  <c r="O324" i="1"/>
  <c r="P324" i="1"/>
  <c r="Q324" i="1"/>
  <c r="R324" i="1"/>
  <c r="S324" i="1" s="1"/>
  <c r="T324" i="1"/>
  <c r="U324" i="1"/>
  <c r="V324" i="1"/>
  <c r="W324" i="1"/>
  <c r="X324" i="1"/>
  <c r="Y324" i="1"/>
  <c r="Z324" i="1"/>
  <c r="AA324" i="1"/>
  <c r="AB324" i="1"/>
  <c r="AC324" i="1"/>
  <c r="AD324" i="1" s="1"/>
  <c r="AE324" i="1"/>
  <c r="AF324" i="1"/>
  <c r="AG324" i="1"/>
  <c r="AH324" i="1" s="1"/>
  <c r="AI324" i="1"/>
  <c r="AJ324" i="1"/>
  <c r="AL324" i="1"/>
  <c r="AM324" i="1"/>
  <c r="AN324" i="1"/>
  <c r="AO324" i="1"/>
  <c r="AP324" i="1"/>
  <c r="AQ324" i="1"/>
  <c r="AR324" i="1"/>
  <c r="AS324" i="1"/>
  <c r="AT324" i="1"/>
  <c r="AU324" i="1"/>
  <c r="AV324" i="1"/>
  <c r="AW324" i="1"/>
  <c r="AX324" i="1"/>
  <c r="AY324" i="1"/>
  <c r="AZ324" i="1"/>
  <c r="BA324" i="1"/>
  <c r="A325" i="1"/>
  <c r="B325" i="1"/>
  <c r="C325" i="1"/>
  <c r="D325" i="1"/>
  <c r="E325" i="1"/>
  <c r="F325" i="1"/>
  <c r="G325" i="1"/>
  <c r="H325" i="1"/>
  <c r="I325" i="1"/>
  <c r="J325" i="1"/>
  <c r="K325" i="1"/>
  <c r="L325" i="1"/>
  <c r="M325" i="1" s="1"/>
  <c r="N325" i="1"/>
  <c r="O325" i="1"/>
  <c r="P325" i="1"/>
  <c r="Q325" i="1"/>
  <c r="R325" i="1"/>
  <c r="S325" i="1" s="1"/>
  <c r="T325" i="1"/>
  <c r="U325" i="1"/>
  <c r="V325" i="1"/>
  <c r="W325" i="1"/>
  <c r="X325" i="1"/>
  <c r="Y325" i="1"/>
  <c r="Z325" i="1"/>
  <c r="AA325" i="1"/>
  <c r="AB325" i="1"/>
  <c r="AC325" i="1"/>
  <c r="AD325" i="1" s="1"/>
  <c r="AE325" i="1"/>
  <c r="AF325" i="1"/>
  <c r="AG325" i="1"/>
  <c r="AH325" i="1" s="1"/>
  <c r="AI325" i="1"/>
  <c r="AJ325" i="1"/>
  <c r="AL325" i="1"/>
  <c r="AM325" i="1"/>
  <c r="AN325" i="1"/>
  <c r="AO325" i="1"/>
  <c r="AP325" i="1"/>
  <c r="AQ325" i="1"/>
  <c r="AR325" i="1"/>
  <c r="AS325" i="1"/>
  <c r="AT325" i="1"/>
  <c r="AU325" i="1"/>
  <c r="AV325" i="1"/>
  <c r="AW325" i="1"/>
  <c r="AX325" i="1"/>
  <c r="AY325" i="1"/>
  <c r="AZ325" i="1"/>
  <c r="BA325" i="1"/>
  <c r="A326" i="1"/>
  <c r="B326" i="1"/>
  <c r="C326" i="1"/>
  <c r="D326" i="1"/>
  <c r="E326" i="1"/>
  <c r="F326" i="1"/>
  <c r="G326" i="1"/>
  <c r="H326" i="1"/>
  <c r="I326" i="1"/>
  <c r="J326" i="1"/>
  <c r="K326" i="1"/>
  <c r="L326" i="1"/>
  <c r="M326" i="1" s="1"/>
  <c r="N326" i="1"/>
  <c r="O326" i="1"/>
  <c r="P326" i="1"/>
  <c r="Q326" i="1"/>
  <c r="R326" i="1"/>
  <c r="S326" i="1" s="1"/>
  <c r="T326" i="1"/>
  <c r="U326" i="1"/>
  <c r="V326" i="1"/>
  <c r="W326" i="1"/>
  <c r="X326" i="1"/>
  <c r="Y326" i="1"/>
  <c r="Z326" i="1"/>
  <c r="AA326" i="1"/>
  <c r="AB326" i="1"/>
  <c r="AC326" i="1"/>
  <c r="AD326" i="1" s="1"/>
  <c r="AE326" i="1"/>
  <c r="AF326" i="1"/>
  <c r="AG326" i="1"/>
  <c r="AH326" i="1" s="1"/>
  <c r="AI326" i="1"/>
  <c r="AJ326" i="1"/>
  <c r="AL326" i="1"/>
  <c r="AM326" i="1"/>
  <c r="AN326" i="1"/>
  <c r="AO326" i="1"/>
  <c r="AP326" i="1"/>
  <c r="AQ326" i="1"/>
  <c r="AR326" i="1"/>
  <c r="AS326" i="1"/>
  <c r="AT326" i="1"/>
  <c r="AU326" i="1"/>
  <c r="AV326" i="1"/>
  <c r="AW326" i="1"/>
  <c r="AX326" i="1"/>
  <c r="AY326" i="1"/>
  <c r="AZ326" i="1"/>
  <c r="BA326" i="1"/>
  <c r="A327" i="1"/>
  <c r="B327" i="1"/>
  <c r="C327" i="1"/>
  <c r="D327" i="1"/>
  <c r="E327" i="1"/>
  <c r="F327" i="1"/>
  <c r="G327" i="1"/>
  <c r="H327" i="1"/>
  <c r="I327" i="1"/>
  <c r="J327" i="1"/>
  <c r="K327" i="1"/>
  <c r="L327" i="1"/>
  <c r="M327" i="1" s="1"/>
  <c r="N327" i="1"/>
  <c r="O327" i="1"/>
  <c r="P327" i="1"/>
  <c r="Q327" i="1"/>
  <c r="S327" i="1"/>
  <c r="T327" i="1"/>
  <c r="U327" i="1"/>
  <c r="V327" i="1"/>
  <c r="W327" i="1"/>
  <c r="X327" i="1"/>
  <c r="Y327" i="1"/>
  <c r="Z327" i="1"/>
  <c r="AA327" i="1"/>
  <c r="AB327" i="1"/>
  <c r="AD327" i="1"/>
  <c r="AE327" i="1"/>
  <c r="AF327" i="1"/>
  <c r="AG327" i="1"/>
  <c r="AH327" i="1" s="1"/>
  <c r="AI327" i="1"/>
  <c r="AJ327" i="1"/>
  <c r="AL327" i="1"/>
  <c r="AM327" i="1"/>
  <c r="AN327" i="1"/>
  <c r="AO327" i="1"/>
  <c r="AP327" i="1"/>
  <c r="AQ327" i="1"/>
  <c r="AR327" i="1"/>
  <c r="AS327" i="1"/>
  <c r="AT327" i="1"/>
  <c r="AU327" i="1"/>
  <c r="AV327" i="1"/>
  <c r="AW327" i="1"/>
  <c r="AX327" i="1"/>
  <c r="AY327" i="1"/>
  <c r="AZ327" i="1"/>
  <c r="BA327" i="1"/>
  <c r="A328" i="1"/>
  <c r="B328" i="1"/>
  <c r="C328" i="1"/>
  <c r="D328" i="1"/>
  <c r="E328" i="1"/>
  <c r="F328" i="1"/>
  <c r="G328" i="1"/>
  <c r="H328" i="1"/>
  <c r="I328" i="1"/>
  <c r="J328" i="1"/>
  <c r="K328" i="1"/>
  <c r="L328" i="1"/>
  <c r="M328" i="1" s="1"/>
  <c r="N328" i="1"/>
  <c r="O328" i="1"/>
  <c r="P328" i="1"/>
  <c r="Q328" i="1"/>
  <c r="R328" i="1"/>
  <c r="S328" i="1" s="1"/>
  <c r="T328" i="1"/>
  <c r="U328" i="1"/>
  <c r="V328" i="1"/>
  <c r="W328" i="1"/>
  <c r="X328" i="1"/>
  <c r="Y328" i="1"/>
  <c r="Z328" i="1"/>
  <c r="AA328" i="1"/>
  <c r="AB328" i="1"/>
  <c r="AC328" i="1"/>
  <c r="AD328" i="1" s="1"/>
  <c r="AE328" i="1"/>
  <c r="AF328" i="1"/>
  <c r="AG328" i="1"/>
  <c r="AH328" i="1" s="1"/>
  <c r="AI328" i="1"/>
  <c r="AL328" i="1"/>
  <c r="AM328" i="1"/>
  <c r="AN328" i="1"/>
  <c r="AO328" i="1"/>
  <c r="AP328" i="1"/>
  <c r="AQ328" i="1"/>
  <c r="AR328" i="1"/>
  <c r="AS328" i="1"/>
  <c r="AT328" i="1"/>
  <c r="AU328" i="1"/>
  <c r="AV328" i="1"/>
  <c r="AW328" i="1"/>
  <c r="AX328" i="1"/>
  <c r="AY328" i="1"/>
  <c r="AZ328" i="1"/>
  <c r="BA328" i="1"/>
  <c r="A329" i="1"/>
  <c r="B329" i="1"/>
  <c r="C329" i="1"/>
  <c r="D329" i="1"/>
  <c r="E329" i="1"/>
  <c r="F329" i="1"/>
  <c r="G329" i="1"/>
  <c r="H329" i="1"/>
  <c r="I329" i="1"/>
  <c r="J329" i="1"/>
  <c r="K329" i="1"/>
  <c r="L329" i="1"/>
  <c r="M329" i="1" s="1"/>
  <c r="N329" i="1"/>
  <c r="O329" i="1"/>
  <c r="P329" i="1"/>
  <c r="Q329" i="1"/>
  <c r="R329" i="1"/>
  <c r="S329" i="1" s="1"/>
  <c r="T329" i="1"/>
  <c r="U329" i="1"/>
  <c r="V329" i="1"/>
  <c r="W329" i="1"/>
  <c r="X329" i="1"/>
  <c r="Y329" i="1"/>
  <c r="Z329" i="1"/>
  <c r="AA329" i="1"/>
  <c r="AB329" i="1"/>
  <c r="AC329" i="1"/>
  <c r="AD329" i="1" s="1"/>
  <c r="AE329" i="1"/>
  <c r="AF329" i="1"/>
  <c r="AG329" i="1"/>
  <c r="AH329" i="1" s="1"/>
  <c r="AI329" i="1"/>
  <c r="AJ329" i="1"/>
  <c r="AL329" i="1"/>
  <c r="AM329" i="1"/>
  <c r="AN329" i="1"/>
  <c r="AO329" i="1"/>
  <c r="AP329" i="1"/>
  <c r="AQ329" i="1"/>
  <c r="AR329" i="1"/>
  <c r="AS329" i="1"/>
  <c r="AT329" i="1"/>
  <c r="AU329" i="1"/>
  <c r="AV329" i="1"/>
  <c r="AW329" i="1"/>
  <c r="AX329" i="1"/>
  <c r="AY329" i="1"/>
  <c r="AZ329" i="1"/>
  <c r="BA329" i="1"/>
  <c r="A330" i="1"/>
  <c r="B330" i="1"/>
  <c r="C330" i="1"/>
  <c r="D330" i="1"/>
  <c r="E330" i="1"/>
  <c r="F330" i="1"/>
  <c r="G330" i="1"/>
  <c r="H330" i="1"/>
  <c r="I330" i="1"/>
  <c r="J330" i="1"/>
  <c r="K330" i="1"/>
  <c r="L330" i="1"/>
  <c r="M330" i="1" s="1"/>
  <c r="N330" i="1"/>
  <c r="O330" i="1"/>
  <c r="P330" i="1"/>
  <c r="Q330" i="1"/>
  <c r="R330" i="1"/>
  <c r="S330" i="1" s="1"/>
  <c r="T330" i="1"/>
  <c r="U330" i="1"/>
  <c r="V330" i="1"/>
  <c r="W330" i="1"/>
  <c r="X330" i="1"/>
  <c r="Y330" i="1"/>
  <c r="Z330" i="1"/>
  <c r="AA330" i="1"/>
  <c r="AB330" i="1"/>
  <c r="AC330" i="1"/>
  <c r="AD330" i="1" s="1"/>
  <c r="AE330" i="1"/>
  <c r="AF330" i="1"/>
  <c r="AG330" i="1"/>
  <c r="AH330" i="1" s="1"/>
  <c r="AI330" i="1"/>
  <c r="AJ330" i="1"/>
  <c r="AL330" i="1"/>
  <c r="AM330" i="1"/>
  <c r="AN330" i="1"/>
  <c r="AO330" i="1"/>
  <c r="AP330" i="1"/>
  <c r="AQ330" i="1"/>
  <c r="AR330" i="1"/>
  <c r="AS330" i="1"/>
  <c r="AT330" i="1"/>
  <c r="AU330" i="1"/>
  <c r="AV330" i="1"/>
  <c r="AW330" i="1"/>
  <c r="AX330" i="1"/>
  <c r="AY330" i="1"/>
  <c r="AZ330" i="1"/>
  <c r="BA330" i="1"/>
  <c r="A331" i="1"/>
  <c r="B331" i="1"/>
  <c r="C331" i="1"/>
  <c r="D331" i="1"/>
  <c r="E331" i="1"/>
  <c r="F331" i="1"/>
  <c r="G331" i="1"/>
  <c r="H331" i="1"/>
  <c r="I331" i="1"/>
  <c r="J331" i="1"/>
  <c r="K331" i="1"/>
  <c r="L331" i="1"/>
  <c r="M331" i="1" s="1"/>
  <c r="N331" i="1"/>
  <c r="O331" i="1"/>
  <c r="P331" i="1"/>
  <c r="Q331" i="1"/>
  <c r="R331" i="1"/>
  <c r="S331" i="1" s="1"/>
  <c r="T331" i="1"/>
  <c r="U331" i="1"/>
  <c r="V331" i="1"/>
  <c r="W331" i="1"/>
  <c r="X331" i="1"/>
  <c r="Y331" i="1"/>
  <c r="Z331" i="1"/>
  <c r="AA331" i="1"/>
  <c r="AB331" i="1"/>
  <c r="AC331" i="1"/>
  <c r="AD331" i="1" s="1"/>
  <c r="AE331" i="1"/>
  <c r="AF331" i="1"/>
  <c r="AG331" i="1"/>
  <c r="AH331" i="1" s="1"/>
  <c r="AI331" i="1"/>
  <c r="AJ331" i="1"/>
  <c r="AL331" i="1"/>
  <c r="AM331" i="1"/>
  <c r="AN331" i="1"/>
  <c r="AO331" i="1"/>
  <c r="AP331" i="1"/>
  <c r="AQ331" i="1"/>
  <c r="AR331" i="1"/>
  <c r="AS331" i="1"/>
  <c r="AT331" i="1"/>
  <c r="AU331" i="1"/>
  <c r="AV331" i="1"/>
  <c r="AW331" i="1"/>
  <c r="AX331" i="1"/>
  <c r="AY331" i="1"/>
  <c r="AZ331" i="1"/>
  <c r="BA331" i="1"/>
  <c r="A332" i="1"/>
  <c r="B332" i="1"/>
  <c r="C332" i="1"/>
  <c r="D332" i="1"/>
  <c r="E332" i="1"/>
  <c r="F332" i="1"/>
  <c r="G332" i="1"/>
  <c r="H332" i="1"/>
  <c r="I332" i="1"/>
  <c r="J332" i="1"/>
  <c r="K332" i="1"/>
  <c r="L332" i="1"/>
  <c r="M332" i="1" s="1"/>
  <c r="N332" i="1"/>
  <c r="O332" i="1"/>
  <c r="P332" i="1"/>
  <c r="Q332" i="1"/>
  <c r="R332" i="1"/>
  <c r="S332" i="1" s="1"/>
  <c r="T332" i="1"/>
  <c r="U332" i="1"/>
  <c r="V332" i="1"/>
  <c r="W332" i="1"/>
  <c r="X332" i="1"/>
  <c r="Y332" i="1"/>
  <c r="Z332" i="1"/>
  <c r="AA332" i="1"/>
  <c r="AB332" i="1"/>
  <c r="AC332" i="1"/>
  <c r="AD332" i="1" s="1"/>
  <c r="AE332" i="1"/>
  <c r="AF332" i="1"/>
  <c r="AG332" i="1"/>
  <c r="AH332" i="1" s="1"/>
  <c r="AI332" i="1"/>
  <c r="AJ332" i="1"/>
  <c r="AL332" i="1"/>
  <c r="AM332" i="1"/>
  <c r="AN332" i="1"/>
  <c r="AO332" i="1"/>
  <c r="AP332" i="1"/>
  <c r="AQ332" i="1"/>
  <c r="AR332" i="1"/>
  <c r="AS332" i="1"/>
  <c r="AT332" i="1"/>
  <c r="AU332" i="1"/>
  <c r="AV332" i="1"/>
  <c r="AW332" i="1"/>
  <c r="AX332" i="1"/>
  <c r="AY332" i="1"/>
  <c r="AZ332" i="1"/>
  <c r="BA332" i="1"/>
  <c r="A333" i="1"/>
  <c r="B333" i="1"/>
  <c r="C333" i="1"/>
  <c r="D333" i="1"/>
  <c r="E333" i="1"/>
  <c r="F333" i="1"/>
  <c r="G333" i="1"/>
  <c r="H333" i="1"/>
  <c r="I333" i="1"/>
  <c r="J333" i="1"/>
  <c r="K333" i="1"/>
  <c r="M333" i="1"/>
  <c r="N333" i="1"/>
  <c r="O333" i="1"/>
  <c r="P333" i="1"/>
  <c r="Q333" i="1"/>
  <c r="S333" i="1"/>
  <c r="T333" i="1"/>
  <c r="U333" i="1"/>
  <c r="V333" i="1"/>
  <c r="W333" i="1"/>
  <c r="X333" i="1"/>
  <c r="Y333" i="1"/>
  <c r="Z333" i="1"/>
  <c r="AA333" i="1"/>
  <c r="AB333" i="1"/>
  <c r="AD333" i="1"/>
  <c r="AE333" i="1"/>
  <c r="AF333" i="1"/>
  <c r="AI333" i="1"/>
  <c r="AJ333" i="1"/>
  <c r="AL333" i="1"/>
  <c r="AM333" i="1"/>
  <c r="AN333" i="1"/>
  <c r="AO333" i="1"/>
  <c r="AP333" i="1"/>
  <c r="AQ333" i="1"/>
  <c r="AR333" i="1"/>
  <c r="AS333" i="1"/>
  <c r="AT333" i="1"/>
  <c r="AU333" i="1"/>
  <c r="AV333" i="1"/>
  <c r="AW333" i="1"/>
  <c r="AX333" i="1"/>
  <c r="AY333" i="1"/>
  <c r="AZ333" i="1"/>
  <c r="BA333" i="1"/>
  <c r="A334" i="1"/>
  <c r="B334" i="1"/>
  <c r="C334" i="1"/>
  <c r="D334" i="1"/>
  <c r="E334" i="1"/>
  <c r="F334" i="1"/>
  <c r="G334" i="1"/>
  <c r="H334" i="1"/>
  <c r="I334" i="1"/>
  <c r="J334" i="1"/>
  <c r="K334" i="1"/>
  <c r="L334" i="1"/>
  <c r="M334" i="1" s="1"/>
  <c r="N334" i="1"/>
  <c r="O334" i="1"/>
  <c r="P334" i="1"/>
  <c r="Q334" i="1"/>
  <c r="R334" i="1"/>
  <c r="S334" i="1" s="1"/>
  <c r="T334" i="1"/>
  <c r="U334" i="1"/>
  <c r="V334" i="1"/>
  <c r="W334" i="1"/>
  <c r="X334" i="1"/>
  <c r="Y334" i="1"/>
  <c r="Z334" i="1"/>
  <c r="AA334" i="1"/>
  <c r="AB334" i="1"/>
  <c r="AC334" i="1"/>
  <c r="AD334" i="1" s="1"/>
  <c r="AE334" i="1"/>
  <c r="AF334" i="1"/>
  <c r="AG334" i="1"/>
  <c r="AH334" i="1" s="1"/>
  <c r="AI334" i="1"/>
  <c r="AJ334" i="1"/>
  <c r="AL334" i="1"/>
  <c r="AM334" i="1"/>
  <c r="AN334" i="1"/>
  <c r="AO334" i="1"/>
  <c r="AP334" i="1"/>
  <c r="AQ334" i="1"/>
  <c r="AR334" i="1"/>
  <c r="AS334" i="1"/>
  <c r="AT334" i="1"/>
  <c r="AU334" i="1"/>
  <c r="AV334" i="1"/>
  <c r="AW334" i="1"/>
  <c r="AX334" i="1"/>
  <c r="AY334" i="1"/>
  <c r="AZ334" i="1"/>
  <c r="BA334" i="1"/>
  <c r="A335" i="1"/>
  <c r="B335" i="1"/>
  <c r="C335" i="1"/>
  <c r="D335" i="1"/>
  <c r="E335" i="1"/>
  <c r="F335" i="1"/>
  <c r="G335" i="1"/>
  <c r="H335" i="1"/>
  <c r="I335" i="1"/>
  <c r="J335" i="1"/>
  <c r="K335" i="1"/>
  <c r="M335" i="1"/>
  <c r="N335" i="1"/>
  <c r="O335" i="1"/>
  <c r="P335" i="1"/>
  <c r="Q335" i="1"/>
  <c r="S335" i="1"/>
  <c r="T335" i="1"/>
  <c r="U335" i="1"/>
  <c r="V335" i="1"/>
  <c r="W335" i="1"/>
  <c r="X335" i="1"/>
  <c r="Y335" i="1"/>
  <c r="Z335" i="1"/>
  <c r="AA335" i="1"/>
  <c r="AB335" i="1"/>
  <c r="AD335" i="1"/>
  <c r="AE335" i="1"/>
  <c r="AF335" i="1"/>
  <c r="AI335" i="1"/>
  <c r="AL335" i="1"/>
  <c r="AM335" i="1"/>
  <c r="AN335" i="1"/>
  <c r="AO335" i="1"/>
  <c r="AP335" i="1"/>
  <c r="AQ335" i="1"/>
  <c r="AR335" i="1"/>
  <c r="AS335" i="1"/>
  <c r="AT335" i="1"/>
  <c r="AU335" i="1"/>
  <c r="AV335" i="1"/>
  <c r="AW335" i="1"/>
  <c r="AX335" i="1"/>
  <c r="AY335" i="1"/>
  <c r="AZ335" i="1"/>
  <c r="BA335" i="1"/>
  <c r="A336" i="1"/>
  <c r="B336" i="1"/>
  <c r="C336" i="1"/>
  <c r="D336" i="1"/>
  <c r="E336" i="1"/>
  <c r="F336" i="1"/>
  <c r="G336" i="1"/>
  <c r="H336" i="1"/>
  <c r="I336" i="1"/>
  <c r="J336" i="1"/>
  <c r="K336" i="1"/>
  <c r="L336" i="1"/>
  <c r="M336" i="1" s="1"/>
  <c r="N336" i="1"/>
  <c r="O336" i="1"/>
  <c r="P336" i="1"/>
  <c r="Q336" i="1"/>
  <c r="R336" i="1"/>
  <c r="S336" i="1" s="1"/>
  <c r="T336" i="1"/>
  <c r="U336" i="1"/>
  <c r="V336" i="1"/>
  <c r="W336" i="1"/>
  <c r="X336" i="1"/>
  <c r="Y336" i="1"/>
  <c r="Z336" i="1"/>
  <c r="AA336" i="1"/>
  <c r="AB336" i="1"/>
  <c r="AC336" i="1"/>
  <c r="AD336" i="1" s="1"/>
  <c r="AE336" i="1"/>
  <c r="AF336" i="1"/>
  <c r="AG336" i="1"/>
  <c r="AH336" i="1" s="1"/>
  <c r="AI336" i="1"/>
  <c r="AJ336" i="1"/>
  <c r="AL336" i="1"/>
  <c r="AM336" i="1"/>
  <c r="AN336" i="1"/>
  <c r="AO336" i="1"/>
  <c r="AP336" i="1"/>
  <c r="AQ336" i="1"/>
  <c r="AR336" i="1"/>
  <c r="AS336" i="1"/>
  <c r="AT336" i="1"/>
  <c r="AU336" i="1"/>
  <c r="AV336" i="1"/>
  <c r="AW336" i="1"/>
  <c r="AX336" i="1"/>
  <c r="AY336" i="1"/>
  <c r="AZ336" i="1"/>
  <c r="BA336" i="1"/>
  <c r="A337" i="1"/>
  <c r="B337" i="1"/>
  <c r="C337" i="1"/>
  <c r="D337" i="1"/>
  <c r="E337" i="1"/>
  <c r="F337" i="1"/>
  <c r="G337" i="1"/>
  <c r="H337" i="1"/>
  <c r="I337" i="1"/>
  <c r="J337" i="1"/>
  <c r="K337" i="1"/>
  <c r="L337" i="1"/>
  <c r="M337" i="1" s="1"/>
  <c r="N337" i="1"/>
  <c r="O337" i="1"/>
  <c r="P337" i="1"/>
  <c r="Q337" i="1"/>
  <c r="S337" i="1"/>
  <c r="T337" i="1"/>
  <c r="U337" i="1"/>
  <c r="V337" i="1"/>
  <c r="W337" i="1"/>
  <c r="X337" i="1"/>
  <c r="Y337" i="1"/>
  <c r="Z337" i="1"/>
  <c r="AA337" i="1"/>
  <c r="AB337" i="1"/>
  <c r="AC337" i="1"/>
  <c r="AD337" i="1" s="1"/>
  <c r="AE337" i="1"/>
  <c r="AF337" i="1"/>
  <c r="AG337" i="1"/>
  <c r="AH337" i="1" s="1"/>
  <c r="AI337" i="1"/>
  <c r="AJ337" i="1"/>
  <c r="AL337" i="1"/>
  <c r="AM337" i="1"/>
  <c r="AN337" i="1"/>
  <c r="AO337" i="1"/>
  <c r="AP337" i="1"/>
  <c r="AQ337" i="1"/>
  <c r="AR337" i="1"/>
  <c r="AS337" i="1"/>
  <c r="AT337" i="1"/>
  <c r="AU337" i="1"/>
  <c r="AV337" i="1"/>
  <c r="AW337" i="1"/>
  <c r="AX337" i="1"/>
  <c r="AY337" i="1"/>
  <c r="AZ337" i="1"/>
  <c r="BA337" i="1"/>
  <c r="A338" i="1"/>
  <c r="B338" i="1"/>
  <c r="C338" i="1"/>
  <c r="D338" i="1"/>
  <c r="E338" i="1"/>
  <c r="F338" i="1"/>
  <c r="G338" i="1"/>
  <c r="H338" i="1"/>
  <c r="I338" i="1"/>
  <c r="J338" i="1"/>
  <c r="K338" i="1"/>
  <c r="L338" i="1"/>
  <c r="M338" i="1" s="1"/>
  <c r="N338" i="1"/>
  <c r="O338" i="1"/>
  <c r="P338" i="1"/>
  <c r="Q338" i="1"/>
  <c r="R338" i="1"/>
  <c r="S338" i="1" s="1"/>
  <c r="T338" i="1"/>
  <c r="U338" i="1"/>
  <c r="V338" i="1"/>
  <c r="W338" i="1"/>
  <c r="X338" i="1"/>
  <c r="Y338" i="1"/>
  <c r="Z338" i="1"/>
  <c r="AA338" i="1"/>
  <c r="AB338" i="1"/>
  <c r="AC338" i="1"/>
  <c r="AD338" i="1" s="1"/>
  <c r="AE338" i="1"/>
  <c r="AF338" i="1"/>
  <c r="AG338" i="1"/>
  <c r="AH338" i="1" s="1"/>
  <c r="AI338" i="1"/>
  <c r="AJ338" i="1"/>
  <c r="AL338" i="1"/>
  <c r="AM338" i="1"/>
  <c r="AN338" i="1"/>
  <c r="AO338" i="1"/>
  <c r="AP338" i="1"/>
  <c r="AQ338" i="1"/>
  <c r="AR338" i="1"/>
  <c r="AS338" i="1"/>
  <c r="AT338" i="1"/>
  <c r="AU338" i="1"/>
  <c r="AV338" i="1"/>
  <c r="AW338" i="1"/>
  <c r="AX338" i="1"/>
  <c r="AY338" i="1"/>
  <c r="AZ338" i="1"/>
  <c r="BA338" i="1"/>
  <c r="A339" i="1"/>
  <c r="B339" i="1"/>
  <c r="C339" i="1"/>
  <c r="D339" i="1"/>
  <c r="E339" i="1"/>
  <c r="F339" i="1"/>
  <c r="G339" i="1"/>
  <c r="H339" i="1"/>
  <c r="I339" i="1"/>
  <c r="J339" i="1"/>
  <c r="K339" i="1"/>
  <c r="M339" i="1"/>
  <c r="N339" i="1"/>
  <c r="O339" i="1"/>
  <c r="P339" i="1"/>
  <c r="Q339" i="1"/>
  <c r="S339" i="1"/>
  <c r="T339" i="1"/>
  <c r="U339" i="1"/>
  <c r="V339" i="1"/>
  <c r="W339" i="1"/>
  <c r="X339" i="1"/>
  <c r="Y339" i="1"/>
  <c r="Z339" i="1"/>
  <c r="AA339" i="1"/>
  <c r="AB339" i="1"/>
  <c r="AC339" i="1"/>
  <c r="AD339" i="1" s="1"/>
  <c r="AE339" i="1"/>
  <c r="AF339" i="1"/>
  <c r="AG339" i="1"/>
  <c r="AH339" i="1" s="1"/>
  <c r="AI339" i="1"/>
  <c r="AJ339" i="1"/>
  <c r="AL339" i="1"/>
  <c r="AM339" i="1"/>
  <c r="AN339" i="1"/>
  <c r="AO339" i="1"/>
  <c r="AP339" i="1"/>
  <c r="AQ339" i="1"/>
  <c r="AR339" i="1"/>
  <c r="AS339" i="1"/>
  <c r="AT339" i="1"/>
  <c r="AU339" i="1"/>
  <c r="AV339" i="1"/>
  <c r="AW339" i="1"/>
  <c r="AX339" i="1"/>
  <c r="AY339" i="1"/>
  <c r="AZ339" i="1"/>
  <c r="BA339" i="1"/>
  <c r="A340" i="1"/>
  <c r="B340" i="1"/>
  <c r="C340" i="1"/>
  <c r="D340" i="1"/>
  <c r="E340" i="1"/>
  <c r="F340" i="1"/>
  <c r="G340" i="1"/>
  <c r="H340" i="1"/>
  <c r="I340" i="1"/>
  <c r="J340" i="1"/>
  <c r="K340" i="1"/>
  <c r="M340" i="1"/>
  <c r="N340" i="1"/>
  <c r="O340" i="1"/>
  <c r="P340" i="1"/>
  <c r="Q340" i="1"/>
  <c r="S340" i="1"/>
  <c r="T340" i="1"/>
  <c r="U340" i="1"/>
  <c r="V340" i="1"/>
  <c r="W340" i="1"/>
  <c r="X340" i="1"/>
  <c r="Y340" i="1"/>
  <c r="Z340" i="1"/>
  <c r="AA340" i="1"/>
  <c r="AB340" i="1"/>
  <c r="AC340" i="1"/>
  <c r="AD340" i="1" s="1"/>
  <c r="AE340" i="1"/>
  <c r="AF340" i="1"/>
  <c r="AG340" i="1"/>
  <c r="AH340" i="1" s="1"/>
  <c r="AI340" i="1"/>
  <c r="AJ340" i="1"/>
  <c r="AL340" i="1"/>
  <c r="AM340" i="1"/>
  <c r="AN340" i="1"/>
  <c r="AO340" i="1"/>
  <c r="AP340" i="1"/>
  <c r="AQ340" i="1"/>
  <c r="AR340" i="1"/>
  <c r="AS340" i="1"/>
  <c r="AT340" i="1"/>
  <c r="AU340" i="1"/>
  <c r="AV340" i="1"/>
  <c r="AW340" i="1"/>
  <c r="AX340" i="1"/>
  <c r="AY340" i="1"/>
  <c r="AZ340" i="1"/>
  <c r="BA340" i="1"/>
  <c r="A341" i="1"/>
  <c r="B341" i="1"/>
  <c r="C341" i="1"/>
  <c r="D341" i="1"/>
  <c r="E341" i="1"/>
  <c r="F341" i="1"/>
  <c r="G341" i="1"/>
  <c r="H341" i="1"/>
  <c r="I341" i="1"/>
  <c r="J341" i="1"/>
  <c r="K341" i="1"/>
  <c r="L341" i="1"/>
  <c r="M341" i="1" s="1"/>
  <c r="N341" i="1"/>
  <c r="O341" i="1"/>
  <c r="P341" i="1"/>
  <c r="Q341" i="1"/>
  <c r="S341" i="1"/>
  <c r="T341" i="1"/>
  <c r="U341" i="1"/>
  <c r="V341" i="1"/>
  <c r="W341" i="1"/>
  <c r="X341" i="1"/>
  <c r="Y341" i="1"/>
  <c r="Z341" i="1"/>
  <c r="AA341" i="1"/>
  <c r="AB341" i="1"/>
  <c r="AD341" i="1"/>
  <c r="AE341" i="1"/>
  <c r="AF341" i="1"/>
  <c r="AG341" i="1"/>
  <c r="AH341" i="1" s="1"/>
  <c r="AI341" i="1"/>
  <c r="AL341" i="1"/>
  <c r="AM341" i="1"/>
  <c r="AN341" i="1"/>
  <c r="AO341" i="1"/>
  <c r="AP341" i="1"/>
  <c r="AQ341" i="1"/>
  <c r="AR341" i="1"/>
  <c r="AS341" i="1"/>
  <c r="AT341" i="1"/>
  <c r="AU341" i="1"/>
  <c r="AV341" i="1"/>
  <c r="AW341" i="1"/>
  <c r="AX341" i="1"/>
  <c r="AY341" i="1"/>
  <c r="AZ341" i="1"/>
  <c r="BA341" i="1"/>
  <c r="A342" i="1"/>
  <c r="B342" i="1"/>
  <c r="C342" i="1"/>
  <c r="D342" i="1"/>
  <c r="E342" i="1"/>
  <c r="F342" i="1"/>
  <c r="G342" i="1"/>
  <c r="H342" i="1"/>
  <c r="I342" i="1"/>
  <c r="J342" i="1"/>
  <c r="K342" i="1"/>
  <c r="L342" i="1"/>
  <c r="M342" i="1" s="1"/>
  <c r="N342" i="1"/>
  <c r="O342" i="1"/>
  <c r="P342" i="1"/>
  <c r="Q342" i="1"/>
  <c r="R342" i="1"/>
  <c r="S342" i="1" s="1"/>
  <c r="T342" i="1"/>
  <c r="U342" i="1"/>
  <c r="V342" i="1"/>
  <c r="W342" i="1"/>
  <c r="X342" i="1"/>
  <c r="Y342" i="1"/>
  <c r="Z342" i="1"/>
  <c r="AA342" i="1"/>
  <c r="AB342" i="1"/>
  <c r="AC342" i="1"/>
  <c r="AD342" i="1" s="1"/>
  <c r="AE342" i="1"/>
  <c r="AF342" i="1"/>
  <c r="AG342" i="1"/>
  <c r="AH342" i="1" s="1"/>
  <c r="AI342" i="1"/>
  <c r="AJ342" i="1"/>
  <c r="AL342" i="1"/>
  <c r="AM342" i="1"/>
  <c r="AN342" i="1"/>
  <c r="AO342" i="1"/>
  <c r="AP342" i="1"/>
  <c r="AQ342" i="1"/>
  <c r="AR342" i="1"/>
  <c r="AS342" i="1"/>
  <c r="AT342" i="1"/>
  <c r="AU342" i="1"/>
  <c r="AV342" i="1"/>
  <c r="AW342" i="1"/>
  <c r="AX342" i="1"/>
  <c r="AY342" i="1"/>
  <c r="AZ342" i="1"/>
  <c r="BA342" i="1"/>
  <c r="A343" i="1"/>
  <c r="B343" i="1"/>
  <c r="C343" i="1"/>
  <c r="D343" i="1"/>
  <c r="E343" i="1"/>
  <c r="F343" i="1"/>
  <c r="G343" i="1"/>
  <c r="H343" i="1"/>
  <c r="I343" i="1"/>
  <c r="J343" i="1"/>
  <c r="K343" i="1"/>
  <c r="L343" i="1"/>
  <c r="M343" i="1" s="1"/>
  <c r="N343" i="1"/>
  <c r="O343" i="1"/>
  <c r="P343" i="1"/>
  <c r="Q343" i="1"/>
  <c r="R343" i="1"/>
  <c r="S343" i="1" s="1"/>
  <c r="T343" i="1"/>
  <c r="U343" i="1"/>
  <c r="V343" i="1"/>
  <c r="W343" i="1"/>
  <c r="X343" i="1"/>
  <c r="Y343" i="1"/>
  <c r="Z343" i="1"/>
  <c r="AA343" i="1"/>
  <c r="AB343" i="1"/>
  <c r="AC343" i="1"/>
  <c r="AD343" i="1" s="1"/>
  <c r="AE343" i="1"/>
  <c r="AF343" i="1"/>
  <c r="AG343" i="1"/>
  <c r="AH343" i="1" s="1"/>
  <c r="AI343" i="1"/>
  <c r="AJ343" i="1"/>
  <c r="AL343" i="1"/>
  <c r="AM343" i="1"/>
  <c r="AN343" i="1"/>
  <c r="AO343" i="1"/>
  <c r="AP343" i="1"/>
  <c r="AQ343" i="1"/>
  <c r="AR343" i="1"/>
  <c r="AS343" i="1"/>
  <c r="AT343" i="1"/>
  <c r="AU343" i="1"/>
  <c r="AV343" i="1"/>
  <c r="AW343" i="1"/>
  <c r="AX343" i="1"/>
  <c r="AY343" i="1"/>
  <c r="AZ343" i="1"/>
  <c r="BA343" i="1"/>
  <c r="A344" i="1"/>
  <c r="B344" i="1"/>
  <c r="C344" i="1"/>
  <c r="D344" i="1"/>
  <c r="E344" i="1"/>
  <c r="F344" i="1"/>
  <c r="G344" i="1"/>
  <c r="H344" i="1"/>
  <c r="I344" i="1"/>
  <c r="J344" i="1"/>
  <c r="K344" i="1"/>
  <c r="L344" i="1"/>
  <c r="M344" i="1" s="1"/>
  <c r="N344" i="1"/>
  <c r="O344" i="1"/>
  <c r="P344" i="1"/>
  <c r="Q344" i="1"/>
  <c r="R344" i="1"/>
  <c r="S344" i="1" s="1"/>
  <c r="T344" i="1"/>
  <c r="U344" i="1"/>
  <c r="V344" i="1"/>
  <c r="W344" i="1"/>
  <c r="X344" i="1"/>
  <c r="Y344" i="1"/>
  <c r="Z344" i="1"/>
  <c r="AA344" i="1"/>
  <c r="AB344" i="1"/>
  <c r="AD344" i="1"/>
  <c r="AE344" i="1"/>
  <c r="AF344" i="1"/>
  <c r="AG344" i="1"/>
  <c r="AH344" i="1" s="1"/>
  <c r="AI344" i="1"/>
  <c r="AJ344" i="1"/>
  <c r="AL344" i="1"/>
  <c r="AM344" i="1"/>
  <c r="AN344" i="1"/>
  <c r="AO344" i="1"/>
  <c r="AP344" i="1"/>
  <c r="AQ344" i="1"/>
  <c r="AR344" i="1"/>
  <c r="AS344" i="1"/>
  <c r="AT344" i="1"/>
  <c r="AU344" i="1"/>
  <c r="AV344" i="1"/>
  <c r="AW344" i="1"/>
  <c r="AX344" i="1"/>
  <c r="AY344" i="1"/>
  <c r="AZ344" i="1"/>
  <c r="BA344" i="1"/>
  <c r="A345" i="1"/>
  <c r="B345" i="1"/>
  <c r="C345" i="1"/>
  <c r="D345" i="1"/>
  <c r="E345" i="1"/>
  <c r="F345" i="1"/>
  <c r="G345" i="1"/>
  <c r="H345" i="1"/>
  <c r="I345" i="1"/>
  <c r="J345" i="1"/>
  <c r="K345" i="1"/>
  <c r="M345" i="1"/>
  <c r="N345" i="1"/>
  <c r="O345" i="1"/>
  <c r="P345" i="1"/>
  <c r="Q345" i="1"/>
  <c r="S345" i="1"/>
  <c r="T345" i="1"/>
  <c r="U345" i="1"/>
  <c r="V345" i="1"/>
  <c r="W345" i="1"/>
  <c r="X345" i="1"/>
  <c r="Y345" i="1"/>
  <c r="Z345" i="1"/>
  <c r="AA345" i="1"/>
  <c r="AB345" i="1"/>
  <c r="AC345" i="1"/>
  <c r="AD345" i="1" s="1"/>
  <c r="AE345" i="1"/>
  <c r="AF345" i="1"/>
  <c r="AG345" i="1"/>
  <c r="AH345" i="1" s="1"/>
  <c r="AI345" i="1"/>
  <c r="AL345" i="1"/>
  <c r="AM345" i="1"/>
  <c r="AN345" i="1"/>
  <c r="AO345" i="1"/>
  <c r="AP345" i="1"/>
  <c r="AQ345" i="1"/>
  <c r="AR345" i="1"/>
  <c r="AS345" i="1"/>
  <c r="AT345" i="1"/>
  <c r="AU345" i="1"/>
  <c r="AV345" i="1"/>
  <c r="AW345" i="1"/>
  <c r="AX345" i="1"/>
  <c r="AY345" i="1"/>
  <c r="AZ345" i="1"/>
  <c r="BA345" i="1"/>
  <c r="A346" i="1"/>
  <c r="B346" i="1"/>
  <c r="C346" i="1"/>
  <c r="D346" i="1"/>
  <c r="E346" i="1"/>
  <c r="F346" i="1"/>
  <c r="G346" i="1"/>
  <c r="H346" i="1"/>
  <c r="I346" i="1"/>
  <c r="J346" i="1"/>
  <c r="K346" i="1"/>
  <c r="L346" i="1"/>
  <c r="M346" i="1" s="1"/>
  <c r="N346" i="1"/>
  <c r="O346" i="1"/>
  <c r="P346" i="1"/>
  <c r="Q346" i="1"/>
  <c r="S346" i="1"/>
  <c r="T346" i="1"/>
  <c r="U346" i="1"/>
  <c r="V346" i="1"/>
  <c r="W346" i="1"/>
  <c r="X346" i="1"/>
  <c r="Y346" i="1"/>
  <c r="Z346" i="1"/>
  <c r="AA346" i="1"/>
  <c r="AB346" i="1"/>
  <c r="AC346" i="1"/>
  <c r="AD346" i="1" s="1"/>
  <c r="AE346" i="1"/>
  <c r="AF346" i="1"/>
  <c r="AG346" i="1"/>
  <c r="AH346" i="1" s="1"/>
  <c r="AI346" i="1"/>
  <c r="AJ346" i="1"/>
  <c r="AL346" i="1"/>
  <c r="AM346" i="1"/>
  <c r="AN346" i="1"/>
  <c r="AO346" i="1"/>
  <c r="AP346" i="1"/>
  <c r="AQ346" i="1"/>
  <c r="AR346" i="1"/>
  <c r="AS346" i="1"/>
  <c r="AT346" i="1"/>
  <c r="AU346" i="1"/>
  <c r="AV346" i="1"/>
  <c r="AW346" i="1"/>
  <c r="AX346" i="1"/>
  <c r="AY346" i="1"/>
  <c r="AZ346" i="1"/>
  <c r="BA346" i="1"/>
  <c r="A347" i="1"/>
  <c r="B347" i="1"/>
  <c r="C347" i="1"/>
  <c r="D347" i="1"/>
  <c r="E347" i="1"/>
  <c r="F347" i="1"/>
  <c r="G347" i="1"/>
  <c r="H347" i="1"/>
  <c r="I347" i="1"/>
  <c r="J347" i="1"/>
  <c r="K347" i="1"/>
  <c r="L347" i="1"/>
  <c r="M347" i="1" s="1"/>
  <c r="N347" i="1"/>
  <c r="O347" i="1"/>
  <c r="P347" i="1"/>
  <c r="Q347" i="1"/>
  <c r="R347" i="1"/>
  <c r="S347" i="1" s="1"/>
  <c r="T347" i="1"/>
  <c r="U347" i="1"/>
  <c r="V347" i="1"/>
  <c r="W347" i="1"/>
  <c r="X347" i="1"/>
  <c r="Y347" i="1"/>
  <c r="Z347" i="1"/>
  <c r="AA347" i="1"/>
  <c r="AB347" i="1"/>
  <c r="AC347" i="1"/>
  <c r="AD347" i="1" s="1"/>
  <c r="AE347" i="1"/>
  <c r="AF347" i="1"/>
  <c r="AG347" i="1"/>
  <c r="AH347" i="1" s="1"/>
  <c r="AI347" i="1"/>
  <c r="AJ347" i="1"/>
  <c r="AL347" i="1"/>
  <c r="AM347" i="1"/>
  <c r="AN347" i="1"/>
  <c r="AO347" i="1"/>
  <c r="AP347" i="1"/>
  <c r="AQ347" i="1"/>
  <c r="AR347" i="1"/>
  <c r="AS347" i="1"/>
  <c r="AT347" i="1"/>
  <c r="AU347" i="1"/>
  <c r="AV347" i="1"/>
  <c r="AW347" i="1"/>
  <c r="AX347" i="1"/>
  <c r="AY347" i="1"/>
  <c r="AZ347" i="1"/>
  <c r="BA347" i="1"/>
  <c r="A348" i="1"/>
  <c r="B348" i="1"/>
  <c r="C348" i="1"/>
  <c r="D348" i="1"/>
  <c r="E348" i="1"/>
  <c r="F348" i="1"/>
  <c r="G348" i="1"/>
  <c r="H348" i="1"/>
  <c r="I348" i="1"/>
  <c r="J348" i="1"/>
  <c r="K348" i="1"/>
  <c r="L348" i="1"/>
  <c r="M348" i="1" s="1"/>
  <c r="N348" i="1"/>
  <c r="O348" i="1"/>
  <c r="P348" i="1"/>
  <c r="Q348" i="1"/>
  <c r="R348" i="1"/>
  <c r="S348" i="1" s="1"/>
  <c r="T348" i="1"/>
  <c r="U348" i="1"/>
  <c r="V348" i="1"/>
  <c r="W348" i="1"/>
  <c r="X348" i="1"/>
  <c r="Y348" i="1"/>
  <c r="Z348" i="1"/>
  <c r="AA348" i="1"/>
  <c r="AB348" i="1"/>
  <c r="AC348" i="1"/>
  <c r="AD348" i="1" s="1"/>
  <c r="AE348" i="1"/>
  <c r="AF348" i="1"/>
  <c r="AG348" i="1"/>
  <c r="AH348" i="1" s="1"/>
  <c r="AI348" i="1"/>
  <c r="AJ348" i="1"/>
  <c r="AL348" i="1"/>
  <c r="AM348" i="1"/>
  <c r="AN348" i="1"/>
  <c r="AO348" i="1"/>
  <c r="AP348" i="1"/>
  <c r="AQ348" i="1"/>
  <c r="AR348" i="1"/>
  <c r="AS348" i="1"/>
  <c r="AT348" i="1"/>
  <c r="AU348" i="1"/>
  <c r="AV348" i="1"/>
  <c r="AW348" i="1"/>
  <c r="AX348" i="1"/>
  <c r="AY348" i="1"/>
  <c r="AZ348" i="1"/>
  <c r="BA348" i="1"/>
  <c r="A349" i="1"/>
  <c r="B349" i="1"/>
  <c r="C349" i="1"/>
  <c r="D349" i="1"/>
  <c r="E349" i="1"/>
  <c r="F349" i="1"/>
  <c r="G349" i="1"/>
  <c r="H349" i="1"/>
  <c r="I349" i="1"/>
  <c r="J349" i="1"/>
  <c r="K349" i="1"/>
  <c r="M349" i="1"/>
  <c r="N349" i="1"/>
  <c r="O349" i="1"/>
  <c r="P349" i="1"/>
  <c r="Q349" i="1"/>
  <c r="S349" i="1"/>
  <c r="T349" i="1"/>
  <c r="U349" i="1"/>
  <c r="V349" i="1"/>
  <c r="W349" i="1"/>
  <c r="X349" i="1"/>
  <c r="Y349" i="1"/>
  <c r="Z349" i="1"/>
  <c r="AA349" i="1"/>
  <c r="AB349" i="1"/>
  <c r="AC349" i="1"/>
  <c r="AD349" i="1" s="1"/>
  <c r="AE349" i="1"/>
  <c r="AF349" i="1"/>
  <c r="AG349" i="1"/>
  <c r="AH349" i="1" s="1"/>
  <c r="AI349" i="1"/>
  <c r="AJ349" i="1"/>
  <c r="AL349" i="1"/>
  <c r="AM349" i="1"/>
  <c r="AN349" i="1"/>
  <c r="AO349" i="1"/>
  <c r="AP349" i="1"/>
  <c r="AQ349" i="1"/>
  <c r="AR349" i="1"/>
  <c r="AS349" i="1"/>
  <c r="AT349" i="1"/>
  <c r="AU349" i="1"/>
  <c r="AV349" i="1"/>
  <c r="AW349" i="1"/>
  <c r="AX349" i="1"/>
  <c r="AY349" i="1"/>
  <c r="AZ349" i="1"/>
  <c r="BA349" i="1"/>
  <c r="A350" i="1"/>
  <c r="B350" i="1"/>
  <c r="C350" i="1"/>
  <c r="D350" i="1"/>
  <c r="E350" i="1"/>
  <c r="F350" i="1"/>
  <c r="G350" i="1"/>
  <c r="H350" i="1"/>
  <c r="I350" i="1"/>
  <c r="J350" i="1"/>
  <c r="K350" i="1"/>
  <c r="L350" i="1"/>
  <c r="M350" i="1" s="1"/>
  <c r="N350" i="1"/>
  <c r="O350" i="1"/>
  <c r="P350" i="1"/>
  <c r="Q350" i="1"/>
  <c r="R350" i="1"/>
  <c r="S350" i="1" s="1"/>
  <c r="T350" i="1"/>
  <c r="U350" i="1"/>
  <c r="V350" i="1"/>
  <c r="W350" i="1"/>
  <c r="X350" i="1"/>
  <c r="Y350" i="1"/>
  <c r="Z350" i="1"/>
  <c r="AA350" i="1"/>
  <c r="AB350" i="1"/>
  <c r="AC350" i="1"/>
  <c r="AD350" i="1" s="1"/>
  <c r="AE350" i="1"/>
  <c r="AF350" i="1"/>
  <c r="AG350" i="1"/>
  <c r="AH350" i="1" s="1"/>
  <c r="AI350" i="1"/>
  <c r="AJ350" i="1"/>
  <c r="AL350" i="1"/>
  <c r="AM350" i="1"/>
  <c r="AN350" i="1"/>
  <c r="AO350" i="1"/>
  <c r="AP350" i="1"/>
  <c r="AQ350" i="1"/>
  <c r="AR350" i="1"/>
  <c r="AS350" i="1"/>
  <c r="AT350" i="1"/>
  <c r="AU350" i="1"/>
  <c r="AV350" i="1"/>
  <c r="AW350" i="1"/>
  <c r="AX350" i="1"/>
  <c r="AY350" i="1"/>
  <c r="AZ350" i="1"/>
  <c r="BA350" i="1"/>
  <c r="A351" i="1"/>
  <c r="B351" i="1"/>
  <c r="C351" i="1"/>
  <c r="D351" i="1"/>
  <c r="E351" i="1"/>
  <c r="F351" i="1"/>
  <c r="G351" i="1"/>
  <c r="H351" i="1"/>
  <c r="I351" i="1"/>
  <c r="J351" i="1"/>
  <c r="K351" i="1"/>
  <c r="L351" i="1"/>
  <c r="M351" i="1" s="1"/>
  <c r="N351" i="1"/>
  <c r="O351" i="1"/>
  <c r="P351" i="1"/>
  <c r="Q351" i="1"/>
  <c r="R351" i="1"/>
  <c r="S351" i="1" s="1"/>
  <c r="T351" i="1"/>
  <c r="U351" i="1"/>
  <c r="V351" i="1"/>
  <c r="W351" i="1"/>
  <c r="X351" i="1"/>
  <c r="Y351" i="1"/>
  <c r="Z351" i="1"/>
  <c r="AA351" i="1"/>
  <c r="AB351" i="1"/>
  <c r="AD351" i="1"/>
  <c r="AE351" i="1"/>
  <c r="AF351" i="1"/>
  <c r="AG351" i="1"/>
  <c r="AH351" i="1" s="1"/>
  <c r="AI351" i="1"/>
  <c r="AL351" i="1"/>
  <c r="AM351" i="1"/>
  <c r="AN351" i="1"/>
  <c r="AO351" i="1"/>
  <c r="AP351" i="1"/>
  <c r="AQ351" i="1"/>
  <c r="AR351" i="1"/>
  <c r="AS351" i="1"/>
  <c r="AT351" i="1"/>
  <c r="AU351" i="1"/>
  <c r="AV351" i="1"/>
  <c r="AW351" i="1"/>
  <c r="AX351" i="1"/>
  <c r="AY351" i="1"/>
  <c r="AZ351" i="1"/>
  <c r="BA351" i="1"/>
  <c r="A352" i="1"/>
  <c r="B352" i="1"/>
  <c r="C352" i="1"/>
  <c r="D352" i="1"/>
  <c r="E352" i="1"/>
  <c r="F352" i="1"/>
  <c r="G352" i="1"/>
  <c r="H352" i="1"/>
  <c r="I352" i="1"/>
  <c r="J352" i="1"/>
  <c r="K352" i="1"/>
  <c r="L352" i="1"/>
  <c r="M352" i="1" s="1"/>
  <c r="N352" i="1"/>
  <c r="O352" i="1"/>
  <c r="P352" i="1"/>
  <c r="Q352" i="1"/>
  <c r="R352" i="1"/>
  <c r="S352" i="1" s="1"/>
  <c r="T352" i="1"/>
  <c r="U352" i="1"/>
  <c r="V352" i="1"/>
  <c r="W352" i="1"/>
  <c r="X352" i="1"/>
  <c r="Y352" i="1"/>
  <c r="Z352" i="1"/>
  <c r="AA352" i="1"/>
  <c r="AB352" i="1"/>
  <c r="AC352" i="1"/>
  <c r="AD352" i="1" s="1"/>
  <c r="AE352" i="1"/>
  <c r="AF352" i="1"/>
  <c r="AG352" i="1"/>
  <c r="AH352" i="1" s="1"/>
  <c r="AI352" i="1"/>
  <c r="AJ352" i="1"/>
  <c r="AL352" i="1"/>
  <c r="AM352" i="1"/>
  <c r="AN352" i="1"/>
  <c r="AO352" i="1"/>
  <c r="AP352" i="1"/>
  <c r="AQ352" i="1"/>
  <c r="AR352" i="1"/>
  <c r="AS352" i="1"/>
  <c r="AT352" i="1"/>
  <c r="AU352" i="1"/>
  <c r="AV352" i="1"/>
  <c r="AW352" i="1"/>
  <c r="AX352" i="1"/>
  <c r="AY352" i="1"/>
  <c r="AZ352" i="1"/>
  <c r="BA352" i="1"/>
  <c r="A353" i="1"/>
  <c r="B353" i="1"/>
  <c r="C353" i="1"/>
  <c r="D353" i="1"/>
  <c r="E353" i="1"/>
  <c r="F353" i="1"/>
  <c r="G353" i="1"/>
  <c r="H353" i="1"/>
  <c r="I353" i="1"/>
  <c r="J353" i="1"/>
  <c r="K353" i="1"/>
  <c r="M353" i="1"/>
  <c r="N353" i="1"/>
  <c r="O353" i="1"/>
  <c r="P353" i="1"/>
  <c r="Q353" i="1"/>
  <c r="R353" i="1"/>
  <c r="S353" i="1" s="1"/>
  <c r="T353" i="1"/>
  <c r="U353" i="1"/>
  <c r="V353" i="1"/>
  <c r="W353" i="1"/>
  <c r="X353" i="1"/>
  <c r="Y353" i="1"/>
  <c r="Z353" i="1"/>
  <c r="AA353" i="1"/>
  <c r="AB353" i="1"/>
  <c r="AC353" i="1"/>
  <c r="AD353" i="1" s="1"/>
  <c r="AE353" i="1"/>
  <c r="AF353" i="1"/>
  <c r="AG353" i="1"/>
  <c r="AH353" i="1" s="1"/>
  <c r="AI353" i="1"/>
  <c r="AJ353" i="1"/>
  <c r="AL353" i="1"/>
  <c r="AM353" i="1"/>
  <c r="AN353" i="1"/>
  <c r="AO353" i="1"/>
  <c r="AP353" i="1"/>
  <c r="AQ353" i="1"/>
  <c r="AR353" i="1"/>
  <c r="AS353" i="1"/>
  <c r="AT353" i="1"/>
  <c r="AU353" i="1"/>
  <c r="AV353" i="1"/>
  <c r="AW353" i="1"/>
  <c r="AX353" i="1"/>
  <c r="AY353" i="1"/>
  <c r="AZ353" i="1"/>
  <c r="BA353" i="1"/>
  <c r="A354" i="1"/>
  <c r="B354" i="1"/>
  <c r="C354" i="1"/>
  <c r="D354" i="1"/>
  <c r="E354" i="1"/>
  <c r="F354" i="1"/>
  <c r="G354" i="1"/>
  <c r="H354" i="1"/>
  <c r="I354" i="1"/>
  <c r="J354" i="1"/>
  <c r="K354" i="1"/>
  <c r="L354" i="1"/>
  <c r="M354" i="1" s="1"/>
  <c r="N354" i="1"/>
  <c r="O354" i="1"/>
  <c r="P354" i="1"/>
  <c r="Q354" i="1"/>
  <c r="R354" i="1"/>
  <c r="S354" i="1" s="1"/>
  <c r="T354" i="1"/>
  <c r="U354" i="1"/>
  <c r="V354" i="1"/>
  <c r="W354" i="1"/>
  <c r="X354" i="1"/>
  <c r="Y354" i="1"/>
  <c r="Z354" i="1"/>
  <c r="AA354" i="1"/>
  <c r="AB354" i="1"/>
  <c r="AC354" i="1"/>
  <c r="AD354" i="1" s="1"/>
  <c r="AE354" i="1"/>
  <c r="AF354" i="1"/>
  <c r="AG354" i="1"/>
  <c r="AH354" i="1" s="1"/>
  <c r="AI354" i="1"/>
  <c r="AJ354" i="1"/>
  <c r="AL354" i="1"/>
  <c r="AM354" i="1"/>
  <c r="AN354" i="1"/>
  <c r="AO354" i="1"/>
  <c r="AP354" i="1"/>
  <c r="AQ354" i="1"/>
  <c r="AR354" i="1"/>
  <c r="AS354" i="1"/>
  <c r="AT354" i="1"/>
  <c r="AU354" i="1"/>
  <c r="AV354" i="1"/>
  <c r="AW354" i="1"/>
  <c r="AX354" i="1"/>
  <c r="AY354" i="1"/>
  <c r="AZ354" i="1"/>
  <c r="BA354" i="1"/>
  <c r="A355" i="1"/>
  <c r="B355" i="1"/>
  <c r="C355" i="1"/>
  <c r="D355" i="1"/>
  <c r="E355" i="1"/>
  <c r="F355" i="1"/>
  <c r="G355" i="1"/>
  <c r="H355" i="1"/>
  <c r="I355" i="1"/>
  <c r="J355" i="1"/>
  <c r="K355" i="1"/>
  <c r="L355" i="1"/>
  <c r="M355" i="1" s="1"/>
  <c r="N355" i="1"/>
  <c r="O355" i="1"/>
  <c r="P355" i="1"/>
  <c r="Q355" i="1"/>
  <c r="R355" i="1"/>
  <c r="S355" i="1" s="1"/>
  <c r="T355" i="1"/>
  <c r="U355" i="1"/>
  <c r="V355" i="1"/>
  <c r="W355" i="1"/>
  <c r="X355" i="1"/>
  <c r="Y355" i="1"/>
  <c r="Z355" i="1"/>
  <c r="AA355" i="1"/>
  <c r="AB355" i="1"/>
  <c r="AD355" i="1"/>
  <c r="AE355" i="1"/>
  <c r="AF355" i="1"/>
  <c r="AG355" i="1"/>
  <c r="AH355" i="1" s="1"/>
  <c r="AI355" i="1"/>
  <c r="AJ355" i="1"/>
  <c r="AL355" i="1"/>
  <c r="AM355" i="1"/>
  <c r="AN355" i="1"/>
  <c r="AO355" i="1"/>
  <c r="AP355" i="1"/>
  <c r="AQ355" i="1"/>
  <c r="AR355" i="1"/>
  <c r="AS355" i="1"/>
  <c r="AT355" i="1"/>
  <c r="AU355" i="1"/>
  <c r="AV355" i="1"/>
  <c r="AW355" i="1"/>
  <c r="AX355" i="1"/>
  <c r="AY355" i="1"/>
  <c r="AZ355" i="1"/>
  <c r="BA355" i="1"/>
  <c r="A356" i="1"/>
  <c r="B356" i="1"/>
  <c r="C356" i="1"/>
  <c r="D356" i="1"/>
  <c r="E356" i="1"/>
  <c r="F356" i="1"/>
  <c r="G356" i="1"/>
  <c r="H356" i="1"/>
  <c r="I356" i="1"/>
  <c r="J356" i="1"/>
  <c r="K356" i="1"/>
  <c r="L356" i="1"/>
  <c r="M356" i="1" s="1"/>
  <c r="N356" i="1"/>
  <c r="O356" i="1"/>
  <c r="P356" i="1"/>
  <c r="Q356" i="1"/>
  <c r="R356" i="1"/>
  <c r="S356" i="1" s="1"/>
  <c r="T356" i="1"/>
  <c r="U356" i="1"/>
  <c r="V356" i="1"/>
  <c r="W356" i="1"/>
  <c r="X356" i="1"/>
  <c r="Y356" i="1"/>
  <c r="Z356" i="1"/>
  <c r="AA356" i="1"/>
  <c r="AB356" i="1"/>
  <c r="AC356" i="1"/>
  <c r="AD356" i="1" s="1"/>
  <c r="AE356" i="1"/>
  <c r="AF356" i="1"/>
  <c r="AG356" i="1"/>
  <c r="AH356" i="1" s="1"/>
  <c r="AI356" i="1"/>
  <c r="AJ356" i="1"/>
  <c r="AL356" i="1"/>
  <c r="AM356" i="1"/>
  <c r="AN356" i="1"/>
  <c r="AO356" i="1"/>
  <c r="AP356" i="1"/>
  <c r="AQ356" i="1"/>
  <c r="AR356" i="1"/>
  <c r="AS356" i="1"/>
  <c r="AT356" i="1"/>
  <c r="AU356" i="1"/>
  <c r="AV356" i="1"/>
  <c r="AW356" i="1"/>
  <c r="AX356" i="1"/>
  <c r="AY356" i="1"/>
  <c r="AZ356" i="1"/>
  <c r="BA356" i="1"/>
  <c r="A357" i="1"/>
  <c r="B357" i="1"/>
  <c r="C357" i="1"/>
  <c r="D357" i="1"/>
  <c r="E357" i="1"/>
  <c r="F357" i="1"/>
  <c r="G357" i="1"/>
  <c r="H357" i="1"/>
  <c r="I357" i="1"/>
  <c r="J357" i="1"/>
  <c r="K357" i="1"/>
  <c r="L357" i="1"/>
  <c r="M357" i="1" s="1"/>
  <c r="N357" i="1"/>
  <c r="O357" i="1"/>
  <c r="P357" i="1"/>
  <c r="Q357" i="1"/>
  <c r="R357" i="1"/>
  <c r="S357" i="1" s="1"/>
  <c r="T357" i="1"/>
  <c r="U357" i="1"/>
  <c r="V357" i="1"/>
  <c r="W357" i="1"/>
  <c r="X357" i="1"/>
  <c r="Y357" i="1"/>
  <c r="Z357" i="1"/>
  <c r="AA357" i="1"/>
  <c r="AB357" i="1"/>
  <c r="AC357" i="1"/>
  <c r="AD357" i="1" s="1"/>
  <c r="AE357" i="1"/>
  <c r="AF357" i="1"/>
  <c r="AG357" i="1"/>
  <c r="AH357" i="1" s="1"/>
  <c r="AI357" i="1"/>
  <c r="AJ357" i="1"/>
  <c r="AL357" i="1"/>
  <c r="AM357" i="1"/>
  <c r="AN357" i="1"/>
  <c r="AO357" i="1"/>
  <c r="AP357" i="1"/>
  <c r="AQ357" i="1"/>
  <c r="AR357" i="1"/>
  <c r="AS357" i="1"/>
  <c r="AT357" i="1"/>
  <c r="AU357" i="1"/>
  <c r="AV357" i="1"/>
  <c r="AW357" i="1"/>
  <c r="AX357" i="1"/>
  <c r="AY357" i="1"/>
  <c r="AZ357" i="1"/>
  <c r="BA357" i="1"/>
  <c r="A358" i="1"/>
  <c r="B358" i="1"/>
  <c r="C358" i="1"/>
  <c r="D358" i="1"/>
  <c r="E358" i="1"/>
  <c r="F358" i="1"/>
  <c r="G358" i="1"/>
  <c r="H358" i="1"/>
  <c r="I358" i="1"/>
  <c r="J358" i="1"/>
  <c r="K358" i="1"/>
  <c r="M358" i="1"/>
  <c r="N358" i="1"/>
  <c r="O358" i="1"/>
  <c r="P358" i="1"/>
  <c r="Q358" i="1"/>
  <c r="R358" i="1"/>
  <c r="S358" i="1" s="1"/>
  <c r="T358" i="1"/>
  <c r="U358" i="1"/>
  <c r="V358" i="1"/>
  <c r="W358" i="1"/>
  <c r="X358" i="1"/>
  <c r="Y358" i="1"/>
  <c r="Z358" i="1"/>
  <c r="AA358" i="1"/>
  <c r="AB358" i="1"/>
  <c r="AC358" i="1"/>
  <c r="AD358" i="1" s="1"/>
  <c r="AE358" i="1"/>
  <c r="AF358" i="1"/>
  <c r="AG358" i="1"/>
  <c r="AH358" i="1" s="1"/>
  <c r="AI358" i="1"/>
  <c r="AJ358" i="1"/>
  <c r="AL358" i="1"/>
  <c r="AM358" i="1"/>
  <c r="AN358" i="1"/>
  <c r="AO358" i="1"/>
  <c r="AP358" i="1"/>
  <c r="AQ358" i="1"/>
  <c r="AR358" i="1"/>
  <c r="AS358" i="1"/>
  <c r="AT358" i="1"/>
  <c r="AU358" i="1"/>
  <c r="AV358" i="1"/>
  <c r="AW358" i="1"/>
  <c r="AX358" i="1"/>
  <c r="AY358" i="1"/>
  <c r="AZ358" i="1"/>
  <c r="BA358" i="1"/>
  <c r="A359" i="1"/>
  <c r="B359" i="1"/>
  <c r="C359" i="1"/>
  <c r="D359" i="1"/>
  <c r="E359" i="1"/>
  <c r="F359" i="1"/>
  <c r="G359" i="1"/>
  <c r="H359" i="1"/>
  <c r="I359" i="1"/>
  <c r="J359" i="1"/>
  <c r="K359" i="1"/>
  <c r="L359" i="1"/>
  <c r="M359" i="1" s="1"/>
  <c r="N359" i="1"/>
  <c r="O359" i="1"/>
  <c r="P359" i="1"/>
  <c r="Q359" i="1"/>
  <c r="R359" i="1"/>
  <c r="S359" i="1" s="1"/>
  <c r="T359" i="1"/>
  <c r="U359" i="1"/>
  <c r="V359" i="1"/>
  <c r="W359" i="1"/>
  <c r="X359" i="1"/>
  <c r="Y359" i="1"/>
  <c r="Z359" i="1"/>
  <c r="AA359" i="1"/>
  <c r="AB359" i="1"/>
  <c r="AC359" i="1"/>
  <c r="AD359" i="1" s="1"/>
  <c r="AE359" i="1"/>
  <c r="AF359" i="1"/>
  <c r="AG359" i="1"/>
  <c r="AH359" i="1" s="1"/>
  <c r="AI359" i="1"/>
  <c r="AJ359" i="1"/>
  <c r="AL359" i="1"/>
  <c r="AM359" i="1"/>
  <c r="AN359" i="1"/>
  <c r="AO359" i="1"/>
  <c r="AP359" i="1"/>
  <c r="AQ359" i="1"/>
  <c r="AR359" i="1"/>
  <c r="AS359" i="1"/>
  <c r="AT359" i="1"/>
  <c r="AU359" i="1"/>
  <c r="AV359" i="1"/>
  <c r="AW359" i="1"/>
  <c r="AX359" i="1"/>
  <c r="AY359" i="1"/>
  <c r="AZ359" i="1"/>
  <c r="BA359" i="1"/>
  <c r="A360" i="1"/>
  <c r="B360" i="1"/>
  <c r="C360" i="1"/>
  <c r="D360" i="1"/>
  <c r="E360" i="1"/>
  <c r="F360" i="1"/>
  <c r="G360" i="1"/>
  <c r="H360" i="1"/>
  <c r="I360" i="1"/>
  <c r="J360" i="1"/>
  <c r="K360" i="1"/>
  <c r="L360" i="1"/>
  <c r="M360" i="1" s="1"/>
  <c r="N360" i="1"/>
  <c r="O360" i="1"/>
  <c r="P360" i="1"/>
  <c r="Q360" i="1"/>
  <c r="R360" i="1"/>
  <c r="S360" i="1" s="1"/>
  <c r="T360" i="1"/>
  <c r="U360" i="1"/>
  <c r="V360" i="1"/>
  <c r="W360" i="1"/>
  <c r="X360" i="1"/>
  <c r="Y360" i="1"/>
  <c r="Z360" i="1"/>
  <c r="AA360" i="1"/>
  <c r="AB360" i="1"/>
  <c r="AC360" i="1"/>
  <c r="AD360" i="1" s="1"/>
  <c r="AE360" i="1"/>
  <c r="AF360" i="1"/>
  <c r="AG360" i="1"/>
  <c r="AH360" i="1" s="1"/>
  <c r="AI360" i="1"/>
  <c r="AJ360" i="1"/>
  <c r="AL360" i="1"/>
  <c r="AM360" i="1"/>
  <c r="AN360" i="1"/>
  <c r="AO360" i="1"/>
  <c r="AP360" i="1"/>
  <c r="AQ360" i="1"/>
  <c r="AR360" i="1"/>
  <c r="AS360" i="1"/>
  <c r="AT360" i="1"/>
  <c r="AU360" i="1"/>
  <c r="AV360" i="1"/>
  <c r="AW360" i="1"/>
  <c r="AX360" i="1"/>
  <c r="AY360" i="1"/>
  <c r="AZ360" i="1"/>
  <c r="BA360" i="1"/>
  <c r="A361" i="1"/>
  <c r="B361" i="1"/>
  <c r="C361" i="1"/>
  <c r="D361" i="1"/>
  <c r="E361" i="1"/>
  <c r="F361" i="1"/>
  <c r="G361" i="1"/>
  <c r="H361" i="1"/>
  <c r="I361" i="1"/>
  <c r="J361" i="1"/>
  <c r="K361" i="1"/>
  <c r="L361" i="1"/>
  <c r="M361" i="1" s="1"/>
  <c r="N361" i="1"/>
  <c r="O361" i="1"/>
  <c r="P361" i="1"/>
  <c r="Q361" i="1"/>
  <c r="R361" i="1"/>
  <c r="S361" i="1" s="1"/>
  <c r="T361" i="1"/>
  <c r="U361" i="1"/>
  <c r="V361" i="1"/>
  <c r="W361" i="1"/>
  <c r="X361" i="1"/>
  <c r="Y361" i="1"/>
  <c r="Z361" i="1"/>
  <c r="AA361" i="1"/>
  <c r="AB361" i="1"/>
  <c r="AD361" i="1"/>
  <c r="AE361" i="1"/>
  <c r="AF361" i="1"/>
  <c r="AG361" i="1"/>
  <c r="AH361" i="1" s="1"/>
  <c r="AI361" i="1"/>
  <c r="AJ361" i="1"/>
  <c r="AL361" i="1"/>
  <c r="AM361" i="1"/>
  <c r="AN361" i="1"/>
  <c r="AO361" i="1"/>
  <c r="AP361" i="1"/>
  <c r="AQ361" i="1"/>
  <c r="AR361" i="1"/>
  <c r="AS361" i="1"/>
  <c r="AT361" i="1"/>
  <c r="AU361" i="1"/>
  <c r="AV361" i="1"/>
  <c r="AW361" i="1"/>
  <c r="AX361" i="1"/>
  <c r="AY361" i="1"/>
  <c r="AZ361" i="1"/>
  <c r="BA361" i="1"/>
  <c r="A362" i="1"/>
  <c r="B362" i="1"/>
  <c r="C362" i="1"/>
  <c r="D362" i="1"/>
  <c r="E362" i="1"/>
  <c r="F362" i="1"/>
  <c r="G362" i="1"/>
  <c r="H362" i="1"/>
  <c r="I362" i="1"/>
  <c r="J362" i="1"/>
  <c r="K362" i="1"/>
  <c r="L362" i="1"/>
  <c r="M362" i="1" s="1"/>
  <c r="N362" i="1"/>
  <c r="O362" i="1"/>
  <c r="P362" i="1"/>
  <c r="Q362" i="1"/>
  <c r="R362" i="1"/>
  <c r="S362" i="1" s="1"/>
  <c r="T362" i="1"/>
  <c r="U362" i="1"/>
  <c r="V362" i="1"/>
  <c r="W362" i="1"/>
  <c r="X362" i="1"/>
  <c r="Y362" i="1"/>
  <c r="Z362" i="1"/>
  <c r="AA362" i="1"/>
  <c r="AB362" i="1"/>
  <c r="AC362" i="1"/>
  <c r="AD362" i="1" s="1"/>
  <c r="AE362" i="1"/>
  <c r="AF362" i="1"/>
  <c r="AG362" i="1"/>
  <c r="AH362" i="1" s="1"/>
  <c r="AI362" i="1"/>
  <c r="AJ362" i="1"/>
  <c r="AL362" i="1"/>
  <c r="AM362" i="1"/>
  <c r="AN362" i="1"/>
  <c r="AO362" i="1"/>
  <c r="AP362" i="1"/>
  <c r="AQ362" i="1"/>
  <c r="AR362" i="1"/>
  <c r="AS362" i="1"/>
  <c r="AT362" i="1"/>
  <c r="AU362" i="1"/>
  <c r="AV362" i="1"/>
  <c r="AW362" i="1"/>
  <c r="AX362" i="1"/>
  <c r="AY362" i="1"/>
  <c r="AZ362" i="1"/>
  <c r="BA362" i="1"/>
  <c r="A363" i="1"/>
  <c r="B363" i="1"/>
  <c r="C363" i="1"/>
  <c r="D363" i="1"/>
  <c r="E363" i="1"/>
  <c r="F363" i="1"/>
  <c r="G363" i="1"/>
  <c r="H363" i="1"/>
  <c r="I363" i="1"/>
  <c r="J363" i="1"/>
  <c r="K363" i="1"/>
  <c r="M363" i="1"/>
  <c r="N363" i="1"/>
  <c r="O363" i="1"/>
  <c r="P363" i="1"/>
  <c r="Q363" i="1"/>
  <c r="S363" i="1"/>
  <c r="T363" i="1"/>
  <c r="U363" i="1"/>
  <c r="V363" i="1"/>
  <c r="W363" i="1"/>
  <c r="X363" i="1"/>
  <c r="Y363" i="1"/>
  <c r="Z363" i="1"/>
  <c r="AA363" i="1"/>
  <c r="AB363" i="1"/>
  <c r="AC363" i="1"/>
  <c r="AD363" i="1" s="1"/>
  <c r="AE363" i="1"/>
  <c r="AF363" i="1"/>
  <c r="AG363" i="1"/>
  <c r="AH363" i="1" s="1"/>
  <c r="AI363" i="1"/>
  <c r="AL363" i="1"/>
  <c r="AM363" i="1"/>
  <c r="AN363" i="1"/>
  <c r="AO363" i="1"/>
  <c r="AP363" i="1"/>
  <c r="AQ363" i="1"/>
  <c r="AR363" i="1"/>
  <c r="AS363" i="1"/>
  <c r="AT363" i="1"/>
  <c r="AU363" i="1"/>
  <c r="AV363" i="1"/>
  <c r="AW363" i="1"/>
  <c r="AX363" i="1"/>
  <c r="AY363" i="1"/>
  <c r="AZ363" i="1"/>
  <c r="BA363" i="1"/>
  <c r="A364" i="1"/>
  <c r="B364" i="1"/>
  <c r="C364" i="1"/>
  <c r="D364" i="1"/>
  <c r="E364" i="1"/>
  <c r="F364" i="1"/>
  <c r="G364" i="1"/>
  <c r="H364" i="1"/>
  <c r="I364" i="1"/>
  <c r="J364" i="1"/>
  <c r="K364" i="1"/>
  <c r="L364" i="1"/>
  <c r="M364" i="1" s="1"/>
  <c r="N364" i="1"/>
  <c r="O364" i="1"/>
  <c r="P364" i="1"/>
  <c r="Q364" i="1"/>
  <c r="R364" i="1"/>
  <c r="S364" i="1" s="1"/>
  <c r="T364" i="1"/>
  <c r="U364" i="1"/>
  <c r="V364" i="1"/>
  <c r="W364" i="1"/>
  <c r="X364" i="1"/>
  <c r="Y364" i="1"/>
  <c r="Z364" i="1"/>
  <c r="AA364" i="1"/>
  <c r="AB364" i="1"/>
  <c r="AC364" i="1"/>
  <c r="AD364" i="1" s="1"/>
  <c r="AE364" i="1"/>
  <c r="AF364" i="1"/>
  <c r="AG364" i="1"/>
  <c r="AH364" i="1" s="1"/>
  <c r="AI364" i="1"/>
  <c r="AJ364" i="1"/>
  <c r="AL364" i="1"/>
  <c r="AM364" i="1"/>
  <c r="AN364" i="1"/>
  <c r="AO364" i="1"/>
  <c r="AP364" i="1"/>
  <c r="AQ364" i="1"/>
  <c r="AR364" i="1"/>
  <c r="AS364" i="1"/>
  <c r="AT364" i="1"/>
  <c r="AU364" i="1"/>
  <c r="AV364" i="1"/>
  <c r="AW364" i="1"/>
  <c r="AX364" i="1"/>
  <c r="AY364" i="1"/>
  <c r="AZ364" i="1"/>
  <c r="BA364" i="1"/>
  <c r="A365" i="1"/>
  <c r="B365" i="1"/>
  <c r="C365" i="1"/>
  <c r="D365" i="1"/>
  <c r="E365" i="1"/>
  <c r="F365" i="1"/>
  <c r="G365" i="1"/>
  <c r="H365" i="1"/>
  <c r="I365" i="1"/>
  <c r="J365" i="1"/>
  <c r="K365" i="1"/>
  <c r="L365" i="1"/>
  <c r="M365" i="1" s="1"/>
  <c r="N365" i="1"/>
  <c r="O365" i="1"/>
  <c r="P365" i="1"/>
  <c r="Q365" i="1"/>
  <c r="R365" i="1"/>
  <c r="S365" i="1" s="1"/>
  <c r="T365" i="1"/>
  <c r="U365" i="1"/>
  <c r="V365" i="1"/>
  <c r="W365" i="1"/>
  <c r="X365" i="1"/>
  <c r="Y365" i="1"/>
  <c r="Z365" i="1"/>
  <c r="AA365" i="1"/>
  <c r="AB365" i="1"/>
  <c r="AD365" i="1"/>
  <c r="AE365" i="1"/>
  <c r="AF365" i="1"/>
  <c r="AG365" i="1"/>
  <c r="AH365" i="1" s="1"/>
  <c r="AI365" i="1"/>
  <c r="AJ365" i="1"/>
  <c r="AL365" i="1"/>
  <c r="AM365" i="1"/>
  <c r="AN365" i="1"/>
  <c r="AO365" i="1"/>
  <c r="AP365" i="1"/>
  <c r="AQ365" i="1"/>
  <c r="AR365" i="1"/>
  <c r="AS365" i="1"/>
  <c r="AT365" i="1"/>
  <c r="AU365" i="1"/>
  <c r="AV365" i="1"/>
  <c r="AW365" i="1"/>
  <c r="AX365" i="1"/>
  <c r="AY365" i="1"/>
  <c r="AZ365" i="1"/>
  <c r="BA365" i="1"/>
  <c r="A366" i="1"/>
  <c r="B366" i="1"/>
  <c r="C366" i="1"/>
  <c r="D366" i="1"/>
  <c r="E366" i="1"/>
  <c r="F366" i="1"/>
  <c r="G366" i="1"/>
  <c r="H366" i="1"/>
  <c r="I366" i="1"/>
  <c r="J366" i="1"/>
  <c r="K366" i="1"/>
  <c r="L366" i="1"/>
  <c r="M366" i="1" s="1"/>
  <c r="N366" i="1"/>
  <c r="O366" i="1"/>
  <c r="P366" i="1"/>
  <c r="Q366" i="1"/>
  <c r="R366" i="1"/>
  <c r="S366" i="1" s="1"/>
  <c r="T366" i="1"/>
  <c r="U366" i="1"/>
  <c r="V366" i="1"/>
  <c r="W366" i="1"/>
  <c r="X366" i="1"/>
  <c r="Y366" i="1"/>
  <c r="Z366" i="1"/>
  <c r="AA366" i="1"/>
  <c r="AB366" i="1"/>
  <c r="AC366" i="1"/>
  <c r="AD366" i="1" s="1"/>
  <c r="AE366" i="1"/>
  <c r="AF366" i="1"/>
  <c r="AG366" i="1"/>
  <c r="AH366" i="1" s="1"/>
  <c r="AI366" i="1"/>
  <c r="AL366" i="1"/>
  <c r="AM366" i="1"/>
  <c r="AN366" i="1"/>
  <c r="AO366" i="1"/>
  <c r="AP366" i="1"/>
  <c r="AQ366" i="1"/>
  <c r="AR366" i="1"/>
  <c r="AS366" i="1"/>
  <c r="AT366" i="1"/>
  <c r="AU366" i="1"/>
  <c r="AV366" i="1"/>
  <c r="AW366" i="1"/>
  <c r="AX366" i="1"/>
  <c r="AY366" i="1"/>
  <c r="AZ366" i="1"/>
  <c r="BA366" i="1"/>
  <c r="A367" i="1"/>
  <c r="B367" i="1"/>
  <c r="C367" i="1"/>
  <c r="D367" i="1"/>
  <c r="E367" i="1"/>
  <c r="F367" i="1"/>
  <c r="G367" i="1"/>
  <c r="H367" i="1"/>
  <c r="I367" i="1"/>
  <c r="J367" i="1"/>
  <c r="K367" i="1"/>
  <c r="L367" i="1"/>
  <c r="M367" i="1" s="1"/>
  <c r="N367" i="1"/>
  <c r="O367" i="1"/>
  <c r="P367" i="1"/>
  <c r="Q367" i="1"/>
  <c r="S367" i="1"/>
  <c r="T367" i="1"/>
  <c r="U367" i="1"/>
  <c r="V367" i="1"/>
  <c r="W367" i="1"/>
  <c r="X367" i="1"/>
  <c r="Y367" i="1"/>
  <c r="Z367" i="1"/>
  <c r="AA367" i="1"/>
  <c r="AB367" i="1"/>
  <c r="AC367" i="1"/>
  <c r="AD367" i="1" s="1"/>
  <c r="AE367" i="1"/>
  <c r="AF367" i="1"/>
  <c r="AG367" i="1"/>
  <c r="AH367" i="1" s="1"/>
  <c r="AI367" i="1"/>
  <c r="AJ367" i="1"/>
  <c r="AL367" i="1"/>
  <c r="AM367" i="1"/>
  <c r="AN367" i="1"/>
  <c r="AO367" i="1"/>
  <c r="AP367" i="1"/>
  <c r="AQ367" i="1"/>
  <c r="AR367" i="1"/>
  <c r="AS367" i="1"/>
  <c r="AT367" i="1"/>
  <c r="AU367" i="1"/>
  <c r="AV367" i="1"/>
  <c r="AW367" i="1"/>
  <c r="AX367" i="1"/>
  <c r="AY367" i="1"/>
  <c r="AZ367" i="1"/>
  <c r="BA367" i="1"/>
  <c r="A368" i="1"/>
  <c r="B368" i="1"/>
  <c r="C368" i="1"/>
  <c r="D368" i="1"/>
  <c r="E368" i="1"/>
  <c r="F368" i="1"/>
  <c r="G368" i="1"/>
  <c r="H368" i="1"/>
  <c r="I368" i="1"/>
  <c r="J368" i="1"/>
  <c r="K368" i="1"/>
  <c r="L368" i="1"/>
  <c r="M368" i="1" s="1"/>
  <c r="N368" i="1"/>
  <c r="O368" i="1"/>
  <c r="P368" i="1"/>
  <c r="Q368" i="1"/>
  <c r="R368" i="1"/>
  <c r="S368" i="1" s="1"/>
  <c r="T368" i="1"/>
  <c r="U368" i="1"/>
  <c r="V368" i="1"/>
  <c r="W368" i="1"/>
  <c r="X368" i="1"/>
  <c r="Y368" i="1"/>
  <c r="Z368" i="1"/>
  <c r="AA368" i="1"/>
  <c r="AB368" i="1"/>
  <c r="AC368" i="1"/>
  <c r="AD368" i="1" s="1"/>
  <c r="AE368" i="1"/>
  <c r="AF368" i="1"/>
  <c r="AG368" i="1"/>
  <c r="AH368" i="1" s="1"/>
  <c r="AI368" i="1"/>
  <c r="AJ368" i="1"/>
  <c r="AL368" i="1"/>
  <c r="AM368" i="1"/>
  <c r="AN368" i="1"/>
  <c r="AO368" i="1"/>
  <c r="AP368" i="1"/>
  <c r="AQ368" i="1"/>
  <c r="AR368" i="1"/>
  <c r="AS368" i="1"/>
  <c r="AT368" i="1"/>
  <c r="AU368" i="1"/>
  <c r="AV368" i="1"/>
  <c r="AW368" i="1"/>
  <c r="AX368" i="1"/>
  <c r="AY368" i="1"/>
  <c r="AZ368" i="1"/>
  <c r="BA368" i="1"/>
  <c r="A369" i="1"/>
  <c r="B369" i="1"/>
  <c r="C369" i="1"/>
  <c r="D369" i="1"/>
  <c r="E369" i="1"/>
  <c r="F369" i="1"/>
  <c r="G369" i="1"/>
  <c r="H369" i="1"/>
  <c r="I369" i="1"/>
  <c r="J369" i="1"/>
  <c r="K369" i="1"/>
  <c r="L369" i="1"/>
  <c r="M369" i="1" s="1"/>
  <c r="N369" i="1"/>
  <c r="O369" i="1"/>
  <c r="P369" i="1"/>
  <c r="Q369" i="1"/>
  <c r="R369" i="1"/>
  <c r="S369" i="1" s="1"/>
  <c r="T369" i="1"/>
  <c r="U369" i="1"/>
  <c r="V369" i="1"/>
  <c r="W369" i="1"/>
  <c r="X369" i="1"/>
  <c r="Y369" i="1"/>
  <c r="Z369" i="1"/>
  <c r="AA369" i="1"/>
  <c r="AB369" i="1"/>
  <c r="AC369" i="1"/>
  <c r="AD369" i="1" s="1"/>
  <c r="AE369" i="1"/>
  <c r="AF369" i="1"/>
  <c r="AG369" i="1"/>
  <c r="AH369" i="1" s="1"/>
  <c r="AI369" i="1"/>
  <c r="AJ369" i="1"/>
  <c r="AL369" i="1"/>
  <c r="AM369" i="1"/>
  <c r="AN369" i="1"/>
  <c r="AO369" i="1"/>
  <c r="AP369" i="1"/>
  <c r="AQ369" i="1"/>
  <c r="AR369" i="1"/>
  <c r="AS369" i="1"/>
  <c r="AT369" i="1"/>
  <c r="AU369" i="1"/>
  <c r="AV369" i="1"/>
  <c r="AW369" i="1"/>
  <c r="AX369" i="1"/>
  <c r="AY369" i="1"/>
  <c r="AZ369" i="1"/>
  <c r="BA369" i="1"/>
  <c r="A370" i="1"/>
  <c r="B370" i="1"/>
  <c r="C370" i="1"/>
  <c r="D370" i="1"/>
  <c r="E370" i="1"/>
  <c r="F370" i="1"/>
  <c r="G370" i="1"/>
  <c r="H370" i="1"/>
  <c r="I370" i="1"/>
  <c r="J370" i="1"/>
  <c r="K370" i="1"/>
  <c r="L370" i="1"/>
  <c r="M370" i="1" s="1"/>
  <c r="N370" i="1"/>
  <c r="O370" i="1"/>
  <c r="P370" i="1"/>
  <c r="Q370" i="1"/>
  <c r="R370" i="1"/>
  <c r="S370" i="1" s="1"/>
  <c r="T370" i="1"/>
  <c r="U370" i="1"/>
  <c r="V370" i="1"/>
  <c r="W370" i="1"/>
  <c r="X370" i="1"/>
  <c r="Y370" i="1"/>
  <c r="Z370" i="1"/>
  <c r="AA370" i="1"/>
  <c r="AB370" i="1"/>
  <c r="AC370" i="1"/>
  <c r="AD370" i="1" s="1"/>
  <c r="AE370" i="1"/>
  <c r="AF370" i="1"/>
  <c r="AG370" i="1"/>
  <c r="AH370" i="1" s="1"/>
  <c r="AI370" i="1"/>
  <c r="AJ370" i="1"/>
  <c r="AL370" i="1"/>
  <c r="AM370" i="1"/>
  <c r="AN370" i="1"/>
  <c r="AO370" i="1"/>
  <c r="AP370" i="1"/>
  <c r="AQ370" i="1"/>
  <c r="AR370" i="1"/>
  <c r="AS370" i="1"/>
  <c r="AT370" i="1"/>
  <c r="AU370" i="1"/>
  <c r="AV370" i="1"/>
  <c r="AW370" i="1"/>
  <c r="AX370" i="1"/>
  <c r="AY370" i="1"/>
  <c r="AZ370" i="1"/>
  <c r="BA370" i="1"/>
  <c r="AF452" i="9" l="1"/>
  <c r="AF451" i="9"/>
  <c r="AF450" i="9"/>
  <c r="AF449" i="9"/>
  <c r="AF448" i="9"/>
  <c r="AF447" i="9"/>
  <c r="AF446" i="9"/>
  <c r="AF445" i="9"/>
  <c r="AF444" i="9"/>
  <c r="AF443" i="9"/>
  <c r="AF442" i="9"/>
  <c r="AF441" i="9"/>
  <c r="AF439" i="9"/>
  <c r="AF438" i="9"/>
  <c r="AF437" i="9"/>
  <c r="AF436" i="9"/>
  <c r="AF435" i="9"/>
  <c r="AF434" i="9"/>
  <c r="AF432" i="9"/>
  <c r="AF431" i="9"/>
  <c r="AF430" i="9"/>
  <c r="AF429" i="9"/>
  <c r="AF428" i="9"/>
  <c r="AF427" i="9"/>
  <c r="AF425" i="9"/>
  <c r="AF424" i="9"/>
  <c r="AF423" i="9"/>
  <c r="AF422" i="9"/>
  <c r="AF421" i="9"/>
  <c r="AF420" i="9"/>
  <c r="AF419" i="9"/>
  <c r="AF417" i="9"/>
  <c r="AF416" i="9"/>
  <c r="AF415" i="9"/>
  <c r="AF414" i="9"/>
  <c r="AF413" i="9"/>
  <c r="AF411" i="9"/>
  <c r="AF410" i="9"/>
  <c r="AF409" i="9"/>
  <c r="AF408" i="9"/>
  <c r="AF407" i="9"/>
  <c r="AF406" i="9"/>
  <c r="AF404" i="9"/>
  <c r="AF403" i="9"/>
  <c r="AF402" i="9"/>
  <c r="AF401" i="9"/>
  <c r="AF400" i="9"/>
  <c r="AF399" i="9"/>
  <c r="AF398" i="9"/>
  <c r="AF397" i="9"/>
  <c r="AF396" i="9"/>
  <c r="AF394" i="9"/>
  <c r="AF393" i="9"/>
  <c r="AF392" i="9"/>
  <c r="AF391" i="9"/>
  <c r="AF390" i="9"/>
  <c r="AF389" i="9"/>
  <c r="AF388" i="9"/>
  <c r="AF387" i="9"/>
  <c r="AF386" i="9"/>
  <c r="AF385" i="9"/>
  <c r="AB383" i="9"/>
  <c r="AF382" i="9"/>
  <c r="AF381" i="9"/>
  <c r="AF380" i="9"/>
  <c r="AF379" i="9"/>
  <c r="AF378" i="9"/>
  <c r="AF377" i="9"/>
  <c r="AF376" i="9"/>
  <c r="AF374" i="9"/>
  <c r="AF373" i="9"/>
  <c r="AF372" i="9"/>
  <c r="AF371" i="9"/>
  <c r="AF370" i="9"/>
  <c r="AF369" i="9"/>
  <c r="AF368" i="9"/>
  <c r="AF366" i="9"/>
  <c r="AF365" i="9"/>
  <c r="AF364" i="9"/>
  <c r="AF363" i="9"/>
  <c r="AF362" i="9"/>
  <c r="AF361" i="9"/>
  <c r="AF360" i="9"/>
  <c r="AF358" i="9"/>
  <c r="AF357" i="9"/>
  <c r="AF356" i="9"/>
  <c r="AF355" i="9"/>
  <c r="AF354" i="9"/>
  <c r="AF353" i="9"/>
  <c r="AF352" i="9"/>
  <c r="AF351" i="9"/>
  <c r="AF350" i="9"/>
  <c r="AF349" i="9"/>
  <c r="AF348" i="9"/>
  <c r="AF347" i="9"/>
  <c r="AF346" i="9"/>
  <c r="AF345" i="9"/>
  <c r="AF344" i="9"/>
  <c r="AF342" i="9"/>
  <c r="AF341" i="9"/>
  <c r="AF340" i="9"/>
  <c r="AF339" i="9"/>
  <c r="AF338" i="9"/>
  <c r="AF337" i="9"/>
  <c r="AF336" i="9"/>
  <c r="AF334" i="9"/>
  <c r="AF333" i="9"/>
  <c r="AF332" i="9"/>
  <c r="AF331" i="9"/>
  <c r="AF330" i="9"/>
  <c r="AF329" i="9"/>
  <c r="AF328" i="9"/>
  <c r="AF326" i="9"/>
  <c r="AF325" i="9"/>
  <c r="AF324" i="9"/>
  <c r="AF323" i="9"/>
  <c r="AF322" i="9"/>
  <c r="AF321" i="9"/>
  <c r="AF320" i="9"/>
  <c r="AF318" i="9"/>
  <c r="AF317" i="9"/>
  <c r="AF316" i="9"/>
  <c r="AF315" i="9"/>
  <c r="AF314" i="9"/>
  <c r="AF313" i="9"/>
  <c r="AF312" i="9"/>
  <c r="AF310" i="9"/>
  <c r="AF309" i="9"/>
  <c r="AF308" i="9"/>
  <c r="AF307" i="9"/>
  <c r="AF306" i="9"/>
  <c r="AF305" i="9"/>
  <c r="AF304" i="9"/>
  <c r="AF295" i="9"/>
  <c r="U295" i="9"/>
  <c r="N295" i="9"/>
  <c r="G295" i="9"/>
  <c r="AB295" i="9" s="1"/>
  <c r="AF294" i="9"/>
  <c r="AF293" i="9"/>
  <c r="AF292" i="9"/>
  <c r="AF291" i="9"/>
  <c r="AF290" i="9"/>
  <c r="AF289" i="9"/>
  <c r="AS287" i="9"/>
  <c r="AQ287" i="9"/>
  <c r="AP287" i="9"/>
  <c r="AO287" i="9"/>
  <c r="AM287" i="9"/>
  <c r="AL287" i="9"/>
  <c r="AK287" i="9"/>
  <c r="AI287" i="9"/>
  <c r="AH287" i="9"/>
  <c r="AG287" i="9"/>
  <c r="AF287" i="9"/>
  <c r="AF286" i="9"/>
  <c r="AF285" i="9"/>
  <c r="AF284" i="9"/>
  <c r="AF283" i="9"/>
  <c r="AF282" i="9"/>
  <c r="AF281" i="9"/>
  <c r="AF280" i="9"/>
  <c r="AF279" i="9"/>
  <c r="AF278" i="9"/>
  <c r="AF277" i="9"/>
  <c r="AF276" i="9"/>
  <c r="AF275" i="9"/>
  <c r="AF274" i="9"/>
  <c r="AF273" i="9"/>
  <c r="AF272" i="9"/>
  <c r="AF270" i="9"/>
  <c r="U270" i="9"/>
  <c r="N270" i="9"/>
  <c r="G270" i="9"/>
  <c r="AF269" i="9"/>
  <c r="AF268" i="9"/>
  <c r="AF267" i="9"/>
  <c r="AF266" i="9"/>
  <c r="AF265" i="9"/>
  <c r="AF264" i="9"/>
  <c r="AF263" i="9"/>
  <c r="AF261" i="9"/>
  <c r="U261" i="9"/>
  <c r="N261" i="9"/>
  <c r="G261" i="9"/>
  <c r="AF260" i="9"/>
  <c r="AF259" i="9"/>
  <c r="AF258" i="9"/>
  <c r="AF257" i="9"/>
  <c r="AF256" i="9"/>
  <c r="AF255" i="9"/>
  <c r="AF254" i="9"/>
  <c r="AF253" i="9"/>
  <c r="AF252" i="9"/>
  <c r="AF251" i="9"/>
  <c r="AF249" i="9"/>
  <c r="U249" i="9"/>
  <c r="N249" i="9"/>
  <c r="G249" i="9"/>
  <c r="AB249" i="9" s="1"/>
  <c r="AF248" i="9"/>
  <c r="AF247" i="9"/>
  <c r="AF246" i="9"/>
  <c r="AF245" i="9"/>
  <c r="AF244" i="9"/>
  <c r="AF243" i="9"/>
  <c r="AF241" i="9"/>
  <c r="U241" i="9"/>
  <c r="N241" i="9"/>
  <c r="G241" i="9"/>
  <c r="AF240" i="9"/>
  <c r="AF239" i="9"/>
  <c r="AF238" i="9"/>
  <c r="AF237" i="9"/>
  <c r="AF236" i="9"/>
  <c r="AF235" i="9"/>
  <c r="AF234" i="9"/>
  <c r="AF232" i="9"/>
  <c r="U232" i="9"/>
  <c r="N232" i="9"/>
  <c r="G232" i="9"/>
  <c r="AF231" i="9"/>
  <c r="AF230" i="9"/>
  <c r="AF229" i="9"/>
  <c r="AF228" i="9"/>
  <c r="AF227" i="9"/>
  <c r="AF226" i="9"/>
  <c r="AF225" i="9"/>
  <c r="AF224" i="9"/>
  <c r="AF223" i="9"/>
  <c r="AF222" i="9"/>
  <c r="AF221" i="9"/>
  <c r="AC219" i="9"/>
  <c r="AF218" i="9"/>
  <c r="U218" i="9"/>
  <c r="N218" i="9"/>
  <c r="G218" i="9"/>
  <c r="AB218" i="9" s="1"/>
  <c r="AF217" i="9"/>
  <c r="AF216" i="9"/>
  <c r="AF215" i="9"/>
  <c r="AF214" i="9"/>
  <c r="AF212" i="9"/>
  <c r="U212" i="9"/>
  <c r="N212" i="9"/>
  <c r="G212" i="9"/>
  <c r="AF211" i="9"/>
  <c r="AF210" i="9"/>
  <c r="AF209" i="9"/>
  <c r="AF208" i="9"/>
  <c r="AF206" i="9"/>
  <c r="U206" i="9"/>
  <c r="N206" i="9"/>
  <c r="G206" i="9"/>
  <c r="AB206" i="9" s="1"/>
  <c r="AF205" i="9"/>
  <c r="AF204" i="9"/>
  <c r="AF203" i="9"/>
  <c r="AF202" i="9"/>
  <c r="AF201" i="9"/>
  <c r="AF199" i="9"/>
  <c r="U199" i="9"/>
  <c r="N199" i="9"/>
  <c r="G199" i="9"/>
  <c r="AB199" i="9" s="1"/>
  <c r="AF198" i="9"/>
  <c r="AF197" i="9"/>
  <c r="AF196" i="9"/>
  <c r="AF195" i="9"/>
  <c r="AF194" i="9"/>
  <c r="AF191" i="9"/>
  <c r="U191" i="9"/>
  <c r="N191" i="9"/>
  <c r="G191" i="9"/>
  <c r="AB191" i="9" s="1"/>
  <c r="AF190" i="9"/>
  <c r="AF189" i="9"/>
  <c r="AF188" i="9"/>
  <c r="AF187" i="9"/>
  <c r="AF186" i="9"/>
  <c r="AF185" i="9"/>
  <c r="AF184" i="9"/>
  <c r="AF183" i="9"/>
  <c r="AF182" i="9"/>
  <c r="AF181" i="9"/>
  <c r="AF179" i="9"/>
  <c r="U179" i="9"/>
  <c r="N179" i="9"/>
  <c r="G179" i="9"/>
  <c r="AF178" i="9"/>
  <c r="AF177" i="9"/>
  <c r="AF176" i="9"/>
  <c r="AF175" i="9"/>
  <c r="AF174" i="9"/>
  <c r="AF172" i="9"/>
  <c r="AB172" i="9"/>
  <c r="U172" i="9"/>
  <c r="N172" i="9"/>
  <c r="G172" i="9"/>
  <c r="AF171" i="9"/>
  <c r="AF170" i="9"/>
  <c r="AF169" i="9"/>
  <c r="AF168" i="9"/>
  <c r="AF167" i="9"/>
  <c r="AS165" i="9"/>
  <c r="AQ165" i="9"/>
  <c r="AP165" i="9"/>
  <c r="AO165" i="9"/>
  <c r="AM165" i="9"/>
  <c r="AL165" i="9"/>
  <c r="AK165" i="9"/>
  <c r="AI165" i="9"/>
  <c r="AH165" i="9"/>
  <c r="AG165" i="9"/>
  <c r="AF165" i="9"/>
  <c r="AF164" i="9"/>
  <c r="AF163" i="9"/>
  <c r="AF162" i="9"/>
  <c r="AF161" i="9"/>
  <c r="AF160" i="9"/>
  <c r="AF159" i="9"/>
  <c r="AF158" i="9"/>
  <c r="AF157" i="9"/>
  <c r="AF156" i="9"/>
  <c r="AF155" i="9"/>
  <c r="AF154" i="9"/>
  <c r="AF153" i="9"/>
  <c r="AF152" i="9"/>
  <c r="AF148" i="9"/>
  <c r="AB148" i="9"/>
  <c r="U148" i="9"/>
  <c r="N148" i="9"/>
  <c r="G148" i="9"/>
  <c r="AF147" i="9"/>
  <c r="AF146" i="9"/>
  <c r="AF145" i="9"/>
  <c r="AF144" i="9"/>
  <c r="AF143" i="9"/>
  <c r="AS141" i="9"/>
  <c r="AQ141" i="9"/>
  <c r="AP141" i="9"/>
  <c r="AO141" i="9"/>
  <c r="AM141" i="9"/>
  <c r="AL141" i="9"/>
  <c r="AK141" i="9"/>
  <c r="AI141" i="9"/>
  <c r="AH141" i="9"/>
  <c r="AG141" i="9"/>
  <c r="AF141" i="9"/>
  <c r="AF140" i="9"/>
  <c r="AF139" i="9"/>
  <c r="AF138" i="9"/>
  <c r="AF137" i="9"/>
  <c r="AF136" i="9"/>
  <c r="AF135" i="9"/>
  <c r="AF134" i="9"/>
  <c r="AF133" i="9"/>
  <c r="AF132" i="9"/>
  <c r="AF131" i="9"/>
  <c r="AF130" i="9"/>
  <c r="AF129" i="9"/>
  <c r="AF125" i="9"/>
  <c r="AB125" i="9"/>
  <c r="U125" i="9"/>
  <c r="N125" i="9"/>
  <c r="G125" i="9"/>
  <c r="AF124" i="9"/>
  <c r="AF123" i="9"/>
  <c r="AF122" i="9"/>
  <c r="AF121" i="9"/>
  <c r="AF120" i="9"/>
  <c r="AS116" i="9"/>
  <c r="AF115" i="9"/>
  <c r="AB115" i="9"/>
  <c r="U115" i="9"/>
  <c r="N115" i="9"/>
  <c r="G115" i="9"/>
  <c r="AF114" i="9"/>
  <c r="AF113" i="9"/>
  <c r="AF112" i="9"/>
  <c r="AF111" i="9"/>
  <c r="AF110" i="9"/>
  <c r="AS108" i="9"/>
  <c r="AF107" i="9"/>
  <c r="AB107" i="9"/>
  <c r="U107" i="9"/>
  <c r="N107" i="9"/>
  <c r="G107" i="9"/>
  <c r="AF106" i="9"/>
  <c r="AF105" i="9"/>
  <c r="AF104" i="9"/>
  <c r="AF103" i="9"/>
  <c r="AF102" i="9"/>
  <c r="AS100" i="9"/>
  <c r="AQ100" i="9"/>
  <c r="AP100" i="9"/>
  <c r="AO100" i="9"/>
  <c r="AM100" i="9"/>
  <c r="AL100" i="9"/>
  <c r="AK100" i="9"/>
  <c r="AI100" i="9"/>
  <c r="AH100" i="9"/>
  <c r="AG100" i="9"/>
  <c r="AF100" i="9"/>
  <c r="AF99" i="9"/>
  <c r="AF98" i="9"/>
  <c r="AF97" i="9"/>
  <c r="AF96" i="9"/>
  <c r="AF95" i="9"/>
  <c r="AF94" i="9"/>
  <c r="AF93" i="9"/>
  <c r="AF92" i="9"/>
  <c r="AF91" i="9"/>
  <c r="AS89" i="9"/>
  <c r="AQ89" i="9"/>
  <c r="AP89" i="9"/>
  <c r="AO89" i="9"/>
  <c r="AM89" i="9"/>
  <c r="AL89" i="9"/>
  <c r="AK89" i="9"/>
  <c r="AI89" i="9"/>
  <c r="AH89" i="9"/>
  <c r="AG89" i="9"/>
  <c r="AF89" i="9"/>
  <c r="AF88" i="9"/>
  <c r="AF87" i="9"/>
  <c r="AF86" i="9"/>
  <c r="AF85" i="9"/>
  <c r="AF84" i="9"/>
  <c r="AF83" i="9"/>
  <c r="AF82" i="9"/>
  <c r="AF81" i="9"/>
  <c r="AF80" i="9"/>
  <c r="AF79" i="9"/>
  <c r="AF78" i="9"/>
  <c r="AF77" i="9"/>
  <c r="AF74" i="9"/>
  <c r="AB74" i="9"/>
  <c r="U74" i="9"/>
  <c r="N74" i="9"/>
  <c r="G74" i="9"/>
  <c r="AF73" i="9"/>
  <c r="AF72" i="9"/>
  <c r="AF71" i="9"/>
  <c r="AF70" i="9"/>
  <c r="AF69" i="9"/>
  <c r="AF68" i="9"/>
  <c r="AF67" i="9"/>
  <c r="AS65" i="9"/>
  <c r="AQ65" i="9"/>
  <c r="AP65" i="9"/>
  <c r="AO65" i="9"/>
  <c r="AM65" i="9"/>
  <c r="AL65" i="9"/>
  <c r="AK65" i="9"/>
  <c r="AI65" i="9"/>
  <c r="AH65" i="9"/>
  <c r="AG65" i="9"/>
  <c r="AF65" i="9"/>
  <c r="AF64" i="9"/>
  <c r="AF63" i="9"/>
  <c r="AF62" i="9"/>
  <c r="AF61" i="9"/>
  <c r="AF60" i="9"/>
  <c r="AF59" i="9"/>
  <c r="AF58" i="9"/>
  <c r="AF57" i="9"/>
  <c r="AF56" i="9"/>
  <c r="AF55" i="9"/>
  <c r="AF54" i="9"/>
  <c r="AF53" i="9"/>
  <c r="AF51" i="9"/>
  <c r="AB51" i="9"/>
  <c r="U51" i="9"/>
  <c r="N51" i="9"/>
  <c r="G51" i="9"/>
  <c r="AF50" i="9"/>
  <c r="AF49" i="9"/>
  <c r="AF48" i="9"/>
  <c r="AF47" i="9"/>
  <c r="AF46" i="9"/>
  <c r="AF44" i="9"/>
  <c r="AB44" i="9"/>
  <c r="U44" i="9"/>
  <c r="N44" i="9"/>
  <c r="G44" i="9"/>
  <c r="AF43" i="9"/>
  <c r="AF42" i="9"/>
  <c r="AF41" i="9"/>
  <c r="AF40" i="9"/>
  <c r="AF39" i="9"/>
  <c r="AF38" i="9"/>
  <c r="AF37" i="9"/>
  <c r="AF35" i="9"/>
  <c r="AB35" i="9"/>
  <c r="U35" i="9"/>
  <c r="N35" i="9"/>
  <c r="G35" i="9"/>
  <c r="AF34" i="9"/>
  <c r="AF33" i="9"/>
  <c r="AF32" i="9"/>
  <c r="AF31" i="9"/>
  <c r="AF30" i="9"/>
  <c r="AF29" i="9"/>
  <c r="AB27" i="9"/>
  <c r="U27" i="9"/>
  <c r="N27" i="9"/>
  <c r="G27" i="9"/>
  <c r="AF26" i="9"/>
  <c r="AF25" i="9"/>
  <c r="AF24" i="9"/>
  <c r="AF23" i="9"/>
  <c r="AF22" i="9"/>
  <c r="AF19" i="9"/>
  <c r="AB19" i="9"/>
  <c r="U19" i="9"/>
  <c r="N19" i="9"/>
  <c r="G19" i="9"/>
  <c r="AF18" i="9"/>
  <c r="AF17" i="9"/>
  <c r="AF16" i="9"/>
  <c r="AF15" i="9"/>
  <c r="AF14" i="9"/>
  <c r="AB179" i="9" l="1"/>
  <c r="AB212" i="9"/>
  <c r="AB232" i="9"/>
  <c r="AB241" i="9"/>
  <c r="AB261" i="9"/>
  <c r="AB270" i="9"/>
  <c r="BB214" i="1"/>
  <c r="BC214" i="1"/>
  <c r="BD214" i="1"/>
  <c r="BB215" i="1"/>
  <c r="BC215" i="1"/>
  <c r="BD215" i="1"/>
  <c r="BB216" i="1"/>
  <c r="BC216" i="1"/>
  <c r="BD216" i="1"/>
  <c r="BB217" i="1"/>
  <c r="BC217" i="1"/>
  <c r="BD217" i="1"/>
  <c r="BB218" i="1"/>
  <c r="BC218" i="1"/>
  <c r="BD218" i="1"/>
  <c r="BB219" i="1"/>
  <c r="BC219" i="1"/>
  <c r="BD219" i="1"/>
  <c r="BB220" i="1"/>
  <c r="BC220" i="1"/>
  <c r="BD220" i="1"/>
  <c r="BB221" i="1"/>
  <c r="BC221" i="1"/>
  <c r="BD221" i="1"/>
  <c r="BB222" i="1"/>
  <c r="BC222" i="1"/>
  <c r="BD222" i="1"/>
  <c r="BB223" i="1"/>
  <c r="BC223" i="1"/>
  <c r="BD223" i="1"/>
  <c r="BB224" i="1"/>
  <c r="BC224" i="1"/>
  <c r="BD224" i="1"/>
  <c r="BB225" i="1"/>
  <c r="BC225" i="1"/>
  <c r="BD225" i="1"/>
  <c r="BB226" i="1"/>
  <c r="BC226" i="1"/>
  <c r="BD226" i="1"/>
  <c r="BB227" i="1"/>
  <c r="BC227" i="1"/>
  <c r="BD227" i="1"/>
  <c r="BB228" i="1"/>
  <c r="BC228" i="1"/>
  <c r="BD228" i="1"/>
  <c r="BB229" i="1"/>
  <c r="BC229" i="1"/>
  <c r="BD229" i="1"/>
  <c r="BB230" i="1"/>
  <c r="BC230" i="1"/>
  <c r="BD230" i="1"/>
  <c r="BB231" i="1"/>
  <c r="BC231" i="1"/>
  <c r="BD231" i="1"/>
  <c r="BB232" i="1"/>
  <c r="BC232" i="1"/>
  <c r="BD232" i="1"/>
  <c r="BB233" i="1"/>
  <c r="BC233" i="1"/>
  <c r="BD233" i="1"/>
  <c r="BB234" i="1"/>
  <c r="BC234" i="1"/>
  <c r="BD234" i="1"/>
  <c r="BB235" i="1"/>
  <c r="BC235" i="1"/>
  <c r="BD235" i="1"/>
  <c r="BB236" i="1"/>
  <c r="BC236" i="1"/>
  <c r="BD236" i="1"/>
  <c r="BB237" i="1"/>
  <c r="BC237" i="1"/>
  <c r="BD237" i="1"/>
  <c r="BB238" i="1"/>
  <c r="BC238" i="1"/>
  <c r="BD238" i="1"/>
  <c r="BB239" i="1"/>
  <c r="BC239" i="1"/>
  <c r="BD239" i="1"/>
  <c r="BB240" i="1"/>
  <c r="BC240" i="1"/>
  <c r="BD240" i="1"/>
  <c r="BB241" i="1"/>
  <c r="BC241" i="1"/>
  <c r="BD241" i="1"/>
  <c r="BB242" i="1"/>
  <c r="BC242" i="1"/>
  <c r="BD242" i="1"/>
  <c r="BB243" i="1"/>
  <c r="BC243" i="1"/>
  <c r="BD243" i="1"/>
  <c r="BB244" i="1"/>
  <c r="BC244" i="1"/>
  <c r="BD244" i="1"/>
  <c r="BB245" i="1"/>
  <c r="BC245" i="1"/>
  <c r="BD245" i="1"/>
  <c r="BB246" i="1"/>
  <c r="BC246" i="1"/>
  <c r="BD246" i="1"/>
  <c r="BB247" i="1"/>
  <c r="BC247" i="1"/>
  <c r="BD247" i="1"/>
  <c r="BB248" i="1"/>
  <c r="BC248" i="1"/>
  <c r="BD248" i="1"/>
  <c r="BB249" i="1"/>
  <c r="BC249" i="1"/>
  <c r="BD249" i="1"/>
  <c r="BB250" i="1"/>
  <c r="BC250" i="1"/>
  <c r="BD250" i="1"/>
  <c r="BB251" i="1"/>
  <c r="BC251" i="1"/>
  <c r="BD251" i="1"/>
  <c r="BB252" i="1"/>
  <c r="BC252" i="1"/>
  <c r="BD252" i="1"/>
  <c r="BB253" i="1"/>
  <c r="BC253" i="1"/>
  <c r="BD253" i="1"/>
  <c r="BB254" i="1"/>
  <c r="BC254" i="1"/>
  <c r="BD254" i="1"/>
  <c r="BB255" i="1"/>
  <c r="BC255" i="1"/>
  <c r="BD255" i="1"/>
  <c r="BB256" i="1"/>
  <c r="BC256" i="1"/>
  <c r="BD256" i="1"/>
  <c r="BB257" i="1"/>
  <c r="BC257" i="1"/>
  <c r="BD257" i="1"/>
  <c r="BB258" i="1"/>
  <c r="BC258" i="1"/>
  <c r="BD258" i="1"/>
  <c r="BB259" i="1"/>
  <c r="BC259" i="1"/>
  <c r="BD259" i="1"/>
  <c r="BB260" i="1"/>
  <c r="BC260" i="1"/>
  <c r="BD260" i="1"/>
  <c r="BB261" i="1"/>
  <c r="BC261" i="1"/>
  <c r="BD261" i="1"/>
  <c r="BB262" i="1"/>
  <c r="BC262" i="1"/>
  <c r="BD262" i="1"/>
  <c r="BB263" i="1"/>
  <c r="BC263" i="1"/>
  <c r="BD263" i="1"/>
  <c r="BB264" i="1"/>
  <c r="BC264" i="1"/>
  <c r="BD264" i="1"/>
  <c r="BB265" i="1"/>
  <c r="BC265" i="1"/>
  <c r="BD265" i="1"/>
  <c r="BB266" i="1"/>
  <c r="BC266" i="1"/>
  <c r="BD266" i="1"/>
  <c r="BB267" i="1"/>
  <c r="BC267" i="1"/>
  <c r="BD267" i="1"/>
  <c r="BB268" i="1"/>
  <c r="BC268" i="1"/>
  <c r="BD268" i="1"/>
  <c r="BB269" i="1"/>
  <c r="BC269" i="1"/>
  <c r="BD269" i="1"/>
  <c r="BB270" i="1"/>
  <c r="BC270" i="1"/>
  <c r="BD270" i="1"/>
  <c r="BB271" i="1"/>
  <c r="BC271" i="1"/>
  <c r="BD271" i="1"/>
  <c r="BB272" i="1"/>
  <c r="BC272" i="1"/>
  <c r="BD272" i="1"/>
  <c r="BB273" i="1"/>
  <c r="BC273" i="1"/>
  <c r="BD273" i="1"/>
  <c r="BB274" i="1"/>
  <c r="BC274" i="1"/>
  <c r="BD274" i="1"/>
  <c r="BB275" i="1"/>
  <c r="BC275" i="1"/>
  <c r="BD275" i="1"/>
  <c r="BB276" i="1"/>
  <c r="BC276" i="1"/>
  <c r="BD276" i="1"/>
  <c r="BB277" i="1"/>
  <c r="BC277" i="1"/>
  <c r="BD277" i="1"/>
  <c r="BB278" i="1"/>
  <c r="BC278" i="1"/>
  <c r="BD278" i="1"/>
  <c r="BB279" i="1"/>
  <c r="BC279" i="1"/>
  <c r="BD279" i="1"/>
  <c r="BB280" i="1"/>
  <c r="BC280" i="1"/>
  <c r="BD280" i="1"/>
  <c r="BB281" i="1"/>
  <c r="BC281" i="1"/>
  <c r="BD281" i="1"/>
  <c r="BB282" i="1"/>
  <c r="BC282" i="1"/>
  <c r="BD282" i="1"/>
  <c r="BB283" i="1"/>
  <c r="BC283" i="1"/>
  <c r="BD283" i="1"/>
  <c r="BB284" i="1"/>
  <c r="BC284" i="1"/>
  <c r="BD284" i="1"/>
  <c r="BB285" i="1"/>
  <c r="BC285" i="1"/>
  <c r="BD285" i="1"/>
  <c r="BB286" i="1"/>
  <c r="BC286" i="1"/>
  <c r="BD286" i="1"/>
  <c r="BB287" i="1"/>
  <c r="BC287" i="1"/>
  <c r="BD287" i="1"/>
  <c r="BB288" i="1"/>
  <c r="BC288" i="1"/>
  <c r="BD288" i="1"/>
  <c r="BB289" i="1"/>
  <c r="BC289" i="1"/>
  <c r="BD289" i="1"/>
  <c r="BB290" i="1"/>
  <c r="BC290" i="1"/>
  <c r="BD290" i="1"/>
  <c r="BB291" i="1"/>
  <c r="BC291" i="1"/>
  <c r="BD291" i="1"/>
  <c r="BB292" i="1"/>
  <c r="BC292" i="1"/>
  <c r="BD292" i="1"/>
  <c r="BB293" i="1"/>
  <c r="BC293" i="1"/>
  <c r="BD293" i="1"/>
  <c r="BB294" i="1"/>
  <c r="BC294" i="1"/>
  <c r="BD294" i="1"/>
  <c r="BB295" i="1"/>
  <c r="BC295" i="1"/>
  <c r="BD295" i="1"/>
  <c r="BB296" i="1"/>
  <c r="BC296" i="1"/>
  <c r="BD296" i="1"/>
  <c r="BB297" i="1"/>
  <c r="BC297" i="1"/>
  <c r="BD297" i="1"/>
  <c r="BB298" i="1"/>
  <c r="BC298" i="1"/>
  <c r="BD298" i="1"/>
  <c r="BB299" i="1"/>
  <c r="BC299" i="1"/>
  <c r="BD299" i="1"/>
  <c r="BB300" i="1"/>
  <c r="BC300" i="1"/>
  <c r="BD300" i="1"/>
  <c r="BB301" i="1"/>
  <c r="BC301" i="1"/>
  <c r="BD301" i="1"/>
  <c r="BB302" i="1"/>
  <c r="BC302" i="1"/>
  <c r="BD302" i="1"/>
  <c r="BB303" i="1"/>
  <c r="BC303" i="1"/>
  <c r="BD303" i="1"/>
  <c r="BB304" i="1"/>
  <c r="BC304" i="1"/>
  <c r="BD304" i="1"/>
  <c r="BB305" i="1"/>
  <c r="BC305" i="1"/>
  <c r="BD305" i="1"/>
  <c r="BB306" i="1"/>
  <c r="BC306" i="1"/>
  <c r="BD306" i="1"/>
  <c r="BB307" i="1"/>
  <c r="BC307" i="1"/>
  <c r="BD307" i="1"/>
  <c r="BB308" i="1"/>
  <c r="BC308" i="1"/>
  <c r="BD308" i="1"/>
  <c r="BB309" i="1"/>
  <c r="BC309" i="1"/>
  <c r="BD309" i="1"/>
  <c r="BB310" i="1"/>
  <c r="BC310" i="1"/>
  <c r="BD310" i="1"/>
  <c r="BB311" i="1"/>
  <c r="BC311" i="1"/>
  <c r="BD311" i="1"/>
  <c r="BB312" i="1"/>
  <c r="BC312" i="1"/>
  <c r="BD312" i="1"/>
  <c r="BB313" i="1"/>
  <c r="BC313" i="1"/>
  <c r="BD313" i="1"/>
  <c r="BB314" i="1"/>
  <c r="BC314" i="1"/>
  <c r="BD314" i="1"/>
  <c r="BB315" i="1"/>
  <c r="BC315" i="1"/>
  <c r="BD315" i="1"/>
  <c r="BB316" i="1"/>
  <c r="BC316" i="1"/>
  <c r="BD316" i="1"/>
  <c r="BB317" i="1"/>
  <c r="BC317" i="1"/>
  <c r="BD317" i="1"/>
  <c r="BB318" i="1"/>
  <c r="BC318" i="1"/>
  <c r="BD318" i="1"/>
  <c r="BB319" i="1"/>
  <c r="BC319" i="1"/>
  <c r="BD319" i="1"/>
  <c r="BB320" i="1"/>
  <c r="BC320" i="1"/>
  <c r="BD320" i="1"/>
  <c r="BB321" i="1"/>
  <c r="BC321" i="1"/>
  <c r="BD321" i="1"/>
  <c r="BB322" i="1"/>
  <c r="BC322" i="1"/>
  <c r="BD322" i="1"/>
  <c r="BB323" i="1"/>
  <c r="BC323" i="1"/>
  <c r="BD323" i="1"/>
  <c r="BB324" i="1"/>
  <c r="BC324" i="1"/>
  <c r="BD324" i="1"/>
  <c r="BB325" i="1"/>
  <c r="BC325" i="1"/>
  <c r="BD325" i="1"/>
  <c r="BB326" i="1"/>
  <c r="BC326" i="1"/>
  <c r="BD326" i="1"/>
  <c r="BB327" i="1"/>
  <c r="BC327" i="1"/>
  <c r="BD327" i="1"/>
  <c r="BB328" i="1"/>
  <c r="BC328" i="1"/>
  <c r="BD328" i="1"/>
  <c r="BB329" i="1"/>
  <c r="BC329" i="1"/>
  <c r="BD329" i="1"/>
  <c r="BB330" i="1"/>
  <c r="BC330" i="1"/>
  <c r="BD330" i="1"/>
  <c r="BB331" i="1"/>
  <c r="BC331" i="1"/>
  <c r="BD331" i="1"/>
  <c r="BB332" i="1"/>
  <c r="BC332" i="1"/>
  <c r="BD332" i="1"/>
  <c r="BB333" i="1"/>
  <c r="BC333" i="1"/>
  <c r="BD333" i="1"/>
  <c r="BB334" i="1"/>
  <c r="BC334" i="1"/>
  <c r="BD334" i="1"/>
  <c r="BB335" i="1"/>
  <c r="BC335" i="1"/>
  <c r="BD335" i="1"/>
  <c r="BB336" i="1"/>
  <c r="BC336" i="1"/>
  <c r="BD336" i="1"/>
  <c r="BB337" i="1"/>
  <c r="BC337" i="1"/>
  <c r="BD337" i="1"/>
  <c r="BB338" i="1"/>
  <c r="BC338" i="1"/>
  <c r="BD338" i="1"/>
  <c r="BB339" i="1"/>
  <c r="BC339" i="1"/>
  <c r="BD339" i="1"/>
  <c r="BB340" i="1"/>
  <c r="BC340" i="1"/>
  <c r="BD340" i="1"/>
  <c r="BB341" i="1"/>
  <c r="BC341" i="1"/>
  <c r="BD341" i="1"/>
  <c r="BB342" i="1"/>
  <c r="BC342" i="1"/>
  <c r="BD342" i="1"/>
  <c r="BB343" i="1"/>
  <c r="BC343" i="1"/>
  <c r="BD343" i="1"/>
  <c r="BB344" i="1"/>
  <c r="BC344" i="1"/>
  <c r="BD344" i="1"/>
  <c r="BB345" i="1"/>
  <c r="BC345" i="1"/>
  <c r="BD345" i="1"/>
  <c r="BB346" i="1"/>
  <c r="BC346" i="1"/>
  <c r="BD346" i="1"/>
  <c r="BB347" i="1"/>
  <c r="BC347" i="1"/>
  <c r="BD347" i="1"/>
  <c r="BB348" i="1"/>
  <c r="BC348" i="1"/>
  <c r="BD348" i="1"/>
  <c r="BB349" i="1"/>
  <c r="BC349" i="1"/>
  <c r="BD349" i="1"/>
  <c r="BB350" i="1"/>
  <c r="BC350" i="1"/>
  <c r="BD350" i="1"/>
  <c r="BB351" i="1"/>
  <c r="BC351" i="1"/>
  <c r="BD351" i="1"/>
  <c r="BB352" i="1"/>
  <c r="BC352" i="1"/>
  <c r="BD352" i="1"/>
  <c r="BB353" i="1"/>
  <c r="BC353" i="1"/>
  <c r="BD353" i="1"/>
  <c r="BB354" i="1"/>
  <c r="BC354" i="1"/>
  <c r="BD354" i="1"/>
  <c r="BB355" i="1"/>
  <c r="BC355" i="1"/>
  <c r="BD355" i="1"/>
  <c r="BB356" i="1"/>
  <c r="BC356" i="1"/>
  <c r="BD356" i="1"/>
  <c r="BB357" i="1"/>
  <c r="BC357" i="1"/>
  <c r="BD357" i="1"/>
  <c r="BB358" i="1"/>
  <c r="BC358" i="1"/>
  <c r="BD358" i="1"/>
  <c r="BB359" i="1"/>
  <c r="BC359" i="1"/>
  <c r="BD359" i="1"/>
  <c r="BB360" i="1"/>
  <c r="BC360" i="1"/>
  <c r="BD360" i="1"/>
  <c r="BB361" i="1"/>
  <c r="BC361" i="1"/>
  <c r="BD361" i="1"/>
  <c r="BB362" i="1"/>
  <c r="BC362" i="1"/>
  <c r="BD362" i="1"/>
  <c r="BB363" i="1"/>
  <c r="BC363" i="1"/>
  <c r="BD363" i="1"/>
  <c r="BB364" i="1"/>
  <c r="BC364" i="1"/>
  <c r="BD364" i="1"/>
  <c r="BB365" i="1"/>
  <c r="BC365" i="1"/>
  <c r="BD365" i="1"/>
  <c r="BB366" i="1"/>
  <c r="BC366" i="1"/>
  <c r="BD366" i="1"/>
  <c r="BB367" i="1"/>
  <c r="BC367" i="1"/>
  <c r="BD367" i="1"/>
  <c r="BB368" i="1"/>
  <c r="BC368" i="1"/>
  <c r="BD368" i="1"/>
  <c r="BB369" i="1"/>
  <c r="BC369" i="1"/>
  <c r="BD369" i="1"/>
  <c r="BB370" i="1"/>
  <c r="BC370" i="1"/>
  <c r="BD370" i="1"/>
  <c r="AF452" i="8" l="1"/>
  <c r="AF451" i="8"/>
  <c r="AF450" i="8"/>
  <c r="AF449" i="8"/>
  <c r="AF448" i="8"/>
  <c r="AF447" i="8"/>
  <c r="AF446" i="8"/>
  <c r="AF445" i="8"/>
  <c r="AF444" i="8"/>
  <c r="AF443" i="8"/>
  <c r="AF442" i="8"/>
  <c r="AF441" i="8"/>
  <c r="AF439" i="8"/>
  <c r="AF438" i="8"/>
  <c r="AF437" i="8"/>
  <c r="AF436" i="8"/>
  <c r="AF435" i="8"/>
  <c r="AF434" i="8"/>
  <c r="AF432" i="8"/>
  <c r="AF431" i="8"/>
  <c r="AF430" i="8"/>
  <c r="AF429" i="8"/>
  <c r="AF428" i="8"/>
  <c r="AF427" i="8"/>
  <c r="AF425" i="8"/>
  <c r="AF424" i="8"/>
  <c r="AF423" i="8"/>
  <c r="AF422" i="8"/>
  <c r="AF421" i="8"/>
  <c r="AF420" i="8"/>
  <c r="AF419" i="8"/>
  <c r="AF417" i="8"/>
  <c r="AF416" i="8"/>
  <c r="AF415" i="8"/>
  <c r="AF414" i="8"/>
  <c r="AF413" i="8"/>
  <c r="AF411" i="8"/>
  <c r="AF410" i="8"/>
  <c r="AF409" i="8"/>
  <c r="AF408" i="8"/>
  <c r="AF407" i="8"/>
  <c r="AF406" i="8"/>
  <c r="AF404" i="8"/>
  <c r="AF403" i="8"/>
  <c r="AF402" i="8"/>
  <c r="AF401" i="8"/>
  <c r="AF400" i="8"/>
  <c r="AF399" i="8"/>
  <c r="AF398" i="8"/>
  <c r="AF397" i="8"/>
  <c r="AF396" i="8"/>
  <c r="AF394" i="8"/>
  <c r="AF393" i="8"/>
  <c r="AF392" i="8"/>
  <c r="AF391" i="8"/>
  <c r="AF390" i="8"/>
  <c r="AF389" i="8"/>
  <c r="AF388" i="8"/>
  <c r="AF387" i="8"/>
  <c r="AF386" i="8"/>
  <c r="AF385" i="8"/>
  <c r="AB383" i="8"/>
  <c r="AF382" i="8"/>
  <c r="AF381" i="8"/>
  <c r="AF380" i="8"/>
  <c r="AF379" i="8"/>
  <c r="AF378" i="8"/>
  <c r="AF377" i="8"/>
  <c r="AF376" i="8"/>
  <c r="AF374" i="8"/>
  <c r="AF373" i="8"/>
  <c r="AF372" i="8"/>
  <c r="AF371" i="8"/>
  <c r="AF370" i="8"/>
  <c r="AF369" i="8"/>
  <c r="AF368" i="8"/>
  <c r="AF366" i="8"/>
  <c r="AF365" i="8"/>
  <c r="AF364" i="8"/>
  <c r="AF363" i="8"/>
  <c r="AF362" i="8"/>
  <c r="AF361" i="8"/>
  <c r="AF360" i="8"/>
  <c r="AF358" i="8"/>
  <c r="AF357" i="8"/>
  <c r="AF356" i="8"/>
  <c r="AF355" i="8"/>
  <c r="AF354" i="8"/>
  <c r="AF353" i="8"/>
  <c r="AF352" i="8"/>
  <c r="AF351" i="8"/>
  <c r="AF350" i="8"/>
  <c r="AF349" i="8"/>
  <c r="AF348" i="8"/>
  <c r="AF347" i="8"/>
  <c r="AF346" i="8"/>
  <c r="AF345" i="8"/>
  <c r="AF344" i="8"/>
  <c r="AF342" i="8"/>
  <c r="AF341" i="8"/>
  <c r="AF340" i="8"/>
  <c r="AF339" i="8"/>
  <c r="AF338" i="8"/>
  <c r="AF337" i="8"/>
  <c r="AF336" i="8"/>
  <c r="AF334" i="8"/>
  <c r="AF333" i="8"/>
  <c r="AF332" i="8"/>
  <c r="AF331" i="8"/>
  <c r="AF330" i="8"/>
  <c r="AF329" i="8"/>
  <c r="AF328" i="8"/>
  <c r="AF326" i="8"/>
  <c r="AF325" i="8"/>
  <c r="AF324" i="8"/>
  <c r="AF323" i="8"/>
  <c r="AF322" i="8"/>
  <c r="AF321" i="8"/>
  <c r="AF320" i="8"/>
  <c r="AF318" i="8"/>
  <c r="AF317" i="8"/>
  <c r="AF316" i="8"/>
  <c r="AF315" i="8"/>
  <c r="AF314" i="8"/>
  <c r="AF313" i="8"/>
  <c r="AF312" i="8"/>
  <c r="AF310" i="8"/>
  <c r="AF309" i="8"/>
  <c r="AF308" i="8"/>
  <c r="AF307" i="8"/>
  <c r="AF306" i="8"/>
  <c r="AF305" i="8"/>
  <c r="AF304" i="8"/>
  <c r="AF295" i="8"/>
  <c r="U295" i="8"/>
  <c r="N295" i="8"/>
  <c r="G295" i="8"/>
  <c r="AB295" i="8" s="1"/>
  <c r="AF294" i="8"/>
  <c r="AF293" i="8"/>
  <c r="AF292" i="8"/>
  <c r="AF291" i="8"/>
  <c r="AF290" i="8"/>
  <c r="AF289" i="8"/>
  <c r="AS287" i="8"/>
  <c r="AQ287" i="8"/>
  <c r="AP287" i="8"/>
  <c r="AO287" i="8"/>
  <c r="AM287" i="8"/>
  <c r="AL287" i="8"/>
  <c r="AK287" i="8"/>
  <c r="AI287" i="8"/>
  <c r="AH287" i="8"/>
  <c r="AG287" i="8"/>
  <c r="AF287" i="8"/>
  <c r="AF286" i="8"/>
  <c r="AF285" i="8"/>
  <c r="AF284" i="8"/>
  <c r="AF283" i="8"/>
  <c r="AF282" i="8"/>
  <c r="AF281" i="8"/>
  <c r="AF280" i="8"/>
  <c r="AF279" i="8"/>
  <c r="AF278" i="8"/>
  <c r="AF277" i="8"/>
  <c r="AF276" i="8"/>
  <c r="AF275" i="8"/>
  <c r="AF274" i="8"/>
  <c r="AF273" i="8"/>
  <c r="AF272" i="8"/>
  <c r="AF270" i="8"/>
  <c r="U270" i="8"/>
  <c r="N270" i="8"/>
  <c r="G270" i="8"/>
  <c r="AB270" i="8" s="1"/>
  <c r="AF269" i="8"/>
  <c r="AF268" i="8"/>
  <c r="AF267" i="8"/>
  <c r="AF266" i="8"/>
  <c r="AF265" i="8"/>
  <c r="AF264" i="8"/>
  <c r="AF263" i="8"/>
  <c r="AF261" i="8"/>
  <c r="U261" i="8"/>
  <c r="N261" i="8"/>
  <c r="G261" i="8"/>
  <c r="AB261" i="8" s="1"/>
  <c r="AF260" i="8"/>
  <c r="AF259" i="8"/>
  <c r="AF258" i="8"/>
  <c r="AF257" i="8"/>
  <c r="AF256" i="8"/>
  <c r="AF255" i="8"/>
  <c r="AF254" i="8"/>
  <c r="AF253" i="8"/>
  <c r="AF252" i="8"/>
  <c r="AF251" i="8"/>
  <c r="AF249" i="8"/>
  <c r="U249" i="8"/>
  <c r="N249" i="8"/>
  <c r="G249" i="8"/>
  <c r="AF248" i="8"/>
  <c r="AF247" i="8"/>
  <c r="AF246" i="8"/>
  <c r="AF245" i="8"/>
  <c r="AF244" i="8"/>
  <c r="AF243" i="8"/>
  <c r="AF241" i="8"/>
  <c r="U241" i="8"/>
  <c r="N241" i="8"/>
  <c r="G241" i="8"/>
  <c r="AF240" i="8"/>
  <c r="AF239" i="8"/>
  <c r="AF238" i="8"/>
  <c r="AF237" i="8"/>
  <c r="AF236" i="8"/>
  <c r="AF235" i="8"/>
  <c r="AF234" i="8"/>
  <c r="AF232" i="8"/>
  <c r="U232" i="8"/>
  <c r="N232" i="8"/>
  <c r="G232" i="8"/>
  <c r="AF231" i="8"/>
  <c r="AF230" i="8"/>
  <c r="AF229" i="8"/>
  <c r="AF228" i="8"/>
  <c r="AF227" i="8"/>
  <c r="AF226" i="8"/>
  <c r="AF225" i="8"/>
  <c r="AF224" i="8"/>
  <c r="AF223" i="8"/>
  <c r="AF222" i="8"/>
  <c r="AF221" i="8"/>
  <c r="AC219" i="8"/>
  <c r="AF218" i="8"/>
  <c r="U218" i="8"/>
  <c r="N218" i="8"/>
  <c r="G218" i="8"/>
  <c r="AB218" i="8" s="1"/>
  <c r="AF217" i="8"/>
  <c r="AF216" i="8"/>
  <c r="AF215" i="8"/>
  <c r="AF214" i="8"/>
  <c r="AF212" i="8"/>
  <c r="U212" i="8"/>
  <c r="N212" i="8"/>
  <c r="G212" i="8"/>
  <c r="AF211" i="8"/>
  <c r="AF210" i="8"/>
  <c r="AF209" i="8"/>
  <c r="AF208" i="8"/>
  <c r="AF206" i="8"/>
  <c r="U206" i="8"/>
  <c r="N206" i="8"/>
  <c r="G206" i="8"/>
  <c r="AB206" i="8" s="1"/>
  <c r="AF205" i="8"/>
  <c r="AF204" i="8"/>
  <c r="AF203" i="8"/>
  <c r="AF202" i="8"/>
  <c r="AF201" i="8"/>
  <c r="AF199" i="8"/>
  <c r="U199" i="8"/>
  <c r="N199" i="8"/>
  <c r="G199" i="8"/>
  <c r="AB199" i="8" s="1"/>
  <c r="AF198" i="8"/>
  <c r="AF197" i="8"/>
  <c r="AF196" i="8"/>
  <c r="AF195" i="8"/>
  <c r="AF194" i="8"/>
  <c r="AF191" i="8"/>
  <c r="U191" i="8"/>
  <c r="N191" i="8"/>
  <c r="G191" i="8"/>
  <c r="AB191" i="8" s="1"/>
  <c r="AF190" i="8"/>
  <c r="AF189" i="8"/>
  <c r="AF188" i="8"/>
  <c r="AF187" i="8"/>
  <c r="AF186" i="8"/>
  <c r="AF185" i="8"/>
  <c r="AF184" i="8"/>
  <c r="AF183" i="8"/>
  <c r="AF182" i="8"/>
  <c r="AF181" i="8"/>
  <c r="AF179" i="8"/>
  <c r="U179" i="8"/>
  <c r="N179" i="8"/>
  <c r="G179" i="8"/>
  <c r="AB179" i="8" s="1"/>
  <c r="AF178" i="8"/>
  <c r="AF177" i="8"/>
  <c r="AF176" i="8"/>
  <c r="AF175" i="8"/>
  <c r="AF174" i="8"/>
  <c r="AF172" i="8"/>
  <c r="U172" i="8"/>
  <c r="N172" i="8"/>
  <c r="G172" i="8"/>
  <c r="AB172" i="8" s="1"/>
  <c r="AF171" i="8"/>
  <c r="AF170" i="8"/>
  <c r="AF169" i="8"/>
  <c r="AF168" i="8"/>
  <c r="AF167" i="8"/>
  <c r="AS165" i="8"/>
  <c r="AQ165" i="8"/>
  <c r="AP165" i="8"/>
  <c r="AO165" i="8"/>
  <c r="AM165" i="8"/>
  <c r="AL165" i="8"/>
  <c r="AK165" i="8"/>
  <c r="AI165" i="8"/>
  <c r="AH165" i="8"/>
  <c r="AG165" i="8"/>
  <c r="AF165" i="8"/>
  <c r="AF164" i="8"/>
  <c r="AF163" i="8"/>
  <c r="AF162" i="8"/>
  <c r="AF161" i="8"/>
  <c r="AF160" i="8"/>
  <c r="AF159" i="8"/>
  <c r="AF158" i="8"/>
  <c r="AF157" i="8"/>
  <c r="AF156" i="8"/>
  <c r="AF155" i="8"/>
  <c r="AF154" i="8"/>
  <c r="AF153" i="8"/>
  <c r="AF152" i="8"/>
  <c r="AF148" i="8"/>
  <c r="U148" i="8"/>
  <c r="N148" i="8"/>
  <c r="G148" i="8"/>
  <c r="AB148" i="8" s="1"/>
  <c r="AF147" i="8"/>
  <c r="AF146" i="8"/>
  <c r="AF145" i="8"/>
  <c r="AF144" i="8"/>
  <c r="AF143" i="8"/>
  <c r="AS141" i="8"/>
  <c r="AQ141" i="8"/>
  <c r="AP141" i="8"/>
  <c r="AO141" i="8"/>
  <c r="AM141" i="8"/>
  <c r="AL141" i="8"/>
  <c r="AK141" i="8"/>
  <c r="AI141" i="8"/>
  <c r="AH141" i="8"/>
  <c r="AG141" i="8"/>
  <c r="AF141" i="8"/>
  <c r="AF140" i="8"/>
  <c r="AF139" i="8"/>
  <c r="AF138" i="8"/>
  <c r="AF137" i="8"/>
  <c r="AF136" i="8"/>
  <c r="AF135" i="8"/>
  <c r="AF134" i="8"/>
  <c r="AF133" i="8"/>
  <c r="AF132" i="8"/>
  <c r="AF131" i="8"/>
  <c r="AF130" i="8"/>
  <c r="AF129" i="8"/>
  <c r="AF125" i="8"/>
  <c r="U125" i="8"/>
  <c r="N125" i="8"/>
  <c r="G125" i="8"/>
  <c r="AB125" i="8" s="1"/>
  <c r="AF124" i="8"/>
  <c r="AF123" i="8"/>
  <c r="AF122" i="8"/>
  <c r="AF121" i="8"/>
  <c r="AF120" i="8"/>
  <c r="AS116" i="8"/>
  <c r="AF115" i="8"/>
  <c r="U115" i="8"/>
  <c r="N115" i="8"/>
  <c r="G115" i="8"/>
  <c r="AB115" i="8" s="1"/>
  <c r="AF114" i="8"/>
  <c r="AF113" i="8"/>
  <c r="AF112" i="8"/>
  <c r="AF111" i="8"/>
  <c r="AF110" i="8"/>
  <c r="AS108" i="8"/>
  <c r="AF107" i="8"/>
  <c r="U107" i="8"/>
  <c r="N107" i="8"/>
  <c r="G107" i="8"/>
  <c r="AB107" i="8" s="1"/>
  <c r="AF106" i="8"/>
  <c r="AF105" i="8"/>
  <c r="AF104" i="8"/>
  <c r="AF103" i="8"/>
  <c r="AF102" i="8"/>
  <c r="AS100" i="8"/>
  <c r="AQ100" i="8"/>
  <c r="AP100" i="8"/>
  <c r="AO100" i="8"/>
  <c r="AM100" i="8"/>
  <c r="AL100" i="8"/>
  <c r="AK100" i="8"/>
  <c r="AI100" i="8"/>
  <c r="AH100" i="8"/>
  <c r="AG100" i="8"/>
  <c r="AF100" i="8"/>
  <c r="AF99" i="8"/>
  <c r="AF98" i="8"/>
  <c r="AF97" i="8"/>
  <c r="AF96" i="8"/>
  <c r="AF95" i="8"/>
  <c r="AF94" i="8"/>
  <c r="AF93" i="8"/>
  <c r="AF92" i="8"/>
  <c r="AF91" i="8"/>
  <c r="AS89" i="8"/>
  <c r="AQ89" i="8"/>
  <c r="AP89" i="8"/>
  <c r="AO89" i="8"/>
  <c r="AM89" i="8"/>
  <c r="AL89" i="8"/>
  <c r="AK89" i="8"/>
  <c r="AI89" i="8"/>
  <c r="AH89" i="8"/>
  <c r="AG89" i="8"/>
  <c r="AF89" i="8"/>
  <c r="AF88" i="8"/>
  <c r="AF87" i="8"/>
  <c r="AF86" i="8"/>
  <c r="AF85" i="8"/>
  <c r="AF84" i="8"/>
  <c r="AF83" i="8"/>
  <c r="AF82" i="8"/>
  <c r="AF81" i="8"/>
  <c r="AF80" i="8"/>
  <c r="AF79" i="8"/>
  <c r="AF78" i="8"/>
  <c r="AF77" i="8"/>
  <c r="AF74" i="8"/>
  <c r="U74" i="8"/>
  <c r="N74" i="8"/>
  <c r="G74" i="8"/>
  <c r="AB74" i="8" s="1"/>
  <c r="AF73" i="8"/>
  <c r="AF72" i="8"/>
  <c r="AF71" i="8"/>
  <c r="AF70" i="8"/>
  <c r="AF69" i="8"/>
  <c r="AF68" i="8"/>
  <c r="AF67" i="8"/>
  <c r="AS65" i="8"/>
  <c r="AQ65" i="8"/>
  <c r="AP65" i="8"/>
  <c r="AO65" i="8"/>
  <c r="AM65" i="8"/>
  <c r="AL65" i="8"/>
  <c r="AK65" i="8"/>
  <c r="AI65" i="8"/>
  <c r="AH65" i="8"/>
  <c r="AG65" i="8"/>
  <c r="AF65" i="8"/>
  <c r="AF64" i="8"/>
  <c r="AF63" i="8"/>
  <c r="AF62" i="8"/>
  <c r="AF61" i="8"/>
  <c r="AF60" i="8"/>
  <c r="AF59" i="8"/>
  <c r="AF58" i="8"/>
  <c r="AF57" i="8"/>
  <c r="AF56" i="8"/>
  <c r="AF55" i="8"/>
  <c r="AF54" i="8"/>
  <c r="AF53" i="8"/>
  <c r="AF51" i="8"/>
  <c r="U51" i="8"/>
  <c r="N51" i="8"/>
  <c r="G51" i="8"/>
  <c r="AB51" i="8" s="1"/>
  <c r="AF50" i="8"/>
  <c r="AF49" i="8"/>
  <c r="AF48" i="8"/>
  <c r="AF47" i="8"/>
  <c r="AF46" i="8"/>
  <c r="AF44" i="8"/>
  <c r="U44" i="8"/>
  <c r="N44" i="8"/>
  <c r="G44" i="8"/>
  <c r="AB44" i="8" s="1"/>
  <c r="AF43" i="8"/>
  <c r="AF42" i="8"/>
  <c r="AF41" i="8"/>
  <c r="AF40" i="8"/>
  <c r="AF39" i="8"/>
  <c r="AF38" i="8"/>
  <c r="AF37" i="8"/>
  <c r="AF35" i="8"/>
  <c r="U35" i="8"/>
  <c r="N35" i="8"/>
  <c r="G35" i="8"/>
  <c r="AB35" i="8" s="1"/>
  <c r="AF34" i="8"/>
  <c r="AF33" i="8"/>
  <c r="AF32" i="8"/>
  <c r="AF31" i="8"/>
  <c r="AF30" i="8"/>
  <c r="AF29" i="8"/>
  <c r="U27" i="8"/>
  <c r="N27" i="8"/>
  <c r="G27" i="8"/>
  <c r="AB27" i="8" s="1"/>
  <c r="AF26" i="8"/>
  <c r="AF25" i="8"/>
  <c r="AF24" i="8"/>
  <c r="AF23" i="8"/>
  <c r="AF22" i="8"/>
  <c r="AF19" i="8"/>
  <c r="U19" i="8"/>
  <c r="N19" i="8"/>
  <c r="G19" i="8"/>
  <c r="AF18" i="8"/>
  <c r="AF17" i="8"/>
  <c r="AF16" i="8"/>
  <c r="AF15" i="8"/>
  <c r="AF14" i="8"/>
  <c r="AB19" i="8" l="1"/>
  <c r="AB212" i="8"/>
  <c r="AB232" i="8"/>
  <c r="AB241" i="8"/>
  <c r="AB249" i="8"/>
  <c r="BB64" i="1"/>
  <c r="BC64" i="1"/>
  <c r="BD64" i="1"/>
  <c r="AF452" i="7" l="1"/>
  <c r="AF451" i="7"/>
  <c r="AF450" i="7"/>
  <c r="AF449" i="7"/>
  <c r="AF448" i="7"/>
  <c r="AF447" i="7"/>
  <c r="AF446" i="7"/>
  <c r="AF445" i="7"/>
  <c r="AF444" i="7"/>
  <c r="AF443" i="7"/>
  <c r="AF442" i="7"/>
  <c r="AF441" i="7"/>
  <c r="AF439" i="7"/>
  <c r="AF438" i="7"/>
  <c r="AF437" i="7"/>
  <c r="AF436" i="7"/>
  <c r="AF435" i="7"/>
  <c r="AF434" i="7"/>
  <c r="AF432" i="7"/>
  <c r="AF431" i="7"/>
  <c r="AF430" i="7"/>
  <c r="AF429" i="7"/>
  <c r="AF428" i="7"/>
  <c r="AF427" i="7"/>
  <c r="AF425" i="7"/>
  <c r="AF424" i="7"/>
  <c r="AF423" i="7"/>
  <c r="AF422" i="7"/>
  <c r="AF421" i="7"/>
  <c r="AF420" i="7"/>
  <c r="AF419" i="7"/>
  <c r="AF417" i="7"/>
  <c r="AF416" i="7"/>
  <c r="AF415" i="7"/>
  <c r="AF414" i="7"/>
  <c r="AF413" i="7"/>
  <c r="AF411" i="7"/>
  <c r="AF410" i="7"/>
  <c r="AF409" i="7"/>
  <c r="AF408" i="7"/>
  <c r="AF407" i="7"/>
  <c r="AF406" i="7"/>
  <c r="AF404" i="7"/>
  <c r="AF403" i="7"/>
  <c r="AF402" i="7"/>
  <c r="AF401" i="7"/>
  <c r="AF400" i="7"/>
  <c r="AF399" i="7"/>
  <c r="AF398" i="7"/>
  <c r="AF397" i="7"/>
  <c r="AF396" i="7"/>
  <c r="AF394" i="7"/>
  <c r="AF393" i="7"/>
  <c r="AF392" i="7"/>
  <c r="AF391" i="7"/>
  <c r="AF390" i="7"/>
  <c r="AF389" i="7"/>
  <c r="AF388" i="7"/>
  <c r="AF387" i="7"/>
  <c r="AF386" i="7"/>
  <c r="AF385" i="7"/>
  <c r="AB383" i="7"/>
  <c r="AF382" i="7"/>
  <c r="AF381" i="7"/>
  <c r="AF380" i="7"/>
  <c r="AF379" i="7"/>
  <c r="AF378" i="7"/>
  <c r="AF377" i="7"/>
  <c r="AF376" i="7"/>
  <c r="AF374" i="7"/>
  <c r="AF373" i="7"/>
  <c r="AF372" i="7"/>
  <c r="AF371" i="7"/>
  <c r="AF370" i="7"/>
  <c r="AF369" i="7"/>
  <c r="AF368" i="7"/>
  <c r="AF366" i="7"/>
  <c r="AF365" i="7"/>
  <c r="AF364" i="7"/>
  <c r="AF363" i="7"/>
  <c r="AF362" i="7"/>
  <c r="AF361" i="7"/>
  <c r="AF360" i="7"/>
  <c r="AF358" i="7"/>
  <c r="AF357" i="7"/>
  <c r="AF356" i="7"/>
  <c r="AF355" i="7"/>
  <c r="AF354" i="7"/>
  <c r="AF353" i="7"/>
  <c r="AF352" i="7"/>
  <c r="AF351" i="7"/>
  <c r="AF350" i="7"/>
  <c r="AF349" i="7"/>
  <c r="AF348" i="7"/>
  <c r="AF347" i="7"/>
  <c r="AF346" i="7"/>
  <c r="AF345" i="7"/>
  <c r="AF344" i="7"/>
  <c r="AF342" i="7"/>
  <c r="AF341" i="7"/>
  <c r="AF340" i="7"/>
  <c r="AF339" i="7"/>
  <c r="AF338" i="7"/>
  <c r="AF337" i="7"/>
  <c r="AF336" i="7"/>
  <c r="AF334" i="7"/>
  <c r="AF333" i="7"/>
  <c r="AF332" i="7"/>
  <c r="AF331" i="7"/>
  <c r="AF330" i="7"/>
  <c r="AF329" i="7"/>
  <c r="AF328" i="7"/>
  <c r="AF326" i="7"/>
  <c r="AF325" i="7"/>
  <c r="AF324" i="7"/>
  <c r="AF323" i="7"/>
  <c r="AF322" i="7"/>
  <c r="AF321" i="7"/>
  <c r="AF320" i="7"/>
  <c r="AF318" i="7"/>
  <c r="AF317" i="7"/>
  <c r="AF316" i="7"/>
  <c r="AF315" i="7"/>
  <c r="AF314" i="7"/>
  <c r="AF313" i="7"/>
  <c r="AF312" i="7"/>
  <c r="AF310" i="7"/>
  <c r="AF309" i="7"/>
  <c r="AF308" i="7"/>
  <c r="AF307" i="7"/>
  <c r="AF306" i="7"/>
  <c r="AF305" i="7"/>
  <c r="AF304" i="7"/>
  <c r="AF295" i="7"/>
  <c r="U295" i="7"/>
  <c r="N295" i="7"/>
  <c r="G295" i="7"/>
  <c r="AB295" i="7" s="1"/>
  <c r="AF294" i="7"/>
  <c r="AF293" i="7"/>
  <c r="AF292" i="7"/>
  <c r="AF291" i="7"/>
  <c r="AF290" i="7"/>
  <c r="AF289" i="7"/>
  <c r="AS287" i="7"/>
  <c r="AQ287" i="7"/>
  <c r="AP287" i="7"/>
  <c r="AO287" i="7"/>
  <c r="AM287" i="7"/>
  <c r="AL287" i="7"/>
  <c r="AK287" i="7"/>
  <c r="AI287" i="7"/>
  <c r="AH287" i="7"/>
  <c r="AG287" i="7"/>
  <c r="AF287" i="7"/>
  <c r="AF286" i="7"/>
  <c r="AF285" i="7"/>
  <c r="AF284" i="7"/>
  <c r="AF283" i="7"/>
  <c r="AF282" i="7"/>
  <c r="AF281" i="7"/>
  <c r="AF280" i="7"/>
  <c r="AF279" i="7"/>
  <c r="AF278" i="7"/>
  <c r="AF277" i="7"/>
  <c r="AF276" i="7"/>
  <c r="AF275" i="7"/>
  <c r="AF274" i="7"/>
  <c r="AF273" i="7"/>
  <c r="AF272" i="7"/>
  <c r="AF270" i="7"/>
  <c r="U270" i="7"/>
  <c r="N270" i="7"/>
  <c r="G270" i="7"/>
  <c r="AB270" i="7" s="1"/>
  <c r="AF269" i="7"/>
  <c r="AF268" i="7"/>
  <c r="AF267" i="7"/>
  <c r="AF266" i="7"/>
  <c r="AF265" i="7"/>
  <c r="AF264" i="7"/>
  <c r="AF263" i="7"/>
  <c r="AF261" i="7"/>
  <c r="U261" i="7"/>
  <c r="N261" i="7"/>
  <c r="G261" i="7"/>
  <c r="AB261" i="7" s="1"/>
  <c r="AF260" i="7"/>
  <c r="AF259" i="7"/>
  <c r="AF258" i="7"/>
  <c r="AF257" i="7"/>
  <c r="AF256" i="7"/>
  <c r="AF255" i="7"/>
  <c r="AF254" i="7"/>
  <c r="AF253" i="7"/>
  <c r="AF252" i="7"/>
  <c r="AF251" i="7"/>
  <c r="AF249" i="7"/>
  <c r="AB249" i="7"/>
  <c r="U249" i="7"/>
  <c r="N249" i="7"/>
  <c r="G249" i="7"/>
  <c r="AF248" i="7"/>
  <c r="AF247" i="7"/>
  <c r="AF246" i="7"/>
  <c r="AF245" i="7"/>
  <c r="AF244" i="7"/>
  <c r="AF243" i="7"/>
  <c r="AF241" i="7"/>
  <c r="AB241" i="7"/>
  <c r="U241" i="7"/>
  <c r="N241" i="7"/>
  <c r="G241" i="7"/>
  <c r="AF240" i="7"/>
  <c r="AF239" i="7"/>
  <c r="AF238" i="7"/>
  <c r="AF237" i="7"/>
  <c r="AF236" i="7"/>
  <c r="AF235" i="7"/>
  <c r="AF234" i="7"/>
  <c r="AF232" i="7"/>
  <c r="AB232" i="7"/>
  <c r="U232" i="7"/>
  <c r="N232" i="7"/>
  <c r="G232" i="7"/>
  <c r="AF231" i="7"/>
  <c r="AF230" i="7"/>
  <c r="AF229" i="7"/>
  <c r="AF228" i="7"/>
  <c r="AF227" i="7"/>
  <c r="AF226" i="7"/>
  <c r="AF225" i="7"/>
  <c r="AF224" i="7"/>
  <c r="AF223" i="7"/>
  <c r="AF222" i="7"/>
  <c r="AF221" i="7"/>
  <c r="AC219" i="7"/>
  <c r="AF218" i="7"/>
  <c r="AB218" i="7"/>
  <c r="U218" i="7"/>
  <c r="N218" i="7"/>
  <c r="G218" i="7"/>
  <c r="AF217" i="7"/>
  <c r="AF216" i="7"/>
  <c r="AF215" i="7"/>
  <c r="AF214" i="7"/>
  <c r="AF212" i="7"/>
  <c r="AB212" i="7"/>
  <c r="U212" i="7"/>
  <c r="N212" i="7"/>
  <c r="G212" i="7"/>
  <c r="AF211" i="7"/>
  <c r="AF210" i="7"/>
  <c r="AF209" i="7"/>
  <c r="AF208" i="7"/>
  <c r="AF206" i="7"/>
  <c r="AB206" i="7"/>
  <c r="U206" i="7"/>
  <c r="N206" i="7"/>
  <c r="G206" i="7"/>
  <c r="AF205" i="7"/>
  <c r="AF204" i="7"/>
  <c r="AF203" i="7"/>
  <c r="AF202" i="7"/>
  <c r="AF201" i="7"/>
  <c r="AF199" i="7"/>
  <c r="AB199" i="7"/>
  <c r="U199" i="7"/>
  <c r="N199" i="7"/>
  <c r="G199" i="7"/>
  <c r="AF198" i="7"/>
  <c r="AF197" i="7"/>
  <c r="AF196" i="7"/>
  <c r="AF195" i="7"/>
  <c r="AF194" i="7"/>
  <c r="AF191" i="7"/>
  <c r="AB191" i="7"/>
  <c r="U191" i="7"/>
  <c r="N191" i="7"/>
  <c r="G191" i="7"/>
  <c r="AF190" i="7"/>
  <c r="AF189" i="7"/>
  <c r="AF188" i="7"/>
  <c r="AF187" i="7"/>
  <c r="AF186" i="7"/>
  <c r="AF185" i="7"/>
  <c r="AF184" i="7"/>
  <c r="AF183" i="7"/>
  <c r="AF182" i="7"/>
  <c r="AF181" i="7"/>
  <c r="AF179" i="7"/>
  <c r="U179" i="7"/>
  <c r="N179" i="7"/>
  <c r="G179" i="7"/>
  <c r="AB179" i="7" s="1"/>
  <c r="AF178" i="7"/>
  <c r="AF177" i="7"/>
  <c r="AF176" i="7"/>
  <c r="AF175" i="7"/>
  <c r="AF174" i="7"/>
  <c r="AF172" i="7"/>
  <c r="U172" i="7"/>
  <c r="N172" i="7"/>
  <c r="G172" i="7"/>
  <c r="AB172" i="7" s="1"/>
  <c r="AF171" i="7"/>
  <c r="AF170" i="7"/>
  <c r="AF169" i="7"/>
  <c r="AF168" i="7"/>
  <c r="AF167" i="7"/>
  <c r="AS165" i="7"/>
  <c r="AQ165" i="7"/>
  <c r="AP165" i="7"/>
  <c r="AO165" i="7"/>
  <c r="AM165" i="7"/>
  <c r="AL165" i="7"/>
  <c r="AK165" i="7"/>
  <c r="AI165" i="7"/>
  <c r="AH165" i="7"/>
  <c r="AG165" i="7"/>
  <c r="AF165" i="7"/>
  <c r="AF164" i="7"/>
  <c r="AF163" i="7"/>
  <c r="AF162" i="7"/>
  <c r="AF161" i="7"/>
  <c r="AF160" i="7"/>
  <c r="AF159" i="7"/>
  <c r="AF158" i="7"/>
  <c r="AF157" i="7"/>
  <c r="AF156" i="7"/>
  <c r="AF155" i="7"/>
  <c r="AF154" i="7"/>
  <c r="AF153" i="7"/>
  <c r="AF152" i="7"/>
  <c r="AF148" i="7"/>
  <c r="U148" i="7"/>
  <c r="N148" i="7"/>
  <c r="G148" i="7"/>
  <c r="AB148" i="7" s="1"/>
  <c r="AF147" i="7"/>
  <c r="AF146" i="7"/>
  <c r="AF145" i="7"/>
  <c r="AF144" i="7"/>
  <c r="AF143" i="7"/>
  <c r="AS141" i="7"/>
  <c r="AQ141" i="7"/>
  <c r="AP141" i="7"/>
  <c r="AO141" i="7"/>
  <c r="AM141" i="7"/>
  <c r="AL141" i="7"/>
  <c r="AK141" i="7"/>
  <c r="AI141" i="7"/>
  <c r="AH141" i="7"/>
  <c r="AG141" i="7"/>
  <c r="AF141" i="7"/>
  <c r="AF140" i="7"/>
  <c r="AF139" i="7"/>
  <c r="AF138" i="7"/>
  <c r="AF137" i="7"/>
  <c r="AF136" i="7"/>
  <c r="AF135" i="7"/>
  <c r="AF134" i="7"/>
  <c r="AF133" i="7"/>
  <c r="AF132" i="7"/>
  <c r="AF131" i="7"/>
  <c r="AF130" i="7"/>
  <c r="AF129" i="7"/>
  <c r="AF125" i="7"/>
  <c r="U125" i="7"/>
  <c r="N125" i="7"/>
  <c r="G125" i="7"/>
  <c r="AB125" i="7" s="1"/>
  <c r="AF124" i="7"/>
  <c r="AF123" i="7"/>
  <c r="AF122" i="7"/>
  <c r="AF121" i="7"/>
  <c r="AF120" i="7"/>
  <c r="AS116" i="7"/>
  <c r="AF115" i="7"/>
  <c r="U115" i="7"/>
  <c r="N115" i="7"/>
  <c r="G115" i="7"/>
  <c r="AB115" i="7" s="1"/>
  <c r="AF114" i="7"/>
  <c r="AF113" i="7"/>
  <c r="AF112" i="7"/>
  <c r="AF111" i="7"/>
  <c r="AF110" i="7"/>
  <c r="AS108" i="7"/>
  <c r="AF107" i="7"/>
  <c r="U107" i="7"/>
  <c r="N107" i="7"/>
  <c r="G107" i="7"/>
  <c r="AB107" i="7" s="1"/>
  <c r="AF106" i="7"/>
  <c r="AF105" i="7"/>
  <c r="AF104" i="7"/>
  <c r="AF103" i="7"/>
  <c r="AF102" i="7"/>
  <c r="AS100" i="7"/>
  <c r="AQ100" i="7"/>
  <c r="AP100" i="7"/>
  <c r="AO100" i="7"/>
  <c r="AM100" i="7"/>
  <c r="AL100" i="7"/>
  <c r="AK100" i="7"/>
  <c r="AI100" i="7"/>
  <c r="AH100" i="7"/>
  <c r="AG100" i="7"/>
  <c r="AF100" i="7"/>
  <c r="AF99" i="7"/>
  <c r="AF98" i="7"/>
  <c r="AF97" i="7"/>
  <c r="AF96" i="7"/>
  <c r="AF95" i="7"/>
  <c r="AF94" i="7"/>
  <c r="AF93" i="7"/>
  <c r="AF92" i="7"/>
  <c r="AF91" i="7"/>
  <c r="AS89" i="7"/>
  <c r="AQ89" i="7"/>
  <c r="AP89" i="7"/>
  <c r="AO89" i="7"/>
  <c r="AM89" i="7"/>
  <c r="AL89" i="7"/>
  <c r="AK89" i="7"/>
  <c r="AI89" i="7"/>
  <c r="AH89" i="7"/>
  <c r="AG89" i="7"/>
  <c r="AF89" i="7"/>
  <c r="AF88" i="7"/>
  <c r="AF87" i="7"/>
  <c r="AF86" i="7"/>
  <c r="AF85" i="7"/>
  <c r="AF84" i="7"/>
  <c r="AF83" i="7"/>
  <c r="AF82" i="7"/>
  <c r="AF81" i="7"/>
  <c r="AF80" i="7"/>
  <c r="AF79" i="7"/>
  <c r="AF78" i="7"/>
  <c r="AF77" i="7"/>
  <c r="AF74" i="7"/>
  <c r="U74" i="7"/>
  <c r="N74" i="7"/>
  <c r="G74" i="7"/>
  <c r="AF73" i="7"/>
  <c r="AF72" i="7"/>
  <c r="AF71" i="7"/>
  <c r="AF70" i="7"/>
  <c r="AF69" i="7"/>
  <c r="AF68" i="7"/>
  <c r="AF67" i="7"/>
  <c r="AS65" i="7"/>
  <c r="AQ65" i="7"/>
  <c r="AP65" i="7"/>
  <c r="AO65" i="7"/>
  <c r="AM65" i="7"/>
  <c r="AL65" i="7"/>
  <c r="AK65" i="7"/>
  <c r="AI65" i="7"/>
  <c r="AH65" i="7"/>
  <c r="AG65" i="7"/>
  <c r="AF65" i="7"/>
  <c r="AF64" i="7"/>
  <c r="AF63" i="7"/>
  <c r="AF62" i="7"/>
  <c r="AF61" i="7"/>
  <c r="AF60" i="7"/>
  <c r="AF59" i="7"/>
  <c r="AF58" i="7"/>
  <c r="AF57" i="7"/>
  <c r="AF56" i="7"/>
  <c r="AF55" i="7"/>
  <c r="AF54" i="7"/>
  <c r="AF53" i="7"/>
  <c r="AF51" i="7"/>
  <c r="U51" i="7"/>
  <c r="N51" i="7"/>
  <c r="G51" i="7"/>
  <c r="AB51" i="7" s="1"/>
  <c r="AF50" i="7"/>
  <c r="AF49" i="7"/>
  <c r="AF48" i="7"/>
  <c r="AF47" i="7"/>
  <c r="AF46" i="7"/>
  <c r="AF44" i="7"/>
  <c r="U44" i="7"/>
  <c r="N44" i="7"/>
  <c r="G44" i="7"/>
  <c r="AB44" i="7" s="1"/>
  <c r="AF43" i="7"/>
  <c r="AF42" i="7"/>
  <c r="AF41" i="7"/>
  <c r="AF40" i="7"/>
  <c r="AF39" i="7"/>
  <c r="AF38" i="7"/>
  <c r="AF37" i="7"/>
  <c r="AF35" i="7"/>
  <c r="U35" i="7"/>
  <c r="N35" i="7"/>
  <c r="G35" i="7"/>
  <c r="AB35" i="7" s="1"/>
  <c r="AF34" i="7"/>
  <c r="AF33" i="7"/>
  <c r="AF32" i="7"/>
  <c r="AF31" i="7"/>
  <c r="AF30" i="7"/>
  <c r="AF29" i="7"/>
  <c r="U27" i="7"/>
  <c r="N27" i="7"/>
  <c r="G27" i="7"/>
  <c r="AB27" i="7" s="1"/>
  <c r="AF26" i="7"/>
  <c r="AF25" i="7"/>
  <c r="AF24" i="7"/>
  <c r="AF23" i="7"/>
  <c r="AF22" i="7"/>
  <c r="AF19" i="7"/>
  <c r="U19" i="7"/>
  <c r="N19" i="7"/>
  <c r="G19" i="7"/>
  <c r="AB19" i="7" s="1"/>
  <c r="AF18" i="7"/>
  <c r="AF17" i="7"/>
  <c r="AF16" i="7"/>
  <c r="AF15" i="7"/>
  <c r="AF14" i="7"/>
  <c r="AF452" i="6"/>
  <c r="AF451" i="6"/>
  <c r="AF450" i="6"/>
  <c r="AF449" i="6"/>
  <c r="AF448" i="6"/>
  <c r="AF447" i="6"/>
  <c r="AF446" i="6"/>
  <c r="AF445" i="6"/>
  <c r="AF444" i="6"/>
  <c r="AF443" i="6"/>
  <c r="AF442" i="6"/>
  <c r="AF441" i="6"/>
  <c r="AF439" i="6"/>
  <c r="AF438" i="6"/>
  <c r="AF437" i="6"/>
  <c r="AF436" i="6"/>
  <c r="AF435" i="6"/>
  <c r="AF434" i="6"/>
  <c r="AF432" i="6"/>
  <c r="AF431" i="6"/>
  <c r="AF430" i="6"/>
  <c r="AF429" i="6"/>
  <c r="AF428" i="6"/>
  <c r="AF427" i="6"/>
  <c r="AF425" i="6"/>
  <c r="AF424" i="6"/>
  <c r="AF423" i="6"/>
  <c r="AF422" i="6"/>
  <c r="AF421" i="6"/>
  <c r="AF420" i="6"/>
  <c r="AF419" i="6"/>
  <c r="AF417" i="6"/>
  <c r="AF416" i="6"/>
  <c r="AF415" i="6"/>
  <c r="AF414" i="6"/>
  <c r="AF413" i="6"/>
  <c r="AF411" i="6"/>
  <c r="AF410" i="6"/>
  <c r="AF409" i="6"/>
  <c r="AF408" i="6"/>
  <c r="AF407" i="6"/>
  <c r="AF406" i="6"/>
  <c r="AF404" i="6"/>
  <c r="AF403" i="6"/>
  <c r="AF402" i="6"/>
  <c r="AF401" i="6"/>
  <c r="AF400" i="6"/>
  <c r="AF399" i="6"/>
  <c r="AF398" i="6"/>
  <c r="AF397" i="6"/>
  <c r="AF396" i="6"/>
  <c r="AF394" i="6"/>
  <c r="AF393" i="6"/>
  <c r="AF392" i="6"/>
  <c r="AF391" i="6"/>
  <c r="AF390" i="6"/>
  <c r="AF389" i="6"/>
  <c r="AF388" i="6"/>
  <c r="AF387" i="6"/>
  <c r="AF386" i="6"/>
  <c r="AF385" i="6"/>
  <c r="AB383" i="6"/>
  <c r="AF382" i="6"/>
  <c r="AF381" i="6"/>
  <c r="AF380" i="6"/>
  <c r="AF379" i="6"/>
  <c r="AF378" i="6"/>
  <c r="AF377" i="6"/>
  <c r="AF376" i="6"/>
  <c r="AF374" i="6"/>
  <c r="AF373" i="6"/>
  <c r="AF372" i="6"/>
  <c r="AF371" i="6"/>
  <c r="AF370" i="6"/>
  <c r="AF369" i="6"/>
  <c r="AF368" i="6"/>
  <c r="AF366" i="6"/>
  <c r="AF365" i="6"/>
  <c r="AF364" i="6"/>
  <c r="AF363" i="6"/>
  <c r="AF362" i="6"/>
  <c r="AF361" i="6"/>
  <c r="AF360" i="6"/>
  <c r="AF358" i="6"/>
  <c r="AF357" i="6"/>
  <c r="AF356" i="6"/>
  <c r="AF355" i="6"/>
  <c r="AF354" i="6"/>
  <c r="AF353" i="6"/>
  <c r="AF352" i="6"/>
  <c r="AF351" i="6"/>
  <c r="AF350" i="6"/>
  <c r="AF349" i="6"/>
  <c r="AF348" i="6"/>
  <c r="AF347" i="6"/>
  <c r="AF346" i="6"/>
  <c r="AF345" i="6"/>
  <c r="AF344" i="6"/>
  <c r="AF342" i="6"/>
  <c r="AF341" i="6"/>
  <c r="AF340" i="6"/>
  <c r="AF339" i="6"/>
  <c r="AF338" i="6"/>
  <c r="AF337" i="6"/>
  <c r="AF336" i="6"/>
  <c r="AF334" i="6"/>
  <c r="AF333" i="6"/>
  <c r="AF332" i="6"/>
  <c r="AF331" i="6"/>
  <c r="AF330" i="6"/>
  <c r="AF329" i="6"/>
  <c r="AF328" i="6"/>
  <c r="AF326" i="6"/>
  <c r="AF325" i="6"/>
  <c r="AF324" i="6"/>
  <c r="AF323" i="6"/>
  <c r="AF322" i="6"/>
  <c r="AF321" i="6"/>
  <c r="AF320" i="6"/>
  <c r="AF318" i="6"/>
  <c r="AF317" i="6"/>
  <c r="AF316" i="6"/>
  <c r="AF315" i="6"/>
  <c r="AF314" i="6"/>
  <c r="AF313" i="6"/>
  <c r="AF312" i="6"/>
  <c r="AF310" i="6"/>
  <c r="AF309" i="6"/>
  <c r="AF308" i="6"/>
  <c r="AF307" i="6"/>
  <c r="AF306" i="6"/>
  <c r="AF305" i="6"/>
  <c r="AF304" i="6"/>
  <c r="AF295" i="6"/>
  <c r="U295" i="6"/>
  <c r="N295" i="6"/>
  <c r="G295" i="6"/>
  <c r="AB295" i="6" s="1"/>
  <c r="AF294" i="6"/>
  <c r="AF293" i="6"/>
  <c r="AF292" i="6"/>
  <c r="AF291" i="6"/>
  <c r="AF290" i="6"/>
  <c r="AF289" i="6"/>
  <c r="AS287" i="6"/>
  <c r="AQ287" i="6"/>
  <c r="AP287" i="6"/>
  <c r="AO287" i="6"/>
  <c r="AM287" i="6"/>
  <c r="AL287" i="6"/>
  <c r="AK287" i="6"/>
  <c r="AI287" i="6"/>
  <c r="AH287" i="6"/>
  <c r="AG287" i="6"/>
  <c r="AF287" i="6"/>
  <c r="AF286" i="6"/>
  <c r="AF285" i="6"/>
  <c r="AF284" i="6"/>
  <c r="AF283" i="6"/>
  <c r="AF282" i="6"/>
  <c r="AF281" i="6"/>
  <c r="AF280" i="6"/>
  <c r="AF279" i="6"/>
  <c r="AF278" i="6"/>
  <c r="AF277" i="6"/>
  <c r="AF276" i="6"/>
  <c r="AF275" i="6"/>
  <c r="AF274" i="6"/>
  <c r="AF273" i="6"/>
  <c r="AF272" i="6"/>
  <c r="AF270" i="6"/>
  <c r="U270" i="6"/>
  <c r="N270" i="6"/>
  <c r="G270" i="6"/>
  <c r="AF269" i="6"/>
  <c r="AF268" i="6"/>
  <c r="AF267" i="6"/>
  <c r="AF266" i="6"/>
  <c r="AF265" i="6"/>
  <c r="AF264" i="6"/>
  <c r="AF263" i="6"/>
  <c r="AF261" i="6"/>
  <c r="U261" i="6"/>
  <c r="N261" i="6"/>
  <c r="G261" i="6"/>
  <c r="AF260" i="6"/>
  <c r="AF259" i="6"/>
  <c r="AF258" i="6"/>
  <c r="AF257" i="6"/>
  <c r="AF256" i="6"/>
  <c r="AF255" i="6"/>
  <c r="AF254" i="6"/>
  <c r="AF253" i="6"/>
  <c r="AF252" i="6"/>
  <c r="AF251" i="6"/>
  <c r="AF249" i="6"/>
  <c r="U249" i="6"/>
  <c r="N249" i="6"/>
  <c r="G249" i="6"/>
  <c r="AF248" i="6"/>
  <c r="AF247" i="6"/>
  <c r="AF246" i="6"/>
  <c r="AF245" i="6"/>
  <c r="AF244" i="6"/>
  <c r="AF243" i="6"/>
  <c r="AF241" i="6"/>
  <c r="U241" i="6"/>
  <c r="N241" i="6"/>
  <c r="G241" i="6"/>
  <c r="AB241" i="6" s="1"/>
  <c r="AF240" i="6"/>
  <c r="AF239" i="6"/>
  <c r="AF238" i="6"/>
  <c r="AF237" i="6"/>
  <c r="AF236" i="6"/>
  <c r="AF235" i="6"/>
  <c r="AF234" i="6"/>
  <c r="AF232" i="6"/>
  <c r="U232" i="6"/>
  <c r="N232" i="6"/>
  <c r="G232" i="6"/>
  <c r="AB232" i="6" s="1"/>
  <c r="AF231" i="6"/>
  <c r="AF230" i="6"/>
  <c r="AF229" i="6"/>
  <c r="AF228" i="6"/>
  <c r="AF227" i="6"/>
  <c r="AF226" i="6"/>
  <c r="AF225" i="6"/>
  <c r="AF224" i="6"/>
  <c r="AF223" i="6"/>
  <c r="AF222" i="6"/>
  <c r="AF221" i="6"/>
  <c r="AC219" i="6"/>
  <c r="AF218" i="6"/>
  <c r="U218" i="6"/>
  <c r="N218" i="6"/>
  <c r="G218" i="6"/>
  <c r="AB218" i="6" s="1"/>
  <c r="AF217" i="6"/>
  <c r="AF216" i="6"/>
  <c r="AF215" i="6"/>
  <c r="AF214" i="6"/>
  <c r="AF212" i="6"/>
  <c r="U212" i="6"/>
  <c r="N212" i="6"/>
  <c r="G212" i="6"/>
  <c r="AB212" i="6" s="1"/>
  <c r="AF211" i="6"/>
  <c r="AF210" i="6"/>
  <c r="AF209" i="6"/>
  <c r="AF208" i="6"/>
  <c r="AF206" i="6"/>
  <c r="U206" i="6"/>
  <c r="N206" i="6"/>
  <c r="G206" i="6"/>
  <c r="AB206" i="6" s="1"/>
  <c r="AF205" i="6"/>
  <c r="AF204" i="6"/>
  <c r="AF203" i="6"/>
  <c r="AF202" i="6"/>
  <c r="AF201" i="6"/>
  <c r="AF199" i="6"/>
  <c r="U199" i="6"/>
  <c r="N199" i="6"/>
  <c r="G199" i="6"/>
  <c r="AB199" i="6" s="1"/>
  <c r="AF198" i="6"/>
  <c r="AF197" i="6"/>
  <c r="AF196" i="6"/>
  <c r="AF195" i="6"/>
  <c r="AF194" i="6"/>
  <c r="AF191" i="6"/>
  <c r="U191" i="6"/>
  <c r="N191" i="6"/>
  <c r="G191" i="6"/>
  <c r="AB191" i="6" s="1"/>
  <c r="AF190" i="6"/>
  <c r="AF189" i="6"/>
  <c r="AF188" i="6"/>
  <c r="AF187" i="6"/>
  <c r="AF186" i="6"/>
  <c r="AF185" i="6"/>
  <c r="AF184" i="6"/>
  <c r="AF183" i="6"/>
  <c r="AF182" i="6"/>
  <c r="AF181" i="6"/>
  <c r="AF179" i="6"/>
  <c r="U179" i="6"/>
  <c r="N179" i="6"/>
  <c r="G179" i="6"/>
  <c r="AF178" i="6"/>
  <c r="AF177" i="6"/>
  <c r="AF176" i="6"/>
  <c r="AF175" i="6"/>
  <c r="AF174" i="6"/>
  <c r="AF172" i="6"/>
  <c r="U172" i="6"/>
  <c r="N172" i="6"/>
  <c r="G172" i="6"/>
  <c r="AF171" i="6"/>
  <c r="AF170" i="6"/>
  <c r="AF169" i="6"/>
  <c r="AF168" i="6"/>
  <c r="AF167" i="6"/>
  <c r="AS165" i="6"/>
  <c r="AQ165" i="6"/>
  <c r="AP165" i="6"/>
  <c r="AO165" i="6"/>
  <c r="AM165" i="6"/>
  <c r="AL165" i="6"/>
  <c r="AK165" i="6"/>
  <c r="AI165" i="6"/>
  <c r="AH165" i="6"/>
  <c r="AG165" i="6"/>
  <c r="AF165" i="6"/>
  <c r="AF164" i="6"/>
  <c r="AF163" i="6"/>
  <c r="AF162" i="6"/>
  <c r="AF161" i="6"/>
  <c r="AF160" i="6"/>
  <c r="AF159" i="6"/>
  <c r="AF158" i="6"/>
  <c r="AF157" i="6"/>
  <c r="AF156" i="6"/>
  <c r="AF155" i="6"/>
  <c r="AF154" i="6"/>
  <c r="AF153" i="6"/>
  <c r="AF152" i="6"/>
  <c r="AF148" i="6"/>
  <c r="U148" i="6"/>
  <c r="N148" i="6"/>
  <c r="G148" i="6"/>
  <c r="AB148" i="6" s="1"/>
  <c r="AF147" i="6"/>
  <c r="AF146" i="6"/>
  <c r="AF145" i="6"/>
  <c r="AF144" i="6"/>
  <c r="AF143" i="6"/>
  <c r="AS141" i="6"/>
  <c r="AQ141" i="6"/>
  <c r="AP141" i="6"/>
  <c r="AO141" i="6"/>
  <c r="AM141" i="6"/>
  <c r="AL141" i="6"/>
  <c r="AK141" i="6"/>
  <c r="AI141" i="6"/>
  <c r="AH141" i="6"/>
  <c r="AG141" i="6"/>
  <c r="AF141" i="6"/>
  <c r="AF140" i="6"/>
  <c r="AF139" i="6"/>
  <c r="AF138" i="6"/>
  <c r="AF137" i="6"/>
  <c r="AF136" i="6"/>
  <c r="AF135" i="6"/>
  <c r="AF134" i="6"/>
  <c r="AF133" i="6"/>
  <c r="AF132" i="6"/>
  <c r="AF131" i="6"/>
  <c r="AF130" i="6"/>
  <c r="AF129" i="6"/>
  <c r="AF125" i="6"/>
  <c r="U125" i="6"/>
  <c r="N125" i="6"/>
  <c r="G125" i="6"/>
  <c r="AB125" i="6" s="1"/>
  <c r="AF124" i="6"/>
  <c r="AF123" i="6"/>
  <c r="AF122" i="6"/>
  <c r="AF121" i="6"/>
  <c r="AF120" i="6"/>
  <c r="AS116" i="6"/>
  <c r="AF115" i="6"/>
  <c r="U115" i="6"/>
  <c r="N115" i="6"/>
  <c r="G115" i="6"/>
  <c r="AB115" i="6" s="1"/>
  <c r="AF114" i="6"/>
  <c r="AF113" i="6"/>
  <c r="AF112" i="6"/>
  <c r="AF111" i="6"/>
  <c r="AF110" i="6"/>
  <c r="AS108" i="6"/>
  <c r="AF107" i="6"/>
  <c r="U107" i="6"/>
  <c r="N107" i="6"/>
  <c r="G107" i="6"/>
  <c r="AB107" i="6" s="1"/>
  <c r="AF106" i="6"/>
  <c r="AF105" i="6"/>
  <c r="AF104" i="6"/>
  <c r="AF103" i="6"/>
  <c r="AF102" i="6"/>
  <c r="AS100" i="6"/>
  <c r="AQ100" i="6"/>
  <c r="AP100" i="6"/>
  <c r="AO100" i="6"/>
  <c r="AM100" i="6"/>
  <c r="AL100" i="6"/>
  <c r="AK100" i="6"/>
  <c r="AI100" i="6"/>
  <c r="AH100" i="6"/>
  <c r="AG100" i="6"/>
  <c r="AF100" i="6"/>
  <c r="AF99" i="6"/>
  <c r="AF98" i="6"/>
  <c r="AF97" i="6"/>
  <c r="AF96" i="6"/>
  <c r="AF95" i="6"/>
  <c r="AF94" i="6"/>
  <c r="AF93" i="6"/>
  <c r="AF92" i="6"/>
  <c r="AF91" i="6"/>
  <c r="AS89" i="6"/>
  <c r="AQ89" i="6"/>
  <c r="AP89" i="6"/>
  <c r="AO89" i="6"/>
  <c r="AM89" i="6"/>
  <c r="AL89" i="6"/>
  <c r="AK89" i="6"/>
  <c r="AI89" i="6"/>
  <c r="AH89" i="6"/>
  <c r="AG89" i="6"/>
  <c r="AF89" i="6"/>
  <c r="AF88" i="6"/>
  <c r="AF87" i="6"/>
  <c r="AF86" i="6"/>
  <c r="AF85" i="6"/>
  <c r="AF84" i="6"/>
  <c r="AF83" i="6"/>
  <c r="AF82" i="6"/>
  <c r="AF81" i="6"/>
  <c r="AF80" i="6"/>
  <c r="AF79" i="6"/>
  <c r="AF78" i="6"/>
  <c r="AF77" i="6"/>
  <c r="AF74" i="6"/>
  <c r="U74" i="6"/>
  <c r="N74" i="6"/>
  <c r="G74" i="6"/>
  <c r="AF73" i="6"/>
  <c r="AF72" i="6"/>
  <c r="AF71" i="6"/>
  <c r="AF70" i="6"/>
  <c r="AF69" i="6"/>
  <c r="AF68" i="6"/>
  <c r="AF67" i="6"/>
  <c r="AS65" i="6"/>
  <c r="AQ65" i="6"/>
  <c r="AP65" i="6"/>
  <c r="AO65" i="6"/>
  <c r="AM65" i="6"/>
  <c r="AL65" i="6"/>
  <c r="AK65" i="6"/>
  <c r="AI65" i="6"/>
  <c r="AH65" i="6"/>
  <c r="AG65" i="6"/>
  <c r="AF65" i="6"/>
  <c r="AF64" i="6"/>
  <c r="AF63" i="6"/>
  <c r="AF62" i="6"/>
  <c r="AF61" i="6"/>
  <c r="AF60" i="6"/>
  <c r="AF59" i="6"/>
  <c r="AF58" i="6"/>
  <c r="AF57" i="6"/>
  <c r="AF56" i="6"/>
  <c r="AF55" i="6"/>
  <c r="AF54" i="6"/>
  <c r="AF53" i="6"/>
  <c r="AF51" i="6"/>
  <c r="U51" i="6"/>
  <c r="N51" i="6"/>
  <c r="G51" i="6"/>
  <c r="AF50" i="6"/>
  <c r="AF49" i="6"/>
  <c r="AF48" i="6"/>
  <c r="AF47" i="6"/>
  <c r="AF46" i="6"/>
  <c r="AF44" i="6"/>
  <c r="U44" i="6"/>
  <c r="N44" i="6"/>
  <c r="G44" i="6"/>
  <c r="AF43" i="6"/>
  <c r="AF42" i="6"/>
  <c r="AF41" i="6"/>
  <c r="AF40" i="6"/>
  <c r="AF39" i="6"/>
  <c r="AF38" i="6"/>
  <c r="AF37" i="6"/>
  <c r="AF35" i="6"/>
  <c r="U35" i="6"/>
  <c r="N35" i="6"/>
  <c r="G35" i="6"/>
  <c r="AF34" i="6"/>
  <c r="AF33" i="6"/>
  <c r="AF32" i="6"/>
  <c r="AF31" i="6"/>
  <c r="AF30" i="6"/>
  <c r="AF29" i="6"/>
  <c r="U27" i="6"/>
  <c r="N27" i="6"/>
  <c r="G27" i="6"/>
  <c r="AF26" i="6"/>
  <c r="AF25" i="6"/>
  <c r="AF24" i="6"/>
  <c r="AF23" i="6"/>
  <c r="AF22" i="6"/>
  <c r="AF19" i="6"/>
  <c r="U19" i="6"/>
  <c r="N19" i="6"/>
  <c r="G19" i="6"/>
  <c r="AF18" i="6"/>
  <c r="AF17" i="6"/>
  <c r="AF16" i="6"/>
  <c r="AF15" i="6"/>
  <c r="AF14" i="6"/>
  <c r="AF452" i="3"/>
  <c r="AF451" i="3"/>
  <c r="AF450" i="3"/>
  <c r="AF449" i="3"/>
  <c r="AF448" i="3"/>
  <c r="AF447" i="3"/>
  <c r="AF446" i="3"/>
  <c r="AF445" i="3"/>
  <c r="AF444" i="3"/>
  <c r="AF443" i="3"/>
  <c r="AF442" i="3"/>
  <c r="AF441" i="3"/>
  <c r="AF439" i="3"/>
  <c r="AF438" i="3"/>
  <c r="AF437" i="3"/>
  <c r="AF436" i="3"/>
  <c r="AF435" i="3"/>
  <c r="AF434" i="3"/>
  <c r="AF432" i="3"/>
  <c r="AF431" i="3"/>
  <c r="AF430" i="3"/>
  <c r="AF429" i="3"/>
  <c r="AF428" i="3"/>
  <c r="AF427" i="3"/>
  <c r="AF425" i="3"/>
  <c r="AF424" i="3"/>
  <c r="AF423" i="3"/>
  <c r="AF422" i="3"/>
  <c r="AF421" i="3"/>
  <c r="AF420" i="3"/>
  <c r="AF419" i="3"/>
  <c r="AF417" i="3"/>
  <c r="AF416" i="3"/>
  <c r="AF415" i="3"/>
  <c r="AF414" i="3"/>
  <c r="AF413" i="3"/>
  <c r="AF411" i="3"/>
  <c r="AF410" i="3"/>
  <c r="AF409" i="3"/>
  <c r="AF408" i="3"/>
  <c r="AF407" i="3"/>
  <c r="AF406" i="3"/>
  <c r="AF404" i="3"/>
  <c r="AF403" i="3"/>
  <c r="AF402" i="3"/>
  <c r="AF401" i="3"/>
  <c r="AF400" i="3"/>
  <c r="AF399" i="3"/>
  <c r="AF398" i="3"/>
  <c r="AF397" i="3"/>
  <c r="AF396" i="3"/>
  <c r="AF394" i="3"/>
  <c r="AF393" i="3"/>
  <c r="AF392" i="3"/>
  <c r="AF391" i="3"/>
  <c r="AF390" i="3"/>
  <c r="AF389" i="3"/>
  <c r="AF388" i="3"/>
  <c r="AF387" i="3"/>
  <c r="AF386" i="3"/>
  <c r="AF385" i="3"/>
  <c r="AB383" i="3"/>
  <c r="AF382" i="3"/>
  <c r="AF381" i="3"/>
  <c r="AF380" i="3"/>
  <c r="AF379" i="3"/>
  <c r="AF378" i="3"/>
  <c r="AF377" i="3"/>
  <c r="AF376" i="3"/>
  <c r="AF374" i="3"/>
  <c r="AF373" i="3"/>
  <c r="AF372" i="3"/>
  <c r="AF371" i="3"/>
  <c r="AF370" i="3"/>
  <c r="AF369" i="3"/>
  <c r="AF368" i="3"/>
  <c r="AF366" i="3"/>
  <c r="AF365" i="3"/>
  <c r="AF364" i="3"/>
  <c r="AF363" i="3"/>
  <c r="AF362" i="3"/>
  <c r="AF361" i="3"/>
  <c r="AF360" i="3"/>
  <c r="AF358" i="3"/>
  <c r="AF357" i="3"/>
  <c r="AF356" i="3"/>
  <c r="AF355" i="3"/>
  <c r="AF354" i="3"/>
  <c r="AF353" i="3"/>
  <c r="AF352" i="3"/>
  <c r="AF351" i="3"/>
  <c r="AF350" i="3"/>
  <c r="AF349" i="3"/>
  <c r="AF348" i="3"/>
  <c r="AF347" i="3"/>
  <c r="AF346" i="3"/>
  <c r="AF345" i="3"/>
  <c r="AF344" i="3"/>
  <c r="AF342" i="3"/>
  <c r="AF341" i="3"/>
  <c r="AF340" i="3"/>
  <c r="AF339" i="3"/>
  <c r="AF338" i="3"/>
  <c r="AF337" i="3"/>
  <c r="AF336" i="3"/>
  <c r="AF334" i="3"/>
  <c r="AF333" i="3"/>
  <c r="AF332" i="3"/>
  <c r="AF331" i="3"/>
  <c r="AF330" i="3"/>
  <c r="AF329" i="3"/>
  <c r="AF328" i="3"/>
  <c r="AF326" i="3"/>
  <c r="AF325" i="3"/>
  <c r="AF324" i="3"/>
  <c r="AF323" i="3"/>
  <c r="AF322" i="3"/>
  <c r="AF321" i="3"/>
  <c r="AF320" i="3"/>
  <c r="AF318" i="3"/>
  <c r="AF317" i="3"/>
  <c r="AF316" i="3"/>
  <c r="AF315" i="3"/>
  <c r="AF314" i="3"/>
  <c r="AF313" i="3"/>
  <c r="AF312" i="3"/>
  <c r="AF310" i="3"/>
  <c r="AF309" i="3"/>
  <c r="AF308" i="3"/>
  <c r="AF307" i="3"/>
  <c r="AF306" i="3"/>
  <c r="AF305" i="3"/>
  <c r="AF304" i="3"/>
  <c r="AF295" i="3"/>
  <c r="U295" i="3"/>
  <c r="N295" i="3"/>
  <c r="G295" i="3"/>
  <c r="AF294" i="3"/>
  <c r="AF293" i="3"/>
  <c r="AF292" i="3"/>
  <c r="AF291" i="3"/>
  <c r="AF290" i="3"/>
  <c r="AF289" i="3"/>
  <c r="AS287" i="3"/>
  <c r="AQ287" i="3"/>
  <c r="AP287" i="3"/>
  <c r="AO287" i="3"/>
  <c r="AM287" i="3"/>
  <c r="AL287" i="3"/>
  <c r="AK287" i="3"/>
  <c r="AI287" i="3"/>
  <c r="AH287" i="3"/>
  <c r="AG287" i="3"/>
  <c r="AF287" i="3"/>
  <c r="AF286" i="3"/>
  <c r="AF285" i="3"/>
  <c r="AF284" i="3"/>
  <c r="AF283" i="3"/>
  <c r="AF282" i="3"/>
  <c r="AF281" i="3"/>
  <c r="AF280" i="3"/>
  <c r="AF279" i="3"/>
  <c r="AF278" i="3"/>
  <c r="AF277" i="3"/>
  <c r="AF276" i="3"/>
  <c r="AF275" i="3"/>
  <c r="AF274" i="3"/>
  <c r="AF273" i="3"/>
  <c r="AF272" i="3"/>
  <c r="AF270" i="3"/>
  <c r="U270" i="3"/>
  <c r="N270" i="3"/>
  <c r="G270" i="3"/>
  <c r="AB270" i="3" s="1"/>
  <c r="AF269" i="3"/>
  <c r="AF268" i="3"/>
  <c r="AF267" i="3"/>
  <c r="AF266" i="3"/>
  <c r="AF265" i="3"/>
  <c r="AF264" i="3"/>
  <c r="AF263" i="3"/>
  <c r="AF261" i="3"/>
  <c r="U261" i="3"/>
  <c r="N261" i="3"/>
  <c r="G261" i="3"/>
  <c r="AB261" i="3" s="1"/>
  <c r="AF260" i="3"/>
  <c r="AF259" i="3"/>
  <c r="AF258" i="3"/>
  <c r="AF257" i="3"/>
  <c r="AF256" i="3"/>
  <c r="AF255" i="3"/>
  <c r="AF254" i="3"/>
  <c r="AF253" i="3"/>
  <c r="AF252" i="3"/>
  <c r="AF251" i="3"/>
  <c r="AF249" i="3"/>
  <c r="U249" i="3"/>
  <c r="N249" i="3"/>
  <c r="G249" i="3"/>
  <c r="AB249" i="3" s="1"/>
  <c r="AF248" i="3"/>
  <c r="AF247" i="3"/>
  <c r="AF246" i="3"/>
  <c r="AF245" i="3"/>
  <c r="AF244" i="3"/>
  <c r="AF243" i="3"/>
  <c r="AF241" i="3"/>
  <c r="U241" i="3"/>
  <c r="N241" i="3"/>
  <c r="G241" i="3"/>
  <c r="AF240" i="3"/>
  <c r="AF239" i="3"/>
  <c r="AF238" i="3"/>
  <c r="AF237" i="3"/>
  <c r="AF236" i="3"/>
  <c r="AF235" i="3"/>
  <c r="AF234" i="3"/>
  <c r="AF232" i="3"/>
  <c r="U232" i="3"/>
  <c r="N232" i="3"/>
  <c r="G232" i="3"/>
  <c r="AF231" i="3"/>
  <c r="AF230" i="3"/>
  <c r="AF229" i="3"/>
  <c r="AF228" i="3"/>
  <c r="AF227" i="3"/>
  <c r="AF226" i="3"/>
  <c r="AF225" i="3"/>
  <c r="AF224" i="3"/>
  <c r="AF223" i="3"/>
  <c r="AF222" i="3"/>
  <c r="AF221" i="3"/>
  <c r="AC219" i="3"/>
  <c r="AF218" i="3"/>
  <c r="U218" i="3"/>
  <c r="N218" i="3"/>
  <c r="G218" i="3"/>
  <c r="AB218" i="3" s="1"/>
  <c r="AF217" i="3"/>
  <c r="AF216" i="3"/>
  <c r="AF215" i="3"/>
  <c r="AF214" i="3"/>
  <c r="AF212" i="3"/>
  <c r="U212" i="3"/>
  <c r="N212" i="3"/>
  <c r="G212" i="3"/>
  <c r="AF211" i="3"/>
  <c r="AF210" i="3"/>
  <c r="AF209" i="3"/>
  <c r="AF208" i="3"/>
  <c r="AF206" i="3"/>
  <c r="U206" i="3"/>
  <c r="N206" i="3"/>
  <c r="G206" i="3"/>
  <c r="AB206" i="3" s="1"/>
  <c r="AF205" i="3"/>
  <c r="AF204" i="3"/>
  <c r="AF203" i="3"/>
  <c r="AF202" i="3"/>
  <c r="AF201" i="3"/>
  <c r="AF199" i="3"/>
  <c r="U199" i="3"/>
  <c r="N199" i="3"/>
  <c r="G199" i="3"/>
  <c r="AB199" i="3" s="1"/>
  <c r="AF198" i="3"/>
  <c r="AF197" i="3"/>
  <c r="AF196" i="3"/>
  <c r="AF195" i="3"/>
  <c r="AF194" i="3"/>
  <c r="AF191" i="3"/>
  <c r="U191" i="3"/>
  <c r="N191" i="3"/>
  <c r="G191" i="3"/>
  <c r="AB191" i="3" s="1"/>
  <c r="AF190" i="3"/>
  <c r="AF189" i="3"/>
  <c r="AF188" i="3"/>
  <c r="AF187" i="3"/>
  <c r="AF186" i="3"/>
  <c r="AF185" i="3"/>
  <c r="AF184" i="3"/>
  <c r="AF183" i="3"/>
  <c r="AF182" i="3"/>
  <c r="AF181" i="3"/>
  <c r="AF179" i="3"/>
  <c r="U179" i="3"/>
  <c r="N179" i="3"/>
  <c r="G179" i="3"/>
  <c r="AF178" i="3"/>
  <c r="AF177" i="3"/>
  <c r="AF176" i="3"/>
  <c r="AF175" i="3"/>
  <c r="AF174" i="3"/>
  <c r="AF172" i="3"/>
  <c r="U172" i="3"/>
  <c r="N172" i="3"/>
  <c r="G172" i="3"/>
  <c r="AF171" i="3"/>
  <c r="AF170" i="3"/>
  <c r="AF169" i="3"/>
  <c r="AF168" i="3"/>
  <c r="AF167" i="3"/>
  <c r="AS165" i="3"/>
  <c r="AQ165" i="3"/>
  <c r="AP165" i="3"/>
  <c r="AO165" i="3"/>
  <c r="AM165" i="3"/>
  <c r="AL165" i="3"/>
  <c r="AK165" i="3"/>
  <c r="AI165" i="3"/>
  <c r="AH165" i="3"/>
  <c r="AG165" i="3"/>
  <c r="AF165" i="3"/>
  <c r="AF164" i="3"/>
  <c r="AF163" i="3"/>
  <c r="AF162" i="3"/>
  <c r="AF161" i="3"/>
  <c r="AF160" i="3"/>
  <c r="AF159" i="3"/>
  <c r="AF158" i="3"/>
  <c r="AF157" i="3"/>
  <c r="AF156" i="3"/>
  <c r="AF155" i="3"/>
  <c r="AF154" i="3"/>
  <c r="AF153" i="3"/>
  <c r="AF152" i="3"/>
  <c r="AF148" i="3"/>
  <c r="U148" i="3"/>
  <c r="N148" i="3"/>
  <c r="G148" i="3"/>
  <c r="AB148" i="3" s="1"/>
  <c r="AF147" i="3"/>
  <c r="AF146" i="3"/>
  <c r="AF145" i="3"/>
  <c r="AF144" i="3"/>
  <c r="AF143" i="3"/>
  <c r="AS141" i="3"/>
  <c r="AQ141" i="3"/>
  <c r="AP141" i="3"/>
  <c r="AO141" i="3"/>
  <c r="AM141" i="3"/>
  <c r="AL141" i="3"/>
  <c r="AK141" i="3"/>
  <c r="AI141" i="3"/>
  <c r="AH141" i="3"/>
  <c r="AG141" i="3"/>
  <c r="AF141" i="3"/>
  <c r="AF140" i="3"/>
  <c r="AF139" i="3"/>
  <c r="AF138" i="3"/>
  <c r="AF137" i="3"/>
  <c r="AF136" i="3"/>
  <c r="AF135" i="3"/>
  <c r="AF134" i="3"/>
  <c r="AF133" i="3"/>
  <c r="AF132" i="3"/>
  <c r="AF131" i="3"/>
  <c r="AF130" i="3"/>
  <c r="AF129" i="3"/>
  <c r="AF125" i="3"/>
  <c r="U125" i="3"/>
  <c r="N125" i="3"/>
  <c r="G125" i="3"/>
  <c r="AB125" i="3" s="1"/>
  <c r="AF124" i="3"/>
  <c r="AF123" i="3"/>
  <c r="AF122" i="3"/>
  <c r="AF121" i="3"/>
  <c r="AF120" i="3"/>
  <c r="AS116" i="3"/>
  <c r="AF115" i="3"/>
  <c r="U115" i="3"/>
  <c r="N115" i="3"/>
  <c r="G115" i="3"/>
  <c r="AB115" i="3" s="1"/>
  <c r="AF114" i="3"/>
  <c r="AF113" i="3"/>
  <c r="AF112" i="3"/>
  <c r="AF111" i="3"/>
  <c r="AF110" i="3"/>
  <c r="AS108" i="3"/>
  <c r="AF107" i="3"/>
  <c r="U107" i="3"/>
  <c r="N107" i="3"/>
  <c r="G107" i="3"/>
  <c r="AB107" i="3" s="1"/>
  <c r="AF106" i="3"/>
  <c r="AF105" i="3"/>
  <c r="AF104" i="3"/>
  <c r="AF103" i="3"/>
  <c r="AF102" i="3"/>
  <c r="AS100" i="3"/>
  <c r="AQ100" i="3"/>
  <c r="AP100" i="3"/>
  <c r="AO100" i="3"/>
  <c r="AM100" i="3"/>
  <c r="AL100" i="3"/>
  <c r="AK100" i="3"/>
  <c r="AI100" i="3"/>
  <c r="AH100" i="3"/>
  <c r="AG100" i="3"/>
  <c r="AF100" i="3"/>
  <c r="AF99" i="3"/>
  <c r="AF98" i="3"/>
  <c r="AF97" i="3"/>
  <c r="AF96" i="3"/>
  <c r="AF95" i="3"/>
  <c r="AF94" i="3"/>
  <c r="AF93" i="3"/>
  <c r="AF92" i="3"/>
  <c r="AF91" i="3"/>
  <c r="AS89" i="3"/>
  <c r="AQ89" i="3"/>
  <c r="AP89" i="3"/>
  <c r="AO89" i="3"/>
  <c r="AM89" i="3"/>
  <c r="AL89" i="3"/>
  <c r="AK89" i="3"/>
  <c r="AI89" i="3"/>
  <c r="AH89" i="3"/>
  <c r="AG89" i="3"/>
  <c r="AF89" i="3"/>
  <c r="AF88" i="3"/>
  <c r="AF87" i="3"/>
  <c r="AF86" i="3"/>
  <c r="AF85" i="3"/>
  <c r="AF84" i="3"/>
  <c r="AF83" i="3"/>
  <c r="AF82" i="3"/>
  <c r="AF81" i="3"/>
  <c r="AF80" i="3"/>
  <c r="AF79" i="3"/>
  <c r="AF78" i="3"/>
  <c r="AF77" i="3"/>
  <c r="AF74" i="3"/>
  <c r="U74" i="3"/>
  <c r="N74" i="3"/>
  <c r="G74" i="3"/>
  <c r="AF73" i="3"/>
  <c r="AF72" i="3"/>
  <c r="AF71" i="3"/>
  <c r="AF70" i="3"/>
  <c r="AF69" i="3"/>
  <c r="AF68" i="3"/>
  <c r="AF67" i="3"/>
  <c r="AS65" i="3"/>
  <c r="AQ65" i="3"/>
  <c r="AP65" i="3"/>
  <c r="AO65" i="3"/>
  <c r="AM65" i="3"/>
  <c r="AL65" i="3"/>
  <c r="AK65" i="3"/>
  <c r="AI65" i="3"/>
  <c r="AH65" i="3"/>
  <c r="AG65" i="3"/>
  <c r="AF65" i="3"/>
  <c r="AF64" i="3"/>
  <c r="AF63" i="3"/>
  <c r="AF62" i="3"/>
  <c r="AF61" i="3"/>
  <c r="AF60" i="3"/>
  <c r="AF59" i="3"/>
  <c r="AF58" i="3"/>
  <c r="AF57" i="3"/>
  <c r="AF56" i="3"/>
  <c r="AF55" i="3"/>
  <c r="AF54" i="3"/>
  <c r="AF53" i="3"/>
  <c r="AF51" i="3"/>
  <c r="U51" i="3"/>
  <c r="N51" i="3"/>
  <c r="G51" i="3"/>
  <c r="AF50" i="3"/>
  <c r="AF49" i="3"/>
  <c r="AF48" i="3"/>
  <c r="AF47" i="3"/>
  <c r="AF46" i="3"/>
  <c r="AF44" i="3"/>
  <c r="U44" i="3"/>
  <c r="N44" i="3"/>
  <c r="G44" i="3"/>
  <c r="AF43" i="3"/>
  <c r="AF42" i="3"/>
  <c r="AF41" i="3"/>
  <c r="AF40" i="3"/>
  <c r="AF39" i="3"/>
  <c r="AF38" i="3"/>
  <c r="AF37" i="3"/>
  <c r="AF35" i="3"/>
  <c r="U35" i="3"/>
  <c r="N35" i="3"/>
  <c r="G35" i="3"/>
  <c r="AF34" i="3"/>
  <c r="AF33" i="3"/>
  <c r="AF32" i="3"/>
  <c r="AF31" i="3"/>
  <c r="AF30" i="3"/>
  <c r="AF29" i="3"/>
  <c r="U27" i="3"/>
  <c r="N27" i="3"/>
  <c r="G27" i="3"/>
  <c r="AB27" i="3" s="1"/>
  <c r="AF26" i="3"/>
  <c r="AF25" i="3"/>
  <c r="AF24" i="3"/>
  <c r="AF23" i="3"/>
  <c r="AF22" i="3"/>
  <c r="AF19" i="3"/>
  <c r="U19" i="3"/>
  <c r="N19" i="3"/>
  <c r="G19" i="3"/>
  <c r="AB19" i="3" s="1"/>
  <c r="AF18" i="3"/>
  <c r="AF17" i="3"/>
  <c r="AF16" i="3"/>
  <c r="AF15" i="3"/>
  <c r="AF14" i="3"/>
  <c r="AF452" i="5"/>
  <c r="AF451" i="5"/>
  <c r="AF450" i="5"/>
  <c r="AF449" i="5"/>
  <c r="AF448" i="5"/>
  <c r="AF447" i="5"/>
  <c r="AF446" i="5"/>
  <c r="AF445" i="5"/>
  <c r="AF444" i="5"/>
  <c r="AF443" i="5"/>
  <c r="AF442" i="5"/>
  <c r="AF441" i="5"/>
  <c r="AF439" i="5"/>
  <c r="AF438" i="5"/>
  <c r="AF437" i="5"/>
  <c r="AF436" i="5"/>
  <c r="AF435" i="5"/>
  <c r="AF434" i="5"/>
  <c r="AF432" i="5"/>
  <c r="AF431" i="5"/>
  <c r="AF430" i="5"/>
  <c r="AF429" i="5"/>
  <c r="AF428" i="5"/>
  <c r="AF427" i="5"/>
  <c r="AF425" i="5"/>
  <c r="AF424" i="5"/>
  <c r="AF423" i="5"/>
  <c r="AF422" i="5"/>
  <c r="AF421" i="5"/>
  <c r="AF420" i="5"/>
  <c r="AF419" i="5"/>
  <c r="AF417" i="5"/>
  <c r="AF416" i="5"/>
  <c r="AF415" i="5"/>
  <c r="AF414" i="5"/>
  <c r="AF413" i="5"/>
  <c r="AF411" i="5"/>
  <c r="AF410" i="5"/>
  <c r="AF409" i="5"/>
  <c r="AF408" i="5"/>
  <c r="AF407" i="5"/>
  <c r="AF406" i="5"/>
  <c r="AF404" i="5"/>
  <c r="AF403" i="5"/>
  <c r="AF402" i="5"/>
  <c r="AF401" i="5"/>
  <c r="AF400" i="5"/>
  <c r="AF399" i="5"/>
  <c r="AF398" i="5"/>
  <c r="AF397" i="5"/>
  <c r="AF396" i="5"/>
  <c r="AF394" i="5"/>
  <c r="AF393" i="5"/>
  <c r="AF392" i="5"/>
  <c r="AF391" i="5"/>
  <c r="AF390" i="5"/>
  <c r="AF389" i="5"/>
  <c r="AF388" i="5"/>
  <c r="AF387" i="5"/>
  <c r="AF386" i="5"/>
  <c r="AF385" i="5"/>
  <c r="AB383" i="5"/>
  <c r="AF382" i="5"/>
  <c r="AF381" i="5"/>
  <c r="AF380" i="5"/>
  <c r="AF379" i="5"/>
  <c r="AF378" i="5"/>
  <c r="AF377" i="5"/>
  <c r="AF376" i="5"/>
  <c r="AF374" i="5"/>
  <c r="AF373" i="5"/>
  <c r="AF372" i="5"/>
  <c r="AF371" i="5"/>
  <c r="AF370" i="5"/>
  <c r="AF369" i="5"/>
  <c r="AF368" i="5"/>
  <c r="AF366" i="5"/>
  <c r="AF365" i="5"/>
  <c r="AF364" i="5"/>
  <c r="AF363" i="5"/>
  <c r="AF362" i="5"/>
  <c r="AF361" i="5"/>
  <c r="AF360" i="5"/>
  <c r="AF358" i="5"/>
  <c r="AF357" i="5"/>
  <c r="AF356" i="5"/>
  <c r="AF355" i="5"/>
  <c r="AF354" i="5"/>
  <c r="AF353" i="5"/>
  <c r="AF352" i="5"/>
  <c r="AF351" i="5"/>
  <c r="AF350" i="5"/>
  <c r="AF349" i="5"/>
  <c r="AF348" i="5"/>
  <c r="AF347" i="5"/>
  <c r="AF346" i="5"/>
  <c r="AF345" i="5"/>
  <c r="AF344" i="5"/>
  <c r="AF342" i="5"/>
  <c r="AF341" i="5"/>
  <c r="AF340" i="5"/>
  <c r="AF339" i="5"/>
  <c r="AF338" i="5"/>
  <c r="AF337" i="5"/>
  <c r="AF336" i="5"/>
  <c r="AF334" i="5"/>
  <c r="AF333" i="5"/>
  <c r="AF332" i="5"/>
  <c r="AF331" i="5"/>
  <c r="AF330" i="5"/>
  <c r="AF329" i="5"/>
  <c r="AF328" i="5"/>
  <c r="AF326" i="5"/>
  <c r="AF325" i="5"/>
  <c r="AF324" i="5"/>
  <c r="AF323" i="5"/>
  <c r="AF322" i="5"/>
  <c r="AF321" i="5"/>
  <c r="AF320" i="5"/>
  <c r="AF318" i="5"/>
  <c r="AF317" i="5"/>
  <c r="AF316" i="5"/>
  <c r="AF315" i="5"/>
  <c r="AF314" i="5"/>
  <c r="AF313" i="5"/>
  <c r="AF312" i="5"/>
  <c r="AF310" i="5"/>
  <c r="AF309" i="5"/>
  <c r="AF308" i="5"/>
  <c r="AF307" i="5"/>
  <c r="AF306" i="5"/>
  <c r="AF305" i="5"/>
  <c r="AF304" i="5"/>
  <c r="AF295" i="5"/>
  <c r="U295" i="5"/>
  <c r="N295" i="5"/>
  <c r="G295" i="5"/>
  <c r="AF294" i="5"/>
  <c r="AF293" i="5"/>
  <c r="AF292" i="5"/>
  <c r="AF291" i="5"/>
  <c r="AF290" i="5"/>
  <c r="AF289" i="5"/>
  <c r="AS287" i="5"/>
  <c r="AQ287" i="5"/>
  <c r="AP287" i="5"/>
  <c r="AO287" i="5"/>
  <c r="AM287" i="5"/>
  <c r="AL287" i="5"/>
  <c r="AK287" i="5"/>
  <c r="AI287" i="5"/>
  <c r="AH287" i="5"/>
  <c r="AG287" i="5"/>
  <c r="AF287" i="5"/>
  <c r="AF286" i="5"/>
  <c r="AF285" i="5"/>
  <c r="AF284" i="5"/>
  <c r="AF283" i="5"/>
  <c r="AF282" i="5"/>
  <c r="AF281" i="5"/>
  <c r="AF280" i="5"/>
  <c r="AF279" i="5"/>
  <c r="AF278" i="5"/>
  <c r="AF277" i="5"/>
  <c r="AF276" i="5"/>
  <c r="AF275" i="5"/>
  <c r="AF274" i="5"/>
  <c r="AF273" i="5"/>
  <c r="AF272" i="5"/>
  <c r="AF270" i="5"/>
  <c r="U270" i="5"/>
  <c r="N270" i="5"/>
  <c r="G270" i="5"/>
  <c r="AB270" i="5" s="1"/>
  <c r="AF269" i="5"/>
  <c r="AF268" i="5"/>
  <c r="AF267" i="5"/>
  <c r="AF266" i="5"/>
  <c r="AF265" i="5"/>
  <c r="AF264" i="5"/>
  <c r="AF263" i="5"/>
  <c r="AF261" i="5"/>
  <c r="U261" i="5"/>
  <c r="N261" i="5"/>
  <c r="G261" i="5"/>
  <c r="AB261" i="5" s="1"/>
  <c r="AF260" i="5"/>
  <c r="AF259" i="5"/>
  <c r="AF258" i="5"/>
  <c r="AF257" i="5"/>
  <c r="AF256" i="5"/>
  <c r="AF255" i="5"/>
  <c r="AF254" i="5"/>
  <c r="AF253" i="5"/>
  <c r="AF252" i="5"/>
  <c r="AF251" i="5"/>
  <c r="AF249" i="5"/>
  <c r="U249" i="5"/>
  <c r="N249" i="5"/>
  <c r="G249" i="5"/>
  <c r="AF248" i="5"/>
  <c r="AF247" i="5"/>
  <c r="AF246" i="5"/>
  <c r="AF245" i="5"/>
  <c r="AF244" i="5"/>
  <c r="AF243" i="5"/>
  <c r="AF241" i="5"/>
  <c r="U241" i="5"/>
  <c r="N241" i="5"/>
  <c r="G241" i="5"/>
  <c r="AB241" i="5" s="1"/>
  <c r="AF240" i="5"/>
  <c r="AF239" i="5"/>
  <c r="AF238" i="5"/>
  <c r="AF237" i="5"/>
  <c r="AF236" i="5"/>
  <c r="AF235" i="5"/>
  <c r="AF234" i="5"/>
  <c r="AF232" i="5"/>
  <c r="U232" i="5"/>
  <c r="N232" i="5"/>
  <c r="G232" i="5"/>
  <c r="AB232" i="5" s="1"/>
  <c r="AF231" i="5"/>
  <c r="AF230" i="5"/>
  <c r="AF229" i="5"/>
  <c r="AF228" i="5"/>
  <c r="AF227" i="5"/>
  <c r="AF226" i="5"/>
  <c r="AF225" i="5"/>
  <c r="AF224" i="5"/>
  <c r="AF223" i="5"/>
  <c r="AF222" i="5"/>
  <c r="AF221" i="5"/>
  <c r="AC219" i="5"/>
  <c r="AF218" i="5"/>
  <c r="U218" i="5"/>
  <c r="N218" i="5"/>
  <c r="G218" i="5"/>
  <c r="AB218" i="5" s="1"/>
  <c r="AF217" i="5"/>
  <c r="AF216" i="5"/>
  <c r="AF215" i="5"/>
  <c r="AF214" i="5"/>
  <c r="AF212" i="5"/>
  <c r="U212" i="5"/>
  <c r="N212" i="5"/>
  <c r="G212" i="5"/>
  <c r="AB212" i="5" s="1"/>
  <c r="AF211" i="5"/>
  <c r="AF210" i="5"/>
  <c r="AF209" i="5"/>
  <c r="AF208" i="5"/>
  <c r="AF206" i="5"/>
  <c r="U206" i="5"/>
  <c r="N206" i="5"/>
  <c r="G206" i="5"/>
  <c r="AB206" i="5" s="1"/>
  <c r="AF205" i="5"/>
  <c r="AF204" i="5"/>
  <c r="AF203" i="5"/>
  <c r="AF202" i="5"/>
  <c r="AF201" i="5"/>
  <c r="AF199" i="5"/>
  <c r="U199" i="5"/>
  <c r="N199" i="5"/>
  <c r="G199" i="5"/>
  <c r="AB199" i="5" s="1"/>
  <c r="AF198" i="5"/>
  <c r="AF197" i="5"/>
  <c r="AF196" i="5"/>
  <c r="AF195" i="5"/>
  <c r="AF194" i="5"/>
  <c r="AF191" i="5"/>
  <c r="U191" i="5"/>
  <c r="N191" i="5"/>
  <c r="G191" i="5"/>
  <c r="AB191" i="5" s="1"/>
  <c r="AF190" i="5"/>
  <c r="AF189" i="5"/>
  <c r="AF188" i="5"/>
  <c r="AF187" i="5"/>
  <c r="AF186" i="5"/>
  <c r="AF185" i="5"/>
  <c r="AF184" i="5"/>
  <c r="AF183" i="5"/>
  <c r="AF182" i="5"/>
  <c r="AF181" i="5"/>
  <c r="AF179" i="5"/>
  <c r="U179" i="5"/>
  <c r="N179" i="5"/>
  <c r="G179" i="5"/>
  <c r="AB179" i="5" s="1"/>
  <c r="AF178" i="5"/>
  <c r="AF177" i="5"/>
  <c r="AF176" i="5"/>
  <c r="AF175" i="5"/>
  <c r="AF174" i="5"/>
  <c r="AF172" i="5"/>
  <c r="U172" i="5"/>
  <c r="N172" i="5"/>
  <c r="G172" i="5"/>
  <c r="AB172" i="5" s="1"/>
  <c r="AF171" i="5"/>
  <c r="AF170" i="5"/>
  <c r="AF169" i="5"/>
  <c r="AF168" i="5"/>
  <c r="AF167" i="5"/>
  <c r="AS165" i="5"/>
  <c r="AQ165" i="5"/>
  <c r="AP165" i="5"/>
  <c r="AO165" i="5"/>
  <c r="AM165" i="5"/>
  <c r="AL165" i="5"/>
  <c r="AK165" i="5"/>
  <c r="AI165" i="5"/>
  <c r="AH165" i="5"/>
  <c r="AG165" i="5"/>
  <c r="AF165" i="5"/>
  <c r="AF164" i="5"/>
  <c r="AF163" i="5"/>
  <c r="AF162" i="5"/>
  <c r="AF161" i="5"/>
  <c r="AF160" i="5"/>
  <c r="AF159" i="5"/>
  <c r="AF158" i="5"/>
  <c r="AF157" i="5"/>
  <c r="AF156" i="5"/>
  <c r="AF155" i="5"/>
  <c r="AF154" i="5"/>
  <c r="AF153" i="5"/>
  <c r="AF152" i="5"/>
  <c r="AF148" i="5"/>
  <c r="U148" i="5"/>
  <c r="N148" i="5"/>
  <c r="G148" i="5"/>
  <c r="AB148" i="5" s="1"/>
  <c r="AF147" i="5"/>
  <c r="AF146" i="5"/>
  <c r="AF145" i="5"/>
  <c r="AF144" i="5"/>
  <c r="AF143" i="5"/>
  <c r="AS141" i="5"/>
  <c r="AQ141" i="5"/>
  <c r="AP141" i="5"/>
  <c r="AO141" i="5"/>
  <c r="AM141" i="5"/>
  <c r="AL141" i="5"/>
  <c r="AK141" i="5"/>
  <c r="AI141" i="5"/>
  <c r="AH141" i="5"/>
  <c r="AG141" i="5"/>
  <c r="AF141" i="5"/>
  <c r="AF140" i="5"/>
  <c r="AF139" i="5"/>
  <c r="AF138" i="5"/>
  <c r="AF137" i="5"/>
  <c r="AF136" i="5"/>
  <c r="AF135" i="5"/>
  <c r="AF134" i="5"/>
  <c r="AF133" i="5"/>
  <c r="AF132" i="5"/>
  <c r="AF131" i="5"/>
  <c r="AF130" i="5"/>
  <c r="AF129" i="5"/>
  <c r="AF125" i="5"/>
  <c r="U125" i="5"/>
  <c r="N125" i="5"/>
  <c r="G125" i="5"/>
  <c r="AB125" i="5" s="1"/>
  <c r="AF124" i="5"/>
  <c r="AF123" i="5"/>
  <c r="AF122" i="5"/>
  <c r="AF121" i="5"/>
  <c r="AF120" i="5"/>
  <c r="AS116" i="5"/>
  <c r="AF115" i="5"/>
  <c r="U115" i="5"/>
  <c r="N115" i="5"/>
  <c r="G115" i="5"/>
  <c r="AB115" i="5" s="1"/>
  <c r="AF114" i="5"/>
  <c r="AF113" i="5"/>
  <c r="AF112" i="5"/>
  <c r="AF111" i="5"/>
  <c r="AF110" i="5"/>
  <c r="AS108" i="5"/>
  <c r="AF107" i="5"/>
  <c r="U107" i="5"/>
  <c r="N107" i="5"/>
  <c r="G107" i="5"/>
  <c r="AB107" i="5" s="1"/>
  <c r="AF106" i="5"/>
  <c r="AF105" i="5"/>
  <c r="AF104" i="5"/>
  <c r="AF103" i="5"/>
  <c r="AF102" i="5"/>
  <c r="AS100" i="5"/>
  <c r="AQ100" i="5"/>
  <c r="AP100" i="5"/>
  <c r="AO100" i="5"/>
  <c r="AM100" i="5"/>
  <c r="AL100" i="5"/>
  <c r="AK100" i="5"/>
  <c r="AI100" i="5"/>
  <c r="AH100" i="5"/>
  <c r="AG100" i="5"/>
  <c r="AF100" i="5"/>
  <c r="AF99" i="5"/>
  <c r="AF98" i="5"/>
  <c r="AF97" i="5"/>
  <c r="AF96" i="5"/>
  <c r="AF95" i="5"/>
  <c r="AF94" i="5"/>
  <c r="AF93" i="5"/>
  <c r="AF92" i="5"/>
  <c r="AF91" i="5"/>
  <c r="AS89" i="5"/>
  <c r="AQ89" i="5"/>
  <c r="AP89" i="5"/>
  <c r="AO89" i="5"/>
  <c r="AM89" i="5"/>
  <c r="AL89" i="5"/>
  <c r="AK89" i="5"/>
  <c r="AI89" i="5"/>
  <c r="AH89" i="5"/>
  <c r="AG89" i="5"/>
  <c r="AF89" i="5"/>
  <c r="AF88" i="5"/>
  <c r="AF87" i="5"/>
  <c r="AF86" i="5"/>
  <c r="AF85" i="5"/>
  <c r="AF84" i="5"/>
  <c r="AF83" i="5"/>
  <c r="AF82" i="5"/>
  <c r="AF81" i="5"/>
  <c r="AF80" i="5"/>
  <c r="AF79" i="5"/>
  <c r="AF78" i="5"/>
  <c r="AF77" i="5"/>
  <c r="AF74" i="5"/>
  <c r="U74" i="5"/>
  <c r="N74" i="5"/>
  <c r="G74" i="5"/>
  <c r="AB74" i="5" s="1"/>
  <c r="AF73" i="5"/>
  <c r="AF72" i="5"/>
  <c r="AF71" i="5"/>
  <c r="AF70" i="5"/>
  <c r="AF69" i="5"/>
  <c r="AF68" i="5"/>
  <c r="AF67" i="5"/>
  <c r="AS65" i="5"/>
  <c r="AQ65" i="5"/>
  <c r="AP65" i="5"/>
  <c r="AO65" i="5"/>
  <c r="AM65" i="5"/>
  <c r="AL65" i="5"/>
  <c r="AK65" i="5"/>
  <c r="AI65" i="5"/>
  <c r="AH65" i="5"/>
  <c r="AG65" i="5"/>
  <c r="AF65" i="5"/>
  <c r="AF64" i="5"/>
  <c r="AF63" i="5"/>
  <c r="AF62" i="5"/>
  <c r="AF61" i="5"/>
  <c r="AF60" i="5"/>
  <c r="AF59" i="5"/>
  <c r="AF58" i="5"/>
  <c r="AF57" i="5"/>
  <c r="AF56" i="5"/>
  <c r="AF55" i="5"/>
  <c r="AF54" i="5"/>
  <c r="AF53" i="5"/>
  <c r="AF51" i="5"/>
  <c r="U51" i="5"/>
  <c r="N51" i="5"/>
  <c r="G51" i="5"/>
  <c r="AB51" i="5" s="1"/>
  <c r="AF50" i="5"/>
  <c r="AF49" i="5"/>
  <c r="AF48" i="5"/>
  <c r="AF47" i="5"/>
  <c r="AF46" i="5"/>
  <c r="AF44" i="5"/>
  <c r="U44" i="5"/>
  <c r="N44" i="5"/>
  <c r="G44" i="5"/>
  <c r="AB44" i="5" s="1"/>
  <c r="AF43" i="5"/>
  <c r="AF42" i="5"/>
  <c r="AF41" i="5"/>
  <c r="AF40" i="5"/>
  <c r="AF39" i="5"/>
  <c r="AF38" i="5"/>
  <c r="AF37" i="5"/>
  <c r="AF35" i="5"/>
  <c r="U35" i="5"/>
  <c r="N35" i="5"/>
  <c r="G35" i="5"/>
  <c r="AF34" i="5"/>
  <c r="AF33" i="5"/>
  <c r="AF32" i="5"/>
  <c r="AF31" i="5"/>
  <c r="AF30" i="5"/>
  <c r="AF29" i="5"/>
  <c r="U27" i="5"/>
  <c r="N27" i="5"/>
  <c r="G27" i="5"/>
  <c r="AB27" i="5" s="1"/>
  <c r="AF26" i="5"/>
  <c r="AF25" i="5"/>
  <c r="AF24" i="5"/>
  <c r="AF23" i="5"/>
  <c r="AF22" i="5"/>
  <c r="AF19" i="5"/>
  <c r="U19" i="5"/>
  <c r="N19" i="5"/>
  <c r="G19" i="5"/>
  <c r="AB19" i="5" s="1"/>
  <c r="AF18" i="5"/>
  <c r="AF17" i="5"/>
  <c r="AF16" i="5"/>
  <c r="AF15" i="5"/>
  <c r="AF14" i="5"/>
  <c r="AB74" i="7" l="1"/>
  <c r="AB19" i="6"/>
  <c r="AB27" i="6"/>
  <c r="AB35" i="6"/>
  <c r="AB44" i="6"/>
  <c r="AB51" i="6"/>
  <c r="AB74" i="6"/>
  <c r="AB172" i="6"/>
  <c r="AB179" i="6"/>
  <c r="AB249" i="6"/>
  <c r="AB261" i="6"/>
  <c r="AB270" i="6"/>
  <c r="AB35" i="3"/>
  <c r="AB44" i="3"/>
  <c r="AB51" i="3"/>
  <c r="AB74" i="3"/>
  <c r="AB172" i="3"/>
  <c r="AB179" i="3"/>
  <c r="AB212" i="3"/>
  <c r="AB232" i="3"/>
  <c r="AB241" i="3"/>
  <c r="AB295" i="3"/>
  <c r="AB35" i="5"/>
  <c r="AB249" i="5"/>
  <c r="AB295" i="5"/>
  <c r="G19" i="2"/>
  <c r="BD213" i="1"/>
  <c r="BC213" i="1"/>
  <c r="BB213" i="1"/>
  <c r="BD212" i="1"/>
  <c r="BC212" i="1"/>
  <c r="BB212" i="1"/>
  <c r="BD211" i="1"/>
  <c r="BC211" i="1"/>
  <c r="BB211" i="1"/>
  <c r="BD210" i="1"/>
  <c r="BC210" i="1"/>
  <c r="BB210" i="1"/>
  <c r="BD209" i="1"/>
  <c r="BC209" i="1"/>
  <c r="BB209" i="1"/>
  <c r="BD208" i="1"/>
  <c r="BC208" i="1"/>
  <c r="BB208" i="1"/>
  <c r="BD207" i="1"/>
  <c r="BC207" i="1"/>
  <c r="BB207" i="1"/>
  <c r="BD206" i="1"/>
  <c r="BC206" i="1"/>
  <c r="BB206" i="1"/>
  <c r="BD205" i="1"/>
  <c r="BC205" i="1"/>
  <c r="BB205" i="1"/>
  <c r="BD204" i="1"/>
  <c r="BC204" i="1"/>
  <c r="BB204" i="1"/>
  <c r="BD203" i="1"/>
  <c r="BC203" i="1"/>
  <c r="BB203" i="1"/>
  <c r="BD202" i="1"/>
  <c r="BC202" i="1"/>
  <c r="BB202" i="1"/>
  <c r="BD201" i="1"/>
  <c r="BC201" i="1"/>
  <c r="BB201" i="1"/>
  <c r="BD200" i="1"/>
  <c r="BC200" i="1"/>
  <c r="BB200" i="1"/>
  <c r="BD199" i="1"/>
  <c r="BC199" i="1"/>
  <c r="BB199" i="1"/>
  <c r="BD198" i="1"/>
  <c r="BC198" i="1"/>
  <c r="BB198" i="1"/>
  <c r="BD197" i="1"/>
  <c r="BC197" i="1"/>
  <c r="BB197" i="1"/>
  <c r="BD196" i="1"/>
  <c r="BC196" i="1"/>
  <c r="BB196" i="1"/>
  <c r="BD195" i="1"/>
  <c r="BC195" i="1"/>
  <c r="BB195" i="1"/>
  <c r="BD194" i="1"/>
  <c r="BC194" i="1"/>
  <c r="BB194" i="1"/>
  <c r="BD193" i="1"/>
  <c r="BC193" i="1"/>
  <c r="BB193" i="1"/>
  <c r="BD192" i="1"/>
  <c r="BC192" i="1"/>
  <c r="BB192" i="1"/>
  <c r="BD191" i="1"/>
  <c r="BC191" i="1"/>
  <c r="BB191" i="1"/>
  <c r="BD190" i="1"/>
  <c r="BC190" i="1"/>
  <c r="BB190" i="1"/>
  <c r="BD189" i="1"/>
  <c r="BC189" i="1"/>
  <c r="BB189" i="1"/>
  <c r="BD188" i="1"/>
  <c r="BC188" i="1"/>
  <c r="BB188" i="1"/>
  <c r="BD187" i="1"/>
  <c r="BC187" i="1"/>
  <c r="BB187" i="1"/>
  <c r="BD186" i="1"/>
  <c r="BC186" i="1"/>
  <c r="BB186" i="1"/>
  <c r="BD185" i="1"/>
  <c r="BC185" i="1"/>
  <c r="BB185" i="1"/>
  <c r="BD184" i="1"/>
  <c r="BC184" i="1"/>
  <c r="BB184" i="1"/>
  <c r="BD183" i="1"/>
  <c r="BC183" i="1"/>
  <c r="BB183" i="1"/>
  <c r="BD182" i="1"/>
  <c r="BC182" i="1"/>
  <c r="BB182" i="1"/>
  <c r="BD181" i="1"/>
  <c r="BC181" i="1"/>
  <c r="BB181" i="1"/>
  <c r="BD180" i="1"/>
  <c r="BC180" i="1"/>
  <c r="BB180" i="1"/>
  <c r="BD179" i="1"/>
  <c r="BC179" i="1"/>
  <c r="BB179" i="1"/>
  <c r="BD178" i="1"/>
  <c r="BC178" i="1"/>
  <c r="BB178" i="1"/>
  <c r="BD177" i="1"/>
  <c r="BC177" i="1"/>
  <c r="BB177" i="1"/>
  <c r="BD176" i="1"/>
  <c r="BC176" i="1"/>
  <c r="BB176" i="1"/>
  <c r="BD175" i="1"/>
  <c r="BC175" i="1"/>
  <c r="BB175" i="1"/>
  <c r="BD174" i="1"/>
  <c r="BC174" i="1"/>
  <c r="BB174" i="1"/>
  <c r="BD173" i="1"/>
  <c r="BC173" i="1"/>
  <c r="BB173" i="1"/>
  <c r="BD172" i="1"/>
  <c r="BC172" i="1"/>
  <c r="BB172" i="1"/>
  <c r="BD171" i="1"/>
  <c r="BC171" i="1"/>
  <c r="BB171" i="1"/>
  <c r="BD170" i="1"/>
  <c r="BC170" i="1"/>
  <c r="BB170" i="1"/>
  <c r="BD169" i="1"/>
  <c r="BC169" i="1"/>
  <c r="BB169" i="1"/>
  <c r="BD168" i="1"/>
  <c r="BC168" i="1"/>
  <c r="BB168" i="1"/>
  <c r="BD167" i="1"/>
  <c r="BC167" i="1"/>
  <c r="BB167" i="1"/>
  <c r="BD166" i="1"/>
  <c r="BC166" i="1"/>
  <c r="BB166" i="1"/>
  <c r="BD165" i="1"/>
  <c r="BC165" i="1"/>
  <c r="BB165" i="1"/>
  <c r="BD164" i="1"/>
  <c r="BC164" i="1"/>
  <c r="BB164" i="1"/>
  <c r="BD163" i="1"/>
  <c r="BC163" i="1"/>
  <c r="BB163" i="1"/>
  <c r="BD162" i="1"/>
  <c r="BC162" i="1"/>
  <c r="BB162" i="1"/>
  <c r="BD161" i="1"/>
  <c r="BC161" i="1"/>
  <c r="BB161" i="1"/>
  <c r="BD160" i="1"/>
  <c r="BC160" i="1"/>
  <c r="BB160" i="1"/>
  <c r="BD159" i="1"/>
  <c r="BC159" i="1"/>
  <c r="BB159" i="1"/>
  <c r="BD158" i="1"/>
  <c r="BC158" i="1"/>
  <c r="BB158" i="1"/>
  <c r="BD157" i="1"/>
  <c r="BC157" i="1"/>
  <c r="BB157" i="1"/>
  <c r="BD156" i="1"/>
  <c r="BC156" i="1"/>
  <c r="BB156" i="1"/>
  <c r="BD155" i="1"/>
  <c r="BC155" i="1"/>
  <c r="BB155" i="1"/>
  <c r="BD154" i="1"/>
  <c r="BC154" i="1"/>
  <c r="BB154" i="1"/>
  <c r="BD153" i="1"/>
  <c r="BC153" i="1"/>
  <c r="BB153" i="1"/>
  <c r="BD152" i="1"/>
  <c r="BC152" i="1"/>
  <c r="BB152" i="1"/>
  <c r="BD151" i="1"/>
  <c r="BC151" i="1"/>
  <c r="BB151" i="1"/>
  <c r="BD150" i="1"/>
  <c r="BC150" i="1"/>
  <c r="BB150" i="1"/>
  <c r="BD149" i="1"/>
  <c r="BC149" i="1"/>
  <c r="BB149" i="1"/>
  <c r="BD148" i="1"/>
  <c r="BC148" i="1"/>
  <c r="BB148" i="1"/>
  <c r="BD147" i="1"/>
  <c r="BC147" i="1"/>
  <c r="BB147" i="1"/>
  <c r="BD146" i="1"/>
  <c r="BC146" i="1"/>
  <c r="BB146" i="1"/>
  <c r="BD145" i="1"/>
  <c r="BC145" i="1"/>
  <c r="BB145" i="1"/>
  <c r="BD144" i="1"/>
  <c r="BC144" i="1"/>
  <c r="BB144" i="1"/>
  <c r="BD143" i="1"/>
  <c r="BC143" i="1"/>
  <c r="BB143" i="1"/>
  <c r="BD142" i="1"/>
  <c r="BC142" i="1"/>
  <c r="BB142" i="1"/>
  <c r="BD141" i="1"/>
  <c r="BC141" i="1"/>
  <c r="BB141" i="1"/>
  <c r="BD140" i="1"/>
  <c r="BC140" i="1"/>
  <c r="BB140" i="1"/>
  <c r="BD139" i="1"/>
  <c r="BC139" i="1"/>
  <c r="BB139" i="1"/>
  <c r="BD138" i="1"/>
  <c r="BC138" i="1"/>
  <c r="BB138" i="1"/>
  <c r="BD137" i="1"/>
  <c r="BC137" i="1"/>
  <c r="BB137" i="1"/>
  <c r="BD136" i="1"/>
  <c r="BC136" i="1"/>
  <c r="BB136" i="1"/>
  <c r="BD135" i="1"/>
  <c r="BC135" i="1"/>
  <c r="BB135" i="1"/>
  <c r="BD134" i="1"/>
  <c r="BC134" i="1"/>
  <c r="BB134" i="1"/>
  <c r="BD133" i="1"/>
  <c r="BC133" i="1"/>
  <c r="BB133" i="1"/>
  <c r="BD132" i="1"/>
  <c r="BC132" i="1"/>
  <c r="BB132" i="1"/>
  <c r="BD131" i="1"/>
  <c r="BC131" i="1"/>
  <c r="BB131" i="1"/>
  <c r="BD130" i="1"/>
  <c r="BC130" i="1"/>
  <c r="BB130" i="1"/>
  <c r="BD129" i="1"/>
  <c r="BC129" i="1"/>
  <c r="BB129" i="1"/>
  <c r="BD128" i="1"/>
  <c r="BC128" i="1"/>
  <c r="BB128" i="1"/>
  <c r="BD127" i="1"/>
  <c r="BC127" i="1"/>
  <c r="BB127" i="1"/>
  <c r="BD126" i="1"/>
  <c r="BC126" i="1"/>
  <c r="BB126" i="1"/>
  <c r="BD125" i="1"/>
  <c r="BC125" i="1"/>
  <c r="BB125" i="1"/>
  <c r="BD124" i="1"/>
  <c r="BC124" i="1"/>
  <c r="BB124" i="1"/>
  <c r="BD123" i="1"/>
  <c r="BC123" i="1"/>
  <c r="BB123" i="1"/>
  <c r="BD122" i="1"/>
  <c r="BC122" i="1"/>
  <c r="BB122" i="1"/>
  <c r="BD121" i="1"/>
  <c r="BC121" i="1"/>
  <c r="BB121" i="1"/>
  <c r="BD120" i="1"/>
  <c r="BC120" i="1"/>
  <c r="BB120" i="1"/>
  <c r="BD119" i="1"/>
  <c r="BC119" i="1"/>
  <c r="BB119" i="1"/>
  <c r="BD118" i="1"/>
  <c r="BC118" i="1"/>
  <c r="BB118" i="1"/>
  <c r="BD117" i="1"/>
  <c r="BC117" i="1"/>
  <c r="BB117" i="1"/>
  <c r="BD116" i="1"/>
  <c r="BC116" i="1"/>
  <c r="BB116" i="1"/>
  <c r="BD115" i="1"/>
  <c r="BC115" i="1"/>
  <c r="BB115" i="1"/>
  <c r="BD114" i="1"/>
  <c r="BC114" i="1"/>
  <c r="BB114" i="1"/>
  <c r="BD113" i="1"/>
  <c r="BC113" i="1"/>
  <c r="BB113" i="1"/>
  <c r="BD112" i="1"/>
  <c r="BC112" i="1"/>
  <c r="BB112" i="1"/>
  <c r="BD111" i="1"/>
  <c r="BC111" i="1"/>
  <c r="BB111" i="1"/>
  <c r="BD110" i="1"/>
  <c r="BC110" i="1"/>
  <c r="BB110" i="1"/>
  <c r="BD109" i="1"/>
  <c r="BC109" i="1"/>
  <c r="BB109" i="1"/>
  <c r="BD108" i="1"/>
  <c r="BC108" i="1"/>
  <c r="BB108" i="1"/>
  <c r="BD107" i="1"/>
  <c r="BC107" i="1"/>
  <c r="BB107" i="1"/>
  <c r="BD106" i="1"/>
  <c r="BC106" i="1"/>
  <c r="BB106" i="1"/>
  <c r="BD105" i="1"/>
  <c r="BC105" i="1"/>
  <c r="BB105" i="1"/>
  <c r="BD104" i="1"/>
  <c r="BC104" i="1"/>
  <c r="BB104" i="1"/>
  <c r="BD103" i="1"/>
  <c r="BC103" i="1"/>
  <c r="BB103" i="1"/>
  <c r="BD102" i="1"/>
  <c r="BC102" i="1"/>
  <c r="BB102" i="1"/>
  <c r="BD101" i="1"/>
  <c r="BC101" i="1"/>
  <c r="BB101" i="1"/>
  <c r="BD100" i="1"/>
  <c r="BC100" i="1"/>
  <c r="BB100" i="1"/>
  <c r="BD99" i="1"/>
  <c r="BC99" i="1"/>
  <c r="BB99" i="1"/>
  <c r="BD98" i="1"/>
  <c r="BC98" i="1"/>
  <c r="BB98" i="1"/>
  <c r="BD97" i="1"/>
  <c r="BC97" i="1"/>
  <c r="BB97" i="1"/>
  <c r="BD96" i="1"/>
  <c r="BC96" i="1"/>
  <c r="BB96" i="1"/>
  <c r="BD95" i="1"/>
  <c r="BC95" i="1"/>
  <c r="BB95" i="1"/>
  <c r="BD94" i="1"/>
  <c r="BC94" i="1"/>
  <c r="BB94" i="1"/>
  <c r="BD93" i="1"/>
  <c r="BC93" i="1"/>
  <c r="BB93" i="1"/>
  <c r="BD92" i="1"/>
  <c r="BC92" i="1"/>
  <c r="BB92" i="1"/>
  <c r="BD91" i="1"/>
  <c r="BC91" i="1"/>
  <c r="BB91" i="1"/>
  <c r="BD90" i="1"/>
  <c r="BC90" i="1"/>
  <c r="BB90" i="1"/>
  <c r="BD89" i="1"/>
  <c r="BC89" i="1"/>
  <c r="BB89" i="1"/>
  <c r="BD88" i="1"/>
  <c r="BC88" i="1"/>
  <c r="BB88" i="1"/>
  <c r="BD87" i="1"/>
  <c r="BC87" i="1"/>
  <c r="BB87" i="1"/>
  <c r="BD86" i="1"/>
  <c r="BC86" i="1"/>
  <c r="BB86" i="1"/>
  <c r="BD85" i="1"/>
  <c r="BC85" i="1"/>
  <c r="BB85" i="1"/>
  <c r="BD84" i="1"/>
  <c r="BC84" i="1"/>
  <c r="BB84" i="1"/>
  <c r="BD83" i="1"/>
  <c r="BC83" i="1"/>
  <c r="BB83" i="1"/>
  <c r="BD82" i="1"/>
  <c r="BC82" i="1"/>
  <c r="BB82" i="1"/>
  <c r="BD81" i="1"/>
  <c r="BC81" i="1"/>
  <c r="BB81" i="1"/>
  <c r="BD80" i="1"/>
  <c r="BC80" i="1"/>
  <c r="BB80" i="1"/>
  <c r="BD79" i="1"/>
  <c r="BC79" i="1"/>
  <c r="BB79" i="1"/>
  <c r="BD78" i="1"/>
  <c r="BC78" i="1"/>
  <c r="BB78" i="1"/>
  <c r="BD77" i="1"/>
  <c r="BC77" i="1"/>
  <c r="BB77" i="1"/>
  <c r="BD76" i="1"/>
  <c r="BC76" i="1"/>
  <c r="BB76" i="1"/>
  <c r="BD75" i="1"/>
  <c r="BC75" i="1"/>
  <c r="BB75" i="1"/>
  <c r="BD74" i="1"/>
  <c r="BC74" i="1"/>
  <c r="BB74" i="1"/>
  <c r="BD73" i="1"/>
  <c r="BC73" i="1"/>
  <c r="BB73" i="1"/>
  <c r="BD72" i="1"/>
  <c r="BC72" i="1"/>
  <c r="BB72" i="1"/>
  <c r="BD71" i="1"/>
  <c r="BC71" i="1"/>
  <c r="BB71" i="1"/>
  <c r="BD70" i="1"/>
  <c r="BC70" i="1"/>
  <c r="BB70" i="1"/>
  <c r="BD69" i="1"/>
  <c r="BC69" i="1"/>
  <c r="BB69" i="1"/>
  <c r="BD68" i="1"/>
  <c r="BC68" i="1"/>
  <c r="BB68" i="1"/>
  <c r="BD67" i="1"/>
  <c r="BC67" i="1"/>
  <c r="BB67" i="1"/>
  <c r="BD66" i="1"/>
  <c r="BC66" i="1"/>
  <c r="BB66" i="1"/>
  <c r="BD65" i="1"/>
  <c r="BC65" i="1"/>
  <c r="BB65" i="1"/>
  <c r="BD63" i="1"/>
  <c r="BC63" i="1"/>
  <c r="BB63" i="1"/>
  <c r="BD62" i="1"/>
  <c r="BC62" i="1"/>
  <c r="BB62" i="1"/>
  <c r="BD61" i="1"/>
  <c r="BC61" i="1"/>
  <c r="BB61" i="1"/>
  <c r="BD60" i="1"/>
  <c r="BC60" i="1"/>
  <c r="BB60" i="1"/>
  <c r="BD59" i="1"/>
  <c r="BC59" i="1"/>
  <c r="BB59" i="1"/>
  <c r="BD58" i="1"/>
  <c r="BC58" i="1"/>
  <c r="BB58" i="1"/>
  <c r="BD57" i="1"/>
  <c r="BC57" i="1"/>
  <c r="BB57" i="1"/>
  <c r="BD56" i="1"/>
  <c r="BC56" i="1"/>
  <c r="BB56" i="1"/>
  <c r="BD55" i="1"/>
  <c r="BC55" i="1"/>
  <c r="BB55" i="1"/>
  <c r="BD54" i="1"/>
  <c r="BC54" i="1"/>
  <c r="BB54" i="1"/>
  <c r="BD53" i="1"/>
  <c r="BC53" i="1"/>
  <c r="BB53" i="1"/>
  <c r="BD52" i="1"/>
  <c r="BC52" i="1"/>
  <c r="BB52" i="1"/>
  <c r="BD51" i="1"/>
  <c r="BC51" i="1"/>
  <c r="BB51" i="1"/>
  <c r="BD50" i="1"/>
  <c r="BC50" i="1"/>
  <c r="BB50" i="1"/>
  <c r="BD49" i="1"/>
  <c r="BC49" i="1"/>
  <c r="BB49" i="1"/>
  <c r="BD48" i="1"/>
  <c r="BC48" i="1"/>
  <c r="BB48" i="1"/>
  <c r="BD47" i="1"/>
  <c r="BC47" i="1"/>
  <c r="BB47" i="1"/>
  <c r="BD46" i="1"/>
  <c r="BC46" i="1"/>
  <c r="BB46" i="1"/>
  <c r="BD45" i="1"/>
  <c r="BC45" i="1"/>
  <c r="BB45" i="1"/>
  <c r="BD44" i="1"/>
  <c r="BC44" i="1"/>
  <c r="BB44" i="1"/>
  <c r="BD43" i="1"/>
  <c r="BC43" i="1"/>
  <c r="BB43" i="1"/>
  <c r="BD42" i="1"/>
  <c r="BC42" i="1"/>
  <c r="BB42" i="1"/>
  <c r="BD41" i="1"/>
  <c r="BC41" i="1"/>
  <c r="BB41" i="1"/>
  <c r="BD40" i="1"/>
  <c r="BC40" i="1"/>
  <c r="BB40" i="1"/>
  <c r="BD39" i="1"/>
  <c r="BC39" i="1"/>
  <c r="BB39" i="1"/>
  <c r="BD38" i="1"/>
  <c r="BC38" i="1"/>
  <c r="BB38" i="1"/>
  <c r="BD37" i="1"/>
  <c r="BC37" i="1"/>
  <c r="BB37" i="1"/>
  <c r="BD36" i="1"/>
  <c r="BC36" i="1"/>
  <c r="BB36" i="1"/>
  <c r="BD35" i="1"/>
  <c r="BC35" i="1"/>
  <c r="BB35" i="1"/>
  <c r="BD34" i="1"/>
  <c r="BC34" i="1"/>
  <c r="BB34" i="1"/>
  <c r="BD33" i="1"/>
  <c r="BC33" i="1"/>
  <c r="BB33" i="1"/>
  <c r="BD32" i="1"/>
  <c r="BC32" i="1"/>
  <c r="BB32" i="1"/>
  <c r="BD31" i="1"/>
  <c r="BC31" i="1"/>
  <c r="BB31" i="1"/>
  <c r="BD30" i="1"/>
  <c r="BC30" i="1"/>
  <c r="BB30" i="1"/>
  <c r="BD29" i="1"/>
  <c r="BC29" i="1"/>
  <c r="BB29" i="1"/>
  <c r="BD28" i="1"/>
  <c r="BC28" i="1"/>
  <c r="BB28" i="1"/>
  <c r="BD27" i="1"/>
  <c r="BC27" i="1"/>
  <c r="BB27" i="1"/>
  <c r="BD26" i="1"/>
  <c r="BC26" i="1"/>
  <c r="BB26" i="1"/>
  <c r="BD25" i="1"/>
  <c r="BC25" i="1"/>
  <c r="BB25" i="1"/>
  <c r="BD24" i="1"/>
  <c r="BC24" i="1"/>
  <c r="BB24" i="1"/>
  <c r="BD23" i="1"/>
  <c r="BC23" i="1"/>
  <c r="BB23" i="1"/>
  <c r="BD22" i="1"/>
  <c r="BC22" i="1"/>
  <c r="BB22" i="1"/>
  <c r="BD21" i="1"/>
  <c r="BC21" i="1"/>
  <c r="BB21" i="1"/>
  <c r="BD20" i="1"/>
  <c r="BC20" i="1"/>
  <c r="BB20" i="1"/>
  <c r="BD19" i="1"/>
  <c r="BC19" i="1"/>
  <c r="BB19" i="1"/>
  <c r="BD18" i="1"/>
  <c r="BC18" i="1"/>
  <c r="BB18" i="1"/>
  <c r="BD17" i="1"/>
  <c r="BC17" i="1"/>
  <c r="BB17" i="1"/>
  <c r="BD16" i="1"/>
  <c r="BC16" i="1"/>
  <c r="BB16" i="1"/>
  <c r="BD15" i="1"/>
  <c r="BC15" i="1"/>
  <c r="BB15" i="1"/>
  <c r="BD14" i="1"/>
  <c r="BC14" i="1"/>
  <c r="BB14" i="1"/>
  <c r="BD13" i="1"/>
  <c r="BC13" i="1"/>
  <c r="BB13" i="1"/>
  <c r="BD12" i="1"/>
  <c r="BC12" i="1"/>
  <c r="BB12" i="1"/>
  <c r="BD11" i="1"/>
  <c r="BC11" i="1"/>
  <c r="BB11" i="1"/>
  <c r="BD10" i="1"/>
  <c r="BC10" i="1"/>
  <c r="BB10" i="1"/>
  <c r="BD9" i="1"/>
  <c r="BC9" i="1"/>
  <c r="BB9" i="1"/>
  <c r="BD8" i="1"/>
  <c r="BC8" i="1"/>
  <c r="BB8" i="1"/>
  <c r="BD7" i="1"/>
  <c r="BC7" i="1"/>
  <c r="BB7" i="1"/>
  <c r="BD6" i="1"/>
  <c r="BC6" i="1"/>
  <c r="BB6" i="1"/>
  <c r="BD5" i="1"/>
  <c r="BC5" i="1"/>
  <c r="BB5" i="1"/>
  <c r="BD4" i="1"/>
  <c r="BC4" i="1"/>
  <c r="BB4" i="1"/>
  <c r="BD3" i="1"/>
  <c r="BC3" i="1"/>
  <c r="BB3" i="1"/>
  <c r="BD2" i="1"/>
  <c r="BC2" i="1"/>
  <c r="BB2" i="1"/>
  <c r="A1" i="1"/>
  <c r="B1" i="1"/>
  <c r="C1" i="1"/>
  <c r="D1" i="1"/>
  <c r="E1" i="1"/>
  <c r="F1" i="1"/>
  <c r="G1" i="1"/>
  <c r="H1" i="1"/>
  <c r="I1" i="1"/>
  <c r="J1" i="1"/>
  <c r="K1" i="1"/>
  <c r="L1" i="1"/>
  <c r="N1" i="1"/>
  <c r="O1" i="1"/>
  <c r="P1" i="1"/>
  <c r="Q1" i="1"/>
  <c r="R1" i="1"/>
  <c r="T1" i="1"/>
  <c r="U1" i="1"/>
  <c r="V1" i="1"/>
  <c r="W1" i="1"/>
  <c r="X1" i="1"/>
  <c r="Y1" i="1"/>
  <c r="Z1" i="1"/>
  <c r="AA1" i="1"/>
  <c r="AB1" i="1"/>
  <c r="AC1" i="1"/>
  <c r="AE1" i="1"/>
  <c r="AF1" i="1"/>
  <c r="AG1" i="1"/>
  <c r="AI1" i="1"/>
  <c r="AJ1" i="1"/>
  <c r="AL1" i="1"/>
  <c r="AM1" i="1"/>
  <c r="AN1" i="1"/>
  <c r="AO1" i="1"/>
  <c r="AP1" i="1"/>
  <c r="AQ1" i="1"/>
  <c r="AR1" i="1"/>
  <c r="AS1" i="1"/>
  <c r="AT1" i="1"/>
  <c r="AU1" i="1"/>
  <c r="AV1" i="1"/>
  <c r="AW1" i="1"/>
  <c r="AX1" i="1"/>
  <c r="AY1" i="1"/>
  <c r="AZ1" i="1"/>
  <c r="BA1" i="1"/>
  <c r="BB1" i="1"/>
  <c r="BC1" i="1"/>
  <c r="BD1" i="1"/>
  <c r="Z275" i="9" l="1"/>
  <c r="AP275" i="9" s="1"/>
  <c r="Z280" i="9"/>
  <c r="AP280" i="9" s="1"/>
  <c r="Z276" i="9"/>
  <c r="AP276" i="9" s="1"/>
  <c r="Z274" i="9"/>
  <c r="AP274" i="9" s="1"/>
  <c r="S257" i="9"/>
  <c r="AL257" i="9" s="1"/>
  <c r="L256" i="9"/>
  <c r="AH256" i="9" s="1"/>
  <c r="Z254" i="9"/>
  <c r="AP254" i="9" s="1"/>
  <c r="L254" i="9"/>
  <c r="AH254" i="9" s="1"/>
  <c r="Z252" i="9"/>
  <c r="AP252" i="9" s="1"/>
  <c r="L252" i="9"/>
  <c r="AH252" i="9" s="1"/>
  <c r="S445" i="9"/>
  <c r="AL445" i="9" s="1"/>
  <c r="Z438" i="9"/>
  <c r="AP438" i="9" s="1"/>
  <c r="L438" i="9"/>
  <c r="AH438" i="9" s="1"/>
  <c r="Z437" i="9"/>
  <c r="AP437" i="9" s="1"/>
  <c r="L437" i="9"/>
  <c r="AH437" i="9" s="1"/>
  <c r="Z436" i="9"/>
  <c r="AP436" i="9" s="1"/>
  <c r="Z432" i="9"/>
  <c r="AP432" i="9" s="1"/>
  <c r="Z431" i="9"/>
  <c r="AP431" i="9" s="1"/>
  <c r="Z430" i="9"/>
  <c r="AP430" i="9" s="1"/>
  <c r="Z452" i="9"/>
  <c r="AP452" i="9" s="1"/>
  <c r="Z451" i="9"/>
  <c r="AP451" i="9" s="1"/>
  <c r="Z450" i="9"/>
  <c r="AP450" i="9" s="1"/>
  <c r="Z449" i="9"/>
  <c r="AP449" i="9" s="1"/>
  <c r="Z448" i="9"/>
  <c r="AP448" i="9" s="1"/>
  <c r="Z447" i="9"/>
  <c r="AP447" i="9" s="1"/>
  <c r="Z446" i="9"/>
  <c r="AP446" i="9" s="1"/>
  <c r="Z445" i="9"/>
  <c r="AP445" i="9" s="1"/>
  <c r="Z444" i="9"/>
  <c r="AP444" i="9" s="1"/>
  <c r="Z443" i="9"/>
  <c r="AP443" i="9" s="1"/>
  <c r="Z442" i="9"/>
  <c r="AP442" i="9" s="1"/>
  <c r="Z435" i="9"/>
  <c r="AP435" i="9" s="1"/>
  <c r="Z429" i="9"/>
  <c r="AP429" i="9" s="1"/>
  <c r="L429" i="9"/>
  <c r="AH429" i="9" s="1"/>
  <c r="Z417" i="9"/>
  <c r="AP417" i="9" s="1"/>
  <c r="Z411" i="9"/>
  <c r="AP411" i="9" s="1"/>
  <c r="Z410" i="9"/>
  <c r="AP410" i="9" s="1"/>
  <c r="Z409" i="9"/>
  <c r="AP409" i="9" s="1"/>
  <c r="Z408" i="9"/>
  <c r="AP408" i="9" s="1"/>
  <c r="Z407" i="9"/>
  <c r="AP407" i="9" s="1"/>
  <c r="S429" i="9"/>
  <c r="AL429" i="9" s="1"/>
  <c r="Z425" i="9"/>
  <c r="AP425" i="9" s="1"/>
  <c r="L425" i="9"/>
  <c r="AH425" i="9" s="1"/>
  <c r="Z424" i="9"/>
  <c r="AP424" i="9" s="1"/>
  <c r="L424" i="9"/>
  <c r="AH424" i="9" s="1"/>
  <c r="Z423" i="9"/>
  <c r="AP423" i="9" s="1"/>
  <c r="L423" i="9"/>
  <c r="AH423" i="9" s="1"/>
  <c r="Z422" i="9"/>
  <c r="AP422" i="9" s="1"/>
  <c r="L422" i="9"/>
  <c r="AH422" i="9" s="1"/>
  <c r="Z421" i="9"/>
  <c r="AP421" i="9" s="1"/>
  <c r="L421" i="9"/>
  <c r="AH421" i="9" s="1"/>
  <c r="Z420" i="9"/>
  <c r="AP420" i="9" s="1"/>
  <c r="L420" i="9"/>
  <c r="AH420" i="9" s="1"/>
  <c r="Z416" i="9"/>
  <c r="AP416" i="9" s="1"/>
  <c r="Z415" i="9"/>
  <c r="AP415" i="9" s="1"/>
  <c r="Z414" i="9"/>
  <c r="AP414" i="9" s="1"/>
  <c r="S409" i="9"/>
  <c r="AL409" i="9" s="1"/>
  <c r="Z404" i="9"/>
  <c r="AP404" i="9" s="1"/>
  <c r="L404" i="9"/>
  <c r="AH404" i="9" s="1"/>
  <c r="Z403" i="9"/>
  <c r="AP403" i="9" s="1"/>
  <c r="L403" i="9"/>
  <c r="AH403" i="9" s="1"/>
  <c r="L398" i="9"/>
  <c r="AH398" i="9" s="1"/>
  <c r="Z397" i="9"/>
  <c r="AP397" i="9" s="1"/>
  <c r="L397" i="9"/>
  <c r="AH397" i="9" s="1"/>
  <c r="S387" i="9"/>
  <c r="AL387" i="9" s="1"/>
  <c r="Z374" i="9"/>
  <c r="AP374" i="9" s="1"/>
  <c r="Z373" i="9"/>
  <c r="AP373" i="9" s="1"/>
  <c r="Z372" i="9"/>
  <c r="AP372" i="9" s="1"/>
  <c r="Z371" i="9"/>
  <c r="AP371" i="9" s="1"/>
  <c r="Z370" i="9"/>
  <c r="AP370" i="9" s="1"/>
  <c r="S366" i="9"/>
  <c r="AL366" i="9" s="1"/>
  <c r="Z358" i="9"/>
  <c r="AP358" i="9" s="1"/>
  <c r="Z357" i="9"/>
  <c r="AP357" i="9" s="1"/>
  <c r="Z356" i="9"/>
  <c r="AP356" i="9" s="1"/>
  <c r="Z355" i="9"/>
  <c r="AP355" i="9" s="1"/>
  <c r="Z354" i="9"/>
  <c r="AP354" i="9" s="1"/>
  <c r="Z402" i="9"/>
  <c r="AP402" i="9" s="1"/>
  <c r="Z401" i="9"/>
  <c r="AP401" i="9" s="1"/>
  <c r="Z400" i="9"/>
  <c r="AP400" i="9" s="1"/>
  <c r="Z399" i="9"/>
  <c r="AP399" i="9" s="1"/>
  <c r="Z398" i="9"/>
  <c r="AP398" i="9" s="1"/>
  <c r="Z394" i="9"/>
  <c r="AP394" i="9" s="1"/>
  <c r="L394" i="9"/>
  <c r="AH394" i="9" s="1"/>
  <c r="Z393" i="9"/>
  <c r="AP393" i="9" s="1"/>
  <c r="L393" i="9"/>
  <c r="AH393" i="9" s="1"/>
  <c r="Z392" i="9"/>
  <c r="AP392" i="9" s="1"/>
  <c r="L392" i="9"/>
  <c r="AH392" i="9" s="1"/>
  <c r="Z391" i="9"/>
  <c r="AP391" i="9" s="1"/>
  <c r="L391" i="9"/>
  <c r="AH391" i="9" s="1"/>
  <c r="Z390" i="9"/>
  <c r="AP390" i="9" s="1"/>
  <c r="L390" i="9"/>
  <c r="AH390" i="9" s="1"/>
  <c r="Z389" i="9"/>
  <c r="AP389" i="9" s="1"/>
  <c r="L389" i="9"/>
  <c r="AH389" i="9" s="1"/>
  <c r="Z388" i="9"/>
  <c r="AP388" i="9" s="1"/>
  <c r="L388" i="9"/>
  <c r="AH388" i="9" s="1"/>
  <c r="Z387" i="9"/>
  <c r="AP387" i="9" s="1"/>
  <c r="L387" i="9"/>
  <c r="AH387" i="9" s="1"/>
  <c r="Z386" i="9"/>
  <c r="AP386" i="9" s="1"/>
  <c r="L386" i="9"/>
  <c r="AH386" i="9" s="1"/>
  <c r="Z382" i="9"/>
  <c r="AP382" i="9" s="1"/>
  <c r="L382" i="9"/>
  <c r="AH382" i="9" s="1"/>
  <c r="Z381" i="9"/>
  <c r="AP381" i="9" s="1"/>
  <c r="L381" i="9"/>
  <c r="AH381" i="9" s="1"/>
  <c r="Z380" i="9"/>
  <c r="AP380" i="9" s="1"/>
  <c r="L380" i="9"/>
  <c r="AH380" i="9" s="1"/>
  <c r="Z379" i="9"/>
  <c r="AP379" i="9" s="1"/>
  <c r="L379" i="9"/>
  <c r="AH379" i="9" s="1"/>
  <c r="Z378" i="9"/>
  <c r="AP378" i="9" s="1"/>
  <c r="L378" i="9"/>
  <c r="AH378" i="9" s="1"/>
  <c r="Z366" i="9"/>
  <c r="AP366" i="9" s="1"/>
  <c r="L366" i="9"/>
  <c r="AH366" i="9" s="1"/>
  <c r="Z365" i="9"/>
  <c r="AP365" i="9" s="1"/>
  <c r="L365" i="9"/>
  <c r="AH365" i="9" s="1"/>
  <c r="Z364" i="9"/>
  <c r="AP364" i="9" s="1"/>
  <c r="L364" i="9"/>
  <c r="AH364" i="9" s="1"/>
  <c r="Z363" i="9"/>
  <c r="AP363" i="9" s="1"/>
  <c r="L363" i="9"/>
  <c r="AH363" i="9" s="1"/>
  <c r="Z362" i="9"/>
  <c r="AP362" i="9" s="1"/>
  <c r="Z350" i="9"/>
  <c r="AP350" i="9" s="1"/>
  <c r="L350" i="9"/>
  <c r="AH350" i="9" s="1"/>
  <c r="Z349" i="9"/>
  <c r="AP349" i="9" s="1"/>
  <c r="L349" i="9"/>
  <c r="AH349" i="9" s="1"/>
  <c r="Z348" i="9"/>
  <c r="AP348" i="9" s="1"/>
  <c r="L348" i="9"/>
  <c r="AH348" i="9" s="1"/>
  <c r="Z347" i="9"/>
  <c r="AP347" i="9" s="1"/>
  <c r="L347" i="9"/>
  <c r="AH347" i="9" s="1"/>
  <c r="Z346" i="9"/>
  <c r="AP346" i="9" s="1"/>
  <c r="L346" i="9"/>
  <c r="AH346" i="9" s="1"/>
  <c r="S338" i="9"/>
  <c r="AL338" i="9" s="1"/>
  <c r="Z334" i="9"/>
  <c r="AP334" i="9" s="1"/>
  <c r="L334" i="9"/>
  <c r="AH334" i="9" s="1"/>
  <c r="Z333" i="9"/>
  <c r="AP333" i="9" s="1"/>
  <c r="L333" i="9"/>
  <c r="AH333" i="9" s="1"/>
  <c r="Z332" i="9"/>
  <c r="AP332" i="9" s="1"/>
  <c r="L332" i="9"/>
  <c r="AH332" i="9" s="1"/>
  <c r="Z331" i="9"/>
  <c r="AP331" i="9" s="1"/>
  <c r="L331" i="9"/>
  <c r="AH331" i="9" s="1"/>
  <c r="Z330" i="9"/>
  <c r="AP330" i="9" s="1"/>
  <c r="L330" i="9"/>
  <c r="AH330" i="9" s="1"/>
  <c r="Z323" i="9"/>
  <c r="AP323" i="9" s="1"/>
  <c r="Z322" i="9"/>
  <c r="AP322" i="9" s="1"/>
  <c r="S318" i="9"/>
  <c r="AL318" i="9" s="1"/>
  <c r="Z310" i="9"/>
  <c r="AP310" i="9" s="1"/>
  <c r="Z309" i="9"/>
  <c r="AP309" i="9" s="1"/>
  <c r="Z308" i="9"/>
  <c r="AP308" i="9" s="1"/>
  <c r="Z307" i="9"/>
  <c r="AP307" i="9" s="1"/>
  <c r="Z306" i="9"/>
  <c r="AP306" i="9" s="1"/>
  <c r="S350" i="9"/>
  <c r="AL350" i="9" s="1"/>
  <c r="Z342" i="9"/>
  <c r="AP342" i="9" s="1"/>
  <c r="Z341" i="9"/>
  <c r="AP341" i="9" s="1"/>
  <c r="Z340" i="9"/>
  <c r="AP340" i="9" s="1"/>
  <c r="Z339" i="9"/>
  <c r="AP339" i="9" s="1"/>
  <c r="Z338" i="9"/>
  <c r="AP338" i="9" s="1"/>
  <c r="S329" i="9"/>
  <c r="Z325" i="9"/>
  <c r="AP325" i="9" s="1"/>
  <c r="Z324" i="9"/>
  <c r="AP324" i="9" s="1"/>
  <c r="L317" i="9"/>
  <c r="AH317" i="9" s="1"/>
  <c r="L315" i="9"/>
  <c r="AH315" i="9" s="1"/>
  <c r="Z294" i="9"/>
  <c r="AP294" i="9" s="1"/>
  <c r="Z293" i="9"/>
  <c r="AP293" i="9" s="1"/>
  <c r="Z292" i="9"/>
  <c r="AP292" i="9" s="1"/>
  <c r="Z291" i="9"/>
  <c r="AP291" i="9" s="1"/>
  <c r="Z286" i="9"/>
  <c r="AP286" i="9" s="1"/>
  <c r="Z285" i="9"/>
  <c r="AP285" i="9" s="1"/>
  <c r="Z284" i="9"/>
  <c r="AP284" i="9" s="1"/>
  <c r="Z283" i="9"/>
  <c r="AP283" i="9" s="1"/>
  <c r="Z282" i="9"/>
  <c r="AP282" i="9" s="1"/>
  <c r="Z281" i="9"/>
  <c r="AP281" i="9" s="1"/>
  <c r="Z279" i="9"/>
  <c r="AP279" i="9" s="1"/>
  <c r="Z278" i="9"/>
  <c r="AP278" i="9" s="1"/>
  <c r="Z277" i="9"/>
  <c r="AP277" i="9" s="1"/>
  <c r="Z273" i="9"/>
  <c r="AP273" i="9" s="1"/>
  <c r="S265" i="9"/>
  <c r="AL265" i="9" s="1"/>
  <c r="Z260" i="9"/>
  <c r="AP260" i="9" s="1"/>
  <c r="L260" i="9"/>
  <c r="AH260" i="9" s="1"/>
  <c r="Z259" i="9"/>
  <c r="AP259" i="9" s="1"/>
  <c r="L259" i="9"/>
  <c r="AH259" i="9" s="1"/>
  <c r="Z258" i="9"/>
  <c r="AP258" i="9" s="1"/>
  <c r="L258" i="9"/>
  <c r="AH258" i="9" s="1"/>
  <c r="Z257" i="9"/>
  <c r="AP257" i="9" s="1"/>
  <c r="L257" i="9"/>
  <c r="AH257" i="9" s="1"/>
  <c r="Z256" i="9"/>
  <c r="AP256" i="9" s="1"/>
  <c r="Z255" i="9"/>
  <c r="AP255" i="9" s="1"/>
  <c r="L255" i="9"/>
  <c r="AH255" i="9" s="1"/>
  <c r="Z253" i="9"/>
  <c r="AP253" i="9" s="1"/>
  <c r="L253" i="9"/>
  <c r="AH253" i="9" s="1"/>
  <c r="L246" i="9"/>
  <c r="AH246" i="9" s="1"/>
  <c r="Z244" i="9"/>
  <c r="AP244" i="9" s="1"/>
  <c r="L244" i="9"/>
  <c r="AH244" i="9" s="1"/>
  <c r="S237" i="9"/>
  <c r="AL237" i="9" s="1"/>
  <c r="Z231" i="9"/>
  <c r="AP231" i="9" s="1"/>
  <c r="L231" i="9"/>
  <c r="AH231" i="9" s="1"/>
  <c r="Z230" i="9"/>
  <c r="AP230" i="9" s="1"/>
  <c r="L230" i="9"/>
  <c r="AH230" i="9" s="1"/>
  <c r="Z229" i="9"/>
  <c r="AP229" i="9" s="1"/>
  <c r="L229" i="9"/>
  <c r="AH229" i="9" s="1"/>
  <c r="Z228" i="9"/>
  <c r="AP228" i="9" s="1"/>
  <c r="L228" i="9"/>
  <c r="AH228" i="9" s="1"/>
  <c r="Z227" i="9"/>
  <c r="AP227" i="9" s="1"/>
  <c r="L227" i="9"/>
  <c r="AH227" i="9" s="1"/>
  <c r="Z226" i="9"/>
  <c r="AP226" i="9" s="1"/>
  <c r="L226" i="9"/>
  <c r="AH226" i="9" s="1"/>
  <c r="Z224" i="9"/>
  <c r="AP224" i="9" s="1"/>
  <c r="L224" i="9"/>
  <c r="AH224" i="9" s="1"/>
  <c r="Z222" i="9"/>
  <c r="AP222" i="9" s="1"/>
  <c r="L222" i="9"/>
  <c r="AH222" i="9" s="1"/>
  <c r="Z217" i="9"/>
  <c r="AP217" i="9" s="1"/>
  <c r="L217" i="9"/>
  <c r="AH217" i="9" s="1"/>
  <c r="Z216" i="9"/>
  <c r="AP216" i="9" s="1"/>
  <c r="L216" i="9"/>
  <c r="AH216" i="9" s="1"/>
  <c r="Z215" i="9"/>
  <c r="AP215" i="9" s="1"/>
  <c r="L215" i="9"/>
  <c r="AH215" i="9" s="1"/>
  <c r="S330" i="9"/>
  <c r="AL330" i="9" s="1"/>
  <c r="Z326" i="9"/>
  <c r="AP326" i="9" s="1"/>
  <c r="L325" i="9"/>
  <c r="AH325" i="9" s="1"/>
  <c r="Z318" i="9"/>
  <c r="AP318" i="9" s="1"/>
  <c r="Z317" i="9"/>
  <c r="AP317" i="9" s="1"/>
  <c r="Z316" i="9"/>
  <c r="AP316" i="9" s="1"/>
  <c r="Z315" i="9"/>
  <c r="AP315" i="9" s="1"/>
  <c r="Z314" i="9"/>
  <c r="AP314" i="9" s="1"/>
  <c r="S308" i="9"/>
  <c r="AL308" i="9" s="1"/>
  <c r="S285" i="9"/>
  <c r="AL285" i="9" s="1"/>
  <c r="S277" i="9"/>
  <c r="AL277" i="9" s="1"/>
  <c r="Z269" i="9"/>
  <c r="AP269" i="9" s="1"/>
  <c r="L269" i="9"/>
  <c r="AH269" i="9" s="1"/>
  <c r="Z268" i="9"/>
  <c r="AP268" i="9" s="1"/>
  <c r="L268" i="9"/>
  <c r="AH268" i="9" s="1"/>
  <c r="Z267" i="9"/>
  <c r="AP267" i="9" s="1"/>
  <c r="L267" i="9"/>
  <c r="AH267" i="9" s="1"/>
  <c r="Z266" i="9"/>
  <c r="AP266" i="9" s="1"/>
  <c r="L266" i="9"/>
  <c r="AH266" i="9" s="1"/>
  <c r="Z265" i="9"/>
  <c r="AP265" i="9" s="1"/>
  <c r="L265" i="9"/>
  <c r="AH265" i="9" s="1"/>
  <c r="Z264" i="9"/>
  <c r="AP264" i="9" s="1"/>
  <c r="L264" i="9"/>
  <c r="AH264" i="9" s="1"/>
  <c r="Z248" i="9"/>
  <c r="AP248" i="9" s="1"/>
  <c r="L248" i="9"/>
  <c r="AH248" i="9" s="1"/>
  <c r="Z247" i="9"/>
  <c r="AP247" i="9" s="1"/>
  <c r="L247" i="9"/>
  <c r="AH247" i="9" s="1"/>
  <c r="Z246" i="9"/>
  <c r="AP246" i="9" s="1"/>
  <c r="Z240" i="9"/>
  <c r="AP240" i="9" s="1"/>
  <c r="L240" i="9"/>
  <c r="AH240" i="9" s="1"/>
  <c r="Z239" i="9"/>
  <c r="AP239" i="9" s="1"/>
  <c r="L239" i="9"/>
  <c r="AH239" i="9" s="1"/>
  <c r="Z238" i="9"/>
  <c r="AP238" i="9" s="1"/>
  <c r="L238" i="9"/>
  <c r="AH238" i="9" s="1"/>
  <c r="Z237" i="9"/>
  <c r="AP237" i="9" s="1"/>
  <c r="L237" i="9"/>
  <c r="AH237" i="9" s="1"/>
  <c r="Z236" i="9"/>
  <c r="AP236" i="9" s="1"/>
  <c r="L236" i="9"/>
  <c r="AH236" i="9" s="1"/>
  <c r="Z235" i="9"/>
  <c r="AP235" i="9" s="1"/>
  <c r="L235" i="9"/>
  <c r="AH235" i="9" s="1"/>
  <c r="S228" i="9"/>
  <c r="AL228" i="9" s="1"/>
  <c r="Z211" i="9"/>
  <c r="AP211" i="9" s="1"/>
  <c r="L211" i="9"/>
  <c r="AH211" i="9" s="1"/>
  <c r="Z210" i="9"/>
  <c r="AP210" i="9" s="1"/>
  <c r="L210" i="9"/>
  <c r="AH210" i="9" s="1"/>
  <c r="Z209" i="9"/>
  <c r="AP209" i="9" s="1"/>
  <c r="L209" i="9"/>
  <c r="AH209" i="9" s="1"/>
  <c r="S203" i="9"/>
  <c r="AL203" i="9" s="1"/>
  <c r="Z198" i="9"/>
  <c r="AP198" i="9" s="1"/>
  <c r="L198" i="9"/>
  <c r="AH198" i="9" s="1"/>
  <c r="Z197" i="9"/>
  <c r="AP197" i="9" s="1"/>
  <c r="L197" i="9"/>
  <c r="AH197" i="9" s="1"/>
  <c r="Z196" i="9"/>
  <c r="AP196" i="9" s="1"/>
  <c r="L196" i="9"/>
  <c r="AH196" i="9" s="1"/>
  <c r="Z195" i="9"/>
  <c r="AP195" i="9" s="1"/>
  <c r="L195" i="9"/>
  <c r="AH195" i="9" s="1"/>
  <c r="S184" i="9"/>
  <c r="AL184" i="9" s="1"/>
  <c r="Z178" i="9"/>
  <c r="AP178" i="9" s="1"/>
  <c r="L178" i="9"/>
  <c r="AH178" i="9" s="1"/>
  <c r="L177" i="9"/>
  <c r="AH177" i="9" s="1"/>
  <c r="L176" i="9"/>
  <c r="AH176" i="9" s="1"/>
  <c r="L175" i="9"/>
  <c r="AH175" i="9" s="1"/>
  <c r="Z171" i="9"/>
  <c r="AP171" i="9" s="1"/>
  <c r="Z170" i="9"/>
  <c r="AP170" i="9" s="1"/>
  <c r="Z169" i="9"/>
  <c r="AP169" i="9" s="1"/>
  <c r="Z168" i="9"/>
  <c r="AP168" i="9" s="1"/>
  <c r="Z164" i="9"/>
  <c r="AP164" i="9" s="1"/>
  <c r="Z163" i="9"/>
  <c r="AP163" i="9" s="1"/>
  <c r="Z162" i="9"/>
  <c r="AP162" i="9" s="1"/>
  <c r="Z161" i="9"/>
  <c r="AP161" i="9" s="1"/>
  <c r="Z160" i="9"/>
  <c r="AP160" i="9" s="1"/>
  <c r="Z159" i="9"/>
  <c r="AP159" i="9" s="1"/>
  <c r="Z158" i="9"/>
  <c r="AP158" i="9" s="1"/>
  <c r="Z157" i="9"/>
  <c r="AP157" i="9" s="1"/>
  <c r="Z156" i="9"/>
  <c r="AP156" i="9" s="1"/>
  <c r="Z155" i="9"/>
  <c r="AP155" i="9" s="1"/>
  <c r="Z154" i="9"/>
  <c r="AP154" i="9" s="1"/>
  <c r="Z153" i="9"/>
  <c r="AP153" i="9" s="1"/>
  <c r="L147" i="9"/>
  <c r="AH147" i="9" s="1"/>
  <c r="L146" i="9"/>
  <c r="AH146" i="9" s="1"/>
  <c r="L145" i="9"/>
  <c r="AH145" i="9" s="1"/>
  <c r="L140" i="9"/>
  <c r="AH140" i="9" s="1"/>
  <c r="L139" i="9"/>
  <c r="AH139" i="9" s="1"/>
  <c r="L138" i="9"/>
  <c r="AH138" i="9" s="1"/>
  <c r="L137" i="9"/>
  <c r="AH137" i="9" s="1"/>
  <c r="L136" i="9"/>
  <c r="AH136" i="9" s="1"/>
  <c r="L135" i="9"/>
  <c r="AH135" i="9" s="1"/>
  <c r="L134" i="9"/>
  <c r="AH134" i="9" s="1"/>
  <c r="L133" i="9"/>
  <c r="AH133" i="9" s="1"/>
  <c r="L132" i="9"/>
  <c r="AH132" i="9" s="1"/>
  <c r="L131" i="9"/>
  <c r="AH131" i="9" s="1"/>
  <c r="L130" i="9"/>
  <c r="AH130" i="9" s="1"/>
  <c r="L124" i="9"/>
  <c r="AH124" i="9" s="1"/>
  <c r="L123" i="9"/>
  <c r="AH123" i="9" s="1"/>
  <c r="L122" i="9"/>
  <c r="AH122" i="9" s="1"/>
  <c r="Z205" i="9"/>
  <c r="AP205" i="9" s="1"/>
  <c r="L205" i="9"/>
  <c r="AH205" i="9" s="1"/>
  <c r="Z204" i="9"/>
  <c r="AP204" i="9" s="1"/>
  <c r="L204" i="9"/>
  <c r="AH204" i="9" s="1"/>
  <c r="Z203" i="9"/>
  <c r="AP203" i="9" s="1"/>
  <c r="L203" i="9"/>
  <c r="AH203" i="9" s="1"/>
  <c r="Z202" i="9"/>
  <c r="AP202" i="9" s="1"/>
  <c r="L202" i="9"/>
  <c r="AH202" i="9" s="1"/>
  <c r="Z190" i="9"/>
  <c r="AP190" i="9" s="1"/>
  <c r="L190" i="9"/>
  <c r="AH190" i="9" s="1"/>
  <c r="Z189" i="9"/>
  <c r="AP189" i="9" s="1"/>
  <c r="L189" i="9"/>
  <c r="AH189" i="9" s="1"/>
  <c r="Z188" i="9"/>
  <c r="AP188" i="9" s="1"/>
  <c r="L188" i="9"/>
  <c r="AH188" i="9" s="1"/>
  <c r="Z187" i="9"/>
  <c r="AP187" i="9" s="1"/>
  <c r="L187" i="9"/>
  <c r="AH187" i="9" s="1"/>
  <c r="Z186" i="9"/>
  <c r="AP186" i="9" s="1"/>
  <c r="L186" i="9"/>
  <c r="AH186" i="9" s="1"/>
  <c r="Z185" i="9"/>
  <c r="AP185" i="9" s="1"/>
  <c r="L185" i="9"/>
  <c r="AH185" i="9" s="1"/>
  <c r="Z184" i="9"/>
  <c r="AP184" i="9" s="1"/>
  <c r="L184" i="9"/>
  <c r="AH184" i="9" s="1"/>
  <c r="Z183" i="9"/>
  <c r="AP183" i="9" s="1"/>
  <c r="L183" i="9"/>
  <c r="AH183" i="9" s="1"/>
  <c r="Z182" i="9"/>
  <c r="AP182" i="9" s="1"/>
  <c r="L182" i="9"/>
  <c r="AH182" i="9" s="1"/>
  <c r="Z177" i="9"/>
  <c r="AP177" i="9" s="1"/>
  <c r="Z176" i="9"/>
  <c r="AP176" i="9" s="1"/>
  <c r="Z175" i="9"/>
  <c r="AP175" i="9" s="1"/>
  <c r="L171" i="9"/>
  <c r="AH171" i="9" s="1"/>
  <c r="L170" i="9"/>
  <c r="AH170" i="9" s="1"/>
  <c r="L169" i="9"/>
  <c r="AH169" i="9" s="1"/>
  <c r="L168" i="9"/>
  <c r="AH168" i="9" s="1"/>
  <c r="L164" i="9"/>
  <c r="AH164" i="9" s="1"/>
  <c r="L163" i="9"/>
  <c r="AH163" i="9" s="1"/>
  <c r="L162" i="9"/>
  <c r="AH162" i="9" s="1"/>
  <c r="L161" i="9"/>
  <c r="AH161" i="9" s="1"/>
  <c r="L160" i="9"/>
  <c r="AH160" i="9" s="1"/>
  <c r="L159" i="9"/>
  <c r="AH159" i="9" s="1"/>
  <c r="L158" i="9"/>
  <c r="AH158" i="9" s="1"/>
  <c r="L157" i="9"/>
  <c r="AH157" i="9" s="1"/>
  <c r="L156" i="9"/>
  <c r="AH156" i="9" s="1"/>
  <c r="L155" i="9"/>
  <c r="AH155" i="9" s="1"/>
  <c r="L154" i="9"/>
  <c r="AH154" i="9" s="1"/>
  <c r="L153" i="9"/>
  <c r="AH153" i="9" s="1"/>
  <c r="Z147" i="9"/>
  <c r="AP147" i="9" s="1"/>
  <c r="Z146" i="9"/>
  <c r="AP146" i="9" s="1"/>
  <c r="Z145" i="9"/>
  <c r="AP145" i="9" s="1"/>
  <c r="Z140" i="9"/>
  <c r="AP140" i="9" s="1"/>
  <c r="Z139" i="9"/>
  <c r="AP139" i="9" s="1"/>
  <c r="Z138" i="9"/>
  <c r="AP138" i="9" s="1"/>
  <c r="Z137" i="9"/>
  <c r="AP137" i="9" s="1"/>
  <c r="Z136" i="9"/>
  <c r="AP136" i="9" s="1"/>
  <c r="Z135" i="9"/>
  <c r="AP135" i="9" s="1"/>
  <c r="Z134" i="9"/>
  <c r="AP134" i="9" s="1"/>
  <c r="Z133" i="9"/>
  <c r="AP133" i="9" s="1"/>
  <c r="Z132" i="9"/>
  <c r="AP132" i="9" s="1"/>
  <c r="Z131" i="9"/>
  <c r="AP131" i="9" s="1"/>
  <c r="Z124" i="9"/>
  <c r="AP124" i="9" s="1"/>
  <c r="L114" i="9"/>
  <c r="AH114" i="9" s="1"/>
  <c r="L113" i="9"/>
  <c r="AH113" i="9" s="1"/>
  <c r="L112" i="9"/>
  <c r="AH112" i="9" s="1"/>
  <c r="Z106" i="9"/>
  <c r="AP106" i="9" s="1"/>
  <c r="Z105" i="9"/>
  <c r="AP105" i="9" s="1"/>
  <c r="Z104" i="9"/>
  <c r="AP104" i="9" s="1"/>
  <c r="Z99" i="9"/>
  <c r="AP99" i="9" s="1"/>
  <c r="Z98" i="9"/>
  <c r="AP98" i="9" s="1"/>
  <c r="Z97" i="9"/>
  <c r="AP97" i="9" s="1"/>
  <c r="Z96" i="9"/>
  <c r="AP96" i="9" s="1"/>
  <c r="Z95" i="9"/>
  <c r="AP95" i="9" s="1"/>
  <c r="Z94" i="9"/>
  <c r="AP94" i="9" s="1"/>
  <c r="Z93" i="9"/>
  <c r="AP93" i="9" s="1"/>
  <c r="Z92" i="9"/>
  <c r="AP92" i="9" s="1"/>
  <c r="Z88" i="9"/>
  <c r="AP88" i="9" s="1"/>
  <c r="Z87" i="9"/>
  <c r="AP87" i="9" s="1"/>
  <c r="Z86" i="9"/>
  <c r="AP86" i="9" s="1"/>
  <c r="Z85" i="9"/>
  <c r="AP85" i="9" s="1"/>
  <c r="S84" i="9"/>
  <c r="AL84" i="9" s="1"/>
  <c r="S81" i="9"/>
  <c r="AL81" i="9" s="1"/>
  <c r="L73" i="9"/>
  <c r="AH73" i="9" s="1"/>
  <c r="L72" i="9"/>
  <c r="AH72" i="9" s="1"/>
  <c r="L71" i="9"/>
  <c r="AH71" i="9" s="1"/>
  <c r="L70" i="9"/>
  <c r="AH70" i="9" s="1"/>
  <c r="L69" i="9"/>
  <c r="AH69" i="9" s="1"/>
  <c r="L68" i="9"/>
  <c r="AH68" i="9" s="1"/>
  <c r="L64" i="9"/>
  <c r="AH64" i="9" s="1"/>
  <c r="L63" i="9"/>
  <c r="AH63" i="9" s="1"/>
  <c r="L62" i="9"/>
  <c r="AH62" i="9" s="1"/>
  <c r="L61" i="9"/>
  <c r="AH61" i="9" s="1"/>
  <c r="L60" i="9"/>
  <c r="AH60" i="9" s="1"/>
  <c r="L59" i="9"/>
  <c r="AH59" i="9" s="1"/>
  <c r="L58" i="9"/>
  <c r="AH58" i="9" s="1"/>
  <c r="L57" i="9"/>
  <c r="AH57" i="9" s="1"/>
  <c r="L56" i="9"/>
  <c r="AH56" i="9" s="1"/>
  <c r="L55" i="9"/>
  <c r="AH55" i="9" s="1"/>
  <c r="L54" i="9"/>
  <c r="AH54" i="9" s="1"/>
  <c r="L49" i="9"/>
  <c r="AH49" i="9" s="1"/>
  <c r="L48" i="9"/>
  <c r="AH48" i="9" s="1"/>
  <c r="Z43" i="9"/>
  <c r="AP43" i="9" s="1"/>
  <c r="Z42" i="9"/>
  <c r="AP42" i="9" s="1"/>
  <c r="Z41" i="9"/>
  <c r="AP41" i="9" s="1"/>
  <c r="Z40" i="9"/>
  <c r="AP40" i="9" s="1"/>
  <c r="Z39" i="9"/>
  <c r="AP39" i="9" s="1"/>
  <c r="Z38" i="9"/>
  <c r="AP38" i="9" s="1"/>
  <c r="L34" i="9"/>
  <c r="AH34" i="9" s="1"/>
  <c r="L33" i="9"/>
  <c r="AH33" i="9" s="1"/>
  <c r="L32" i="9"/>
  <c r="AH32" i="9" s="1"/>
  <c r="L31" i="9"/>
  <c r="AH31" i="9" s="1"/>
  <c r="L30" i="9"/>
  <c r="AH30" i="9" s="1"/>
  <c r="L26" i="9"/>
  <c r="AH26" i="9" s="1"/>
  <c r="L25" i="9"/>
  <c r="AH25" i="9" s="1"/>
  <c r="L24" i="9"/>
  <c r="AH24" i="9" s="1"/>
  <c r="L23" i="9"/>
  <c r="AH23" i="9" s="1"/>
  <c r="Z18" i="9"/>
  <c r="AP18" i="9" s="1"/>
  <c r="S18" i="9"/>
  <c r="AL18" i="9" s="1"/>
  <c r="L18" i="9"/>
  <c r="AH18" i="9" s="1"/>
  <c r="L17" i="9"/>
  <c r="AH17" i="9" s="1"/>
  <c r="Z16" i="9"/>
  <c r="AP16" i="9" s="1"/>
  <c r="S16" i="9"/>
  <c r="AL16" i="9" s="1"/>
  <c r="L16" i="9"/>
  <c r="AH16" i="9" s="1"/>
  <c r="Z15" i="9"/>
  <c r="AP15" i="9" s="1"/>
  <c r="Z17" i="9"/>
  <c r="AP17" i="9" s="1"/>
  <c r="L15" i="9"/>
  <c r="AH15" i="9" s="1"/>
  <c r="Z123" i="9"/>
  <c r="AP123" i="9" s="1"/>
  <c r="Z122" i="9"/>
  <c r="AP122" i="9" s="1"/>
  <c r="Z114" i="9"/>
  <c r="AP114" i="9" s="1"/>
  <c r="Z113" i="9"/>
  <c r="AP113" i="9" s="1"/>
  <c r="Z112" i="9"/>
  <c r="AP112" i="9" s="1"/>
  <c r="L106" i="9"/>
  <c r="AH106" i="9" s="1"/>
  <c r="L105" i="9"/>
  <c r="AH105" i="9" s="1"/>
  <c r="L104" i="9"/>
  <c r="AH104" i="9" s="1"/>
  <c r="L99" i="9"/>
  <c r="AH99" i="9" s="1"/>
  <c r="L98" i="9"/>
  <c r="AH98" i="9" s="1"/>
  <c r="L97" i="9"/>
  <c r="AH97" i="9" s="1"/>
  <c r="L96" i="9"/>
  <c r="AH96" i="9" s="1"/>
  <c r="L95" i="9"/>
  <c r="AH95" i="9" s="1"/>
  <c r="L94" i="9"/>
  <c r="AH94" i="9" s="1"/>
  <c r="L93" i="9"/>
  <c r="AH93" i="9" s="1"/>
  <c r="L92" i="9"/>
  <c r="AH92" i="9" s="1"/>
  <c r="L88" i="9"/>
  <c r="AH88" i="9" s="1"/>
  <c r="L87" i="9"/>
  <c r="AH87" i="9" s="1"/>
  <c r="L86" i="9"/>
  <c r="AH86" i="9" s="1"/>
  <c r="L85" i="9"/>
  <c r="AH85" i="9" s="1"/>
  <c r="L84" i="9"/>
  <c r="AH84" i="9" s="1"/>
  <c r="L82" i="9"/>
  <c r="AH82" i="9" s="1"/>
  <c r="L80" i="9"/>
  <c r="AH80" i="9" s="1"/>
  <c r="Z73" i="9"/>
  <c r="AP73" i="9" s="1"/>
  <c r="Z72" i="9"/>
  <c r="AP72" i="9" s="1"/>
  <c r="Z71" i="9"/>
  <c r="AP71" i="9" s="1"/>
  <c r="Z70" i="9"/>
  <c r="AP70" i="9" s="1"/>
  <c r="Z69" i="9"/>
  <c r="AP69" i="9" s="1"/>
  <c r="Z68" i="9"/>
  <c r="AP68" i="9" s="1"/>
  <c r="Z64" i="9"/>
  <c r="AP64" i="9" s="1"/>
  <c r="Z63" i="9"/>
  <c r="AP63" i="9" s="1"/>
  <c r="Z62" i="9"/>
  <c r="AP62" i="9" s="1"/>
  <c r="Z61" i="9"/>
  <c r="AP61" i="9" s="1"/>
  <c r="Z60" i="9"/>
  <c r="AP60" i="9" s="1"/>
  <c r="Z59" i="9"/>
  <c r="AP59" i="9" s="1"/>
  <c r="Z58" i="9"/>
  <c r="AP58" i="9" s="1"/>
  <c r="Z57" i="9"/>
  <c r="AP57" i="9" s="1"/>
  <c r="Z56" i="9"/>
  <c r="AP56" i="9" s="1"/>
  <c r="Z55" i="9"/>
  <c r="AP55" i="9" s="1"/>
  <c r="Z54" i="9"/>
  <c r="AP54" i="9" s="1"/>
  <c r="Z50" i="9"/>
  <c r="AP50" i="9" s="1"/>
  <c r="Z49" i="9"/>
  <c r="AP49" i="9" s="1"/>
  <c r="Z48" i="9"/>
  <c r="AP48" i="9" s="1"/>
  <c r="L43" i="9"/>
  <c r="AH43" i="9" s="1"/>
  <c r="L42" i="9"/>
  <c r="AH42" i="9" s="1"/>
  <c r="L41" i="9"/>
  <c r="AH41" i="9" s="1"/>
  <c r="L40" i="9"/>
  <c r="AH40" i="9" s="1"/>
  <c r="L39" i="9"/>
  <c r="AH39" i="9" s="1"/>
  <c r="L38" i="9"/>
  <c r="AH38" i="9" s="1"/>
  <c r="Z34" i="9"/>
  <c r="AP34" i="9" s="1"/>
  <c r="Z33" i="9"/>
  <c r="AP33" i="9" s="1"/>
  <c r="Z32" i="9"/>
  <c r="AP32" i="9" s="1"/>
  <c r="Z31" i="9"/>
  <c r="AP31" i="9" s="1"/>
  <c r="Z30" i="9"/>
  <c r="AP30" i="9" s="1"/>
  <c r="Z26" i="9"/>
  <c r="AP26" i="9" s="1"/>
  <c r="Z25" i="9"/>
  <c r="AP25" i="9" s="1"/>
  <c r="Z24" i="9"/>
  <c r="AP24" i="9" s="1"/>
  <c r="Z23" i="9"/>
  <c r="AP23" i="9" s="1"/>
  <c r="Z88" i="8"/>
  <c r="AP88" i="8" s="1"/>
  <c r="L88" i="8"/>
  <c r="AH88" i="8" s="1"/>
  <c r="Z84" i="8"/>
  <c r="AP84" i="8" s="1"/>
  <c r="L84" i="8"/>
  <c r="AH84" i="8" s="1"/>
  <c r="Z80" i="8"/>
  <c r="AP80" i="8" s="1"/>
  <c r="L80" i="8"/>
  <c r="AH80" i="8" s="1"/>
  <c r="Z72" i="8"/>
  <c r="AP72" i="8" s="1"/>
  <c r="L72" i="8"/>
  <c r="AH72" i="8" s="1"/>
  <c r="Z68" i="8"/>
  <c r="AP68" i="8" s="1"/>
  <c r="L68" i="8"/>
  <c r="AH68" i="8" s="1"/>
  <c r="Z61" i="8"/>
  <c r="AP61" i="8" s="1"/>
  <c r="L61" i="8"/>
  <c r="AH61" i="8" s="1"/>
  <c r="Z57" i="8"/>
  <c r="AP57" i="8" s="1"/>
  <c r="L57" i="8"/>
  <c r="AH57" i="8" s="1"/>
  <c r="Z50" i="8"/>
  <c r="AP50" i="8" s="1"/>
  <c r="L50" i="8"/>
  <c r="AH50" i="8" s="1"/>
  <c r="Z43" i="8"/>
  <c r="AP43" i="8" s="1"/>
  <c r="L43" i="8"/>
  <c r="AH43" i="8" s="1"/>
  <c r="Z39" i="8"/>
  <c r="AP39" i="8" s="1"/>
  <c r="L39" i="8"/>
  <c r="AH39" i="8" s="1"/>
  <c r="Q24" i="8"/>
  <c r="AK24" i="8" s="1"/>
  <c r="N18" i="8"/>
  <c r="L161" i="7"/>
  <c r="AH161" i="7" s="1"/>
  <c r="Z157" i="7"/>
  <c r="AP157" i="7" s="1"/>
  <c r="L157" i="7"/>
  <c r="AH157" i="7" s="1"/>
  <c r="Z153" i="7"/>
  <c r="AP153" i="7" s="1"/>
  <c r="L153" i="7"/>
  <c r="AH153" i="7" s="1"/>
  <c r="Z137" i="7"/>
  <c r="AP137" i="7" s="1"/>
  <c r="L137" i="7"/>
  <c r="AH137" i="7" s="1"/>
  <c r="Z133" i="7"/>
  <c r="AP133" i="7" s="1"/>
  <c r="L133" i="7"/>
  <c r="AH133" i="7" s="1"/>
  <c r="Z124" i="7"/>
  <c r="AP124" i="7" s="1"/>
  <c r="L124" i="7"/>
  <c r="AH124" i="7" s="1"/>
  <c r="Z114" i="7"/>
  <c r="AP114" i="7" s="1"/>
  <c r="L114" i="7"/>
  <c r="AH114" i="7" s="1"/>
  <c r="Z106" i="7"/>
  <c r="AP106" i="7" s="1"/>
  <c r="L106" i="7"/>
  <c r="AH106" i="7" s="1"/>
  <c r="Z99" i="7"/>
  <c r="AP99" i="7" s="1"/>
  <c r="L99" i="7"/>
  <c r="AH99" i="7" s="1"/>
  <c r="Z95" i="7"/>
  <c r="AP95" i="7" s="1"/>
  <c r="L95" i="7"/>
  <c r="AH95" i="7" s="1"/>
  <c r="Z88" i="7"/>
  <c r="AP88" i="7" s="1"/>
  <c r="L88" i="7"/>
  <c r="AH88" i="7" s="1"/>
  <c r="Z84" i="7"/>
  <c r="AP84" i="7" s="1"/>
  <c r="L84" i="7"/>
  <c r="AH84" i="7" s="1"/>
  <c r="Z80" i="7"/>
  <c r="AP80" i="7" s="1"/>
  <c r="L80" i="7"/>
  <c r="AH80" i="7" s="1"/>
  <c r="G41" i="7"/>
  <c r="U40" i="7"/>
  <c r="L438" i="6"/>
  <c r="AH438" i="6" s="1"/>
  <c r="L437" i="6"/>
  <c r="AH437" i="6" s="1"/>
  <c r="L436" i="6"/>
  <c r="AH436" i="6" s="1"/>
  <c r="L432" i="6"/>
  <c r="AH432" i="6" s="1"/>
  <c r="L431" i="6"/>
  <c r="AH431" i="6" s="1"/>
  <c r="L430" i="6"/>
  <c r="AH430" i="6" s="1"/>
  <c r="L429" i="6"/>
  <c r="AH429" i="6" s="1"/>
  <c r="L417" i="6"/>
  <c r="AH417" i="6" s="1"/>
  <c r="L416" i="6"/>
  <c r="AH416" i="6" s="1"/>
  <c r="L415" i="6"/>
  <c r="AH415" i="6" s="1"/>
  <c r="L414" i="6"/>
  <c r="AH414" i="6" s="1"/>
  <c r="L404" i="6"/>
  <c r="AH404" i="6" s="1"/>
  <c r="L402" i="6"/>
  <c r="AH402" i="6" s="1"/>
  <c r="L401" i="6"/>
  <c r="AH401" i="6" s="1"/>
  <c r="L400" i="6"/>
  <c r="AH400" i="6" s="1"/>
  <c r="L399" i="6"/>
  <c r="AH399" i="6" s="1"/>
  <c r="L398" i="6"/>
  <c r="AH398" i="6" s="1"/>
  <c r="L397" i="6"/>
  <c r="AH397" i="6" s="1"/>
  <c r="L374" i="6"/>
  <c r="AH374" i="6" s="1"/>
  <c r="L373" i="6"/>
  <c r="AH373" i="6" s="1"/>
  <c r="L372" i="6"/>
  <c r="AH372" i="6" s="1"/>
  <c r="L371" i="6"/>
  <c r="AH371" i="6" s="1"/>
  <c r="L370" i="6"/>
  <c r="AH370" i="6" s="1"/>
  <c r="L366" i="6"/>
  <c r="AH366" i="6" s="1"/>
  <c r="L365" i="6"/>
  <c r="AH365" i="6" s="1"/>
  <c r="L364" i="6"/>
  <c r="AH364" i="6" s="1"/>
  <c r="L363" i="6"/>
  <c r="AH363" i="6" s="1"/>
  <c r="L362" i="6"/>
  <c r="AH362" i="6" s="1"/>
  <c r="L342" i="6"/>
  <c r="AH342" i="6" s="1"/>
  <c r="L341" i="6"/>
  <c r="AH341" i="6" s="1"/>
  <c r="L340" i="6"/>
  <c r="AH340" i="6" s="1"/>
  <c r="L339" i="6"/>
  <c r="AH339" i="6" s="1"/>
  <c r="L338" i="6"/>
  <c r="AH338" i="6" s="1"/>
  <c r="L326" i="6"/>
  <c r="AH326" i="6" s="1"/>
  <c r="L325" i="6"/>
  <c r="AH325" i="6" s="1"/>
  <c r="L324" i="6"/>
  <c r="AH324" i="6" s="1"/>
  <c r="L323" i="6"/>
  <c r="AH323" i="6" s="1"/>
  <c r="L322" i="6"/>
  <c r="AH322" i="6" s="1"/>
  <c r="L310" i="6"/>
  <c r="AH310" i="6" s="1"/>
  <c r="L309" i="6"/>
  <c r="AH309" i="6" s="1"/>
  <c r="L308" i="6"/>
  <c r="AH308" i="6" s="1"/>
  <c r="L307" i="6"/>
  <c r="AH307" i="6" s="1"/>
  <c r="L306" i="6"/>
  <c r="AH306" i="6" s="1"/>
  <c r="L286" i="6"/>
  <c r="AH286" i="6" s="1"/>
  <c r="L285" i="6"/>
  <c r="AH285" i="6" s="1"/>
  <c r="L284" i="6"/>
  <c r="AH284" i="6" s="1"/>
  <c r="L283" i="6"/>
  <c r="AH283" i="6" s="1"/>
  <c r="L282" i="6"/>
  <c r="AH282" i="6" s="1"/>
  <c r="L281" i="6"/>
  <c r="AH281" i="6" s="1"/>
  <c r="L280" i="6"/>
  <c r="AH280" i="6" s="1"/>
  <c r="L279" i="6"/>
  <c r="AH279" i="6" s="1"/>
  <c r="L278" i="6"/>
  <c r="AH278" i="6" s="1"/>
  <c r="L277" i="6"/>
  <c r="AH277" i="6" s="1"/>
  <c r="L276" i="6"/>
  <c r="AH276" i="6" s="1"/>
  <c r="L275" i="6"/>
  <c r="AH275" i="6" s="1"/>
  <c r="L274" i="6"/>
  <c r="AH274" i="6" s="1"/>
  <c r="L273" i="6"/>
  <c r="AH273" i="6" s="1"/>
  <c r="L260" i="6"/>
  <c r="AH260" i="6" s="1"/>
  <c r="L259" i="6"/>
  <c r="AH259" i="6" s="1"/>
  <c r="L258" i="6"/>
  <c r="AH258" i="6" s="1"/>
  <c r="L257" i="6"/>
  <c r="AH257" i="6" s="1"/>
  <c r="L256" i="6"/>
  <c r="AH256" i="6" s="1"/>
  <c r="L255" i="6"/>
  <c r="AH255" i="6" s="1"/>
  <c r="L254" i="6"/>
  <c r="AH254" i="6" s="1"/>
  <c r="L253" i="6"/>
  <c r="AH253" i="6" s="1"/>
  <c r="L252" i="6"/>
  <c r="AH252" i="6" s="1"/>
  <c r="L239" i="6"/>
  <c r="AH239" i="6" s="1"/>
  <c r="L237" i="6"/>
  <c r="AH237" i="6" s="1"/>
  <c r="L235" i="6"/>
  <c r="AH235" i="6" s="1"/>
  <c r="L210" i="6"/>
  <c r="AH210" i="6" s="1"/>
  <c r="L198" i="6"/>
  <c r="AH198" i="6" s="1"/>
  <c r="L196" i="6"/>
  <c r="AH196" i="6" s="1"/>
  <c r="L182" i="6"/>
  <c r="AH182" i="6" s="1"/>
  <c r="L177" i="6"/>
  <c r="AH177" i="6" s="1"/>
  <c r="L175" i="6"/>
  <c r="AH175" i="6" s="1"/>
  <c r="L146" i="6"/>
  <c r="AH146" i="6" s="1"/>
  <c r="L113" i="6"/>
  <c r="AH113" i="6" s="1"/>
  <c r="L18" i="6"/>
  <c r="AH18" i="6" s="1"/>
  <c r="L139" i="6"/>
  <c r="AH139" i="6" s="1"/>
  <c r="L137" i="6"/>
  <c r="AH137" i="6" s="1"/>
  <c r="L135" i="6"/>
  <c r="AH135" i="6" s="1"/>
  <c r="L133" i="6"/>
  <c r="AH133" i="6" s="1"/>
  <c r="L131" i="6"/>
  <c r="AH131" i="6" s="1"/>
  <c r="L98" i="6"/>
  <c r="AH98" i="6" s="1"/>
  <c r="L96" i="6"/>
  <c r="AH96" i="6" s="1"/>
  <c r="L94" i="6"/>
  <c r="AH94" i="6" s="1"/>
  <c r="L92" i="6"/>
  <c r="AH92" i="6" s="1"/>
  <c r="L87" i="6"/>
  <c r="AH87" i="6" s="1"/>
  <c r="L85" i="6"/>
  <c r="AH85" i="6" s="1"/>
  <c r="L83" i="6"/>
  <c r="AH83" i="6" s="1"/>
  <c r="L81" i="6"/>
  <c r="AH81" i="6" s="1"/>
  <c r="L79" i="6"/>
  <c r="AH79" i="6" s="1"/>
  <c r="L50" i="6"/>
  <c r="AH50" i="6" s="1"/>
  <c r="L48" i="6"/>
  <c r="AH48" i="6" s="1"/>
  <c r="L42" i="6"/>
  <c r="AH42" i="6" s="1"/>
  <c r="L40" i="6"/>
  <c r="AH40" i="6" s="1"/>
  <c r="L38" i="6"/>
  <c r="AH38" i="6" s="1"/>
  <c r="Z449" i="3"/>
  <c r="AP449" i="3" s="1"/>
  <c r="Z445" i="3"/>
  <c r="AP445" i="3" s="1"/>
  <c r="Z435" i="3"/>
  <c r="AP435" i="3" s="1"/>
  <c r="Z429" i="3"/>
  <c r="AP429" i="3" s="1"/>
  <c r="Z423" i="3"/>
  <c r="AP423" i="3" s="1"/>
  <c r="Z417" i="3"/>
  <c r="AP417" i="3" s="1"/>
  <c r="Z411" i="3"/>
  <c r="AP411" i="3" s="1"/>
  <c r="Z407" i="3"/>
  <c r="AP407" i="3" s="1"/>
  <c r="Z401" i="3"/>
  <c r="AP401" i="3" s="1"/>
  <c r="Z397" i="3"/>
  <c r="AP397" i="3" s="1"/>
  <c r="Z391" i="3"/>
  <c r="AP391" i="3" s="1"/>
  <c r="Z387" i="3"/>
  <c r="AP387" i="3" s="1"/>
  <c r="Z380" i="3"/>
  <c r="AP380" i="3" s="1"/>
  <c r="Z374" i="3"/>
  <c r="AP374" i="3" s="1"/>
  <c r="Z370" i="3"/>
  <c r="AP370" i="3" s="1"/>
  <c r="Z364" i="3"/>
  <c r="AP364" i="3" s="1"/>
  <c r="Z358" i="3"/>
  <c r="AP358" i="3" s="1"/>
  <c r="Z354" i="3"/>
  <c r="AP354" i="3" s="1"/>
  <c r="Z348" i="3"/>
  <c r="AP348" i="3" s="1"/>
  <c r="Z342" i="3"/>
  <c r="AP342" i="3" s="1"/>
  <c r="Z338" i="3"/>
  <c r="AP338" i="3" s="1"/>
  <c r="Z332" i="3"/>
  <c r="AP332" i="3" s="1"/>
  <c r="Z326" i="3"/>
  <c r="AP326" i="3" s="1"/>
  <c r="Z322" i="3"/>
  <c r="AP322" i="3" s="1"/>
  <c r="Z316" i="3"/>
  <c r="AP316" i="3" s="1"/>
  <c r="Z310" i="3"/>
  <c r="AP310" i="3" s="1"/>
  <c r="Z306" i="3"/>
  <c r="AP306" i="3" s="1"/>
  <c r="Z292" i="3"/>
  <c r="AP292" i="3" s="1"/>
  <c r="Z285" i="3"/>
  <c r="AP285" i="3" s="1"/>
  <c r="G18" i="3"/>
  <c r="S114" i="5"/>
  <c r="AL114" i="5" s="1"/>
  <c r="S106" i="5"/>
  <c r="AL106" i="5" s="1"/>
  <c r="S99" i="5"/>
  <c r="AL99" i="5" s="1"/>
  <c r="S95" i="5"/>
  <c r="AL95" i="5" s="1"/>
  <c r="S88" i="5"/>
  <c r="AL88" i="5" s="1"/>
  <c r="S84" i="5"/>
  <c r="AL84" i="5" s="1"/>
  <c r="S80" i="5"/>
  <c r="AL80" i="5" s="1"/>
  <c r="S72" i="5"/>
  <c r="AL72" i="5" s="1"/>
  <c r="S68" i="5"/>
  <c r="AL68" i="5" s="1"/>
  <c r="S61" i="5"/>
  <c r="AL61" i="5" s="1"/>
  <c r="S57" i="5"/>
  <c r="AL57" i="5" s="1"/>
  <c r="S50" i="5"/>
  <c r="AL50" i="5" s="1"/>
  <c r="S43" i="5"/>
  <c r="AL43" i="5" s="1"/>
  <c r="S39" i="5"/>
  <c r="AL39" i="5" s="1"/>
  <c r="S32" i="5"/>
  <c r="AL32" i="5" s="1"/>
  <c r="S25" i="5"/>
  <c r="AL25" i="5" s="1"/>
  <c r="S17" i="5"/>
  <c r="AL17" i="5" s="1"/>
  <c r="L452" i="5"/>
  <c r="AH452" i="5" s="1"/>
  <c r="Z451" i="5"/>
  <c r="AP451" i="5" s="1"/>
  <c r="S451" i="5"/>
  <c r="AL451" i="5" s="1"/>
  <c r="L450" i="5"/>
  <c r="AH450" i="5" s="1"/>
  <c r="Z449" i="5"/>
  <c r="AP449" i="5" s="1"/>
  <c r="S449" i="5"/>
  <c r="AL449" i="5" s="1"/>
  <c r="L448" i="5"/>
  <c r="AH448" i="5" s="1"/>
  <c r="Z447" i="5"/>
  <c r="AP447" i="5" s="1"/>
  <c r="S447" i="5"/>
  <c r="AL447" i="5" s="1"/>
  <c r="L446" i="5"/>
  <c r="AH446" i="5" s="1"/>
  <c r="Z445" i="5"/>
  <c r="AP445" i="5" s="1"/>
  <c r="S445" i="5"/>
  <c r="AL445" i="5" s="1"/>
  <c r="L444" i="5"/>
  <c r="AH444" i="5" s="1"/>
  <c r="Z443" i="5"/>
  <c r="AP443" i="5" s="1"/>
  <c r="S443" i="5"/>
  <c r="AL443" i="5" s="1"/>
  <c r="L442" i="5"/>
  <c r="AH442" i="5" s="1"/>
  <c r="S439" i="5"/>
  <c r="AL439" i="5" s="1"/>
  <c r="L438" i="5"/>
  <c r="AH438" i="5" s="1"/>
  <c r="Z437" i="5"/>
  <c r="AP437" i="5" s="1"/>
  <c r="S437" i="5"/>
  <c r="AL437" i="5" s="1"/>
  <c r="L436" i="5"/>
  <c r="AH436" i="5" s="1"/>
  <c r="Z435" i="5"/>
  <c r="AP435" i="5" s="1"/>
  <c r="S435" i="5"/>
  <c r="AL435" i="5" s="1"/>
  <c r="L432" i="5"/>
  <c r="AH432" i="5" s="1"/>
  <c r="Z431" i="5"/>
  <c r="AP431" i="5" s="1"/>
  <c r="S431" i="5"/>
  <c r="AL431" i="5" s="1"/>
  <c r="L430" i="5"/>
  <c r="AH430" i="5" s="1"/>
  <c r="Z429" i="5"/>
  <c r="AP429" i="5" s="1"/>
  <c r="S429" i="5"/>
  <c r="AL429" i="5" s="1"/>
  <c r="Z425" i="5"/>
  <c r="AP425" i="5" s="1"/>
  <c r="S425" i="5"/>
  <c r="AL425" i="5" s="1"/>
  <c r="L424" i="5"/>
  <c r="AH424" i="5" s="1"/>
  <c r="Z423" i="5"/>
  <c r="AP423" i="5" s="1"/>
  <c r="S423" i="5"/>
  <c r="AL423" i="5" s="1"/>
  <c r="L422" i="5"/>
  <c r="AH422" i="5" s="1"/>
  <c r="Z421" i="5"/>
  <c r="AP421" i="5" s="1"/>
  <c r="S421" i="5"/>
  <c r="AL421" i="5" s="1"/>
  <c r="L420" i="5"/>
  <c r="AH420" i="5" s="1"/>
  <c r="Z417" i="5"/>
  <c r="AP417" i="5" s="1"/>
  <c r="S417" i="5"/>
  <c r="AL417" i="5" s="1"/>
  <c r="L416" i="5"/>
  <c r="AH416" i="5" s="1"/>
  <c r="Z415" i="5"/>
  <c r="AP415" i="5" s="1"/>
  <c r="S415" i="5"/>
  <c r="AL415" i="5" s="1"/>
  <c r="L414" i="5"/>
  <c r="AH414" i="5" s="1"/>
  <c r="Z411" i="5"/>
  <c r="AP411" i="5" s="1"/>
  <c r="S411" i="5"/>
  <c r="AL411" i="5" s="1"/>
  <c r="L410" i="5"/>
  <c r="AH410" i="5" s="1"/>
  <c r="Z409" i="5"/>
  <c r="AP409" i="5" s="1"/>
  <c r="S409" i="5"/>
  <c r="AL409" i="5" s="1"/>
  <c r="L408" i="5"/>
  <c r="AH408" i="5" s="1"/>
  <c r="Z407" i="5"/>
  <c r="AP407" i="5" s="1"/>
  <c r="S407" i="5"/>
  <c r="AL407" i="5" s="1"/>
  <c r="L404" i="5"/>
  <c r="AH404" i="5" s="1"/>
  <c r="Z403" i="5"/>
  <c r="AP403" i="5" s="1"/>
  <c r="S403" i="5"/>
  <c r="AL403" i="5" s="1"/>
  <c r="L402" i="5"/>
  <c r="AH402" i="5" s="1"/>
  <c r="Z401" i="5"/>
  <c r="AP401" i="5" s="1"/>
  <c r="S401" i="5"/>
  <c r="AL401" i="5" s="1"/>
  <c r="L400" i="5"/>
  <c r="AH400" i="5" s="1"/>
  <c r="Z399" i="5"/>
  <c r="AP399" i="5" s="1"/>
  <c r="S399" i="5"/>
  <c r="AL399" i="5" s="1"/>
  <c r="L398" i="5"/>
  <c r="AH398" i="5" s="1"/>
  <c r="Z397" i="5"/>
  <c r="AP397" i="5" s="1"/>
  <c r="S397" i="5"/>
  <c r="AL397" i="5" s="1"/>
  <c r="L394" i="5"/>
  <c r="AH394" i="5" s="1"/>
  <c r="Z393" i="5"/>
  <c r="AP393" i="5" s="1"/>
  <c r="S393" i="5"/>
  <c r="AL393" i="5" s="1"/>
  <c r="L392" i="5"/>
  <c r="AH392" i="5" s="1"/>
  <c r="Z391" i="5"/>
  <c r="AP391" i="5" s="1"/>
  <c r="S391" i="5"/>
  <c r="AL391" i="5" s="1"/>
  <c r="L390" i="5"/>
  <c r="AH390" i="5" s="1"/>
  <c r="Z389" i="5"/>
  <c r="AP389" i="5" s="1"/>
  <c r="S389" i="5"/>
  <c r="AL389" i="5" s="1"/>
  <c r="L388" i="5"/>
  <c r="AH388" i="5" s="1"/>
  <c r="Z387" i="5"/>
  <c r="AP387" i="5" s="1"/>
  <c r="S387" i="5"/>
  <c r="AL387" i="5" s="1"/>
  <c r="L386" i="5"/>
  <c r="AH386" i="5" s="1"/>
  <c r="Z382" i="5"/>
  <c r="AP382" i="5" s="1"/>
  <c r="S382" i="5"/>
  <c r="AL382" i="5" s="1"/>
  <c r="L381" i="5"/>
  <c r="AH381" i="5" s="1"/>
  <c r="Z380" i="5"/>
  <c r="AP380" i="5" s="1"/>
  <c r="S380" i="5"/>
  <c r="AL380" i="5" s="1"/>
  <c r="L379" i="5"/>
  <c r="AH379" i="5" s="1"/>
  <c r="Z378" i="5"/>
  <c r="AP378" i="5" s="1"/>
  <c r="S378" i="5"/>
  <c r="AL378" i="5" s="1"/>
  <c r="Z374" i="5"/>
  <c r="AP374" i="5" s="1"/>
  <c r="S374" i="5"/>
  <c r="AL374" i="5" s="1"/>
  <c r="L373" i="5"/>
  <c r="AH373" i="5" s="1"/>
  <c r="Z372" i="5"/>
  <c r="AP372" i="5" s="1"/>
  <c r="S372" i="5"/>
  <c r="AL372" i="5" s="1"/>
  <c r="L371" i="5"/>
  <c r="AH371" i="5" s="1"/>
  <c r="Z370" i="5"/>
  <c r="AP370" i="5" s="1"/>
  <c r="S370" i="5"/>
  <c r="AL370" i="5" s="1"/>
  <c r="Z366" i="5"/>
  <c r="AP366" i="5" s="1"/>
  <c r="S366" i="5"/>
  <c r="AL366" i="5" s="1"/>
  <c r="L365" i="5"/>
  <c r="AH365" i="5" s="1"/>
  <c r="Z364" i="5"/>
  <c r="AP364" i="5" s="1"/>
  <c r="S364" i="5"/>
  <c r="AL364" i="5" s="1"/>
  <c r="L363" i="5"/>
  <c r="AH363" i="5" s="1"/>
  <c r="Z362" i="5"/>
  <c r="AP362" i="5" s="1"/>
  <c r="S362" i="5"/>
  <c r="AL362" i="5" s="1"/>
  <c r="Z358" i="5"/>
  <c r="AP358" i="5" s="1"/>
  <c r="S358" i="5"/>
  <c r="AL358" i="5" s="1"/>
  <c r="L357" i="5"/>
  <c r="AH357" i="5" s="1"/>
  <c r="Z356" i="5"/>
  <c r="AP356" i="5" s="1"/>
  <c r="S356" i="5"/>
  <c r="AL356" i="5" s="1"/>
  <c r="L355" i="5"/>
  <c r="AH355" i="5" s="1"/>
  <c r="Z354" i="5"/>
  <c r="AP354" i="5" s="1"/>
  <c r="S354" i="5"/>
  <c r="AL354" i="5" s="1"/>
  <c r="Z350" i="5"/>
  <c r="AP350" i="5" s="1"/>
  <c r="S350" i="5"/>
  <c r="AL350" i="5" s="1"/>
  <c r="L349" i="5"/>
  <c r="AH349" i="5" s="1"/>
  <c r="Z348" i="5"/>
  <c r="AP348" i="5" s="1"/>
  <c r="S348" i="5"/>
  <c r="AL348" i="5" s="1"/>
  <c r="L347" i="5"/>
  <c r="AH347" i="5" s="1"/>
  <c r="Z346" i="5"/>
  <c r="AP346" i="5" s="1"/>
  <c r="S346" i="5"/>
  <c r="AL346" i="5" s="1"/>
  <c r="Z342" i="5"/>
  <c r="AP342" i="5" s="1"/>
  <c r="S342" i="5"/>
  <c r="AL342" i="5" s="1"/>
  <c r="L341" i="5"/>
  <c r="AH341" i="5" s="1"/>
  <c r="Z340" i="5"/>
  <c r="AP340" i="5" s="1"/>
  <c r="S340" i="5"/>
  <c r="AL340" i="5" s="1"/>
  <c r="L339" i="5"/>
  <c r="AH339" i="5" s="1"/>
  <c r="Z338" i="5"/>
  <c r="AP338" i="5" s="1"/>
  <c r="S338" i="5"/>
  <c r="AL338" i="5" s="1"/>
  <c r="Z334" i="5"/>
  <c r="AP334" i="5" s="1"/>
  <c r="S334" i="5"/>
  <c r="AL334" i="5" s="1"/>
  <c r="L333" i="5"/>
  <c r="AH333" i="5" s="1"/>
  <c r="Z332" i="5"/>
  <c r="AP332" i="5" s="1"/>
  <c r="S332" i="5"/>
  <c r="AL332" i="5" s="1"/>
  <c r="L331" i="5"/>
  <c r="AH331" i="5" s="1"/>
  <c r="Z330" i="5"/>
  <c r="AP330" i="5" s="1"/>
  <c r="S330" i="5"/>
  <c r="AL330" i="5" s="1"/>
  <c r="Z326" i="5"/>
  <c r="AP326" i="5" s="1"/>
  <c r="S326" i="5"/>
  <c r="AL326" i="5" s="1"/>
  <c r="L325" i="5"/>
  <c r="AH325" i="5" s="1"/>
  <c r="Z324" i="5"/>
  <c r="AP324" i="5" s="1"/>
  <c r="S324" i="5"/>
  <c r="AL324" i="5" s="1"/>
  <c r="L323" i="5"/>
  <c r="AH323" i="5" s="1"/>
  <c r="Z322" i="5"/>
  <c r="AP322" i="5" s="1"/>
  <c r="S322" i="5"/>
  <c r="AL322" i="5" s="1"/>
  <c r="Z318" i="5"/>
  <c r="AP318" i="5" s="1"/>
  <c r="S318" i="5"/>
  <c r="AL318" i="5" s="1"/>
  <c r="L317" i="5"/>
  <c r="AH317" i="5" s="1"/>
  <c r="Z316" i="5"/>
  <c r="AP316" i="5" s="1"/>
  <c r="S316" i="5"/>
  <c r="AL316" i="5" s="1"/>
  <c r="L315" i="5"/>
  <c r="AH315" i="5" s="1"/>
  <c r="Z314" i="5"/>
  <c r="AP314" i="5" s="1"/>
  <c r="S314" i="5"/>
  <c r="AL314" i="5" s="1"/>
  <c r="Z310" i="5"/>
  <c r="AP310" i="5" s="1"/>
  <c r="S310" i="5"/>
  <c r="AL310" i="5" s="1"/>
  <c r="L309" i="5"/>
  <c r="AH309" i="5" s="1"/>
  <c r="Z308" i="5"/>
  <c r="AP308" i="5" s="1"/>
  <c r="S308" i="5"/>
  <c r="AL308" i="5" s="1"/>
  <c r="L307" i="5"/>
  <c r="AH307" i="5" s="1"/>
  <c r="Z306" i="5"/>
  <c r="AP306" i="5" s="1"/>
  <c r="S306" i="5"/>
  <c r="AL306" i="5" s="1"/>
  <c r="Z294" i="5"/>
  <c r="AP294" i="5" s="1"/>
  <c r="S294" i="5"/>
  <c r="AL294" i="5" s="1"/>
  <c r="L293" i="5"/>
  <c r="AH293" i="5" s="1"/>
  <c r="Z292" i="5"/>
  <c r="AP292" i="5" s="1"/>
  <c r="S292" i="5"/>
  <c r="AL292" i="5" s="1"/>
  <c r="L291" i="5"/>
  <c r="AH291" i="5" s="1"/>
  <c r="S290" i="5"/>
  <c r="AL290" i="5" s="1"/>
  <c r="L286" i="5"/>
  <c r="AH286" i="5" s="1"/>
  <c r="Z285" i="5"/>
  <c r="AP285" i="5" s="1"/>
  <c r="S285" i="5"/>
  <c r="AL285" i="5" s="1"/>
  <c r="L284" i="5"/>
  <c r="AH284" i="5" s="1"/>
  <c r="Z283" i="5"/>
  <c r="AP283" i="5" s="1"/>
  <c r="S283" i="5"/>
  <c r="AL283" i="5" s="1"/>
  <c r="L282" i="5"/>
  <c r="AH282" i="5" s="1"/>
  <c r="Z281" i="5"/>
  <c r="AP281" i="5" s="1"/>
  <c r="S281" i="5"/>
  <c r="AL281" i="5" s="1"/>
  <c r="L280" i="5"/>
  <c r="AH280" i="5" s="1"/>
  <c r="Z279" i="5"/>
  <c r="AP279" i="5" s="1"/>
  <c r="S279" i="5"/>
  <c r="AL279" i="5" s="1"/>
  <c r="L278" i="5"/>
  <c r="AH278" i="5" s="1"/>
  <c r="Z277" i="5"/>
  <c r="AP277" i="5" s="1"/>
  <c r="S277" i="5"/>
  <c r="AL277" i="5" s="1"/>
  <c r="L276" i="5"/>
  <c r="AH276" i="5" s="1"/>
  <c r="Z275" i="5"/>
  <c r="AP275" i="5" s="1"/>
  <c r="S275" i="5"/>
  <c r="AL275" i="5" s="1"/>
  <c r="L274" i="5"/>
  <c r="AH274" i="5" s="1"/>
  <c r="Z273" i="5"/>
  <c r="AP273" i="5" s="1"/>
  <c r="S273" i="5"/>
  <c r="AL273" i="5" s="1"/>
  <c r="L269" i="5"/>
  <c r="AH269" i="5" s="1"/>
  <c r="Z268" i="5"/>
  <c r="AP268" i="5" s="1"/>
  <c r="S268" i="5"/>
  <c r="AL268" i="5" s="1"/>
  <c r="L267" i="5"/>
  <c r="AH267" i="5" s="1"/>
  <c r="Z266" i="5"/>
  <c r="AP266" i="5" s="1"/>
  <c r="S266" i="5"/>
  <c r="AL266" i="5" s="1"/>
  <c r="L265" i="5"/>
  <c r="AH265" i="5" s="1"/>
  <c r="Z264" i="5"/>
  <c r="AP264" i="5" s="1"/>
  <c r="S264" i="5"/>
  <c r="AL264" i="5" s="1"/>
  <c r="L260" i="5"/>
  <c r="AH260" i="5" s="1"/>
  <c r="Z259" i="5"/>
  <c r="AP259" i="5" s="1"/>
  <c r="S259" i="5"/>
  <c r="AL259" i="5" s="1"/>
  <c r="L258" i="5"/>
  <c r="AH258" i="5" s="1"/>
  <c r="Z257" i="5"/>
  <c r="AP257" i="5" s="1"/>
  <c r="S257" i="5"/>
  <c r="AL257" i="5" s="1"/>
  <c r="L256" i="5"/>
  <c r="AH256" i="5" s="1"/>
  <c r="Z255" i="5"/>
  <c r="AP255" i="5" s="1"/>
  <c r="S255" i="5"/>
  <c r="AL255" i="5" s="1"/>
  <c r="L254" i="5"/>
  <c r="AH254" i="5" s="1"/>
  <c r="Z253" i="5"/>
  <c r="AP253" i="5" s="1"/>
  <c r="S253" i="5"/>
  <c r="AL253" i="5" s="1"/>
  <c r="L252" i="5"/>
  <c r="AH252" i="5" s="1"/>
  <c r="Z248" i="5"/>
  <c r="AP248" i="5" s="1"/>
  <c r="S248" i="5"/>
  <c r="AL248" i="5" s="1"/>
  <c r="L247" i="5"/>
  <c r="AH247" i="5" s="1"/>
  <c r="Z246" i="5"/>
  <c r="AP246" i="5" s="1"/>
  <c r="S246" i="5"/>
  <c r="AL246" i="5" s="1"/>
  <c r="Z244" i="5"/>
  <c r="AP244" i="5" s="1"/>
  <c r="S244" i="5"/>
  <c r="AL244" i="5" s="1"/>
  <c r="L240" i="5"/>
  <c r="AH240" i="5" s="1"/>
  <c r="Z239" i="5"/>
  <c r="AP239" i="5" s="1"/>
  <c r="S239" i="5"/>
  <c r="AL239" i="5" s="1"/>
  <c r="L238" i="5"/>
  <c r="AH238" i="5" s="1"/>
  <c r="Z237" i="5"/>
  <c r="AP237" i="5" s="1"/>
  <c r="S237" i="5"/>
  <c r="AL237" i="5" s="1"/>
  <c r="L236" i="5"/>
  <c r="AH236" i="5" s="1"/>
  <c r="Z235" i="5"/>
  <c r="AP235" i="5" s="1"/>
  <c r="S235" i="5"/>
  <c r="AL235" i="5" s="1"/>
  <c r="L231" i="5"/>
  <c r="AH231" i="5" s="1"/>
  <c r="Z230" i="5"/>
  <c r="AP230" i="5" s="1"/>
  <c r="S230" i="5"/>
  <c r="AL230" i="5" s="1"/>
  <c r="L229" i="5"/>
  <c r="AH229" i="5" s="1"/>
  <c r="Z228" i="5"/>
  <c r="AP228" i="5" s="1"/>
  <c r="S228" i="5"/>
  <c r="AL228" i="5" s="1"/>
  <c r="L227" i="5"/>
  <c r="AH227" i="5" s="1"/>
  <c r="Z226" i="5"/>
  <c r="AP226" i="5" s="1"/>
  <c r="S226" i="5"/>
  <c r="AL226" i="5" s="1"/>
  <c r="L225" i="5"/>
  <c r="AH225" i="5" s="1"/>
  <c r="Z224" i="5"/>
  <c r="AP224" i="5" s="1"/>
  <c r="S224" i="5"/>
  <c r="AL224" i="5" s="1"/>
  <c r="L223" i="5"/>
  <c r="AH223" i="5" s="1"/>
  <c r="Z222" i="5"/>
  <c r="AP222" i="5" s="1"/>
  <c r="S222" i="5"/>
  <c r="AL222" i="5" s="1"/>
  <c r="L217" i="5"/>
  <c r="AH217" i="5" s="1"/>
  <c r="Z216" i="5"/>
  <c r="AP216" i="5" s="1"/>
  <c r="S216" i="5"/>
  <c r="AL216" i="5" s="1"/>
  <c r="L215" i="5"/>
  <c r="AH215" i="5" s="1"/>
  <c r="Z211" i="5"/>
  <c r="AP211" i="5" s="1"/>
  <c r="S211" i="5"/>
  <c r="AL211" i="5" s="1"/>
  <c r="L210" i="5"/>
  <c r="AH210" i="5" s="1"/>
  <c r="Z209" i="5"/>
  <c r="AP209" i="5" s="1"/>
  <c r="S209" i="5"/>
  <c r="AL209" i="5" s="1"/>
  <c r="L205" i="5"/>
  <c r="AH205" i="5" s="1"/>
  <c r="Z204" i="5"/>
  <c r="AP204" i="5" s="1"/>
  <c r="S204" i="5"/>
  <c r="AL204" i="5" s="1"/>
  <c r="L203" i="5"/>
  <c r="AH203" i="5" s="1"/>
  <c r="Z202" i="5"/>
  <c r="AP202" i="5" s="1"/>
  <c r="S202" i="5"/>
  <c r="AL202" i="5" s="1"/>
  <c r="L198" i="5"/>
  <c r="AH198" i="5" s="1"/>
  <c r="Z197" i="5"/>
  <c r="AP197" i="5" s="1"/>
  <c r="S197" i="5"/>
  <c r="AL197" i="5" s="1"/>
  <c r="L196" i="5"/>
  <c r="AH196" i="5" s="1"/>
  <c r="Z195" i="5"/>
  <c r="AP195" i="5" s="1"/>
  <c r="S195" i="5"/>
  <c r="AL195" i="5" s="1"/>
  <c r="L190" i="5"/>
  <c r="AH190" i="5" s="1"/>
  <c r="Z189" i="5"/>
  <c r="AP189" i="5" s="1"/>
  <c r="S189" i="5"/>
  <c r="AL189" i="5" s="1"/>
  <c r="L188" i="5"/>
  <c r="AH188" i="5" s="1"/>
  <c r="Z187" i="5"/>
  <c r="AP187" i="5" s="1"/>
  <c r="S187" i="5"/>
  <c r="AL187" i="5" s="1"/>
  <c r="L186" i="5"/>
  <c r="AH186" i="5" s="1"/>
  <c r="Z185" i="5"/>
  <c r="AP185" i="5" s="1"/>
  <c r="S185" i="5"/>
  <c r="AL185" i="5" s="1"/>
  <c r="L184" i="5"/>
  <c r="AH184" i="5" s="1"/>
  <c r="Z183" i="5"/>
  <c r="AP183" i="5" s="1"/>
  <c r="S183" i="5"/>
  <c r="AL183" i="5" s="1"/>
  <c r="L182" i="5"/>
  <c r="AH182" i="5" s="1"/>
  <c r="Z178" i="5"/>
  <c r="AP178" i="5" s="1"/>
  <c r="S178" i="5"/>
  <c r="AL178" i="5" s="1"/>
  <c r="L177" i="5"/>
  <c r="AH177" i="5" s="1"/>
  <c r="Z176" i="5"/>
  <c r="AP176" i="5" s="1"/>
  <c r="S176" i="5"/>
  <c r="AL176" i="5" s="1"/>
  <c r="L175" i="5"/>
  <c r="AH175" i="5" s="1"/>
  <c r="Z171" i="5"/>
  <c r="AP171" i="5" s="1"/>
  <c r="S171" i="5"/>
  <c r="AL171" i="5" s="1"/>
  <c r="L170" i="5"/>
  <c r="AH170" i="5" s="1"/>
  <c r="Z169" i="5"/>
  <c r="AP169" i="5" s="1"/>
  <c r="S169" i="5"/>
  <c r="AL169" i="5" s="1"/>
  <c r="L168" i="5"/>
  <c r="AH168" i="5" s="1"/>
  <c r="Z164" i="5"/>
  <c r="AP164" i="5" s="1"/>
  <c r="S164" i="5"/>
  <c r="AL164" i="5" s="1"/>
  <c r="L163" i="5"/>
  <c r="AH163" i="5" s="1"/>
  <c r="Z162" i="5"/>
  <c r="AP162" i="5" s="1"/>
  <c r="S162" i="5"/>
  <c r="AL162" i="5" s="1"/>
  <c r="L161" i="5"/>
  <c r="AH161" i="5" s="1"/>
  <c r="Z160" i="5"/>
  <c r="AP160" i="5" s="1"/>
  <c r="S160" i="5"/>
  <c r="AL160" i="5" s="1"/>
  <c r="L159" i="5"/>
  <c r="AH159" i="5" s="1"/>
  <c r="Z158" i="5"/>
  <c r="AP158" i="5" s="1"/>
  <c r="S158" i="5"/>
  <c r="AL158" i="5" s="1"/>
  <c r="L157" i="5"/>
  <c r="AH157" i="5" s="1"/>
  <c r="Z156" i="5"/>
  <c r="AP156" i="5" s="1"/>
  <c r="S156" i="5"/>
  <c r="AL156" i="5" s="1"/>
  <c r="L155" i="5"/>
  <c r="AH155" i="5" s="1"/>
  <c r="Z154" i="5"/>
  <c r="AP154" i="5" s="1"/>
  <c r="S154" i="5"/>
  <c r="AL154" i="5" s="1"/>
  <c r="L153" i="5"/>
  <c r="AH153" i="5" s="1"/>
  <c r="Z147" i="5"/>
  <c r="AP147" i="5" s="1"/>
  <c r="S147" i="5"/>
  <c r="AL147" i="5" s="1"/>
  <c r="L146" i="5"/>
  <c r="AH146" i="5" s="1"/>
  <c r="Z145" i="5"/>
  <c r="AP145" i="5" s="1"/>
  <c r="S145" i="5"/>
  <c r="AL145" i="5" s="1"/>
  <c r="Z140" i="5"/>
  <c r="AP140" i="5" s="1"/>
  <c r="S140" i="5"/>
  <c r="AL140" i="5" s="1"/>
  <c r="L139" i="5"/>
  <c r="AH139" i="5" s="1"/>
  <c r="Z138" i="5"/>
  <c r="AP138" i="5" s="1"/>
  <c r="S138" i="5"/>
  <c r="AL138" i="5" s="1"/>
  <c r="L137" i="5"/>
  <c r="AH137" i="5" s="1"/>
  <c r="Z136" i="5"/>
  <c r="AP136" i="5" s="1"/>
  <c r="S136" i="5"/>
  <c r="AL136" i="5" s="1"/>
  <c r="L135" i="5"/>
  <c r="AH135" i="5" s="1"/>
  <c r="Z134" i="5"/>
  <c r="AP134" i="5" s="1"/>
  <c r="S134" i="5"/>
  <c r="AL134" i="5" s="1"/>
  <c r="L133" i="5"/>
  <c r="AH133" i="5" s="1"/>
  <c r="Z132" i="5"/>
  <c r="AP132" i="5" s="1"/>
  <c r="S132" i="5"/>
  <c r="AL132" i="5" s="1"/>
  <c r="L130" i="5"/>
  <c r="AH130" i="5" s="1"/>
  <c r="Z124" i="5"/>
  <c r="AP124" i="5" s="1"/>
  <c r="S124" i="5"/>
  <c r="AL124" i="5" s="1"/>
  <c r="S123" i="5"/>
  <c r="AL123" i="5" s="1"/>
  <c r="Z122" i="5"/>
  <c r="AP122" i="5" s="1"/>
  <c r="L122" i="5"/>
  <c r="AH122" i="5" s="1"/>
  <c r="S113" i="5"/>
  <c r="AL113" i="5" s="1"/>
  <c r="Z112" i="5"/>
  <c r="AP112" i="5" s="1"/>
  <c r="L112" i="5"/>
  <c r="AH112" i="5" s="1"/>
  <c r="S105" i="5"/>
  <c r="AL105" i="5" s="1"/>
  <c r="Z104" i="5"/>
  <c r="AP104" i="5" s="1"/>
  <c r="L104" i="5"/>
  <c r="AH104" i="5" s="1"/>
  <c r="S98" i="5"/>
  <c r="AL98" i="5" s="1"/>
  <c r="Z97" i="5"/>
  <c r="AP97" i="5" s="1"/>
  <c r="L97" i="5"/>
  <c r="AH97" i="5" s="1"/>
  <c r="S94" i="5"/>
  <c r="AL94" i="5" s="1"/>
  <c r="Z93" i="5"/>
  <c r="AP93" i="5" s="1"/>
  <c r="L93" i="5"/>
  <c r="AH93" i="5" s="1"/>
  <c r="S87" i="5"/>
  <c r="AL87" i="5" s="1"/>
  <c r="Z86" i="5"/>
  <c r="AP86" i="5" s="1"/>
  <c r="L86" i="5"/>
  <c r="AH86" i="5" s="1"/>
  <c r="S83" i="5"/>
  <c r="AL83" i="5" s="1"/>
  <c r="Z82" i="5"/>
  <c r="AP82" i="5" s="1"/>
  <c r="L82" i="5"/>
  <c r="AH82" i="5" s="1"/>
  <c r="S79" i="5"/>
  <c r="AL79" i="5" s="1"/>
  <c r="Z78" i="5"/>
  <c r="AP78" i="5" s="1"/>
  <c r="L78" i="5"/>
  <c r="AH78" i="5" s="1"/>
  <c r="S71" i="5"/>
  <c r="AL71" i="5" s="1"/>
  <c r="Z70" i="5"/>
  <c r="AP70" i="5" s="1"/>
  <c r="L70" i="5"/>
  <c r="AH70" i="5" s="1"/>
  <c r="S64" i="5"/>
  <c r="AL64" i="5" s="1"/>
  <c r="Z63" i="5"/>
  <c r="AP63" i="5" s="1"/>
  <c r="L63" i="5"/>
  <c r="AH63" i="5" s="1"/>
  <c r="S60" i="5"/>
  <c r="AL60" i="5" s="1"/>
  <c r="Z59" i="5"/>
  <c r="AP59" i="5" s="1"/>
  <c r="L59" i="5"/>
  <c r="AH59" i="5" s="1"/>
  <c r="S56" i="5"/>
  <c r="AL56" i="5" s="1"/>
  <c r="Z55" i="5"/>
  <c r="AP55" i="5" s="1"/>
  <c r="L55" i="5"/>
  <c r="AH55" i="5" s="1"/>
  <c r="S49" i="5"/>
  <c r="AL49" i="5" s="1"/>
  <c r="Z48" i="5"/>
  <c r="AP48" i="5" s="1"/>
  <c r="L48" i="5"/>
  <c r="AH48" i="5" s="1"/>
  <c r="S42" i="5"/>
  <c r="AL42" i="5" s="1"/>
  <c r="Z41" i="5"/>
  <c r="AP41" i="5" s="1"/>
  <c r="L41" i="5"/>
  <c r="AH41" i="5" s="1"/>
  <c r="S38" i="5"/>
  <c r="AL38" i="5" s="1"/>
  <c r="Z34" i="5"/>
  <c r="AP34" i="5" s="1"/>
  <c r="L34" i="5"/>
  <c r="AH34" i="5" s="1"/>
  <c r="S31" i="5"/>
  <c r="AL31" i="5" s="1"/>
  <c r="Z30" i="5"/>
  <c r="AP30" i="5" s="1"/>
  <c r="L30" i="5"/>
  <c r="AH30" i="5" s="1"/>
  <c r="S24" i="5"/>
  <c r="AL24" i="5" s="1"/>
  <c r="Z23" i="5"/>
  <c r="AP23" i="5" s="1"/>
  <c r="L23" i="5"/>
  <c r="AH23" i="5" s="1"/>
  <c r="S16" i="5"/>
  <c r="AL16" i="5" s="1"/>
  <c r="Z15" i="5"/>
  <c r="AP15" i="5" s="1"/>
  <c r="L15" i="5"/>
  <c r="AH15" i="5" s="1"/>
  <c r="AF406" i="2"/>
  <c r="S78" i="9" l="1"/>
  <c r="AL78" i="9" s="1"/>
  <c r="L79" i="9"/>
  <c r="AH79" i="9" s="1"/>
  <c r="Z79" i="9"/>
  <c r="AP79" i="9" s="1"/>
  <c r="S80" i="9"/>
  <c r="AL80" i="9" s="1"/>
  <c r="L81" i="9"/>
  <c r="AH81" i="9" s="1"/>
  <c r="Z81" i="9"/>
  <c r="AP81" i="9" s="1"/>
  <c r="S82" i="9"/>
  <c r="AL82" i="9" s="1"/>
  <c r="L83" i="9"/>
  <c r="AH83" i="9" s="1"/>
  <c r="Z83" i="9"/>
  <c r="AP83" i="9" s="1"/>
  <c r="Z130" i="9"/>
  <c r="AP130" i="9" s="1"/>
  <c r="L223" i="9"/>
  <c r="AH223" i="9" s="1"/>
  <c r="S224" i="9"/>
  <c r="AL224" i="9" s="1"/>
  <c r="Z225" i="9"/>
  <c r="AP225" i="9" s="1"/>
  <c r="S83" i="9"/>
  <c r="AL83" i="9" s="1"/>
  <c r="S85" i="9"/>
  <c r="AL85" i="9" s="1"/>
  <c r="S86" i="9"/>
  <c r="AL86" i="9" s="1"/>
  <c r="S87" i="9"/>
  <c r="AL87" i="9" s="1"/>
  <c r="S88" i="9"/>
  <c r="AL88" i="9" s="1"/>
  <c r="S92" i="9"/>
  <c r="AL92" i="9" s="1"/>
  <c r="S93" i="9"/>
  <c r="AL93" i="9" s="1"/>
  <c r="S94" i="9"/>
  <c r="AL94" i="9" s="1"/>
  <c r="S95" i="9"/>
  <c r="AL95" i="9" s="1"/>
  <c r="S96" i="9"/>
  <c r="AL96" i="9" s="1"/>
  <c r="S97" i="9"/>
  <c r="AL97" i="9" s="1"/>
  <c r="S98" i="9"/>
  <c r="AL98" i="9" s="1"/>
  <c r="S99" i="9"/>
  <c r="AL99" i="9" s="1"/>
  <c r="S104" i="9"/>
  <c r="AL104" i="9" s="1"/>
  <c r="S105" i="9"/>
  <c r="AL105" i="9" s="1"/>
  <c r="S106" i="9"/>
  <c r="AL106" i="9" s="1"/>
  <c r="S197" i="9"/>
  <c r="AL197" i="9" s="1"/>
  <c r="S188" i="9"/>
  <c r="AL188" i="9" s="1"/>
  <c r="S216" i="9"/>
  <c r="AL216" i="9" s="1"/>
  <c r="S244" i="9"/>
  <c r="AL244" i="9" s="1"/>
  <c r="S253" i="9"/>
  <c r="AL253" i="9" s="1"/>
  <c r="S273" i="9"/>
  <c r="AL273" i="9" s="1"/>
  <c r="S281" i="9"/>
  <c r="AL281" i="9" s="1"/>
  <c r="S292" i="9"/>
  <c r="AL292" i="9" s="1"/>
  <c r="S210" i="9"/>
  <c r="AL210" i="9" s="1"/>
  <c r="S269" i="9"/>
  <c r="AL269" i="9" s="1"/>
  <c r="S324" i="9"/>
  <c r="AL324" i="9" s="1"/>
  <c r="S358" i="9"/>
  <c r="AL358" i="9" s="1"/>
  <c r="S370" i="9"/>
  <c r="AL370" i="9" s="1"/>
  <c r="S431" i="9"/>
  <c r="AL431" i="9" s="1"/>
  <c r="S437" i="9"/>
  <c r="AL437" i="9" s="1"/>
  <c r="L78" i="9"/>
  <c r="AH78" i="9" s="1"/>
  <c r="Z78" i="9"/>
  <c r="AP78" i="9" s="1"/>
  <c r="S79" i="9"/>
  <c r="AL79" i="9" s="1"/>
  <c r="Z80" i="9"/>
  <c r="AP80" i="9" s="1"/>
  <c r="Z82" i="9"/>
  <c r="AP82" i="9" s="1"/>
  <c r="Z84" i="9"/>
  <c r="AP84" i="9" s="1"/>
  <c r="Z223" i="9"/>
  <c r="AP223" i="9" s="1"/>
  <c r="L225" i="9"/>
  <c r="AH225" i="9" s="1"/>
  <c r="S452" i="9"/>
  <c r="AL452" i="9" s="1"/>
  <c r="S449" i="9"/>
  <c r="AL449" i="9" s="1"/>
  <c r="S422" i="9"/>
  <c r="AL422" i="9" s="1"/>
  <c r="S414" i="9"/>
  <c r="AL414" i="9" s="1"/>
  <c r="S401" i="9"/>
  <c r="AL401" i="9" s="1"/>
  <c r="S391" i="9"/>
  <c r="AL391" i="9" s="1"/>
  <c r="S380" i="9"/>
  <c r="AL380" i="9" s="1"/>
  <c r="S374" i="9"/>
  <c r="AL374" i="9" s="1"/>
  <c r="S342" i="9"/>
  <c r="AL342" i="9" s="1"/>
  <c r="S314" i="9"/>
  <c r="AL314" i="9" s="1"/>
  <c r="S346" i="9"/>
  <c r="AL346" i="9" s="1"/>
  <c r="L432" i="9"/>
  <c r="AH432" i="9" s="1"/>
  <c r="L431" i="9"/>
  <c r="AH431" i="9" s="1"/>
  <c r="L430" i="9"/>
  <c r="AH430" i="9" s="1"/>
  <c r="L452" i="9"/>
  <c r="AH452" i="9" s="1"/>
  <c r="L451" i="9"/>
  <c r="AH451" i="9" s="1"/>
  <c r="L450" i="9"/>
  <c r="AH450" i="9" s="1"/>
  <c r="L449" i="9"/>
  <c r="AH449" i="9" s="1"/>
  <c r="L448" i="9"/>
  <c r="AH448" i="9" s="1"/>
  <c r="L447" i="9"/>
  <c r="AH447" i="9" s="1"/>
  <c r="L446" i="9"/>
  <c r="AH446" i="9" s="1"/>
  <c r="L445" i="9"/>
  <c r="AH445" i="9" s="1"/>
  <c r="L444" i="9"/>
  <c r="AH444" i="9" s="1"/>
  <c r="L443" i="9"/>
  <c r="AH443" i="9" s="1"/>
  <c r="L442" i="9"/>
  <c r="AH442" i="9" s="1"/>
  <c r="L436" i="9"/>
  <c r="AH436" i="9" s="1"/>
  <c r="L435" i="9"/>
  <c r="AH435" i="9" s="1"/>
  <c r="L411" i="9"/>
  <c r="AH411" i="9" s="1"/>
  <c r="L410" i="9"/>
  <c r="AH410" i="9" s="1"/>
  <c r="L409" i="9"/>
  <c r="AH409" i="9" s="1"/>
  <c r="L408" i="9"/>
  <c r="AH408" i="9" s="1"/>
  <c r="L407" i="9"/>
  <c r="AH407" i="9" s="1"/>
  <c r="L417" i="9"/>
  <c r="AH417" i="9" s="1"/>
  <c r="L416" i="9"/>
  <c r="AH416" i="9" s="1"/>
  <c r="L415" i="9"/>
  <c r="AH415" i="9" s="1"/>
  <c r="L414" i="9"/>
  <c r="AH414" i="9" s="1"/>
  <c r="L374" i="9"/>
  <c r="AH374" i="9" s="1"/>
  <c r="L373" i="9"/>
  <c r="AH373" i="9" s="1"/>
  <c r="L372" i="9"/>
  <c r="AH372" i="9" s="1"/>
  <c r="L371" i="9"/>
  <c r="AH371" i="9" s="1"/>
  <c r="L370" i="9"/>
  <c r="AH370" i="9" s="1"/>
  <c r="L362" i="9"/>
  <c r="AH362" i="9" s="1"/>
  <c r="L358" i="9"/>
  <c r="AH358" i="9" s="1"/>
  <c r="L357" i="9"/>
  <c r="AH357" i="9" s="1"/>
  <c r="L356" i="9"/>
  <c r="AH356" i="9" s="1"/>
  <c r="L355" i="9"/>
  <c r="AH355" i="9" s="1"/>
  <c r="L354" i="9"/>
  <c r="AH354" i="9" s="1"/>
  <c r="L402" i="9"/>
  <c r="AH402" i="9" s="1"/>
  <c r="L401" i="9"/>
  <c r="AH401" i="9" s="1"/>
  <c r="L400" i="9"/>
  <c r="AH400" i="9" s="1"/>
  <c r="L399" i="9"/>
  <c r="AH399" i="9" s="1"/>
  <c r="L326" i="9"/>
  <c r="AH326" i="9" s="1"/>
  <c r="L324" i="9"/>
  <c r="AH324" i="9" s="1"/>
  <c r="L323" i="9"/>
  <c r="AH323" i="9" s="1"/>
  <c r="L322" i="9"/>
  <c r="AH322" i="9" s="1"/>
  <c r="L310" i="9"/>
  <c r="AH310" i="9" s="1"/>
  <c r="L309" i="9"/>
  <c r="AH309" i="9" s="1"/>
  <c r="L308" i="9"/>
  <c r="AH308" i="9" s="1"/>
  <c r="L307" i="9"/>
  <c r="AH307" i="9" s="1"/>
  <c r="L306" i="9"/>
  <c r="AH306" i="9" s="1"/>
  <c r="L342" i="9"/>
  <c r="AH342" i="9" s="1"/>
  <c r="L341" i="9"/>
  <c r="AH341" i="9" s="1"/>
  <c r="L340" i="9"/>
  <c r="AH340" i="9" s="1"/>
  <c r="L339" i="9"/>
  <c r="AH339" i="9" s="1"/>
  <c r="L338" i="9"/>
  <c r="AH338" i="9" s="1"/>
  <c r="L318" i="9"/>
  <c r="AH318" i="9" s="1"/>
  <c r="L316" i="9"/>
  <c r="AH316" i="9" s="1"/>
  <c r="L314" i="9"/>
  <c r="AH314" i="9" s="1"/>
  <c r="L294" i="9"/>
  <c r="AH294" i="9" s="1"/>
  <c r="L293" i="9"/>
  <c r="AH293" i="9" s="1"/>
  <c r="L292" i="9"/>
  <c r="AH292" i="9" s="1"/>
  <c r="L291" i="9"/>
  <c r="AH291" i="9" s="1"/>
  <c r="L286" i="9"/>
  <c r="AH286" i="9" s="1"/>
  <c r="L285" i="9"/>
  <c r="AH285" i="9" s="1"/>
  <c r="L284" i="9"/>
  <c r="AH284" i="9" s="1"/>
  <c r="L283" i="9"/>
  <c r="AH283" i="9" s="1"/>
  <c r="L282" i="9"/>
  <c r="AH282" i="9" s="1"/>
  <c r="L281" i="9"/>
  <c r="AH281" i="9" s="1"/>
  <c r="L280" i="9"/>
  <c r="AH280" i="9" s="1"/>
  <c r="L279" i="9"/>
  <c r="AH279" i="9" s="1"/>
  <c r="L278" i="9"/>
  <c r="AH278" i="9" s="1"/>
  <c r="L277" i="9"/>
  <c r="AH277" i="9" s="1"/>
  <c r="L276" i="9"/>
  <c r="AH276" i="9" s="1"/>
  <c r="L275" i="9"/>
  <c r="AH275" i="9" s="1"/>
  <c r="L274" i="9"/>
  <c r="AH274" i="9" s="1"/>
  <c r="L273" i="9"/>
  <c r="AH273" i="9" s="1"/>
  <c r="S17" i="9"/>
  <c r="AL17" i="9" s="1"/>
  <c r="S195" i="9"/>
  <c r="AL195" i="9" s="1"/>
  <c r="S182" i="9"/>
  <c r="AL182" i="9" s="1"/>
  <c r="S186" i="9"/>
  <c r="AL186" i="9" s="1"/>
  <c r="S190" i="9"/>
  <c r="AL190" i="9" s="1"/>
  <c r="S205" i="9"/>
  <c r="AL205" i="9" s="1"/>
  <c r="S222" i="9"/>
  <c r="AL222" i="9" s="1"/>
  <c r="S226" i="9"/>
  <c r="AL226" i="9" s="1"/>
  <c r="S230" i="9"/>
  <c r="AL230" i="9" s="1"/>
  <c r="S255" i="9"/>
  <c r="AL255" i="9" s="1"/>
  <c r="S259" i="9"/>
  <c r="AL259" i="9" s="1"/>
  <c r="S275" i="9"/>
  <c r="AL275" i="9" s="1"/>
  <c r="S279" i="9"/>
  <c r="AL279" i="9" s="1"/>
  <c r="S283" i="9"/>
  <c r="AL283" i="9" s="1"/>
  <c r="S290" i="9"/>
  <c r="S294" i="9"/>
  <c r="AL294" i="9" s="1"/>
  <c r="S334" i="9"/>
  <c r="AL334" i="9" s="1"/>
  <c r="S235" i="9"/>
  <c r="AL235" i="9" s="1"/>
  <c r="S239" i="9"/>
  <c r="AL239" i="9" s="1"/>
  <c r="S248" i="9"/>
  <c r="AL248" i="9" s="1"/>
  <c r="S267" i="9"/>
  <c r="AL267" i="9" s="1"/>
  <c r="S307" i="9"/>
  <c r="AL307" i="9" s="1"/>
  <c r="S323" i="9"/>
  <c r="AL323" i="9" s="1"/>
  <c r="S333" i="9"/>
  <c r="AL333" i="9" s="1"/>
  <c r="S348" i="9"/>
  <c r="AL348" i="9" s="1"/>
  <c r="S354" i="9"/>
  <c r="AL354" i="9" s="1"/>
  <c r="S316" i="9"/>
  <c r="AL316" i="9" s="1"/>
  <c r="S340" i="9"/>
  <c r="AL340" i="9" s="1"/>
  <c r="S356" i="9"/>
  <c r="AL356" i="9" s="1"/>
  <c r="S372" i="9"/>
  <c r="AL372" i="9" s="1"/>
  <c r="S364" i="9"/>
  <c r="AL364" i="9" s="1"/>
  <c r="S378" i="9"/>
  <c r="AL378" i="9" s="1"/>
  <c r="S382" i="9"/>
  <c r="AL382" i="9" s="1"/>
  <c r="S389" i="9"/>
  <c r="AL389" i="9" s="1"/>
  <c r="S393" i="9"/>
  <c r="AL393" i="9" s="1"/>
  <c r="S399" i="9"/>
  <c r="AL399" i="9" s="1"/>
  <c r="S407" i="9"/>
  <c r="AL407" i="9" s="1"/>
  <c r="S411" i="9"/>
  <c r="AL411" i="9" s="1"/>
  <c r="S417" i="9"/>
  <c r="AL417" i="9" s="1"/>
  <c r="S403" i="9"/>
  <c r="AL403" i="9" s="1"/>
  <c r="S416" i="9"/>
  <c r="AL416" i="9" s="1"/>
  <c r="S420" i="9"/>
  <c r="AL420" i="9" s="1"/>
  <c r="S424" i="9"/>
  <c r="AL424" i="9" s="1"/>
  <c r="S439" i="9"/>
  <c r="AL439" i="9" s="1"/>
  <c r="S443" i="9"/>
  <c r="AL443" i="9" s="1"/>
  <c r="S447" i="9"/>
  <c r="AL447" i="9" s="1"/>
  <c r="S451" i="9"/>
  <c r="AL451" i="9" s="1"/>
  <c r="S23" i="9"/>
  <c r="AL23" i="9" s="1"/>
  <c r="S24" i="9"/>
  <c r="AL24" i="9" s="1"/>
  <c r="S25" i="9"/>
  <c r="AL25" i="9" s="1"/>
  <c r="S26" i="9"/>
  <c r="AL26" i="9" s="1"/>
  <c r="S30" i="9"/>
  <c r="AL30" i="9" s="1"/>
  <c r="S31" i="9"/>
  <c r="AL31" i="9" s="1"/>
  <c r="S32" i="9"/>
  <c r="AL32" i="9" s="1"/>
  <c r="S33" i="9"/>
  <c r="AL33" i="9" s="1"/>
  <c r="S34" i="9"/>
  <c r="AL34" i="9" s="1"/>
  <c r="S48" i="9"/>
  <c r="AL48" i="9" s="1"/>
  <c r="S49" i="9"/>
  <c r="AL49" i="9" s="1"/>
  <c r="S50" i="9"/>
  <c r="AL50" i="9" s="1"/>
  <c r="S54" i="9"/>
  <c r="AL54" i="9" s="1"/>
  <c r="S55" i="9"/>
  <c r="AL55" i="9" s="1"/>
  <c r="S56" i="9"/>
  <c r="AL56" i="9" s="1"/>
  <c r="S57" i="9"/>
  <c r="AL57" i="9" s="1"/>
  <c r="S58" i="9"/>
  <c r="AL58" i="9" s="1"/>
  <c r="S59" i="9"/>
  <c r="AL59" i="9" s="1"/>
  <c r="S60" i="9"/>
  <c r="AL60" i="9" s="1"/>
  <c r="S61" i="9"/>
  <c r="AL61" i="9" s="1"/>
  <c r="S62" i="9"/>
  <c r="AL62" i="9" s="1"/>
  <c r="S63" i="9"/>
  <c r="AL63" i="9" s="1"/>
  <c r="S64" i="9"/>
  <c r="AL64" i="9" s="1"/>
  <c r="S68" i="9"/>
  <c r="AL68" i="9" s="1"/>
  <c r="S69" i="9"/>
  <c r="AL69" i="9" s="1"/>
  <c r="S70" i="9"/>
  <c r="AL70" i="9" s="1"/>
  <c r="S71" i="9"/>
  <c r="AL71" i="9" s="1"/>
  <c r="S72" i="9"/>
  <c r="AL72" i="9" s="1"/>
  <c r="S73" i="9"/>
  <c r="AL73" i="9" s="1"/>
  <c r="S112" i="9"/>
  <c r="AL112" i="9" s="1"/>
  <c r="S113" i="9"/>
  <c r="AL113" i="9" s="1"/>
  <c r="S114" i="9"/>
  <c r="AL114" i="9" s="1"/>
  <c r="S122" i="9"/>
  <c r="AL122" i="9" s="1"/>
  <c r="S123" i="9"/>
  <c r="AL123" i="9" s="1"/>
  <c r="S15" i="9"/>
  <c r="AL15" i="9" s="1"/>
  <c r="S38" i="9"/>
  <c r="AL38" i="9" s="1"/>
  <c r="S39" i="9"/>
  <c r="AL39" i="9" s="1"/>
  <c r="S40" i="9"/>
  <c r="AL40" i="9" s="1"/>
  <c r="S41" i="9"/>
  <c r="AL41" i="9" s="1"/>
  <c r="S42" i="9"/>
  <c r="AL42" i="9" s="1"/>
  <c r="S43" i="9"/>
  <c r="AL43" i="9" s="1"/>
  <c r="S124" i="9"/>
  <c r="AL124" i="9" s="1"/>
  <c r="S130" i="9"/>
  <c r="AL130" i="9" s="1"/>
  <c r="S131" i="9"/>
  <c r="AL131" i="9" s="1"/>
  <c r="S132" i="9"/>
  <c r="AL132" i="9" s="1"/>
  <c r="S133" i="9"/>
  <c r="AL133" i="9" s="1"/>
  <c r="S134" i="9"/>
  <c r="AL134" i="9" s="1"/>
  <c r="S135" i="9"/>
  <c r="AL135" i="9" s="1"/>
  <c r="S136" i="9"/>
  <c r="AL136" i="9" s="1"/>
  <c r="S137" i="9"/>
  <c r="AL137" i="9" s="1"/>
  <c r="S138" i="9"/>
  <c r="AL138" i="9" s="1"/>
  <c r="S139" i="9"/>
  <c r="AL139" i="9" s="1"/>
  <c r="S140" i="9"/>
  <c r="AL140" i="9" s="1"/>
  <c r="S145" i="9"/>
  <c r="AL145" i="9" s="1"/>
  <c r="S146" i="9"/>
  <c r="AL146" i="9" s="1"/>
  <c r="S147" i="9"/>
  <c r="AL147" i="9" s="1"/>
  <c r="S175" i="9"/>
  <c r="AL175" i="9" s="1"/>
  <c r="S176" i="9"/>
  <c r="AL176" i="9" s="1"/>
  <c r="S177" i="9"/>
  <c r="AL177" i="9" s="1"/>
  <c r="S178" i="9"/>
  <c r="AL178" i="9" s="1"/>
  <c r="S196" i="9"/>
  <c r="AL196" i="9" s="1"/>
  <c r="S198" i="9"/>
  <c r="AL198" i="9" s="1"/>
  <c r="S153" i="9"/>
  <c r="AL153" i="9" s="1"/>
  <c r="S154" i="9"/>
  <c r="AL154" i="9" s="1"/>
  <c r="S155" i="9"/>
  <c r="AL155" i="9" s="1"/>
  <c r="S156" i="9"/>
  <c r="AL156" i="9" s="1"/>
  <c r="S157" i="9"/>
  <c r="AL157" i="9" s="1"/>
  <c r="S158" i="9"/>
  <c r="AL158" i="9" s="1"/>
  <c r="S159" i="9"/>
  <c r="AL159" i="9" s="1"/>
  <c r="S160" i="9"/>
  <c r="AL160" i="9" s="1"/>
  <c r="S161" i="9"/>
  <c r="AL161" i="9" s="1"/>
  <c r="S162" i="9"/>
  <c r="AL162" i="9" s="1"/>
  <c r="S163" i="9"/>
  <c r="AL163" i="9" s="1"/>
  <c r="S164" i="9"/>
  <c r="AL164" i="9" s="1"/>
  <c r="S168" i="9"/>
  <c r="AL168" i="9" s="1"/>
  <c r="S169" i="9"/>
  <c r="AL169" i="9" s="1"/>
  <c r="S170" i="9"/>
  <c r="AL170" i="9" s="1"/>
  <c r="S171" i="9"/>
  <c r="AL171" i="9" s="1"/>
  <c r="S183" i="9"/>
  <c r="AL183" i="9" s="1"/>
  <c r="S185" i="9"/>
  <c r="AL185" i="9" s="1"/>
  <c r="S187" i="9"/>
  <c r="AL187" i="9" s="1"/>
  <c r="S189" i="9"/>
  <c r="AL189" i="9" s="1"/>
  <c r="S202" i="9"/>
  <c r="AL202" i="9" s="1"/>
  <c r="S204" i="9"/>
  <c r="AL204" i="9" s="1"/>
  <c r="S215" i="9"/>
  <c r="AL215" i="9" s="1"/>
  <c r="S217" i="9"/>
  <c r="AL217" i="9" s="1"/>
  <c r="S223" i="9"/>
  <c r="AL223" i="9" s="1"/>
  <c r="S225" i="9"/>
  <c r="AL225" i="9" s="1"/>
  <c r="S227" i="9"/>
  <c r="AL227" i="9" s="1"/>
  <c r="S229" i="9"/>
  <c r="AL229" i="9" s="1"/>
  <c r="S231" i="9"/>
  <c r="AL231" i="9" s="1"/>
  <c r="S246" i="9"/>
  <c r="AL246" i="9" s="1"/>
  <c r="S252" i="9"/>
  <c r="AL252" i="9" s="1"/>
  <c r="S254" i="9"/>
  <c r="AL254" i="9" s="1"/>
  <c r="S256" i="9"/>
  <c r="AL256" i="9" s="1"/>
  <c r="S258" i="9"/>
  <c r="AL258" i="9" s="1"/>
  <c r="S260" i="9"/>
  <c r="AL260" i="9" s="1"/>
  <c r="S274" i="9"/>
  <c r="AL274" i="9" s="1"/>
  <c r="S276" i="9"/>
  <c r="AL276" i="9" s="1"/>
  <c r="S278" i="9"/>
  <c r="AL278" i="9" s="1"/>
  <c r="S280" i="9"/>
  <c r="AL280" i="9" s="1"/>
  <c r="S282" i="9"/>
  <c r="AL282" i="9" s="1"/>
  <c r="S284" i="9"/>
  <c r="AL284" i="9" s="1"/>
  <c r="S286" i="9"/>
  <c r="AL286" i="9" s="1"/>
  <c r="S291" i="9"/>
  <c r="AL291" i="9" s="1"/>
  <c r="S293" i="9"/>
  <c r="AL293" i="9" s="1"/>
  <c r="S306" i="9"/>
  <c r="AL306" i="9" s="1"/>
  <c r="S310" i="9"/>
  <c r="AL310" i="9" s="1"/>
  <c r="S322" i="9"/>
  <c r="AL322" i="9" s="1"/>
  <c r="S332" i="9"/>
  <c r="AL332" i="9" s="1"/>
  <c r="S209" i="9"/>
  <c r="AL209" i="9" s="1"/>
  <c r="S211" i="9"/>
  <c r="AL211" i="9" s="1"/>
  <c r="S236" i="9"/>
  <c r="AL236" i="9" s="1"/>
  <c r="S238" i="9"/>
  <c r="AL238" i="9" s="1"/>
  <c r="S240" i="9"/>
  <c r="AL240" i="9" s="1"/>
  <c r="S247" i="9"/>
  <c r="AL247" i="9" s="1"/>
  <c r="S264" i="9"/>
  <c r="AL264" i="9" s="1"/>
  <c r="S266" i="9"/>
  <c r="AL266" i="9" s="1"/>
  <c r="S268" i="9"/>
  <c r="AL268" i="9" s="1"/>
  <c r="S305" i="9"/>
  <c r="S309" i="9"/>
  <c r="AL309" i="9" s="1"/>
  <c r="S321" i="9"/>
  <c r="S326" i="9"/>
  <c r="AL326" i="9" s="1"/>
  <c r="S331" i="9"/>
  <c r="AL331" i="9" s="1"/>
  <c r="S345" i="9"/>
  <c r="S347" i="9"/>
  <c r="AL347" i="9" s="1"/>
  <c r="S349" i="9"/>
  <c r="AL349" i="9" s="1"/>
  <c r="S353" i="9"/>
  <c r="S313" i="9"/>
  <c r="AL313" i="9" s="1"/>
  <c r="S315" i="9"/>
  <c r="AL315" i="9" s="1"/>
  <c r="S317" i="9"/>
  <c r="AL317" i="9" s="1"/>
  <c r="S325" i="9"/>
  <c r="AL325" i="9" s="1"/>
  <c r="S337" i="9"/>
  <c r="AL337" i="9" s="1"/>
  <c r="S339" i="9"/>
  <c r="AL339" i="9" s="1"/>
  <c r="S341" i="9"/>
  <c r="AL341" i="9" s="1"/>
  <c r="S355" i="9"/>
  <c r="AL355" i="9" s="1"/>
  <c r="S357" i="9"/>
  <c r="AL357" i="9" s="1"/>
  <c r="S362" i="9"/>
  <c r="AL362" i="9" s="1"/>
  <c r="S369" i="9"/>
  <c r="AL369" i="9" s="1"/>
  <c r="S371" i="9"/>
  <c r="AL371" i="9" s="1"/>
  <c r="S373" i="9"/>
  <c r="AL373" i="9" s="1"/>
  <c r="S397" i="9"/>
  <c r="AL397" i="9" s="1"/>
  <c r="S361" i="9"/>
  <c r="AL361" i="9" s="1"/>
  <c r="S363" i="9"/>
  <c r="AL363" i="9" s="1"/>
  <c r="S365" i="9"/>
  <c r="AL365" i="9" s="1"/>
  <c r="S377" i="9"/>
  <c r="S379" i="9"/>
  <c r="AL379" i="9" s="1"/>
  <c r="S381" i="9"/>
  <c r="AL381" i="9" s="1"/>
  <c r="S386" i="9"/>
  <c r="AL386" i="9" s="1"/>
  <c r="S388" i="9"/>
  <c r="AL388" i="9" s="1"/>
  <c r="S390" i="9"/>
  <c r="AL390" i="9" s="1"/>
  <c r="S392" i="9"/>
  <c r="AL392" i="9" s="1"/>
  <c r="S394" i="9"/>
  <c r="AL394" i="9" s="1"/>
  <c r="S398" i="9"/>
  <c r="AL398" i="9" s="1"/>
  <c r="S400" i="9"/>
  <c r="AL400" i="9" s="1"/>
  <c r="S402" i="9"/>
  <c r="AL402" i="9" s="1"/>
  <c r="S408" i="9"/>
  <c r="AL408" i="9" s="1"/>
  <c r="S410" i="9"/>
  <c r="AL410" i="9" s="1"/>
  <c r="S428" i="9"/>
  <c r="AL433" i="9" s="1"/>
  <c r="S430" i="9"/>
  <c r="AL430" i="9" s="1"/>
  <c r="S404" i="9"/>
  <c r="AL404" i="9" s="1"/>
  <c r="S415" i="9"/>
  <c r="AL415" i="9" s="1"/>
  <c r="S421" i="9"/>
  <c r="AL421" i="9" s="1"/>
  <c r="S423" i="9"/>
  <c r="AL423" i="9" s="1"/>
  <c r="S425" i="9"/>
  <c r="AL425" i="9" s="1"/>
  <c r="S432" i="9"/>
  <c r="AL432" i="9" s="1"/>
  <c r="S436" i="9"/>
  <c r="AL436" i="9" s="1"/>
  <c r="S438" i="9"/>
  <c r="AL438" i="9" s="1"/>
  <c r="S435" i="9"/>
  <c r="AL435" i="9" s="1"/>
  <c r="S442" i="9"/>
  <c r="AL442" i="9" s="1"/>
  <c r="S444" i="9"/>
  <c r="AL444" i="9" s="1"/>
  <c r="S446" i="9"/>
  <c r="AL446" i="9" s="1"/>
  <c r="S448" i="9"/>
  <c r="AL448" i="9" s="1"/>
  <c r="S450" i="9"/>
  <c r="AL450" i="9" s="1"/>
  <c r="Q17" i="8"/>
  <c r="AK17" i="8" s="1"/>
  <c r="Q172" i="9"/>
  <c r="AK172" i="9" s="1"/>
  <c r="Q148" i="9"/>
  <c r="AK148" i="9" s="1"/>
  <c r="Q125" i="9"/>
  <c r="AK125" i="9" s="1"/>
  <c r="Q107" i="9"/>
  <c r="AK107" i="9" s="1"/>
  <c r="Q44" i="9"/>
  <c r="AK44" i="9" s="1"/>
  <c r="Q19" i="9"/>
  <c r="AK19" i="9" s="1"/>
  <c r="Q5" i="9"/>
  <c r="Q115" i="9"/>
  <c r="AK115" i="9" s="1"/>
  <c r="Q74" i="9"/>
  <c r="AK74" i="9" s="1"/>
  <c r="Q51" i="9"/>
  <c r="AK51" i="9" s="1"/>
  <c r="Q35" i="9"/>
  <c r="AK35" i="9" s="1"/>
  <c r="Q27" i="9"/>
  <c r="Q295" i="9"/>
  <c r="AK295" i="9" s="1"/>
  <c r="Q206" i="9"/>
  <c r="AK206" i="9" s="1"/>
  <c r="Q191" i="9"/>
  <c r="AK191" i="9" s="1"/>
  <c r="Q232" i="9"/>
  <c r="AK232" i="9" s="1"/>
  <c r="Q179" i="9"/>
  <c r="AK179" i="9" s="1"/>
  <c r="Q270" i="9"/>
  <c r="AK270" i="9" s="1"/>
  <c r="Q261" i="9"/>
  <c r="AK261" i="9" s="1"/>
  <c r="Q249" i="9"/>
  <c r="AK249" i="9" s="1"/>
  <c r="Q218" i="9"/>
  <c r="AK218" i="9" s="1"/>
  <c r="Q199" i="9"/>
  <c r="AK199" i="9" s="1"/>
  <c r="Q241" i="9"/>
  <c r="AK241" i="9" s="1"/>
  <c r="Q212" i="9"/>
  <c r="AK212" i="9" s="1"/>
  <c r="Z148" i="9"/>
  <c r="AP148" i="9" s="1"/>
  <c r="Z125" i="9"/>
  <c r="AP125" i="9" s="1"/>
  <c r="Z107" i="9"/>
  <c r="AP107" i="9" s="1"/>
  <c r="Z74" i="9"/>
  <c r="AP74" i="9" s="1"/>
  <c r="Z19" i="9"/>
  <c r="AP19" i="9" s="1"/>
  <c r="Z35" i="9"/>
  <c r="AP35" i="9" s="1"/>
  <c r="Z44" i="9"/>
  <c r="AP44" i="9" s="1"/>
  <c r="Z172" i="9"/>
  <c r="AP172" i="9" s="1"/>
  <c r="Z115" i="9"/>
  <c r="AP115" i="9" s="1"/>
  <c r="Z27" i="9"/>
  <c r="Z51" i="9"/>
  <c r="AP51" i="9" s="1"/>
  <c r="Z270" i="9"/>
  <c r="AP270" i="9" s="1"/>
  <c r="Z249" i="9"/>
  <c r="AP249" i="9" s="1"/>
  <c r="Z212" i="9"/>
  <c r="AP212" i="9" s="1"/>
  <c r="Z179" i="9"/>
  <c r="AP179" i="9" s="1"/>
  <c r="Z218" i="9"/>
  <c r="AP218" i="9" s="1"/>
  <c r="Z206" i="9"/>
  <c r="AP206" i="9" s="1"/>
  <c r="Z191" i="9"/>
  <c r="AP191" i="9" s="1"/>
  <c r="Z261" i="9"/>
  <c r="AP261" i="9" s="1"/>
  <c r="Z295" i="9"/>
  <c r="AP295" i="9" s="1"/>
  <c r="Z241" i="9"/>
  <c r="AP241" i="9" s="1"/>
  <c r="Z232" i="9"/>
  <c r="AP232" i="9" s="1"/>
  <c r="Z199" i="9"/>
  <c r="AP199" i="9" s="1"/>
  <c r="U15" i="9"/>
  <c r="X15" i="9"/>
  <c r="AO15" i="9" s="1"/>
  <c r="Q16" i="9"/>
  <c r="AK16" i="9" s="1"/>
  <c r="N16" i="9"/>
  <c r="O16" i="9" s="1"/>
  <c r="AM16" i="9" s="1"/>
  <c r="G17" i="9"/>
  <c r="J17" i="9"/>
  <c r="AG17" i="9" s="1"/>
  <c r="G18" i="9"/>
  <c r="J18" i="9"/>
  <c r="AG18" i="9" s="1"/>
  <c r="U18" i="9"/>
  <c r="X18" i="9"/>
  <c r="AO18" i="9" s="1"/>
  <c r="G23" i="9"/>
  <c r="J23" i="9"/>
  <c r="AG23" i="9" s="1"/>
  <c r="Q23" i="9"/>
  <c r="AK23" i="9" s="1"/>
  <c r="N23" i="9"/>
  <c r="O23" i="9" s="1"/>
  <c r="AM23" i="9" s="1"/>
  <c r="G24" i="9"/>
  <c r="J24" i="9"/>
  <c r="AG24" i="9" s="1"/>
  <c r="Q24" i="9"/>
  <c r="AK24" i="9" s="1"/>
  <c r="N24" i="9"/>
  <c r="O24" i="9" s="1"/>
  <c r="AM24" i="9" s="1"/>
  <c r="G25" i="9"/>
  <c r="J25" i="9"/>
  <c r="AG25" i="9" s="1"/>
  <c r="Q25" i="9"/>
  <c r="AK25" i="9" s="1"/>
  <c r="N25" i="9"/>
  <c r="O25" i="9" s="1"/>
  <c r="AM25" i="9" s="1"/>
  <c r="G26" i="9"/>
  <c r="J26" i="9"/>
  <c r="AG26" i="9" s="1"/>
  <c r="Q26" i="9"/>
  <c r="AK26" i="9" s="1"/>
  <c r="N26" i="9"/>
  <c r="O26" i="9" s="1"/>
  <c r="AM26" i="9" s="1"/>
  <c r="G30" i="9"/>
  <c r="J30" i="9"/>
  <c r="AG30" i="9" s="1"/>
  <c r="Q30" i="9"/>
  <c r="AK30" i="9" s="1"/>
  <c r="N30" i="9"/>
  <c r="O30" i="9" s="1"/>
  <c r="AM30" i="9" s="1"/>
  <c r="G31" i="9"/>
  <c r="J31" i="9"/>
  <c r="AG31" i="9" s="1"/>
  <c r="Q31" i="9"/>
  <c r="AK31" i="9" s="1"/>
  <c r="N31" i="9"/>
  <c r="O31" i="9" s="1"/>
  <c r="AM31" i="9" s="1"/>
  <c r="G32" i="9"/>
  <c r="J32" i="9"/>
  <c r="AG32" i="9" s="1"/>
  <c r="Q32" i="9"/>
  <c r="AK32" i="9" s="1"/>
  <c r="N32" i="9"/>
  <c r="O32" i="9" s="1"/>
  <c r="AM32" i="9" s="1"/>
  <c r="G33" i="9"/>
  <c r="J33" i="9"/>
  <c r="AG33" i="9" s="1"/>
  <c r="Q33" i="9"/>
  <c r="AK33" i="9" s="1"/>
  <c r="N33" i="9"/>
  <c r="O33" i="9" s="1"/>
  <c r="AM33" i="9" s="1"/>
  <c r="G34" i="9"/>
  <c r="J34" i="9"/>
  <c r="AG34" i="9" s="1"/>
  <c r="Q34" i="9"/>
  <c r="AK34" i="9" s="1"/>
  <c r="N34" i="9"/>
  <c r="O34" i="9" s="1"/>
  <c r="AM34" i="9" s="1"/>
  <c r="U38" i="9"/>
  <c r="X38" i="9"/>
  <c r="AO38" i="9" s="1"/>
  <c r="U39" i="9"/>
  <c r="X39" i="9"/>
  <c r="AO39" i="9" s="1"/>
  <c r="U40" i="9"/>
  <c r="X40" i="9"/>
  <c r="AO40" i="9" s="1"/>
  <c r="U41" i="9"/>
  <c r="X41" i="9"/>
  <c r="AO41" i="9" s="1"/>
  <c r="U42" i="9"/>
  <c r="X42" i="9"/>
  <c r="AO42" i="9" s="1"/>
  <c r="U43" i="9"/>
  <c r="X43" i="9"/>
  <c r="AO43" i="9" s="1"/>
  <c r="AG52" i="9"/>
  <c r="G47" i="9"/>
  <c r="J47" i="9"/>
  <c r="AG47" i="9" s="1"/>
  <c r="Q47" i="9"/>
  <c r="AK47" i="9" s="1"/>
  <c r="AK52" i="9"/>
  <c r="N47" i="9"/>
  <c r="AL52" i="9"/>
  <c r="S47" i="9"/>
  <c r="AL47" i="9" s="1"/>
  <c r="AP52" i="9"/>
  <c r="Z47" i="9"/>
  <c r="AP47" i="9" s="1"/>
  <c r="G48" i="9"/>
  <c r="J48" i="9"/>
  <c r="AG48" i="9" s="1"/>
  <c r="Q48" i="9"/>
  <c r="AK48" i="9" s="1"/>
  <c r="N48" i="9"/>
  <c r="O48" i="9" s="1"/>
  <c r="AM48" i="9" s="1"/>
  <c r="G49" i="9"/>
  <c r="J49" i="9"/>
  <c r="AG49" i="9" s="1"/>
  <c r="Q49" i="9"/>
  <c r="AK49" i="9" s="1"/>
  <c r="N49" i="9"/>
  <c r="O49" i="9" s="1"/>
  <c r="AM49" i="9" s="1"/>
  <c r="G50" i="9"/>
  <c r="J50" i="9"/>
  <c r="AG50" i="9" s="1"/>
  <c r="Q50" i="9"/>
  <c r="AK50" i="9" s="1"/>
  <c r="N50" i="9"/>
  <c r="O50" i="9" s="1"/>
  <c r="AM50" i="9" s="1"/>
  <c r="G54" i="9"/>
  <c r="J54" i="9"/>
  <c r="AG54" i="9" s="1"/>
  <c r="Q54" i="9"/>
  <c r="AK54" i="9" s="1"/>
  <c r="N54" i="9"/>
  <c r="O54" i="9" s="1"/>
  <c r="AM54" i="9" s="1"/>
  <c r="G55" i="9"/>
  <c r="J55" i="9"/>
  <c r="AG55" i="9" s="1"/>
  <c r="Q55" i="9"/>
  <c r="AK55" i="9" s="1"/>
  <c r="N55" i="9"/>
  <c r="O55" i="9" s="1"/>
  <c r="AM55" i="9" s="1"/>
  <c r="G56" i="9"/>
  <c r="J56" i="9"/>
  <c r="AG56" i="9" s="1"/>
  <c r="Q56" i="9"/>
  <c r="AK56" i="9" s="1"/>
  <c r="N56" i="9"/>
  <c r="O56" i="9" s="1"/>
  <c r="AM56" i="9" s="1"/>
  <c r="G57" i="9"/>
  <c r="J57" i="9"/>
  <c r="AG57" i="9" s="1"/>
  <c r="Q57" i="9"/>
  <c r="AK57" i="9" s="1"/>
  <c r="N57" i="9"/>
  <c r="O57" i="9" s="1"/>
  <c r="AM57" i="9" s="1"/>
  <c r="G58" i="9"/>
  <c r="J58" i="9"/>
  <c r="AG58" i="9" s="1"/>
  <c r="Q58" i="9"/>
  <c r="AK58" i="9" s="1"/>
  <c r="N58" i="9"/>
  <c r="O58" i="9" s="1"/>
  <c r="AM58" i="9" s="1"/>
  <c r="G59" i="9"/>
  <c r="J59" i="9"/>
  <c r="AG59" i="9" s="1"/>
  <c r="Q59" i="9"/>
  <c r="AK59" i="9" s="1"/>
  <c r="N59" i="9"/>
  <c r="O59" i="9" s="1"/>
  <c r="AM59" i="9" s="1"/>
  <c r="G60" i="9"/>
  <c r="J60" i="9"/>
  <c r="AG60" i="9" s="1"/>
  <c r="Q60" i="9"/>
  <c r="AK60" i="9" s="1"/>
  <c r="N60" i="9"/>
  <c r="O60" i="9" s="1"/>
  <c r="AM60" i="9" s="1"/>
  <c r="G61" i="9"/>
  <c r="J61" i="9"/>
  <c r="AG61" i="9" s="1"/>
  <c r="Q61" i="9"/>
  <c r="AK61" i="9" s="1"/>
  <c r="N61" i="9"/>
  <c r="O61" i="9" s="1"/>
  <c r="AM61" i="9" s="1"/>
  <c r="G62" i="9"/>
  <c r="J62" i="9"/>
  <c r="AG62" i="9" s="1"/>
  <c r="Q62" i="9"/>
  <c r="AK62" i="9" s="1"/>
  <c r="N62" i="9"/>
  <c r="O62" i="9" s="1"/>
  <c r="AM62" i="9" s="1"/>
  <c r="G63" i="9"/>
  <c r="J63" i="9"/>
  <c r="AG63" i="9" s="1"/>
  <c r="Q63" i="9"/>
  <c r="AK63" i="9" s="1"/>
  <c r="N63" i="9"/>
  <c r="O63" i="9" s="1"/>
  <c r="AM63" i="9" s="1"/>
  <c r="G64" i="9"/>
  <c r="J64" i="9"/>
  <c r="AG64" i="9" s="1"/>
  <c r="Q64" i="9"/>
  <c r="AK64" i="9" s="1"/>
  <c r="N64" i="9"/>
  <c r="O64" i="9" s="1"/>
  <c r="AM64" i="9" s="1"/>
  <c r="G68" i="9"/>
  <c r="J68" i="9"/>
  <c r="AG68" i="9" s="1"/>
  <c r="Q68" i="9"/>
  <c r="AK68" i="9" s="1"/>
  <c r="N68" i="9"/>
  <c r="O68" i="9" s="1"/>
  <c r="AM68" i="9" s="1"/>
  <c r="G69" i="9"/>
  <c r="J69" i="9"/>
  <c r="AG69" i="9" s="1"/>
  <c r="Q69" i="9"/>
  <c r="AK69" i="9" s="1"/>
  <c r="N69" i="9"/>
  <c r="O69" i="9" s="1"/>
  <c r="AM69" i="9" s="1"/>
  <c r="G70" i="9"/>
  <c r="J70" i="9"/>
  <c r="AG70" i="9" s="1"/>
  <c r="Q70" i="9"/>
  <c r="AK70" i="9" s="1"/>
  <c r="N70" i="9"/>
  <c r="O70" i="9" s="1"/>
  <c r="AM70" i="9" s="1"/>
  <c r="G71" i="9"/>
  <c r="J71" i="9"/>
  <c r="AG71" i="9" s="1"/>
  <c r="Q71" i="9"/>
  <c r="AK71" i="9" s="1"/>
  <c r="N71" i="9"/>
  <c r="O71" i="9" s="1"/>
  <c r="AM71" i="9" s="1"/>
  <c r="G72" i="9"/>
  <c r="J72" i="9"/>
  <c r="AG72" i="9" s="1"/>
  <c r="Q72" i="9"/>
  <c r="AK72" i="9" s="1"/>
  <c r="N72" i="9"/>
  <c r="O72" i="9" s="1"/>
  <c r="AM72" i="9" s="1"/>
  <c r="G73" i="9"/>
  <c r="J73" i="9"/>
  <c r="AG73" i="9" s="1"/>
  <c r="Q73" i="9"/>
  <c r="AK73" i="9" s="1"/>
  <c r="N73" i="9"/>
  <c r="O73" i="9" s="1"/>
  <c r="AM73" i="9" s="1"/>
  <c r="U78" i="9"/>
  <c r="X78" i="9"/>
  <c r="AO78" i="9" s="1"/>
  <c r="U79" i="9"/>
  <c r="X79" i="9"/>
  <c r="AO79" i="9" s="1"/>
  <c r="U80" i="9"/>
  <c r="X80" i="9"/>
  <c r="AO80" i="9" s="1"/>
  <c r="U81" i="9"/>
  <c r="X81" i="9"/>
  <c r="AO81" i="9" s="1"/>
  <c r="U82" i="9"/>
  <c r="X82" i="9"/>
  <c r="AO82" i="9" s="1"/>
  <c r="U83" i="9"/>
  <c r="X83" i="9"/>
  <c r="AO83" i="9" s="1"/>
  <c r="U84" i="9"/>
  <c r="X84" i="9"/>
  <c r="AO84" i="9" s="1"/>
  <c r="U85" i="9"/>
  <c r="X85" i="9"/>
  <c r="AO85" i="9" s="1"/>
  <c r="U86" i="9"/>
  <c r="X86" i="9"/>
  <c r="AO86" i="9" s="1"/>
  <c r="U87" i="9"/>
  <c r="X87" i="9"/>
  <c r="AO87" i="9" s="1"/>
  <c r="U88" i="9"/>
  <c r="X88" i="9"/>
  <c r="AO88" i="9" s="1"/>
  <c r="U92" i="9"/>
  <c r="X92" i="9"/>
  <c r="AO92" i="9" s="1"/>
  <c r="U93" i="9"/>
  <c r="X93" i="9"/>
  <c r="AO93" i="9" s="1"/>
  <c r="U94" i="9"/>
  <c r="X94" i="9"/>
  <c r="AO94" i="9" s="1"/>
  <c r="U95" i="9"/>
  <c r="X95" i="9"/>
  <c r="AO95" i="9" s="1"/>
  <c r="U96" i="9"/>
  <c r="X96" i="9"/>
  <c r="AO96" i="9" s="1"/>
  <c r="U97" i="9"/>
  <c r="X97" i="9"/>
  <c r="AO97" i="9" s="1"/>
  <c r="U98" i="9"/>
  <c r="X98" i="9"/>
  <c r="AO98" i="9" s="1"/>
  <c r="U99" i="9"/>
  <c r="X99" i="9"/>
  <c r="AO99" i="9" s="1"/>
  <c r="AH108" i="9"/>
  <c r="L103" i="9"/>
  <c r="AH103" i="9" s="1"/>
  <c r="U103" i="9"/>
  <c r="AO108" i="9"/>
  <c r="X103" i="9"/>
  <c r="AO103" i="9" s="1"/>
  <c r="U104" i="9"/>
  <c r="X104" i="9"/>
  <c r="AO104" i="9" s="1"/>
  <c r="U105" i="9"/>
  <c r="X105" i="9"/>
  <c r="AO105" i="9" s="1"/>
  <c r="U106" i="9"/>
  <c r="X106" i="9"/>
  <c r="AO106" i="9" s="1"/>
  <c r="AG116" i="9"/>
  <c r="G111" i="9"/>
  <c r="J111" i="9"/>
  <c r="AG111" i="9" s="1"/>
  <c r="Q111" i="9"/>
  <c r="AK111" i="9" s="1"/>
  <c r="AK116" i="9"/>
  <c r="N111" i="9"/>
  <c r="AL116" i="9"/>
  <c r="S111" i="9"/>
  <c r="AL111" i="9" s="1"/>
  <c r="AP116" i="9"/>
  <c r="Z111" i="9"/>
  <c r="AP111" i="9" s="1"/>
  <c r="G112" i="9"/>
  <c r="J112" i="9"/>
  <c r="AG112" i="9" s="1"/>
  <c r="Q112" i="9"/>
  <c r="AK112" i="9" s="1"/>
  <c r="N112" i="9"/>
  <c r="G113" i="9"/>
  <c r="J113" i="9"/>
  <c r="AG113" i="9" s="1"/>
  <c r="Q113" i="9"/>
  <c r="AK113" i="9" s="1"/>
  <c r="N113" i="9"/>
  <c r="G114" i="9"/>
  <c r="J114" i="9"/>
  <c r="AG114" i="9" s="1"/>
  <c r="Q114" i="9"/>
  <c r="AK114" i="9" s="1"/>
  <c r="N114" i="9"/>
  <c r="AG126" i="9"/>
  <c r="G121" i="9"/>
  <c r="J121" i="9"/>
  <c r="AG121" i="9" s="1"/>
  <c r="Q121" i="9"/>
  <c r="AK121" i="9" s="1"/>
  <c r="AK126" i="9"/>
  <c r="N121" i="9"/>
  <c r="G124" i="9"/>
  <c r="J124" i="9"/>
  <c r="AG124" i="9" s="1"/>
  <c r="Q124" i="9"/>
  <c r="AK124" i="9" s="1"/>
  <c r="N124" i="9"/>
  <c r="L50" i="9"/>
  <c r="AH50" i="9" s="1"/>
  <c r="AC7" i="9"/>
  <c r="L172" i="9"/>
  <c r="AH172" i="9" s="1"/>
  <c r="L125" i="9"/>
  <c r="AH125" i="9" s="1"/>
  <c r="L107" i="9"/>
  <c r="AH107" i="9" s="1"/>
  <c r="L74" i="9"/>
  <c r="AH74" i="9" s="1"/>
  <c r="L19" i="9"/>
  <c r="AH19" i="9" s="1"/>
  <c r="L35" i="9"/>
  <c r="AH35" i="9" s="1"/>
  <c r="L44" i="9"/>
  <c r="AH44" i="9" s="1"/>
  <c r="L261" i="9"/>
  <c r="AH261" i="9" s="1"/>
  <c r="L295" i="9"/>
  <c r="AH295" i="9" s="1"/>
  <c r="L232" i="9"/>
  <c r="AH232" i="9" s="1"/>
  <c r="L179" i="9"/>
  <c r="AH179" i="9" s="1"/>
  <c r="L218" i="9"/>
  <c r="AH218" i="9" s="1"/>
  <c r="L206" i="9"/>
  <c r="AH206" i="9" s="1"/>
  <c r="L191" i="9"/>
  <c r="AH191" i="9" s="1"/>
  <c r="L148" i="9"/>
  <c r="AH148" i="9" s="1"/>
  <c r="L115" i="9"/>
  <c r="AH115" i="9" s="1"/>
  <c r="L27" i="9"/>
  <c r="L51" i="9"/>
  <c r="AH51" i="9" s="1"/>
  <c r="L270" i="9"/>
  <c r="AH270" i="9" s="1"/>
  <c r="L249" i="9"/>
  <c r="AH249" i="9" s="1"/>
  <c r="L241" i="9"/>
  <c r="AH241" i="9" s="1"/>
  <c r="L212" i="9"/>
  <c r="AH212" i="9" s="1"/>
  <c r="L199" i="9"/>
  <c r="AH199" i="9" s="1"/>
  <c r="J16" i="9"/>
  <c r="AG16" i="9" s="1"/>
  <c r="G16" i="9"/>
  <c r="X16" i="9"/>
  <c r="AO16" i="9" s="1"/>
  <c r="U16" i="9"/>
  <c r="Q17" i="9"/>
  <c r="AK17" i="9" s="1"/>
  <c r="N17" i="9"/>
  <c r="O17" i="9" s="1"/>
  <c r="AM17" i="9" s="1"/>
  <c r="J51" i="9"/>
  <c r="AG51" i="9" s="1"/>
  <c r="J5" i="9"/>
  <c r="J35" i="9"/>
  <c r="AG35" i="9" s="1"/>
  <c r="J148" i="9"/>
  <c r="AG148" i="9" s="1"/>
  <c r="J115" i="9"/>
  <c r="AG115" i="9" s="1"/>
  <c r="J206" i="9"/>
  <c r="AG206" i="9" s="1"/>
  <c r="J191" i="9"/>
  <c r="AG191" i="9" s="1"/>
  <c r="J232" i="9"/>
  <c r="AG232" i="9" s="1"/>
  <c r="J212" i="9"/>
  <c r="AG212" i="9" s="1"/>
  <c r="J179" i="9"/>
  <c r="AG179" i="9" s="1"/>
  <c r="AC6" i="9"/>
  <c r="J19" i="9"/>
  <c r="AG19" i="9" s="1"/>
  <c r="J27" i="9"/>
  <c r="J44" i="9"/>
  <c r="AG44" i="9" s="1"/>
  <c r="J172" i="9"/>
  <c r="AG172" i="9" s="1"/>
  <c r="J125" i="9"/>
  <c r="AG125" i="9" s="1"/>
  <c r="J107" i="9"/>
  <c r="AG107" i="9" s="1"/>
  <c r="J74" i="9"/>
  <c r="AG74" i="9" s="1"/>
  <c r="J295" i="9"/>
  <c r="AG295" i="9" s="1"/>
  <c r="J270" i="9"/>
  <c r="AG270" i="9" s="1"/>
  <c r="J261" i="9"/>
  <c r="AG261" i="9" s="1"/>
  <c r="J249" i="9"/>
  <c r="AG249" i="9" s="1"/>
  <c r="J218" i="9"/>
  <c r="AG218" i="9" s="1"/>
  <c r="J199" i="9"/>
  <c r="AG199" i="9" s="1"/>
  <c r="J241" i="9"/>
  <c r="AG241" i="9" s="1"/>
  <c r="X5" i="9"/>
  <c r="X148" i="9"/>
  <c r="AO148" i="9" s="1"/>
  <c r="X115" i="9"/>
  <c r="AO115" i="9" s="1"/>
  <c r="X19" i="9"/>
  <c r="AO19" i="9" s="1"/>
  <c r="X27" i="9"/>
  <c r="X44" i="9"/>
  <c r="AO44" i="9" s="1"/>
  <c r="X51" i="9"/>
  <c r="AO51" i="9" s="1"/>
  <c r="X206" i="9"/>
  <c r="AO206" i="9" s="1"/>
  <c r="X191" i="9"/>
  <c r="AO191" i="9" s="1"/>
  <c r="X212" i="9"/>
  <c r="AO212" i="9" s="1"/>
  <c r="X172" i="9"/>
  <c r="AO172" i="9" s="1"/>
  <c r="X125" i="9"/>
  <c r="AO125" i="9" s="1"/>
  <c r="X107" i="9"/>
  <c r="AO107" i="9" s="1"/>
  <c r="X74" i="9"/>
  <c r="AO74" i="9" s="1"/>
  <c r="X35" i="9"/>
  <c r="AO35" i="9" s="1"/>
  <c r="X295" i="9"/>
  <c r="AO295" i="9" s="1"/>
  <c r="X270" i="9"/>
  <c r="AO270" i="9" s="1"/>
  <c r="X261" i="9"/>
  <c r="AO261" i="9" s="1"/>
  <c r="X249" i="9"/>
  <c r="AO249" i="9" s="1"/>
  <c r="X218" i="9"/>
  <c r="AO218" i="9" s="1"/>
  <c r="X199" i="9"/>
  <c r="AO199" i="9" s="1"/>
  <c r="X241" i="9"/>
  <c r="AO241" i="9" s="1"/>
  <c r="X232" i="9"/>
  <c r="AO232" i="9" s="1"/>
  <c r="X179" i="9"/>
  <c r="AO179" i="9" s="1"/>
  <c r="S148" i="9"/>
  <c r="AL148" i="9" s="1"/>
  <c r="S125" i="9"/>
  <c r="AL125" i="9" s="1"/>
  <c r="S172" i="9"/>
  <c r="AL172" i="9" s="1"/>
  <c r="S115" i="9"/>
  <c r="AL115" i="9" s="1"/>
  <c r="S74" i="9"/>
  <c r="AL74" i="9" s="1"/>
  <c r="S51" i="9"/>
  <c r="AL51" i="9" s="1"/>
  <c r="S35" i="9"/>
  <c r="AL35" i="9" s="1"/>
  <c r="S27" i="9"/>
  <c r="S107" i="9"/>
  <c r="AL107" i="9" s="1"/>
  <c r="S44" i="9"/>
  <c r="AL44" i="9" s="1"/>
  <c r="S19" i="9"/>
  <c r="AL19" i="9" s="1"/>
  <c r="S261" i="9"/>
  <c r="AL261" i="9" s="1"/>
  <c r="S241" i="9"/>
  <c r="AL241" i="9" s="1"/>
  <c r="S212" i="9"/>
  <c r="AL212" i="9" s="1"/>
  <c r="S199" i="9"/>
  <c r="AL199" i="9" s="1"/>
  <c r="S270" i="9"/>
  <c r="AL270" i="9" s="1"/>
  <c r="S249" i="9"/>
  <c r="AL249" i="9" s="1"/>
  <c r="S295" i="9"/>
  <c r="AL295" i="9" s="1"/>
  <c r="S232" i="9"/>
  <c r="AL232" i="9" s="1"/>
  <c r="S179" i="9"/>
  <c r="AL179" i="9" s="1"/>
  <c r="S218" i="9"/>
  <c r="AL218" i="9" s="1"/>
  <c r="S206" i="9"/>
  <c r="AL206" i="9" s="1"/>
  <c r="S191" i="9"/>
  <c r="AL191" i="9" s="1"/>
  <c r="G15" i="9"/>
  <c r="J15" i="9"/>
  <c r="AG15" i="9" s="1"/>
  <c r="N15" i="9"/>
  <c r="Q15" i="9"/>
  <c r="AK15" i="9" s="1"/>
  <c r="U17" i="9"/>
  <c r="X17" i="9"/>
  <c r="AO17" i="9" s="1"/>
  <c r="Q18" i="9"/>
  <c r="AK18" i="9" s="1"/>
  <c r="N18" i="9"/>
  <c r="O18" i="9" s="1"/>
  <c r="AM18" i="9" s="1"/>
  <c r="U23" i="9"/>
  <c r="X23" i="9"/>
  <c r="AO23" i="9" s="1"/>
  <c r="U24" i="9"/>
  <c r="X24" i="9"/>
  <c r="AO24" i="9" s="1"/>
  <c r="U25" i="9"/>
  <c r="X25" i="9"/>
  <c r="AO25" i="9" s="1"/>
  <c r="U26" i="9"/>
  <c r="X26" i="9"/>
  <c r="AO26" i="9" s="1"/>
  <c r="U30" i="9"/>
  <c r="X30" i="9"/>
  <c r="AO30" i="9" s="1"/>
  <c r="U31" i="9"/>
  <c r="X31" i="9"/>
  <c r="AO31" i="9" s="1"/>
  <c r="U32" i="9"/>
  <c r="X32" i="9"/>
  <c r="AO32" i="9" s="1"/>
  <c r="U33" i="9"/>
  <c r="X33" i="9"/>
  <c r="AO33" i="9" s="1"/>
  <c r="U34" i="9"/>
  <c r="X34" i="9"/>
  <c r="AO34" i="9" s="1"/>
  <c r="G38" i="9"/>
  <c r="J38" i="9"/>
  <c r="AG38" i="9" s="1"/>
  <c r="N38" i="9"/>
  <c r="Q38" i="9"/>
  <c r="AK38" i="9" s="1"/>
  <c r="G39" i="9"/>
  <c r="J39" i="9"/>
  <c r="AG39" i="9" s="1"/>
  <c r="N39" i="9"/>
  <c r="Q39" i="9"/>
  <c r="AK39" i="9" s="1"/>
  <c r="G40" i="9"/>
  <c r="J40" i="9"/>
  <c r="AG40" i="9" s="1"/>
  <c r="N40" i="9"/>
  <c r="Q40" i="9"/>
  <c r="AK40" i="9" s="1"/>
  <c r="G41" i="9"/>
  <c r="J41" i="9"/>
  <c r="AG41" i="9" s="1"/>
  <c r="N41" i="9"/>
  <c r="Q41" i="9"/>
  <c r="AK41" i="9" s="1"/>
  <c r="G42" i="9"/>
  <c r="J42" i="9"/>
  <c r="AG42" i="9" s="1"/>
  <c r="N42" i="9"/>
  <c r="Q42" i="9"/>
  <c r="AK42" i="9" s="1"/>
  <c r="G43" i="9"/>
  <c r="J43" i="9"/>
  <c r="AG43" i="9" s="1"/>
  <c r="N43" i="9"/>
  <c r="Q43" i="9"/>
  <c r="AK43" i="9" s="1"/>
  <c r="AH52" i="9"/>
  <c r="L47" i="9"/>
  <c r="AH47" i="9" s="1"/>
  <c r="AO52" i="9"/>
  <c r="U47" i="9"/>
  <c r="X47" i="9"/>
  <c r="AO47" i="9" s="1"/>
  <c r="U48" i="9"/>
  <c r="V48" i="9" s="1"/>
  <c r="AQ48" i="9" s="1"/>
  <c r="X48" i="9"/>
  <c r="AO48" i="9" s="1"/>
  <c r="U49" i="9"/>
  <c r="V49" i="9" s="1"/>
  <c r="AQ49" i="9" s="1"/>
  <c r="X49" i="9"/>
  <c r="AO49" i="9" s="1"/>
  <c r="U50" i="9"/>
  <c r="V50" i="9" s="1"/>
  <c r="AQ50" i="9" s="1"/>
  <c r="X50" i="9"/>
  <c r="AO50" i="9" s="1"/>
  <c r="U54" i="9"/>
  <c r="V54" i="9" s="1"/>
  <c r="AQ54" i="9" s="1"/>
  <c r="X54" i="9"/>
  <c r="AO54" i="9" s="1"/>
  <c r="U55" i="9"/>
  <c r="V55" i="9" s="1"/>
  <c r="AQ55" i="9" s="1"/>
  <c r="X55" i="9"/>
  <c r="AO55" i="9" s="1"/>
  <c r="U56" i="9"/>
  <c r="V56" i="9" s="1"/>
  <c r="AQ56" i="9" s="1"/>
  <c r="X56" i="9"/>
  <c r="AO56" i="9" s="1"/>
  <c r="U57" i="9"/>
  <c r="V57" i="9" s="1"/>
  <c r="AQ57" i="9" s="1"/>
  <c r="X57" i="9"/>
  <c r="AO57" i="9" s="1"/>
  <c r="U58" i="9"/>
  <c r="V58" i="9" s="1"/>
  <c r="AQ58" i="9" s="1"/>
  <c r="X58" i="9"/>
  <c r="AO58" i="9" s="1"/>
  <c r="U59" i="9"/>
  <c r="V59" i="9" s="1"/>
  <c r="AQ59" i="9" s="1"/>
  <c r="X59" i="9"/>
  <c r="AO59" i="9" s="1"/>
  <c r="U60" i="9"/>
  <c r="V60" i="9" s="1"/>
  <c r="AQ60" i="9" s="1"/>
  <c r="X60" i="9"/>
  <c r="AO60" i="9" s="1"/>
  <c r="U61" i="9"/>
  <c r="V61" i="9" s="1"/>
  <c r="AQ61" i="9" s="1"/>
  <c r="X61" i="9"/>
  <c r="AO61" i="9" s="1"/>
  <c r="U62" i="9"/>
  <c r="V62" i="9" s="1"/>
  <c r="AQ62" i="9" s="1"/>
  <c r="X62" i="9"/>
  <c r="AO62" i="9" s="1"/>
  <c r="U63" i="9"/>
  <c r="V63" i="9" s="1"/>
  <c r="AQ63" i="9" s="1"/>
  <c r="X63" i="9"/>
  <c r="AO63" i="9" s="1"/>
  <c r="U64" i="9"/>
  <c r="V64" i="9" s="1"/>
  <c r="AQ64" i="9" s="1"/>
  <c r="X64" i="9"/>
  <c r="AO64" i="9" s="1"/>
  <c r="U68" i="9"/>
  <c r="V68" i="9" s="1"/>
  <c r="AQ68" i="9" s="1"/>
  <c r="X68" i="9"/>
  <c r="AO68" i="9" s="1"/>
  <c r="U69" i="9"/>
  <c r="V69" i="9" s="1"/>
  <c r="AQ69" i="9" s="1"/>
  <c r="X69" i="9"/>
  <c r="AO69" i="9" s="1"/>
  <c r="U70" i="9"/>
  <c r="V70" i="9" s="1"/>
  <c r="AQ70" i="9" s="1"/>
  <c r="X70" i="9"/>
  <c r="AO70" i="9" s="1"/>
  <c r="U71" i="9"/>
  <c r="V71" i="9" s="1"/>
  <c r="AQ71" i="9" s="1"/>
  <c r="X71" i="9"/>
  <c r="AO71" i="9" s="1"/>
  <c r="U72" i="9"/>
  <c r="V72" i="9" s="1"/>
  <c r="AQ72" i="9" s="1"/>
  <c r="X72" i="9"/>
  <c r="AO72" i="9" s="1"/>
  <c r="U73" i="9"/>
  <c r="V73" i="9" s="1"/>
  <c r="AQ73" i="9" s="1"/>
  <c r="X73" i="9"/>
  <c r="AO73" i="9" s="1"/>
  <c r="G78" i="9"/>
  <c r="J78" i="9"/>
  <c r="AG78" i="9" s="1"/>
  <c r="N78" i="9"/>
  <c r="O78" i="9" s="1"/>
  <c r="AM78" i="9" s="1"/>
  <c r="Q78" i="9"/>
  <c r="AK78" i="9" s="1"/>
  <c r="G79" i="9"/>
  <c r="J79" i="9"/>
  <c r="AG79" i="9" s="1"/>
  <c r="N79" i="9"/>
  <c r="O79" i="9" s="1"/>
  <c r="AM79" i="9" s="1"/>
  <c r="Q79" i="9"/>
  <c r="AK79" i="9" s="1"/>
  <c r="G80" i="9"/>
  <c r="J80" i="9"/>
  <c r="AG80" i="9" s="1"/>
  <c r="N80" i="9"/>
  <c r="O80" i="9" s="1"/>
  <c r="AM80" i="9" s="1"/>
  <c r="Q80" i="9"/>
  <c r="AK80" i="9" s="1"/>
  <c r="G81" i="9"/>
  <c r="J81" i="9"/>
  <c r="AG81" i="9" s="1"/>
  <c r="N81" i="9"/>
  <c r="O81" i="9" s="1"/>
  <c r="AM81" i="9" s="1"/>
  <c r="Q81" i="9"/>
  <c r="AK81" i="9" s="1"/>
  <c r="G82" i="9"/>
  <c r="J82" i="9"/>
  <c r="AG82" i="9" s="1"/>
  <c r="N82" i="9"/>
  <c r="O82" i="9" s="1"/>
  <c r="AM82" i="9" s="1"/>
  <c r="Q82" i="9"/>
  <c r="AK82" i="9" s="1"/>
  <c r="G83" i="9"/>
  <c r="J83" i="9"/>
  <c r="AG83" i="9" s="1"/>
  <c r="N83" i="9"/>
  <c r="O83" i="9" s="1"/>
  <c r="AM83" i="9" s="1"/>
  <c r="Q83" i="9"/>
  <c r="AK83" i="9" s="1"/>
  <c r="G84" i="9"/>
  <c r="J84" i="9"/>
  <c r="AG84" i="9" s="1"/>
  <c r="N84" i="9"/>
  <c r="O84" i="9" s="1"/>
  <c r="AM84" i="9" s="1"/>
  <c r="Q84" i="9"/>
  <c r="AK84" i="9" s="1"/>
  <c r="G85" i="9"/>
  <c r="J85" i="9"/>
  <c r="AG85" i="9" s="1"/>
  <c r="N85" i="9"/>
  <c r="O85" i="9" s="1"/>
  <c r="AM85" i="9" s="1"/>
  <c r="Q85" i="9"/>
  <c r="AK85" i="9" s="1"/>
  <c r="G86" i="9"/>
  <c r="J86" i="9"/>
  <c r="AG86" i="9" s="1"/>
  <c r="N86" i="9"/>
  <c r="O86" i="9" s="1"/>
  <c r="AM86" i="9" s="1"/>
  <c r="Q86" i="9"/>
  <c r="AK86" i="9" s="1"/>
  <c r="G87" i="9"/>
  <c r="J87" i="9"/>
  <c r="AG87" i="9" s="1"/>
  <c r="N87" i="9"/>
  <c r="O87" i="9" s="1"/>
  <c r="AM87" i="9" s="1"/>
  <c r="Q87" i="9"/>
  <c r="AK87" i="9" s="1"/>
  <c r="G88" i="9"/>
  <c r="J88" i="9"/>
  <c r="AG88" i="9" s="1"/>
  <c r="N88" i="9"/>
  <c r="O88" i="9" s="1"/>
  <c r="AM88" i="9" s="1"/>
  <c r="Q88" i="9"/>
  <c r="AK88" i="9" s="1"/>
  <c r="G92" i="9"/>
  <c r="J92" i="9"/>
  <c r="AG92" i="9" s="1"/>
  <c r="N92" i="9"/>
  <c r="O92" i="9" s="1"/>
  <c r="AM92" i="9" s="1"/>
  <c r="Q92" i="9"/>
  <c r="AK92" i="9" s="1"/>
  <c r="G93" i="9"/>
  <c r="J93" i="9"/>
  <c r="AG93" i="9" s="1"/>
  <c r="N93" i="9"/>
  <c r="O93" i="9" s="1"/>
  <c r="AM93" i="9" s="1"/>
  <c r="Q93" i="9"/>
  <c r="AK93" i="9" s="1"/>
  <c r="G94" i="9"/>
  <c r="J94" i="9"/>
  <c r="AG94" i="9" s="1"/>
  <c r="N94" i="9"/>
  <c r="O94" i="9" s="1"/>
  <c r="AM94" i="9" s="1"/>
  <c r="Q94" i="9"/>
  <c r="AK94" i="9" s="1"/>
  <c r="G95" i="9"/>
  <c r="J95" i="9"/>
  <c r="AG95" i="9" s="1"/>
  <c r="N95" i="9"/>
  <c r="O95" i="9" s="1"/>
  <c r="AM95" i="9" s="1"/>
  <c r="Q95" i="9"/>
  <c r="AK95" i="9" s="1"/>
  <c r="G96" i="9"/>
  <c r="J96" i="9"/>
  <c r="AG96" i="9" s="1"/>
  <c r="N96" i="9"/>
  <c r="O96" i="9" s="1"/>
  <c r="AM96" i="9" s="1"/>
  <c r="Q96" i="9"/>
  <c r="AK96" i="9" s="1"/>
  <c r="G97" i="9"/>
  <c r="J97" i="9"/>
  <c r="AG97" i="9" s="1"/>
  <c r="N97" i="9"/>
  <c r="O97" i="9" s="1"/>
  <c r="AM97" i="9" s="1"/>
  <c r="Q97" i="9"/>
  <c r="AK97" i="9" s="1"/>
  <c r="G98" i="9"/>
  <c r="J98" i="9"/>
  <c r="AG98" i="9" s="1"/>
  <c r="N98" i="9"/>
  <c r="O98" i="9" s="1"/>
  <c r="AM98" i="9" s="1"/>
  <c r="Q98" i="9"/>
  <c r="AK98" i="9" s="1"/>
  <c r="G99" i="9"/>
  <c r="J99" i="9"/>
  <c r="AG99" i="9" s="1"/>
  <c r="N99" i="9"/>
  <c r="O99" i="9" s="1"/>
  <c r="AM99" i="9" s="1"/>
  <c r="Q99" i="9"/>
  <c r="AK99" i="9" s="1"/>
  <c r="AG108" i="9"/>
  <c r="G103" i="9"/>
  <c r="J103" i="9"/>
  <c r="AG103" i="9" s="1"/>
  <c r="AK108" i="9"/>
  <c r="N103" i="9"/>
  <c r="Q103" i="9"/>
  <c r="AK103" i="9" s="1"/>
  <c r="AL108" i="9"/>
  <c r="S103" i="9"/>
  <c r="AL103" i="9" s="1"/>
  <c r="AP108" i="9"/>
  <c r="Z103" i="9"/>
  <c r="AP103" i="9" s="1"/>
  <c r="G104" i="9"/>
  <c r="J104" i="9"/>
  <c r="AG104" i="9" s="1"/>
  <c r="N104" i="9"/>
  <c r="O104" i="9" s="1"/>
  <c r="AM104" i="9" s="1"/>
  <c r="Q104" i="9"/>
  <c r="AK104" i="9" s="1"/>
  <c r="G105" i="9"/>
  <c r="J105" i="9"/>
  <c r="AG105" i="9" s="1"/>
  <c r="N105" i="9"/>
  <c r="O105" i="9" s="1"/>
  <c r="AM105" i="9" s="1"/>
  <c r="Q105" i="9"/>
  <c r="AK105" i="9" s="1"/>
  <c r="G106" i="9"/>
  <c r="J106" i="9"/>
  <c r="AG106" i="9" s="1"/>
  <c r="N106" i="9"/>
  <c r="O106" i="9" s="1"/>
  <c r="AM106" i="9" s="1"/>
  <c r="Q106" i="9"/>
  <c r="AK106" i="9" s="1"/>
  <c r="AH116" i="9"/>
  <c r="L111" i="9"/>
  <c r="AH111" i="9" s="1"/>
  <c r="AO116" i="9"/>
  <c r="U111" i="9"/>
  <c r="X111" i="9"/>
  <c r="AO111" i="9" s="1"/>
  <c r="U112" i="9"/>
  <c r="X112" i="9"/>
  <c r="AO112" i="9" s="1"/>
  <c r="U113" i="9"/>
  <c r="X113" i="9"/>
  <c r="AO113" i="9" s="1"/>
  <c r="U114" i="9"/>
  <c r="X114" i="9"/>
  <c r="AO114" i="9" s="1"/>
  <c r="AL126" i="9"/>
  <c r="S121" i="9"/>
  <c r="AL121" i="9" s="1"/>
  <c r="AP126" i="9"/>
  <c r="Z121" i="9"/>
  <c r="AP121" i="9" s="1"/>
  <c r="G122" i="9"/>
  <c r="J122" i="9"/>
  <c r="AG122" i="9" s="1"/>
  <c r="Q122" i="9"/>
  <c r="AK122" i="9" s="1"/>
  <c r="N122" i="9"/>
  <c r="O122" i="9" s="1"/>
  <c r="AM122" i="9" s="1"/>
  <c r="G123" i="9"/>
  <c r="J123" i="9"/>
  <c r="AG123" i="9" s="1"/>
  <c r="Q123" i="9"/>
  <c r="AK123" i="9" s="1"/>
  <c r="N123" i="9"/>
  <c r="O123" i="9" s="1"/>
  <c r="AM123" i="9" s="1"/>
  <c r="G130" i="9"/>
  <c r="J130" i="9"/>
  <c r="AG130" i="9" s="1"/>
  <c r="Q130" i="9"/>
  <c r="AK130" i="9" s="1"/>
  <c r="N130" i="9"/>
  <c r="O130" i="9" s="1"/>
  <c r="AM130" i="9" s="1"/>
  <c r="G131" i="9"/>
  <c r="J131" i="9"/>
  <c r="AG131" i="9" s="1"/>
  <c r="Q131" i="9"/>
  <c r="AK131" i="9" s="1"/>
  <c r="N131" i="9"/>
  <c r="O131" i="9" s="1"/>
  <c r="AM131" i="9" s="1"/>
  <c r="G132" i="9"/>
  <c r="J132" i="9"/>
  <c r="AG132" i="9" s="1"/>
  <c r="Q132" i="9"/>
  <c r="AK132" i="9" s="1"/>
  <c r="N132" i="9"/>
  <c r="O132" i="9" s="1"/>
  <c r="AM132" i="9" s="1"/>
  <c r="G133" i="9"/>
  <c r="J133" i="9"/>
  <c r="AG133" i="9" s="1"/>
  <c r="Q133" i="9"/>
  <c r="AK133" i="9" s="1"/>
  <c r="N133" i="9"/>
  <c r="O133" i="9" s="1"/>
  <c r="AM133" i="9" s="1"/>
  <c r="G134" i="9"/>
  <c r="J134" i="9"/>
  <c r="AG134" i="9" s="1"/>
  <c r="Q134" i="9"/>
  <c r="AK134" i="9" s="1"/>
  <c r="N134" i="9"/>
  <c r="O134" i="9" s="1"/>
  <c r="AM134" i="9" s="1"/>
  <c r="G135" i="9"/>
  <c r="J135" i="9"/>
  <c r="AG135" i="9" s="1"/>
  <c r="Q135" i="9"/>
  <c r="AK135" i="9" s="1"/>
  <c r="N135" i="9"/>
  <c r="O135" i="9" s="1"/>
  <c r="AM135" i="9" s="1"/>
  <c r="G136" i="9"/>
  <c r="J136" i="9"/>
  <c r="AG136" i="9" s="1"/>
  <c r="Q136" i="9"/>
  <c r="AK136" i="9" s="1"/>
  <c r="N136" i="9"/>
  <c r="O136" i="9" s="1"/>
  <c r="AM136" i="9" s="1"/>
  <c r="G137" i="9"/>
  <c r="J137" i="9"/>
  <c r="AG137" i="9" s="1"/>
  <c r="Q137" i="9"/>
  <c r="AK137" i="9" s="1"/>
  <c r="N137" i="9"/>
  <c r="O137" i="9" s="1"/>
  <c r="AM137" i="9" s="1"/>
  <c r="G138" i="9"/>
  <c r="J138" i="9"/>
  <c r="AG138" i="9" s="1"/>
  <c r="Q138" i="9"/>
  <c r="AK138" i="9" s="1"/>
  <c r="N138" i="9"/>
  <c r="O138" i="9" s="1"/>
  <c r="AM138" i="9" s="1"/>
  <c r="G139" i="9"/>
  <c r="J139" i="9"/>
  <c r="AG139" i="9" s="1"/>
  <c r="Q139" i="9"/>
  <c r="AK139" i="9" s="1"/>
  <c r="N139" i="9"/>
  <c r="O139" i="9" s="1"/>
  <c r="AM139" i="9" s="1"/>
  <c r="G140" i="9"/>
  <c r="J140" i="9"/>
  <c r="AG140" i="9" s="1"/>
  <c r="Q140" i="9"/>
  <c r="AK140" i="9" s="1"/>
  <c r="N140" i="9"/>
  <c r="O140" i="9" s="1"/>
  <c r="AM140" i="9" s="1"/>
  <c r="G144" i="9"/>
  <c r="AG149" i="9"/>
  <c r="J144" i="9"/>
  <c r="AG144" i="9" s="1"/>
  <c r="AK149" i="9"/>
  <c r="Q144" i="9"/>
  <c r="AK144" i="9" s="1"/>
  <c r="N144" i="9"/>
  <c r="S144" i="9"/>
  <c r="AL144" i="9" s="1"/>
  <c r="AL149" i="9"/>
  <c r="AP149" i="9"/>
  <c r="Z144" i="9"/>
  <c r="AP144" i="9" s="1"/>
  <c r="G145" i="9"/>
  <c r="J145" i="9"/>
  <c r="AG145" i="9" s="1"/>
  <c r="Q145" i="9"/>
  <c r="AK145" i="9" s="1"/>
  <c r="N145" i="9"/>
  <c r="O145" i="9" s="1"/>
  <c r="AM145" i="9" s="1"/>
  <c r="G146" i="9"/>
  <c r="J146" i="9"/>
  <c r="AG146" i="9" s="1"/>
  <c r="Q146" i="9"/>
  <c r="AK146" i="9" s="1"/>
  <c r="N146" i="9"/>
  <c r="O146" i="9" s="1"/>
  <c r="AM146" i="9" s="1"/>
  <c r="G147" i="9"/>
  <c r="J147" i="9"/>
  <c r="AG147" i="9" s="1"/>
  <c r="Q147" i="9"/>
  <c r="AK147" i="9" s="1"/>
  <c r="N147" i="9"/>
  <c r="O147" i="9" s="1"/>
  <c r="AM147" i="9" s="1"/>
  <c r="U153" i="9"/>
  <c r="X153" i="9"/>
  <c r="AO153" i="9" s="1"/>
  <c r="U154" i="9"/>
  <c r="X154" i="9"/>
  <c r="AO154" i="9" s="1"/>
  <c r="U155" i="9"/>
  <c r="X155" i="9"/>
  <c r="AO155" i="9" s="1"/>
  <c r="U156" i="9"/>
  <c r="X156" i="9"/>
  <c r="AO156" i="9" s="1"/>
  <c r="U157" i="9"/>
  <c r="X157" i="9"/>
  <c r="AO157" i="9" s="1"/>
  <c r="U158" i="9"/>
  <c r="X158" i="9"/>
  <c r="AO158" i="9" s="1"/>
  <c r="U159" i="9"/>
  <c r="X159" i="9"/>
  <c r="AO159" i="9" s="1"/>
  <c r="U160" i="9"/>
  <c r="X160" i="9"/>
  <c r="AO160" i="9" s="1"/>
  <c r="U161" i="9"/>
  <c r="X161" i="9"/>
  <c r="AO161" i="9" s="1"/>
  <c r="U162" i="9"/>
  <c r="X162" i="9"/>
  <c r="AO162" i="9" s="1"/>
  <c r="U163" i="9"/>
  <c r="X163" i="9"/>
  <c r="AO163" i="9" s="1"/>
  <c r="U164" i="9"/>
  <c r="X164" i="9"/>
  <c r="AO164" i="9" s="1"/>
  <c r="U168" i="9"/>
  <c r="X168" i="9"/>
  <c r="AO168" i="9" s="1"/>
  <c r="U169" i="9"/>
  <c r="X169" i="9"/>
  <c r="AO169" i="9" s="1"/>
  <c r="U170" i="9"/>
  <c r="X170" i="9"/>
  <c r="AO170" i="9" s="1"/>
  <c r="U171" i="9"/>
  <c r="X171" i="9"/>
  <c r="AO171" i="9" s="1"/>
  <c r="G175" i="9"/>
  <c r="J175" i="9"/>
  <c r="AG175" i="9" s="1"/>
  <c r="Q175" i="9"/>
  <c r="AK175" i="9" s="1"/>
  <c r="N175" i="9"/>
  <c r="O175" i="9" s="1"/>
  <c r="AM175" i="9" s="1"/>
  <c r="G176" i="9"/>
  <c r="J176" i="9"/>
  <c r="AG176" i="9" s="1"/>
  <c r="Q176" i="9"/>
  <c r="AK176" i="9" s="1"/>
  <c r="N176" i="9"/>
  <c r="O176" i="9" s="1"/>
  <c r="AM176" i="9" s="1"/>
  <c r="G177" i="9"/>
  <c r="J177" i="9"/>
  <c r="AG177" i="9" s="1"/>
  <c r="Q177" i="9"/>
  <c r="AK177" i="9" s="1"/>
  <c r="N177" i="9"/>
  <c r="O177" i="9" s="1"/>
  <c r="AM177" i="9" s="1"/>
  <c r="G178" i="9"/>
  <c r="J178" i="9"/>
  <c r="AG178" i="9" s="1"/>
  <c r="U178" i="9"/>
  <c r="X178" i="9"/>
  <c r="AO178" i="9" s="1"/>
  <c r="Q182" i="9"/>
  <c r="AK182" i="9" s="1"/>
  <c r="N182" i="9"/>
  <c r="O182" i="9" s="1"/>
  <c r="AM182" i="9" s="1"/>
  <c r="Q183" i="9"/>
  <c r="AK183" i="9" s="1"/>
  <c r="N183" i="9"/>
  <c r="O183" i="9" s="1"/>
  <c r="AM183" i="9" s="1"/>
  <c r="Q184" i="9"/>
  <c r="AK184" i="9" s="1"/>
  <c r="N184" i="9"/>
  <c r="O184" i="9" s="1"/>
  <c r="AM184" i="9" s="1"/>
  <c r="Q185" i="9"/>
  <c r="AK185" i="9" s="1"/>
  <c r="N185" i="9"/>
  <c r="O185" i="9" s="1"/>
  <c r="AM185" i="9" s="1"/>
  <c r="Q186" i="9"/>
  <c r="AK186" i="9" s="1"/>
  <c r="N186" i="9"/>
  <c r="O186" i="9" s="1"/>
  <c r="AM186" i="9" s="1"/>
  <c r="N187" i="9"/>
  <c r="Q187" i="9"/>
  <c r="AK187" i="9" s="1"/>
  <c r="Q188" i="9"/>
  <c r="AK188" i="9" s="1"/>
  <c r="N188" i="9"/>
  <c r="O188" i="9" s="1"/>
  <c r="AM188" i="9" s="1"/>
  <c r="N189" i="9"/>
  <c r="Q189" i="9"/>
  <c r="AK189" i="9" s="1"/>
  <c r="Q190" i="9"/>
  <c r="AK190" i="9" s="1"/>
  <c r="N190" i="9"/>
  <c r="O190" i="9" s="1"/>
  <c r="AM190" i="9" s="1"/>
  <c r="G195" i="9"/>
  <c r="J195" i="9"/>
  <c r="AG195" i="9" s="1"/>
  <c r="U195" i="9"/>
  <c r="X195" i="9"/>
  <c r="AO195" i="9" s="1"/>
  <c r="G196" i="9"/>
  <c r="J196" i="9"/>
  <c r="AG196" i="9" s="1"/>
  <c r="U196" i="9"/>
  <c r="X196" i="9"/>
  <c r="AO196" i="9" s="1"/>
  <c r="G197" i="9"/>
  <c r="J197" i="9"/>
  <c r="AG197" i="9" s="1"/>
  <c r="U197" i="9"/>
  <c r="X197" i="9"/>
  <c r="AO197" i="9" s="1"/>
  <c r="G198" i="9"/>
  <c r="J198" i="9"/>
  <c r="AG198" i="9" s="1"/>
  <c r="U198" i="9"/>
  <c r="X198" i="9"/>
  <c r="AO198" i="9" s="1"/>
  <c r="N202" i="9"/>
  <c r="Q202" i="9"/>
  <c r="AK202" i="9" s="1"/>
  <c r="Q203" i="9"/>
  <c r="AK203" i="9" s="1"/>
  <c r="N203" i="9"/>
  <c r="O203" i="9" s="1"/>
  <c r="AM203" i="9" s="1"/>
  <c r="N204" i="9"/>
  <c r="Q204" i="9"/>
  <c r="AK204" i="9" s="1"/>
  <c r="Q205" i="9"/>
  <c r="AK205" i="9" s="1"/>
  <c r="N205" i="9"/>
  <c r="O205" i="9" s="1"/>
  <c r="AM205" i="9" s="1"/>
  <c r="AH126" i="9"/>
  <c r="L121" i="9"/>
  <c r="AH121" i="9" s="1"/>
  <c r="AO126" i="9"/>
  <c r="U121" i="9"/>
  <c r="X121" i="9"/>
  <c r="AO121" i="9" s="1"/>
  <c r="U122" i="9"/>
  <c r="V122" i="9" s="1"/>
  <c r="AQ122" i="9" s="1"/>
  <c r="X122" i="9"/>
  <c r="AO122" i="9" s="1"/>
  <c r="U123" i="9"/>
  <c r="V123" i="9" s="1"/>
  <c r="AQ123" i="9" s="1"/>
  <c r="X123" i="9"/>
  <c r="AO123" i="9" s="1"/>
  <c r="U124" i="9"/>
  <c r="V124" i="9" s="1"/>
  <c r="AQ124" i="9" s="1"/>
  <c r="X124" i="9"/>
  <c r="AO124" i="9" s="1"/>
  <c r="U130" i="9"/>
  <c r="V130" i="9" s="1"/>
  <c r="AQ130" i="9" s="1"/>
  <c r="X130" i="9"/>
  <c r="AO130" i="9" s="1"/>
  <c r="U131" i="9"/>
  <c r="V131" i="9" s="1"/>
  <c r="AQ131" i="9" s="1"/>
  <c r="X131" i="9"/>
  <c r="AO131" i="9" s="1"/>
  <c r="U132" i="9"/>
  <c r="V132" i="9" s="1"/>
  <c r="AQ132" i="9" s="1"/>
  <c r="X132" i="9"/>
  <c r="AO132" i="9" s="1"/>
  <c r="U133" i="9"/>
  <c r="V133" i="9" s="1"/>
  <c r="AQ133" i="9" s="1"/>
  <c r="X133" i="9"/>
  <c r="AO133" i="9" s="1"/>
  <c r="U134" i="9"/>
  <c r="V134" i="9" s="1"/>
  <c r="AQ134" i="9" s="1"/>
  <c r="X134" i="9"/>
  <c r="AO134" i="9" s="1"/>
  <c r="U135" i="9"/>
  <c r="V135" i="9" s="1"/>
  <c r="AQ135" i="9" s="1"/>
  <c r="X135" i="9"/>
  <c r="AO135" i="9" s="1"/>
  <c r="U136" i="9"/>
  <c r="V136" i="9" s="1"/>
  <c r="AQ136" i="9" s="1"/>
  <c r="X136" i="9"/>
  <c r="AO136" i="9" s="1"/>
  <c r="U137" i="9"/>
  <c r="V137" i="9" s="1"/>
  <c r="AQ137" i="9" s="1"/>
  <c r="X137" i="9"/>
  <c r="AO137" i="9" s="1"/>
  <c r="U138" i="9"/>
  <c r="V138" i="9" s="1"/>
  <c r="AQ138" i="9" s="1"/>
  <c r="X138" i="9"/>
  <c r="AO138" i="9" s="1"/>
  <c r="U139" i="9"/>
  <c r="V139" i="9" s="1"/>
  <c r="AQ139" i="9" s="1"/>
  <c r="X139" i="9"/>
  <c r="AO139" i="9" s="1"/>
  <c r="U140" i="9"/>
  <c r="V140" i="9" s="1"/>
  <c r="AQ140" i="9" s="1"/>
  <c r="X140" i="9"/>
  <c r="AO140" i="9" s="1"/>
  <c r="AH149" i="9"/>
  <c r="L144" i="9"/>
  <c r="AH144" i="9" s="1"/>
  <c r="AO149" i="9"/>
  <c r="U144" i="9"/>
  <c r="X144" i="9"/>
  <c r="AO144" i="9" s="1"/>
  <c r="U145" i="9"/>
  <c r="X145" i="9"/>
  <c r="AO145" i="9" s="1"/>
  <c r="U146" i="9"/>
  <c r="X146" i="9"/>
  <c r="AO146" i="9" s="1"/>
  <c r="U147" i="9"/>
  <c r="X147" i="9"/>
  <c r="AO147" i="9" s="1"/>
  <c r="G153" i="9"/>
  <c r="J153" i="9"/>
  <c r="AG153" i="9" s="1"/>
  <c r="N153" i="9"/>
  <c r="Q153" i="9"/>
  <c r="AK153" i="9" s="1"/>
  <c r="G154" i="9"/>
  <c r="J154" i="9"/>
  <c r="AG154" i="9" s="1"/>
  <c r="N154" i="9"/>
  <c r="Q154" i="9"/>
  <c r="AK154" i="9" s="1"/>
  <c r="G155" i="9"/>
  <c r="J155" i="9"/>
  <c r="AG155" i="9" s="1"/>
  <c r="N155" i="9"/>
  <c r="Q155" i="9"/>
  <c r="AK155" i="9" s="1"/>
  <c r="G156" i="9"/>
  <c r="J156" i="9"/>
  <c r="AG156" i="9" s="1"/>
  <c r="N156" i="9"/>
  <c r="Q156" i="9"/>
  <c r="AK156" i="9" s="1"/>
  <c r="G157" i="9"/>
  <c r="J157" i="9"/>
  <c r="AG157" i="9" s="1"/>
  <c r="N157" i="9"/>
  <c r="Q157" i="9"/>
  <c r="AK157" i="9" s="1"/>
  <c r="G158" i="9"/>
  <c r="J158" i="9"/>
  <c r="AG158" i="9" s="1"/>
  <c r="N158" i="9"/>
  <c r="Q158" i="9"/>
  <c r="AK158" i="9" s="1"/>
  <c r="G159" i="9"/>
  <c r="J159" i="9"/>
  <c r="AG159" i="9" s="1"/>
  <c r="N159" i="9"/>
  <c r="Q159" i="9"/>
  <c r="AK159" i="9" s="1"/>
  <c r="G160" i="9"/>
  <c r="J160" i="9"/>
  <c r="AG160" i="9" s="1"/>
  <c r="N160" i="9"/>
  <c r="Q160" i="9"/>
  <c r="AK160" i="9" s="1"/>
  <c r="G161" i="9"/>
  <c r="J161" i="9"/>
  <c r="AG161" i="9" s="1"/>
  <c r="N161" i="9"/>
  <c r="Q161" i="9"/>
  <c r="AK161" i="9" s="1"/>
  <c r="G162" i="9"/>
  <c r="J162" i="9"/>
  <c r="AG162" i="9" s="1"/>
  <c r="N162" i="9"/>
  <c r="Q162" i="9"/>
  <c r="AK162" i="9" s="1"/>
  <c r="G163" i="9"/>
  <c r="J163" i="9"/>
  <c r="AG163" i="9" s="1"/>
  <c r="N163" i="9"/>
  <c r="Q163" i="9"/>
  <c r="AK163" i="9" s="1"/>
  <c r="G164" i="9"/>
  <c r="J164" i="9"/>
  <c r="AG164" i="9" s="1"/>
  <c r="N164" i="9"/>
  <c r="Q164" i="9"/>
  <c r="AK164" i="9" s="1"/>
  <c r="G168" i="9"/>
  <c r="J168" i="9"/>
  <c r="AG168" i="9" s="1"/>
  <c r="N168" i="9"/>
  <c r="Q168" i="9"/>
  <c r="AK168" i="9" s="1"/>
  <c r="G169" i="9"/>
  <c r="J169" i="9"/>
  <c r="AG169" i="9" s="1"/>
  <c r="N169" i="9"/>
  <c r="Q169" i="9"/>
  <c r="AK169" i="9" s="1"/>
  <c r="G170" i="9"/>
  <c r="J170" i="9"/>
  <c r="AG170" i="9" s="1"/>
  <c r="N170" i="9"/>
  <c r="Q170" i="9"/>
  <c r="AK170" i="9" s="1"/>
  <c r="G171" i="9"/>
  <c r="J171" i="9"/>
  <c r="AG171" i="9" s="1"/>
  <c r="N171" i="9"/>
  <c r="Q171" i="9"/>
  <c r="AK171" i="9" s="1"/>
  <c r="U175" i="9"/>
  <c r="X175" i="9"/>
  <c r="AO175" i="9" s="1"/>
  <c r="U176" i="9"/>
  <c r="X176" i="9"/>
  <c r="AO176" i="9" s="1"/>
  <c r="U177" i="9"/>
  <c r="X177" i="9"/>
  <c r="AO177" i="9" s="1"/>
  <c r="Q178" i="9"/>
  <c r="AK178" i="9" s="1"/>
  <c r="N178" i="9"/>
  <c r="O178" i="9" s="1"/>
  <c r="AM178" i="9" s="1"/>
  <c r="G182" i="9"/>
  <c r="J182" i="9"/>
  <c r="AG182" i="9" s="1"/>
  <c r="U182" i="9"/>
  <c r="X182" i="9"/>
  <c r="AO182" i="9" s="1"/>
  <c r="G183" i="9"/>
  <c r="J183" i="9"/>
  <c r="AG183" i="9" s="1"/>
  <c r="U183" i="9"/>
  <c r="X183" i="9"/>
  <c r="AO183" i="9" s="1"/>
  <c r="G184" i="9"/>
  <c r="J184" i="9"/>
  <c r="AG184" i="9" s="1"/>
  <c r="U184" i="9"/>
  <c r="X184" i="9"/>
  <c r="AO184" i="9" s="1"/>
  <c r="G185" i="9"/>
  <c r="J185" i="9"/>
  <c r="AG185" i="9" s="1"/>
  <c r="U185" i="9"/>
  <c r="X185" i="9"/>
  <c r="AO185" i="9" s="1"/>
  <c r="G186" i="9"/>
  <c r="J186" i="9"/>
  <c r="AG186" i="9" s="1"/>
  <c r="U186" i="9"/>
  <c r="X186" i="9"/>
  <c r="AO186" i="9" s="1"/>
  <c r="G187" i="9"/>
  <c r="J187" i="9"/>
  <c r="AG187" i="9" s="1"/>
  <c r="U187" i="9"/>
  <c r="X187" i="9"/>
  <c r="AO187" i="9" s="1"/>
  <c r="G188" i="9"/>
  <c r="J188" i="9"/>
  <c r="AG188" i="9" s="1"/>
  <c r="U188" i="9"/>
  <c r="X188" i="9"/>
  <c r="AO188" i="9" s="1"/>
  <c r="G189" i="9"/>
  <c r="J189" i="9"/>
  <c r="AG189" i="9" s="1"/>
  <c r="U189" i="9"/>
  <c r="X189" i="9"/>
  <c r="AO189" i="9" s="1"/>
  <c r="G190" i="9"/>
  <c r="J190" i="9"/>
  <c r="AG190" i="9" s="1"/>
  <c r="U190" i="9"/>
  <c r="X190" i="9"/>
  <c r="AO190" i="9" s="1"/>
  <c r="N195" i="9"/>
  <c r="Q195" i="9"/>
  <c r="AK195" i="9" s="1"/>
  <c r="Q196" i="9"/>
  <c r="AK196" i="9" s="1"/>
  <c r="N196" i="9"/>
  <c r="O196" i="9" s="1"/>
  <c r="AM196" i="9" s="1"/>
  <c r="N197" i="9"/>
  <c r="Q197" i="9"/>
  <c r="AK197" i="9" s="1"/>
  <c r="Q198" i="9"/>
  <c r="AK198" i="9" s="1"/>
  <c r="N198" i="9"/>
  <c r="O198" i="9" s="1"/>
  <c r="AM198" i="9" s="1"/>
  <c r="G202" i="9"/>
  <c r="J202" i="9"/>
  <c r="AG202" i="9" s="1"/>
  <c r="U202" i="9"/>
  <c r="X202" i="9"/>
  <c r="AO202" i="9" s="1"/>
  <c r="G203" i="9"/>
  <c r="J203" i="9"/>
  <c r="AG203" i="9" s="1"/>
  <c r="U203" i="9"/>
  <c r="X203" i="9"/>
  <c r="AO203" i="9" s="1"/>
  <c r="G204" i="9"/>
  <c r="J204" i="9"/>
  <c r="AG204" i="9" s="1"/>
  <c r="U204" i="9"/>
  <c r="X204" i="9"/>
  <c r="AO204" i="9" s="1"/>
  <c r="G205" i="9"/>
  <c r="J205" i="9"/>
  <c r="AG205" i="9" s="1"/>
  <c r="U205" i="9"/>
  <c r="X205" i="9"/>
  <c r="AO205" i="9" s="1"/>
  <c r="N209" i="9"/>
  <c r="Q209" i="9"/>
  <c r="AK209" i="9" s="1"/>
  <c r="Q210" i="9"/>
  <c r="AK210" i="9" s="1"/>
  <c r="N210" i="9"/>
  <c r="O210" i="9" s="1"/>
  <c r="AM210" i="9" s="1"/>
  <c r="N211" i="9"/>
  <c r="Q211" i="9"/>
  <c r="AK211" i="9" s="1"/>
  <c r="G215" i="9"/>
  <c r="J215" i="9"/>
  <c r="AG215" i="9" s="1"/>
  <c r="U215" i="9"/>
  <c r="X215" i="9"/>
  <c r="AO215" i="9" s="1"/>
  <c r="G216" i="9"/>
  <c r="J216" i="9"/>
  <c r="AG216" i="9" s="1"/>
  <c r="U216" i="9"/>
  <c r="X216" i="9"/>
  <c r="AO216" i="9" s="1"/>
  <c r="G217" i="9"/>
  <c r="J217" i="9"/>
  <c r="AG217" i="9" s="1"/>
  <c r="U217" i="9"/>
  <c r="X217" i="9"/>
  <c r="AO217" i="9" s="1"/>
  <c r="G222" i="9"/>
  <c r="J222" i="9"/>
  <c r="AG222" i="9" s="1"/>
  <c r="U222" i="9"/>
  <c r="X222" i="9"/>
  <c r="AO222" i="9" s="1"/>
  <c r="G223" i="9"/>
  <c r="J223" i="9"/>
  <c r="AG223" i="9" s="1"/>
  <c r="U223" i="9"/>
  <c r="X223" i="9"/>
  <c r="AO223" i="9" s="1"/>
  <c r="G224" i="9"/>
  <c r="J224" i="9"/>
  <c r="AG224" i="9" s="1"/>
  <c r="U224" i="9"/>
  <c r="X224" i="9"/>
  <c r="AO224" i="9" s="1"/>
  <c r="G225" i="9"/>
  <c r="J225" i="9"/>
  <c r="AG225" i="9" s="1"/>
  <c r="U225" i="9"/>
  <c r="X225" i="9"/>
  <c r="AO225" i="9" s="1"/>
  <c r="G226" i="9"/>
  <c r="J226" i="9"/>
  <c r="AG226" i="9" s="1"/>
  <c r="U226" i="9"/>
  <c r="X226" i="9"/>
  <c r="AO226" i="9" s="1"/>
  <c r="G227" i="9"/>
  <c r="J227" i="9"/>
  <c r="AG227" i="9" s="1"/>
  <c r="U227" i="9"/>
  <c r="X227" i="9"/>
  <c r="AO227" i="9" s="1"/>
  <c r="G228" i="9"/>
  <c r="J228" i="9"/>
  <c r="AG228" i="9" s="1"/>
  <c r="U228" i="9"/>
  <c r="X228" i="9"/>
  <c r="AO228" i="9" s="1"/>
  <c r="G229" i="9"/>
  <c r="J229" i="9"/>
  <c r="AG229" i="9" s="1"/>
  <c r="U229" i="9"/>
  <c r="X229" i="9"/>
  <c r="AO229" i="9" s="1"/>
  <c r="G230" i="9"/>
  <c r="J230" i="9"/>
  <c r="AG230" i="9" s="1"/>
  <c r="U230" i="9"/>
  <c r="X230" i="9"/>
  <c r="AO230" i="9" s="1"/>
  <c r="G231" i="9"/>
  <c r="J231" i="9"/>
  <c r="AG231" i="9" s="1"/>
  <c r="U231" i="9"/>
  <c r="X231" i="9"/>
  <c r="AO231" i="9" s="1"/>
  <c r="Q235" i="9"/>
  <c r="AK235" i="9" s="1"/>
  <c r="N235" i="9"/>
  <c r="O235" i="9" s="1"/>
  <c r="AM235" i="9" s="1"/>
  <c r="N236" i="9"/>
  <c r="Q236" i="9"/>
  <c r="AK236" i="9" s="1"/>
  <c r="Q237" i="9"/>
  <c r="AK237" i="9" s="1"/>
  <c r="N237" i="9"/>
  <c r="O237" i="9" s="1"/>
  <c r="AM237" i="9" s="1"/>
  <c r="N238" i="9"/>
  <c r="Q238" i="9"/>
  <c r="AK238" i="9" s="1"/>
  <c r="Q239" i="9"/>
  <c r="AK239" i="9" s="1"/>
  <c r="N239" i="9"/>
  <c r="O239" i="9" s="1"/>
  <c r="AM239" i="9" s="1"/>
  <c r="Q240" i="9"/>
  <c r="AK240" i="9" s="1"/>
  <c r="N240" i="9"/>
  <c r="O240" i="9" s="1"/>
  <c r="AM240" i="9" s="1"/>
  <c r="G244" i="9"/>
  <c r="J244" i="9"/>
  <c r="AG244" i="9" s="1"/>
  <c r="U244" i="9"/>
  <c r="X244" i="9"/>
  <c r="AO244" i="9" s="1"/>
  <c r="G245" i="9"/>
  <c r="J245" i="9"/>
  <c r="AG245" i="9" s="1"/>
  <c r="AG250" i="9"/>
  <c r="AL250" i="9"/>
  <c r="S245" i="9"/>
  <c r="AL245" i="9" s="1"/>
  <c r="U245" i="9"/>
  <c r="X245" i="9"/>
  <c r="AO245" i="9" s="1"/>
  <c r="AO250" i="9"/>
  <c r="G246" i="9"/>
  <c r="J246" i="9"/>
  <c r="AG246" i="9" s="1"/>
  <c r="N247" i="9"/>
  <c r="Q247" i="9"/>
  <c r="AK247" i="9" s="1"/>
  <c r="N248" i="9"/>
  <c r="Q248" i="9"/>
  <c r="AK248" i="9" s="1"/>
  <c r="G252" i="9"/>
  <c r="J252" i="9"/>
  <c r="AG252" i="9" s="1"/>
  <c r="U252" i="9"/>
  <c r="X252" i="9"/>
  <c r="AO252" i="9" s="1"/>
  <c r="G253" i="9"/>
  <c r="J253" i="9"/>
  <c r="AG253" i="9" s="1"/>
  <c r="U253" i="9"/>
  <c r="X253" i="9"/>
  <c r="AO253" i="9" s="1"/>
  <c r="G254" i="9"/>
  <c r="J254" i="9"/>
  <c r="AG254" i="9" s="1"/>
  <c r="U254" i="9"/>
  <c r="X254" i="9"/>
  <c r="AO254" i="9" s="1"/>
  <c r="G255" i="9"/>
  <c r="J255" i="9"/>
  <c r="AG255" i="9" s="1"/>
  <c r="U255" i="9"/>
  <c r="X255" i="9"/>
  <c r="AO255" i="9" s="1"/>
  <c r="G256" i="9"/>
  <c r="J256" i="9"/>
  <c r="AG256" i="9" s="1"/>
  <c r="U256" i="9"/>
  <c r="X256" i="9"/>
  <c r="AO256" i="9" s="1"/>
  <c r="G257" i="9"/>
  <c r="J257" i="9"/>
  <c r="AG257" i="9" s="1"/>
  <c r="U257" i="9"/>
  <c r="X257" i="9"/>
  <c r="AO257" i="9" s="1"/>
  <c r="G258" i="9"/>
  <c r="J258" i="9"/>
  <c r="AG258" i="9" s="1"/>
  <c r="U258" i="9"/>
  <c r="X258" i="9"/>
  <c r="AO258" i="9" s="1"/>
  <c r="G259" i="9"/>
  <c r="J259" i="9"/>
  <c r="AG259" i="9" s="1"/>
  <c r="U259" i="9"/>
  <c r="X259" i="9"/>
  <c r="AO259" i="9" s="1"/>
  <c r="G260" i="9"/>
  <c r="J260" i="9"/>
  <c r="AG260" i="9" s="1"/>
  <c r="U260" i="9"/>
  <c r="X260" i="9"/>
  <c r="AO260" i="9" s="1"/>
  <c r="N264" i="9"/>
  <c r="Q264" i="9"/>
  <c r="AK264" i="9" s="1"/>
  <c r="N265" i="9"/>
  <c r="Q265" i="9"/>
  <c r="AK265" i="9" s="1"/>
  <c r="N266" i="9"/>
  <c r="Q266" i="9"/>
  <c r="AK266" i="9" s="1"/>
  <c r="N267" i="9"/>
  <c r="Q267" i="9"/>
  <c r="AK267" i="9" s="1"/>
  <c r="N268" i="9"/>
  <c r="Q268" i="9"/>
  <c r="AK268" i="9" s="1"/>
  <c r="N269" i="9"/>
  <c r="Q269" i="9"/>
  <c r="AK269" i="9" s="1"/>
  <c r="G273" i="9"/>
  <c r="J273" i="9"/>
  <c r="AG273" i="9" s="1"/>
  <c r="U273" i="9"/>
  <c r="X273" i="9"/>
  <c r="AO273" i="9" s="1"/>
  <c r="G274" i="9"/>
  <c r="J274" i="9"/>
  <c r="AG274" i="9" s="1"/>
  <c r="U274" i="9"/>
  <c r="X274" i="9"/>
  <c r="AO274" i="9" s="1"/>
  <c r="G275" i="9"/>
  <c r="J275" i="9"/>
  <c r="AG275" i="9" s="1"/>
  <c r="U275" i="9"/>
  <c r="X275" i="9"/>
  <c r="AO275" i="9" s="1"/>
  <c r="G276" i="9"/>
  <c r="J276" i="9"/>
  <c r="AG276" i="9" s="1"/>
  <c r="U276" i="9"/>
  <c r="X276" i="9"/>
  <c r="AO276" i="9" s="1"/>
  <c r="G277" i="9"/>
  <c r="J277" i="9"/>
  <c r="AG277" i="9" s="1"/>
  <c r="U277" i="9"/>
  <c r="X277" i="9"/>
  <c r="AO277" i="9" s="1"/>
  <c r="G278" i="9"/>
  <c r="J278" i="9"/>
  <c r="AG278" i="9" s="1"/>
  <c r="U278" i="9"/>
  <c r="X278" i="9"/>
  <c r="AO278" i="9" s="1"/>
  <c r="G279" i="9"/>
  <c r="J279" i="9"/>
  <c r="AG279" i="9" s="1"/>
  <c r="U279" i="9"/>
  <c r="X279" i="9"/>
  <c r="AO279" i="9" s="1"/>
  <c r="G280" i="9"/>
  <c r="J280" i="9"/>
  <c r="AG280" i="9" s="1"/>
  <c r="U280" i="9"/>
  <c r="X280" i="9"/>
  <c r="AO280" i="9" s="1"/>
  <c r="G281" i="9"/>
  <c r="J281" i="9"/>
  <c r="AG281" i="9" s="1"/>
  <c r="U281" i="9"/>
  <c r="X281" i="9"/>
  <c r="AO281" i="9" s="1"/>
  <c r="G282" i="9"/>
  <c r="J282" i="9"/>
  <c r="AG282" i="9" s="1"/>
  <c r="U282" i="9"/>
  <c r="X282" i="9"/>
  <c r="AO282" i="9" s="1"/>
  <c r="G283" i="9"/>
  <c r="J283" i="9"/>
  <c r="AG283" i="9" s="1"/>
  <c r="U283" i="9"/>
  <c r="X283" i="9"/>
  <c r="AO283" i="9" s="1"/>
  <c r="G284" i="9"/>
  <c r="J284" i="9"/>
  <c r="AG284" i="9" s="1"/>
  <c r="U284" i="9"/>
  <c r="X284" i="9"/>
  <c r="AO284" i="9" s="1"/>
  <c r="G285" i="9"/>
  <c r="J285" i="9"/>
  <c r="AG285" i="9" s="1"/>
  <c r="U285" i="9"/>
  <c r="X285" i="9"/>
  <c r="AO285" i="9" s="1"/>
  <c r="G286" i="9"/>
  <c r="J286" i="9"/>
  <c r="AG286" i="9" s="1"/>
  <c r="U286" i="9"/>
  <c r="X286" i="9"/>
  <c r="AO286" i="9" s="1"/>
  <c r="G290" i="9"/>
  <c r="AG296" i="9"/>
  <c r="J290" i="9"/>
  <c r="AG290" i="9" s="1"/>
  <c r="AL290" i="9"/>
  <c r="U290" i="9"/>
  <c r="X290" i="9"/>
  <c r="AO290" i="9" s="1"/>
  <c r="AO296" i="9"/>
  <c r="G291" i="9"/>
  <c r="J291" i="9"/>
  <c r="AG291" i="9" s="1"/>
  <c r="U291" i="9"/>
  <c r="X291" i="9"/>
  <c r="AO291" i="9" s="1"/>
  <c r="G292" i="9"/>
  <c r="J292" i="9"/>
  <c r="AG292" i="9" s="1"/>
  <c r="U292" i="9"/>
  <c r="X292" i="9"/>
  <c r="AO292" i="9" s="1"/>
  <c r="G293" i="9"/>
  <c r="J293" i="9"/>
  <c r="AG293" i="9" s="1"/>
  <c r="U293" i="9"/>
  <c r="X293" i="9"/>
  <c r="AO293" i="9" s="1"/>
  <c r="G294" i="9"/>
  <c r="J294" i="9"/>
  <c r="AG294" i="9" s="1"/>
  <c r="U294" i="9"/>
  <c r="X294" i="9"/>
  <c r="AO294" i="9" s="1"/>
  <c r="AH311" i="9"/>
  <c r="L305" i="9"/>
  <c r="AH305" i="9" s="1"/>
  <c r="N305" i="9"/>
  <c r="Q305" i="9"/>
  <c r="AO311" i="9"/>
  <c r="U305" i="9"/>
  <c r="X305" i="9"/>
  <c r="AO305" i="9" s="1"/>
  <c r="G306" i="9"/>
  <c r="J306" i="9"/>
  <c r="AG306" i="9" s="1"/>
  <c r="U307" i="9"/>
  <c r="V307" i="9" s="1"/>
  <c r="AQ307" i="9" s="1"/>
  <c r="X307" i="9"/>
  <c r="AO307" i="9" s="1"/>
  <c r="G308" i="9"/>
  <c r="J308" i="9"/>
  <c r="AG308" i="9" s="1"/>
  <c r="U309" i="9"/>
  <c r="V309" i="9" s="1"/>
  <c r="AQ309" i="9" s="1"/>
  <c r="X309" i="9"/>
  <c r="AO309" i="9" s="1"/>
  <c r="G310" i="9"/>
  <c r="J310" i="9"/>
  <c r="AG310" i="9" s="1"/>
  <c r="N313" i="9"/>
  <c r="O313" i="9" s="1"/>
  <c r="Q313" i="9"/>
  <c r="AP319" i="9"/>
  <c r="Z313" i="9"/>
  <c r="AP313" i="9" s="1"/>
  <c r="N314" i="9"/>
  <c r="O314" i="9" s="1"/>
  <c r="AM314" i="9" s="1"/>
  <c r="Q314" i="9"/>
  <c r="AK314" i="9" s="1"/>
  <c r="N315" i="9"/>
  <c r="O315" i="9" s="1"/>
  <c r="AM315" i="9" s="1"/>
  <c r="Q315" i="9"/>
  <c r="AK315" i="9" s="1"/>
  <c r="N316" i="9"/>
  <c r="O316" i="9" s="1"/>
  <c r="AM316" i="9" s="1"/>
  <c r="Q316" i="9"/>
  <c r="AK316" i="9" s="1"/>
  <c r="N317" i="9"/>
  <c r="O317" i="9" s="1"/>
  <c r="AM317" i="9" s="1"/>
  <c r="Q317" i="9"/>
  <c r="AK317" i="9" s="1"/>
  <c r="N318" i="9"/>
  <c r="O318" i="9" s="1"/>
  <c r="AM318" i="9" s="1"/>
  <c r="Q318" i="9"/>
  <c r="AK318" i="9" s="1"/>
  <c r="AO327" i="9"/>
  <c r="U321" i="9"/>
  <c r="X321" i="9"/>
  <c r="AO321" i="9" s="1"/>
  <c r="G322" i="9"/>
  <c r="J322" i="9"/>
  <c r="AG322" i="9" s="1"/>
  <c r="U323" i="9"/>
  <c r="X323" i="9"/>
  <c r="AO323" i="9" s="1"/>
  <c r="G324" i="9"/>
  <c r="J324" i="9"/>
  <c r="AG324" i="9" s="1"/>
  <c r="AO335" i="9"/>
  <c r="U329" i="9"/>
  <c r="X329" i="9"/>
  <c r="AO329" i="9" s="1"/>
  <c r="G330" i="9"/>
  <c r="J330" i="9"/>
  <c r="AG330" i="9" s="1"/>
  <c r="U331" i="9"/>
  <c r="V331" i="9" s="1"/>
  <c r="AQ331" i="9" s="1"/>
  <c r="X331" i="9"/>
  <c r="AO331" i="9" s="1"/>
  <c r="G332" i="9"/>
  <c r="J332" i="9"/>
  <c r="AG332" i="9" s="1"/>
  <c r="U333" i="9"/>
  <c r="V333" i="9" s="1"/>
  <c r="AQ333" i="9" s="1"/>
  <c r="X333" i="9"/>
  <c r="AO333" i="9" s="1"/>
  <c r="G334" i="9"/>
  <c r="J334" i="9"/>
  <c r="AG334" i="9" s="1"/>
  <c r="N337" i="9"/>
  <c r="O337" i="9" s="1"/>
  <c r="Q337" i="9"/>
  <c r="AP343" i="9"/>
  <c r="Z337" i="9"/>
  <c r="AP337" i="9" s="1"/>
  <c r="G209" i="9"/>
  <c r="J209" i="9"/>
  <c r="AG209" i="9" s="1"/>
  <c r="U209" i="9"/>
  <c r="V209" i="9" s="1"/>
  <c r="AQ209" i="9" s="1"/>
  <c r="X209" i="9"/>
  <c r="AO209" i="9" s="1"/>
  <c r="G210" i="9"/>
  <c r="J210" i="9"/>
  <c r="AG210" i="9" s="1"/>
  <c r="U210" i="9"/>
  <c r="V210" i="9" s="1"/>
  <c r="AQ210" i="9" s="1"/>
  <c r="X210" i="9"/>
  <c r="AO210" i="9" s="1"/>
  <c r="G211" i="9"/>
  <c r="J211" i="9"/>
  <c r="AG211" i="9" s="1"/>
  <c r="U211" i="9"/>
  <c r="V211" i="9" s="1"/>
  <c r="AQ211" i="9" s="1"/>
  <c r="X211" i="9"/>
  <c r="AO211" i="9" s="1"/>
  <c r="Q215" i="9"/>
  <c r="AK215" i="9" s="1"/>
  <c r="N215" i="9"/>
  <c r="N216" i="9"/>
  <c r="O216" i="9" s="1"/>
  <c r="AM216" i="9" s="1"/>
  <c r="Q216" i="9"/>
  <c r="AK216" i="9" s="1"/>
  <c r="Q217" i="9"/>
  <c r="AK217" i="9" s="1"/>
  <c r="N217" i="9"/>
  <c r="Q222" i="9"/>
  <c r="AK222" i="9" s="1"/>
  <c r="N222" i="9"/>
  <c r="N223" i="9"/>
  <c r="O223" i="9" s="1"/>
  <c r="AM223" i="9" s="1"/>
  <c r="Q223" i="9"/>
  <c r="AK223" i="9" s="1"/>
  <c r="Q224" i="9"/>
  <c r="AK224" i="9" s="1"/>
  <c r="N224" i="9"/>
  <c r="N225" i="9"/>
  <c r="O225" i="9" s="1"/>
  <c r="AM225" i="9" s="1"/>
  <c r="Q225" i="9"/>
  <c r="AK225" i="9" s="1"/>
  <c r="Q226" i="9"/>
  <c r="AK226" i="9" s="1"/>
  <c r="N226" i="9"/>
  <c r="N227" i="9"/>
  <c r="O227" i="9" s="1"/>
  <c r="AM227" i="9" s="1"/>
  <c r="Q227" i="9"/>
  <c r="AK227" i="9" s="1"/>
  <c r="Q228" i="9"/>
  <c r="AK228" i="9" s="1"/>
  <c r="N228" i="9"/>
  <c r="N229" i="9"/>
  <c r="O229" i="9" s="1"/>
  <c r="AM229" i="9" s="1"/>
  <c r="Q229" i="9"/>
  <c r="AK229" i="9" s="1"/>
  <c r="Q230" i="9"/>
  <c r="AK230" i="9" s="1"/>
  <c r="N230" i="9"/>
  <c r="N231" i="9"/>
  <c r="O231" i="9" s="1"/>
  <c r="AM231" i="9" s="1"/>
  <c r="Q231" i="9"/>
  <c r="AK231" i="9" s="1"/>
  <c r="G235" i="9"/>
  <c r="J235" i="9"/>
  <c r="AG235" i="9" s="1"/>
  <c r="U235" i="9"/>
  <c r="V235" i="9" s="1"/>
  <c r="AQ235" i="9" s="1"/>
  <c r="X235" i="9"/>
  <c r="AO235" i="9" s="1"/>
  <c r="G236" i="9"/>
  <c r="J236" i="9"/>
  <c r="AG236" i="9" s="1"/>
  <c r="U236" i="9"/>
  <c r="V236" i="9" s="1"/>
  <c r="AQ236" i="9" s="1"/>
  <c r="X236" i="9"/>
  <c r="AO236" i="9" s="1"/>
  <c r="G237" i="9"/>
  <c r="J237" i="9"/>
  <c r="AG237" i="9" s="1"/>
  <c r="U237" i="9"/>
  <c r="V237" i="9" s="1"/>
  <c r="AQ237" i="9" s="1"/>
  <c r="X237" i="9"/>
  <c r="AO237" i="9" s="1"/>
  <c r="G238" i="9"/>
  <c r="J238" i="9"/>
  <c r="AG238" i="9" s="1"/>
  <c r="U238" i="9"/>
  <c r="V238" i="9" s="1"/>
  <c r="AQ238" i="9" s="1"/>
  <c r="X238" i="9"/>
  <c r="AO238" i="9" s="1"/>
  <c r="G239" i="9"/>
  <c r="J239" i="9"/>
  <c r="AG239" i="9" s="1"/>
  <c r="U239" i="9"/>
  <c r="V239" i="9" s="1"/>
  <c r="AQ239" i="9" s="1"/>
  <c r="X239" i="9"/>
  <c r="AO239" i="9" s="1"/>
  <c r="G240" i="9"/>
  <c r="J240" i="9"/>
  <c r="AG240" i="9" s="1"/>
  <c r="U240" i="9"/>
  <c r="V240" i="9" s="1"/>
  <c r="AQ240" i="9" s="1"/>
  <c r="X240" i="9"/>
  <c r="AO240" i="9" s="1"/>
  <c r="Q244" i="9"/>
  <c r="AK244" i="9" s="1"/>
  <c r="N244" i="9"/>
  <c r="L245" i="9"/>
  <c r="AH245" i="9" s="1"/>
  <c r="AH250" i="9"/>
  <c r="AK250" i="9"/>
  <c r="N245" i="9"/>
  <c r="Q245" i="9"/>
  <c r="AK245" i="9" s="1"/>
  <c r="Z245" i="9"/>
  <c r="AP245" i="9" s="1"/>
  <c r="AP250" i="9"/>
  <c r="Q246" i="9"/>
  <c r="AK246" i="9" s="1"/>
  <c r="N246" i="9"/>
  <c r="O246" i="9" s="1"/>
  <c r="AM246" i="9" s="1"/>
  <c r="U246" i="9"/>
  <c r="X246" i="9"/>
  <c r="AO246" i="9" s="1"/>
  <c r="G247" i="9"/>
  <c r="J247" i="9"/>
  <c r="AG247" i="9" s="1"/>
  <c r="U247" i="9"/>
  <c r="X247" i="9"/>
  <c r="AO247" i="9" s="1"/>
  <c r="G248" i="9"/>
  <c r="J248" i="9"/>
  <c r="AG248" i="9" s="1"/>
  <c r="U248" i="9"/>
  <c r="X248" i="9"/>
  <c r="AO248" i="9" s="1"/>
  <c r="N252" i="9"/>
  <c r="Q252" i="9"/>
  <c r="AK252" i="9" s="1"/>
  <c r="N253" i="9"/>
  <c r="Q253" i="9"/>
  <c r="AK253" i="9" s="1"/>
  <c r="N254" i="9"/>
  <c r="Q254" i="9"/>
  <c r="AK254" i="9" s="1"/>
  <c r="N255" i="9"/>
  <c r="Q255" i="9"/>
  <c r="AK255" i="9" s="1"/>
  <c r="N256" i="9"/>
  <c r="Q256" i="9"/>
  <c r="AK256" i="9" s="1"/>
  <c r="N257" i="9"/>
  <c r="Q257" i="9"/>
  <c r="AK257" i="9" s="1"/>
  <c r="N258" i="9"/>
  <c r="Q258" i="9"/>
  <c r="AK258" i="9" s="1"/>
  <c r="N259" i="9"/>
  <c r="Q259" i="9"/>
  <c r="AK259" i="9" s="1"/>
  <c r="N260" i="9"/>
  <c r="Q260" i="9"/>
  <c r="AK260" i="9" s="1"/>
  <c r="G264" i="9"/>
  <c r="J264" i="9"/>
  <c r="AG264" i="9" s="1"/>
  <c r="U264" i="9"/>
  <c r="X264" i="9"/>
  <c r="AO264" i="9" s="1"/>
  <c r="G265" i="9"/>
  <c r="J265" i="9"/>
  <c r="AG265" i="9" s="1"/>
  <c r="U265" i="9"/>
  <c r="X265" i="9"/>
  <c r="AO265" i="9" s="1"/>
  <c r="G266" i="9"/>
  <c r="J266" i="9"/>
  <c r="AG266" i="9" s="1"/>
  <c r="U266" i="9"/>
  <c r="X266" i="9"/>
  <c r="AO266" i="9" s="1"/>
  <c r="G267" i="9"/>
  <c r="J267" i="9"/>
  <c r="AG267" i="9" s="1"/>
  <c r="U267" i="9"/>
  <c r="X267" i="9"/>
  <c r="AO267" i="9" s="1"/>
  <c r="G268" i="9"/>
  <c r="J268" i="9"/>
  <c r="AG268" i="9" s="1"/>
  <c r="U268" i="9"/>
  <c r="X268" i="9"/>
  <c r="AO268" i="9" s="1"/>
  <c r="G269" i="9"/>
  <c r="J269" i="9"/>
  <c r="AG269" i="9" s="1"/>
  <c r="U269" i="9"/>
  <c r="X269" i="9"/>
  <c r="AO269" i="9" s="1"/>
  <c r="N273" i="9"/>
  <c r="Q273" i="9"/>
  <c r="AK273" i="9" s="1"/>
  <c r="N274" i="9"/>
  <c r="Q274" i="9"/>
  <c r="AK274" i="9" s="1"/>
  <c r="N275" i="9"/>
  <c r="Q275" i="9"/>
  <c r="AK275" i="9" s="1"/>
  <c r="N276" i="9"/>
  <c r="Q276" i="9"/>
  <c r="AK276" i="9" s="1"/>
  <c r="N277" i="9"/>
  <c r="Q277" i="9"/>
  <c r="AK277" i="9" s="1"/>
  <c r="N278" i="9"/>
  <c r="Q278" i="9"/>
  <c r="AK278" i="9" s="1"/>
  <c r="N279" i="9"/>
  <c r="Q279" i="9"/>
  <c r="AK279" i="9" s="1"/>
  <c r="N280" i="9"/>
  <c r="Q280" i="9"/>
  <c r="AK280" i="9" s="1"/>
  <c r="N281" i="9"/>
  <c r="Q281" i="9"/>
  <c r="AK281" i="9" s="1"/>
  <c r="N282" i="9"/>
  <c r="Q282" i="9"/>
  <c r="AK282" i="9" s="1"/>
  <c r="N283" i="9"/>
  <c r="Q283" i="9"/>
  <c r="AK283" i="9" s="1"/>
  <c r="N284" i="9"/>
  <c r="Q284" i="9"/>
  <c r="AK284" i="9" s="1"/>
  <c r="N285" i="9"/>
  <c r="Q285" i="9"/>
  <c r="AK285" i="9" s="1"/>
  <c r="N286" i="9"/>
  <c r="Q286" i="9"/>
  <c r="AK286" i="9" s="1"/>
  <c r="AH296" i="9"/>
  <c r="L290" i="9"/>
  <c r="AH290" i="9" s="1"/>
  <c r="N290" i="9"/>
  <c r="Q290" i="9"/>
  <c r="AP296" i="9"/>
  <c r="Z290" i="9"/>
  <c r="AP290" i="9" s="1"/>
  <c r="N291" i="9"/>
  <c r="Q291" i="9"/>
  <c r="AK291" i="9" s="1"/>
  <c r="N292" i="9"/>
  <c r="Q292" i="9"/>
  <c r="AK292" i="9" s="1"/>
  <c r="N293" i="9"/>
  <c r="Q293" i="9"/>
  <c r="AK293" i="9" s="1"/>
  <c r="N294" i="9"/>
  <c r="Q294" i="9"/>
  <c r="AK294" i="9" s="1"/>
  <c r="G305" i="9"/>
  <c r="AG311" i="9"/>
  <c r="J305" i="9"/>
  <c r="AG305" i="9" s="1"/>
  <c r="AL305" i="9"/>
  <c r="U306" i="9"/>
  <c r="V306" i="9" s="1"/>
  <c r="AQ306" i="9" s="1"/>
  <c r="X306" i="9"/>
  <c r="AO306" i="9" s="1"/>
  <c r="G307" i="9"/>
  <c r="J307" i="9"/>
  <c r="AG307" i="9" s="1"/>
  <c r="U308" i="9"/>
  <c r="V308" i="9" s="1"/>
  <c r="AQ308" i="9" s="1"/>
  <c r="X308" i="9"/>
  <c r="AO308" i="9" s="1"/>
  <c r="G309" i="9"/>
  <c r="J309" i="9"/>
  <c r="AG309" i="9" s="1"/>
  <c r="U310" i="9"/>
  <c r="V310" i="9" s="1"/>
  <c r="AQ310" i="9" s="1"/>
  <c r="X310" i="9"/>
  <c r="AO310" i="9" s="1"/>
  <c r="AH319" i="9"/>
  <c r="L313" i="9"/>
  <c r="AH313" i="9" s="1"/>
  <c r="AG327" i="9"/>
  <c r="G321" i="9"/>
  <c r="J321" i="9"/>
  <c r="AG321" i="9" s="1"/>
  <c r="AL321" i="9"/>
  <c r="U322" i="9"/>
  <c r="X322" i="9"/>
  <c r="AO322" i="9" s="1"/>
  <c r="G323" i="9"/>
  <c r="J323" i="9"/>
  <c r="AG323" i="9" s="1"/>
  <c r="N324" i="9"/>
  <c r="Q324" i="9"/>
  <c r="AK324" i="9" s="1"/>
  <c r="N325" i="9"/>
  <c r="Q325" i="9"/>
  <c r="AK325" i="9" s="1"/>
  <c r="G326" i="9"/>
  <c r="J326" i="9"/>
  <c r="AG326" i="9" s="1"/>
  <c r="AG335" i="9"/>
  <c r="G329" i="9"/>
  <c r="J329" i="9"/>
  <c r="AG329" i="9" s="1"/>
  <c r="AL329" i="9"/>
  <c r="U330" i="9"/>
  <c r="V330" i="9" s="1"/>
  <c r="AQ330" i="9" s="1"/>
  <c r="X330" i="9"/>
  <c r="AO330" i="9" s="1"/>
  <c r="G331" i="9"/>
  <c r="J331" i="9"/>
  <c r="AG331" i="9" s="1"/>
  <c r="U332" i="9"/>
  <c r="V332" i="9" s="1"/>
  <c r="AQ332" i="9" s="1"/>
  <c r="X332" i="9"/>
  <c r="AO332" i="9" s="1"/>
  <c r="G333" i="9"/>
  <c r="J333" i="9"/>
  <c r="AG333" i="9" s="1"/>
  <c r="U334" i="9"/>
  <c r="V334" i="9" s="1"/>
  <c r="AQ334" i="9" s="1"/>
  <c r="X334" i="9"/>
  <c r="AO334" i="9" s="1"/>
  <c r="AH343" i="9"/>
  <c r="L337" i="9"/>
  <c r="AH337" i="9" s="1"/>
  <c r="N338" i="9"/>
  <c r="O338" i="9" s="1"/>
  <c r="AM338" i="9" s="1"/>
  <c r="Q338" i="9"/>
  <c r="AK338" i="9" s="1"/>
  <c r="N339" i="9"/>
  <c r="O339" i="9" s="1"/>
  <c r="AM339" i="9" s="1"/>
  <c r="Q339" i="9"/>
  <c r="AK339" i="9" s="1"/>
  <c r="N340" i="9"/>
  <c r="O340" i="9" s="1"/>
  <c r="AM340" i="9" s="1"/>
  <c r="Q340" i="9"/>
  <c r="AK340" i="9" s="1"/>
  <c r="N341" i="9"/>
  <c r="O341" i="9" s="1"/>
  <c r="AM341" i="9" s="1"/>
  <c r="Q341" i="9"/>
  <c r="AK341" i="9" s="1"/>
  <c r="N342" i="9"/>
  <c r="O342" i="9" s="1"/>
  <c r="AM342" i="9" s="1"/>
  <c r="Q342" i="9"/>
  <c r="AK342" i="9" s="1"/>
  <c r="AG351" i="9"/>
  <c r="G345" i="9"/>
  <c r="J345" i="9"/>
  <c r="AG345" i="9" s="1"/>
  <c r="AL345" i="9"/>
  <c r="AO351" i="9"/>
  <c r="U345" i="9"/>
  <c r="X345" i="9"/>
  <c r="AO345" i="9" s="1"/>
  <c r="G346" i="9"/>
  <c r="J346" i="9"/>
  <c r="AG346" i="9" s="1"/>
  <c r="U346" i="9"/>
  <c r="V346" i="9" s="1"/>
  <c r="AQ346" i="9" s="1"/>
  <c r="X346" i="9"/>
  <c r="AO346" i="9" s="1"/>
  <c r="G347" i="9"/>
  <c r="J347" i="9"/>
  <c r="AG347" i="9" s="1"/>
  <c r="U347" i="9"/>
  <c r="V347" i="9" s="1"/>
  <c r="AQ347" i="9" s="1"/>
  <c r="X347" i="9"/>
  <c r="AO347" i="9" s="1"/>
  <c r="G348" i="9"/>
  <c r="J348" i="9"/>
  <c r="AG348" i="9" s="1"/>
  <c r="U348" i="9"/>
  <c r="V348" i="9" s="1"/>
  <c r="AQ348" i="9" s="1"/>
  <c r="X348" i="9"/>
  <c r="AO348" i="9" s="1"/>
  <c r="G349" i="9"/>
  <c r="J349" i="9"/>
  <c r="AG349" i="9" s="1"/>
  <c r="U349" i="9"/>
  <c r="V349" i="9" s="1"/>
  <c r="AQ349" i="9" s="1"/>
  <c r="X349" i="9"/>
  <c r="AO349" i="9" s="1"/>
  <c r="G350" i="9"/>
  <c r="J350" i="9"/>
  <c r="AG350" i="9" s="1"/>
  <c r="U350" i="9"/>
  <c r="V350" i="9" s="1"/>
  <c r="AQ350" i="9" s="1"/>
  <c r="X350" i="9"/>
  <c r="AO350" i="9" s="1"/>
  <c r="AG359" i="9"/>
  <c r="G353" i="9"/>
  <c r="J353" i="9"/>
  <c r="AG353" i="9" s="1"/>
  <c r="AL353" i="9"/>
  <c r="AO359" i="9"/>
  <c r="U353" i="9"/>
  <c r="X353" i="9"/>
  <c r="AO353" i="9" s="1"/>
  <c r="G354" i="9"/>
  <c r="J354" i="9"/>
  <c r="AG354" i="9" s="1"/>
  <c r="AP311" i="9"/>
  <c r="Z305" i="9"/>
  <c r="AP305" i="9" s="1"/>
  <c r="N306" i="9"/>
  <c r="O306" i="9" s="1"/>
  <c r="AM306" i="9" s="1"/>
  <c r="Q306" i="9"/>
  <c r="AK306" i="9" s="1"/>
  <c r="N307" i="9"/>
  <c r="O307" i="9" s="1"/>
  <c r="AM307" i="9" s="1"/>
  <c r="Q307" i="9"/>
  <c r="AK307" i="9" s="1"/>
  <c r="N308" i="9"/>
  <c r="O308" i="9" s="1"/>
  <c r="AM308" i="9" s="1"/>
  <c r="Q308" i="9"/>
  <c r="AK308" i="9" s="1"/>
  <c r="N309" i="9"/>
  <c r="O309" i="9" s="1"/>
  <c r="AM309" i="9" s="1"/>
  <c r="Q309" i="9"/>
  <c r="AK309" i="9" s="1"/>
  <c r="N310" i="9"/>
  <c r="O310" i="9" s="1"/>
  <c r="AM310" i="9" s="1"/>
  <c r="Q310" i="9"/>
  <c r="AK310" i="9" s="1"/>
  <c r="G313" i="9"/>
  <c r="J313" i="9"/>
  <c r="AG313" i="9" s="1"/>
  <c r="AG319" i="9"/>
  <c r="AL319" i="9"/>
  <c r="AO319" i="9"/>
  <c r="U313" i="9"/>
  <c r="X313" i="9"/>
  <c r="AO313" i="9" s="1"/>
  <c r="G314" i="9"/>
  <c r="J314" i="9"/>
  <c r="AG314" i="9" s="1"/>
  <c r="U314" i="9"/>
  <c r="V314" i="9" s="1"/>
  <c r="AQ314" i="9" s="1"/>
  <c r="X314" i="9"/>
  <c r="AO314" i="9" s="1"/>
  <c r="G315" i="9"/>
  <c r="J315" i="9"/>
  <c r="AG315" i="9" s="1"/>
  <c r="U315" i="9"/>
  <c r="V315" i="9" s="1"/>
  <c r="AQ315" i="9" s="1"/>
  <c r="X315" i="9"/>
  <c r="AO315" i="9" s="1"/>
  <c r="G316" i="9"/>
  <c r="J316" i="9"/>
  <c r="AG316" i="9" s="1"/>
  <c r="U316" i="9"/>
  <c r="V316" i="9" s="1"/>
  <c r="AQ316" i="9" s="1"/>
  <c r="X316" i="9"/>
  <c r="AO316" i="9" s="1"/>
  <c r="G317" i="9"/>
  <c r="J317" i="9"/>
  <c r="AG317" i="9" s="1"/>
  <c r="U317" i="9"/>
  <c r="V317" i="9" s="1"/>
  <c r="AQ317" i="9" s="1"/>
  <c r="X317" i="9"/>
  <c r="AO317" i="9" s="1"/>
  <c r="G318" i="9"/>
  <c r="J318" i="9"/>
  <c r="AG318" i="9" s="1"/>
  <c r="U318" i="9"/>
  <c r="V318" i="9" s="1"/>
  <c r="AQ318" i="9" s="1"/>
  <c r="X318" i="9"/>
  <c r="AO318" i="9" s="1"/>
  <c r="AH327" i="9"/>
  <c r="L321" i="9"/>
  <c r="AH321" i="9" s="1"/>
  <c r="N321" i="9"/>
  <c r="O321" i="9" s="1"/>
  <c r="Q321" i="9"/>
  <c r="AP327" i="9"/>
  <c r="Z321" i="9"/>
  <c r="AP321" i="9" s="1"/>
  <c r="N322" i="9"/>
  <c r="O322" i="9" s="1"/>
  <c r="AM322" i="9" s="1"/>
  <c r="Q322" i="9"/>
  <c r="AK322" i="9" s="1"/>
  <c r="N323" i="9"/>
  <c r="O323" i="9" s="1"/>
  <c r="AM323" i="9" s="1"/>
  <c r="Q323" i="9"/>
  <c r="AK323" i="9" s="1"/>
  <c r="U324" i="9"/>
  <c r="V324" i="9" s="1"/>
  <c r="AQ324" i="9" s="1"/>
  <c r="X324" i="9"/>
  <c r="AO324" i="9" s="1"/>
  <c r="G325" i="9"/>
  <c r="J325" i="9"/>
  <c r="AG325" i="9" s="1"/>
  <c r="U325" i="9"/>
  <c r="V325" i="9" s="1"/>
  <c r="AQ325" i="9" s="1"/>
  <c r="X325" i="9"/>
  <c r="AO325" i="9" s="1"/>
  <c r="N326" i="9"/>
  <c r="O326" i="9" s="1"/>
  <c r="AM326" i="9" s="1"/>
  <c r="Q326" i="9"/>
  <c r="AK326" i="9" s="1"/>
  <c r="U326" i="9"/>
  <c r="V326" i="9" s="1"/>
  <c r="AQ326" i="9" s="1"/>
  <c r="X326" i="9"/>
  <c r="AO326" i="9" s="1"/>
  <c r="AH335" i="9"/>
  <c r="L329" i="9"/>
  <c r="AH329" i="9" s="1"/>
  <c r="N329" i="9"/>
  <c r="O329" i="9" s="1"/>
  <c r="Q329" i="9"/>
  <c r="AP335" i="9"/>
  <c r="Z329" i="9"/>
  <c r="AP329" i="9" s="1"/>
  <c r="N330" i="9"/>
  <c r="O330" i="9" s="1"/>
  <c r="AM330" i="9" s="1"/>
  <c r="Q330" i="9"/>
  <c r="AK330" i="9" s="1"/>
  <c r="N331" i="9"/>
  <c r="O331" i="9" s="1"/>
  <c r="AM331" i="9" s="1"/>
  <c r="Q331" i="9"/>
  <c r="AK331" i="9" s="1"/>
  <c r="N332" i="9"/>
  <c r="O332" i="9" s="1"/>
  <c r="AM332" i="9" s="1"/>
  <c r="Q332" i="9"/>
  <c r="AK332" i="9" s="1"/>
  <c r="N333" i="9"/>
  <c r="O333" i="9" s="1"/>
  <c r="AM333" i="9" s="1"/>
  <c r="Q333" i="9"/>
  <c r="AK333" i="9" s="1"/>
  <c r="N334" i="9"/>
  <c r="O334" i="9" s="1"/>
  <c r="AM334" i="9" s="1"/>
  <c r="Q334" i="9"/>
  <c r="AK334" i="9" s="1"/>
  <c r="AG343" i="9"/>
  <c r="G337" i="9"/>
  <c r="J337" i="9"/>
  <c r="AG337" i="9" s="1"/>
  <c r="AO343" i="9"/>
  <c r="U337" i="9"/>
  <c r="X337" i="9"/>
  <c r="AO337" i="9" s="1"/>
  <c r="G338" i="9"/>
  <c r="J338" i="9"/>
  <c r="AG338" i="9" s="1"/>
  <c r="U338" i="9"/>
  <c r="V338" i="9" s="1"/>
  <c r="AQ338" i="9" s="1"/>
  <c r="X338" i="9"/>
  <c r="AO338" i="9" s="1"/>
  <c r="G339" i="9"/>
  <c r="J339" i="9"/>
  <c r="AG339" i="9" s="1"/>
  <c r="U339" i="9"/>
  <c r="V339" i="9" s="1"/>
  <c r="AQ339" i="9" s="1"/>
  <c r="X339" i="9"/>
  <c r="AO339" i="9" s="1"/>
  <c r="G340" i="9"/>
  <c r="J340" i="9"/>
  <c r="AG340" i="9" s="1"/>
  <c r="U340" i="9"/>
  <c r="V340" i="9" s="1"/>
  <c r="AQ340" i="9" s="1"/>
  <c r="X340" i="9"/>
  <c r="AO340" i="9" s="1"/>
  <c r="G341" i="9"/>
  <c r="J341" i="9"/>
  <c r="AG341" i="9" s="1"/>
  <c r="U341" i="9"/>
  <c r="V341" i="9" s="1"/>
  <c r="AQ341" i="9" s="1"/>
  <c r="X341" i="9"/>
  <c r="AO341" i="9" s="1"/>
  <c r="G342" i="9"/>
  <c r="J342" i="9"/>
  <c r="AG342" i="9" s="1"/>
  <c r="U342" i="9"/>
  <c r="V342" i="9" s="1"/>
  <c r="AQ342" i="9" s="1"/>
  <c r="X342" i="9"/>
  <c r="AO342" i="9" s="1"/>
  <c r="AH351" i="9"/>
  <c r="L345" i="9"/>
  <c r="AH345" i="9" s="1"/>
  <c r="N345" i="9"/>
  <c r="O345" i="9" s="1"/>
  <c r="Q345" i="9"/>
  <c r="AP351" i="9"/>
  <c r="Z345" i="9"/>
  <c r="AP345" i="9" s="1"/>
  <c r="N346" i="9"/>
  <c r="O346" i="9" s="1"/>
  <c r="AM346" i="9" s="1"/>
  <c r="Q346" i="9"/>
  <c r="AK346" i="9" s="1"/>
  <c r="N347" i="9"/>
  <c r="O347" i="9" s="1"/>
  <c r="AM347" i="9" s="1"/>
  <c r="Q347" i="9"/>
  <c r="AK347" i="9" s="1"/>
  <c r="N348" i="9"/>
  <c r="O348" i="9" s="1"/>
  <c r="AM348" i="9" s="1"/>
  <c r="Q348" i="9"/>
  <c r="AK348" i="9" s="1"/>
  <c r="N349" i="9"/>
  <c r="O349" i="9" s="1"/>
  <c r="AM349" i="9" s="1"/>
  <c r="Q349" i="9"/>
  <c r="AK349" i="9" s="1"/>
  <c r="N350" i="9"/>
  <c r="O350" i="9" s="1"/>
  <c r="AM350" i="9" s="1"/>
  <c r="Q350" i="9"/>
  <c r="AK350" i="9" s="1"/>
  <c r="AH359" i="9"/>
  <c r="L353" i="9"/>
  <c r="AH353" i="9" s="1"/>
  <c r="N353" i="9"/>
  <c r="O353" i="9" s="1"/>
  <c r="Q353" i="9"/>
  <c r="AP359" i="9"/>
  <c r="Z353" i="9"/>
  <c r="AP353" i="9" s="1"/>
  <c r="U354" i="9"/>
  <c r="V354" i="9" s="1"/>
  <c r="AQ354" i="9" s="1"/>
  <c r="X354" i="9"/>
  <c r="AO354" i="9" s="1"/>
  <c r="G355" i="9"/>
  <c r="J355" i="9"/>
  <c r="AG355" i="9" s="1"/>
  <c r="U355" i="9"/>
  <c r="V355" i="9" s="1"/>
  <c r="AQ355" i="9" s="1"/>
  <c r="X355" i="9"/>
  <c r="AO355" i="9" s="1"/>
  <c r="G356" i="9"/>
  <c r="J356" i="9"/>
  <c r="AG356" i="9" s="1"/>
  <c r="U356" i="9"/>
  <c r="V356" i="9" s="1"/>
  <c r="AQ356" i="9" s="1"/>
  <c r="X356" i="9"/>
  <c r="AO356" i="9" s="1"/>
  <c r="G357" i="9"/>
  <c r="J357" i="9"/>
  <c r="AG357" i="9" s="1"/>
  <c r="U357" i="9"/>
  <c r="V357" i="9" s="1"/>
  <c r="AQ357" i="9" s="1"/>
  <c r="X357" i="9"/>
  <c r="AO357" i="9" s="1"/>
  <c r="G358" i="9"/>
  <c r="J358" i="9"/>
  <c r="AG358" i="9" s="1"/>
  <c r="U358" i="9"/>
  <c r="V358" i="9" s="1"/>
  <c r="AQ358" i="9" s="1"/>
  <c r="X358" i="9"/>
  <c r="AO358" i="9" s="1"/>
  <c r="AH367" i="9"/>
  <c r="L361" i="9"/>
  <c r="AH361" i="9" s="1"/>
  <c r="N361" i="9"/>
  <c r="O361" i="9" s="1"/>
  <c r="Q361" i="9"/>
  <c r="AP367" i="9"/>
  <c r="Z361" i="9"/>
  <c r="AP361" i="9" s="1"/>
  <c r="G362" i="9"/>
  <c r="J362" i="9"/>
  <c r="AG362" i="9" s="1"/>
  <c r="N363" i="9"/>
  <c r="O363" i="9" s="1"/>
  <c r="AM363" i="9" s="1"/>
  <c r="Q363" i="9"/>
  <c r="AK363" i="9" s="1"/>
  <c r="N364" i="9"/>
  <c r="O364" i="9" s="1"/>
  <c r="AM364" i="9" s="1"/>
  <c r="Q364" i="9"/>
  <c r="AK364" i="9" s="1"/>
  <c r="N365" i="9"/>
  <c r="O365" i="9" s="1"/>
  <c r="AM365" i="9" s="1"/>
  <c r="Q365" i="9"/>
  <c r="AK365" i="9" s="1"/>
  <c r="N366" i="9"/>
  <c r="O366" i="9" s="1"/>
  <c r="AM366" i="9" s="1"/>
  <c r="Q366" i="9"/>
  <c r="AK366" i="9" s="1"/>
  <c r="G369" i="9"/>
  <c r="AG375" i="9"/>
  <c r="J369" i="9"/>
  <c r="AG369" i="9" s="1"/>
  <c r="AL375" i="9"/>
  <c r="AO375" i="9"/>
  <c r="U369" i="9"/>
  <c r="X369" i="9"/>
  <c r="AO369" i="9" s="1"/>
  <c r="G370" i="9"/>
  <c r="J370" i="9"/>
  <c r="AG370" i="9" s="1"/>
  <c r="U370" i="9"/>
  <c r="V370" i="9" s="1"/>
  <c r="AQ370" i="9" s="1"/>
  <c r="X370" i="9"/>
  <c r="AO370" i="9" s="1"/>
  <c r="G371" i="9"/>
  <c r="J371" i="9"/>
  <c r="AG371" i="9" s="1"/>
  <c r="U371" i="9"/>
  <c r="V371" i="9" s="1"/>
  <c r="AQ371" i="9" s="1"/>
  <c r="X371" i="9"/>
  <c r="AO371" i="9" s="1"/>
  <c r="G372" i="9"/>
  <c r="J372" i="9"/>
  <c r="AG372" i="9" s="1"/>
  <c r="U372" i="9"/>
  <c r="V372" i="9" s="1"/>
  <c r="AQ372" i="9" s="1"/>
  <c r="X372" i="9"/>
  <c r="AO372" i="9" s="1"/>
  <c r="G373" i="9"/>
  <c r="J373" i="9"/>
  <c r="AG373" i="9" s="1"/>
  <c r="U373" i="9"/>
  <c r="V373" i="9" s="1"/>
  <c r="AQ373" i="9" s="1"/>
  <c r="X373" i="9"/>
  <c r="AO373" i="9" s="1"/>
  <c r="G374" i="9"/>
  <c r="J374" i="9"/>
  <c r="AG374" i="9" s="1"/>
  <c r="U374" i="9"/>
  <c r="V374" i="9" s="1"/>
  <c r="AQ374" i="9" s="1"/>
  <c r="X374" i="9"/>
  <c r="AO374" i="9" s="1"/>
  <c r="AH383" i="9"/>
  <c r="L377" i="9"/>
  <c r="AH377" i="9" s="1"/>
  <c r="N377" i="9"/>
  <c r="O377" i="9" s="1"/>
  <c r="Q377" i="9"/>
  <c r="AP383" i="9"/>
  <c r="Z377" i="9"/>
  <c r="AP377" i="9" s="1"/>
  <c r="N378" i="9"/>
  <c r="O378" i="9" s="1"/>
  <c r="AM378" i="9" s="1"/>
  <c r="Q378" i="9"/>
  <c r="AK378" i="9" s="1"/>
  <c r="N379" i="9"/>
  <c r="O379" i="9" s="1"/>
  <c r="AM379" i="9" s="1"/>
  <c r="Q379" i="9"/>
  <c r="AK379" i="9" s="1"/>
  <c r="N380" i="9"/>
  <c r="O380" i="9" s="1"/>
  <c r="AM380" i="9" s="1"/>
  <c r="Q380" i="9"/>
  <c r="AK380" i="9" s="1"/>
  <c r="N381" i="9"/>
  <c r="O381" i="9" s="1"/>
  <c r="AM381" i="9" s="1"/>
  <c r="Q381" i="9"/>
  <c r="AK381" i="9" s="1"/>
  <c r="N382" i="9"/>
  <c r="O382" i="9" s="1"/>
  <c r="AM382" i="9" s="1"/>
  <c r="Q382" i="9"/>
  <c r="AK382" i="9" s="1"/>
  <c r="N386" i="9"/>
  <c r="O386" i="9" s="1"/>
  <c r="AM386" i="9" s="1"/>
  <c r="Q386" i="9"/>
  <c r="AK386" i="9" s="1"/>
  <c r="N387" i="9"/>
  <c r="O387" i="9" s="1"/>
  <c r="AM387" i="9" s="1"/>
  <c r="Q387" i="9"/>
  <c r="AK387" i="9" s="1"/>
  <c r="N388" i="9"/>
  <c r="O388" i="9" s="1"/>
  <c r="AM388" i="9" s="1"/>
  <c r="Q388" i="9"/>
  <c r="AK388" i="9" s="1"/>
  <c r="N389" i="9"/>
  <c r="O389" i="9" s="1"/>
  <c r="AM389" i="9" s="1"/>
  <c r="Q389" i="9"/>
  <c r="AK389" i="9" s="1"/>
  <c r="N390" i="9"/>
  <c r="O390" i="9" s="1"/>
  <c r="AM390" i="9" s="1"/>
  <c r="Q390" i="9"/>
  <c r="AK390" i="9" s="1"/>
  <c r="N391" i="9"/>
  <c r="O391" i="9" s="1"/>
  <c r="AM391" i="9" s="1"/>
  <c r="Q391" i="9"/>
  <c r="AK391" i="9" s="1"/>
  <c r="N392" i="9"/>
  <c r="O392" i="9" s="1"/>
  <c r="AM392" i="9" s="1"/>
  <c r="Q392" i="9"/>
  <c r="AK392" i="9" s="1"/>
  <c r="N393" i="9"/>
  <c r="O393" i="9" s="1"/>
  <c r="AM393" i="9" s="1"/>
  <c r="Q393" i="9"/>
  <c r="AK393" i="9" s="1"/>
  <c r="N394" i="9"/>
  <c r="O394" i="9" s="1"/>
  <c r="AM394" i="9" s="1"/>
  <c r="Q394" i="9"/>
  <c r="AK394" i="9" s="1"/>
  <c r="G397" i="9"/>
  <c r="J397" i="9"/>
  <c r="AG397" i="9" s="1"/>
  <c r="U397" i="9"/>
  <c r="V397" i="9" s="1"/>
  <c r="AQ397" i="9" s="1"/>
  <c r="X397" i="9"/>
  <c r="AO397" i="9" s="1"/>
  <c r="G398" i="9"/>
  <c r="J398" i="9"/>
  <c r="AG398" i="9" s="1"/>
  <c r="N398" i="9"/>
  <c r="O398" i="9" s="1"/>
  <c r="AM398" i="9" s="1"/>
  <c r="Q398" i="9"/>
  <c r="AK398" i="9" s="1"/>
  <c r="N399" i="9"/>
  <c r="O399" i="9" s="1"/>
  <c r="AM399" i="9" s="1"/>
  <c r="Q399" i="9"/>
  <c r="AK399" i="9" s="1"/>
  <c r="N400" i="9"/>
  <c r="O400" i="9" s="1"/>
  <c r="AM400" i="9" s="1"/>
  <c r="Q400" i="9"/>
  <c r="AK400" i="9" s="1"/>
  <c r="N401" i="9"/>
  <c r="O401" i="9" s="1"/>
  <c r="AM401" i="9" s="1"/>
  <c r="Q401" i="9"/>
  <c r="AK401" i="9" s="1"/>
  <c r="N402" i="9"/>
  <c r="O402" i="9" s="1"/>
  <c r="AM402" i="9" s="1"/>
  <c r="Q402" i="9"/>
  <c r="AK402" i="9" s="1"/>
  <c r="N354" i="9"/>
  <c r="O354" i="9" s="1"/>
  <c r="AM354" i="9" s="1"/>
  <c r="Q354" i="9"/>
  <c r="AK354" i="9" s="1"/>
  <c r="N355" i="9"/>
  <c r="O355" i="9" s="1"/>
  <c r="AM355" i="9" s="1"/>
  <c r="Q355" i="9"/>
  <c r="AK355" i="9" s="1"/>
  <c r="N356" i="9"/>
  <c r="O356" i="9" s="1"/>
  <c r="AM356" i="9" s="1"/>
  <c r="Q356" i="9"/>
  <c r="AK356" i="9" s="1"/>
  <c r="N357" i="9"/>
  <c r="O357" i="9" s="1"/>
  <c r="AM357" i="9" s="1"/>
  <c r="Q357" i="9"/>
  <c r="AK357" i="9" s="1"/>
  <c r="N358" i="9"/>
  <c r="O358" i="9" s="1"/>
  <c r="AM358" i="9" s="1"/>
  <c r="Q358" i="9"/>
  <c r="AK358" i="9" s="1"/>
  <c r="AG367" i="9"/>
  <c r="G361" i="9"/>
  <c r="J361" i="9"/>
  <c r="AG361" i="9" s="1"/>
  <c r="AO367" i="9"/>
  <c r="U361" i="9"/>
  <c r="X361" i="9"/>
  <c r="AO361" i="9" s="1"/>
  <c r="N362" i="9"/>
  <c r="O362" i="9" s="1"/>
  <c r="AM362" i="9" s="1"/>
  <c r="Q362" i="9"/>
  <c r="AK362" i="9" s="1"/>
  <c r="U362" i="9"/>
  <c r="V362" i="9" s="1"/>
  <c r="AQ362" i="9" s="1"/>
  <c r="X362" i="9"/>
  <c r="AO362" i="9" s="1"/>
  <c r="G363" i="9"/>
  <c r="J363" i="9"/>
  <c r="AG363" i="9" s="1"/>
  <c r="U363" i="9"/>
  <c r="V363" i="9" s="1"/>
  <c r="AQ363" i="9" s="1"/>
  <c r="X363" i="9"/>
  <c r="AO363" i="9" s="1"/>
  <c r="G364" i="9"/>
  <c r="J364" i="9"/>
  <c r="AG364" i="9" s="1"/>
  <c r="U364" i="9"/>
  <c r="V364" i="9" s="1"/>
  <c r="AQ364" i="9" s="1"/>
  <c r="X364" i="9"/>
  <c r="AO364" i="9" s="1"/>
  <c r="G365" i="9"/>
  <c r="J365" i="9"/>
  <c r="AG365" i="9" s="1"/>
  <c r="U365" i="9"/>
  <c r="V365" i="9" s="1"/>
  <c r="AQ365" i="9" s="1"/>
  <c r="X365" i="9"/>
  <c r="AO365" i="9" s="1"/>
  <c r="G366" i="9"/>
  <c r="J366" i="9"/>
  <c r="AG366" i="9" s="1"/>
  <c r="U366" i="9"/>
  <c r="V366" i="9" s="1"/>
  <c r="AQ366" i="9" s="1"/>
  <c r="X366" i="9"/>
  <c r="AO366" i="9" s="1"/>
  <c r="AH375" i="9"/>
  <c r="L369" i="9"/>
  <c r="AH369" i="9" s="1"/>
  <c r="N369" i="9"/>
  <c r="O369" i="9" s="1"/>
  <c r="Q369" i="9"/>
  <c r="AP375" i="9"/>
  <c r="Z369" i="9"/>
  <c r="AP369" i="9" s="1"/>
  <c r="N370" i="9"/>
  <c r="O370" i="9" s="1"/>
  <c r="AM370" i="9" s="1"/>
  <c r="Q370" i="9"/>
  <c r="AK370" i="9" s="1"/>
  <c r="N371" i="9"/>
  <c r="O371" i="9" s="1"/>
  <c r="AM371" i="9" s="1"/>
  <c r="Q371" i="9"/>
  <c r="AK371" i="9" s="1"/>
  <c r="N372" i="9"/>
  <c r="O372" i="9" s="1"/>
  <c r="AM372" i="9" s="1"/>
  <c r="Q372" i="9"/>
  <c r="AK372" i="9" s="1"/>
  <c r="N373" i="9"/>
  <c r="O373" i="9" s="1"/>
  <c r="AM373" i="9" s="1"/>
  <c r="Q373" i="9"/>
  <c r="AK373" i="9" s="1"/>
  <c r="N374" i="9"/>
  <c r="O374" i="9" s="1"/>
  <c r="AM374" i="9" s="1"/>
  <c r="Q374" i="9"/>
  <c r="AK374" i="9" s="1"/>
  <c r="G377" i="9"/>
  <c r="J377" i="9"/>
  <c r="AG377" i="9" s="1"/>
  <c r="AG383" i="9"/>
  <c r="AL383" i="9"/>
  <c r="AL377" i="9"/>
  <c r="AO383" i="9"/>
  <c r="U377" i="9"/>
  <c r="X377" i="9"/>
  <c r="AO377" i="9" s="1"/>
  <c r="G378" i="9"/>
  <c r="J378" i="9"/>
  <c r="AG378" i="9" s="1"/>
  <c r="U378" i="9"/>
  <c r="V378" i="9" s="1"/>
  <c r="AQ378" i="9" s="1"/>
  <c r="X378" i="9"/>
  <c r="AO378" i="9" s="1"/>
  <c r="G379" i="9"/>
  <c r="J379" i="9"/>
  <c r="AG379" i="9" s="1"/>
  <c r="U379" i="9"/>
  <c r="V379" i="9" s="1"/>
  <c r="AQ379" i="9" s="1"/>
  <c r="X379" i="9"/>
  <c r="AO379" i="9" s="1"/>
  <c r="G380" i="9"/>
  <c r="J380" i="9"/>
  <c r="AG380" i="9" s="1"/>
  <c r="U380" i="9"/>
  <c r="V380" i="9" s="1"/>
  <c r="AQ380" i="9" s="1"/>
  <c r="X380" i="9"/>
  <c r="AO380" i="9" s="1"/>
  <c r="G381" i="9"/>
  <c r="J381" i="9"/>
  <c r="AG381" i="9" s="1"/>
  <c r="U381" i="9"/>
  <c r="V381" i="9" s="1"/>
  <c r="AQ381" i="9" s="1"/>
  <c r="X381" i="9"/>
  <c r="AO381" i="9" s="1"/>
  <c r="G382" i="9"/>
  <c r="J382" i="9"/>
  <c r="AG382" i="9" s="1"/>
  <c r="U382" i="9"/>
  <c r="V382" i="9" s="1"/>
  <c r="AQ382" i="9" s="1"/>
  <c r="X382" i="9"/>
  <c r="AO382" i="9" s="1"/>
  <c r="G386" i="9"/>
  <c r="J386" i="9"/>
  <c r="AG386" i="9" s="1"/>
  <c r="U386" i="9"/>
  <c r="V386" i="9" s="1"/>
  <c r="AQ386" i="9" s="1"/>
  <c r="X386" i="9"/>
  <c r="AO386" i="9" s="1"/>
  <c r="G387" i="9"/>
  <c r="J387" i="9"/>
  <c r="AG387" i="9" s="1"/>
  <c r="U387" i="9"/>
  <c r="V387" i="9" s="1"/>
  <c r="AQ387" i="9" s="1"/>
  <c r="X387" i="9"/>
  <c r="AO387" i="9" s="1"/>
  <c r="G388" i="9"/>
  <c r="J388" i="9"/>
  <c r="AG388" i="9" s="1"/>
  <c r="U388" i="9"/>
  <c r="V388" i="9" s="1"/>
  <c r="AQ388" i="9" s="1"/>
  <c r="X388" i="9"/>
  <c r="AO388" i="9" s="1"/>
  <c r="G389" i="9"/>
  <c r="J389" i="9"/>
  <c r="AG389" i="9" s="1"/>
  <c r="U389" i="9"/>
  <c r="V389" i="9" s="1"/>
  <c r="AQ389" i="9" s="1"/>
  <c r="X389" i="9"/>
  <c r="AO389" i="9" s="1"/>
  <c r="G390" i="9"/>
  <c r="J390" i="9"/>
  <c r="AG390" i="9" s="1"/>
  <c r="U390" i="9"/>
  <c r="V390" i="9" s="1"/>
  <c r="AQ390" i="9" s="1"/>
  <c r="X390" i="9"/>
  <c r="AO390" i="9" s="1"/>
  <c r="G391" i="9"/>
  <c r="J391" i="9"/>
  <c r="AG391" i="9" s="1"/>
  <c r="U391" i="9"/>
  <c r="V391" i="9" s="1"/>
  <c r="AQ391" i="9" s="1"/>
  <c r="X391" i="9"/>
  <c r="AO391" i="9" s="1"/>
  <c r="G392" i="9"/>
  <c r="J392" i="9"/>
  <c r="AG392" i="9" s="1"/>
  <c r="U392" i="9"/>
  <c r="V392" i="9" s="1"/>
  <c r="AQ392" i="9" s="1"/>
  <c r="X392" i="9"/>
  <c r="AO392" i="9" s="1"/>
  <c r="G393" i="9"/>
  <c r="J393" i="9"/>
  <c r="AG393" i="9" s="1"/>
  <c r="U393" i="9"/>
  <c r="V393" i="9" s="1"/>
  <c r="AQ393" i="9" s="1"/>
  <c r="X393" i="9"/>
  <c r="AO393" i="9" s="1"/>
  <c r="G394" i="9"/>
  <c r="J394" i="9"/>
  <c r="AG394" i="9" s="1"/>
  <c r="U394" i="9"/>
  <c r="V394" i="9" s="1"/>
  <c r="AQ394" i="9" s="1"/>
  <c r="X394" i="9"/>
  <c r="AO394" i="9" s="1"/>
  <c r="N397" i="9"/>
  <c r="O397" i="9" s="1"/>
  <c r="AM397" i="9" s="1"/>
  <c r="Q397" i="9"/>
  <c r="AK397" i="9" s="1"/>
  <c r="U398" i="9"/>
  <c r="V398" i="9" s="1"/>
  <c r="AQ398" i="9" s="1"/>
  <c r="X398" i="9"/>
  <c r="AO398" i="9" s="1"/>
  <c r="G399" i="9"/>
  <c r="J399" i="9"/>
  <c r="AG399" i="9" s="1"/>
  <c r="U399" i="9"/>
  <c r="V399" i="9" s="1"/>
  <c r="AQ399" i="9" s="1"/>
  <c r="X399" i="9"/>
  <c r="AO399" i="9" s="1"/>
  <c r="G400" i="9"/>
  <c r="J400" i="9"/>
  <c r="AG400" i="9" s="1"/>
  <c r="U400" i="9"/>
  <c r="V400" i="9" s="1"/>
  <c r="AQ400" i="9" s="1"/>
  <c r="X400" i="9"/>
  <c r="AO400" i="9" s="1"/>
  <c r="G401" i="9"/>
  <c r="J401" i="9"/>
  <c r="AG401" i="9" s="1"/>
  <c r="U401" i="9"/>
  <c r="V401" i="9" s="1"/>
  <c r="AQ401" i="9" s="1"/>
  <c r="X401" i="9"/>
  <c r="AO401" i="9" s="1"/>
  <c r="G402" i="9"/>
  <c r="J402" i="9"/>
  <c r="AG402" i="9" s="1"/>
  <c r="U402" i="9"/>
  <c r="V402" i="9" s="1"/>
  <c r="AQ402" i="9" s="1"/>
  <c r="X402" i="9"/>
  <c r="AO402" i="9" s="1"/>
  <c r="N403" i="9"/>
  <c r="O403" i="9" s="1"/>
  <c r="AM403" i="9" s="1"/>
  <c r="Q403" i="9"/>
  <c r="AK403" i="9" s="1"/>
  <c r="N404" i="9"/>
  <c r="O404" i="9" s="1"/>
  <c r="AM404" i="9" s="1"/>
  <c r="Q404" i="9"/>
  <c r="AK404" i="9" s="1"/>
  <c r="G407" i="9"/>
  <c r="J407" i="9"/>
  <c r="AG407" i="9" s="1"/>
  <c r="U407" i="9"/>
  <c r="V407" i="9" s="1"/>
  <c r="AQ407" i="9" s="1"/>
  <c r="X407" i="9"/>
  <c r="AO407" i="9" s="1"/>
  <c r="G408" i="9"/>
  <c r="J408" i="9"/>
  <c r="AG408" i="9" s="1"/>
  <c r="U408" i="9"/>
  <c r="V408" i="9" s="1"/>
  <c r="AQ408" i="9" s="1"/>
  <c r="X408" i="9"/>
  <c r="AO408" i="9" s="1"/>
  <c r="G409" i="9"/>
  <c r="J409" i="9"/>
  <c r="AG409" i="9" s="1"/>
  <c r="U409" i="9"/>
  <c r="V409" i="9" s="1"/>
  <c r="AQ409" i="9" s="1"/>
  <c r="X409" i="9"/>
  <c r="AO409" i="9" s="1"/>
  <c r="G410" i="9"/>
  <c r="J410" i="9"/>
  <c r="AG410" i="9" s="1"/>
  <c r="U410" i="9"/>
  <c r="V410" i="9" s="1"/>
  <c r="AQ410" i="9" s="1"/>
  <c r="X410" i="9"/>
  <c r="AO410" i="9" s="1"/>
  <c r="G411" i="9"/>
  <c r="J411" i="9"/>
  <c r="AG411" i="9" s="1"/>
  <c r="U411" i="9"/>
  <c r="V411" i="9" s="1"/>
  <c r="AQ411" i="9" s="1"/>
  <c r="X411" i="9"/>
  <c r="AO411" i="9" s="1"/>
  <c r="N414" i="9"/>
  <c r="O414" i="9" s="1"/>
  <c r="AM414" i="9" s="1"/>
  <c r="Q414" i="9"/>
  <c r="AK414" i="9" s="1"/>
  <c r="N415" i="9"/>
  <c r="O415" i="9" s="1"/>
  <c r="AM415" i="9" s="1"/>
  <c r="Q415" i="9"/>
  <c r="AK415" i="9" s="1"/>
  <c r="N416" i="9"/>
  <c r="O416" i="9" s="1"/>
  <c r="AM416" i="9" s="1"/>
  <c r="Q416" i="9"/>
  <c r="AK416" i="9" s="1"/>
  <c r="U417" i="9"/>
  <c r="V417" i="9" s="1"/>
  <c r="AQ417" i="9" s="1"/>
  <c r="X417" i="9"/>
  <c r="AO417" i="9" s="1"/>
  <c r="N420" i="9"/>
  <c r="O420" i="9" s="1"/>
  <c r="AM420" i="9" s="1"/>
  <c r="Q420" i="9"/>
  <c r="AK420" i="9" s="1"/>
  <c r="N421" i="9"/>
  <c r="O421" i="9" s="1"/>
  <c r="AM421" i="9" s="1"/>
  <c r="Q421" i="9"/>
  <c r="AK421" i="9" s="1"/>
  <c r="N422" i="9"/>
  <c r="O422" i="9" s="1"/>
  <c r="AM422" i="9" s="1"/>
  <c r="Q422" i="9"/>
  <c r="AK422" i="9" s="1"/>
  <c r="N423" i="9"/>
  <c r="O423" i="9" s="1"/>
  <c r="AM423" i="9" s="1"/>
  <c r="Q423" i="9"/>
  <c r="AK423" i="9" s="1"/>
  <c r="N424" i="9"/>
  <c r="O424" i="9" s="1"/>
  <c r="AM424" i="9" s="1"/>
  <c r="Q424" i="9"/>
  <c r="AK424" i="9" s="1"/>
  <c r="N425" i="9"/>
  <c r="O425" i="9" s="1"/>
  <c r="AM425" i="9" s="1"/>
  <c r="Q425" i="9"/>
  <c r="AK425" i="9" s="1"/>
  <c r="AG433" i="9"/>
  <c r="G428" i="9"/>
  <c r="J428" i="9"/>
  <c r="AG428" i="9" s="1"/>
  <c r="AL428" i="9"/>
  <c r="AO433" i="9"/>
  <c r="U428" i="9"/>
  <c r="X428" i="9"/>
  <c r="AO428" i="9" s="1"/>
  <c r="G429" i="9"/>
  <c r="J429" i="9"/>
  <c r="AG429" i="9" s="1"/>
  <c r="U429" i="9"/>
  <c r="V429" i="9" s="1"/>
  <c r="AQ429" i="9" s="1"/>
  <c r="X429" i="9"/>
  <c r="AO429" i="9" s="1"/>
  <c r="G430" i="9"/>
  <c r="J430" i="9"/>
  <c r="AG430" i="9" s="1"/>
  <c r="G403" i="9"/>
  <c r="J403" i="9"/>
  <c r="AG403" i="9" s="1"/>
  <c r="U403" i="9"/>
  <c r="V403" i="9" s="1"/>
  <c r="AQ403" i="9" s="1"/>
  <c r="X403" i="9"/>
  <c r="AO403" i="9" s="1"/>
  <c r="G404" i="9"/>
  <c r="J404" i="9"/>
  <c r="AG404" i="9" s="1"/>
  <c r="U404" i="9"/>
  <c r="V404" i="9" s="1"/>
  <c r="AQ404" i="9" s="1"/>
  <c r="X404" i="9"/>
  <c r="AO404" i="9" s="1"/>
  <c r="N407" i="9"/>
  <c r="O407" i="9" s="1"/>
  <c r="AM407" i="9" s="1"/>
  <c r="Q407" i="9"/>
  <c r="AK407" i="9" s="1"/>
  <c r="N408" i="9"/>
  <c r="O408" i="9" s="1"/>
  <c r="AM408" i="9" s="1"/>
  <c r="Q408" i="9"/>
  <c r="AK408" i="9" s="1"/>
  <c r="N409" i="9"/>
  <c r="O409" i="9" s="1"/>
  <c r="AM409" i="9" s="1"/>
  <c r="Q409" i="9"/>
  <c r="AK409" i="9" s="1"/>
  <c r="N410" i="9"/>
  <c r="O410" i="9" s="1"/>
  <c r="AM410" i="9" s="1"/>
  <c r="Q410" i="9"/>
  <c r="AK410" i="9" s="1"/>
  <c r="N411" i="9"/>
  <c r="O411" i="9" s="1"/>
  <c r="AM411" i="9" s="1"/>
  <c r="Q411" i="9"/>
  <c r="AK411" i="9" s="1"/>
  <c r="G414" i="9"/>
  <c r="J414" i="9"/>
  <c r="AG414" i="9" s="1"/>
  <c r="U414" i="9"/>
  <c r="V414" i="9" s="1"/>
  <c r="AQ414" i="9" s="1"/>
  <c r="X414" i="9"/>
  <c r="AO414" i="9" s="1"/>
  <c r="G415" i="9"/>
  <c r="J415" i="9"/>
  <c r="AG415" i="9" s="1"/>
  <c r="U415" i="9"/>
  <c r="V415" i="9" s="1"/>
  <c r="AQ415" i="9" s="1"/>
  <c r="X415" i="9"/>
  <c r="AO415" i="9" s="1"/>
  <c r="G416" i="9"/>
  <c r="J416" i="9"/>
  <c r="AG416" i="9" s="1"/>
  <c r="U416" i="9"/>
  <c r="V416" i="9" s="1"/>
  <c r="AQ416" i="9" s="1"/>
  <c r="X416" i="9"/>
  <c r="AO416" i="9" s="1"/>
  <c r="G417" i="9"/>
  <c r="J417" i="9"/>
  <c r="AG417" i="9" s="1"/>
  <c r="N417" i="9"/>
  <c r="O417" i="9" s="1"/>
  <c r="AM417" i="9" s="1"/>
  <c r="Q417" i="9"/>
  <c r="AK417" i="9" s="1"/>
  <c r="G420" i="9"/>
  <c r="J420" i="9"/>
  <c r="AG420" i="9" s="1"/>
  <c r="U420" i="9"/>
  <c r="V420" i="9" s="1"/>
  <c r="AQ420" i="9" s="1"/>
  <c r="X420" i="9"/>
  <c r="AO420" i="9" s="1"/>
  <c r="G421" i="9"/>
  <c r="J421" i="9"/>
  <c r="AG421" i="9" s="1"/>
  <c r="U421" i="9"/>
  <c r="V421" i="9" s="1"/>
  <c r="AQ421" i="9" s="1"/>
  <c r="X421" i="9"/>
  <c r="AO421" i="9" s="1"/>
  <c r="G422" i="9"/>
  <c r="J422" i="9"/>
  <c r="AG422" i="9" s="1"/>
  <c r="U422" i="9"/>
  <c r="V422" i="9" s="1"/>
  <c r="AQ422" i="9" s="1"/>
  <c r="X422" i="9"/>
  <c r="AO422" i="9" s="1"/>
  <c r="G423" i="9"/>
  <c r="J423" i="9"/>
  <c r="AG423" i="9" s="1"/>
  <c r="U423" i="9"/>
  <c r="V423" i="9" s="1"/>
  <c r="AQ423" i="9" s="1"/>
  <c r="X423" i="9"/>
  <c r="AO423" i="9" s="1"/>
  <c r="G424" i="9"/>
  <c r="J424" i="9"/>
  <c r="AG424" i="9" s="1"/>
  <c r="U424" i="9"/>
  <c r="V424" i="9" s="1"/>
  <c r="AQ424" i="9" s="1"/>
  <c r="X424" i="9"/>
  <c r="AO424" i="9" s="1"/>
  <c r="G425" i="9"/>
  <c r="J425" i="9"/>
  <c r="AG425" i="9" s="1"/>
  <c r="U425" i="9"/>
  <c r="V425" i="9" s="1"/>
  <c r="AQ425" i="9" s="1"/>
  <c r="X425" i="9"/>
  <c r="AO425" i="9" s="1"/>
  <c r="AH433" i="9"/>
  <c r="L428" i="9"/>
  <c r="AH428" i="9" s="1"/>
  <c r="N428" i="9"/>
  <c r="O428" i="9" s="1"/>
  <c r="Q428" i="9"/>
  <c r="AP433" i="9"/>
  <c r="Z428" i="9"/>
  <c r="AP428" i="9" s="1"/>
  <c r="N429" i="9"/>
  <c r="O429" i="9" s="1"/>
  <c r="AM429" i="9" s="1"/>
  <c r="Q429" i="9"/>
  <c r="AK429" i="9" s="1"/>
  <c r="U430" i="9"/>
  <c r="V430" i="9" s="1"/>
  <c r="AQ430" i="9" s="1"/>
  <c r="X430" i="9"/>
  <c r="AO430" i="9" s="1"/>
  <c r="G431" i="9"/>
  <c r="J431" i="9"/>
  <c r="AG431" i="9" s="1"/>
  <c r="U431" i="9"/>
  <c r="V431" i="9" s="1"/>
  <c r="AQ431" i="9" s="1"/>
  <c r="X431" i="9"/>
  <c r="AO431" i="9" s="1"/>
  <c r="G432" i="9"/>
  <c r="J432" i="9"/>
  <c r="AG432" i="9" s="1"/>
  <c r="U432" i="9"/>
  <c r="V432" i="9" s="1"/>
  <c r="AQ432" i="9" s="1"/>
  <c r="X432" i="9"/>
  <c r="AO432" i="9" s="1"/>
  <c r="N435" i="9"/>
  <c r="O435" i="9" s="1"/>
  <c r="AM435" i="9" s="1"/>
  <c r="Q435" i="9"/>
  <c r="AK435" i="9" s="1"/>
  <c r="U436" i="9"/>
  <c r="V436" i="9" s="1"/>
  <c r="AQ436" i="9" s="1"/>
  <c r="X436" i="9"/>
  <c r="AO436" i="9" s="1"/>
  <c r="G437" i="9"/>
  <c r="J437" i="9"/>
  <c r="AG437" i="9" s="1"/>
  <c r="U437" i="9"/>
  <c r="V437" i="9" s="1"/>
  <c r="AQ437" i="9" s="1"/>
  <c r="X437" i="9"/>
  <c r="AO437" i="9" s="1"/>
  <c r="G438" i="9"/>
  <c r="J438" i="9"/>
  <c r="AG438" i="9" s="1"/>
  <c r="U438" i="9"/>
  <c r="V438" i="9" s="1"/>
  <c r="AQ438" i="9" s="1"/>
  <c r="X438" i="9"/>
  <c r="AO438" i="9" s="1"/>
  <c r="G439" i="9"/>
  <c r="J439" i="9"/>
  <c r="AG439" i="9" s="1"/>
  <c r="AL440" i="9"/>
  <c r="U439" i="9"/>
  <c r="V439" i="9" s="1"/>
  <c r="AQ439" i="9" s="1"/>
  <c r="X439" i="9"/>
  <c r="AO439" i="9" s="1"/>
  <c r="N442" i="9"/>
  <c r="O442" i="9" s="1"/>
  <c r="AM442" i="9" s="1"/>
  <c r="Q442" i="9"/>
  <c r="AK442" i="9" s="1"/>
  <c r="N443" i="9"/>
  <c r="O443" i="9" s="1"/>
  <c r="AM443" i="9" s="1"/>
  <c r="Q443" i="9"/>
  <c r="AK443" i="9" s="1"/>
  <c r="N444" i="9"/>
  <c r="O444" i="9" s="1"/>
  <c r="AM444" i="9" s="1"/>
  <c r="Q444" i="9"/>
  <c r="AK444" i="9" s="1"/>
  <c r="N445" i="9"/>
  <c r="O445" i="9" s="1"/>
  <c r="AM445" i="9" s="1"/>
  <c r="Q445" i="9"/>
  <c r="AK445" i="9" s="1"/>
  <c r="N446" i="9"/>
  <c r="O446" i="9" s="1"/>
  <c r="AM446" i="9" s="1"/>
  <c r="Q446" i="9"/>
  <c r="AK446" i="9" s="1"/>
  <c r="N447" i="9"/>
  <c r="O447" i="9" s="1"/>
  <c r="AM447" i="9" s="1"/>
  <c r="Q447" i="9"/>
  <c r="AK447" i="9" s="1"/>
  <c r="N448" i="9"/>
  <c r="O448" i="9" s="1"/>
  <c r="AM448" i="9" s="1"/>
  <c r="Q448" i="9"/>
  <c r="AK448" i="9" s="1"/>
  <c r="N449" i="9"/>
  <c r="O449" i="9" s="1"/>
  <c r="AM449" i="9" s="1"/>
  <c r="Q449" i="9"/>
  <c r="AK449" i="9" s="1"/>
  <c r="N450" i="9"/>
  <c r="O450" i="9" s="1"/>
  <c r="AM450" i="9" s="1"/>
  <c r="Q450" i="9"/>
  <c r="AK450" i="9" s="1"/>
  <c r="N451" i="9"/>
  <c r="O451" i="9" s="1"/>
  <c r="AM451" i="9" s="1"/>
  <c r="Q451" i="9"/>
  <c r="AK451" i="9" s="1"/>
  <c r="N452" i="9"/>
  <c r="O452" i="9" s="1"/>
  <c r="AM452" i="9" s="1"/>
  <c r="Q452" i="9"/>
  <c r="AK452" i="9" s="1"/>
  <c r="N430" i="9"/>
  <c r="O430" i="9" s="1"/>
  <c r="AM430" i="9" s="1"/>
  <c r="Q430" i="9"/>
  <c r="AK430" i="9" s="1"/>
  <c r="N431" i="9"/>
  <c r="O431" i="9" s="1"/>
  <c r="AM431" i="9" s="1"/>
  <c r="Q431" i="9"/>
  <c r="AK431" i="9" s="1"/>
  <c r="N432" i="9"/>
  <c r="O432" i="9" s="1"/>
  <c r="AM432" i="9" s="1"/>
  <c r="Q432" i="9"/>
  <c r="AK432" i="9" s="1"/>
  <c r="AG440" i="9"/>
  <c r="G435" i="9"/>
  <c r="J435" i="9"/>
  <c r="AG435" i="9" s="1"/>
  <c r="AO440" i="9"/>
  <c r="U435" i="9"/>
  <c r="X435" i="9"/>
  <c r="AO435" i="9" s="1"/>
  <c r="G436" i="9"/>
  <c r="J436" i="9"/>
  <c r="AG436" i="9" s="1"/>
  <c r="N436" i="9"/>
  <c r="O436" i="9" s="1"/>
  <c r="AM436" i="9" s="1"/>
  <c r="Q436" i="9"/>
  <c r="AK436" i="9" s="1"/>
  <c r="N437" i="9"/>
  <c r="O437" i="9" s="1"/>
  <c r="AM437" i="9" s="1"/>
  <c r="Q437" i="9"/>
  <c r="AK437" i="9" s="1"/>
  <c r="N438" i="9"/>
  <c r="O438" i="9" s="1"/>
  <c r="AM438" i="9" s="1"/>
  <c r="Q438" i="9"/>
  <c r="AK438" i="9" s="1"/>
  <c r="L439" i="9"/>
  <c r="AH439" i="9" s="1"/>
  <c r="AH440" i="9"/>
  <c r="N439" i="9"/>
  <c r="O439" i="9" s="1"/>
  <c r="Q439" i="9"/>
  <c r="Z439" i="9"/>
  <c r="AP439" i="9" s="1"/>
  <c r="AP440" i="9"/>
  <c r="G442" i="9"/>
  <c r="J442" i="9"/>
  <c r="AG442" i="9" s="1"/>
  <c r="U442" i="9"/>
  <c r="V442" i="9" s="1"/>
  <c r="AQ442" i="9" s="1"/>
  <c r="X442" i="9"/>
  <c r="AO442" i="9" s="1"/>
  <c r="G443" i="9"/>
  <c r="J443" i="9"/>
  <c r="AG443" i="9" s="1"/>
  <c r="U443" i="9"/>
  <c r="V443" i="9" s="1"/>
  <c r="AQ443" i="9" s="1"/>
  <c r="X443" i="9"/>
  <c r="AO443" i="9" s="1"/>
  <c r="G444" i="9"/>
  <c r="J444" i="9"/>
  <c r="AG444" i="9" s="1"/>
  <c r="U444" i="9"/>
  <c r="V444" i="9" s="1"/>
  <c r="AQ444" i="9" s="1"/>
  <c r="X444" i="9"/>
  <c r="AO444" i="9" s="1"/>
  <c r="G445" i="9"/>
  <c r="J445" i="9"/>
  <c r="AG445" i="9" s="1"/>
  <c r="U445" i="9"/>
  <c r="V445" i="9" s="1"/>
  <c r="AQ445" i="9" s="1"/>
  <c r="X445" i="9"/>
  <c r="AO445" i="9" s="1"/>
  <c r="G446" i="9"/>
  <c r="J446" i="9"/>
  <c r="AG446" i="9" s="1"/>
  <c r="U446" i="9"/>
  <c r="V446" i="9" s="1"/>
  <c r="AQ446" i="9" s="1"/>
  <c r="X446" i="9"/>
  <c r="AO446" i="9" s="1"/>
  <c r="G447" i="9"/>
  <c r="J447" i="9"/>
  <c r="AG447" i="9" s="1"/>
  <c r="U447" i="9"/>
  <c r="V447" i="9" s="1"/>
  <c r="AQ447" i="9" s="1"/>
  <c r="X447" i="9"/>
  <c r="AO447" i="9" s="1"/>
  <c r="G448" i="9"/>
  <c r="J448" i="9"/>
  <c r="AG448" i="9" s="1"/>
  <c r="U448" i="9"/>
  <c r="V448" i="9" s="1"/>
  <c r="AQ448" i="9" s="1"/>
  <c r="X448" i="9"/>
  <c r="AO448" i="9" s="1"/>
  <c r="G449" i="9"/>
  <c r="J449" i="9"/>
  <c r="AG449" i="9" s="1"/>
  <c r="U449" i="9"/>
  <c r="V449" i="9" s="1"/>
  <c r="AQ449" i="9" s="1"/>
  <c r="X449" i="9"/>
  <c r="AO449" i="9" s="1"/>
  <c r="G450" i="9"/>
  <c r="J450" i="9"/>
  <c r="AG450" i="9" s="1"/>
  <c r="U450" i="9"/>
  <c r="V450" i="9" s="1"/>
  <c r="AQ450" i="9" s="1"/>
  <c r="X450" i="9"/>
  <c r="AO450" i="9" s="1"/>
  <c r="G451" i="9"/>
  <c r="J451" i="9"/>
  <c r="AG451" i="9" s="1"/>
  <c r="U451" i="9"/>
  <c r="V451" i="9" s="1"/>
  <c r="AQ451" i="9" s="1"/>
  <c r="X451" i="9"/>
  <c r="AO451" i="9" s="1"/>
  <c r="G452" i="9"/>
  <c r="J452" i="9"/>
  <c r="AG452" i="9" s="1"/>
  <c r="U452" i="9"/>
  <c r="V452" i="9" s="1"/>
  <c r="AQ452" i="9" s="1"/>
  <c r="X452" i="9"/>
  <c r="AO452" i="9" s="1"/>
  <c r="L41" i="8"/>
  <c r="AH41" i="8" s="1"/>
  <c r="L48" i="8"/>
  <c r="AH48" i="8" s="1"/>
  <c r="L55" i="8"/>
  <c r="AH55" i="8" s="1"/>
  <c r="L59" i="8"/>
  <c r="AH59" i="8" s="1"/>
  <c r="L63" i="8"/>
  <c r="AH63" i="8" s="1"/>
  <c r="L70" i="8"/>
  <c r="AH70" i="8" s="1"/>
  <c r="L78" i="8"/>
  <c r="AH78" i="8" s="1"/>
  <c r="L82" i="8"/>
  <c r="AH82" i="8" s="1"/>
  <c r="Z41" i="8"/>
  <c r="AP41" i="8" s="1"/>
  <c r="Z48" i="8"/>
  <c r="AP48" i="8" s="1"/>
  <c r="Z55" i="8"/>
  <c r="AP55" i="8" s="1"/>
  <c r="Z59" i="8"/>
  <c r="AP59" i="8" s="1"/>
  <c r="Z63" i="8"/>
  <c r="AP63" i="8" s="1"/>
  <c r="Z70" i="8"/>
  <c r="AP70" i="8" s="1"/>
  <c r="Z78" i="8"/>
  <c r="AP78" i="8" s="1"/>
  <c r="Z82" i="8"/>
  <c r="AP82" i="8" s="1"/>
  <c r="Z86" i="8"/>
  <c r="AP86" i="8" s="1"/>
  <c r="Z15" i="8"/>
  <c r="AP15" i="8" s="1"/>
  <c r="Z17" i="8"/>
  <c r="AP17" i="8" s="1"/>
  <c r="J295" i="8"/>
  <c r="AG295" i="8" s="1"/>
  <c r="J249" i="8"/>
  <c r="AG249" i="8" s="1"/>
  <c r="J206" i="8"/>
  <c r="AG206" i="8" s="1"/>
  <c r="J191" i="8"/>
  <c r="AG191" i="8" s="1"/>
  <c r="J241" i="8"/>
  <c r="AG241" i="8" s="1"/>
  <c r="J232" i="8"/>
  <c r="AG232" i="8" s="1"/>
  <c r="J172" i="8"/>
  <c r="AG172" i="8" s="1"/>
  <c r="J44" i="8"/>
  <c r="AG44" i="8" s="1"/>
  <c r="J35" i="8"/>
  <c r="AG35" i="8" s="1"/>
  <c r="J27" i="8"/>
  <c r="J125" i="8"/>
  <c r="AG125" i="8" s="1"/>
  <c r="J107" i="8"/>
  <c r="AG107" i="8" s="1"/>
  <c r="J5" i="8"/>
  <c r="J270" i="8"/>
  <c r="AG270" i="8" s="1"/>
  <c r="J261" i="8"/>
  <c r="AG261" i="8" s="1"/>
  <c r="J218" i="8"/>
  <c r="AG218" i="8" s="1"/>
  <c r="J199" i="8"/>
  <c r="AG199" i="8" s="1"/>
  <c r="J212" i="8"/>
  <c r="AG212" i="8" s="1"/>
  <c r="J179" i="8"/>
  <c r="AG179" i="8" s="1"/>
  <c r="J74" i="8"/>
  <c r="AG74" i="8" s="1"/>
  <c r="J51" i="8"/>
  <c r="AG51" i="8" s="1"/>
  <c r="J148" i="8"/>
  <c r="AG148" i="8" s="1"/>
  <c r="J115" i="8"/>
  <c r="AG115" i="8" s="1"/>
  <c r="J19" i="8"/>
  <c r="AG19" i="8" s="1"/>
  <c r="AC6" i="8"/>
  <c r="S295" i="8"/>
  <c r="AL295" i="8" s="1"/>
  <c r="S261" i="8"/>
  <c r="AL261" i="8" s="1"/>
  <c r="S232" i="8"/>
  <c r="AL232" i="8" s="1"/>
  <c r="S199" i="8"/>
  <c r="AL199" i="8" s="1"/>
  <c r="S115" i="8"/>
  <c r="AL115" i="8" s="1"/>
  <c r="S179" i="8"/>
  <c r="AL179" i="8" s="1"/>
  <c r="S51" i="8"/>
  <c r="AL51" i="8" s="1"/>
  <c r="S35" i="8"/>
  <c r="AL35" i="8" s="1"/>
  <c r="S19" i="8"/>
  <c r="AL19" i="8" s="1"/>
  <c r="S270" i="8"/>
  <c r="AL270" i="8" s="1"/>
  <c r="S249" i="8"/>
  <c r="AL249" i="8" s="1"/>
  <c r="S241" i="8"/>
  <c r="AL241" i="8" s="1"/>
  <c r="S212" i="8"/>
  <c r="AL212" i="8" s="1"/>
  <c r="S218" i="8"/>
  <c r="AL218" i="8" s="1"/>
  <c r="S206" i="8"/>
  <c r="AL206" i="8" s="1"/>
  <c r="S191" i="8"/>
  <c r="AL191" i="8" s="1"/>
  <c r="S148" i="8"/>
  <c r="AL148" i="8" s="1"/>
  <c r="S125" i="8"/>
  <c r="AL125" i="8" s="1"/>
  <c r="S107" i="8"/>
  <c r="AL107" i="8" s="1"/>
  <c r="S172" i="8"/>
  <c r="AL172" i="8" s="1"/>
  <c r="S74" i="8"/>
  <c r="AL74" i="8" s="1"/>
  <c r="S44" i="8"/>
  <c r="AL44" i="8" s="1"/>
  <c r="S27" i="8"/>
  <c r="N15" i="8"/>
  <c r="Q15" i="8"/>
  <c r="AK15" i="8" s="1"/>
  <c r="G16" i="8"/>
  <c r="J16" i="8"/>
  <c r="AG16" i="8" s="1"/>
  <c r="X16" i="8"/>
  <c r="AO16" i="8" s="1"/>
  <c r="U16" i="8"/>
  <c r="G18" i="8"/>
  <c r="J18" i="8"/>
  <c r="AG18" i="8" s="1"/>
  <c r="X18" i="8"/>
  <c r="AO18" i="8" s="1"/>
  <c r="U18" i="8"/>
  <c r="Q23" i="8"/>
  <c r="AK23" i="8" s="1"/>
  <c r="N23" i="8"/>
  <c r="G24" i="8"/>
  <c r="J24" i="8"/>
  <c r="AG24" i="8" s="1"/>
  <c r="U24" i="8"/>
  <c r="X24" i="8"/>
  <c r="AO24" i="8" s="1"/>
  <c r="N25" i="8"/>
  <c r="Q25" i="8"/>
  <c r="AK25" i="8" s="1"/>
  <c r="G26" i="8"/>
  <c r="J26" i="8"/>
  <c r="AG26" i="8" s="1"/>
  <c r="U26" i="8"/>
  <c r="X26" i="8"/>
  <c r="AO26" i="8" s="1"/>
  <c r="N30" i="8"/>
  <c r="Q30" i="8"/>
  <c r="AK30" i="8" s="1"/>
  <c r="G31" i="8"/>
  <c r="J31" i="8"/>
  <c r="AG31" i="8" s="1"/>
  <c r="U31" i="8"/>
  <c r="X31" i="8"/>
  <c r="AO31" i="8" s="1"/>
  <c r="N32" i="8"/>
  <c r="Q32" i="8"/>
  <c r="AK32" i="8" s="1"/>
  <c r="G33" i="8"/>
  <c r="J33" i="8"/>
  <c r="AG33" i="8" s="1"/>
  <c r="U33" i="8"/>
  <c r="X33" i="8"/>
  <c r="AO33" i="8" s="1"/>
  <c r="N34" i="8"/>
  <c r="Q34" i="8"/>
  <c r="AK34" i="8" s="1"/>
  <c r="G38" i="8"/>
  <c r="J38" i="8"/>
  <c r="AG38" i="8" s="1"/>
  <c r="S40" i="8"/>
  <c r="AL40" i="8" s="1"/>
  <c r="AL52" i="8"/>
  <c r="S47" i="8"/>
  <c r="AL47" i="8" s="1"/>
  <c r="S54" i="8"/>
  <c r="AL54" i="8" s="1"/>
  <c r="S58" i="8"/>
  <c r="AL58" i="8" s="1"/>
  <c r="S62" i="8"/>
  <c r="AL62" i="8" s="1"/>
  <c r="S69" i="8"/>
  <c r="AL69" i="8" s="1"/>
  <c r="S73" i="8"/>
  <c r="AL73" i="8" s="1"/>
  <c r="S81" i="8"/>
  <c r="AL81" i="8" s="1"/>
  <c r="S85" i="8"/>
  <c r="AL85" i="8" s="1"/>
  <c r="S92" i="8"/>
  <c r="AL92" i="8" s="1"/>
  <c r="L295" i="8"/>
  <c r="AH295" i="8" s="1"/>
  <c r="L261" i="8"/>
  <c r="AH261" i="8" s="1"/>
  <c r="L232" i="8"/>
  <c r="AH232" i="8" s="1"/>
  <c r="L199" i="8"/>
  <c r="AH199" i="8" s="1"/>
  <c r="L115" i="8"/>
  <c r="AH115" i="8" s="1"/>
  <c r="L179" i="8"/>
  <c r="AH179" i="8" s="1"/>
  <c r="L74" i="8"/>
  <c r="AH74" i="8" s="1"/>
  <c r="L44" i="8"/>
  <c r="AH44" i="8" s="1"/>
  <c r="L27" i="8"/>
  <c r="L270" i="8"/>
  <c r="AH270" i="8" s="1"/>
  <c r="L249" i="8"/>
  <c r="AH249" i="8" s="1"/>
  <c r="L241" i="8"/>
  <c r="AH241" i="8" s="1"/>
  <c r="L212" i="8"/>
  <c r="AH212" i="8" s="1"/>
  <c r="L218" i="8"/>
  <c r="AH218" i="8" s="1"/>
  <c r="L206" i="8"/>
  <c r="AH206" i="8" s="1"/>
  <c r="L191" i="8"/>
  <c r="AH191" i="8" s="1"/>
  <c r="L148" i="8"/>
  <c r="AH148" i="8" s="1"/>
  <c r="L125" i="8"/>
  <c r="AH125" i="8" s="1"/>
  <c r="L107" i="8"/>
  <c r="AH107" i="8" s="1"/>
  <c r="L172" i="8"/>
  <c r="AH172" i="8" s="1"/>
  <c r="L51" i="8"/>
  <c r="AH51" i="8" s="1"/>
  <c r="L35" i="8"/>
  <c r="AH35" i="8" s="1"/>
  <c r="L19" i="8"/>
  <c r="AH19" i="8" s="1"/>
  <c r="AC7" i="8"/>
  <c r="G15" i="8"/>
  <c r="L15" i="8"/>
  <c r="AH15" i="8" s="1"/>
  <c r="S16" i="8"/>
  <c r="AL16" i="8" s="1"/>
  <c r="L17" i="8"/>
  <c r="AH17" i="8" s="1"/>
  <c r="S18" i="8"/>
  <c r="AL18" i="8" s="1"/>
  <c r="G23" i="8"/>
  <c r="L23" i="8"/>
  <c r="AH23" i="8" s="1"/>
  <c r="Z23" i="8"/>
  <c r="AP23" i="8" s="1"/>
  <c r="N24" i="8"/>
  <c r="S24" i="8"/>
  <c r="AL24" i="8" s="1"/>
  <c r="L25" i="8"/>
  <c r="AH25" i="8" s="1"/>
  <c r="Z25" i="8"/>
  <c r="AP25" i="8" s="1"/>
  <c r="S26" i="8"/>
  <c r="AL26" i="8" s="1"/>
  <c r="L30" i="8"/>
  <c r="AH30" i="8" s="1"/>
  <c r="Z30" i="8"/>
  <c r="AP30" i="8" s="1"/>
  <c r="S31" i="8"/>
  <c r="AL31" i="8" s="1"/>
  <c r="L32" i="8"/>
  <c r="AH32" i="8" s="1"/>
  <c r="Z32" i="8"/>
  <c r="AP32" i="8" s="1"/>
  <c r="S33" i="8"/>
  <c r="AL33" i="8" s="1"/>
  <c r="L34" i="8"/>
  <c r="AH34" i="8" s="1"/>
  <c r="Z34" i="8"/>
  <c r="AP34" i="8" s="1"/>
  <c r="Z38" i="8"/>
  <c r="AP38" i="8" s="1"/>
  <c r="L40" i="8"/>
  <c r="AH40" i="8" s="1"/>
  <c r="S41" i="8"/>
  <c r="AL41" i="8" s="1"/>
  <c r="Z42" i="8"/>
  <c r="AP42" i="8" s="1"/>
  <c r="AH52" i="8"/>
  <c r="L47" i="8"/>
  <c r="AH47" i="8" s="1"/>
  <c r="S48" i="8"/>
  <c r="AL48" i="8" s="1"/>
  <c r="Z49" i="8"/>
  <c r="AP49" i="8" s="1"/>
  <c r="L54" i="8"/>
  <c r="AH54" i="8" s="1"/>
  <c r="S55" i="8"/>
  <c r="AL55" i="8" s="1"/>
  <c r="Z56" i="8"/>
  <c r="AP56" i="8" s="1"/>
  <c r="L58" i="8"/>
  <c r="AH58" i="8" s="1"/>
  <c r="S59" i="8"/>
  <c r="AL59" i="8" s="1"/>
  <c r="Z60" i="8"/>
  <c r="AP60" i="8" s="1"/>
  <c r="L62" i="8"/>
  <c r="AH62" i="8" s="1"/>
  <c r="S63" i="8"/>
  <c r="AL63" i="8" s="1"/>
  <c r="Z64" i="8"/>
  <c r="AP64" i="8" s="1"/>
  <c r="L69" i="8"/>
  <c r="AH69" i="8" s="1"/>
  <c r="S70" i="8"/>
  <c r="AL70" i="8" s="1"/>
  <c r="Z71" i="8"/>
  <c r="AP71" i="8" s="1"/>
  <c r="L73" i="8"/>
  <c r="AH73" i="8" s="1"/>
  <c r="S78" i="8"/>
  <c r="AL78" i="8" s="1"/>
  <c r="Z79" i="8"/>
  <c r="AP79" i="8" s="1"/>
  <c r="L81" i="8"/>
  <c r="AH81" i="8" s="1"/>
  <c r="S82" i="8"/>
  <c r="AL82" i="8" s="1"/>
  <c r="Z83" i="8"/>
  <c r="AP83" i="8" s="1"/>
  <c r="L85" i="8"/>
  <c r="AH85" i="8" s="1"/>
  <c r="S86" i="8"/>
  <c r="AL86" i="8" s="1"/>
  <c r="Z87" i="8"/>
  <c r="AP87" i="8" s="1"/>
  <c r="L92" i="8"/>
  <c r="AH92" i="8" s="1"/>
  <c r="L93" i="8"/>
  <c r="AH93" i="8" s="1"/>
  <c r="Z93" i="8"/>
  <c r="AP93" i="8" s="1"/>
  <c r="S94" i="8"/>
  <c r="AL94" i="8" s="1"/>
  <c r="L95" i="8"/>
  <c r="AH95" i="8" s="1"/>
  <c r="Z95" i="8"/>
  <c r="AP95" i="8" s="1"/>
  <c r="S96" i="8"/>
  <c r="AL96" i="8" s="1"/>
  <c r="L97" i="8"/>
  <c r="AH97" i="8" s="1"/>
  <c r="Z97" i="8"/>
  <c r="AP97" i="8" s="1"/>
  <c r="S98" i="8"/>
  <c r="AL98" i="8" s="1"/>
  <c r="L99" i="8"/>
  <c r="AH99" i="8" s="1"/>
  <c r="Z99" i="8"/>
  <c r="AP99" i="8" s="1"/>
  <c r="AL108" i="8"/>
  <c r="S103" i="8"/>
  <c r="AL103" i="8" s="1"/>
  <c r="L104" i="8"/>
  <c r="AH104" i="8" s="1"/>
  <c r="Z104" i="8"/>
  <c r="AP104" i="8" s="1"/>
  <c r="S105" i="8"/>
  <c r="AL105" i="8" s="1"/>
  <c r="L106" i="8"/>
  <c r="AH106" i="8" s="1"/>
  <c r="Z106" i="8"/>
  <c r="AP106" i="8" s="1"/>
  <c r="AL116" i="8"/>
  <c r="S111" i="8"/>
  <c r="AL111" i="8" s="1"/>
  <c r="L112" i="8"/>
  <c r="AH112" i="8" s="1"/>
  <c r="Z112" i="8"/>
  <c r="AP112" i="8" s="1"/>
  <c r="S113" i="8"/>
  <c r="AL113" i="8" s="1"/>
  <c r="L114" i="8"/>
  <c r="AH114" i="8" s="1"/>
  <c r="Z114" i="8"/>
  <c r="AP114" i="8" s="1"/>
  <c r="AL126" i="8"/>
  <c r="S121" i="8"/>
  <c r="AL121" i="8" s="1"/>
  <c r="L122" i="8"/>
  <c r="AH122" i="8" s="1"/>
  <c r="Z122" i="8"/>
  <c r="AP122" i="8" s="1"/>
  <c r="S123" i="8"/>
  <c r="AL123" i="8" s="1"/>
  <c r="L124" i="8"/>
  <c r="AH124" i="8" s="1"/>
  <c r="Z124" i="8"/>
  <c r="AP124" i="8" s="1"/>
  <c r="S130" i="8"/>
  <c r="AL130" i="8" s="1"/>
  <c r="L131" i="8"/>
  <c r="AH131" i="8" s="1"/>
  <c r="Z131" i="8"/>
  <c r="AP131" i="8" s="1"/>
  <c r="S132" i="8"/>
  <c r="AL132" i="8" s="1"/>
  <c r="L133" i="8"/>
  <c r="AH133" i="8" s="1"/>
  <c r="Z133" i="8"/>
  <c r="AP133" i="8" s="1"/>
  <c r="S134" i="8"/>
  <c r="AL134" i="8" s="1"/>
  <c r="L135" i="8"/>
  <c r="AH135" i="8" s="1"/>
  <c r="Z135" i="8"/>
  <c r="AP135" i="8" s="1"/>
  <c r="S136" i="8"/>
  <c r="AL136" i="8" s="1"/>
  <c r="L137" i="8"/>
  <c r="AH137" i="8" s="1"/>
  <c r="Z137" i="8"/>
  <c r="AP137" i="8" s="1"/>
  <c r="S138" i="8"/>
  <c r="AL138" i="8" s="1"/>
  <c r="L139" i="8"/>
  <c r="AH139" i="8" s="1"/>
  <c r="Z139" i="8"/>
  <c r="AP139" i="8" s="1"/>
  <c r="S140" i="8"/>
  <c r="AL140" i="8" s="1"/>
  <c r="AH149" i="8"/>
  <c r="L144" i="8"/>
  <c r="AH144" i="8" s="1"/>
  <c r="AP149" i="8"/>
  <c r="Z144" i="8"/>
  <c r="AP144" i="8" s="1"/>
  <c r="S145" i="8"/>
  <c r="AL145" i="8" s="1"/>
  <c r="L146" i="8"/>
  <c r="AH146" i="8" s="1"/>
  <c r="Z146" i="8"/>
  <c r="AP146" i="8" s="1"/>
  <c r="S147" i="8"/>
  <c r="AL147" i="8" s="1"/>
  <c r="L153" i="8"/>
  <c r="AH153" i="8" s="1"/>
  <c r="Z153" i="8"/>
  <c r="AP153" i="8" s="1"/>
  <c r="S154" i="8"/>
  <c r="AL154" i="8" s="1"/>
  <c r="L155" i="8"/>
  <c r="AH155" i="8" s="1"/>
  <c r="Z155" i="8"/>
  <c r="AP155" i="8" s="1"/>
  <c r="S156" i="8"/>
  <c r="AL156" i="8" s="1"/>
  <c r="L157" i="8"/>
  <c r="AH157" i="8" s="1"/>
  <c r="Z157" i="8"/>
  <c r="AP157" i="8" s="1"/>
  <c r="S158" i="8"/>
  <c r="AL158" i="8" s="1"/>
  <c r="L159" i="8"/>
  <c r="AH159" i="8" s="1"/>
  <c r="Z159" i="8"/>
  <c r="AP159" i="8" s="1"/>
  <c r="S160" i="8"/>
  <c r="AL160" i="8" s="1"/>
  <c r="L161" i="8"/>
  <c r="AH161" i="8" s="1"/>
  <c r="Z161" i="8"/>
  <c r="AP161" i="8" s="1"/>
  <c r="S162" i="8"/>
  <c r="AL162" i="8" s="1"/>
  <c r="L163" i="8"/>
  <c r="AH163" i="8" s="1"/>
  <c r="Z163" i="8"/>
  <c r="AP163" i="8" s="1"/>
  <c r="S164" i="8"/>
  <c r="AL164" i="8" s="1"/>
  <c r="L168" i="8"/>
  <c r="AH168" i="8" s="1"/>
  <c r="Z168" i="8"/>
  <c r="AP168" i="8" s="1"/>
  <c r="S169" i="8"/>
  <c r="AL169" i="8" s="1"/>
  <c r="L170" i="8"/>
  <c r="AH170" i="8" s="1"/>
  <c r="Z170" i="8"/>
  <c r="AP170" i="8" s="1"/>
  <c r="S171" i="8"/>
  <c r="AL171" i="8" s="1"/>
  <c r="L175" i="8"/>
  <c r="AH175" i="8" s="1"/>
  <c r="Z175" i="8"/>
  <c r="AP175" i="8" s="1"/>
  <c r="S176" i="8"/>
  <c r="AL176" i="8" s="1"/>
  <c r="L177" i="8"/>
  <c r="AH177" i="8" s="1"/>
  <c r="Z177" i="8"/>
  <c r="AP177" i="8" s="1"/>
  <c r="S178" i="8"/>
  <c r="AL178" i="8" s="1"/>
  <c r="L182" i="8"/>
  <c r="AH182" i="8" s="1"/>
  <c r="Z182" i="8"/>
  <c r="AP182" i="8" s="1"/>
  <c r="S183" i="8"/>
  <c r="AL183" i="8" s="1"/>
  <c r="L184" i="8"/>
  <c r="AH184" i="8" s="1"/>
  <c r="Z184" i="8"/>
  <c r="AP184" i="8" s="1"/>
  <c r="S185" i="8"/>
  <c r="AL185" i="8" s="1"/>
  <c r="L186" i="8"/>
  <c r="AH186" i="8" s="1"/>
  <c r="Z186" i="8"/>
  <c r="AP186" i="8" s="1"/>
  <c r="S187" i="8"/>
  <c r="AL187" i="8" s="1"/>
  <c r="L188" i="8"/>
  <c r="AH188" i="8" s="1"/>
  <c r="Z188" i="8"/>
  <c r="AP188" i="8" s="1"/>
  <c r="S189" i="8"/>
  <c r="AL189" i="8" s="1"/>
  <c r="L190" i="8"/>
  <c r="AH190" i="8" s="1"/>
  <c r="Z190" i="8"/>
  <c r="AP190" i="8" s="1"/>
  <c r="S195" i="8"/>
  <c r="AL195" i="8" s="1"/>
  <c r="L196" i="8"/>
  <c r="AH196" i="8" s="1"/>
  <c r="Z196" i="8"/>
  <c r="AP196" i="8" s="1"/>
  <c r="S197" i="8"/>
  <c r="AL197" i="8" s="1"/>
  <c r="L198" i="8"/>
  <c r="AH198" i="8" s="1"/>
  <c r="Z198" i="8"/>
  <c r="AP198" i="8" s="1"/>
  <c r="S202" i="8"/>
  <c r="AL202" i="8" s="1"/>
  <c r="L203" i="8"/>
  <c r="AH203" i="8" s="1"/>
  <c r="Z203" i="8"/>
  <c r="AP203" i="8" s="1"/>
  <c r="S204" i="8"/>
  <c r="AL204" i="8" s="1"/>
  <c r="L205" i="8"/>
  <c r="AH205" i="8" s="1"/>
  <c r="Z205" i="8"/>
  <c r="AP205" i="8" s="1"/>
  <c r="S209" i="8"/>
  <c r="AL209" i="8" s="1"/>
  <c r="L210" i="8"/>
  <c r="AH210" i="8" s="1"/>
  <c r="Z210" i="8"/>
  <c r="AP210" i="8" s="1"/>
  <c r="S211" i="8"/>
  <c r="AL211" i="8" s="1"/>
  <c r="L215" i="8"/>
  <c r="AH215" i="8" s="1"/>
  <c r="N38" i="8"/>
  <c r="Q38" i="8"/>
  <c r="AK38" i="8" s="1"/>
  <c r="G39" i="8"/>
  <c r="J39" i="8"/>
  <c r="AG39" i="8" s="1"/>
  <c r="U39" i="8"/>
  <c r="X39" i="8"/>
  <c r="AO39" i="8" s="1"/>
  <c r="N40" i="8"/>
  <c r="Q40" i="8"/>
  <c r="AK40" i="8" s="1"/>
  <c r="G41" i="8"/>
  <c r="J41" i="8"/>
  <c r="AG41" i="8" s="1"/>
  <c r="U41" i="8"/>
  <c r="X41" i="8"/>
  <c r="AO41" i="8" s="1"/>
  <c r="N42" i="8"/>
  <c r="Q42" i="8"/>
  <c r="AK42" i="8" s="1"/>
  <c r="G43" i="8"/>
  <c r="J43" i="8"/>
  <c r="AG43" i="8" s="1"/>
  <c r="U43" i="8"/>
  <c r="X43" i="8"/>
  <c r="AO43" i="8" s="1"/>
  <c r="AK52" i="8"/>
  <c r="N47" i="8"/>
  <c r="Q47" i="8"/>
  <c r="AK47" i="8" s="1"/>
  <c r="G48" i="8"/>
  <c r="J48" i="8"/>
  <c r="AG48" i="8" s="1"/>
  <c r="U48" i="8"/>
  <c r="X48" i="8"/>
  <c r="AO48" i="8" s="1"/>
  <c r="N49" i="8"/>
  <c r="Q49" i="8"/>
  <c r="AK49" i="8" s="1"/>
  <c r="G50" i="8"/>
  <c r="J50" i="8"/>
  <c r="AG50" i="8" s="1"/>
  <c r="U50" i="8"/>
  <c r="X50" i="8"/>
  <c r="AO50" i="8" s="1"/>
  <c r="N54" i="8"/>
  <c r="Q54" i="8"/>
  <c r="AK54" i="8" s="1"/>
  <c r="G55" i="8"/>
  <c r="J55" i="8"/>
  <c r="AG55" i="8" s="1"/>
  <c r="U55" i="8"/>
  <c r="X55" i="8"/>
  <c r="AO55" i="8" s="1"/>
  <c r="N56" i="8"/>
  <c r="Q56" i="8"/>
  <c r="AK56" i="8" s="1"/>
  <c r="G57" i="8"/>
  <c r="J57" i="8"/>
  <c r="AG57" i="8" s="1"/>
  <c r="U57" i="8"/>
  <c r="X57" i="8"/>
  <c r="AO57" i="8" s="1"/>
  <c r="N58" i="8"/>
  <c r="Q58" i="8"/>
  <c r="AK58" i="8" s="1"/>
  <c r="G59" i="8"/>
  <c r="J59" i="8"/>
  <c r="AG59" i="8" s="1"/>
  <c r="U59" i="8"/>
  <c r="X59" i="8"/>
  <c r="AO59" i="8" s="1"/>
  <c r="N60" i="8"/>
  <c r="Q60" i="8"/>
  <c r="AK60" i="8" s="1"/>
  <c r="G61" i="8"/>
  <c r="J61" i="8"/>
  <c r="AG61" i="8" s="1"/>
  <c r="U61" i="8"/>
  <c r="X61" i="8"/>
  <c r="AO61" i="8" s="1"/>
  <c r="N62" i="8"/>
  <c r="Q62" i="8"/>
  <c r="AK62" i="8" s="1"/>
  <c r="G63" i="8"/>
  <c r="J63" i="8"/>
  <c r="AG63" i="8" s="1"/>
  <c r="U63" i="8"/>
  <c r="X63" i="8"/>
  <c r="AO63" i="8" s="1"/>
  <c r="N64" i="8"/>
  <c r="Q64" i="8"/>
  <c r="AK64" i="8" s="1"/>
  <c r="G68" i="8"/>
  <c r="J68" i="8"/>
  <c r="AG68" i="8" s="1"/>
  <c r="U68" i="8"/>
  <c r="X68" i="8"/>
  <c r="AO68" i="8" s="1"/>
  <c r="N69" i="8"/>
  <c r="Q69" i="8"/>
  <c r="AK69" i="8" s="1"/>
  <c r="G70" i="8"/>
  <c r="J70" i="8"/>
  <c r="AG70" i="8" s="1"/>
  <c r="U70" i="8"/>
  <c r="X70" i="8"/>
  <c r="AO70" i="8" s="1"/>
  <c r="N71" i="8"/>
  <c r="Q71" i="8"/>
  <c r="AK71" i="8" s="1"/>
  <c r="G72" i="8"/>
  <c r="J72" i="8"/>
  <c r="AG72" i="8" s="1"/>
  <c r="U72" i="8"/>
  <c r="X72" i="8"/>
  <c r="AO72" i="8" s="1"/>
  <c r="N73" i="8"/>
  <c r="Q73" i="8"/>
  <c r="AK73" i="8" s="1"/>
  <c r="G78" i="8"/>
  <c r="J78" i="8"/>
  <c r="AG78" i="8" s="1"/>
  <c r="U78" i="8"/>
  <c r="X78" i="8"/>
  <c r="AO78" i="8" s="1"/>
  <c r="N79" i="8"/>
  <c r="Q79" i="8"/>
  <c r="AK79" i="8" s="1"/>
  <c r="G80" i="8"/>
  <c r="J80" i="8"/>
  <c r="AG80" i="8" s="1"/>
  <c r="U80" i="8"/>
  <c r="X80" i="8"/>
  <c r="AO80" i="8" s="1"/>
  <c r="N81" i="8"/>
  <c r="Q81" i="8"/>
  <c r="AK81" i="8" s="1"/>
  <c r="G82" i="8"/>
  <c r="J82" i="8"/>
  <c r="AG82" i="8" s="1"/>
  <c r="U82" i="8"/>
  <c r="X82" i="8"/>
  <c r="AO82" i="8" s="1"/>
  <c r="N83" i="8"/>
  <c r="Q83" i="8"/>
  <c r="AK83" i="8" s="1"/>
  <c r="G84" i="8"/>
  <c r="J84" i="8"/>
  <c r="AG84" i="8" s="1"/>
  <c r="U84" i="8"/>
  <c r="X84" i="8"/>
  <c r="AO84" i="8" s="1"/>
  <c r="N85" i="8"/>
  <c r="Q85" i="8"/>
  <c r="AK85" i="8" s="1"/>
  <c r="G86" i="8"/>
  <c r="J86" i="8"/>
  <c r="AG86" i="8" s="1"/>
  <c r="U86" i="8"/>
  <c r="X86" i="8"/>
  <c r="AO86" i="8" s="1"/>
  <c r="N87" i="8"/>
  <c r="Q87" i="8"/>
  <c r="AK87" i="8" s="1"/>
  <c r="G88" i="8"/>
  <c r="J88" i="8"/>
  <c r="AG88" i="8" s="1"/>
  <c r="U88" i="8"/>
  <c r="X88" i="8"/>
  <c r="AO88" i="8" s="1"/>
  <c r="N92" i="8"/>
  <c r="Q92" i="8"/>
  <c r="AK92" i="8" s="1"/>
  <c r="G93" i="8"/>
  <c r="J93" i="8"/>
  <c r="AG93" i="8" s="1"/>
  <c r="U93" i="8"/>
  <c r="X93" i="8"/>
  <c r="AO93" i="8" s="1"/>
  <c r="N94" i="8"/>
  <c r="Q94" i="8"/>
  <c r="AK94" i="8" s="1"/>
  <c r="G95" i="8"/>
  <c r="J95" i="8"/>
  <c r="AG95" i="8" s="1"/>
  <c r="U95" i="8"/>
  <c r="X95" i="8"/>
  <c r="AO95" i="8" s="1"/>
  <c r="N96" i="8"/>
  <c r="Q96" i="8"/>
  <c r="AK96" i="8" s="1"/>
  <c r="G97" i="8"/>
  <c r="J97" i="8"/>
  <c r="AG97" i="8" s="1"/>
  <c r="U97" i="8"/>
  <c r="X97" i="8"/>
  <c r="AO97" i="8" s="1"/>
  <c r="N98" i="8"/>
  <c r="Q98" i="8"/>
  <c r="AK98" i="8" s="1"/>
  <c r="G99" i="8"/>
  <c r="J99" i="8"/>
  <c r="AG99" i="8" s="1"/>
  <c r="U99" i="8"/>
  <c r="X99" i="8"/>
  <c r="AO99" i="8" s="1"/>
  <c r="AK108" i="8"/>
  <c r="N103" i="8"/>
  <c r="Q103" i="8"/>
  <c r="AK103" i="8" s="1"/>
  <c r="G104" i="8"/>
  <c r="J104" i="8"/>
  <c r="AG104" i="8" s="1"/>
  <c r="U104" i="8"/>
  <c r="X104" i="8"/>
  <c r="AO104" i="8" s="1"/>
  <c r="N105" i="8"/>
  <c r="Q105" i="8"/>
  <c r="AK105" i="8" s="1"/>
  <c r="G106" i="8"/>
  <c r="J106" i="8"/>
  <c r="AG106" i="8" s="1"/>
  <c r="U106" i="8"/>
  <c r="X106" i="8"/>
  <c r="AO106" i="8" s="1"/>
  <c r="AK116" i="8"/>
  <c r="N111" i="8"/>
  <c r="Q111" i="8"/>
  <c r="AK111" i="8" s="1"/>
  <c r="G112" i="8"/>
  <c r="J112" i="8"/>
  <c r="AG112" i="8" s="1"/>
  <c r="U112" i="8"/>
  <c r="X112" i="8"/>
  <c r="AO112" i="8" s="1"/>
  <c r="N113" i="8"/>
  <c r="Q113" i="8"/>
  <c r="AK113" i="8" s="1"/>
  <c r="G114" i="8"/>
  <c r="J114" i="8"/>
  <c r="AG114" i="8" s="1"/>
  <c r="U114" i="8"/>
  <c r="X114" i="8"/>
  <c r="AO114" i="8" s="1"/>
  <c r="AK126" i="8"/>
  <c r="N121" i="8"/>
  <c r="Q121" i="8"/>
  <c r="AK121" i="8" s="1"/>
  <c r="G122" i="8"/>
  <c r="J122" i="8"/>
  <c r="AG122" i="8" s="1"/>
  <c r="U122" i="8"/>
  <c r="X122" i="8"/>
  <c r="AO122" i="8" s="1"/>
  <c r="N123" i="8"/>
  <c r="Q123" i="8"/>
  <c r="AK123" i="8" s="1"/>
  <c r="G124" i="8"/>
  <c r="J124" i="8"/>
  <c r="AG124" i="8" s="1"/>
  <c r="U124" i="8"/>
  <c r="X124" i="8"/>
  <c r="AO124" i="8" s="1"/>
  <c r="N130" i="8"/>
  <c r="Q130" i="8"/>
  <c r="AK130" i="8" s="1"/>
  <c r="G131" i="8"/>
  <c r="J131" i="8"/>
  <c r="AG131" i="8" s="1"/>
  <c r="U131" i="8"/>
  <c r="X131" i="8"/>
  <c r="AO131" i="8" s="1"/>
  <c r="N132" i="8"/>
  <c r="Q132" i="8"/>
  <c r="AK132" i="8" s="1"/>
  <c r="G133" i="8"/>
  <c r="J133" i="8"/>
  <c r="AG133" i="8" s="1"/>
  <c r="U133" i="8"/>
  <c r="X133" i="8"/>
  <c r="AO133" i="8" s="1"/>
  <c r="N134" i="8"/>
  <c r="Q134" i="8"/>
  <c r="AK134" i="8" s="1"/>
  <c r="G135" i="8"/>
  <c r="J135" i="8"/>
  <c r="AG135" i="8" s="1"/>
  <c r="U135" i="8"/>
  <c r="X135" i="8"/>
  <c r="AO135" i="8" s="1"/>
  <c r="N136" i="8"/>
  <c r="Q136" i="8"/>
  <c r="AK136" i="8" s="1"/>
  <c r="G137" i="8"/>
  <c r="J137" i="8"/>
  <c r="AG137" i="8" s="1"/>
  <c r="U137" i="8"/>
  <c r="X137" i="8"/>
  <c r="AO137" i="8" s="1"/>
  <c r="N138" i="8"/>
  <c r="Q138" i="8"/>
  <c r="AK138" i="8" s="1"/>
  <c r="G139" i="8"/>
  <c r="J139" i="8"/>
  <c r="AG139" i="8" s="1"/>
  <c r="U139" i="8"/>
  <c r="X139" i="8"/>
  <c r="AO139" i="8" s="1"/>
  <c r="N140" i="8"/>
  <c r="Q140" i="8"/>
  <c r="AK140" i="8" s="1"/>
  <c r="AG149" i="8"/>
  <c r="G144" i="8"/>
  <c r="J144" i="8"/>
  <c r="AG144" i="8" s="1"/>
  <c r="AO149" i="8"/>
  <c r="U144" i="8"/>
  <c r="X144" i="8"/>
  <c r="AO144" i="8" s="1"/>
  <c r="N145" i="8"/>
  <c r="Q145" i="8"/>
  <c r="AK145" i="8" s="1"/>
  <c r="G146" i="8"/>
  <c r="J146" i="8"/>
  <c r="AG146" i="8" s="1"/>
  <c r="U146" i="8"/>
  <c r="X146" i="8"/>
  <c r="AO146" i="8" s="1"/>
  <c r="N147" i="8"/>
  <c r="Q147" i="8"/>
  <c r="AK147" i="8" s="1"/>
  <c r="G153" i="8"/>
  <c r="J153" i="8"/>
  <c r="AG153" i="8" s="1"/>
  <c r="U153" i="8"/>
  <c r="X153" i="8"/>
  <c r="AO153" i="8" s="1"/>
  <c r="N154" i="8"/>
  <c r="Q154" i="8"/>
  <c r="AK154" i="8" s="1"/>
  <c r="G155" i="8"/>
  <c r="J155" i="8"/>
  <c r="AG155" i="8" s="1"/>
  <c r="U155" i="8"/>
  <c r="X155" i="8"/>
  <c r="AO155" i="8" s="1"/>
  <c r="N156" i="8"/>
  <c r="Q156" i="8"/>
  <c r="AK156" i="8" s="1"/>
  <c r="G157" i="8"/>
  <c r="J157" i="8"/>
  <c r="AG157" i="8" s="1"/>
  <c r="U157" i="8"/>
  <c r="X157" i="8"/>
  <c r="AO157" i="8" s="1"/>
  <c r="N158" i="8"/>
  <c r="Q158" i="8"/>
  <c r="AK158" i="8" s="1"/>
  <c r="G159" i="8"/>
  <c r="J159" i="8"/>
  <c r="AG159" i="8" s="1"/>
  <c r="U159" i="8"/>
  <c r="X159" i="8"/>
  <c r="AO159" i="8" s="1"/>
  <c r="N160" i="8"/>
  <c r="Q160" i="8"/>
  <c r="AK160" i="8" s="1"/>
  <c r="G161" i="8"/>
  <c r="J161" i="8"/>
  <c r="AG161" i="8" s="1"/>
  <c r="U161" i="8"/>
  <c r="X161" i="8"/>
  <c r="AO161" i="8" s="1"/>
  <c r="N162" i="8"/>
  <c r="Q162" i="8"/>
  <c r="AK162" i="8" s="1"/>
  <c r="G163" i="8"/>
  <c r="J163" i="8"/>
  <c r="AG163" i="8" s="1"/>
  <c r="U163" i="8"/>
  <c r="X163" i="8"/>
  <c r="AO163" i="8" s="1"/>
  <c r="N164" i="8"/>
  <c r="Q164" i="8"/>
  <c r="AK164" i="8" s="1"/>
  <c r="G168" i="8"/>
  <c r="J168" i="8"/>
  <c r="AG168" i="8" s="1"/>
  <c r="U168" i="8"/>
  <c r="X168" i="8"/>
  <c r="AO168" i="8" s="1"/>
  <c r="N169" i="8"/>
  <c r="Q169" i="8"/>
  <c r="AK169" i="8" s="1"/>
  <c r="G170" i="8"/>
  <c r="J170" i="8"/>
  <c r="AG170" i="8" s="1"/>
  <c r="U170" i="8"/>
  <c r="X170" i="8"/>
  <c r="AO170" i="8" s="1"/>
  <c r="N171" i="8"/>
  <c r="Q171" i="8"/>
  <c r="AK171" i="8" s="1"/>
  <c r="G175" i="8"/>
  <c r="J175" i="8"/>
  <c r="AG175" i="8" s="1"/>
  <c r="U175" i="8"/>
  <c r="X175" i="8"/>
  <c r="AO175" i="8" s="1"/>
  <c r="N176" i="8"/>
  <c r="Q176" i="8"/>
  <c r="AK176" i="8" s="1"/>
  <c r="G177" i="8"/>
  <c r="J177" i="8"/>
  <c r="AG177" i="8" s="1"/>
  <c r="U177" i="8"/>
  <c r="X177" i="8"/>
  <c r="AO177" i="8" s="1"/>
  <c r="N178" i="8"/>
  <c r="Q178" i="8"/>
  <c r="AK178" i="8" s="1"/>
  <c r="G182" i="8"/>
  <c r="J182" i="8"/>
  <c r="AG182" i="8" s="1"/>
  <c r="X182" i="8"/>
  <c r="AO182" i="8" s="1"/>
  <c r="U182" i="8"/>
  <c r="N183" i="8"/>
  <c r="Q183" i="8"/>
  <c r="AK183" i="8" s="1"/>
  <c r="G184" i="8"/>
  <c r="J184" i="8"/>
  <c r="AG184" i="8" s="1"/>
  <c r="U184" i="8"/>
  <c r="X184" i="8"/>
  <c r="AO184" i="8" s="1"/>
  <c r="N185" i="8"/>
  <c r="Q185" i="8"/>
  <c r="AK185" i="8" s="1"/>
  <c r="G186" i="8"/>
  <c r="J186" i="8"/>
  <c r="AG186" i="8" s="1"/>
  <c r="U186" i="8"/>
  <c r="X186" i="8"/>
  <c r="AO186" i="8" s="1"/>
  <c r="N187" i="8"/>
  <c r="Q187" i="8"/>
  <c r="AK187" i="8" s="1"/>
  <c r="G188" i="8"/>
  <c r="J188" i="8"/>
  <c r="AG188" i="8" s="1"/>
  <c r="U188" i="8"/>
  <c r="X188" i="8"/>
  <c r="AO188" i="8" s="1"/>
  <c r="N189" i="8"/>
  <c r="Q189" i="8"/>
  <c r="AK189" i="8" s="1"/>
  <c r="G190" i="8"/>
  <c r="J190" i="8"/>
  <c r="AG190" i="8" s="1"/>
  <c r="U190" i="8"/>
  <c r="X190" i="8"/>
  <c r="AO190" i="8" s="1"/>
  <c r="N195" i="8"/>
  <c r="Q195" i="8"/>
  <c r="AK195" i="8" s="1"/>
  <c r="G196" i="8"/>
  <c r="J196" i="8"/>
  <c r="AG196" i="8" s="1"/>
  <c r="U196" i="8"/>
  <c r="X196" i="8"/>
  <c r="AO196" i="8" s="1"/>
  <c r="N197" i="8"/>
  <c r="Q197" i="8"/>
  <c r="AK197" i="8" s="1"/>
  <c r="G198" i="8"/>
  <c r="J198" i="8"/>
  <c r="AG198" i="8" s="1"/>
  <c r="U198" i="8"/>
  <c r="X198" i="8"/>
  <c r="AO198" i="8" s="1"/>
  <c r="N202" i="8"/>
  <c r="Q202" i="8"/>
  <c r="AK202" i="8" s="1"/>
  <c r="G203" i="8"/>
  <c r="J203" i="8"/>
  <c r="AG203" i="8" s="1"/>
  <c r="U203" i="8"/>
  <c r="X203" i="8"/>
  <c r="AO203" i="8" s="1"/>
  <c r="N204" i="8"/>
  <c r="Q204" i="8"/>
  <c r="AK204" i="8" s="1"/>
  <c r="G205" i="8"/>
  <c r="J205" i="8"/>
  <c r="AG205" i="8" s="1"/>
  <c r="U205" i="8"/>
  <c r="X205" i="8"/>
  <c r="AO205" i="8" s="1"/>
  <c r="N209" i="8"/>
  <c r="Q209" i="8"/>
  <c r="AK209" i="8" s="1"/>
  <c r="G210" i="8"/>
  <c r="J210" i="8"/>
  <c r="AG210" i="8" s="1"/>
  <c r="U210" i="8"/>
  <c r="X210" i="8"/>
  <c r="AO210" i="8" s="1"/>
  <c r="N211" i="8"/>
  <c r="Q211" i="8"/>
  <c r="AK211" i="8" s="1"/>
  <c r="G215" i="8"/>
  <c r="J215" i="8"/>
  <c r="AG215" i="8" s="1"/>
  <c r="U215" i="8"/>
  <c r="X215" i="8"/>
  <c r="AO215" i="8" s="1"/>
  <c r="N216" i="8"/>
  <c r="Q216" i="8"/>
  <c r="AK216" i="8" s="1"/>
  <c r="G217" i="8"/>
  <c r="J217" i="8"/>
  <c r="AG217" i="8" s="1"/>
  <c r="U217" i="8"/>
  <c r="X217" i="8"/>
  <c r="AO217" i="8" s="1"/>
  <c r="N222" i="8"/>
  <c r="Q222" i="8"/>
  <c r="AK222" i="8" s="1"/>
  <c r="G223" i="8"/>
  <c r="J223" i="8"/>
  <c r="AG223" i="8" s="1"/>
  <c r="U223" i="8"/>
  <c r="X223" i="8"/>
  <c r="AO223" i="8" s="1"/>
  <c r="N224" i="8"/>
  <c r="Q224" i="8"/>
  <c r="AK224" i="8" s="1"/>
  <c r="G225" i="8"/>
  <c r="J225" i="8"/>
  <c r="AG225" i="8" s="1"/>
  <c r="U225" i="8"/>
  <c r="X225" i="8"/>
  <c r="AO225" i="8" s="1"/>
  <c r="N226" i="8"/>
  <c r="Q226" i="8"/>
  <c r="AK226" i="8" s="1"/>
  <c r="G227" i="8"/>
  <c r="J227" i="8"/>
  <c r="AG227" i="8" s="1"/>
  <c r="U227" i="8"/>
  <c r="X227" i="8"/>
  <c r="AO227" i="8" s="1"/>
  <c r="N228" i="8"/>
  <c r="Q228" i="8"/>
  <c r="AK228" i="8" s="1"/>
  <c r="G229" i="8"/>
  <c r="J229" i="8"/>
  <c r="AG229" i="8" s="1"/>
  <c r="U229" i="8"/>
  <c r="X229" i="8"/>
  <c r="AO229" i="8" s="1"/>
  <c r="N230" i="8"/>
  <c r="Q230" i="8"/>
  <c r="AK230" i="8" s="1"/>
  <c r="G231" i="8"/>
  <c r="J231" i="8"/>
  <c r="AG231" i="8" s="1"/>
  <c r="U231" i="8"/>
  <c r="X231" i="8"/>
  <c r="AO231" i="8" s="1"/>
  <c r="N235" i="8"/>
  <c r="Q235" i="8"/>
  <c r="AK235" i="8" s="1"/>
  <c r="G236" i="8"/>
  <c r="J236" i="8"/>
  <c r="AG236" i="8" s="1"/>
  <c r="U236" i="8"/>
  <c r="X236" i="8"/>
  <c r="AO236" i="8" s="1"/>
  <c r="N237" i="8"/>
  <c r="Q237" i="8"/>
  <c r="AK237" i="8" s="1"/>
  <c r="G238" i="8"/>
  <c r="J238" i="8"/>
  <c r="AG238" i="8" s="1"/>
  <c r="U238" i="8"/>
  <c r="X238" i="8"/>
  <c r="AO238" i="8" s="1"/>
  <c r="N239" i="8"/>
  <c r="Q239" i="8"/>
  <c r="AK239" i="8" s="1"/>
  <c r="G240" i="8"/>
  <c r="J240" i="8"/>
  <c r="AG240" i="8" s="1"/>
  <c r="U240" i="8"/>
  <c r="X240" i="8"/>
  <c r="AO240" i="8" s="1"/>
  <c r="N244" i="8"/>
  <c r="Q244" i="8"/>
  <c r="AK244" i="8" s="1"/>
  <c r="G245" i="8"/>
  <c r="J245" i="8"/>
  <c r="AG245" i="8" s="1"/>
  <c r="AG250" i="8"/>
  <c r="U245" i="8"/>
  <c r="X245" i="8"/>
  <c r="AO245" i="8" s="1"/>
  <c r="AO250" i="8"/>
  <c r="N246" i="8"/>
  <c r="Q246" i="8"/>
  <c r="AK246" i="8" s="1"/>
  <c r="G247" i="8"/>
  <c r="J247" i="8"/>
  <c r="AG247" i="8" s="1"/>
  <c r="U247" i="8"/>
  <c r="X247" i="8"/>
  <c r="AO247" i="8" s="1"/>
  <c r="N248" i="8"/>
  <c r="Q248" i="8"/>
  <c r="AK248" i="8" s="1"/>
  <c r="G252" i="8"/>
  <c r="J252" i="8"/>
  <c r="AG252" i="8" s="1"/>
  <c r="U252" i="8"/>
  <c r="X252" i="8"/>
  <c r="AO252" i="8" s="1"/>
  <c r="N253" i="8"/>
  <c r="Q253" i="8"/>
  <c r="AK253" i="8" s="1"/>
  <c r="G254" i="8"/>
  <c r="J254" i="8"/>
  <c r="AG254" i="8" s="1"/>
  <c r="U254" i="8"/>
  <c r="X254" i="8"/>
  <c r="AO254" i="8" s="1"/>
  <c r="Q255" i="8"/>
  <c r="AK255" i="8" s="1"/>
  <c r="N255" i="8"/>
  <c r="G256" i="8"/>
  <c r="J256" i="8"/>
  <c r="AG256" i="8" s="1"/>
  <c r="U256" i="8"/>
  <c r="X256" i="8"/>
  <c r="AO256" i="8" s="1"/>
  <c r="N257" i="8"/>
  <c r="Q257" i="8"/>
  <c r="AK257" i="8" s="1"/>
  <c r="G258" i="8"/>
  <c r="J258" i="8"/>
  <c r="AG258" i="8" s="1"/>
  <c r="U258" i="8"/>
  <c r="X258" i="8"/>
  <c r="AO258" i="8" s="1"/>
  <c r="N259" i="8"/>
  <c r="Q259" i="8"/>
  <c r="AK259" i="8" s="1"/>
  <c r="G260" i="8"/>
  <c r="J260" i="8"/>
  <c r="AG260" i="8" s="1"/>
  <c r="U260" i="8"/>
  <c r="X260" i="8"/>
  <c r="AO260" i="8" s="1"/>
  <c r="N264" i="8"/>
  <c r="Q264" i="8"/>
  <c r="AK264" i="8" s="1"/>
  <c r="G265" i="8"/>
  <c r="J265" i="8"/>
  <c r="AG265" i="8" s="1"/>
  <c r="U265" i="8"/>
  <c r="X265" i="8"/>
  <c r="AO265" i="8" s="1"/>
  <c r="N266" i="8"/>
  <c r="Q266" i="8"/>
  <c r="AK266" i="8" s="1"/>
  <c r="G267" i="8"/>
  <c r="J267" i="8"/>
  <c r="AG267" i="8" s="1"/>
  <c r="U267" i="8"/>
  <c r="X267" i="8"/>
  <c r="AO267" i="8" s="1"/>
  <c r="N268" i="8"/>
  <c r="Q268" i="8"/>
  <c r="AK268" i="8" s="1"/>
  <c r="G269" i="8"/>
  <c r="J269" i="8"/>
  <c r="AG269" i="8" s="1"/>
  <c r="U269" i="8"/>
  <c r="X269" i="8"/>
  <c r="AO269" i="8" s="1"/>
  <c r="N273" i="8"/>
  <c r="Q273" i="8"/>
  <c r="AK273" i="8" s="1"/>
  <c r="G274" i="8"/>
  <c r="J274" i="8"/>
  <c r="AG274" i="8" s="1"/>
  <c r="U274" i="8"/>
  <c r="X274" i="8"/>
  <c r="AO274" i="8" s="1"/>
  <c r="N275" i="8"/>
  <c r="Q275" i="8"/>
  <c r="AK275" i="8" s="1"/>
  <c r="G276" i="8"/>
  <c r="J276" i="8"/>
  <c r="AG276" i="8" s="1"/>
  <c r="U276" i="8"/>
  <c r="X276" i="8"/>
  <c r="AO276" i="8" s="1"/>
  <c r="N277" i="8"/>
  <c r="Q277" i="8"/>
  <c r="AK277" i="8" s="1"/>
  <c r="G278" i="8"/>
  <c r="J278" i="8"/>
  <c r="AG278" i="8" s="1"/>
  <c r="U278" i="8"/>
  <c r="X278" i="8"/>
  <c r="AO278" i="8" s="1"/>
  <c r="N279" i="8"/>
  <c r="Q279" i="8"/>
  <c r="AK279" i="8" s="1"/>
  <c r="G280" i="8"/>
  <c r="J280" i="8"/>
  <c r="AG280" i="8" s="1"/>
  <c r="U280" i="8"/>
  <c r="X280" i="8"/>
  <c r="AO280" i="8" s="1"/>
  <c r="N281" i="8"/>
  <c r="Q281" i="8"/>
  <c r="AK281" i="8" s="1"/>
  <c r="G282" i="8"/>
  <c r="J282" i="8"/>
  <c r="AG282" i="8" s="1"/>
  <c r="U282" i="8"/>
  <c r="X282" i="8"/>
  <c r="AO282" i="8" s="1"/>
  <c r="N283" i="8"/>
  <c r="Q283" i="8"/>
  <c r="AK283" i="8" s="1"/>
  <c r="G284" i="8"/>
  <c r="J284" i="8"/>
  <c r="AG284" i="8" s="1"/>
  <c r="U284" i="8"/>
  <c r="X284" i="8"/>
  <c r="AO284" i="8" s="1"/>
  <c r="N285" i="8"/>
  <c r="Q285" i="8"/>
  <c r="AK285" i="8" s="1"/>
  <c r="G286" i="8"/>
  <c r="J286" i="8"/>
  <c r="AG286" i="8" s="1"/>
  <c r="U286" i="8"/>
  <c r="X286" i="8"/>
  <c r="AO286" i="8" s="1"/>
  <c r="N290" i="8"/>
  <c r="Q290" i="8"/>
  <c r="G291" i="8"/>
  <c r="J291" i="8"/>
  <c r="AG291" i="8" s="1"/>
  <c r="U291" i="8"/>
  <c r="X291" i="8"/>
  <c r="AO291" i="8" s="1"/>
  <c r="N292" i="8"/>
  <c r="Q292" i="8"/>
  <c r="AK292" i="8" s="1"/>
  <c r="G293" i="8"/>
  <c r="J293" i="8"/>
  <c r="AG293" i="8" s="1"/>
  <c r="U293" i="8"/>
  <c r="X293" i="8"/>
  <c r="AO293" i="8" s="1"/>
  <c r="N294" i="8"/>
  <c r="Q294" i="8"/>
  <c r="AK294" i="8" s="1"/>
  <c r="L216" i="8"/>
  <c r="AH216" i="8" s="1"/>
  <c r="Z216" i="8"/>
  <c r="AP216" i="8" s="1"/>
  <c r="S217" i="8"/>
  <c r="AL217" i="8" s="1"/>
  <c r="L222" i="8"/>
  <c r="AH222" i="8" s="1"/>
  <c r="Z222" i="8"/>
  <c r="AP222" i="8" s="1"/>
  <c r="S223" i="8"/>
  <c r="AL223" i="8" s="1"/>
  <c r="L224" i="8"/>
  <c r="AH224" i="8" s="1"/>
  <c r="Z224" i="8"/>
  <c r="AP224" i="8" s="1"/>
  <c r="S225" i="8"/>
  <c r="AL225" i="8" s="1"/>
  <c r="L226" i="8"/>
  <c r="AH226" i="8" s="1"/>
  <c r="Z226" i="8"/>
  <c r="AP226" i="8" s="1"/>
  <c r="S227" i="8"/>
  <c r="AL227" i="8" s="1"/>
  <c r="L228" i="8"/>
  <c r="AH228" i="8" s="1"/>
  <c r="Z228" i="8"/>
  <c r="AP228" i="8" s="1"/>
  <c r="S229" i="8"/>
  <c r="AL229" i="8" s="1"/>
  <c r="L230" i="8"/>
  <c r="AH230" i="8" s="1"/>
  <c r="Z230" i="8"/>
  <c r="AP230" i="8" s="1"/>
  <c r="S231" i="8"/>
  <c r="AL231" i="8" s="1"/>
  <c r="L235" i="8"/>
  <c r="AH235" i="8" s="1"/>
  <c r="Z235" i="8"/>
  <c r="AP235" i="8" s="1"/>
  <c r="S236" i="8"/>
  <c r="AL236" i="8" s="1"/>
  <c r="L237" i="8"/>
  <c r="AH237" i="8" s="1"/>
  <c r="Z237" i="8"/>
  <c r="AP237" i="8" s="1"/>
  <c r="S238" i="8"/>
  <c r="AL238" i="8" s="1"/>
  <c r="L239" i="8"/>
  <c r="AH239" i="8" s="1"/>
  <c r="Z239" i="8"/>
  <c r="AP239" i="8" s="1"/>
  <c r="S240" i="8"/>
  <c r="AL240" i="8" s="1"/>
  <c r="L244" i="8"/>
  <c r="AH244" i="8" s="1"/>
  <c r="Z244" i="8"/>
  <c r="AP244" i="8" s="1"/>
  <c r="S245" i="8"/>
  <c r="AL245" i="8" s="1"/>
  <c r="AL250" i="8"/>
  <c r="L246" i="8"/>
  <c r="AH246" i="8" s="1"/>
  <c r="Z246" i="8"/>
  <c r="AP246" i="8" s="1"/>
  <c r="S247" i="8"/>
  <c r="AL247" i="8" s="1"/>
  <c r="L248" i="8"/>
  <c r="AH248" i="8" s="1"/>
  <c r="Z248" i="8"/>
  <c r="AP248" i="8" s="1"/>
  <c r="S252" i="8"/>
  <c r="AL252" i="8" s="1"/>
  <c r="L253" i="8"/>
  <c r="AH253" i="8" s="1"/>
  <c r="Z253" i="8"/>
  <c r="AP253" i="8" s="1"/>
  <c r="S254" i="8"/>
  <c r="AL254" i="8" s="1"/>
  <c r="L255" i="8"/>
  <c r="AH255" i="8" s="1"/>
  <c r="Z255" i="8"/>
  <c r="AP255" i="8" s="1"/>
  <c r="S256" i="8"/>
  <c r="AL256" i="8" s="1"/>
  <c r="L257" i="8"/>
  <c r="AH257" i="8" s="1"/>
  <c r="Z257" i="8"/>
  <c r="AP257" i="8" s="1"/>
  <c r="S258" i="8"/>
  <c r="AL258" i="8" s="1"/>
  <c r="L259" i="8"/>
  <c r="AH259" i="8" s="1"/>
  <c r="Z259" i="8"/>
  <c r="AP259" i="8" s="1"/>
  <c r="S260" i="8"/>
  <c r="AL260" i="8" s="1"/>
  <c r="L264" i="8"/>
  <c r="AH264" i="8" s="1"/>
  <c r="Z264" i="8"/>
  <c r="AP264" i="8" s="1"/>
  <c r="S265" i="8"/>
  <c r="AL265" i="8" s="1"/>
  <c r="L266" i="8"/>
  <c r="AH266" i="8" s="1"/>
  <c r="Z266" i="8"/>
  <c r="AP266" i="8" s="1"/>
  <c r="S267" i="8"/>
  <c r="AL267" i="8" s="1"/>
  <c r="L268" i="8"/>
  <c r="AH268" i="8" s="1"/>
  <c r="Z268" i="8"/>
  <c r="AP268" i="8" s="1"/>
  <c r="S269" i="8"/>
  <c r="AL269" i="8" s="1"/>
  <c r="L273" i="8"/>
  <c r="AH273" i="8" s="1"/>
  <c r="Z273" i="8"/>
  <c r="AP273" i="8" s="1"/>
  <c r="S274" i="8"/>
  <c r="AL274" i="8" s="1"/>
  <c r="L275" i="8"/>
  <c r="AH275" i="8" s="1"/>
  <c r="Z275" i="8"/>
  <c r="AP275" i="8" s="1"/>
  <c r="S276" i="8"/>
  <c r="AL276" i="8" s="1"/>
  <c r="L277" i="8"/>
  <c r="AH277" i="8" s="1"/>
  <c r="Z277" i="8"/>
  <c r="AP277" i="8" s="1"/>
  <c r="S278" i="8"/>
  <c r="AL278" i="8" s="1"/>
  <c r="L279" i="8"/>
  <c r="AH279" i="8" s="1"/>
  <c r="Z279" i="8"/>
  <c r="AP279" i="8" s="1"/>
  <c r="S280" i="8"/>
  <c r="AL280" i="8" s="1"/>
  <c r="L281" i="8"/>
  <c r="AH281" i="8" s="1"/>
  <c r="Z281" i="8"/>
  <c r="AP281" i="8" s="1"/>
  <c r="S282" i="8"/>
  <c r="AL282" i="8" s="1"/>
  <c r="L283" i="8"/>
  <c r="AH283" i="8" s="1"/>
  <c r="Z283" i="8"/>
  <c r="AP283" i="8" s="1"/>
  <c r="S284" i="8"/>
  <c r="AL284" i="8" s="1"/>
  <c r="L285" i="8"/>
  <c r="AH285" i="8" s="1"/>
  <c r="Z285" i="8"/>
  <c r="AP285" i="8" s="1"/>
  <c r="S286" i="8"/>
  <c r="AL286" i="8" s="1"/>
  <c r="AH296" i="8"/>
  <c r="L290" i="8"/>
  <c r="AH290" i="8" s="1"/>
  <c r="AP296" i="8"/>
  <c r="Z290" i="8"/>
  <c r="AP290" i="8" s="1"/>
  <c r="S291" i="8"/>
  <c r="AL291" i="8" s="1"/>
  <c r="L292" i="8"/>
  <c r="AH292" i="8" s="1"/>
  <c r="Z292" i="8"/>
  <c r="AP292" i="8" s="1"/>
  <c r="S293" i="8"/>
  <c r="AL293" i="8" s="1"/>
  <c r="L294" i="8"/>
  <c r="AH294" i="8" s="1"/>
  <c r="U294" i="8"/>
  <c r="X294" i="8"/>
  <c r="AO294" i="8" s="1"/>
  <c r="N305" i="8"/>
  <c r="Q305" i="8"/>
  <c r="G306" i="8"/>
  <c r="J306" i="8"/>
  <c r="AG306" i="8" s="1"/>
  <c r="U306" i="8"/>
  <c r="X306" i="8"/>
  <c r="AO306" i="8" s="1"/>
  <c r="N307" i="8"/>
  <c r="Q307" i="8"/>
  <c r="AK307" i="8" s="1"/>
  <c r="G308" i="8"/>
  <c r="J308" i="8"/>
  <c r="AG308" i="8" s="1"/>
  <c r="U308" i="8"/>
  <c r="X308" i="8"/>
  <c r="AO308" i="8" s="1"/>
  <c r="N309" i="8"/>
  <c r="Q309" i="8"/>
  <c r="AK309" i="8" s="1"/>
  <c r="G310" i="8"/>
  <c r="J310" i="8"/>
  <c r="AG310" i="8" s="1"/>
  <c r="U310" i="8"/>
  <c r="X310" i="8"/>
  <c r="AO310" i="8" s="1"/>
  <c r="N313" i="8"/>
  <c r="Q313" i="8"/>
  <c r="G314" i="8"/>
  <c r="J314" i="8"/>
  <c r="AG314" i="8" s="1"/>
  <c r="U314" i="8"/>
  <c r="X314" i="8"/>
  <c r="AO314" i="8" s="1"/>
  <c r="N315" i="8"/>
  <c r="Q315" i="8"/>
  <c r="AK315" i="8" s="1"/>
  <c r="G316" i="8"/>
  <c r="J316" i="8"/>
  <c r="AG316" i="8" s="1"/>
  <c r="U316" i="8"/>
  <c r="X316" i="8"/>
  <c r="AO316" i="8" s="1"/>
  <c r="N317" i="8"/>
  <c r="Q317" i="8"/>
  <c r="AK317" i="8" s="1"/>
  <c r="G318" i="8"/>
  <c r="J318" i="8"/>
  <c r="AG318" i="8" s="1"/>
  <c r="U318" i="8"/>
  <c r="X318" i="8"/>
  <c r="AO318" i="8" s="1"/>
  <c r="N321" i="8"/>
  <c r="Q321" i="8"/>
  <c r="G322" i="8"/>
  <c r="J322" i="8"/>
  <c r="AG322" i="8" s="1"/>
  <c r="U322" i="8"/>
  <c r="X322" i="8"/>
  <c r="AO322" i="8" s="1"/>
  <c r="N323" i="8"/>
  <c r="Q323" i="8"/>
  <c r="AK323" i="8" s="1"/>
  <c r="G324" i="8"/>
  <c r="J324" i="8"/>
  <c r="AG324" i="8" s="1"/>
  <c r="U324" i="8"/>
  <c r="X324" i="8"/>
  <c r="AO324" i="8" s="1"/>
  <c r="N325" i="8"/>
  <c r="Q325" i="8"/>
  <c r="AK325" i="8" s="1"/>
  <c r="G326" i="8"/>
  <c r="J326" i="8"/>
  <c r="AG326" i="8" s="1"/>
  <c r="U326" i="8"/>
  <c r="X326" i="8"/>
  <c r="AO326" i="8" s="1"/>
  <c r="N329" i="8"/>
  <c r="Q329" i="8"/>
  <c r="G330" i="8"/>
  <c r="J330" i="8"/>
  <c r="AG330" i="8" s="1"/>
  <c r="U330" i="8"/>
  <c r="X330" i="8"/>
  <c r="AO330" i="8" s="1"/>
  <c r="N331" i="8"/>
  <c r="Q331" i="8"/>
  <c r="AK331" i="8" s="1"/>
  <c r="G332" i="8"/>
  <c r="J332" i="8"/>
  <c r="AG332" i="8" s="1"/>
  <c r="U332" i="8"/>
  <c r="X332" i="8"/>
  <c r="AO332" i="8" s="1"/>
  <c r="N333" i="8"/>
  <c r="Q333" i="8"/>
  <c r="AK333" i="8" s="1"/>
  <c r="G334" i="8"/>
  <c r="J334" i="8"/>
  <c r="AG334" i="8" s="1"/>
  <c r="U334" i="8"/>
  <c r="X334" i="8"/>
  <c r="AO334" i="8" s="1"/>
  <c r="N337" i="8"/>
  <c r="Q337" i="8"/>
  <c r="G338" i="8"/>
  <c r="J338" i="8"/>
  <c r="AG338" i="8" s="1"/>
  <c r="U338" i="8"/>
  <c r="X338" i="8"/>
  <c r="AO338" i="8" s="1"/>
  <c r="N339" i="8"/>
  <c r="Q339" i="8"/>
  <c r="AK339" i="8" s="1"/>
  <c r="G340" i="8"/>
  <c r="J340" i="8"/>
  <c r="AG340" i="8" s="1"/>
  <c r="U340" i="8"/>
  <c r="X340" i="8"/>
  <c r="AO340" i="8" s="1"/>
  <c r="N341" i="8"/>
  <c r="Q341" i="8"/>
  <c r="AK341" i="8" s="1"/>
  <c r="G342" i="8"/>
  <c r="J342" i="8"/>
  <c r="AG342" i="8" s="1"/>
  <c r="U342" i="8"/>
  <c r="X342" i="8"/>
  <c r="AO342" i="8" s="1"/>
  <c r="N345" i="8"/>
  <c r="Q345" i="8"/>
  <c r="G346" i="8"/>
  <c r="J346" i="8"/>
  <c r="AG346" i="8" s="1"/>
  <c r="U346" i="8"/>
  <c r="X346" i="8"/>
  <c r="AO346" i="8" s="1"/>
  <c r="N347" i="8"/>
  <c r="Q347" i="8"/>
  <c r="AK347" i="8" s="1"/>
  <c r="G348" i="8"/>
  <c r="J348" i="8"/>
  <c r="AG348" i="8" s="1"/>
  <c r="U348" i="8"/>
  <c r="X348" i="8"/>
  <c r="AO348" i="8" s="1"/>
  <c r="N349" i="8"/>
  <c r="Q349" i="8"/>
  <c r="AK349" i="8" s="1"/>
  <c r="G350" i="8"/>
  <c r="J350" i="8"/>
  <c r="AG350" i="8" s="1"/>
  <c r="U350" i="8"/>
  <c r="X350" i="8"/>
  <c r="AO350" i="8" s="1"/>
  <c r="N353" i="8"/>
  <c r="Q353" i="8"/>
  <c r="G354" i="8"/>
  <c r="J354" i="8"/>
  <c r="AG354" i="8" s="1"/>
  <c r="U354" i="8"/>
  <c r="X354" i="8"/>
  <c r="AO354" i="8" s="1"/>
  <c r="N355" i="8"/>
  <c r="Q355" i="8"/>
  <c r="AK355" i="8" s="1"/>
  <c r="G356" i="8"/>
  <c r="J356" i="8"/>
  <c r="AG356" i="8" s="1"/>
  <c r="U356" i="8"/>
  <c r="X356" i="8"/>
  <c r="AO356" i="8" s="1"/>
  <c r="N357" i="8"/>
  <c r="Q357" i="8"/>
  <c r="AK357" i="8" s="1"/>
  <c r="G358" i="8"/>
  <c r="J358" i="8"/>
  <c r="AG358" i="8" s="1"/>
  <c r="U358" i="8"/>
  <c r="X358" i="8"/>
  <c r="AO358" i="8" s="1"/>
  <c r="Q361" i="8"/>
  <c r="N361" i="8"/>
  <c r="G362" i="8"/>
  <c r="J362" i="8"/>
  <c r="AG362" i="8" s="1"/>
  <c r="U362" i="8"/>
  <c r="X362" i="8"/>
  <c r="AO362" i="8" s="1"/>
  <c r="N363" i="8"/>
  <c r="Q363" i="8"/>
  <c r="AK363" i="8" s="1"/>
  <c r="G364" i="8"/>
  <c r="J364" i="8"/>
  <c r="AG364" i="8" s="1"/>
  <c r="U364" i="8"/>
  <c r="X364" i="8"/>
  <c r="AO364" i="8" s="1"/>
  <c r="N365" i="8"/>
  <c r="Q365" i="8"/>
  <c r="AK365" i="8" s="1"/>
  <c r="G366" i="8"/>
  <c r="J366" i="8"/>
  <c r="AG366" i="8" s="1"/>
  <c r="U366" i="8"/>
  <c r="X366" i="8"/>
  <c r="AO366" i="8" s="1"/>
  <c r="N369" i="8"/>
  <c r="Q369" i="8"/>
  <c r="G370" i="8"/>
  <c r="J370" i="8"/>
  <c r="AG370" i="8" s="1"/>
  <c r="U370" i="8"/>
  <c r="X370" i="8"/>
  <c r="AO370" i="8" s="1"/>
  <c r="N371" i="8"/>
  <c r="Q371" i="8"/>
  <c r="AK371" i="8" s="1"/>
  <c r="G372" i="8"/>
  <c r="J372" i="8"/>
  <c r="AG372" i="8" s="1"/>
  <c r="U372" i="8"/>
  <c r="X372" i="8"/>
  <c r="AO372" i="8" s="1"/>
  <c r="N373" i="8"/>
  <c r="Q373" i="8"/>
  <c r="AK373" i="8" s="1"/>
  <c r="G374" i="8"/>
  <c r="J374" i="8"/>
  <c r="AG374" i="8" s="1"/>
  <c r="U374" i="8"/>
  <c r="X374" i="8"/>
  <c r="AO374" i="8" s="1"/>
  <c r="N377" i="8"/>
  <c r="Q377" i="8"/>
  <c r="G378" i="8"/>
  <c r="J378" i="8"/>
  <c r="AG378" i="8" s="1"/>
  <c r="U378" i="8"/>
  <c r="X378" i="8"/>
  <c r="AO378" i="8" s="1"/>
  <c r="Z294" i="8"/>
  <c r="AP294" i="8" s="1"/>
  <c r="S305" i="8"/>
  <c r="L306" i="8"/>
  <c r="AH306" i="8" s="1"/>
  <c r="Z306" i="8"/>
  <c r="AP306" i="8" s="1"/>
  <c r="S307" i="8"/>
  <c r="AL307" i="8" s="1"/>
  <c r="L308" i="8"/>
  <c r="AH308" i="8" s="1"/>
  <c r="Z308" i="8"/>
  <c r="AP308" i="8" s="1"/>
  <c r="S309" i="8"/>
  <c r="AL309" i="8" s="1"/>
  <c r="L310" i="8"/>
  <c r="AH310" i="8" s="1"/>
  <c r="Z310" i="8"/>
  <c r="AP310" i="8" s="1"/>
  <c r="S313" i="8"/>
  <c r="L314" i="8"/>
  <c r="AH314" i="8" s="1"/>
  <c r="Z314" i="8"/>
  <c r="AP314" i="8" s="1"/>
  <c r="S315" i="8"/>
  <c r="AL315" i="8" s="1"/>
  <c r="L316" i="8"/>
  <c r="AH316" i="8" s="1"/>
  <c r="Z316" i="8"/>
  <c r="AP316" i="8" s="1"/>
  <c r="S317" i="8"/>
  <c r="AL317" i="8" s="1"/>
  <c r="L318" i="8"/>
  <c r="AH318" i="8" s="1"/>
  <c r="Z318" i="8"/>
  <c r="AP318" i="8" s="1"/>
  <c r="S321" i="8"/>
  <c r="L322" i="8"/>
  <c r="AH322" i="8" s="1"/>
  <c r="Z322" i="8"/>
  <c r="AP322" i="8" s="1"/>
  <c r="S323" i="8"/>
  <c r="AL323" i="8" s="1"/>
  <c r="L324" i="8"/>
  <c r="AH324" i="8" s="1"/>
  <c r="Z324" i="8"/>
  <c r="AP324" i="8" s="1"/>
  <c r="S325" i="8"/>
  <c r="AL325" i="8" s="1"/>
  <c r="L326" i="8"/>
  <c r="AH326" i="8" s="1"/>
  <c r="Z326" i="8"/>
  <c r="AP326" i="8" s="1"/>
  <c r="S329" i="8"/>
  <c r="L330" i="8"/>
  <c r="AH330" i="8" s="1"/>
  <c r="Z330" i="8"/>
  <c r="AP330" i="8" s="1"/>
  <c r="S331" i="8"/>
  <c r="AL331" i="8" s="1"/>
  <c r="L332" i="8"/>
  <c r="AH332" i="8" s="1"/>
  <c r="Z332" i="8"/>
  <c r="AP332" i="8" s="1"/>
  <c r="S333" i="8"/>
  <c r="AL333" i="8" s="1"/>
  <c r="L334" i="8"/>
  <c r="AH334" i="8" s="1"/>
  <c r="Z334" i="8"/>
  <c r="AP334" i="8" s="1"/>
  <c r="S337" i="8"/>
  <c r="L338" i="8"/>
  <c r="AH338" i="8" s="1"/>
  <c r="Z338" i="8"/>
  <c r="AP338" i="8" s="1"/>
  <c r="S339" i="8"/>
  <c r="AL339" i="8" s="1"/>
  <c r="L340" i="8"/>
  <c r="AH340" i="8" s="1"/>
  <c r="Z340" i="8"/>
  <c r="AP340" i="8" s="1"/>
  <c r="S341" i="8"/>
  <c r="AL341" i="8" s="1"/>
  <c r="L342" i="8"/>
  <c r="AH342" i="8" s="1"/>
  <c r="Z342" i="8"/>
  <c r="AP342" i="8" s="1"/>
  <c r="S345" i="8"/>
  <c r="L346" i="8"/>
  <c r="AH346" i="8" s="1"/>
  <c r="Z346" i="8"/>
  <c r="AP346" i="8" s="1"/>
  <c r="S347" i="8"/>
  <c r="AL347" i="8" s="1"/>
  <c r="L348" i="8"/>
  <c r="AH348" i="8" s="1"/>
  <c r="Z348" i="8"/>
  <c r="AP348" i="8" s="1"/>
  <c r="S349" i="8"/>
  <c r="AL349" i="8" s="1"/>
  <c r="L350" i="8"/>
  <c r="AH350" i="8" s="1"/>
  <c r="Z350" i="8"/>
  <c r="AP350" i="8" s="1"/>
  <c r="S353" i="8"/>
  <c r="L354" i="8"/>
  <c r="AH354" i="8" s="1"/>
  <c r="Z354" i="8"/>
  <c r="AP354" i="8" s="1"/>
  <c r="S355" i="8"/>
  <c r="AL355" i="8" s="1"/>
  <c r="L356" i="8"/>
  <c r="AH356" i="8" s="1"/>
  <c r="Z356" i="8"/>
  <c r="AP356" i="8" s="1"/>
  <c r="S357" i="8"/>
  <c r="AL357" i="8" s="1"/>
  <c r="L358" i="8"/>
  <c r="AH358" i="8" s="1"/>
  <c r="Z358" i="8"/>
  <c r="AP358" i="8" s="1"/>
  <c r="S361" i="8"/>
  <c r="L362" i="8"/>
  <c r="AH362" i="8" s="1"/>
  <c r="Z362" i="8"/>
  <c r="AP362" i="8" s="1"/>
  <c r="S363" i="8"/>
  <c r="AL363" i="8" s="1"/>
  <c r="L364" i="8"/>
  <c r="AH364" i="8" s="1"/>
  <c r="Z364" i="8"/>
  <c r="AP364" i="8" s="1"/>
  <c r="S365" i="8"/>
  <c r="AL365" i="8" s="1"/>
  <c r="L366" i="8"/>
  <c r="AH366" i="8" s="1"/>
  <c r="Z366" i="8"/>
  <c r="AP366" i="8" s="1"/>
  <c r="S369" i="8"/>
  <c r="L370" i="8"/>
  <c r="AH370" i="8" s="1"/>
  <c r="Z370" i="8"/>
  <c r="AP370" i="8" s="1"/>
  <c r="S371" i="8"/>
  <c r="AL371" i="8" s="1"/>
  <c r="L372" i="8"/>
  <c r="AH372" i="8" s="1"/>
  <c r="Z372" i="8"/>
  <c r="AP372" i="8" s="1"/>
  <c r="S373" i="8"/>
  <c r="AL373" i="8" s="1"/>
  <c r="L374" i="8"/>
  <c r="AH374" i="8" s="1"/>
  <c r="Z374" i="8"/>
  <c r="AP374" i="8" s="1"/>
  <c r="S377" i="8"/>
  <c r="L378" i="8"/>
  <c r="AH378" i="8" s="1"/>
  <c r="Z378" i="8"/>
  <c r="AP378" i="8" s="1"/>
  <c r="S379" i="8"/>
  <c r="AL379" i="8" s="1"/>
  <c r="L380" i="8"/>
  <c r="AH380" i="8" s="1"/>
  <c r="Z380" i="8"/>
  <c r="AP380" i="8" s="1"/>
  <c r="S381" i="8"/>
  <c r="AL381" i="8" s="1"/>
  <c r="L382" i="8"/>
  <c r="AH382" i="8" s="1"/>
  <c r="Z382" i="8"/>
  <c r="AP382" i="8" s="1"/>
  <c r="S386" i="8"/>
  <c r="AL386" i="8" s="1"/>
  <c r="L387" i="8"/>
  <c r="AH387" i="8" s="1"/>
  <c r="Z387" i="8"/>
  <c r="AP387" i="8" s="1"/>
  <c r="S388" i="8"/>
  <c r="AL388" i="8" s="1"/>
  <c r="L389" i="8"/>
  <c r="AH389" i="8" s="1"/>
  <c r="Z389" i="8"/>
  <c r="AP389" i="8" s="1"/>
  <c r="S390" i="8"/>
  <c r="AL390" i="8" s="1"/>
  <c r="L391" i="8"/>
  <c r="AH391" i="8" s="1"/>
  <c r="Z391" i="8"/>
  <c r="AP391" i="8" s="1"/>
  <c r="S392" i="8"/>
  <c r="AL392" i="8" s="1"/>
  <c r="L393" i="8"/>
  <c r="AH393" i="8" s="1"/>
  <c r="Z393" i="8"/>
  <c r="AP393" i="8" s="1"/>
  <c r="S394" i="8"/>
  <c r="AL394" i="8" s="1"/>
  <c r="L397" i="8"/>
  <c r="AH397" i="8" s="1"/>
  <c r="Z397" i="8"/>
  <c r="AP397" i="8" s="1"/>
  <c r="S398" i="8"/>
  <c r="AL398" i="8" s="1"/>
  <c r="L399" i="8"/>
  <c r="AH399" i="8" s="1"/>
  <c r="Z399" i="8"/>
  <c r="AP399" i="8" s="1"/>
  <c r="S400" i="8"/>
  <c r="AL400" i="8" s="1"/>
  <c r="L401" i="8"/>
  <c r="AH401" i="8" s="1"/>
  <c r="Z401" i="8"/>
  <c r="AP401" i="8" s="1"/>
  <c r="S402" i="8"/>
  <c r="AL402" i="8" s="1"/>
  <c r="L403" i="8"/>
  <c r="AH403" i="8" s="1"/>
  <c r="Z403" i="8"/>
  <c r="AP403" i="8" s="1"/>
  <c r="S404" i="8"/>
  <c r="AL404" i="8" s="1"/>
  <c r="L407" i="8"/>
  <c r="AH407" i="8" s="1"/>
  <c r="Z407" i="8"/>
  <c r="AP407" i="8" s="1"/>
  <c r="S408" i="8"/>
  <c r="AL408" i="8" s="1"/>
  <c r="L409" i="8"/>
  <c r="AH409" i="8" s="1"/>
  <c r="Z409" i="8"/>
  <c r="AP409" i="8" s="1"/>
  <c r="S410" i="8"/>
  <c r="AL410" i="8" s="1"/>
  <c r="L411" i="8"/>
  <c r="AH411" i="8" s="1"/>
  <c r="Z411" i="8"/>
  <c r="AP411" i="8" s="1"/>
  <c r="S414" i="8"/>
  <c r="AL414" i="8" s="1"/>
  <c r="L415" i="8"/>
  <c r="AH415" i="8" s="1"/>
  <c r="Z415" i="8"/>
  <c r="AP415" i="8" s="1"/>
  <c r="S416" i="8"/>
  <c r="AL416" i="8" s="1"/>
  <c r="U379" i="8"/>
  <c r="X379" i="8"/>
  <c r="AO379" i="8" s="1"/>
  <c r="N380" i="8"/>
  <c r="Q380" i="8"/>
  <c r="AK380" i="8" s="1"/>
  <c r="G381" i="8"/>
  <c r="J381" i="8"/>
  <c r="AG381" i="8" s="1"/>
  <c r="U381" i="8"/>
  <c r="X381" i="8"/>
  <c r="AO381" i="8" s="1"/>
  <c r="N382" i="8"/>
  <c r="Q382" i="8"/>
  <c r="AK382" i="8" s="1"/>
  <c r="G386" i="8"/>
  <c r="J386" i="8"/>
  <c r="AG386" i="8" s="1"/>
  <c r="U386" i="8"/>
  <c r="X386" i="8"/>
  <c r="AO386" i="8" s="1"/>
  <c r="N387" i="8"/>
  <c r="Q387" i="8"/>
  <c r="AK387" i="8" s="1"/>
  <c r="G388" i="8"/>
  <c r="J388" i="8"/>
  <c r="AG388" i="8" s="1"/>
  <c r="U388" i="8"/>
  <c r="X388" i="8"/>
  <c r="AO388" i="8" s="1"/>
  <c r="N389" i="8"/>
  <c r="Q389" i="8"/>
  <c r="AK389" i="8" s="1"/>
  <c r="G390" i="8"/>
  <c r="J390" i="8"/>
  <c r="AG390" i="8" s="1"/>
  <c r="U390" i="8"/>
  <c r="X390" i="8"/>
  <c r="AO390" i="8" s="1"/>
  <c r="N391" i="8"/>
  <c r="Q391" i="8"/>
  <c r="AK391" i="8" s="1"/>
  <c r="G392" i="8"/>
  <c r="J392" i="8"/>
  <c r="AG392" i="8" s="1"/>
  <c r="U392" i="8"/>
  <c r="X392" i="8"/>
  <c r="AO392" i="8" s="1"/>
  <c r="N393" i="8"/>
  <c r="Q393" i="8"/>
  <c r="AK393" i="8" s="1"/>
  <c r="G394" i="8"/>
  <c r="J394" i="8"/>
  <c r="AG394" i="8" s="1"/>
  <c r="U394" i="8"/>
  <c r="X394" i="8"/>
  <c r="AO394" i="8" s="1"/>
  <c r="N397" i="8"/>
  <c r="Q397" i="8"/>
  <c r="AK397" i="8" s="1"/>
  <c r="G398" i="8"/>
  <c r="J398" i="8"/>
  <c r="AG398" i="8" s="1"/>
  <c r="U398" i="8"/>
  <c r="X398" i="8"/>
  <c r="AO398" i="8" s="1"/>
  <c r="N399" i="8"/>
  <c r="Q399" i="8"/>
  <c r="AK399" i="8" s="1"/>
  <c r="G400" i="8"/>
  <c r="J400" i="8"/>
  <c r="AG400" i="8" s="1"/>
  <c r="U400" i="8"/>
  <c r="X400" i="8"/>
  <c r="AO400" i="8" s="1"/>
  <c r="N401" i="8"/>
  <c r="Q401" i="8"/>
  <c r="AK401" i="8" s="1"/>
  <c r="G402" i="8"/>
  <c r="J402" i="8"/>
  <c r="AG402" i="8" s="1"/>
  <c r="U402" i="8"/>
  <c r="X402" i="8"/>
  <c r="AO402" i="8" s="1"/>
  <c r="N403" i="8"/>
  <c r="Q403" i="8"/>
  <c r="AK403" i="8" s="1"/>
  <c r="G404" i="8"/>
  <c r="J404" i="8"/>
  <c r="AG404" i="8" s="1"/>
  <c r="U404" i="8"/>
  <c r="X404" i="8"/>
  <c r="AO404" i="8" s="1"/>
  <c r="N407" i="8"/>
  <c r="Q407" i="8"/>
  <c r="AK407" i="8" s="1"/>
  <c r="G408" i="8"/>
  <c r="J408" i="8"/>
  <c r="AG408" i="8" s="1"/>
  <c r="U408" i="8"/>
  <c r="X408" i="8"/>
  <c r="AO408" i="8" s="1"/>
  <c r="N409" i="8"/>
  <c r="Q409" i="8"/>
  <c r="AK409" i="8" s="1"/>
  <c r="G410" i="8"/>
  <c r="J410" i="8"/>
  <c r="AG410" i="8" s="1"/>
  <c r="U410" i="8"/>
  <c r="X410" i="8"/>
  <c r="AO410" i="8" s="1"/>
  <c r="N411" i="8"/>
  <c r="Q411" i="8"/>
  <c r="AK411" i="8" s="1"/>
  <c r="G414" i="8"/>
  <c r="J414" i="8"/>
  <c r="AG414" i="8" s="1"/>
  <c r="U414" i="8"/>
  <c r="X414" i="8"/>
  <c r="AO414" i="8" s="1"/>
  <c r="N415" i="8"/>
  <c r="Q415" i="8"/>
  <c r="AK415" i="8" s="1"/>
  <c r="G416" i="8"/>
  <c r="J416" i="8"/>
  <c r="AG416" i="8" s="1"/>
  <c r="U416" i="8"/>
  <c r="X416" i="8"/>
  <c r="AO416" i="8" s="1"/>
  <c r="N417" i="8"/>
  <c r="Q417" i="8"/>
  <c r="AK417" i="8" s="1"/>
  <c r="G420" i="8"/>
  <c r="J420" i="8"/>
  <c r="AG420" i="8" s="1"/>
  <c r="U420" i="8"/>
  <c r="X420" i="8"/>
  <c r="AO420" i="8" s="1"/>
  <c r="N421" i="8"/>
  <c r="Q421" i="8"/>
  <c r="AK421" i="8" s="1"/>
  <c r="G422" i="8"/>
  <c r="J422" i="8"/>
  <c r="AG422" i="8" s="1"/>
  <c r="U422" i="8"/>
  <c r="X422" i="8"/>
  <c r="AO422" i="8" s="1"/>
  <c r="N423" i="8"/>
  <c r="Q423" i="8"/>
  <c r="AK423" i="8" s="1"/>
  <c r="G424" i="8"/>
  <c r="J424" i="8"/>
  <c r="AG424" i="8" s="1"/>
  <c r="U424" i="8"/>
  <c r="X424" i="8"/>
  <c r="AO424" i="8" s="1"/>
  <c r="N425" i="8"/>
  <c r="Q425" i="8"/>
  <c r="AK425" i="8" s="1"/>
  <c r="G428" i="8"/>
  <c r="AG433" i="8"/>
  <c r="J428" i="8"/>
  <c r="AG428" i="8" s="1"/>
  <c r="AO433" i="8"/>
  <c r="U428" i="8"/>
  <c r="X428" i="8"/>
  <c r="AO428" i="8" s="1"/>
  <c r="N429" i="8"/>
  <c r="Q429" i="8"/>
  <c r="AK429" i="8" s="1"/>
  <c r="G430" i="8"/>
  <c r="J430" i="8"/>
  <c r="AG430" i="8" s="1"/>
  <c r="U430" i="8"/>
  <c r="X430" i="8"/>
  <c r="AO430" i="8" s="1"/>
  <c r="N431" i="8"/>
  <c r="Q431" i="8"/>
  <c r="AK431" i="8" s="1"/>
  <c r="G432" i="8"/>
  <c r="J432" i="8"/>
  <c r="AG432" i="8" s="1"/>
  <c r="U432" i="8"/>
  <c r="X432" i="8"/>
  <c r="AO432" i="8" s="1"/>
  <c r="N435" i="8"/>
  <c r="Q435" i="8"/>
  <c r="AK435" i="8" s="1"/>
  <c r="G436" i="8"/>
  <c r="J436" i="8"/>
  <c r="AG436" i="8" s="1"/>
  <c r="U436" i="8"/>
  <c r="X436" i="8"/>
  <c r="AO436" i="8" s="1"/>
  <c r="N437" i="8"/>
  <c r="Q437" i="8"/>
  <c r="AK437" i="8" s="1"/>
  <c r="G438" i="8"/>
  <c r="J438" i="8"/>
  <c r="AG438" i="8" s="1"/>
  <c r="U438" i="8"/>
  <c r="X438" i="8"/>
  <c r="AO438" i="8" s="1"/>
  <c r="N439" i="8"/>
  <c r="Q439" i="8"/>
  <c r="G442" i="8"/>
  <c r="J442" i="8"/>
  <c r="AG442" i="8" s="1"/>
  <c r="U442" i="8"/>
  <c r="X442" i="8"/>
  <c r="AO442" i="8" s="1"/>
  <c r="N443" i="8"/>
  <c r="Q443" i="8"/>
  <c r="AK443" i="8" s="1"/>
  <c r="G444" i="8"/>
  <c r="J444" i="8"/>
  <c r="AG444" i="8" s="1"/>
  <c r="U444" i="8"/>
  <c r="X444" i="8"/>
  <c r="AO444" i="8" s="1"/>
  <c r="N445" i="8"/>
  <c r="Q445" i="8"/>
  <c r="AK445" i="8" s="1"/>
  <c r="G446" i="8"/>
  <c r="J446" i="8"/>
  <c r="AG446" i="8" s="1"/>
  <c r="U446" i="8"/>
  <c r="X446" i="8"/>
  <c r="AO446" i="8" s="1"/>
  <c r="N447" i="8"/>
  <c r="Q447" i="8"/>
  <c r="AK447" i="8" s="1"/>
  <c r="G448" i="8"/>
  <c r="J448" i="8"/>
  <c r="AG448" i="8" s="1"/>
  <c r="U448" i="8"/>
  <c r="X448" i="8"/>
  <c r="AO448" i="8" s="1"/>
  <c r="N449" i="8"/>
  <c r="Q449" i="8"/>
  <c r="AK449" i="8" s="1"/>
  <c r="G450" i="8"/>
  <c r="J450" i="8"/>
  <c r="AG450" i="8" s="1"/>
  <c r="U450" i="8"/>
  <c r="X450" i="8"/>
  <c r="AO450" i="8" s="1"/>
  <c r="N451" i="8"/>
  <c r="Q451" i="8"/>
  <c r="AK451" i="8" s="1"/>
  <c r="G452" i="8"/>
  <c r="J452" i="8"/>
  <c r="AG452" i="8" s="1"/>
  <c r="U452" i="8"/>
  <c r="X452" i="8"/>
  <c r="AO452" i="8" s="1"/>
  <c r="L417" i="8"/>
  <c r="AH417" i="8" s="1"/>
  <c r="Z417" i="8"/>
  <c r="AP417" i="8" s="1"/>
  <c r="S420" i="8"/>
  <c r="AL420" i="8" s="1"/>
  <c r="L421" i="8"/>
  <c r="AH421" i="8" s="1"/>
  <c r="Z421" i="8"/>
  <c r="AP421" i="8" s="1"/>
  <c r="S422" i="8"/>
  <c r="AL422" i="8" s="1"/>
  <c r="L423" i="8"/>
  <c r="AH423" i="8" s="1"/>
  <c r="Z423" i="8"/>
  <c r="AP423" i="8" s="1"/>
  <c r="S424" i="8"/>
  <c r="AL424" i="8" s="1"/>
  <c r="L425" i="8"/>
  <c r="AH425" i="8" s="1"/>
  <c r="Z425" i="8"/>
  <c r="AP425" i="8" s="1"/>
  <c r="S428" i="8"/>
  <c r="L429" i="8"/>
  <c r="AH429" i="8" s="1"/>
  <c r="Z429" i="8"/>
  <c r="AP429" i="8" s="1"/>
  <c r="S430" i="8"/>
  <c r="AL430" i="8" s="1"/>
  <c r="L431" i="8"/>
  <c r="AH431" i="8" s="1"/>
  <c r="Z431" i="8"/>
  <c r="AP431" i="8" s="1"/>
  <c r="S432" i="8"/>
  <c r="AL432" i="8" s="1"/>
  <c r="L435" i="8"/>
  <c r="AH435" i="8" s="1"/>
  <c r="Z435" i="8"/>
  <c r="AP435" i="8" s="1"/>
  <c r="S436" i="8"/>
  <c r="AL436" i="8" s="1"/>
  <c r="L437" i="8"/>
  <c r="AH437" i="8" s="1"/>
  <c r="Z437" i="8"/>
  <c r="AP437" i="8" s="1"/>
  <c r="S438" i="8"/>
  <c r="AL438" i="8" s="1"/>
  <c r="L439" i="8"/>
  <c r="AH439" i="8" s="1"/>
  <c r="AH440" i="8"/>
  <c r="Z439" i="8"/>
  <c r="AP439" i="8" s="1"/>
  <c r="AP440" i="8"/>
  <c r="S442" i="8"/>
  <c r="AL442" i="8" s="1"/>
  <c r="L443" i="8"/>
  <c r="AH443" i="8" s="1"/>
  <c r="Z443" i="8"/>
  <c r="AP443" i="8" s="1"/>
  <c r="S444" i="8"/>
  <c r="AL444" i="8" s="1"/>
  <c r="L445" i="8"/>
  <c r="AH445" i="8" s="1"/>
  <c r="Z445" i="8"/>
  <c r="AP445" i="8" s="1"/>
  <c r="S446" i="8"/>
  <c r="AL446" i="8" s="1"/>
  <c r="L447" i="8"/>
  <c r="AH447" i="8" s="1"/>
  <c r="Z447" i="8"/>
  <c r="AP447" i="8" s="1"/>
  <c r="S448" i="8"/>
  <c r="AL448" i="8" s="1"/>
  <c r="L449" i="8"/>
  <c r="AH449" i="8" s="1"/>
  <c r="Z449" i="8"/>
  <c r="AP449" i="8" s="1"/>
  <c r="S450" i="8"/>
  <c r="AL450" i="8" s="1"/>
  <c r="L451" i="8"/>
  <c r="AH451" i="8" s="1"/>
  <c r="Z451" i="8"/>
  <c r="AP451" i="8" s="1"/>
  <c r="S452" i="8"/>
  <c r="AL452" i="8" s="1"/>
  <c r="X5" i="8"/>
  <c r="X270" i="8"/>
  <c r="AO270" i="8" s="1"/>
  <c r="X261" i="8"/>
  <c r="AO261" i="8" s="1"/>
  <c r="X295" i="8"/>
  <c r="AO295" i="8" s="1"/>
  <c r="X249" i="8"/>
  <c r="AO249" i="8" s="1"/>
  <c r="X206" i="8"/>
  <c r="AO206" i="8" s="1"/>
  <c r="X191" i="8"/>
  <c r="AO191" i="8" s="1"/>
  <c r="X241" i="8"/>
  <c r="AO241" i="8" s="1"/>
  <c r="X232" i="8"/>
  <c r="AO232" i="8" s="1"/>
  <c r="X172" i="8"/>
  <c r="AO172" i="8" s="1"/>
  <c r="X44" i="8"/>
  <c r="AO44" i="8" s="1"/>
  <c r="X35" i="8"/>
  <c r="AO35" i="8" s="1"/>
  <c r="X27" i="8"/>
  <c r="X125" i="8"/>
  <c r="AO125" i="8" s="1"/>
  <c r="X107" i="8"/>
  <c r="AO107" i="8" s="1"/>
  <c r="X218" i="8"/>
  <c r="AO218" i="8" s="1"/>
  <c r="X199" i="8"/>
  <c r="AO199" i="8" s="1"/>
  <c r="X212" i="8"/>
  <c r="AO212" i="8" s="1"/>
  <c r="X179" i="8"/>
  <c r="AO179" i="8" s="1"/>
  <c r="X74" i="8"/>
  <c r="AO74" i="8" s="1"/>
  <c r="X51" i="8"/>
  <c r="AO51" i="8" s="1"/>
  <c r="X148" i="8"/>
  <c r="AO148" i="8" s="1"/>
  <c r="X115" i="8"/>
  <c r="AO115" i="8" s="1"/>
  <c r="X19" i="8"/>
  <c r="AO19" i="8" s="1"/>
  <c r="J15" i="8"/>
  <c r="AG15" i="8" s="1"/>
  <c r="U15" i="8"/>
  <c r="X15" i="8"/>
  <c r="AO15" i="8" s="1"/>
  <c r="N16" i="8"/>
  <c r="Q16" i="8"/>
  <c r="AK16" i="8" s="1"/>
  <c r="G17" i="8"/>
  <c r="J17" i="8"/>
  <c r="AG17" i="8" s="1"/>
  <c r="U17" i="8"/>
  <c r="X17" i="8"/>
  <c r="AO17" i="8" s="1"/>
  <c r="J23" i="8"/>
  <c r="AG23" i="8" s="1"/>
  <c r="U23" i="8"/>
  <c r="V23" i="8" s="1"/>
  <c r="AQ23" i="8" s="1"/>
  <c r="X23" i="8"/>
  <c r="AO23" i="8" s="1"/>
  <c r="J25" i="8"/>
  <c r="AG25" i="8" s="1"/>
  <c r="G25" i="8"/>
  <c r="U25" i="8"/>
  <c r="V25" i="8" s="1"/>
  <c r="AQ25" i="8" s="1"/>
  <c r="X25" i="8"/>
  <c r="AO25" i="8" s="1"/>
  <c r="N26" i="8"/>
  <c r="Q26" i="8"/>
  <c r="AK26" i="8" s="1"/>
  <c r="G30" i="8"/>
  <c r="J30" i="8"/>
  <c r="AG30" i="8" s="1"/>
  <c r="U30" i="8"/>
  <c r="V30" i="8" s="1"/>
  <c r="AQ30" i="8" s="1"/>
  <c r="X30" i="8"/>
  <c r="AO30" i="8" s="1"/>
  <c r="N31" i="8"/>
  <c r="Q31" i="8"/>
  <c r="AK31" i="8" s="1"/>
  <c r="G32" i="8"/>
  <c r="J32" i="8"/>
  <c r="AG32" i="8" s="1"/>
  <c r="U32" i="8"/>
  <c r="V32" i="8" s="1"/>
  <c r="AQ32" i="8" s="1"/>
  <c r="X32" i="8"/>
  <c r="AO32" i="8" s="1"/>
  <c r="N33" i="8"/>
  <c r="Q33" i="8"/>
  <c r="AK33" i="8" s="1"/>
  <c r="G34" i="8"/>
  <c r="J34" i="8"/>
  <c r="AG34" i="8" s="1"/>
  <c r="U34" i="8"/>
  <c r="V34" i="8" s="1"/>
  <c r="AQ34" i="8" s="1"/>
  <c r="X34" i="8"/>
  <c r="AO34" i="8" s="1"/>
  <c r="S38" i="8"/>
  <c r="AL38" i="8" s="1"/>
  <c r="S42" i="8"/>
  <c r="AL42" i="8" s="1"/>
  <c r="S49" i="8"/>
  <c r="AL49" i="8" s="1"/>
  <c r="S56" i="8"/>
  <c r="AL56" i="8" s="1"/>
  <c r="S60" i="8"/>
  <c r="AL60" i="8" s="1"/>
  <c r="S64" i="8"/>
  <c r="AL64" i="8" s="1"/>
  <c r="S71" i="8"/>
  <c r="AL71" i="8" s="1"/>
  <c r="S79" i="8"/>
  <c r="AL79" i="8" s="1"/>
  <c r="S83" i="8"/>
  <c r="AL83" i="8" s="1"/>
  <c r="L86" i="8"/>
  <c r="AH86" i="8" s="1"/>
  <c r="S87" i="8"/>
  <c r="AL87" i="8" s="1"/>
  <c r="Q18" i="8"/>
  <c r="AK18" i="8" s="1"/>
  <c r="Q295" i="8"/>
  <c r="AK295" i="8" s="1"/>
  <c r="Q249" i="8"/>
  <c r="AK249" i="8" s="1"/>
  <c r="Q206" i="8"/>
  <c r="AK206" i="8" s="1"/>
  <c r="Q191" i="8"/>
  <c r="AK191" i="8" s="1"/>
  <c r="Q241" i="8"/>
  <c r="AK241" i="8" s="1"/>
  <c r="Q5" i="8"/>
  <c r="O18" i="8" s="1"/>
  <c r="AM18" i="8" s="1"/>
  <c r="Q270" i="8"/>
  <c r="AK270" i="8" s="1"/>
  <c r="Q261" i="8"/>
  <c r="AK261" i="8" s="1"/>
  <c r="Q218" i="8"/>
  <c r="AK218" i="8" s="1"/>
  <c r="Q199" i="8"/>
  <c r="AK199" i="8" s="1"/>
  <c r="Q212" i="8"/>
  <c r="AK212" i="8" s="1"/>
  <c r="Q179" i="8"/>
  <c r="AK179" i="8" s="1"/>
  <c r="Q74" i="8"/>
  <c r="AK74" i="8" s="1"/>
  <c r="Q51" i="8"/>
  <c r="AK51" i="8" s="1"/>
  <c r="Q125" i="8"/>
  <c r="AK125" i="8" s="1"/>
  <c r="Q107" i="8"/>
  <c r="AK107" i="8" s="1"/>
  <c r="Q232" i="8"/>
  <c r="AK232" i="8" s="1"/>
  <c r="Q172" i="8"/>
  <c r="AK172" i="8" s="1"/>
  <c r="Q44" i="8"/>
  <c r="AK44" i="8" s="1"/>
  <c r="Q35" i="8"/>
  <c r="AK35" i="8" s="1"/>
  <c r="Q27" i="8"/>
  <c r="Q148" i="8"/>
  <c r="AK148" i="8" s="1"/>
  <c r="Q115" i="8"/>
  <c r="AK115" i="8" s="1"/>
  <c r="Q19" i="8"/>
  <c r="AK19" i="8" s="1"/>
  <c r="Z270" i="8"/>
  <c r="AP270" i="8" s="1"/>
  <c r="Z249" i="8"/>
  <c r="AP249" i="8" s="1"/>
  <c r="Z241" i="8"/>
  <c r="AP241" i="8" s="1"/>
  <c r="Z212" i="8"/>
  <c r="AP212" i="8" s="1"/>
  <c r="Z218" i="8"/>
  <c r="AP218" i="8" s="1"/>
  <c r="Z206" i="8"/>
  <c r="AP206" i="8" s="1"/>
  <c r="Z191" i="8"/>
  <c r="AP191" i="8" s="1"/>
  <c r="Z148" i="8"/>
  <c r="AP148" i="8" s="1"/>
  <c r="Z125" i="8"/>
  <c r="AP125" i="8" s="1"/>
  <c r="Z107" i="8"/>
  <c r="AP107" i="8" s="1"/>
  <c r="Z172" i="8"/>
  <c r="AP172" i="8" s="1"/>
  <c r="Z51" i="8"/>
  <c r="AP51" i="8" s="1"/>
  <c r="Z35" i="8"/>
  <c r="AP35" i="8" s="1"/>
  <c r="Z19" i="8"/>
  <c r="AP19" i="8" s="1"/>
  <c r="Z295" i="8"/>
  <c r="AP295" i="8" s="1"/>
  <c r="Z261" i="8"/>
  <c r="AP261" i="8" s="1"/>
  <c r="Z232" i="8"/>
  <c r="AP232" i="8" s="1"/>
  <c r="Z199" i="8"/>
  <c r="AP199" i="8" s="1"/>
  <c r="Z115" i="8"/>
  <c r="AP115" i="8" s="1"/>
  <c r="Z179" i="8"/>
  <c r="AP179" i="8" s="1"/>
  <c r="Z74" i="8"/>
  <c r="AP74" i="8" s="1"/>
  <c r="Z44" i="8"/>
  <c r="AP44" i="8" s="1"/>
  <c r="Z27" i="8"/>
  <c r="S15" i="8"/>
  <c r="AL15" i="8" s="1"/>
  <c r="L16" i="8"/>
  <c r="AH16" i="8" s="1"/>
  <c r="Z16" i="8"/>
  <c r="AP16" i="8" s="1"/>
  <c r="N17" i="8"/>
  <c r="S17" i="8"/>
  <c r="AL17" i="8" s="1"/>
  <c r="L18" i="8"/>
  <c r="AH18" i="8" s="1"/>
  <c r="Z18" i="8"/>
  <c r="AP18" i="8" s="1"/>
  <c r="S23" i="8"/>
  <c r="AL23" i="8" s="1"/>
  <c r="L24" i="8"/>
  <c r="AH24" i="8" s="1"/>
  <c r="Z24" i="8"/>
  <c r="AP24" i="8" s="1"/>
  <c r="S25" i="8"/>
  <c r="AL25" i="8" s="1"/>
  <c r="L26" i="8"/>
  <c r="AH26" i="8" s="1"/>
  <c r="Z26" i="8"/>
  <c r="AP26" i="8" s="1"/>
  <c r="S30" i="8"/>
  <c r="AL30" i="8" s="1"/>
  <c r="L31" i="8"/>
  <c r="AH31" i="8" s="1"/>
  <c r="Z31" i="8"/>
  <c r="AP31" i="8" s="1"/>
  <c r="S32" i="8"/>
  <c r="AL32" i="8" s="1"/>
  <c r="L33" i="8"/>
  <c r="AH33" i="8" s="1"/>
  <c r="Z33" i="8"/>
  <c r="AP33" i="8" s="1"/>
  <c r="S34" i="8"/>
  <c r="AL34" i="8" s="1"/>
  <c r="L38" i="8"/>
  <c r="AH38" i="8" s="1"/>
  <c r="S39" i="8"/>
  <c r="AL39" i="8" s="1"/>
  <c r="Z40" i="8"/>
  <c r="AP40" i="8" s="1"/>
  <c r="L42" i="8"/>
  <c r="AH42" i="8" s="1"/>
  <c r="S43" i="8"/>
  <c r="AL43" i="8" s="1"/>
  <c r="AP52" i="8"/>
  <c r="Z47" i="8"/>
  <c r="AP47" i="8" s="1"/>
  <c r="L49" i="8"/>
  <c r="AH49" i="8" s="1"/>
  <c r="S50" i="8"/>
  <c r="AL50" i="8" s="1"/>
  <c r="Z54" i="8"/>
  <c r="AP54" i="8" s="1"/>
  <c r="L56" i="8"/>
  <c r="AH56" i="8" s="1"/>
  <c r="S57" i="8"/>
  <c r="AL57" i="8" s="1"/>
  <c r="Z58" i="8"/>
  <c r="AP58" i="8" s="1"/>
  <c r="L60" i="8"/>
  <c r="AH60" i="8" s="1"/>
  <c r="S61" i="8"/>
  <c r="AL61" i="8" s="1"/>
  <c r="Z62" i="8"/>
  <c r="AP62" i="8" s="1"/>
  <c r="L64" i="8"/>
  <c r="AH64" i="8" s="1"/>
  <c r="S68" i="8"/>
  <c r="AL68" i="8" s="1"/>
  <c r="Z69" i="8"/>
  <c r="AP69" i="8" s="1"/>
  <c r="L71" i="8"/>
  <c r="AH71" i="8" s="1"/>
  <c r="S72" i="8"/>
  <c r="AL72" i="8" s="1"/>
  <c r="Z73" i="8"/>
  <c r="AP73" i="8" s="1"/>
  <c r="L79" i="8"/>
  <c r="AH79" i="8" s="1"/>
  <c r="S80" i="8"/>
  <c r="AL80" i="8" s="1"/>
  <c r="Z81" i="8"/>
  <c r="AP81" i="8" s="1"/>
  <c r="L83" i="8"/>
  <c r="AH83" i="8" s="1"/>
  <c r="S84" i="8"/>
  <c r="AL84" i="8" s="1"/>
  <c r="Z85" i="8"/>
  <c r="AP85" i="8" s="1"/>
  <c r="L87" i="8"/>
  <c r="AH87" i="8" s="1"/>
  <c r="S88" i="8"/>
  <c r="AL88" i="8" s="1"/>
  <c r="Z92" i="8"/>
  <c r="AP92" i="8" s="1"/>
  <c r="S93" i="8"/>
  <c r="AL93" i="8" s="1"/>
  <c r="L94" i="8"/>
  <c r="AH94" i="8" s="1"/>
  <c r="Z94" i="8"/>
  <c r="AP94" i="8" s="1"/>
  <c r="S95" i="8"/>
  <c r="AL95" i="8" s="1"/>
  <c r="L96" i="8"/>
  <c r="AH96" i="8" s="1"/>
  <c r="Z96" i="8"/>
  <c r="AP96" i="8" s="1"/>
  <c r="S97" i="8"/>
  <c r="AL97" i="8" s="1"/>
  <c r="L98" i="8"/>
  <c r="AH98" i="8" s="1"/>
  <c r="Z98" i="8"/>
  <c r="AP98" i="8" s="1"/>
  <c r="S99" i="8"/>
  <c r="AL99" i="8" s="1"/>
  <c r="AH108" i="8"/>
  <c r="L103" i="8"/>
  <c r="AH103" i="8" s="1"/>
  <c r="AP108" i="8"/>
  <c r="Z103" i="8"/>
  <c r="AP103" i="8" s="1"/>
  <c r="S104" i="8"/>
  <c r="AL104" i="8" s="1"/>
  <c r="L105" i="8"/>
  <c r="AH105" i="8" s="1"/>
  <c r="Z105" i="8"/>
  <c r="AP105" i="8" s="1"/>
  <c r="S106" i="8"/>
  <c r="AL106" i="8" s="1"/>
  <c r="AH116" i="8"/>
  <c r="L111" i="8"/>
  <c r="AH111" i="8" s="1"/>
  <c r="AP116" i="8"/>
  <c r="Z111" i="8"/>
  <c r="AP111" i="8" s="1"/>
  <c r="S112" i="8"/>
  <c r="AL112" i="8" s="1"/>
  <c r="L113" i="8"/>
  <c r="AH113" i="8" s="1"/>
  <c r="Z113" i="8"/>
  <c r="AP113" i="8" s="1"/>
  <c r="S114" i="8"/>
  <c r="AL114" i="8" s="1"/>
  <c r="AH126" i="8"/>
  <c r="L121" i="8"/>
  <c r="AH121" i="8" s="1"/>
  <c r="AP126" i="8"/>
  <c r="Z121" i="8"/>
  <c r="AP121" i="8" s="1"/>
  <c r="S122" i="8"/>
  <c r="AL122" i="8" s="1"/>
  <c r="L123" i="8"/>
  <c r="AH123" i="8" s="1"/>
  <c r="Z123" i="8"/>
  <c r="AP123" i="8" s="1"/>
  <c r="S124" i="8"/>
  <c r="AL124" i="8" s="1"/>
  <c r="L130" i="8"/>
  <c r="AH130" i="8" s="1"/>
  <c r="Z130" i="8"/>
  <c r="AP130" i="8" s="1"/>
  <c r="S131" i="8"/>
  <c r="AL131" i="8" s="1"/>
  <c r="L132" i="8"/>
  <c r="AH132" i="8" s="1"/>
  <c r="Z132" i="8"/>
  <c r="AP132" i="8" s="1"/>
  <c r="S133" i="8"/>
  <c r="AL133" i="8" s="1"/>
  <c r="L134" i="8"/>
  <c r="AH134" i="8" s="1"/>
  <c r="Z134" i="8"/>
  <c r="AP134" i="8" s="1"/>
  <c r="S135" i="8"/>
  <c r="AL135" i="8" s="1"/>
  <c r="L136" i="8"/>
  <c r="AH136" i="8" s="1"/>
  <c r="Z136" i="8"/>
  <c r="AP136" i="8" s="1"/>
  <c r="S137" i="8"/>
  <c r="AL137" i="8" s="1"/>
  <c r="L138" i="8"/>
  <c r="AH138" i="8" s="1"/>
  <c r="Z138" i="8"/>
  <c r="AP138" i="8" s="1"/>
  <c r="S139" i="8"/>
  <c r="AL139" i="8" s="1"/>
  <c r="L140" i="8"/>
  <c r="AH140" i="8" s="1"/>
  <c r="Z140" i="8"/>
  <c r="AP140" i="8" s="1"/>
  <c r="AL149" i="8"/>
  <c r="S144" i="8"/>
  <c r="AL144" i="8" s="1"/>
  <c r="L145" i="8"/>
  <c r="AH145" i="8" s="1"/>
  <c r="Z145" i="8"/>
  <c r="AP145" i="8" s="1"/>
  <c r="S146" i="8"/>
  <c r="AL146" i="8" s="1"/>
  <c r="L147" i="8"/>
  <c r="AH147" i="8" s="1"/>
  <c r="Z147" i="8"/>
  <c r="AP147" i="8" s="1"/>
  <c r="S153" i="8"/>
  <c r="AL153" i="8" s="1"/>
  <c r="L154" i="8"/>
  <c r="AH154" i="8" s="1"/>
  <c r="Z154" i="8"/>
  <c r="AP154" i="8" s="1"/>
  <c r="S155" i="8"/>
  <c r="AL155" i="8" s="1"/>
  <c r="L156" i="8"/>
  <c r="AH156" i="8" s="1"/>
  <c r="Z156" i="8"/>
  <c r="AP156" i="8" s="1"/>
  <c r="S157" i="8"/>
  <c r="AL157" i="8" s="1"/>
  <c r="L158" i="8"/>
  <c r="AH158" i="8" s="1"/>
  <c r="Z158" i="8"/>
  <c r="AP158" i="8" s="1"/>
  <c r="S159" i="8"/>
  <c r="AL159" i="8" s="1"/>
  <c r="L160" i="8"/>
  <c r="AH160" i="8" s="1"/>
  <c r="Z160" i="8"/>
  <c r="AP160" i="8" s="1"/>
  <c r="S161" i="8"/>
  <c r="AL161" i="8" s="1"/>
  <c r="L162" i="8"/>
  <c r="AH162" i="8" s="1"/>
  <c r="Z162" i="8"/>
  <c r="AP162" i="8" s="1"/>
  <c r="S163" i="8"/>
  <c r="AL163" i="8" s="1"/>
  <c r="L164" i="8"/>
  <c r="AH164" i="8" s="1"/>
  <c r="Z164" i="8"/>
  <c r="AP164" i="8" s="1"/>
  <c r="S168" i="8"/>
  <c r="AL168" i="8" s="1"/>
  <c r="L169" i="8"/>
  <c r="AH169" i="8" s="1"/>
  <c r="Z169" i="8"/>
  <c r="AP169" i="8" s="1"/>
  <c r="S170" i="8"/>
  <c r="AL170" i="8" s="1"/>
  <c r="L171" i="8"/>
  <c r="AH171" i="8" s="1"/>
  <c r="Z171" i="8"/>
  <c r="AP171" i="8" s="1"/>
  <c r="S175" i="8"/>
  <c r="AL175" i="8" s="1"/>
  <c r="L176" i="8"/>
  <c r="AH176" i="8" s="1"/>
  <c r="Z176" i="8"/>
  <c r="AP176" i="8" s="1"/>
  <c r="S177" i="8"/>
  <c r="AL177" i="8" s="1"/>
  <c r="L178" i="8"/>
  <c r="AH178" i="8" s="1"/>
  <c r="Z178" i="8"/>
  <c r="AP178" i="8" s="1"/>
  <c r="S182" i="8"/>
  <c r="AL182" i="8" s="1"/>
  <c r="L183" i="8"/>
  <c r="AH183" i="8" s="1"/>
  <c r="Z183" i="8"/>
  <c r="AP183" i="8" s="1"/>
  <c r="S184" i="8"/>
  <c r="AL184" i="8" s="1"/>
  <c r="L185" i="8"/>
  <c r="AH185" i="8" s="1"/>
  <c r="Z185" i="8"/>
  <c r="AP185" i="8" s="1"/>
  <c r="S186" i="8"/>
  <c r="AL186" i="8" s="1"/>
  <c r="L187" i="8"/>
  <c r="AH187" i="8" s="1"/>
  <c r="Z187" i="8"/>
  <c r="AP187" i="8" s="1"/>
  <c r="S188" i="8"/>
  <c r="AL188" i="8" s="1"/>
  <c r="L189" i="8"/>
  <c r="AH189" i="8" s="1"/>
  <c r="Z189" i="8"/>
  <c r="AP189" i="8" s="1"/>
  <c r="S190" i="8"/>
  <c r="AL190" i="8" s="1"/>
  <c r="L195" i="8"/>
  <c r="AH195" i="8" s="1"/>
  <c r="Z195" i="8"/>
  <c r="AP195" i="8" s="1"/>
  <c r="S196" i="8"/>
  <c r="AL196" i="8" s="1"/>
  <c r="L197" i="8"/>
  <c r="AH197" i="8" s="1"/>
  <c r="Z197" i="8"/>
  <c r="AP197" i="8" s="1"/>
  <c r="S198" i="8"/>
  <c r="AL198" i="8" s="1"/>
  <c r="L202" i="8"/>
  <c r="AH202" i="8" s="1"/>
  <c r="Z202" i="8"/>
  <c r="AP202" i="8" s="1"/>
  <c r="S203" i="8"/>
  <c r="AL203" i="8" s="1"/>
  <c r="L204" i="8"/>
  <c r="AH204" i="8" s="1"/>
  <c r="Z204" i="8"/>
  <c r="AP204" i="8" s="1"/>
  <c r="S205" i="8"/>
  <c r="AL205" i="8" s="1"/>
  <c r="L209" i="8"/>
  <c r="AH209" i="8" s="1"/>
  <c r="Z209" i="8"/>
  <c r="AP209" i="8" s="1"/>
  <c r="S210" i="8"/>
  <c r="AL210" i="8" s="1"/>
  <c r="L211" i="8"/>
  <c r="AH211" i="8" s="1"/>
  <c r="Z211" i="8"/>
  <c r="AP211" i="8" s="1"/>
  <c r="S215" i="8"/>
  <c r="AL215" i="8" s="1"/>
  <c r="U38" i="8"/>
  <c r="X38" i="8"/>
  <c r="AO38" i="8" s="1"/>
  <c r="N39" i="8"/>
  <c r="O39" i="8" s="1"/>
  <c r="AM39" i="8" s="1"/>
  <c r="Q39" i="8"/>
  <c r="AK39" i="8" s="1"/>
  <c r="G40" i="8"/>
  <c r="J40" i="8"/>
  <c r="AG40" i="8" s="1"/>
  <c r="U40" i="8"/>
  <c r="X40" i="8"/>
  <c r="AO40" i="8" s="1"/>
  <c r="N41" i="8"/>
  <c r="O41" i="8" s="1"/>
  <c r="AM41" i="8" s="1"/>
  <c r="Q41" i="8"/>
  <c r="AK41" i="8" s="1"/>
  <c r="G42" i="8"/>
  <c r="J42" i="8"/>
  <c r="AG42" i="8" s="1"/>
  <c r="U42" i="8"/>
  <c r="X42" i="8"/>
  <c r="AO42" i="8" s="1"/>
  <c r="N43" i="8"/>
  <c r="O43" i="8" s="1"/>
  <c r="AM43" i="8" s="1"/>
  <c r="Q43" i="8"/>
  <c r="AK43" i="8" s="1"/>
  <c r="G47" i="8"/>
  <c r="AG52" i="8"/>
  <c r="J47" i="8"/>
  <c r="AG47" i="8" s="1"/>
  <c r="U47" i="8"/>
  <c r="AO52" i="8"/>
  <c r="X47" i="8"/>
  <c r="AO47" i="8" s="1"/>
  <c r="N48" i="8"/>
  <c r="O48" i="8" s="1"/>
  <c r="AM48" i="8" s="1"/>
  <c r="Q48" i="8"/>
  <c r="AK48" i="8" s="1"/>
  <c r="G49" i="8"/>
  <c r="J49" i="8"/>
  <c r="AG49" i="8" s="1"/>
  <c r="U49" i="8"/>
  <c r="X49" i="8"/>
  <c r="AO49" i="8" s="1"/>
  <c r="N50" i="8"/>
  <c r="O50" i="8" s="1"/>
  <c r="AM50" i="8" s="1"/>
  <c r="Q50" i="8"/>
  <c r="AK50" i="8" s="1"/>
  <c r="G54" i="8"/>
  <c r="J54" i="8"/>
  <c r="AG54" i="8" s="1"/>
  <c r="U54" i="8"/>
  <c r="X54" i="8"/>
  <c r="AO54" i="8" s="1"/>
  <c r="N55" i="8"/>
  <c r="O55" i="8" s="1"/>
  <c r="AM55" i="8" s="1"/>
  <c r="Q55" i="8"/>
  <c r="AK55" i="8" s="1"/>
  <c r="G56" i="8"/>
  <c r="J56" i="8"/>
  <c r="AG56" i="8" s="1"/>
  <c r="U56" i="8"/>
  <c r="X56" i="8"/>
  <c r="AO56" i="8" s="1"/>
  <c r="N57" i="8"/>
  <c r="O57" i="8" s="1"/>
  <c r="AM57" i="8" s="1"/>
  <c r="Q57" i="8"/>
  <c r="AK57" i="8" s="1"/>
  <c r="G58" i="8"/>
  <c r="J58" i="8"/>
  <c r="AG58" i="8" s="1"/>
  <c r="U58" i="8"/>
  <c r="X58" i="8"/>
  <c r="AO58" i="8" s="1"/>
  <c r="N59" i="8"/>
  <c r="O59" i="8" s="1"/>
  <c r="AM59" i="8" s="1"/>
  <c r="Q59" i="8"/>
  <c r="AK59" i="8" s="1"/>
  <c r="G60" i="8"/>
  <c r="J60" i="8"/>
  <c r="AG60" i="8" s="1"/>
  <c r="U60" i="8"/>
  <c r="X60" i="8"/>
  <c r="AO60" i="8" s="1"/>
  <c r="N61" i="8"/>
  <c r="O61" i="8" s="1"/>
  <c r="AM61" i="8" s="1"/>
  <c r="Q61" i="8"/>
  <c r="AK61" i="8" s="1"/>
  <c r="G62" i="8"/>
  <c r="J62" i="8"/>
  <c r="AG62" i="8" s="1"/>
  <c r="U62" i="8"/>
  <c r="X62" i="8"/>
  <c r="AO62" i="8" s="1"/>
  <c r="N63" i="8"/>
  <c r="O63" i="8" s="1"/>
  <c r="AM63" i="8" s="1"/>
  <c r="Q63" i="8"/>
  <c r="AK63" i="8" s="1"/>
  <c r="G64" i="8"/>
  <c r="J64" i="8"/>
  <c r="AG64" i="8" s="1"/>
  <c r="U64" i="8"/>
  <c r="X64" i="8"/>
  <c r="AO64" i="8" s="1"/>
  <c r="N68" i="8"/>
  <c r="O68" i="8" s="1"/>
  <c r="AM68" i="8" s="1"/>
  <c r="Q68" i="8"/>
  <c r="AK68" i="8" s="1"/>
  <c r="G69" i="8"/>
  <c r="J69" i="8"/>
  <c r="AG69" i="8" s="1"/>
  <c r="U69" i="8"/>
  <c r="X69" i="8"/>
  <c r="AO69" i="8" s="1"/>
  <c r="N70" i="8"/>
  <c r="O70" i="8" s="1"/>
  <c r="AM70" i="8" s="1"/>
  <c r="Q70" i="8"/>
  <c r="AK70" i="8" s="1"/>
  <c r="G71" i="8"/>
  <c r="J71" i="8"/>
  <c r="AG71" i="8" s="1"/>
  <c r="U71" i="8"/>
  <c r="X71" i="8"/>
  <c r="AO71" i="8" s="1"/>
  <c r="N72" i="8"/>
  <c r="O72" i="8" s="1"/>
  <c r="AM72" i="8" s="1"/>
  <c r="Q72" i="8"/>
  <c r="AK72" i="8" s="1"/>
  <c r="G73" i="8"/>
  <c r="J73" i="8"/>
  <c r="AG73" i="8" s="1"/>
  <c r="U73" i="8"/>
  <c r="X73" i="8"/>
  <c r="AO73" i="8" s="1"/>
  <c r="N78" i="8"/>
  <c r="O78" i="8" s="1"/>
  <c r="AM78" i="8" s="1"/>
  <c r="Q78" i="8"/>
  <c r="AK78" i="8" s="1"/>
  <c r="G79" i="8"/>
  <c r="J79" i="8"/>
  <c r="AG79" i="8" s="1"/>
  <c r="U79" i="8"/>
  <c r="X79" i="8"/>
  <c r="AO79" i="8" s="1"/>
  <c r="N80" i="8"/>
  <c r="O80" i="8" s="1"/>
  <c r="AM80" i="8" s="1"/>
  <c r="Q80" i="8"/>
  <c r="AK80" i="8" s="1"/>
  <c r="G81" i="8"/>
  <c r="J81" i="8"/>
  <c r="AG81" i="8" s="1"/>
  <c r="U81" i="8"/>
  <c r="X81" i="8"/>
  <c r="AO81" i="8" s="1"/>
  <c r="N82" i="8"/>
  <c r="O82" i="8" s="1"/>
  <c r="AM82" i="8" s="1"/>
  <c r="Q82" i="8"/>
  <c r="AK82" i="8" s="1"/>
  <c r="G83" i="8"/>
  <c r="J83" i="8"/>
  <c r="AG83" i="8" s="1"/>
  <c r="U83" i="8"/>
  <c r="X83" i="8"/>
  <c r="AO83" i="8" s="1"/>
  <c r="N84" i="8"/>
  <c r="O84" i="8" s="1"/>
  <c r="AM84" i="8" s="1"/>
  <c r="Q84" i="8"/>
  <c r="AK84" i="8" s="1"/>
  <c r="G85" i="8"/>
  <c r="J85" i="8"/>
  <c r="AG85" i="8" s="1"/>
  <c r="U85" i="8"/>
  <c r="X85" i="8"/>
  <c r="AO85" i="8" s="1"/>
  <c r="N86" i="8"/>
  <c r="O86" i="8" s="1"/>
  <c r="AM86" i="8" s="1"/>
  <c r="Q86" i="8"/>
  <c r="AK86" i="8" s="1"/>
  <c r="G87" i="8"/>
  <c r="J87" i="8"/>
  <c r="AG87" i="8" s="1"/>
  <c r="U87" i="8"/>
  <c r="X87" i="8"/>
  <c r="AO87" i="8" s="1"/>
  <c r="N88" i="8"/>
  <c r="O88" i="8" s="1"/>
  <c r="AM88" i="8" s="1"/>
  <c r="Q88" i="8"/>
  <c r="AK88" i="8" s="1"/>
  <c r="G92" i="8"/>
  <c r="J92" i="8"/>
  <c r="AG92" i="8" s="1"/>
  <c r="U92" i="8"/>
  <c r="X92" i="8"/>
  <c r="AO92" i="8" s="1"/>
  <c r="N93" i="8"/>
  <c r="O93" i="8" s="1"/>
  <c r="AM93" i="8" s="1"/>
  <c r="Q93" i="8"/>
  <c r="AK93" i="8" s="1"/>
  <c r="G94" i="8"/>
  <c r="J94" i="8"/>
  <c r="AG94" i="8" s="1"/>
  <c r="U94" i="8"/>
  <c r="X94" i="8"/>
  <c r="AO94" i="8" s="1"/>
  <c r="N95" i="8"/>
  <c r="O95" i="8" s="1"/>
  <c r="AM95" i="8" s="1"/>
  <c r="Q95" i="8"/>
  <c r="AK95" i="8" s="1"/>
  <c r="G96" i="8"/>
  <c r="J96" i="8"/>
  <c r="AG96" i="8" s="1"/>
  <c r="U96" i="8"/>
  <c r="X96" i="8"/>
  <c r="AO96" i="8" s="1"/>
  <c r="N97" i="8"/>
  <c r="O97" i="8" s="1"/>
  <c r="AM97" i="8" s="1"/>
  <c r="Q97" i="8"/>
  <c r="AK97" i="8" s="1"/>
  <c r="G98" i="8"/>
  <c r="J98" i="8"/>
  <c r="AG98" i="8" s="1"/>
  <c r="U98" i="8"/>
  <c r="X98" i="8"/>
  <c r="AO98" i="8" s="1"/>
  <c r="N99" i="8"/>
  <c r="O99" i="8" s="1"/>
  <c r="AM99" i="8" s="1"/>
  <c r="Q99" i="8"/>
  <c r="AK99" i="8" s="1"/>
  <c r="G103" i="8"/>
  <c r="AG108" i="8"/>
  <c r="J103" i="8"/>
  <c r="AG103" i="8" s="1"/>
  <c r="AO108" i="8"/>
  <c r="U103" i="8"/>
  <c r="X103" i="8"/>
  <c r="AO103" i="8" s="1"/>
  <c r="N104" i="8"/>
  <c r="O104" i="8" s="1"/>
  <c r="AM104" i="8" s="1"/>
  <c r="Q104" i="8"/>
  <c r="AK104" i="8" s="1"/>
  <c r="G105" i="8"/>
  <c r="J105" i="8"/>
  <c r="AG105" i="8" s="1"/>
  <c r="U105" i="8"/>
  <c r="X105" i="8"/>
  <c r="AO105" i="8" s="1"/>
  <c r="N106" i="8"/>
  <c r="O106" i="8" s="1"/>
  <c r="AM106" i="8" s="1"/>
  <c r="Q106" i="8"/>
  <c r="AK106" i="8" s="1"/>
  <c r="G111" i="8"/>
  <c r="AG116" i="8"/>
  <c r="J111" i="8"/>
  <c r="AG111" i="8" s="1"/>
  <c r="AO116" i="8"/>
  <c r="U111" i="8"/>
  <c r="X111" i="8"/>
  <c r="AO111" i="8" s="1"/>
  <c r="N112" i="8"/>
  <c r="O112" i="8" s="1"/>
  <c r="AM112" i="8" s="1"/>
  <c r="Q112" i="8"/>
  <c r="AK112" i="8" s="1"/>
  <c r="G113" i="8"/>
  <c r="J113" i="8"/>
  <c r="AG113" i="8" s="1"/>
  <c r="U113" i="8"/>
  <c r="X113" i="8"/>
  <c r="AO113" i="8" s="1"/>
  <c r="N114" i="8"/>
  <c r="O114" i="8" s="1"/>
  <c r="AM114" i="8" s="1"/>
  <c r="Q114" i="8"/>
  <c r="AK114" i="8" s="1"/>
  <c r="G121" i="8"/>
  <c r="AG126" i="8"/>
  <c r="J121" i="8"/>
  <c r="AG121" i="8" s="1"/>
  <c r="AO126" i="8"/>
  <c r="U121" i="8"/>
  <c r="X121" i="8"/>
  <c r="AO121" i="8" s="1"/>
  <c r="N122" i="8"/>
  <c r="O122" i="8" s="1"/>
  <c r="AM122" i="8" s="1"/>
  <c r="Q122" i="8"/>
  <c r="AK122" i="8" s="1"/>
  <c r="G123" i="8"/>
  <c r="J123" i="8"/>
  <c r="AG123" i="8" s="1"/>
  <c r="U123" i="8"/>
  <c r="X123" i="8"/>
  <c r="AO123" i="8" s="1"/>
  <c r="N124" i="8"/>
  <c r="O124" i="8" s="1"/>
  <c r="AM124" i="8" s="1"/>
  <c r="Q124" i="8"/>
  <c r="AK124" i="8" s="1"/>
  <c r="G130" i="8"/>
  <c r="J130" i="8"/>
  <c r="AG130" i="8" s="1"/>
  <c r="U130" i="8"/>
  <c r="X130" i="8"/>
  <c r="AO130" i="8" s="1"/>
  <c r="N131" i="8"/>
  <c r="O131" i="8" s="1"/>
  <c r="AM131" i="8" s="1"/>
  <c r="Q131" i="8"/>
  <c r="AK131" i="8" s="1"/>
  <c r="G132" i="8"/>
  <c r="J132" i="8"/>
  <c r="AG132" i="8" s="1"/>
  <c r="U132" i="8"/>
  <c r="X132" i="8"/>
  <c r="AO132" i="8" s="1"/>
  <c r="N133" i="8"/>
  <c r="O133" i="8" s="1"/>
  <c r="AM133" i="8" s="1"/>
  <c r="Q133" i="8"/>
  <c r="AK133" i="8" s="1"/>
  <c r="G134" i="8"/>
  <c r="J134" i="8"/>
  <c r="AG134" i="8" s="1"/>
  <c r="U134" i="8"/>
  <c r="X134" i="8"/>
  <c r="AO134" i="8" s="1"/>
  <c r="N135" i="8"/>
  <c r="O135" i="8" s="1"/>
  <c r="AM135" i="8" s="1"/>
  <c r="Q135" i="8"/>
  <c r="AK135" i="8" s="1"/>
  <c r="G136" i="8"/>
  <c r="J136" i="8"/>
  <c r="AG136" i="8" s="1"/>
  <c r="U136" i="8"/>
  <c r="X136" i="8"/>
  <c r="AO136" i="8" s="1"/>
  <c r="N137" i="8"/>
  <c r="O137" i="8" s="1"/>
  <c r="AM137" i="8" s="1"/>
  <c r="Q137" i="8"/>
  <c r="AK137" i="8" s="1"/>
  <c r="G138" i="8"/>
  <c r="J138" i="8"/>
  <c r="AG138" i="8" s="1"/>
  <c r="U138" i="8"/>
  <c r="X138" i="8"/>
  <c r="AO138" i="8" s="1"/>
  <c r="N139" i="8"/>
  <c r="O139" i="8" s="1"/>
  <c r="AM139" i="8" s="1"/>
  <c r="Q139" i="8"/>
  <c r="AK139" i="8" s="1"/>
  <c r="G140" i="8"/>
  <c r="J140" i="8"/>
  <c r="AG140" i="8" s="1"/>
  <c r="U140" i="8"/>
  <c r="X140" i="8"/>
  <c r="AO140" i="8" s="1"/>
  <c r="N144" i="8"/>
  <c r="AK149" i="8"/>
  <c r="Q144" i="8"/>
  <c r="AK144" i="8" s="1"/>
  <c r="G145" i="8"/>
  <c r="J145" i="8"/>
  <c r="AG145" i="8" s="1"/>
  <c r="U145" i="8"/>
  <c r="V145" i="8" s="1"/>
  <c r="AQ145" i="8" s="1"/>
  <c r="X145" i="8"/>
  <c r="AO145" i="8" s="1"/>
  <c r="N146" i="8"/>
  <c r="Q146" i="8"/>
  <c r="AK146" i="8" s="1"/>
  <c r="G147" i="8"/>
  <c r="J147" i="8"/>
  <c r="AG147" i="8" s="1"/>
  <c r="U147" i="8"/>
  <c r="V147" i="8" s="1"/>
  <c r="AQ147" i="8" s="1"/>
  <c r="X147" i="8"/>
  <c r="AO147" i="8" s="1"/>
  <c r="N153" i="8"/>
  <c r="Q153" i="8"/>
  <c r="AK153" i="8" s="1"/>
  <c r="G154" i="8"/>
  <c r="J154" i="8"/>
  <c r="AG154" i="8" s="1"/>
  <c r="U154" i="8"/>
  <c r="V154" i="8" s="1"/>
  <c r="AQ154" i="8" s="1"/>
  <c r="X154" i="8"/>
  <c r="AO154" i="8" s="1"/>
  <c r="N155" i="8"/>
  <c r="Q155" i="8"/>
  <c r="AK155" i="8" s="1"/>
  <c r="G156" i="8"/>
  <c r="J156" i="8"/>
  <c r="AG156" i="8" s="1"/>
  <c r="U156" i="8"/>
  <c r="V156" i="8" s="1"/>
  <c r="AQ156" i="8" s="1"/>
  <c r="X156" i="8"/>
  <c r="AO156" i="8" s="1"/>
  <c r="N157" i="8"/>
  <c r="Q157" i="8"/>
  <c r="AK157" i="8" s="1"/>
  <c r="G158" i="8"/>
  <c r="J158" i="8"/>
  <c r="AG158" i="8" s="1"/>
  <c r="U158" i="8"/>
  <c r="V158" i="8" s="1"/>
  <c r="AQ158" i="8" s="1"/>
  <c r="X158" i="8"/>
  <c r="AO158" i="8" s="1"/>
  <c r="N159" i="8"/>
  <c r="Q159" i="8"/>
  <c r="AK159" i="8" s="1"/>
  <c r="G160" i="8"/>
  <c r="J160" i="8"/>
  <c r="AG160" i="8" s="1"/>
  <c r="U160" i="8"/>
  <c r="V160" i="8" s="1"/>
  <c r="AQ160" i="8" s="1"/>
  <c r="X160" i="8"/>
  <c r="AO160" i="8" s="1"/>
  <c r="N161" i="8"/>
  <c r="Q161" i="8"/>
  <c r="AK161" i="8" s="1"/>
  <c r="G162" i="8"/>
  <c r="J162" i="8"/>
  <c r="AG162" i="8" s="1"/>
  <c r="U162" i="8"/>
  <c r="V162" i="8" s="1"/>
  <c r="AQ162" i="8" s="1"/>
  <c r="X162" i="8"/>
  <c r="AO162" i="8" s="1"/>
  <c r="N163" i="8"/>
  <c r="Q163" i="8"/>
  <c r="AK163" i="8" s="1"/>
  <c r="G164" i="8"/>
  <c r="J164" i="8"/>
  <c r="AG164" i="8" s="1"/>
  <c r="U164" i="8"/>
  <c r="V164" i="8" s="1"/>
  <c r="AQ164" i="8" s="1"/>
  <c r="X164" i="8"/>
  <c r="AO164" i="8" s="1"/>
  <c r="N168" i="8"/>
  <c r="Q168" i="8"/>
  <c r="AK168" i="8" s="1"/>
  <c r="G169" i="8"/>
  <c r="J169" i="8"/>
  <c r="AG169" i="8" s="1"/>
  <c r="U169" i="8"/>
  <c r="V169" i="8" s="1"/>
  <c r="AQ169" i="8" s="1"/>
  <c r="X169" i="8"/>
  <c r="AO169" i="8" s="1"/>
  <c r="N170" i="8"/>
  <c r="Q170" i="8"/>
  <c r="AK170" i="8" s="1"/>
  <c r="G171" i="8"/>
  <c r="J171" i="8"/>
  <c r="AG171" i="8" s="1"/>
  <c r="U171" i="8"/>
  <c r="V171" i="8" s="1"/>
  <c r="AQ171" i="8" s="1"/>
  <c r="X171" i="8"/>
  <c r="AO171" i="8" s="1"/>
  <c r="N175" i="8"/>
  <c r="Q175" i="8"/>
  <c r="AK175" i="8" s="1"/>
  <c r="G176" i="8"/>
  <c r="J176" i="8"/>
  <c r="AG176" i="8" s="1"/>
  <c r="U176" i="8"/>
  <c r="V176" i="8" s="1"/>
  <c r="AQ176" i="8" s="1"/>
  <c r="X176" i="8"/>
  <c r="AO176" i="8" s="1"/>
  <c r="N177" i="8"/>
  <c r="Q177" i="8"/>
  <c r="AK177" i="8" s="1"/>
  <c r="G178" i="8"/>
  <c r="J178" i="8"/>
  <c r="AG178" i="8" s="1"/>
  <c r="U178" i="8"/>
  <c r="V178" i="8" s="1"/>
  <c r="AQ178" i="8" s="1"/>
  <c r="X178" i="8"/>
  <c r="AO178" i="8" s="1"/>
  <c r="Q182" i="8"/>
  <c r="AK182" i="8" s="1"/>
  <c r="N182" i="8"/>
  <c r="O182" i="8" s="1"/>
  <c r="AM182" i="8" s="1"/>
  <c r="G183" i="8"/>
  <c r="J183" i="8"/>
  <c r="AG183" i="8" s="1"/>
  <c r="U183" i="8"/>
  <c r="V183" i="8" s="1"/>
  <c r="AQ183" i="8" s="1"/>
  <c r="X183" i="8"/>
  <c r="AO183" i="8" s="1"/>
  <c r="N184" i="8"/>
  <c r="Q184" i="8"/>
  <c r="AK184" i="8" s="1"/>
  <c r="G185" i="8"/>
  <c r="J185" i="8"/>
  <c r="AG185" i="8" s="1"/>
  <c r="U185" i="8"/>
  <c r="V185" i="8" s="1"/>
  <c r="AQ185" i="8" s="1"/>
  <c r="X185" i="8"/>
  <c r="AO185" i="8" s="1"/>
  <c r="N186" i="8"/>
  <c r="Q186" i="8"/>
  <c r="AK186" i="8" s="1"/>
  <c r="G187" i="8"/>
  <c r="J187" i="8"/>
  <c r="AG187" i="8" s="1"/>
  <c r="U187" i="8"/>
  <c r="V187" i="8" s="1"/>
  <c r="AQ187" i="8" s="1"/>
  <c r="X187" i="8"/>
  <c r="AO187" i="8" s="1"/>
  <c r="N188" i="8"/>
  <c r="Q188" i="8"/>
  <c r="AK188" i="8" s="1"/>
  <c r="G189" i="8"/>
  <c r="J189" i="8"/>
  <c r="AG189" i="8" s="1"/>
  <c r="U189" i="8"/>
  <c r="V189" i="8" s="1"/>
  <c r="AQ189" i="8" s="1"/>
  <c r="X189" i="8"/>
  <c r="AO189" i="8" s="1"/>
  <c r="N190" i="8"/>
  <c r="Q190" i="8"/>
  <c r="AK190" i="8" s="1"/>
  <c r="G195" i="8"/>
  <c r="J195" i="8"/>
  <c r="AG195" i="8" s="1"/>
  <c r="U195" i="8"/>
  <c r="V195" i="8" s="1"/>
  <c r="AQ195" i="8" s="1"/>
  <c r="X195" i="8"/>
  <c r="AO195" i="8" s="1"/>
  <c r="N196" i="8"/>
  <c r="Q196" i="8"/>
  <c r="AK196" i="8" s="1"/>
  <c r="G197" i="8"/>
  <c r="J197" i="8"/>
  <c r="AG197" i="8" s="1"/>
  <c r="U197" i="8"/>
  <c r="V197" i="8" s="1"/>
  <c r="AQ197" i="8" s="1"/>
  <c r="X197" i="8"/>
  <c r="AO197" i="8" s="1"/>
  <c r="N198" i="8"/>
  <c r="Q198" i="8"/>
  <c r="AK198" i="8" s="1"/>
  <c r="G202" i="8"/>
  <c r="J202" i="8"/>
  <c r="AG202" i="8" s="1"/>
  <c r="U202" i="8"/>
  <c r="V202" i="8" s="1"/>
  <c r="AQ202" i="8" s="1"/>
  <c r="X202" i="8"/>
  <c r="AO202" i="8" s="1"/>
  <c r="N203" i="8"/>
  <c r="Q203" i="8"/>
  <c r="AK203" i="8" s="1"/>
  <c r="G204" i="8"/>
  <c r="J204" i="8"/>
  <c r="AG204" i="8" s="1"/>
  <c r="U204" i="8"/>
  <c r="V204" i="8" s="1"/>
  <c r="AQ204" i="8" s="1"/>
  <c r="X204" i="8"/>
  <c r="AO204" i="8" s="1"/>
  <c r="N205" i="8"/>
  <c r="Q205" i="8"/>
  <c r="AK205" i="8" s="1"/>
  <c r="G209" i="8"/>
  <c r="J209" i="8"/>
  <c r="AG209" i="8" s="1"/>
  <c r="U209" i="8"/>
  <c r="V209" i="8" s="1"/>
  <c r="AQ209" i="8" s="1"/>
  <c r="X209" i="8"/>
  <c r="AO209" i="8" s="1"/>
  <c r="N210" i="8"/>
  <c r="Q210" i="8"/>
  <c r="AK210" i="8" s="1"/>
  <c r="G211" i="8"/>
  <c r="J211" i="8"/>
  <c r="AG211" i="8" s="1"/>
  <c r="U211" i="8"/>
  <c r="V211" i="8" s="1"/>
  <c r="AQ211" i="8" s="1"/>
  <c r="X211" i="8"/>
  <c r="AO211" i="8" s="1"/>
  <c r="N215" i="8"/>
  <c r="Q215" i="8"/>
  <c r="AK215" i="8" s="1"/>
  <c r="G216" i="8"/>
  <c r="J216" i="8"/>
  <c r="AG216" i="8" s="1"/>
  <c r="U216" i="8"/>
  <c r="V216" i="8" s="1"/>
  <c r="AQ216" i="8" s="1"/>
  <c r="X216" i="8"/>
  <c r="AO216" i="8" s="1"/>
  <c r="N217" i="8"/>
  <c r="Q217" i="8"/>
  <c r="AK217" i="8" s="1"/>
  <c r="G222" i="8"/>
  <c r="J222" i="8"/>
  <c r="AG222" i="8" s="1"/>
  <c r="U222" i="8"/>
  <c r="V222" i="8" s="1"/>
  <c r="AQ222" i="8" s="1"/>
  <c r="X222" i="8"/>
  <c r="AO222" i="8" s="1"/>
  <c r="N223" i="8"/>
  <c r="Q223" i="8"/>
  <c r="AK223" i="8" s="1"/>
  <c r="G224" i="8"/>
  <c r="J224" i="8"/>
  <c r="AG224" i="8" s="1"/>
  <c r="U224" i="8"/>
  <c r="V224" i="8" s="1"/>
  <c r="AQ224" i="8" s="1"/>
  <c r="X224" i="8"/>
  <c r="AO224" i="8" s="1"/>
  <c r="N225" i="8"/>
  <c r="Q225" i="8"/>
  <c r="AK225" i="8" s="1"/>
  <c r="G226" i="8"/>
  <c r="J226" i="8"/>
  <c r="AG226" i="8" s="1"/>
  <c r="U226" i="8"/>
  <c r="V226" i="8" s="1"/>
  <c r="AQ226" i="8" s="1"/>
  <c r="X226" i="8"/>
  <c r="AO226" i="8" s="1"/>
  <c r="N227" i="8"/>
  <c r="Q227" i="8"/>
  <c r="AK227" i="8" s="1"/>
  <c r="G228" i="8"/>
  <c r="J228" i="8"/>
  <c r="AG228" i="8" s="1"/>
  <c r="U228" i="8"/>
  <c r="V228" i="8" s="1"/>
  <c r="AQ228" i="8" s="1"/>
  <c r="X228" i="8"/>
  <c r="AO228" i="8" s="1"/>
  <c r="N229" i="8"/>
  <c r="Q229" i="8"/>
  <c r="AK229" i="8" s="1"/>
  <c r="G230" i="8"/>
  <c r="J230" i="8"/>
  <c r="AG230" i="8" s="1"/>
  <c r="U230" i="8"/>
  <c r="V230" i="8" s="1"/>
  <c r="AQ230" i="8" s="1"/>
  <c r="X230" i="8"/>
  <c r="AO230" i="8" s="1"/>
  <c r="N231" i="8"/>
  <c r="Q231" i="8"/>
  <c r="AK231" i="8" s="1"/>
  <c r="G235" i="8"/>
  <c r="J235" i="8"/>
  <c r="AG235" i="8" s="1"/>
  <c r="U235" i="8"/>
  <c r="V235" i="8" s="1"/>
  <c r="AQ235" i="8" s="1"/>
  <c r="X235" i="8"/>
  <c r="AO235" i="8" s="1"/>
  <c r="N236" i="8"/>
  <c r="Q236" i="8"/>
  <c r="AK236" i="8" s="1"/>
  <c r="G237" i="8"/>
  <c r="J237" i="8"/>
  <c r="AG237" i="8" s="1"/>
  <c r="U237" i="8"/>
  <c r="V237" i="8" s="1"/>
  <c r="AQ237" i="8" s="1"/>
  <c r="X237" i="8"/>
  <c r="AO237" i="8" s="1"/>
  <c r="N238" i="8"/>
  <c r="Q238" i="8"/>
  <c r="AK238" i="8" s="1"/>
  <c r="G239" i="8"/>
  <c r="J239" i="8"/>
  <c r="AG239" i="8" s="1"/>
  <c r="U239" i="8"/>
  <c r="V239" i="8" s="1"/>
  <c r="AQ239" i="8" s="1"/>
  <c r="X239" i="8"/>
  <c r="AO239" i="8" s="1"/>
  <c r="N240" i="8"/>
  <c r="Q240" i="8"/>
  <c r="AK240" i="8" s="1"/>
  <c r="G244" i="8"/>
  <c r="J244" i="8"/>
  <c r="AG244" i="8" s="1"/>
  <c r="U244" i="8"/>
  <c r="V244" i="8" s="1"/>
  <c r="AQ244" i="8" s="1"/>
  <c r="X244" i="8"/>
  <c r="AO244" i="8" s="1"/>
  <c r="AK250" i="8"/>
  <c r="N245" i="8"/>
  <c r="Q245" i="8"/>
  <c r="AK245" i="8" s="1"/>
  <c r="G246" i="8"/>
  <c r="J246" i="8"/>
  <c r="AG246" i="8" s="1"/>
  <c r="U246" i="8"/>
  <c r="X246" i="8"/>
  <c r="AO246" i="8" s="1"/>
  <c r="N247" i="8"/>
  <c r="O247" i="8" s="1"/>
  <c r="AM247" i="8" s="1"/>
  <c r="Q247" i="8"/>
  <c r="AK247" i="8" s="1"/>
  <c r="G248" i="8"/>
  <c r="J248" i="8"/>
  <c r="AG248" i="8" s="1"/>
  <c r="U248" i="8"/>
  <c r="X248" i="8"/>
  <c r="AO248" i="8" s="1"/>
  <c r="N252" i="8"/>
  <c r="O252" i="8" s="1"/>
  <c r="AM252" i="8" s="1"/>
  <c r="Q252" i="8"/>
  <c r="AK252" i="8" s="1"/>
  <c r="J253" i="8"/>
  <c r="AG253" i="8" s="1"/>
  <c r="G253" i="8"/>
  <c r="U253" i="8"/>
  <c r="X253" i="8"/>
  <c r="AO253" i="8" s="1"/>
  <c r="N254" i="8"/>
  <c r="O254" i="8" s="1"/>
  <c r="AM254" i="8" s="1"/>
  <c r="Q254" i="8"/>
  <c r="AK254" i="8" s="1"/>
  <c r="G255" i="8"/>
  <c r="J255" i="8"/>
  <c r="AG255" i="8" s="1"/>
  <c r="U255" i="8"/>
  <c r="X255" i="8"/>
  <c r="AO255" i="8" s="1"/>
  <c r="N256" i="8"/>
  <c r="O256" i="8" s="1"/>
  <c r="AM256" i="8" s="1"/>
  <c r="Q256" i="8"/>
  <c r="AK256" i="8" s="1"/>
  <c r="G257" i="8"/>
  <c r="J257" i="8"/>
  <c r="AG257" i="8" s="1"/>
  <c r="U257" i="8"/>
  <c r="X257" i="8"/>
  <c r="AO257" i="8" s="1"/>
  <c r="N258" i="8"/>
  <c r="O258" i="8" s="1"/>
  <c r="AM258" i="8" s="1"/>
  <c r="Q258" i="8"/>
  <c r="AK258" i="8" s="1"/>
  <c r="G259" i="8"/>
  <c r="J259" i="8"/>
  <c r="AG259" i="8" s="1"/>
  <c r="U259" i="8"/>
  <c r="X259" i="8"/>
  <c r="AO259" i="8" s="1"/>
  <c r="N260" i="8"/>
  <c r="O260" i="8" s="1"/>
  <c r="AM260" i="8" s="1"/>
  <c r="Q260" i="8"/>
  <c r="AK260" i="8" s="1"/>
  <c r="G264" i="8"/>
  <c r="J264" i="8"/>
  <c r="AG264" i="8" s="1"/>
  <c r="U264" i="8"/>
  <c r="X264" i="8"/>
  <c r="AO264" i="8" s="1"/>
  <c r="N265" i="8"/>
  <c r="O265" i="8" s="1"/>
  <c r="AM265" i="8" s="1"/>
  <c r="Q265" i="8"/>
  <c r="AK265" i="8" s="1"/>
  <c r="G266" i="8"/>
  <c r="J266" i="8"/>
  <c r="AG266" i="8" s="1"/>
  <c r="U266" i="8"/>
  <c r="X266" i="8"/>
  <c r="AO266" i="8" s="1"/>
  <c r="N267" i="8"/>
  <c r="O267" i="8" s="1"/>
  <c r="AM267" i="8" s="1"/>
  <c r="Q267" i="8"/>
  <c r="AK267" i="8" s="1"/>
  <c r="G268" i="8"/>
  <c r="J268" i="8"/>
  <c r="AG268" i="8" s="1"/>
  <c r="U268" i="8"/>
  <c r="X268" i="8"/>
  <c r="AO268" i="8" s="1"/>
  <c r="N269" i="8"/>
  <c r="O269" i="8" s="1"/>
  <c r="AM269" i="8" s="1"/>
  <c r="Q269" i="8"/>
  <c r="AK269" i="8" s="1"/>
  <c r="G273" i="8"/>
  <c r="J273" i="8"/>
  <c r="AG273" i="8" s="1"/>
  <c r="U273" i="8"/>
  <c r="X273" i="8"/>
  <c r="AO273" i="8" s="1"/>
  <c r="N274" i="8"/>
  <c r="O274" i="8" s="1"/>
  <c r="AM274" i="8" s="1"/>
  <c r="Q274" i="8"/>
  <c r="AK274" i="8" s="1"/>
  <c r="G275" i="8"/>
  <c r="J275" i="8"/>
  <c r="AG275" i="8" s="1"/>
  <c r="U275" i="8"/>
  <c r="X275" i="8"/>
  <c r="AO275" i="8" s="1"/>
  <c r="N276" i="8"/>
  <c r="O276" i="8" s="1"/>
  <c r="AM276" i="8" s="1"/>
  <c r="Q276" i="8"/>
  <c r="AK276" i="8" s="1"/>
  <c r="G277" i="8"/>
  <c r="J277" i="8"/>
  <c r="AG277" i="8" s="1"/>
  <c r="U277" i="8"/>
  <c r="X277" i="8"/>
  <c r="AO277" i="8" s="1"/>
  <c r="N278" i="8"/>
  <c r="O278" i="8" s="1"/>
  <c r="AM278" i="8" s="1"/>
  <c r="Q278" i="8"/>
  <c r="AK278" i="8" s="1"/>
  <c r="G279" i="8"/>
  <c r="J279" i="8"/>
  <c r="AG279" i="8" s="1"/>
  <c r="U279" i="8"/>
  <c r="X279" i="8"/>
  <c r="AO279" i="8" s="1"/>
  <c r="N280" i="8"/>
  <c r="O280" i="8" s="1"/>
  <c r="AM280" i="8" s="1"/>
  <c r="Q280" i="8"/>
  <c r="AK280" i="8" s="1"/>
  <c r="G281" i="8"/>
  <c r="J281" i="8"/>
  <c r="AG281" i="8" s="1"/>
  <c r="U281" i="8"/>
  <c r="X281" i="8"/>
  <c r="AO281" i="8" s="1"/>
  <c r="N282" i="8"/>
  <c r="O282" i="8" s="1"/>
  <c r="AM282" i="8" s="1"/>
  <c r="Q282" i="8"/>
  <c r="AK282" i="8" s="1"/>
  <c r="G283" i="8"/>
  <c r="J283" i="8"/>
  <c r="AG283" i="8" s="1"/>
  <c r="U283" i="8"/>
  <c r="X283" i="8"/>
  <c r="AO283" i="8" s="1"/>
  <c r="N284" i="8"/>
  <c r="O284" i="8" s="1"/>
  <c r="AM284" i="8" s="1"/>
  <c r="Q284" i="8"/>
  <c r="AK284" i="8" s="1"/>
  <c r="G285" i="8"/>
  <c r="J285" i="8"/>
  <c r="AG285" i="8" s="1"/>
  <c r="U285" i="8"/>
  <c r="X285" i="8"/>
  <c r="AO285" i="8" s="1"/>
  <c r="N286" i="8"/>
  <c r="O286" i="8" s="1"/>
  <c r="AM286" i="8" s="1"/>
  <c r="Q286" i="8"/>
  <c r="AK286" i="8" s="1"/>
  <c r="G290" i="8"/>
  <c r="AG296" i="8"/>
  <c r="J290" i="8"/>
  <c r="AG290" i="8" s="1"/>
  <c r="U290" i="8"/>
  <c r="AO296" i="8"/>
  <c r="X290" i="8"/>
  <c r="AO290" i="8" s="1"/>
  <c r="N291" i="8"/>
  <c r="O291" i="8" s="1"/>
  <c r="AM291" i="8" s="1"/>
  <c r="Q291" i="8"/>
  <c r="AK291" i="8" s="1"/>
  <c r="G292" i="8"/>
  <c r="J292" i="8"/>
  <c r="AG292" i="8" s="1"/>
  <c r="U292" i="8"/>
  <c r="X292" i="8"/>
  <c r="AO292" i="8" s="1"/>
  <c r="N293" i="8"/>
  <c r="O293" i="8" s="1"/>
  <c r="AM293" i="8" s="1"/>
  <c r="Q293" i="8"/>
  <c r="AK293" i="8" s="1"/>
  <c r="G294" i="8"/>
  <c r="J294" i="8"/>
  <c r="AG294" i="8" s="1"/>
  <c r="Z215" i="8"/>
  <c r="AP215" i="8" s="1"/>
  <c r="S216" i="8"/>
  <c r="AL216" i="8" s="1"/>
  <c r="L217" i="8"/>
  <c r="AH217" i="8" s="1"/>
  <c r="Z217" i="8"/>
  <c r="AP217" i="8" s="1"/>
  <c r="S222" i="8"/>
  <c r="AL222" i="8" s="1"/>
  <c r="L223" i="8"/>
  <c r="AH223" i="8" s="1"/>
  <c r="Z223" i="8"/>
  <c r="AP223" i="8" s="1"/>
  <c r="S224" i="8"/>
  <c r="AL224" i="8" s="1"/>
  <c r="L225" i="8"/>
  <c r="AH225" i="8" s="1"/>
  <c r="Z225" i="8"/>
  <c r="AP225" i="8" s="1"/>
  <c r="S226" i="8"/>
  <c r="AL226" i="8" s="1"/>
  <c r="L227" i="8"/>
  <c r="AH227" i="8" s="1"/>
  <c r="Z227" i="8"/>
  <c r="AP227" i="8" s="1"/>
  <c r="S228" i="8"/>
  <c r="AL228" i="8" s="1"/>
  <c r="L229" i="8"/>
  <c r="AH229" i="8" s="1"/>
  <c r="Z229" i="8"/>
  <c r="AP229" i="8" s="1"/>
  <c r="S230" i="8"/>
  <c r="AL230" i="8" s="1"/>
  <c r="L231" i="8"/>
  <c r="AH231" i="8" s="1"/>
  <c r="Z231" i="8"/>
  <c r="AP231" i="8" s="1"/>
  <c r="S235" i="8"/>
  <c r="AL235" i="8" s="1"/>
  <c r="L236" i="8"/>
  <c r="AH236" i="8" s="1"/>
  <c r="Z236" i="8"/>
  <c r="AP236" i="8" s="1"/>
  <c r="S237" i="8"/>
  <c r="AL237" i="8" s="1"/>
  <c r="L238" i="8"/>
  <c r="AH238" i="8" s="1"/>
  <c r="Z238" i="8"/>
  <c r="AP238" i="8" s="1"/>
  <c r="S239" i="8"/>
  <c r="AL239" i="8" s="1"/>
  <c r="L240" i="8"/>
  <c r="AH240" i="8" s="1"/>
  <c r="Z240" i="8"/>
  <c r="AP240" i="8" s="1"/>
  <c r="S244" i="8"/>
  <c r="AL244" i="8" s="1"/>
  <c r="AH250" i="8"/>
  <c r="L245" i="8"/>
  <c r="AH245" i="8" s="1"/>
  <c r="AP250" i="8"/>
  <c r="Z245" i="8"/>
  <c r="AP245" i="8" s="1"/>
  <c r="S246" i="8"/>
  <c r="AL246" i="8" s="1"/>
  <c r="L247" i="8"/>
  <c r="AH247" i="8" s="1"/>
  <c r="Z247" i="8"/>
  <c r="AP247" i="8" s="1"/>
  <c r="S248" i="8"/>
  <c r="AL248" i="8" s="1"/>
  <c r="L252" i="8"/>
  <c r="AH252" i="8" s="1"/>
  <c r="Z252" i="8"/>
  <c r="AP252" i="8" s="1"/>
  <c r="S253" i="8"/>
  <c r="AL253" i="8" s="1"/>
  <c r="L254" i="8"/>
  <c r="AH254" i="8" s="1"/>
  <c r="Z254" i="8"/>
  <c r="AP254" i="8" s="1"/>
  <c r="S255" i="8"/>
  <c r="AL255" i="8" s="1"/>
  <c r="L256" i="8"/>
  <c r="AH256" i="8" s="1"/>
  <c r="Z256" i="8"/>
  <c r="AP256" i="8" s="1"/>
  <c r="S257" i="8"/>
  <c r="AL257" i="8" s="1"/>
  <c r="L258" i="8"/>
  <c r="AH258" i="8" s="1"/>
  <c r="Z258" i="8"/>
  <c r="AP258" i="8" s="1"/>
  <c r="S259" i="8"/>
  <c r="AL259" i="8" s="1"/>
  <c r="L260" i="8"/>
  <c r="AH260" i="8" s="1"/>
  <c r="Z260" i="8"/>
  <c r="AP260" i="8" s="1"/>
  <c r="S264" i="8"/>
  <c r="AL264" i="8" s="1"/>
  <c r="L265" i="8"/>
  <c r="AH265" i="8" s="1"/>
  <c r="Z265" i="8"/>
  <c r="AP265" i="8" s="1"/>
  <c r="S266" i="8"/>
  <c r="AL266" i="8" s="1"/>
  <c r="L267" i="8"/>
  <c r="AH267" i="8" s="1"/>
  <c r="Z267" i="8"/>
  <c r="AP267" i="8" s="1"/>
  <c r="S268" i="8"/>
  <c r="AL268" i="8" s="1"/>
  <c r="L269" i="8"/>
  <c r="AH269" i="8" s="1"/>
  <c r="Z269" i="8"/>
  <c r="AP269" i="8" s="1"/>
  <c r="S273" i="8"/>
  <c r="AL273" i="8" s="1"/>
  <c r="L274" i="8"/>
  <c r="AH274" i="8" s="1"/>
  <c r="Z274" i="8"/>
  <c r="AP274" i="8" s="1"/>
  <c r="S275" i="8"/>
  <c r="AL275" i="8" s="1"/>
  <c r="L276" i="8"/>
  <c r="AH276" i="8" s="1"/>
  <c r="Z276" i="8"/>
  <c r="AP276" i="8" s="1"/>
  <c r="S277" i="8"/>
  <c r="AL277" i="8" s="1"/>
  <c r="L278" i="8"/>
  <c r="AH278" i="8" s="1"/>
  <c r="Z278" i="8"/>
  <c r="AP278" i="8" s="1"/>
  <c r="S279" i="8"/>
  <c r="AL279" i="8" s="1"/>
  <c r="L280" i="8"/>
  <c r="AH280" i="8" s="1"/>
  <c r="Z280" i="8"/>
  <c r="AP280" i="8" s="1"/>
  <c r="S281" i="8"/>
  <c r="AL281" i="8" s="1"/>
  <c r="L282" i="8"/>
  <c r="AH282" i="8" s="1"/>
  <c r="Z282" i="8"/>
  <c r="AP282" i="8" s="1"/>
  <c r="S283" i="8"/>
  <c r="AL283" i="8" s="1"/>
  <c r="L284" i="8"/>
  <c r="AH284" i="8" s="1"/>
  <c r="Z284" i="8"/>
  <c r="AP284" i="8" s="1"/>
  <c r="S285" i="8"/>
  <c r="AL285" i="8" s="1"/>
  <c r="L286" i="8"/>
  <c r="AH286" i="8" s="1"/>
  <c r="Z286" i="8"/>
  <c r="AP286" i="8" s="1"/>
  <c r="S290" i="8"/>
  <c r="L291" i="8"/>
  <c r="AH291" i="8" s="1"/>
  <c r="Z291" i="8"/>
  <c r="AP291" i="8" s="1"/>
  <c r="S292" i="8"/>
  <c r="AL292" i="8" s="1"/>
  <c r="L293" i="8"/>
  <c r="AH293" i="8" s="1"/>
  <c r="Z293" i="8"/>
  <c r="AP293" i="8" s="1"/>
  <c r="S294" i="8"/>
  <c r="AL294" i="8" s="1"/>
  <c r="AG311" i="8"/>
  <c r="G305" i="8"/>
  <c r="J305" i="8"/>
  <c r="AG305" i="8" s="1"/>
  <c r="AO311" i="8"/>
  <c r="U305" i="8"/>
  <c r="X305" i="8"/>
  <c r="AO305" i="8" s="1"/>
  <c r="N306" i="8"/>
  <c r="O306" i="8" s="1"/>
  <c r="AM306" i="8" s="1"/>
  <c r="Q306" i="8"/>
  <c r="AK306" i="8" s="1"/>
  <c r="G307" i="8"/>
  <c r="J307" i="8"/>
  <c r="AG307" i="8" s="1"/>
  <c r="U307" i="8"/>
  <c r="X307" i="8"/>
  <c r="AO307" i="8" s="1"/>
  <c r="N308" i="8"/>
  <c r="O308" i="8" s="1"/>
  <c r="AM308" i="8" s="1"/>
  <c r="Q308" i="8"/>
  <c r="AK308" i="8" s="1"/>
  <c r="G309" i="8"/>
  <c r="J309" i="8"/>
  <c r="AG309" i="8" s="1"/>
  <c r="U309" i="8"/>
  <c r="X309" i="8"/>
  <c r="AO309" i="8" s="1"/>
  <c r="N310" i="8"/>
  <c r="O310" i="8" s="1"/>
  <c r="AM310" i="8" s="1"/>
  <c r="Q310" i="8"/>
  <c r="AK310" i="8" s="1"/>
  <c r="G313" i="8"/>
  <c r="AG319" i="8"/>
  <c r="J313" i="8"/>
  <c r="AG313" i="8" s="1"/>
  <c r="U313" i="8"/>
  <c r="AO319" i="8"/>
  <c r="X313" i="8"/>
  <c r="AO313" i="8" s="1"/>
  <c r="N314" i="8"/>
  <c r="O314" i="8" s="1"/>
  <c r="AM314" i="8" s="1"/>
  <c r="Q314" i="8"/>
  <c r="AK314" i="8" s="1"/>
  <c r="G315" i="8"/>
  <c r="J315" i="8"/>
  <c r="AG315" i="8" s="1"/>
  <c r="U315" i="8"/>
  <c r="X315" i="8"/>
  <c r="AO315" i="8" s="1"/>
  <c r="N316" i="8"/>
  <c r="O316" i="8" s="1"/>
  <c r="AM316" i="8" s="1"/>
  <c r="Q316" i="8"/>
  <c r="AK316" i="8" s="1"/>
  <c r="G317" i="8"/>
  <c r="J317" i="8"/>
  <c r="AG317" i="8" s="1"/>
  <c r="U317" i="8"/>
  <c r="X317" i="8"/>
  <c r="AO317" i="8" s="1"/>
  <c r="N318" i="8"/>
  <c r="O318" i="8" s="1"/>
  <c r="AM318" i="8" s="1"/>
  <c r="Q318" i="8"/>
  <c r="AK318" i="8" s="1"/>
  <c r="AG327" i="8"/>
  <c r="G321" i="8"/>
  <c r="J321" i="8"/>
  <c r="AG321" i="8" s="1"/>
  <c r="AO327" i="8"/>
  <c r="U321" i="8"/>
  <c r="X321" i="8"/>
  <c r="AO321" i="8" s="1"/>
  <c r="N322" i="8"/>
  <c r="O322" i="8" s="1"/>
  <c r="AM322" i="8" s="1"/>
  <c r="Q322" i="8"/>
  <c r="AK322" i="8" s="1"/>
  <c r="G323" i="8"/>
  <c r="J323" i="8"/>
  <c r="AG323" i="8" s="1"/>
  <c r="U323" i="8"/>
  <c r="X323" i="8"/>
  <c r="AO323" i="8" s="1"/>
  <c r="N324" i="8"/>
  <c r="O324" i="8" s="1"/>
  <c r="AM324" i="8" s="1"/>
  <c r="Q324" i="8"/>
  <c r="AK324" i="8" s="1"/>
  <c r="G325" i="8"/>
  <c r="J325" i="8"/>
  <c r="AG325" i="8" s="1"/>
  <c r="U325" i="8"/>
  <c r="X325" i="8"/>
  <c r="AO325" i="8" s="1"/>
  <c r="N326" i="8"/>
  <c r="O326" i="8" s="1"/>
  <c r="AM326" i="8" s="1"/>
  <c r="Q326" i="8"/>
  <c r="AK326" i="8" s="1"/>
  <c r="G329" i="8"/>
  <c r="AG335" i="8"/>
  <c r="J329" i="8"/>
  <c r="AG329" i="8" s="1"/>
  <c r="U329" i="8"/>
  <c r="AO335" i="8"/>
  <c r="X329" i="8"/>
  <c r="AO329" i="8" s="1"/>
  <c r="N330" i="8"/>
  <c r="O330" i="8" s="1"/>
  <c r="AM330" i="8" s="1"/>
  <c r="Q330" i="8"/>
  <c r="AK330" i="8" s="1"/>
  <c r="G331" i="8"/>
  <c r="J331" i="8"/>
  <c r="AG331" i="8" s="1"/>
  <c r="U331" i="8"/>
  <c r="X331" i="8"/>
  <c r="AO331" i="8" s="1"/>
  <c r="N332" i="8"/>
  <c r="O332" i="8" s="1"/>
  <c r="AM332" i="8" s="1"/>
  <c r="Q332" i="8"/>
  <c r="AK332" i="8" s="1"/>
  <c r="G333" i="8"/>
  <c r="J333" i="8"/>
  <c r="AG333" i="8" s="1"/>
  <c r="U333" i="8"/>
  <c r="X333" i="8"/>
  <c r="AO333" i="8" s="1"/>
  <c r="N334" i="8"/>
  <c r="O334" i="8" s="1"/>
  <c r="AM334" i="8" s="1"/>
  <c r="Q334" i="8"/>
  <c r="AK334" i="8" s="1"/>
  <c r="AG343" i="8"/>
  <c r="G337" i="8"/>
  <c r="J337" i="8"/>
  <c r="AG337" i="8" s="1"/>
  <c r="AO343" i="8"/>
  <c r="U337" i="8"/>
  <c r="X337" i="8"/>
  <c r="AO337" i="8" s="1"/>
  <c r="N338" i="8"/>
  <c r="O338" i="8" s="1"/>
  <c r="AM338" i="8" s="1"/>
  <c r="Q338" i="8"/>
  <c r="AK338" i="8" s="1"/>
  <c r="G339" i="8"/>
  <c r="J339" i="8"/>
  <c r="AG339" i="8" s="1"/>
  <c r="U339" i="8"/>
  <c r="X339" i="8"/>
  <c r="AO339" i="8" s="1"/>
  <c r="N340" i="8"/>
  <c r="O340" i="8" s="1"/>
  <c r="AM340" i="8" s="1"/>
  <c r="Q340" i="8"/>
  <c r="AK340" i="8" s="1"/>
  <c r="G341" i="8"/>
  <c r="J341" i="8"/>
  <c r="AG341" i="8" s="1"/>
  <c r="U341" i="8"/>
  <c r="X341" i="8"/>
  <c r="AO341" i="8" s="1"/>
  <c r="N342" i="8"/>
  <c r="O342" i="8" s="1"/>
  <c r="AM342" i="8" s="1"/>
  <c r="Q342" i="8"/>
  <c r="AK342" i="8" s="1"/>
  <c r="G345" i="8"/>
  <c r="AG351" i="8"/>
  <c r="J345" i="8"/>
  <c r="AG345" i="8" s="1"/>
  <c r="U345" i="8"/>
  <c r="AO351" i="8"/>
  <c r="X345" i="8"/>
  <c r="AO345" i="8" s="1"/>
  <c r="N346" i="8"/>
  <c r="O346" i="8" s="1"/>
  <c r="AM346" i="8" s="1"/>
  <c r="Q346" i="8"/>
  <c r="AK346" i="8" s="1"/>
  <c r="G347" i="8"/>
  <c r="J347" i="8"/>
  <c r="AG347" i="8" s="1"/>
  <c r="U347" i="8"/>
  <c r="X347" i="8"/>
  <c r="AO347" i="8" s="1"/>
  <c r="N348" i="8"/>
  <c r="O348" i="8" s="1"/>
  <c r="AM348" i="8" s="1"/>
  <c r="Q348" i="8"/>
  <c r="AK348" i="8" s="1"/>
  <c r="G349" i="8"/>
  <c r="J349" i="8"/>
  <c r="AG349" i="8" s="1"/>
  <c r="U349" i="8"/>
  <c r="X349" i="8"/>
  <c r="AO349" i="8" s="1"/>
  <c r="N350" i="8"/>
  <c r="O350" i="8" s="1"/>
  <c r="AM350" i="8" s="1"/>
  <c r="Q350" i="8"/>
  <c r="AK350" i="8" s="1"/>
  <c r="G353" i="8"/>
  <c r="AG359" i="8"/>
  <c r="J353" i="8"/>
  <c r="AG353" i="8" s="1"/>
  <c r="AO359" i="8"/>
  <c r="U353" i="8"/>
  <c r="X353" i="8"/>
  <c r="AO353" i="8" s="1"/>
  <c r="N354" i="8"/>
  <c r="O354" i="8" s="1"/>
  <c r="AM354" i="8" s="1"/>
  <c r="Q354" i="8"/>
  <c r="AK354" i="8" s="1"/>
  <c r="G355" i="8"/>
  <c r="J355" i="8"/>
  <c r="AG355" i="8" s="1"/>
  <c r="U355" i="8"/>
  <c r="X355" i="8"/>
  <c r="AO355" i="8" s="1"/>
  <c r="N356" i="8"/>
  <c r="O356" i="8" s="1"/>
  <c r="AM356" i="8" s="1"/>
  <c r="Q356" i="8"/>
  <c r="AK356" i="8" s="1"/>
  <c r="G357" i="8"/>
  <c r="J357" i="8"/>
  <c r="AG357" i="8" s="1"/>
  <c r="U357" i="8"/>
  <c r="X357" i="8"/>
  <c r="AO357" i="8" s="1"/>
  <c r="N358" i="8"/>
  <c r="O358" i="8" s="1"/>
  <c r="AM358" i="8" s="1"/>
  <c r="Q358" i="8"/>
  <c r="AK358" i="8" s="1"/>
  <c r="G361" i="8"/>
  <c r="J361" i="8"/>
  <c r="AG361" i="8" s="1"/>
  <c r="AG367" i="8"/>
  <c r="U361" i="8"/>
  <c r="X361" i="8"/>
  <c r="AO361" i="8" s="1"/>
  <c r="AO367" i="8"/>
  <c r="N362" i="8"/>
  <c r="O362" i="8" s="1"/>
  <c r="AM362" i="8" s="1"/>
  <c r="Q362" i="8"/>
  <c r="AK362" i="8" s="1"/>
  <c r="G363" i="8"/>
  <c r="J363" i="8"/>
  <c r="AG363" i="8" s="1"/>
  <c r="U363" i="8"/>
  <c r="X363" i="8"/>
  <c r="AO363" i="8" s="1"/>
  <c r="N364" i="8"/>
  <c r="O364" i="8" s="1"/>
  <c r="AM364" i="8" s="1"/>
  <c r="Q364" i="8"/>
  <c r="AK364" i="8" s="1"/>
  <c r="G365" i="8"/>
  <c r="J365" i="8"/>
  <c r="AG365" i="8" s="1"/>
  <c r="U365" i="8"/>
  <c r="X365" i="8"/>
  <c r="AO365" i="8" s="1"/>
  <c r="N366" i="8"/>
  <c r="O366" i="8" s="1"/>
  <c r="AM366" i="8" s="1"/>
  <c r="Q366" i="8"/>
  <c r="AK366" i="8" s="1"/>
  <c r="G369" i="8"/>
  <c r="AG375" i="8"/>
  <c r="J369" i="8"/>
  <c r="AG369" i="8" s="1"/>
  <c r="U369" i="8"/>
  <c r="AO375" i="8"/>
  <c r="X369" i="8"/>
  <c r="AO369" i="8" s="1"/>
  <c r="N370" i="8"/>
  <c r="O370" i="8" s="1"/>
  <c r="AM370" i="8" s="1"/>
  <c r="Q370" i="8"/>
  <c r="AK370" i="8" s="1"/>
  <c r="G371" i="8"/>
  <c r="J371" i="8"/>
  <c r="AG371" i="8" s="1"/>
  <c r="U371" i="8"/>
  <c r="X371" i="8"/>
  <c r="AO371" i="8" s="1"/>
  <c r="N372" i="8"/>
  <c r="O372" i="8" s="1"/>
  <c r="AM372" i="8" s="1"/>
  <c r="Q372" i="8"/>
  <c r="AK372" i="8" s="1"/>
  <c r="G373" i="8"/>
  <c r="J373" i="8"/>
  <c r="AG373" i="8" s="1"/>
  <c r="U373" i="8"/>
  <c r="X373" i="8"/>
  <c r="AO373" i="8" s="1"/>
  <c r="N374" i="8"/>
  <c r="O374" i="8" s="1"/>
  <c r="AM374" i="8" s="1"/>
  <c r="Q374" i="8"/>
  <c r="AK374" i="8" s="1"/>
  <c r="AG383" i="8"/>
  <c r="G377" i="8"/>
  <c r="J377" i="8"/>
  <c r="AG377" i="8" s="1"/>
  <c r="AO383" i="8"/>
  <c r="U377" i="8"/>
  <c r="X377" i="8"/>
  <c r="AO377" i="8" s="1"/>
  <c r="N378" i="8"/>
  <c r="O378" i="8" s="1"/>
  <c r="AM378" i="8" s="1"/>
  <c r="Q378" i="8"/>
  <c r="AK378" i="8" s="1"/>
  <c r="G379" i="8"/>
  <c r="J379" i="8"/>
  <c r="AG379" i="8" s="1"/>
  <c r="AH311" i="8"/>
  <c r="L305" i="8"/>
  <c r="AH305" i="8" s="1"/>
  <c r="AP311" i="8"/>
  <c r="Z305" i="8"/>
  <c r="AP305" i="8" s="1"/>
  <c r="S306" i="8"/>
  <c r="AL306" i="8" s="1"/>
  <c r="L307" i="8"/>
  <c r="AH307" i="8" s="1"/>
  <c r="Z307" i="8"/>
  <c r="AP307" i="8" s="1"/>
  <c r="S308" i="8"/>
  <c r="AL308" i="8" s="1"/>
  <c r="L309" i="8"/>
  <c r="AH309" i="8" s="1"/>
  <c r="Z309" i="8"/>
  <c r="AP309" i="8" s="1"/>
  <c r="S310" i="8"/>
  <c r="AL310" i="8" s="1"/>
  <c r="AH319" i="8"/>
  <c r="L313" i="8"/>
  <c r="AH313" i="8" s="1"/>
  <c r="AP319" i="8"/>
  <c r="Z313" i="8"/>
  <c r="AP313" i="8" s="1"/>
  <c r="S314" i="8"/>
  <c r="AL314" i="8" s="1"/>
  <c r="L315" i="8"/>
  <c r="AH315" i="8" s="1"/>
  <c r="Z315" i="8"/>
  <c r="AP315" i="8" s="1"/>
  <c r="S316" i="8"/>
  <c r="AL316" i="8" s="1"/>
  <c r="L317" i="8"/>
  <c r="AH317" i="8" s="1"/>
  <c r="Z317" i="8"/>
  <c r="AP317" i="8" s="1"/>
  <c r="S318" i="8"/>
  <c r="AL318" i="8" s="1"/>
  <c r="AH327" i="8"/>
  <c r="L321" i="8"/>
  <c r="AH321" i="8" s="1"/>
  <c r="AP327" i="8"/>
  <c r="Z321" i="8"/>
  <c r="AP321" i="8" s="1"/>
  <c r="S322" i="8"/>
  <c r="AL322" i="8" s="1"/>
  <c r="L323" i="8"/>
  <c r="AH323" i="8" s="1"/>
  <c r="Z323" i="8"/>
  <c r="AP323" i="8" s="1"/>
  <c r="S324" i="8"/>
  <c r="AL324" i="8" s="1"/>
  <c r="L325" i="8"/>
  <c r="AH325" i="8" s="1"/>
  <c r="Z325" i="8"/>
  <c r="AP325" i="8" s="1"/>
  <c r="S326" i="8"/>
  <c r="AL326" i="8" s="1"/>
  <c r="AH335" i="8"/>
  <c r="L329" i="8"/>
  <c r="AH329" i="8" s="1"/>
  <c r="AP335" i="8"/>
  <c r="Z329" i="8"/>
  <c r="AP329" i="8" s="1"/>
  <c r="S330" i="8"/>
  <c r="AL330" i="8" s="1"/>
  <c r="L331" i="8"/>
  <c r="AH331" i="8" s="1"/>
  <c r="Z331" i="8"/>
  <c r="AP331" i="8" s="1"/>
  <c r="S332" i="8"/>
  <c r="AL332" i="8" s="1"/>
  <c r="L333" i="8"/>
  <c r="AH333" i="8" s="1"/>
  <c r="Z333" i="8"/>
  <c r="AP333" i="8" s="1"/>
  <c r="S334" i="8"/>
  <c r="AL334" i="8" s="1"/>
  <c r="AH343" i="8"/>
  <c r="L337" i="8"/>
  <c r="AH337" i="8" s="1"/>
  <c r="AP343" i="8"/>
  <c r="Z337" i="8"/>
  <c r="AP337" i="8" s="1"/>
  <c r="S338" i="8"/>
  <c r="AL338" i="8" s="1"/>
  <c r="L339" i="8"/>
  <c r="AH339" i="8" s="1"/>
  <c r="Z339" i="8"/>
  <c r="AP339" i="8" s="1"/>
  <c r="S340" i="8"/>
  <c r="AL340" i="8" s="1"/>
  <c r="L341" i="8"/>
  <c r="AH341" i="8" s="1"/>
  <c r="Z341" i="8"/>
  <c r="AP341" i="8" s="1"/>
  <c r="S342" i="8"/>
  <c r="AL342" i="8" s="1"/>
  <c r="AH351" i="8"/>
  <c r="L345" i="8"/>
  <c r="AH345" i="8" s="1"/>
  <c r="AP351" i="8"/>
  <c r="Z345" i="8"/>
  <c r="AP345" i="8" s="1"/>
  <c r="S346" i="8"/>
  <c r="AL346" i="8" s="1"/>
  <c r="L347" i="8"/>
  <c r="AH347" i="8" s="1"/>
  <c r="Z347" i="8"/>
  <c r="AP347" i="8" s="1"/>
  <c r="S348" i="8"/>
  <c r="AL348" i="8" s="1"/>
  <c r="L349" i="8"/>
  <c r="AH349" i="8" s="1"/>
  <c r="Z349" i="8"/>
  <c r="AP349" i="8" s="1"/>
  <c r="S350" i="8"/>
  <c r="AL350" i="8" s="1"/>
  <c r="L353" i="8"/>
  <c r="AH353" i="8" s="1"/>
  <c r="AH359" i="8"/>
  <c r="Z353" i="8"/>
  <c r="AP353" i="8" s="1"/>
  <c r="AP359" i="8"/>
  <c r="S354" i="8"/>
  <c r="AL354" i="8" s="1"/>
  <c r="L355" i="8"/>
  <c r="AH355" i="8" s="1"/>
  <c r="Z355" i="8"/>
  <c r="AP355" i="8" s="1"/>
  <c r="S356" i="8"/>
  <c r="AL356" i="8" s="1"/>
  <c r="L357" i="8"/>
  <c r="AH357" i="8" s="1"/>
  <c r="Z357" i="8"/>
  <c r="AP357" i="8" s="1"/>
  <c r="S358" i="8"/>
  <c r="AL358" i="8" s="1"/>
  <c r="AH367" i="8"/>
  <c r="L361" i="8"/>
  <c r="AH361" i="8" s="1"/>
  <c r="Z361" i="8"/>
  <c r="AP361" i="8" s="1"/>
  <c r="AP367" i="8"/>
  <c r="S362" i="8"/>
  <c r="AL362" i="8" s="1"/>
  <c r="L363" i="8"/>
  <c r="AH363" i="8" s="1"/>
  <c r="Z363" i="8"/>
  <c r="AP363" i="8" s="1"/>
  <c r="S364" i="8"/>
  <c r="AL364" i="8" s="1"/>
  <c r="L365" i="8"/>
  <c r="AH365" i="8" s="1"/>
  <c r="Z365" i="8"/>
  <c r="AP365" i="8" s="1"/>
  <c r="S366" i="8"/>
  <c r="AL366" i="8" s="1"/>
  <c r="AH375" i="8"/>
  <c r="L369" i="8"/>
  <c r="AH369" i="8" s="1"/>
  <c r="AP375" i="8"/>
  <c r="Z369" i="8"/>
  <c r="AP369" i="8" s="1"/>
  <c r="S370" i="8"/>
  <c r="AL370" i="8" s="1"/>
  <c r="L371" i="8"/>
  <c r="AH371" i="8" s="1"/>
  <c r="Z371" i="8"/>
  <c r="AP371" i="8" s="1"/>
  <c r="S372" i="8"/>
  <c r="AL372" i="8" s="1"/>
  <c r="L373" i="8"/>
  <c r="AH373" i="8" s="1"/>
  <c r="Z373" i="8"/>
  <c r="AP373" i="8" s="1"/>
  <c r="S374" i="8"/>
  <c r="AL374" i="8" s="1"/>
  <c r="AH383" i="8"/>
  <c r="L377" i="8"/>
  <c r="AH377" i="8" s="1"/>
  <c r="AP383" i="8"/>
  <c r="Z377" i="8"/>
  <c r="AP377" i="8" s="1"/>
  <c r="S378" i="8"/>
  <c r="AL378" i="8" s="1"/>
  <c r="L379" i="8"/>
  <c r="AH379" i="8" s="1"/>
  <c r="Z379" i="8"/>
  <c r="AP379" i="8" s="1"/>
  <c r="S380" i="8"/>
  <c r="AL380" i="8" s="1"/>
  <c r="L381" i="8"/>
  <c r="AH381" i="8" s="1"/>
  <c r="Z381" i="8"/>
  <c r="AP381" i="8" s="1"/>
  <c r="S382" i="8"/>
  <c r="AL382" i="8" s="1"/>
  <c r="L386" i="8"/>
  <c r="AH386" i="8" s="1"/>
  <c r="Z386" i="8"/>
  <c r="AP386" i="8" s="1"/>
  <c r="S387" i="8"/>
  <c r="AL387" i="8" s="1"/>
  <c r="L388" i="8"/>
  <c r="AH388" i="8" s="1"/>
  <c r="Z388" i="8"/>
  <c r="AP388" i="8" s="1"/>
  <c r="S389" i="8"/>
  <c r="AL389" i="8" s="1"/>
  <c r="L390" i="8"/>
  <c r="AH390" i="8" s="1"/>
  <c r="Z390" i="8"/>
  <c r="AP390" i="8" s="1"/>
  <c r="S391" i="8"/>
  <c r="AL391" i="8" s="1"/>
  <c r="L392" i="8"/>
  <c r="AH392" i="8" s="1"/>
  <c r="Z392" i="8"/>
  <c r="AP392" i="8" s="1"/>
  <c r="S393" i="8"/>
  <c r="AL393" i="8" s="1"/>
  <c r="L394" i="8"/>
  <c r="AH394" i="8" s="1"/>
  <c r="Z394" i="8"/>
  <c r="AP394" i="8" s="1"/>
  <c r="S397" i="8"/>
  <c r="AL397" i="8" s="1"/>
  <c r="L398" i="8"/>
  <c r="AH398" i="8" s="1"/>
  <c r="Z398" i="8"/>
  <c r="AP398" i="8" s="1"/>
  <c r="S399" i="8"/>
  <c r="AL399" i="8" s="1"/>
  <c r="L400" i="8"/>
  <c r="AH400" i="8" s="1"/>
  <c r="Z400" i="8"/>
  <c r="AP400" i="8" s="1"/>
  <c r="S401" i="8"/>
  <c r="AL401" i="8" s="1"/>
  <c r="L402" i="8"/>
  <c r="AH402" i="8" s="1"/>
  <c r="Z402" i="8"/>
  <c r="AP402" i="8" s="1"/>
  <c r="S403" i="8"/>
  <c r="AL403" i="8" s="1"/>
  <c r="L404" i="8"/>
  <c r="AH404" i="8" s="1"/>
  <c r="Z404" i="8"/>
  <c r="AP404" i="8" s="1"/>
  <c r="S407" i="8"/>
  <c r="AL407" i="8" s="1"/>
  <c r="L408" i="8"/>
  <c r="AH408" i="8" s="1"/>
  <c r="Z408" i="8"/>
  <c r="AP408" i="8" s="1"/>
  <c r="S409" i="8"/>
  <c r="AL409" i="8" s="1"/>
  <c r="L410" i="8"/>
  <c r="AH410" i="8" s="1"/>
  <c r="Z410" i="8"/>
  <c r="AP410" i="8" s="1"/>
  <c r="S411" i="8"/>
  <c r="AL411" i="8" s="1"/>
  <c r="L414" i="8"/>
  <c r="AH414" i="8" s="1"/>
  <c r="Z414" i="8"/>
  <c r="AP414" i="8" s="1"/>
  <c r="S415" i="8"/>
  <c r="AL415" i="8" s="1"/>
  <c r="L416" i="8"/>
  <c r="AH416" i="8" s="1"/>
  <c r="N379" i="8"/>
  <c r="Q379" i="8"/>
  <c r="AK379" i="8" s="1"/>
  <c r="G380" i="8"/>
  <c r="J380" i="8"/>
  <c r="AG380" i="8" s="1"/>
  <c r="U380" i="8"/>
  <c r="V380" i="8" s="1"/>
  <c r="AQ380" i="8" s="1"/>
  <c r="X380" i="8"/>
  <c r="AO380" i="8" s="1"/>
  <c r="N381" i="8"/>
  <c r="Q381" i="8"/>
  <c r="AK381" i="8" s="1"/>
  <c r="G382" i="8"/>
  <c r="J382" i="8"/>
  <c r="AG382" i="8" s="1"/>
  <c r="U382" i="8"/>
  <c r="V382" i="8" s="1"/>
  <c r="AQ382" i="8" s="1"/>
  <c r="X382" i="8"/>
  <c r="AO382" i="8" s="1"/>
  <c r="N386" i="8"/>
  <c r="Q386" i="8"/>
  <c r="AK386" i="8" s="1"/>
  <c r="G387" i="8"/>
  <c r="J387" i="8"/>
  <c r="AG387" i="8" s="1"/>
  <c r="U387" i="8"/>
  <c r="V387" i="8" s="1"/>
  <c r="AQ387" i="8" s="1"/>
  <c r="X387" i="8"/>
  <c r="AO387" i="8" s="1"/>
  <c r="N388" i="8"/>
  <c r="Q388" i="8"/>
  <c r="AK388" i="8" s="1"/>
  <c r="G389" i="8"/>
  <c r="J389" i="8"/>
  <c r="AG389" i="8" s="1"/>
  <c r="U389" i="8"/>
  <c r="V389" i="8" s="1"/>
  <c r="AQ389" i="8" s="1"/>
  <c r="X389" i="8"/>
  <c r="AO389" i="8" s="1"/>
  <c r="N390" i="8"/>
  <c r="Q390" i="8"/>
  <c r="AK390" i="8" s="1"/>
  <c r="G391" i="8"/>
  <c r="J391" i="8"/>
  <c r="AG391" i="8" s="1"/>
  <c r="U391" i="8"/>
  <c r="V391" i="8" s="1"/>
  <c r="AQ391" i="8" s="1"/>
  <c r="X391" i="8"/>
  <c r="AO391" i="8" s="1"/>
  <c r="N392" i="8"/>
  <c r="Q392" i="8"/>
  <c r="AK392" i="8" s="1"/>
  <c r="G393" i="8"/>
  <c r="J393" i="8"/>
  <c r="AG393" i="8" s="1"/>
  <c r="U393" i="8"/>
  <c r="V393" i="8" s="1"/>
  <c r="AQ393" i="8" s="1"/>
  <c r="X393" i="8"/>
  <c r="AO393" i="8" s="1"/>
  <c r="N394" i="8"/>
  <c r="Q394" i="8"/>
  <c r="AK394" i="8" s="1"/>
  <c r="G397" i="8"/>
  <c r="J397" i="8"/>
  <c r="AG397" i="8" s="1"/>
  <c r="U397" i="8"/>
  <c r="V397" i="8" s="1"/>
  <c r="AQ397" i="8" s="1"/>
  <c r="X397" i="8"/>
  <c r="AO397" i="8" s="1"/>
  <c r="N398" i="8"/>
  <c r="Q398" i="8"/>
  <c r="AK398" i="8" s="1"/>
  <c r="G399" i="8"/>
  <c r="J399" i="8"/>
  <c r="AG399" i="8" s="1"/>
  <c r="U399" i="8"/>
  <c r="V399" i="8" s="1"/>
  <c r="AQ399" i="8" s="1"/>
  <c r="X399" i="8"/>
  <c r="AO399" i="8" s="1"/>
  <c r="N400" i="8"/>
  <c r="Q400" i="8"/>
  <c r="AK400" i="8" s="1"/>
  <c r="G401" i="8"/>
  <c r="J401" i="8"/>
  <c r="AG401" i="8" s="1"/>
  <c r="U401" i="8"/>
  <c r="V401" i="8" s="1"/>
  <c r="AQ401" i="8" s="1"/>
  <c r="X401" i="8"/>
  <c r="AO401" i="8" s="1"/>
  <c r="N402" i="8"/>
  <c r="Q402" i="8"/>
  <c r="AK402" i="8" s="1"/>
  <c r="G403" i="8"/>
  <c r="J403" i="8"/>
  <c r="AG403" i="8" s="1"/>
  <c r="U403" i="8"/>
  <c r="V403" i="8" s="1"/>
  <c r="AQ403" i="8" s="1"/>
  <c r="X403" i="8"/>
  <c r="AO403" i="8" s="1"/>
  <c r="N404" i="8"/>
  <c r="Q404" i="8"/>
  <c r="AK404" i="8" s="1"/>
  <c r="G407" i="8"/>
  <c r="J407" i="8"/>
  <c r="AG407" i="8" s="1"/>
  <c r="U407" i="8"/>
  <c r="V407" i="8" s="1"/>
  <c r="AQ407" i="8" s="1"/>
  <c r="X407" i="8"/>
  <c r="AO407" i="8" s="1"/>
  <c r="N408" i="8"/>
  <c r="Q408" i="8"/>
  <c r="AK408" i="8" s="1"/>
  <c r="G409" i="8"/>
  <c r="J409" i="8"/>
  <c r="AG409" i="8" s="1"/>
  <c r="U409" i="8"/>
  <c r="V409" i="8" s="1"/>
  <c r="AQ409" i="8" s="1"/>
  <c r="X409" i="8"/>
  <c r="AO409" i="8" s="1"/>
  <c r="N410" i="8"/>
  <c r="Q410" i="8"/>
  <c r="AK410" i="8" s="1"/>
  <c r="G411" i="8"/>
  <c r="J411" i="8"/>
  <c r="AG411" i="8" s="1"/>
  <c r="U411" i="8"/>
  <c r="V411" i="8" s="1"/>
  <c r="AQ411" i="8" s="1"/>
  <c r="X411" i="8"/>
  <c r="AO411" i="8" s="1"/>
  <c r="N414" i="8"/>
  <c r="Q414" i="8"/>
  <c r="AK414" i="8" s="1"/>
  <c r="G415" i="8"/>
  <c r="J415" i="8"/>
  <c r="AG415" i="8" s="1"/>
  <c r="U415" i="8"/>
  <c r="V415" i="8" s="1"/>
  <c r="AQ415" i="8" s="1"/>
  <c r="X415" i="8"/>
  <c r="AO415" i="8" s="1"/>
  <c r="N416" i="8"/>
  <c r="Q416" i="8"/>
  <c r="AK416" i="8" s="1"/>
  <c r="J417" i="8"/>
  <c r="AG417" i="8" s="1"/>
  <c r="G417" i="8"/>
  <c r="U417" i="8"/>
  <c r="V417" i="8" s="1"/>
  <c r="AQ417" i="8" s="1"/>
  <c r="X417" i="8"/>
  <c r="AO417" i="8" s="1"/>
  <c r="N420" i="8"/>
  <c r="Q420" i="8"/>
  <c r="AK420" i="8" s="1"/>
  <c r="G421" i="8"/>
  <c r="J421" i="8"/>
  <c r="AG421" i="8" s="1"/>
  <c r="U421" i="8"/>
  <c r="V421" i="8" s="1"/>
  <c r="AQ421" i="8" s="1"/>
  <c r="X421" i="8"/>
  <c r="AO421" i="8" s="1"/>
  <c r="N422" i="8"/>
  <c r="Q422" i="8"/>
  <c r="AK422" i="8" s="1"/>
  <c r="G423" i="8"/>
  <c r="J423" i="8"/>
  <c r="AG423" i="8" s="1"/>
  <c r="U423" i="8"/>
  <c r="V423" i="8" s="1"/>
  <c r="AQ423" i="8" s="1"/>
  <c r="X423" i="8"/>
  <c r="AO423" i="8" s="1"/>
  <c r="N424" i="8"/>
  <c r="Q424" i="8"/>
  <c r="AK424" i="8" s="1"/>
  <c r="G425" i="8"/>
  <c r="J425" i="8"/>
  <c r="AG425" i="8" s="1"/>
  <c r="U425" i="8"/>
  <c r="V425" i="8" s="1"/>
  <c r="AQ425" i="8" s="1"/>
  <c r="X425" i="8"/>
  <c r="AO425" i="8" s="1"/>
  <c r="N428" i="8"/>
  <c r="Q428" i="8"/>
  <c r="G429" i="8"/>
  <c r="J429" i="8"/>
  <c r="AG429" i="8" s="1"/>
  <c r="U429" i="8"/>
  <c r="V429" i="8" s="1"/>
  <c r="AQ429" i="8" s="1"/>
  <c r="X429" i="8"/>
  <c r="AO429" i="8" s="1"/>
  <c r="N430" i="8"/>
  <c r="Q430" i="8"/>
  <c r="AK430" i="8" s="1"/>
  <c r="G431" i="8"/>
  <c r="J431" i="8"/>
  <c r="AG431" i="8" s="1"/>
  <c r="U431" i="8"/>
  <c r="V431" i="8" s="1"/>
  <c r="AQ431" i="8" s="1"/>
  <c r="X431" i="8"/>
  <c r="AO431" i="8" s="1"/>
  <c r="N432" i="8"/>
  <c r="Q432" i="8"/>
  <c r="AK432" i="8" s="1"/>
  <c r="G435" i="8"/>
  <c r="J435" i="8"/>
  <c r="AG435" i="8" s="1"/>
  <c r="U435" i="8"/>
  <c r="V435" i="8" s="1"/>
  <c r="AQ435" i="8" s="1"/>
  <c r="X435" i="8"/>
  <c r="AO435" i="8" s="1"/>
  <c r="N436" i="8"/>
  <c r="Q436" i="8"/>
  <c r="AK436" i="8" s="1"/>
  <c r="G437" i="8"/>
  <c r="J437" i="8"/>
  <c r="AG437" i="8" s="1"/>
  <c r="U437" i="8"/>
  <c r="V437" i="8" s="1"/>
  <c r="AQ437" i="8" s="1"/>
  <c r="X437" i="8"/>
  <c r="AO437" i="8" s="1"/>
  <c r="N438" i="8"/>
  <c r="Q438" i="8"/>
  <c r="AK438" i="8" s="1"/>
  <c r="G439" i="8"/>
  <c r="AG440" i="8"/>
  <c r="J439" i="8"/>
  <c r="AG439" i="8" s="1"/>
  <c r="U439" i="8"/>
  <c r="AO440" i="8"/>
  <c r="X439" i="8"/>
  <c r="AO439" i="8" s="1"/>
  <c r="N442" i="8"/>
  <c r="Q442" i="8"/>
  <c r="AK442" i="8" s="1"/>
  <c r="G443" i="8"/>
  <c r="J443" i="8"/>
  <c r="AG443" i="8" s="1"/>
  <c r="U443" i="8"/>
  <c r="V443" i="8" s="1"/>
  <c r="AQ443" i="8" s="1"/>
  <c r="X443" i="8"/>
  <c r="AO443" i="8" s="1"/>
  <c r="N444" i="8"/>
  <c r="Q444" i="8"/>
  <c r="AK444" i="8" s="1"/>
  <c r="G445" i="8"/>
  <c r="J445" i="8"/>
  <c r="AG445" i="8" s="1"/>
  <c r="U445" i="8"/>
  <c r="V445" i="8" s="1"/>
  <c r="AQ445" i="8" s="1"/>
  <c r="X445" i="8"/>
  <c r="AO445" i="8" s="1"/>
  <c r="N446" i="8"/>
  <c r="Q446" i="8"/>
  <c r="AK446" i="8" s="1"/>
  <c r="G447" i="8"/>
  <c r="J447" i="8"/>
  <c r="AG447" i="8" s="1"/>
  <c r="U447" i="8"/>
  <c r="V447" i="8" s="1"/>
  <c r="AQ447" i="8" s="1"/>
  <c r="X447" i="8"/>
  <c r="AO447" i="8" s="1"/>
  <c r="N448" i="8"/>
  <c r="Q448" i="8"/>
  <c r="AK448" i="8" s="1"/>
  <c r="G449" i="8"/>
  <c r="J449" i="8"/>
  <c r="AG449" i="8" s="1"/>
  <c r="U449" i="8"/>
  <c r="V449" i="8" s="1"/>
  <c r="AQ449" i="8" s="1"/>
  <c r="X449" i="8"/>
  <c r="AO449" i="8" s="1"/>
  <c r="N450" i="8"/>
  <c r="Q450" i="8"/>
  <c r="AK450" i="8" s="1"/>
  <c r="G451" i="8"/>
  <c r="J451" i="8"/>
  <c r="AG451" i="8" s="1"/>
  <c r="U451" i="8"/>
  <c r="V451" i="8" s="1"/>
  <c r="AQ451" i="8" s="1"/>
  <c r="X451" i="8"/>
  <c r="AO451" i="8" s="1"/>
  <c r="N452" i="8"/>
  <c r="Q452" i="8"/>
  <c r="AK452" i="8" s="1"/>
  <c r="Z416" i="8"/>
  <c r="AP416" i="8" s="1"/>
  <c r="S417" i="8"/>
  <c r="AL417" i="8" s="1"/>
  <c r="L420" i="8"/>
  <c r="AH420" i="8" s="1"/>
  <c r="Z420" i="8"/>
  <c r="AP420" i="8" s="1"/>
  <c r="S421" i="8"/>
  <c r="AL421" i="8" s="1"/>
  <c r="L422" i="8"/>
  <c r="AH422" i="8" s="1"/>
  <c r="Z422" i="8"/>
  <c r="AP422" i="8" s="1"/>
  <c r="S423" i="8"/>
  <c r="AL423" i="8" s="1"/>
  <c r="L424" i="8"/>
  <c r="AH424" i="8" s="1"/>
  <c r="Z424" i="8"/>
  <c r="AP424" i="8" s="1"/>
  <c r="S425" i="8"/>
  <c r="AL425" i="8" s="1"/>
  <c r="L428" i="8"/>
  <c r="AH428" i="8" s="1"/>
  <c r="AH433" i="8"/>
  <c r="AP433" i="8"/>
  <c r="Z428" i="8"/>
  <c r="AP428" i="8" s="1"/>
  <c r="S429" i="8"/>
  <c r="AL429" i="8" s="1"/>
  <c r="L430" i="8"/>
  <c r="AH430" i="8" s="1"/>
  <c r="Z430" i="8"/>
  <c r="AP430" i="8" s="1"/>
  <c r="S431" i="8"/>
  <c r="AL431" i="8" s="1"/>
  <c r="L432" i="8"/>
  <c r="AH432" i="8" s="1"/>
  <c r="Z432" i="8"/>
  <c r="AP432" i="8" s="1"/>
  <c r="S435" i="8"/>
  <c r="AL435" i="8" s="1"/>
  <c r="L436" i="8"/>
  <c r="AH436" i="8" s="1"/>
  <c r="Z436" i="8"/>
  <c r="AP436" i="8" s="1"/>
  <c r="S437" i="8"/>
  <c r="AL437" i="8" s="1"/>
  <c r="L438" i="8"/>
  <c r="AH438" i="8" s="1"/>
  <c r="Z438" i="8"/>
  <c r="AP438" i="8" s="1"/>
  <c r="S439" i="8"/>
  <c r="L442" i="8"/>
  <c r="AH442" i="8" s="1"/>
  <c r="Z442" i="8"/>
  <c r="AP442" i="8" s="1"/>
  <c r="S443" i="8"/>
  <c r="AL443" i="8" s="1"/>
  <c r="L444" i="8"/>
  <c r="AH444" i="8" s="1"/>
  <c r="Z444" i="8"/>
  <c r="AP444" i="8" s="1"/>
  <c r="S445" i="8"/>
  <c r="AL445" i="8" s="1"/>
  <c r="L446" i="8"/>
  <c r="AH446" i="8" s="1"/>
  <c r="Z446" i="8"/>
  <c r="AP446" i="8" s="1"/>
  <c r="S447" i="8"/>
  <c r="AL447" i="8" s="1"/>
  <c r="L448" i="8"/>
  <c r="AH448" i="8" s="1"/>
  <c r="Z448" i="8"/>
  <c r="AP448" i="8" s="1"/>
  <c r="S449" i="8"/>
  <c r="AL449" i="8" s="1"/>
  <c r="L450" i="8"/>
  <c r="AH450" i="8" s="1"/>
  <c r="Z450" i="8"/>
  <c r="AP450" i="8" s="1"/>
  <c r="S451" i="8"/>
  <c r="AL451" i="8" s="1"/>
  <c r="L452" i="8"/>
  <c r="AH452" i="8" s="1"/>
  <c r="Z452" i="8"/>
  <c r="AP452" i="8" s="1"/>
  <c r="S18" i="5"/>
  <c r="AL18" i="5" s="1"/>
  <c r="S26" i="5"/>
  <c r="AL26" i="5" s="1"/>
  <c r="S33" i="5"/>
  <c r="AL33" i="5" s="1"/>
  <c r="S40" i="5"/>
  <c r="AL40" i="5" s="1"/>
  <c r="S54" i="5"/>
  <c r="AL54" i="5" s="1"/>
  <c r="S58" i="5"/>
  <c r="AL58" i="5" s="1"/>
  <c r="S62" i="5"/>
  <c r="AL62" i="5" s="1"/>
  <c r="S69" i="5"/>
  <c r="AL69" i="5" s="1"/>
  <c r="S73" i="5"/>
  <c r="AL73" i="5" s="1"/>
  <c r="S81" i="5"/>
  <c r="AL81" i="5" s="1"/>
  <c r="S85" i="5"/>
  <c r="AL85" i="5" s="1"/>
  <c r="S92" i="5"/>
  <c r="AL92" i="5" s="1"/>
  <c r="S96" i="5"/>
  <c r="AL96" i="5" s="1"/>
  <c r="S130" i="5"/>
  <c r="AL130" i="5" s="1"/>
  <c r="S131" i="5"/>
  <c r="AL131" i="5" s="1"/>
  <c r="S133" i="5"/>
  <c r="AL133" i="5" s="1"/>
  <c r="S135" i="5"/>
  <c r="AL135" i="5" s="1"/>
  <c r="S137" i="5"/>
  <c r="AL137" i="5" s="1"/>
  <c r="S139" i="5"/>
  <c r="AL139" i="5" s="1"/>
  <c r="S146" i="5"/>
  <c r="AL146" i="5" s="1"/>
  <c r="S153" i="5"/>
  <c r="AL153" i="5" s="1"/>
  <c r="S155" i="5"/>
  <c r="AL155" i="5" s="1"/>
  <c r="S157" i="5"/>
  <c r="AL157" i="5" s="1"/>
  <c r="S159" i="5"/>
  <c r="AL159" i="5" s="1"/>
  <c r="S161" i="5"/>
  <c r="AL161" i="5" s="1"/>
  <c r="S163" i="5"/>
  <c r="AL163" i="5" s="1"/>
  <c r="S168" i="5"/>
  <c r="AL168" i="5" s="1"/>
  <c r="S170" i="5"/>
  <c r="AL170" i="5" s="1"/>
  <c r="S175" i="5"/>
  <c r="AL175" i="5" s="1"/>
  <c r="S177" i="5"/>
  <c r="AL177" i="5" s="1"/>
  <c r="S182" i="5"/>
  <c r="AL182" i="5" s="1"/>
  <c r="S184" i="5"/>
  <c r="AL184" i="5" s="1"/>
  <c r="S186" i="5"/>
  <c r="AL186" i="5" s="1"/>
  <c r="S188" i="5"/>
  <c r="AL188" i="5" s="1"/>
  <c r="S190" i="5"/>
  <c r="AL190" i="5" s="1"/>
  <c r="S196" i="5"/>
  <c r="AL196" i="5" s="1"/>
  <c r="S198" i="5"/>
  <c r="AL198" i="5" s="1"/>
  <c r="S203" i="5"/>
  <c r="AL203" i="5" s="1"/>
  <c r="S205" i="5"/>
  <c r="AL205" i="5" s="1"/>
  <c r="S210" i="5"/>
  <c r="AL210" i="5" s="1"/>
  <c r="S215" i="5"/>
  <c r="AL215" i="5" s="1"/>
  <c r="S217" i="5"/>
  <c r="AL217" i="5" s="1"/>
  <c r="S223" i="5"/>
  <c r="AL223" i="5" s="1"/>
  <c r="S225" i="5"/>
  <c r="AL225" i="5" s="1"/>
  <c r="S227" i="5"/>
  <c r="AL227" i="5" s="1"/>
  <c r="S229" i="5"/>
  <c r="AL229" i="5" s="1"/>
  <c r="S231" i="5"/>
  <c r="AL231" i="5" s="1"/>
  <c r="S236" i="5"/>
  <c r="AL236" i="5" s="1"/>
  <c r="S238" i="5"/>
  <c r="AL238" i="5" s="1"/>
  <c r="S240" i="5"/>
  <c r="AL240" i="5" s="1"/>
  <c r="S247" i="5"/>
  <c r="AL247" i="5" s="1"/>
  <c r="S252" i="5"/>
  <c r="AL252" i="5" s="1"/>
  <c r="S254" i="5"/>
  <c r="AL254" i="5" s="1"/>
  <c r="S256" i="5"/>
  <c r="AL256" i="5" s="1"/>
  <c r="S258" i="5"/>
  <c r="AL258" i="5" s="1"/>
  <c r="S260" i="5"/>
  <c r="AL260" i="5" s="1"/>
  <c r="S265" i="5"/>
  <c r="AL265" i="5" s="1"/>
  <c r="S267" i="5"/>
  <c r="AL267" i="5" s="1"/>
  <c r="S269" i="5"/>
  <c r="AL269" i="5" s="1"/>
  <c r="S274" i="5"/>
  <c r="AL274" i="5" s="1"/>
  <c r="S276" i="5"/>
  <c r="AL276" i="5" s="1"/>
  <c r="S278" i="5"/>
  <c r="AL278" i="5" s="1"/>
  <c r="S280" i="5"/>
  <c r="AL280" i="5" s="1"/>
  <c r="S282" i="5"/>
  <c r="AL282" i="5" s="1"/>
  <c r="S284" i="5"/>
  <c r="AL284" i="5" s="1"/>
  <c r="S286" i="5"/>
  <c r="AL286" i="5" s="1"/>
  <c r="S291" i="5"/>
  <c r="S293" i="5"/>
  <c r="AL293" i="5" s="1"/>
  <c r="S305" i="5"/>
  <c r="S307" i="5"/>
  <c r="AL307" i="5" s="1"/>
  <c r="S309" i="5"/>
  <c r="AL309" i="5" s="1"/>
  <c r="S313" i="5"/>
  <c r="AL313" i="5" s="1"/>
  <c r="S315" i="5"/>
  <c r="S317" i="5"/>
  <c r="AL317" i="5" s="1"/>
  <c r="S321" i="5"/>
  <c r="S323" i="5"/>
  <c r="AL323" i="5" s="1"/>
  <c r="S325" i="5"/>
  <c r="AL325" i="5" s="1"/>
  <c r="S329" i="5"/>
  <c r="AL329" i="5" s="1"/>
  <c r="S331" i="5"/>
  <c r="AL331" i="5" s="1"/>
  <c r="S333" i="5"/>
  <c r="AL333" i="5" s="1"/>
  <c r="S337" i="5"/>
  <c r="S339" i="5"/>
  <c r="AL339" i="5" s="1"/>
  <c r="S341" i="5"/>
  <c r="AL341" i="5" s="1"/>
  <c r="S345" i="5"/>
  <c r="AL345" i="5" s="1"/>
  <c r="S347" i="5"/>
  <c r="AL347" i="5" s="1"/>
  <c r="S349" i="5"/>
  <c r="AL349" i="5" s="1"/>
  <c r="S353" i="5"/>
  <c r="AL353" i="5" s="1"/>
  <c r="S355" i="5"/>
  <c r="AL355" i="5" s="1"/>
  <c r="S357" i="5"/>
  <c r="AL357" i="5" s="1"/>
  <c r="S361" i="5"/>
  <c r="AL361" i="5" s="1"/>
  <c r="S363" i="5"/>
  <c r="S365" i="5"/>
  <c r="AL365" i="5" s="1"/>
  <c r="S369" i="5"/>
  <c r="AL369" i="5" s="1"/>
  <c r="S371" i="5"/>
  <c r="AL371" i="5" s="1"/>
  <c r="S373" i="5"/>
  <c r="AL373" i="5" s="1"/>
  <c r="S377" i="5"/>
  <c r="S379" i="5"/>
  <c r="AL379" i="5" s="1"/>
  <c r="S381" i="5"/>
  <c r="AL381" i="5" s="1"/>
  <c r="S386" i="5"/>
  <c r="AL386" i="5" s="1"/>
  <c r="S388" i="5"/>
  <c r="AL388" i="5" s="1"/>
  <c r="S390" i="5"/>
  <c r="AL390" i="5" s="1"/>
  <c r="S392" i="5"/>
  <c r="AL392" i="5" s="1"/>
  <c r="S394" i="5"/>
  <c r="AL394" i="5" s="1"/>
  <c r="S398" i="5"/>
  <c r="AL398" i="5" s="1"/>
  <c r="S400" i="5"/>
  <c r="AL400" i="5" s="1"/>
  <c r="S402" i="5"/>
  <c r="AL402" i="5" s="1"/>
  <c r="S404" i="5"/>
  <c r="AL404" i="5" s="1"/>
  <c r="S408" i="5"/>
  <c r="AL408" i="5" s="1"/>
  <c r="S410" i="5"/>
  <c r="AL410" i="5" s="1"/>
  <c r="S414" i="5"/>
  <c r="AL414" i="5" s="1"/>
  <c r="S416" i="5"/>
  <c r="AL416" i="5" s="1"/>
  <c r="L17" i="6"/>
  <c r="AH17" i="6" s="1"/>
  <c r="L112" i="6"/>
  <c r="AH112" i="6" s="1"/>
  <c r="L114" i="6"/>
  <c r="AH114" i="6" s="1"/>
  <c r="L145" i="6"/>
  <c r="AH145" i="6" s="1"/>
  <c r="L147" i="6"/>
  <c r="AH147" i="6" s="1"/>
  <c r="L176" i="6"/>
  <c r="AH176" i="6" s="1"/>
  <c r="L178" i="6"/>
  <c r="AH178" i="6" s="1"/>
  <c r="L195" i="6"/>
  <c r="AH195" i="6" s="1"/>
  <c r="L197" i="6"/>
  <c r="AH197" i="6" s="1"/>
  <c r="L209" i="6"/>
  <c r="AH209" i="6" s="1"/>
  <c r="L211" i="6"/>
  <c r="AH211" i="6" s="1"/>
  <c r="L236" i="6"/>
  <c r="AH236" i="6" s="1"/>
  <c r="L238" i="6"/>
  <c r="AH238" i="6" s="1"/>
  <c r="L240" i="6"/>
  <c r="AH240" i="6" s="1"/>
  <c r="S420" i="5"/>
  <c r="AL420" i="5" s="1"/>
  <c r="S422" i="5"/>
  <c r="AL422" i="5" s="1"/>
  <c r="S424" i="5"/>
  <c r="AL424" i="5" s="1"/>
  <c r="S428" i="5"/>
  <c r="AL428" i="5" s="1"/>
  <c r="S430" i="5"/>
  <c r="S432" i="5"/>
  <c r="AL432" i="5" s="1"/>
  <c r="S436" i="5"/>
  <c r="AL436" i="5" s="1"/>
  <c r="S438" i="5"/>
  <c r="AL438" i="5" s="1"/>
  <c r="S442" i="5"/>
  <c r="AL442" i="5" s="1"/>
  <c r="S444" i="5"/>
  <c r="AL444" i="5" s="1"/>
  <c r="S446" i="5"/>
  <c r="AL446" i="5" s="1"/>
  <c r="S448" i="5"/>
  <c r="AL448" i="5" s="1"/>
  <c r="S450" i="5"/>
  <c r="AL450" i="5" s="1"/>
  <c r="S452" i="5"/>
  <c r="AL452" i="5" s="1"/>
  <c r="S15" i="5"/>
  <c r="AL15" i="5" s="1"/>
  <c r="S23" i="5"/>
  <c r="AL23" i="5" s="1"/>
  <c r="S30" i="5"/>
  <c r="AL30" i="5" s="1"/>
  <c r="S34" i="5"/>
  <c r="AL34" i="5" s="1"/>
  <c r="S41" i="5"/>
  <c r="AL41" i="5" s="1"/>
  <c r="S48" i="5"/>
  <c r="AL48" i="5" s="1"/>
  <c r="S55" i="5"/>
  <c r="AL55" i="5" s="1"/>
  <c r="S59" i="5"/>
  <c r="AL59" i="5" s="1"/>
  <c r="S63" i="5"/>
  <c r="AL63" i="5" s="1"/>
  <c r="S70" i="5"/>
  <c r="AL70" i="5" s="1"/>
  <c r="S78" i="5"/>
  <c r="AL78" i="5" s="1"/>
  <c r="S82" i="5"/>
  <c r="AL82" i="5" s="1"/>
  <c r="S86" i="5"/>
  <c r="AL86" i="5" s="1"/>
  <c r="S93" i="5"/>
  <c r="AL93" i="5" s="1"/>
  <c r="S97" i="5"/>
  <c r="AL97" i="5" s="1"/>
  <c r="S104" i="5"/>
  <c r="AL104" i="5" s="1"/>
  <c r="S112" i="5"/>
  <c r="AL112" i="5" s="1"/>
  <c r="S122" i="5"/>
  <c r="AL122" i="5" s="1"/>
  <c r="S24" i="3"/>
  <c r="AL24" i="3" s="1"/>
  <c r="Z17" i="5"/>
  <c r="AP17" i="5" s="1"/>
  <c r="Z25" i="5"/>
  <c r="AP25" i="5" s="1"/>
  <c r="Z32" i="5"/>
  <c r="AP32" i="5" s="1"/>
  <c r="Z39" i="5"/>
  <c r="AP39" i="5" s="1"/>
  <c r="Z43" i="5"/>
  <c r="AP43" i="5" s="1"/>
  <c r="Z50" i="5"/>
  <c r="AP50" i="5" s="1"/>
  <c r="Z57" i="5"/>
  <c r="AP57" i="5" s="1"/>
  <c r="Z61" i="5"/>
  <c r="AP61" i="5" s="1"/>
  <c r="Z68" i="5"/>
  <c r="AP68" i="5" s="1"/>
  <c r="Z72" i="5"/>
  <c r="AP72" i="5" s="1"/>
  <c r="Z80" i="5"/>
  <c r="AP80" i="5" s="1"/>
  <c r="Z84" i="5"/>
  <c r="AP84" i="5" s="1"/>
  <c r="Z88" i="5"/>
  <c r="AP88" i="5" s="1"/>
  <c r="Z95" i="5"/>
  <c r="AP95" i="5" s="1"/>
  <c r="Z99" i="5"/>
  <c r="AP99" i="5" s="1"/>
  <c r="Z106" i="5"/>
  <c r="AP106" i="5" s="1"/>
  <c r="Z114" i="5"/>
  <c r="AP114" i="5" s="1"/>
  <c r="Z130" i="5"/>
  <c r="AP130" i="5" s="1"/>
  <c r="Z131" i="5"/>
  <c r="AP131" i="5" s="1"/>
  <c r="Z133" i="5"/>
  <c r="AP133" i="5" s="1"/>
  <c r="Z135" i="5"/>
  <c r="AP135" i="5" s="1"/>
  <c r="Z137" i="5"/>
  <c r="AP137" i="5" s="1"/>
  <c r="Z139" i="5"/>
  <c r="AP139" i="5" s="1"/>
  <c r="Z146" i="5"/>
  <c r="AP146" i="5" s="1"/>
  <c r="Z153" i="5"/>
  <c r="AP153" i="5" s="1"/>
  <c r="Z155" i="5"/>
  <c r="AP155" i="5" s="1"/>
  <c r="Z157" i="5"/>
  <c r="AP157" i="5" s="1"/>
  <c r="Z159" i="5"/>
  <c r="AP159" i="5" s="1"/>
  <c r="Z161" i="5"/>
  <c r="AP161" i="5" s="1"/>
  <c r="Z163" i="5"/>
  <c r="AP163" i="5" s="1"/>
  <c r="Z168" i="5"/>
  <c r="AP168" i="5" s="1"/>
  <c r="Z170" i="5"/>
  <c r="AP170" i="5" s="1"/>
  <c r="Z175" i="5"/>
  <c r="AP175" i="5" s="1"/>
  <c r="Z177" i="5"/>
  <c r="AP177" i="5" s="1"/>
  <c r="Z182" i="5"/>
  <c r="AP182" i="5" s="1"/>
  <c r="Z184" i="5"/>
  <c r="AP184" i="5" s="1"/>
  <c r="Z186" i="5"/>
  <c r="AP186" i="5" s="1"/>
  <c r="Z188" i="5"/>
  <c r="AP188" i="5" s="1"/>
  <c r="Z190" i="5"/>
  <c r="AP190" i="5" s="1"/>
  <c r="Z196" i="5"/>
  <c r="AP196" i="5" s="1"/>
  <c r="Z198" i="5"/>
  <c r="AP198" i="5" s="1"/>
  <c r="Z203" i="5"/>
  <c r="AP203" i="5" s="1"/>
  <c r="Z205" i="5"/>
  <c r="AP205" i="5" s="1"/>
  <c r="Z210" i="5"/>
  <c r="AP210" i="5" s="1"/>
  <c r="Z215" i="5"/>
  <c r="AP215" i="5" s="1"/>
  <c r="Z217" i="5"/>
  <c r="AP217" i="5" s="1"/>
  <c r="Z223" i="5"/>
  <c r="AP223" i="5" s="1"/>
  <c r="Z225" i="5"/>
  <c r="AP225" i="5" s="1"/>
  <c r="Z227" i="5"/>
  <c r="AP227" i="5" s="1"/>
  <c r="Z229" i="5"/>
  <c r="AP229" i="5" s="1"/>
  <c r="Z231" i="5"/>
  <c r="AP231" i="5" s="1"/>
  <c r="Z236" i="5"/>
  <c r="AP236" i="5" s="1"/>
  <c r="Z238" i="5"/>
  <c r="AP238" i="5" s="1"/>
  <c r="Z240" i="5"/>
  <c r="AP240" i="5" s="1"/>
  <c r="Z247" i="5"/>
  <c r="AP247" i="5" s="1"/>
  <c r="Z252" i="5"/>
  <c r="AP252" i="5" s="1"/>
  <c r="Z254" i="5"/>
  <c r="AP254" i="5" s="1"/>
  <c r="Z256" i="5"/>
  <c r="AP256" i="5" s="1"/>
  <c r="Z258" i="5"/>
  <c r="AP258" i="5" s="1"/>
  <c r="Z260" i="5"/>
  <c r="AP260" i="5" s="1"/>
  <c r="Z265" i="5"/>
  <c r="AP265" i="5" s="1"/>
  <c r="Z267" i="5"/>
  <c r="AP267" i="5" s="1"/>
  <c r="Z269" i="5"/>
  <c r="AP269" i="5" s="1"/>
  <c r="Z274" i="5"/>
  <c r="AP274" i="5" s="1"/>
  <c r="Z276" i="5"/>
  <c r="AP276" i="5" s="1"/>
  <c r="Z278" i="5"/>
  <c r="AP278" i="5" s="1"/>
  <c r="Z280" i="5"/>
  <c r="AP280" i="5" s="1"/>
  <c r="Z282" i="5"/>
  <c r="AP282" i="5" s="1"/>
  <c r="Z284" i="5"/>
  <c r="AP284" i="5" s="1"/>
  <c r="Z286" i="5"/>
  <c r="AP286" i="5" s="1"/>
  <c r="Z291" i="5"/>
  <c r="AP291" i="5" s="1"/>
  <c r="Z293" i="5"/>
  <c r="AP293" i="5" s="1"/>
  <c r="Z307" i="5"/>
  <c r="AP307" i="5" s="1"/>
  <c r="Z309" i="5"/>
  <c r="AP309" i="5" s="1"/>
  <c r="Z315" i="5"/>
  <c r="AP315" i="5" s="1"/>
  <c r="Z317" i="5"/>
  <c r="AP317" i="5" s="1"/>
  <c r="Z323" i="5"/>
  <c r="AP323" i="5" s="1"/>
  <c r="Z325" i="5"/>
  <c r="AP325" i="5" s="1"/>
  <c r="Z331" i="5"/>
  <c r="AP331" i="5" s="1"/>
  <c r="Z333" i="5"/>
  <c r="AP333" i="5" s="1"/>
  <c r="Z339" i="5"/>
  <c r="AP339" i="5" s="1"/>
  <c r="Z341" i="5"/>
  <c r="AP341" i="5" s="1"/>
  <c r="Z347" i="5"/>
  <c r="AP347" i="5" s="1"/>
  <c r="Z349" i="5"/>
  <c r="AP349" i="5" s="1"/>
  <c r="Z355" i="5"/>
  <c r="AP355" i="5" s="1"/>
  <c r="Z357" i="5"/>
  <c r="AP357" i="5" s="1"/>
  <c r="Z363" i="5"/>
  <c r="AP363" i="5" s="1"/>
  <c r="Z365" i="5"/>
  <c r="AP365" i="5" s="1"/>
  <c r="Z371" i="5"/>
  <c r="AP371" i="5" s="1"/>
  <c r="Z373" i="5"/>
  <c r="AP373" i="5" s="1"/>
  <c r="Z379" i="5"/>
  <c r="AP379" i="5" s="1"/>
  <c r="Z381" i="5"/>
  <c r="AP381" i="5" s="1"/>
  <c r="Z386" i="5"/>
  <c r="AP386" i="5" s="1"/>
  <c r="Z388" i="5"/>
  <c r="AP388" i="5" s="1"/>
  <c r="Z390" i="5"/>
  <c r="AP390" i="5" s="1"/>
  <c r="Z392" i="5"/>
  <c r="AP392" i="5" s="1"/>
  <c r="Z394" i="5"/>
  <c r="AP394" i="5" s="1"/>
  <c r="Z398" i="5"/>
  <c r="AP398" i="5" s="1"/>
  <c r="Z400" i="5"/>
  <c r="AP400" i="5" s="1"/>
  <c r="Z402" i="5"/>
  <c r="AP402" i="5" s="1"/>
  <c r="Z404" i="5"/>
  <c r="AP404" i="5" s="1"/>
  <c r="Z408" i="5"/>
  <c r="AP408" i="5" s="1"/>
  <c r="Z410" i="5"/>
  <c r="AP410" i="5" s="1"/>
  <c r="Z414" i="5"/>
  <c r="AP414" i="5" s="1"/>
  <c r="Z416" i="5"/>
  <c r="AP416" i="5" s="1"/>
  <c r="Z420" i="5"/>
  <c r="AP420" i="5" s="1"/>
  <c r="Z422" i="5"/>
  <c r="AP422" i="5" s="1"/>
  <c r="Z424" i="5"/>
  <c r="AP424" i="5" s="1"/>
  <c r="Z430" i="5"/>
  <c r="AP430" i="5" s="1"/>
  <c r="Z432" i="5"/>
  <c r="AP432" i="5" s="1"/>
  <c r="Z436" i="5"/>
  <c r="AP436" i="5" s="1"/>
  <c r="Z438" i="5"/>
  <c r="AP438" i="5" s="1"/>
  <c r="Z442" i="5"/>
  <c r="AP442" i="5" s="1"/>
  <c r="Z444" i="5"/>
  <c r="AP444" i="5" s="1"/>
  <c r="Z446" i="5"/>
  <c r="AP446" i="5" s="1"/>
  <c r="Z448" i="5"/>
  <c r="AP448" i="5" s="1"/>
  <c r="Z450" i="5"/>
  <c r="AP450" i="5" s="1"/>
  <c r="Z452" i="5"/>
  <c r="AP452" i="5" s="1"/>
  <c r="Z18" i="5"/>
  <c r="AP18" i="5" s="1"/>
  <c r="Z26" i="5"/>
  <c r="AP26" i="5" s="1"/>
  <c r="Z33" i="5"/>
  <c r="AP33" i="5" s="1"/>
  <c r="Z40" i="5"/>
  <c r="AP40" i="5" s="1"/>
  <c r="Z54" i="5"/>
  <c r="AP54" i="5" s="1"/>
  <c r="Z58" i="5"/>
  <c r="AP58" i="5" s="1"/>
  <c r="Z62" i="5"/>
  <c r="AP62" i="5" s="1"/>
  <c r="Z69" i="5"/>
  <c r="AP69" i="5" s="1"/>
  <c r="Z73" i="5"/>
  <c r="AP73" i="5" s="1"/>
  <c r="Z81" i="5"/>
  <c r="AP81" i="5" s="1"/>
  <c r="Z85" i="5"/>
  <c r="AP85" i="5" s="1"/>
  <c r="Z92" i="5"/>
  <c r="AP92" i="5" s="1"/>
  <c r="Z96" i="5"/>
  <c r="AP96" i="5" s="1"/>
  <c r="Z283" i="3"/>
  <c r="AP283" i="3" s="1"/>
  <c r="Z294" i="3"/>
  <c r="AP294" i="3" s="1"/>
  <c r="Z308" i="3"/>
  <c r="AP308" i="3" s="1"/>
  <c r="Z314" i="3"/>
  <c r="AP314" i="3" s="1"/>
  <c r="Z318" i="3"/>
  <c r="AP318" i="3" s="1"/>
  <c r="Z324" i="3"/>
  <c r="AP324" i="3" s="1"/>
  <c r="Z330" i="3"/>
  <c r="AP330" i="3" s="1"/>
  <c r="Z334" i="3"/>
  <c r="AP334" i="3" s="1"/>
  <c r="Z340" i="3"/>
  <c r="AP340" i="3" s="1"/>
  <c r="Z346" i="3"/>
  <c r="AP346" i="3" s="1"/>
  <c r="Z350" i="3"/>
  <c r="AP350" i="3" s="1"/>
  <c r="Z356" i="3"/>
  <c r="AP356" i="3" s="1"/>
  <c r="Z362" i="3"/>
  <c r="AP362" i="3" s="1"/>
  <c r="Z366" i="3"/>
  <c r="AP366" i="3" s="1"/>
  <c r="Z372" i="3"/>
  <c r="AP372" i="3" s="1"/>
  <c r="Z378" i="3"/>
  <c r="AP378" i="3" s="1"/>
  <c r="Z382" i="3"/>
  <c r="AP382" i="3" s="1"/>
  <c r="Z389" i="3"/>
  <c r="AP389" i="3" s="1"/>
  <c r="Z393" i="3"/>
  <c r="AP393" i="3" s="1"/>
  <c r="Z399" i="3"/>
  <c r="AP399" i="3" s="1"/>
  <c r="Z403" i="3"/>
  <c r="AP403" i="3" s="1"/>
  <c r="Z409" i="3"/>
  <c r="AP409" i="3" s="1"/>
  <c r="Z415" i="3"/>
  <c r="AP415" i="3" s="1"/>
  <c r="Z421" i="3"/>
  <c r="AP421" i="3" s="1"/>
  <c r="Z425" i="3"/>
  <c r="AP425" i="3" s="1"/>
  <c r="Z431" i="3"/>
  <c r="AP431" i="3" s="1"/>
  <c r="Z437" i="3"/>
  <c r="AP437" i="3" s="1"/>
  <c r="Z443" i="3"/>
  <c r="AP443" i="3" s="1"/>
  <c r="Z447" i="3"/>
  <c r="AP447" i="3" s="1"/>
  <c r="Z451" i="3"/>
  <c r="AP451" i="3" s="1"/>
  <c r="Z15" i="3"/>
  <c r="AP15" i="3" s="1"/>
  <c r="Z17" i="3"/>
  <c r="AP17" i="3" s="1"/>
  <c r="Z23" i="3"/>
  <c r="AP23" i="3" s="1"/>
  <c r="Z25" i="3"/>
  <c r="AP25" i="3" s="1"/>
  <c r="Z30" i="3"/>
  <c r="AP30" i="3" s="1"/>
  <c r="Z32" i="3"/>
  <c r="AP32" i="3" s="1"/>
  <c r="Z34" i="3"/>
  <c r="AP34" i="3" s="1"/>
  <c r="Z39" i="3"/>
  <c r="AP39" i="3" s="1"/>
  <c r="Z41" i="3"/>
  <c r="AP41" i="3" s="1"/>
  <c r="Z43" i="3"/>
  <c r="AP43" i="3" s="1"/>
  <c r="Z48" i="3"/>
  <c r="AP48" i="3" s="1"/>
  <c r="Z50" i="3"/>
  <c r="AP50" i="3" s="1"/>
  <c r="Z55" i="3"/>
  <c r="AP55" i="3" s="1"/>
  <c r="Z57" i="3"/>
  <c r="AP57" i="3" s="1"/>
  <c r="Z59" i="3"/>
  <c r="AP59" i="3" s="1"/>
  <c r="Z61" i="3"/>
  <c r="AP61" i="3" s="1"/>
  <c r="Z63" i="3"/>
  <c r="AP63" i="3" s="1"/>
  <c r="Z68" i="3"/>
  <c r="AP68" i="3" s="1"/>
  <c r="Z70" i="3"/>
  <c r="AP70" i="3" s="1"/>
  <c r="Z72" i="3"/>
  <c r="AP72" i="3" s="1"/>
  <c r="Z78" i="3"/>
  <c r="AP78" i="3" s="1"/>
  <c r="Z80" i="3"/>
  <c r="AP80" i="3" s="1"/>
  <c r="Z82" i="3"/>
  <c r="AP82" i="3" s="1"/>
  <c r="Z84" i="3"/>
  <c r="AP84" i="3" s="1"/>
  <c r="Z86" i="3"/>
  <c r="AP86" i="3" s="1"/>
  <c r="Z88" i="3"/>
  <c r="AP88" i="3" s="1"/>
  <c r="Z93" i="3"/>
  <c r="AP93" i="3" s="1"/>
  <c r="Z95" i="3"/>
  <c r="AP95" i="3" s="1"/>
  <c r="Z97" i="3"/>
  <c r="AP97" i="3" s="1"/>
  <c r="Z99" i="3"/>
  <c r="AP99" i="3" s="1"/>
  <c r="Z104" i="3"/>
  <c r="AP104" i="3" s="1"/>
  <c r="Z106" i="3"/>
  <c r="AP106" i="3" s="1"/>
  <c r="Z112" i="3"/>
  <c r="AP112" i="3" s="1"/>
  <c r="Z114" i="3"/>
  <c r="AP114" i="3" s="1"/>
  <c r="Z122" i="3"/>
  <c r="AP122" i="3" s="1"/>
  <c r="Z124" i="3"/>
  <c r="AP124" i="3" s="1"/>
  <c r="Z131" i="3"/>
  <c r="AP131" i="3" s="1"/>
  <c r="Z133" i="3"/>
  <c r="AP133" i="3" s="1"/>
  <c r="Z135" i="3"/>
  <c r="AP135" i="3" s="1"/>
  <c r="Z137" i="3"/>
  <c r="AP137" i="3" s="1"/>
  <c r="Z139" i="3"/>
  <c r="AP139" i="3" s="1"/>
  <c r="Z146" i="3"/>
  <c r="AP146" i="3" s="1"/>
  <c r="Z153" i="3"/>
  <c r="AP153" i="3" s="1"/>
  <c r="Z155" i="3"/>
  <c r="AP155" i="3" s="1"/>
  <c r="Z157" i="3"/>
  <c r="AP157" i="3" s="1"/>
  <c r="Z159" i="3"/>
  <c r="AP159" i="3" s="1"/>
  <c r="Z161" i="3"/>
  <c r="AP161" i="3" s="1"/>
  <c r="Z163" i="3"/>
  <c r="AP163" i="3" s="1"/>
  <c r="Z168" i="3"/>
  <c r="AP168" i="3" s="1"/>
  <c r="Z170" i="3"/>
  <c r="AP170" i="3" s="1"/>
  <c r="Z175" i="3"/>
  <c r="AP175" i="3" s="1"/>
  <c r="Z177" i="3"/>
  <c r="AP177" i="3" s="1"/>
  <c r="Z182" i="3"/>
  <c r="AP182" i="3" s="1"/>
  <c r="Z184" i="3"/>
  <c r="AP184" i="3" s="1"/>
  <c r="Z186" i="3"/>
  <c r="AP186" i="3" s="1"/>
  <c r="Z188" i="3"/>
  <c r="AP188" i="3" s="1"/>
  <c r="Z190" i="3"/>
  <c r="AP190" i="3" s="1"/>
  <c r="Z196" i="3"/>
  <c r="AP196" i="3" s="1"/>
  <c r="Z198" i="3"/>
  <c r="AP198" i="3" s="1"/>
  <c r="Z203" i="3"/>
  <c r="AP203" i="3" s="1"/>
  <c r="Z205" i="3"/>
  <c r="AP205" i="3" s="1"/>
  <c r="Z210" i="3"/>
  <c r="AP210" i="3" s="1"/>
  <c r="Z215" i="3"/>
  <c r="AP215" i="3" s="1"/>
  <c r="Z217" i="3"/>
  <c r="AP217" i="3" s="1"/>
  <c r="Z223" i="3"/>
  <c r="AP223" i="3" s="1"/>
  <c r="Z225" i="3"/>
  <c r="AP225" i="3" s="1"/>
  <c r="Z227" i="3"/>
  <c r="AP227" i="3" s="1"/>
  <c r="Z229" i="3"/>
  <c r="AP229" i="3" s="1"/>
  <c r="Z231" i="3"/>
  <c r="AP231" i="3" s="1"/>
  <c r="Z236" i="3"/>
  <c r="AP236" i="3" s="1"/>
  <c r="Z238" i="3"/>
  <c r="AP238" i="3" s="1"/>
  <c r="Z240" i="3"/>
  <c r="AP240" i="3" s="1"/>
  <c r="Z247" i="3"/>
  <c r="AP247" i="3" s="1"/>
  <c r="Z252" i="3"/>
  <c r="AP252" i="3" s="1"/>
  <c r="Z254" i="3"/>
  <c r="AP254" i="3" s="1"/>
  <c r="Z256" i="3"/>
  <c r="AP256" i="3" s="1"/>
  <c r="Z258" i="3"/>
  <c r="AP258" i="3" s="1"/>
  <c r="Z260" i="3"/>
  <c r="AP260" i="3" s="1"/>
  <c r="Z265" i="3"/>
  <c r="AP265" i="3" s="1"/>
  <c r="Z267" i="3"/>
  <c r="AP267" i="3" s="1"/>
  <c r="Z269" i="3"/>
  <c r="AP269" i="3" s="1"/>
  <c r="Z274" i="3"/>
  <c r="AP274" i="3" s="1"/>
  <c r="Z276" i="3"/>
  <c r="AP276" i="3" s="1"/>
  <c r="Z278" i="3"/>
  <c r="AP278" i="3" s="1"/>
  <c r="Z280" i="3"/>
  <c r="AP280" i="3" s="1"/>
  <c r="Z282" i="3"/>
  <c r="AP282" i="3" s="1"/>
  <c r="Z286" i="3"/>
  <c r="AP286" i="3" s="1"/>
  <c r="Z293" i="3"/>
  <c r="AP293" i="3" s="1"/>
  <c r="Z307" i="3"/>
  <c r="AP307" i="3" s="1"/>
  <c r="Z317" i="3"/>
  <c r="AP317" i="3" s="1"/>
  <c r="Z323" i="3"/>
  <c r="AP323" i="3" s="1"/>
  <c r="Z333" i="3"/>
  <c r="AP333" i="3" s="1"/>
  <c r="Z339" i="3"/>
  <c r="AP339" i="3" s="1"/>
  <c r="Z349" i="3"/>
  <c r="AP349" i="3" s="1"/>
  <c r="Z355" i="3"/>
  <c r="AP355" i="3" s="1"/>
  <c r="Z365" i="3"/>
  <c r="AP365" i="3" s="1"/>
  <c r="Z371" i="3"/>
  <c r="AP371" i="3" s="1"/>
  <c r="Z381" i="3"/>
  <c r="AP381" i="3" s="1"/>
  <c r="Z388" i="3"/>
  <c r="AP388" i="3" s="1"/>
  <c r="Z392" i="3"/>
  <c r="AP392" i="3" s="1"/>
  <c r="Z398" i="3"/>
  <c r="AP398" i="3" s="1"/>
  <c r="Z402" i="3"/>
  <c r="AP402" i="3" s="1"/>
  <c r="Z408" i="3"/>
  <c r="AP408" i="3" s="1"/>
  <c r="Z414" i="3"/>
  <c r="AP414" i="3" s="1"/>
  <c r="Z420" i="3"/>
  <c r="AP420" i="3" s="1"/>
  <c r="Z424" i="3"/>
  <c r="AP424" i="3" s="1"/>
  <c r="Z430" i="3"/>
  <c r="AP430" i="3" s="1"/>
  <c r="Z436" i="3"/>
  <c r="AP436" i="3" s="1"/>
  <c r="Z442" i="3"/>
  <c r="AP442" i="3" s="1"/>
  <c r="Z446" i="3"/>
  <c r="AP446" i="3" s="1"/>
  <c r="Z450" i="3"/>
  <c r="AP450" i="3" s="1"/>
  <c r="N17" i="6"/>
  <c r="L23" i="6"/>
  <c r="AH23" i="6" s="1"/>
  <c r="L39" i="6"/>
  <c r="AH39" i="6" s="1"/>
  <c r="L41" i="6"/>
  <c r="AH41" i="6" s="1"/>
  <c r="L43" i="6"/>
  <c r="AH43" i="6" s="1"/>
  <c r="L49" i="6"/>
  <c r="AH49" i="6" s="1"/>
  <c r="L78" i="6"/>
  <c r="AH78" i="6" s="1"/>
  <c r="L80" i="6"/>
  <c r="AH80" i="6" s="1"/>
  <c r="L82" i="6"/>
  <c r="AH82" i="6" s="1"/>
  <c r="L84" i="6"/>
  <c r="AH84" i="6" s="1"/>
  <c r="L86" i="6"/>
  <c r="AH86" i="6" s="1"/>
  <c r="L88" i="6"/>
  <c r="AH88" i="6" s="1"/>
  <c r="L93" i="6"/>
  <c r="AH93" i="6" s="1"/>
  <c r="L95" i="6"/>
  <c r="AH95" i="6" s="1"/>
  <c r="L97" i="6"/>
  <c r="AH97" i="6" s="1"/>
  <c r="L99" i="6"/>
  <c r="AH99" i="6" s="1"/>
  <c r="L130" i="6"/>
  <c r="AH130" i="6" s="1"/>
  <c r="L132" i="6"/>
  <c r="AH132" i="6" s="1"/>
  <c r="L134" i="6"/>
  <c r="AH134" i="6" s="1"/>
  <c r="L136" i="6"/>
  <c r="AH136" i="6" s="1"/>
  <c r="L138" i="6"/>
  <c r="AH138" i="6" s="1"/>
  <c r="L140" i="6"/>
  <c r="AH140" i="6" s="1"/>
  <c r="Z15" i="6"/>
  <c r="AP15" i="6" s="1"/>
  <c r="Z17" i="6"/>
  <c r="AP17" i="6" s="1"/>
  <c r="Z23" i="6"/>
  <c r="AP23" i="6" s="1"/>
  <c r="Z25" i="6"/>
  <c r="AP25" i="6" s="1"/>
  <c r="Z30" i="6"/>
  <c r="AP30" i="6" s="1"/>
  <c r="Z32" i="6"/>
  <c r="AP32" i="6" s="1"/>
  <c r="Z34" i="6"/>
  <c r="AP34" i="6" s="1"/>
  <c r="Z39" i="6"/>
  <c r="AP39" i="6" s="1"/>
  <c r="Z41" i="6"/>
  <c r="AP41" i="6" s="1"/>
  <c r="Z43" i="6"/>
  <c r="AP43" i="6" s="1"/>
  <c r="Z48" i="6"/>
  <c r="AP48" i="6" s="1"/>
  <c r="Z50" i="6"/>
  <c r="AP50" i="6" s="1"/>
  <c r="Z55" i="6"/>
  <c r="AP55" i="6" s="1"/>
  <c r="Z57" i="6"/>
  <c r="AP57" i="6" s="1"/>
  <c r="Z59" i="6"/>
  <c r="AP59" i="6" s="1"/>
  <c r="Z61" i="6"/>
  <c r="AP61" i="6" s="1"/>
  <c r="Z63" i="6"/>
  <c r="AP63" i="6" s="1"/>
  <c r="Z68" i="6"/>
  <c r="AP68" i="6" s="1"/>
  <c r="Z70" i="6"/>
  <c r="AP70" i="6" s="1"/>
  <c r="Z72" i="6"/>
  <c r="AP72" i="6" s="1"/>
  <c r="Z78" i="6"/>
  <c r="AP78" i="6" s="1"/>
  <c r="Z80" i="6"/>
  <c r="AP80" i="6" s="1"/>
  <c r="Z82" i="6"/>
  <c r="AP82" i="6" s="1"/>
  <c r="Z84" i="6"/>
  <c r="AP84" i="6" s="1"/>
  <c r="Z86" i="6"/>
  <c r="AP86" i="6" s="1"/>
  <c r="Z88" i="6"/>
  <c r="AP88" i="6" s="1"/>
  <c r="Z93" i="6"/>
  <c r="AP93" i="6" s="1"/>
  <c r="Z95" i="6"/>
  <c r="AP95" i="6" s="1"/>
  <c r="Z97" i="6"/>
  <c r="AP97" i="6" s="1"/>
  <c r="Z99" i="6"/>
  <c r="AP99" i="6" s="1"/>
  <c r="Z104" i="6"/>
  <c r="AP104" i="6" s="1"/>
  <c r="Z106" i="6"/>
  <c r="AP106" i="6" s="1"/>
  <c r="Z112" i="6"/>
  <c r="AP112" i="6" s="1"/>
  <c r="Z114" i="6"/>
  <c r="AP114" i="6" s="1"/>
  <c r="Z122" i="6"/>
  <c r="AP122" i="6" s="1"/>
  <c r="Z124" i="6"/>
  <c r="AP124" i="6" s="1"/>
  <c r="Z131" i="6"/>
  <c r="AP131" i="6" s="1"/>
  <c r="Z133" i="6"/>
  <c r="AP133" i="6" s="1"/>
  <c r="Z135" i="6"/>
  <c r="AP135" i="6" s="1"/>
  <c r="Z137" i="6"/>
  <c r="AP137" i="6" s="1"/>
  <c r="Z139" i="6"/>
  <c r="AP139" i="6" s="1"/>
  <c r="Z153" i="6"/>
  <c r="AP153" i="6" s="1"/>
  <c r="Z157" i="6"/>
  <c r="AP157" i="6" s="1"/>
  <c r="Z161" i="6"/>
  <c r="AP161" i="6" s="1"/>
  <c r="Z168" i="6"/>
  <c r="AP168" i="6" s="1"/>
  <c r="Z175" i="6"/>
  <c r="AP175" i="6" s="1"/>
  <c r="Z182" i="6"/>
  <c r="AP182" i="6" s="1"/>
  <c r="Z186" i="6"/>
  <c r="AP186" i="6" s="1"/>
  <c r="Z190" i="6"/>
  <c r="AP190" i="6" s="1"/>
  <c r="Z198" i="6"/>
  <c r="AP198" i="6" s="1"/>
  <c r="Z205" i="6"/>
  <c r="AP205" i="6" s="1"/>
  <c r="Z215" i="6"/>
  <c r="AP215" i="6" s="1"/>
  <c r="Z223" i="6"/>
  <c r="AP223" i="6" s="1"/>
  <c r="Z227" i="6"/>
  <c r="AP227" i="6" s="1"/>
  <c r="Z231" i="6"/>
  <c r="AP231" i="6" s="1"/>
  <c r="Z238" i="6"/>
  <c r="AP238" i="6" s="1"/>
  <c r="Z252" i="6"/>
  <c r="AP252" i="6" s="1"/>
  <c r="Z256" i="6"/>
  <c r="AP256" i="6" s="1"/>
  <c r="Z260" i="6"/>
  <c r="AP260" i="6" s="1"/>
  <c r="Z267" i="6"/>
  <c r="AP267" i="6" s="1"/>
  <c r="Z274" i="6"/>
  <c r="AP274" i="6" s="1"/>
  <c r="Z278" i="6"/>
  <c r="AP278" i="6" s="1"/>
  <c r="Z282" i="6"/>
  <c r="AP282" i="6" s="1"/>
  <c r="Z286" i="6"/>
  <c r="AP286" i="6" s="1"/>
  <c r="Z293" i="6"/>
  <c r="AP293" i="6" s="1"/>
  <c r="Z307" i="6"/>
  <c r="AP307" i="6" s="1"/>
  <c r="Z317" i="6"/>
  <c r="AP317" i="6" s="1"/>
  <c r="Z323" i="6"/>
  <c r="AP323" i="6" s="1"/>
  <c r="Z333" i="6"/>
  <c r="AP333" i="6" s="1"/>
  <c r="L15" i="6"/>
  <c r="AH15" i="6" s="1"/>
  <c r="L16" i="6"/>
  <c r="AH16" i="6" s="1"/>
  <c r="L24" i="6"/>
  <c r="AH24" i="6" s="1"/>
  <c r="L25" i="6"/>
  <c r="AH25" i="6" s="1"/>
  <c r="L26" i="6"/>
  <c r="AH26" i="6" s="1"/>
  <c r="L30" i="6"/>
  <c r="AH30" i="6" s="1"/>
  <c r="L31" i="6"/>
  <c r="AH31" i="6" s="1"/>
  <c r="L32" i="6"/>
  <c r="AH32" i="6" s="1"/>
  <c r="L33" i="6"/>
  <c r="AH33" i="6" s="1"/>
  <c r="L34" i="6"/>
  <c r="AH34" i="6" s="1"/>
  <c r="L54" i="6"/>
  <c r="AH54" i="6" s="1"/>
  <c r="L55" i="6"/>
  <c r="AH55" i="6" s="1"/>
  <c r="L56" i="6"/>
  <c r="AH56" i="6" s="1"/>
  <c r="L57" i="6"/>
  <c r="AH57" i="6" s="1"/>
  <c r="L58" i="6"/>
  <c r="AH58" i="6" s="1"/>
  <c r="L59" i="6"/>
  <c r="AH59" i="6" s="1"/>
  <c r="L60" i="6"/>
  <c r="AH60" i="6" s="1"/>
  <c r="L61" i="6"/>
  <c r="AH61" i="6" s="1"/>
  <c r="L62" i="6"/>
  <c r="AH62" i="6" s="1"/>
  <c r="L63" i="6"/>
  <c r="AH63" i="6" s="1"/>
  <c r="L64" i="6"/>
  <c r="AH64" i="6" s="1"/>
  <c r="L68" i="6"/>
  <c r="AH68" i="6" s="1"/>
  <c r="L69" i="6"/>
  <c r="AH69" i="6" s="1"/>
  <c r="L70" i="6"/>
  <c r="AH70" i="6" s="1"/>
  <c r="L71" i="6"/>
  <c r="AH71" i="6" s="1"/>
  <c r="L72" i="6"/>
  <c r="AH72" i="6" s="1"/>
  <c r="L73" i="6"/>
  <c r="AH73" i="6" s="1"/>
  <c r="L104" i="6"/>
  <c r="AH104" i="6" s="1"/>
  <c r="L105" i="6"/>
  <c r="AH105" i="6" s="1"/>
  <c r="L106" i="6"/>
  <c r="AH106" i="6" s="1"/>
  <c r="L122" i="6"/>
  <c r="AH122" i="6" s="1"/>
  <c r="L123" i="6"/>
  <c r="AH123" i="6" s="1"/>
  <c r="L124" i="6"/>
  <c r="AH124" i="6" s="1"/>
  <c r="L153" i="6"/>
  <c r="AH153" i="6" s="1"/>
  <c r="L154" i="6"/>
  <c r="AH154" i="6" s="1"/>
  <c r="L155" i="6"/>
  <c r="AH155" i="6" s="1"/>
  <c r="L156" i="6"/>
  <c r="AH156" i="6" s="1"/>
  <c r="L157" i="6"/>
  <c r="AH157" i="6" s="1"/>
  <c r="L158" i="6"/>
  <c r="AH158" i="6" s="1"/>
  <c r="L159" i="6"/>
  <c r="AH159" i="6" s="1"/>
  <c r="L160" i="6"/>
  <c r="AH160" i="6" s="1"/>
  <c r="L161" i="6"/>
  <c r="AH161" i="6" s="1"/>
  <c r="L162" i="6"/>
  <c r="AH162" i="6" s="1"/>
  <c r="L163" i="6"/>
  <c r="AH163" i="6" s="1"/>
  <c r="L164" i="6"/>
  <c r="AH164" i="6" s="1"/>
  <c r="L168" i="6"/>
  <c r="AH168" i="6" s="1"/>
  <c r="L169" i="6"/>
  <c r="AH169" i="6" s="1"/>
  <c r="L170" i="6"/>
  <c r="AH170" i="6" s="1"/>
  <c r="L171" i="6"/>
  <c r="AH171" i="6" s="1"/>
  <c r="L183" i="6"/>
  <c r="AH183" i="6" s="1"/>
  <c r="L184" i="6"/>
  <c r="AH184" i="6" s="1"/>
  <c r="L185" i="6"/>
  <c r="AH185" i="6" s="1"/>
  <c r="L186" i="6"/>
  <c r="AH186" i="6" s="1"/>
  <c r="L187" i="6"/>
  <c r="AH187" i="6" s="1"/>
  <c r="L188" i="6"/>
  <c r="AH188" i="6" s="1"/>
  <c r="L189" i="6"/>
  <c r="AH189" i="6" s="1"/>
  <c r="L190" i="6"/>
  <c r="AH190" i="6" s="1"/>
  <c r="L202" i="6"/>
  <c r="AH202" i="6" s="1"/>
  <c r="L203" i="6"/>
  <c r="AH203" i="6" s="1"/>
  <c r="L204" i="6"/>
  <c r="AH204" i="6" s="1"/>
  <c r="L205" i="6"/>
  <c r="AH205" i="6" s="1"/>
  <c r="L215" i="6"/>
  <c r="AH215" i="6" s="1"/>
  <c r="L216" i="6"/>
  <c r="AH216" i="6" s="1"/>
  <c r="L217" i="6"/>
  <c r="AH217" i="6" s="1"/>
  <c r="L222" i="6"/>
  <c r="AH222" i="6" s="1"/>
  <c r="L223" i="6"/>
  <c r="AH223" i="6" s="1"/>
  <c r="L224" i="6"/>
  <c r="AH224" i="6" s="1"/>
  <c r="L225" i="6"/>
  <c r="AH225" i="6" s="1"/>
  <c r="Z78" i="7"/>
  <c r="AP78" i="7" s="1"/>
  <c r="Z82" i="7"/>
  <c r="AP82" i="7" s="1"/>
  <c r="Z86" i="7"/>
  <c r="AP86" i="7" s="1"/>
  <c r="Z93" i="7"/>
  <c r="AP93" i="7" s="1"/>
  <c r="Z97" i="7"/>
  <c r="AP97" i="7" s="1"/>
  <c r="Z104" i="7"/>
  <c r="AP104" i="7" s="1"/>
  <c r="Z112" i="7"/>
  <c r="AP112" i="7" s="1"/>
  <c r="Z122" i="7"/>
  <c r="AP122" i="7" s="1"/>
  <c r="Z131" i="7"/>
  <c r="AP131" i="7" s="1"/>
  <c r="Z135" i="7"/>
  <c r="AP135" i="7" s="1"/>
  <c r="Z139" i="7"/>
  <c r="AP139" i="7" s="1"/>
  <c r="Z146" i="7"/>
  <c r="AP146" i="7" s="1"/>
  <c r="Z155" i="7"/>
  <c r="AP155" i="7" s="1"/>
  <c r="Z159" i="7"/>
  <c r="AP159" i="7" s="1"/>
  <c r="Z15" i="7"/>
  <c r="AP15" i="7" s="1"/>
  <c r="Z17" i="7"/>
  <c r="AP17" i="7" s="1"/>
  <c r="Z23" i="7"/>
  <c r="AP23" i="7" s="1"/>
  <c r="Z25" i="7"/>
  <c r="AP25" i="7" s="1"/>
  <c r="Z30" i="7"/>
  <c r="AP30" i="7" s="1"/>
  <c r="Z32" i="7"/>
  <c r="AP32" i="7" s="1"/>
  <c r="Z34" i="7"/>
  <c r="AP34" i="7" s="1"/>
  <c r="Z39" i="7"/>
  <c r="AP39" i="7" s="1"/>
  <c r="Z41" i="7"/>
  <c r="AP41" i="7" s="1"/>
  <c r="Z43" i="7"/>
  <c r="AP43" i="7" s="1"/>
  <c r="Z48" i="7"/>
  <c r="AP48" i="7" s="1"/>
  <c r="Z50" i="7"/>
  <c r="AP50" i="7" s="1"/>
  <c r="Z55" i="7"/>
  <c r="AP55" i="7" s="1"/>
  <c r="Z57" i="7"/>
  <c r="AP57" i="7" s="1"/>
  <c r="Z59" i="7"/>
  <c r="AP59" i="7" s="1"/>
  <c r="Z61" i="7"/>
  <c r="AP61" i="7" s="1"/>
  <c r="Z63" i="7"/>
  <c r="AP63" i="7" s="1"/>
  <c r="Z68" i="7"/>
  <c r="AP68" i="7" s="1"/>
  <c r="Z70" i="7"/>
  <c r="AP70" i="7" s="1"/>
  <c r="Z72" i="7"/>
  <c r="AP72" i="7" s="1"/>
  <c r="Z73" i="7"/>
  <c r="AP73" i="7" s="1"/>
  <c r="Z81" i="7"/>
  <c r="AP81" i="7" s="1"/>
  <c r="Z85" i="7"/>
  <c r="AP85" i="7" s="1"/>
  <c r="Z92" i="7"/>
  <c r="AP92" i="7" s="1"/>
  <c r="Z96" i="7"/>
  <c r="AP96" i="7" s="1"/>
  <c r="Z130" i="7"/>
  <c r="AP130" i="7" s="1"/>
  <c r="Z134" i="7"/>
  <c r="AP134" i="7" s="1"/>
  <c r="Z138" i="7"/>
  <c r="AP138" i="7" s="1"/>
  <c r="Z145" i="7"/>
  <c r="AP145" i="7" s="1"/>
  <c r="Z154" i="7"/>
  <c r="AP154" i="7" s="1"/>
  <c r="Z158" i="7"/>
  <c r="AP158" i="7" s="1"/>
  <c r="AH149" i="5"/>
  <c r="L144" i="5"/>
  <c r="AH144" i="5" s="1"/>
  <c r="AH250" i="5"/>
  <c r="L245" i="5"/>
  <c r="AH245" i="5" s="1"/>
  <c r="AH319" i="5"/>
  <c r="L313" i="5"/>
  <c r="AH313" i="5" s="1"/>
  <c r="AP327" i="5"/>
  <c r="Z321" i="5"/>
  <c r="AP321" i="5" s="1"/>
  <c r="AH335" i="5"/>
  <c r="L329" i="5"/>
  <c r="AH329" i="5" s="1"/>
  <c r="Z337" i="5"/>
  <c r="AP337" i="5" s="1"/>
  <c r="AP343" i="5"/>
  <c r="L345" i="5"/>
  <c r="AH345" i="5" s="1"/>
  <c r="AH351" i="5"/>
  <c r="AP367" i="5"/>
  <c r="Z361" i="5"/>
  <c r="AP361" i="5" s="1"/>
  <c r="L369" i="5"/>
  <c r="AH369" i="5" s="1"/>
  <c r="AH375" i="5"/>
  <c r="Z369" i="5"/>
  <c r="AP369" i="5" s="1"/>
  <c r="AP375" i="5"/>
  <c r="AH383" i="5"/>
  <c r="L377" i="5"/>
  <c r="AH377" i="5" s="1"/>
  <c r="AP433" i="5"/>
  <c r="Z428" i="5"/>
  <c r="AP428" i="5" s="1"/>
  <c r="L295" i="3"/>
  <c r="AH295" i="3" s="1"/>
  <c r="L270" i="3"/>
  <c r="AH270" i="3" s="1"/>
  <c r="L232" i="3"/>
  <c r="AH232" i="3" s="1"/>
  <c r="L249" i="3"/>
  <c r="AH249" i="3" s="1"/>
  <c r="L199" i="3"/>
  <c r="AH199" i="3" s="1"/>
  <c r="L172" i="3"/>
  <c r="AH172" i="3" s="1"/>
  <c r="L51" i="3"/>
  <c r="AH51" i="3" s="1"/>
  <c r="L35" i="3"/>
  <c r="AH35" i="3" s="1"/>
  <c r="L148" i="3"/>
  <c r="AH148" i="3" s="1"/>
  <c r="L125" i="3"/>
  <c r="AH125" i="3" s="1"/>
  <c r="L107" i="3"/>
  <c r="AH107" i="3" s="1"/>
  <c r="AC7" i="3"/>
  <c r="L261" i="3"/>
  <c r="AH261" i="3" s="1"/>
  <c r="L241" i="3"/>
  <c r="AH241" i="3" s="1"/>
  <c r="L212" i="3"/>
  <c r="AH212" i="3" s="1"/>
  <c r="L218" i="3"/>
  <c r="AH218" i="3" s="1"/>
  <c r="L206" i="3"/>
  <c r="AH206" i="3" s="1"/>
  <c r="L191" i="3"/>
  <c r="AH191" i="3" s="1"/>
  <c r="L179" i="3"/>
  <c r="AH179" i="3" s="1"/>
  <c r="L74" i="3"/>
  <c r="AH74" i="3" s="1"/>
  <c r="L44" i="3"/>
  <c r="AH44" i="3" s="1"/>
  <c r="L27" i="3"/>
  <c r="L115" i="3"/>
  <c r="AH115" i="3" s="1"/>
  <c r="L19" i="3"/>
  <c r="AH19" i="3" s="1"/>
  <c r="N18" i="3"/>
  <c r="Q18" i="3"/>
  <c r="AK18" i="3" s="1"/>
  <c r="G26" i="3"/>
  <c r="J26" i="3"/>
  <c r="AG26" i="3" s="1"/>
  <c r="G33" i="3"/>
  <c r="J33" i="3"/>
  <c r="AG33" i="3" s="1"/>
  <c r="G40" i="3"/>
  <c r="J40" i="3"/>
  <c r="AG40" i="3" s="1"/>
  <c r="G47" i="3"/>
  <c r="AG52" i="3"/>
  <c r="J47" i="3"/>
  <c r="AG47" i="3" s="1"/>
  <c r="G54" i="3"/>
  <c r="J54" i="3"/>
  <c r="AG54" i="3" s="1"/>
  <c r="G58" i="3"/>
  <c r="J58" i="3"/>
  <c r="AG58" i="3" s="1"/>
  <c r="G62" i="3"/>
  <c r="J62" i="3"/>
  <c r="AG62" i="3" s="1"/>
  <c r="G69" i="3"/>
  <c r="J69" i="3"/>
  <c r="AG69" i="3" s="1"/>
  <c r="G73" i="3"/>
  <c r="J73" i="3"/>
  <c r="AG73" i="3" s="1"/>
  <c r="G81" i="3"/>
  <c r="J81" i="3"/>
  <c r="AG81" i="3" s="1"/>
  <c r="G85" i="3"/>
  <c r="J85" i="3"/>
  <c r="AG85" i="3" s="1"/>
  <c r="G92" i="3"/>
  <c r="J92" i="3"/>
  <c r="AG92" i="3" s="1"/>
  <c r="G96" i="3"/>
  <c r="J96" i="3"/>
  <c r="AG96" i="3" s="1"/>
  <c r="AG108" i="3"/>
  <c r="G103" i="3"/>
  <c r="J103" i="3"/>
  <c r="AG103" i="3" s="1"/>
  <c r="G111" i="3"/>
  <c r="AG116" i="3"/>
  <c r="J111" i="3"/>
  <c r="AG111" i="3" s="1"/>
  <c r="AG126" i="3"/>
  <c r="G121" i="3"/>
  <c r="J121" i="3"/>
  <c r="AG121" i="3" s="1"/>
  <c r="G130" i="3"/>
  <c r="J130" i="3"/>
  <c r="AG130" i="3" s="1"/>
  <c r="G134" i="3"/>
  <c r="J134" i="3"/>
  <c r="AG134" i="3" s="1"/>
  <c r="G138" i="3"/>
  <c r="J138" i="3"/>
  <c r="AG138" i="3" s="1"/>
  <c r="G145" i="3"/>
  <c r="J145" i="3"/>
  <c r="AG145" i="3" s="1"/>
  <c r="G154" i="3"/>
  <c r="J154" i="3"/>
  <c r="AG154" i="3" s="1"/>
  <c r="G158" i="3"/>
  <c r="J158" i="3"/>
  <c r="AG158" i="3" s="1"/>
  <c r="G162" i="3"/>
  <c r="J162" i="3"/>
  <c r="AG162" i="3" s="1"/>
  <c r="G169" i="3"/>
  <c r="J169" i="3"/>
  <c r="AG169" i="3" s="1"/>
  <c r="G176" i="3"/>
  <c r="J176" i="3"/>
  <c r="AG176" i="3" s="1"/>
  <c r="G183" i="3"/>
  <c r="J183" i="3"/>
  <c r="AG183" i="3" s="1"/>
  <c r="G187" i="3"/>
  <c r="J187" i="3"/>
  <c r="AG187" i="3" s="1"/>
  <c r="G195" i="3"/>
  <c r="J195" i="3"/>
  <c r="AG195" i="3" s="1"/>
  <c r="G202" i="3"/>
  <c r="J202" i="3"/>
  <c r="AG202" i="3" s="1"/>
  <c r="G209" i="3"/>
  <c r="J209" i="3"/>
  <c r="AG209" i="3" s="1"/>
  <c r="G216" i="3"/>
  <c r="J216" i="3"/>
  <c r="AG216" i="3" s="1"/>
  <c r="G224" i="3"/>
  <c r="J224" i="3"/>
  <c r="AG224" i="3" s="1"/>
  <c r="G228" i="3"/>
  <c r="J228" i="3"/>
  <c r="AG228" i="3" s="1"/>
  <c r="G235" i="3"/>
  <c r="J235" i="3"/>
  <c r="AG235" i="3" s="1"/>
  <c r="G239" i="3"/>
  <c r="J239" i="3"/>
  <c r="AG239" i="3" s="1"/>
  <c r="G246" i="3"/>
  <c r="J246" i="3"/>
  <c r="AG246" i="3" s="1"/>
  <c r="G253" i="3"/>
  <c r="J253" i="3"/>
  <c r="AG253" i="3" s="1"/>
  <c r="G257" i="3"/>
  <c r="J257" i="3"/>
  <c r="AG257" i="3" s="1"/>
  <c r="G264" i="3"/>
  <c r="J264" i="3"/>
  <c r="AG264" i="3" s="1"/>
  <c r="G268" i="3"/>
  <c r="J268" i="3"/>
  <c r="AG268" i="3" s="1"/>
  <c r="G275" i="3"/>
  <c r="J275" i="3"/>
  <c r="AG275" i="3" s="1"/>
  <c r="G285" i="3"/>
  <c r="J285" i="3"/>
  <c r="AG285" i="3" s="1"/>
  <c r="G292" i="3"/>
  <c r="J292" i="3"/>
  <c r="AG292" i="3" s="1"/>
  <c r="G306" i="3"/>
  <c r="J306" i="3"/>
  <c r="AG306" i="3" s="1"/>
  <c r="L24" i="5"/>
  <c r="AH24" i="5" s="1"/>
  <c r="L38" i="5"/>
  <c r="AH38" i="5" s="1"/>
  <c r="L49" i="5"/>
  <c r="AH49" i="5" s="1"/>
  <c r="L60" i="5"/>
  <c r="AH60" i="5" s="1"/>
  <c r="L79" i="5"/>
  <c r="AH79" i="5" s="1"/>
  <c r="L87" i="5"/>
  <c r="AH87" i="5" s="1"/>
  <c r="AP108" i="5"/>
  <c r="Z103" i="5"/>
  <c r="AP103" i="5" s="1"/>
  <c r="L17" i="5"/>
  <c r="AH17" i="5" s="1"/>
  <c r="L25" i="5"/>
  <c r="AH25" i="5" s="1"/>
  <c r="L32" i="5"/>
  <c r="AH32" i="5" s="1"/>
  <c r="L39" i="5"/>
  <c r="AH39" i="5" s="1"/>
  <c r="L43" i="5"/>
  <c r="AH43" i="5" s="1"/>
  <c r="AL52" i="5"/>
  <c r="S47" i="5"/>
  <c r="AL47" i="5" s="1"/>
  <c r="L50" i="5"/>
  <c r="AH50" i="5" s="1"/>
  <c r="L57" i="5"/>
  <c r="AH57" i="5" s="1"/>
  <c r="L61" i="5"/>
  <c r="AH61" i="5" s="1"/>
  <c r="L68" i="5"/>
  <c r="AH68" i="5" s="1"/>
  <c r="L72" i="5"/>
  <c r="AH72" i="5" s="1"/>
  <c r="L80" i="5"/>
  <c r="AH80" i="5" s="1"/>
  <c r="L84" i="5"/>
  <c r="AH84" i="5" s="1"/>
  <c r="L88" i="5"/>
  <c r="AH88" i="5" s="1"/>
  <c r="L95" i="5"/>
  <c r="AH95" i="5" s="1"/>
  <c r="L99" i="5"/>
  <c r="AH99" i="5" s="1"/>
  <c r="AL108" i="5"/>
  <c r="S103" i="5"/>
  <c r="AL103" i="5" s="1"/>
  <c r="L106" i="5"/>
  <c r="AH106" i="5" s="1"/>
  <c r="AL116" i="5"/>
  <c r="S111" i="5"/>
  <c r="AL111" i="5" s="1"/>
  <c r="L114" i="5"/>
  <c r="AH114" i="5" s="1"/>
  <c r="AL126" i="5"/>
  <c r="S121" i="5"/>
  <c r="AL121" i="5" s="1"/>
  <c r="L124" i="5"/>
  <c r="AH124" i="5" s="1"/>
  <c r="L132" i="5"/>
  <c r="AH132" i="5" s="1"/>
  <c r="L134" i="5"/>
  <c r="AH134" i="5" s="1"/>
  <c r="L136" i="5"/>
  <c r="AH136" i="5" s="1"/>
  <c r="L138" i="5"/>
  <c r="AH138" i="5" s="1"/>
  <c r="L140" i="5"/>
  <c r="AH140" i="5" s="1"/>
  <c r="AL149" i="5"/>
  <c r="S144" i="5"/>
  <c r="AL144" i="5" s="1"/>
  <c r="L145" i="5"/>
  <c r="AH145" i="5" s="1"/>
  <c r="L147" i="5"/>
  <c r="AH147" i="5" s="1"/>
  <c r="L154" i="5"/>
  <c r="AH154" i="5" s="1"/>
  <c r="L156" i="5"/>
  <c r="AH156" i="5" s="1"/>
  <c r="L158" i="5"/>
  <c r="AH158" i="5" s="1"/>
  <c r="L160" i="5"/>
  <c r="AH160" i="5" s="1"/>
  <c r="L162" i="5"/>
  <c r="AH162" i="5" s="1"/>
  <c r="L164" i="5"/>
  <c r="AH164" i="5" s="1"/>
  <c r="L169" i="5"/>
  <c r="AH169" i="5" s="1"/>
  <c r="L171" i="5"/>
  <c r="AH171" i="5" s="1"/>
  <c r="L176" i="5"/>
  <c r="AH176" i="5" s="1"/>
  <c r="L178" i="5"/>
  <c r="AH178" i="5" s="1"/>
  <c r="L183" i="5"/>
  <c r="AH183" i="5" s="1"/>
  <c r="L185" i="5"/>
  <c r="AH185" i="5" s="1"/>
  <c r="L187" i="5"/>
  <c r="AH187" i="5" s="1"/>
  <c r="L189" i="5"/>
  <c r="AH189" i="5" s="1"/>
  <c r="L195" i="5"/>
  <c r="AH195" i="5" s="1"/>
  <c r="L197" i="5"/>
  <c r="AH197" i="5" s="1"/>
  <c r="L202" i="5"/>
  <c r="AH202" i="5" s="1"/>
  <c r="L204" i="5"/>
  <c r="AH204" i="5" s="1"/>
  <c r="L209" i="5"/>
  <c r="AH209" i="5" s="1"/>
  <c r="L211" i="5"/>
  <c r="AH211" i="5" s="1"/>
  <c r="L216" i="5"/>
  <c r="AH216" i="5" s="1"/>
  <c r="L222" i="5"/>
  <c r="AH222" i="5" s="1"/>
  <c r="L224" i="5"/>
  <c r="AH224" i="5" s="1"/>
  <c r="L226" i="5"/>
  <c r="AH226" i="5" s="1"/>
  <c r="L228" i="5"/>
  <c r="AH228" i="5" s="1"/>
  <c r="L230" i="5"/>
  <c r="AH230" i="5" s="1"/>
  <c r="L235" i="5"/>
  <c r="AH235" i="5" s="1"/>
  <c r="L237" i="5"/>
  <c r="AH237" i="5" s="1"/>
  <c r="L239" i="5"/>
  <c r="AH239" i="5" s="1"/>
  <c r="L244" i="5"/>
  <c r="AH244" i="5" s="1"/>
  <c r="AL250" i="5"/>
  <c r="S245" i="5"/>
  <c r="AL245" i="5" s="1"/>
  <c r="L246" i="5"/>
  <c r="AH246" i="5" s="1"/>
  <c r="L248" i="5"/>
  <c r="AH248" i="5" s="1"/>
  <c r="L253" i="5"/>
  <c r="AH253" i="5" s="1"/>
  <c r="L255" i="5"/>
  <c r="AH255" i="5" s="1"/>
  <c r="L257" i="5"/>
  <c r="AH257" i="5" s="1"/>
  <c r="L259" i="5"/>
  <c r="AH259" i="5" s="1"/>
  <c r="L264" i="5"/>
  <c r="AH264" i="5" s="1"/>
  <c r="L266" i="5"/>
  <c r="AH266" i="5" s="1"/>
  <c r="L268" i="5"/>
  <c r="AH268" i="5" s="1"/>
  <c r="L273" i="5"/>
  <c r="AH273" i="5" s="1"/>
  <c r="L275" i="5"/>
  <c r="AH275" i="5" s="1"/>
  <c r="L277" i="5"/>
  <c r="AH277" i="5" s="1"/>
  <c r="L279" i="5"/>
  <c r="AH279" i="5" s="1"/>
  <c r="L281" i="5"/>
  <c r="AH281" i="5" s="1"/>
  <c r="L283" i="5"/>
  <c r="AH283" i="5" s="1"/>
  <c r="L285" i="5"/>
  <c r="AH285" i="5" s="1"/>
  <c r="AH296" i="5"/>
  <c r="L290" i="5"/>
  <c r="AH290" i="5" s="1"/>
  <c r="AP296" i="5"/>
  <c r="Z290" i="5"/>
  <c r="AP290" i="5" s="1"/>
  <c r="L292" i="5"/>
  <c r="AH292" i="5" s="1"/>
  <c r="L294" i="5"/>
  <c r="AH294" i="5" s="1"/>
  <c r="L306" i="5"/>
  <c r="AH306" i="5" s="1"/>
  <c r="L308" i="5"/>
  <c r="AH308" i="5" s="1"/>
  <c r="L310" i="5"/>
  <c r="AH310" i="5" s="1"/>
  <c r="L314" i="5"/>
  <c r="AH314" i="5" s="1"/>
  <c r="L316" i="5"/>
  <c r="AH316" i="5" s="1"/>
  <c r="L318" i="5"/>
  <c r="AH318" i="5" s="1"/>
  <c r="L322" i="5"/>
  <c r="AH322" i="5" s="1"/>
  <c r="L324" i="5"/>
  <c r="AH324" i="5" s="1"/>
  <c r="L326" i="5"/>
  <c r="AH326" i="5" s="1"/>
  <c r="L330" i="5"/>
  <c r="AH330" i="5" s="1"/>
  <c r="L332" i="5"/>
  <c r="AH332" i="5" s="1"/>
  <c r="L334" i="5"/>
  <c r="AH334" i="5" s="1"/>
  <c r="L338" i="5"/>
  <c r="AH338" i="5" s="1"/>
  <c r="L340" i="5"/>
  <c r="AH340" i="5" s="1"/>
  <c r="L342" i="5"/>
  <c r="AH342" i="5" s="1"/>
  <c r="L346" i="5"/>
  <c r="AH346" i="5" s="1"/>
  <c r="L348" i="5"/>
  <c r="AH348" i="5" s="1"/>
  <c r="L350" i="5"/>
  <c r="AH350" i="5" s="1"/>
  <c r="L354" i="5"/>
  <c r="AH354" i="5" s="1"/>
  <c r="L356" i="5"/>
  <c r="AH356" i="5" s="1"/>
  <c r="L358" i="5"/>
  <c r="AH358" i="5" s="1"/>
  <c r="L362" i="5"/>
  <c r="AH362" i="5" s="1"/>
  <c r="L364" i="5"/>
  <c r="AH364" i="5" s="1"/>
  <c r="L366" i="5"/>
  <c r="AH366" i="5" s="1"/>
  <c r="L370" i="5"/>
  <c r="AH370" i="5" s="1"/>
  <c r="L372" i="5"/>
  <c r="AH372" i="5" s="1"/>
  <c r="L374" i="5"/>
  <c r="AH374" i="5" s="1"/>
  <c r="L378" i="5"/>
  <c r="AH378" i="5" s="1"/>
  <c r="L380" i="5"/>
  <c r="AH380" i="5" s="1"/>
  <c r="L382" i="5"/>
  <c r="AH382" i="5" s="1"/>
  <c r="L387" i="5"/>
  <c r="AH387" i="5" s="1"/>
  <c r="L389" i="5"/>
  <c r="AH389" i="5" s="1"/>
  <c r="L391" i="5"/>
  <c r="AH391" i="5" s="1"/>
  <c r="L393" i="5"/>
  <c r="AH393" i="5" s="1"/>
  <c r="L397" i="5"/>
  <c r="AH397" i="5" s="1"/>
  <c r="L399" i="5"/>
  <c r="AH399" i="5" s="1"/>
  <c r="L401" i="5"/>
  <c r="AH401" i="5" s="1"/>
  <c r="L403" i="5"/>
  <c r="AH403" i="5" s="1"/>
  <c r="L407" i="5"/>
  <c r="AH407" i="5" s="1"/>
  <c r="L409" i="5"/>
  <c r="AH409" i="5" s="1"/>
  <c r="L411" i="5"/>
  <c r="AH411" i="5" s="1"/>
  <c r="L415" i="5"/>
  <c r="AH415" i="5" s="1"/>
  <c r="L417" i="5"/>
  <c r="AH417" i="5" s="1"/>
  <c r="L421" i="5"/>
  <c r="AH421" i="5" s="1"/>
  <c r="L423" i="5"/>
  <c r="AH423" i="5" s="1"/>
  <c r="L425" i="5"/>
  <c r="AH425" i="5" s="1"/>
  <c r="L429" i="5"/>
  <c r="AH429" i="5" s="1"/>
  <c r="L431" i="5"/>
  <c r="AH431" i="5" s="1"/>
  <c r="L435" i="5"/>
  <c r="AH435" i="5" s="1"/>
  <c r="L437" i="5"/>
  <c r="AH437" i="5" s="1"/>
  <c r="L439" i="5"/>
  <c r="AH439" i="5" s="1"/>
  <c r="AH440" i="5"/>
  <c r="Z439" i="5"/>
  <c r="AP439" i="5" s="1"/>
  <c r="AP440" i="5"/>
  <c r="L443" i="5"/>
  <c r="AH443" i="5" s="1"/>
  <c r="L445" i="5"/>
  <c r="AH445" i="5" s="1"/>
  <c r="L447" i="5"/>
  <c r="AH447" i="5" s="1"/>
  <c r="L449" i="5"/>
  <c r="AH449" i="5" s="1"/>
  <c r="L451" i="5"/>
  <c r="AH451" i="5" s="1"/>
  <c r="Q5" i="5"/>
  <c r="Q270" i="5"/>
  <c r="AK270" i="5" s="1"/>
  <c r="Q261" i="5"/>
  <c r="AK261" i="5" s="1"/>
  <c r="Q241" i="5"/>
  <c r="AK241" i="5" s="1"/>
  <c r="Q218" i="5"/>
  <c r="AK218" i="5" s="1"/>
  <c r="Q199" i="5"/>
  <c r="AK199" i="5" s="1"/>
  <c r="Q179" i="5"/>
  <c r="AK179" i="5" s="1"/>
  <c r="Q74" i="5"/>
  <c r="AK74" i="5" s="1"/>
  <c r="Q51" i="5"/>
  <c r="AK51" i="5" s="1"/>
  <c r="Q125" i="5"/>
  <c r="AK125" i="5" s="1"/>
  <c r="Q107" i="5"/>
  <c r="AK107" i="5" s="1"/>
  <c r="Q27" i="5"/>
  <c r="Q35" i="5"/>
  <c r="AK35" i="5" s="1"/>
  <c r="Q295" i="5"/>
  <c r="AK295" i="5" s="1"/>
  <c r="Q232" i="5"/>
  <c r="AK232" i="5" s="1"/>
  <c r="Q212" i="5"/>
  <c r="AK212" i="5" s="1"/>
  <c r="Q249" i="5"/>
  <c r="AK249" i="5" s="1"/>
  <c r="Q206" i="5"/>
  <c r="AK206" i="5" s="1"/>
  <c r="Q191" i="5"/>
  <c r="AK191" i="5" s="1"/>
  <c r="Q172" i="5"/>
  <c r="AK172" i="5" s="1"/>
  <c r="Q44" i="5"/>
  <c r="AK44" i="5" s="1"/>
  <c r="Q148" i="5"/>
  <c r="AK148" i="5" s="1"/>
  <c r="Q115" i="5"/>
  <c r="AK115" i="5" s="1"/>
  <c r="Q19" i="5"/>
  <c r="AK19" i="5" s="1"/>
  <c r="Z19" i="5"/>
  <c r="AP19" i="5" s="1"/>
  <c r="Z270" i="5"/>
  <c r="AP270" i="5" s="1"/>
  <c r="Z261" i="5"/>
  <c r="AP261" i="5" s="1"/>
  <c r="Z218" i="5"/>
  <c r="AP218" i="5" s="1"/>
  <c r="Z206" i="5"/>
  <c r="AP206" i="5" s="1"/>
  <c r="Z232" i="5"/>
  <c r="AP232" i="5" s="1"/>
  <c r="Z212" i="5"/>
  <c r="AP212" i="5" s="1"/>
  <c r="Z115" i="5"/>
  <c r="AP115" i="5" s="1"/>
  <c r="Z179" i="5"/>
  <c r="AP179" i="5" s="1"/>
  <c r="Z74" i="5"/>
  <c r="AP74" i="5" s="1"/>
  <c r="Z44" i="5"/>
  <c r="AP44" i="5" s="1"/>
  <c r="Z27" i="5"/>
  <c r="Z295" i="5"/>
  <c r="AP295" i="5" s="1"/>
  <c r="Z249" i="5"/>
  <c r="AP249" i="5" s="1"/>
  <c r="Z199" i="5"/>
  <c r="AP199" i="5" s="1"/>
  <c r="Z241" i="5"/>
  <c r="AP241" i="5" s="1"/>
  <c r="Z148" i="5"/>
  <c r="AP148" i="5" s="1"/>
  <c r="Z125" i="5"/>
  <c r="AP125" i="5" s="1"/>
  <c r="Z107" i="5"/>
  <c r="AP107" i="5" s="1"/>
  <c r="Z191" i="5"/>
  <c r="AP191" i="5" s="1"/>
  <c r="Z172" i="5"/>
  <c r="AP172" i="5" s="1"/>
  <c r="Z51" i="5"/>
  <c r="AP51" i="5" s="1"/>
  <c r="Z35" i="5"/>
  <c r="AP35" i="5" s="1"/>
  <c r="Q15" i="3"/>
  <c r="AK15" i="3" s="1"/>
  <c r="N15" i="3"/>
  <c r="Q17" i="3"/>
  <c r="AK17" i="3" s="1"/>
  <c r="N17" i="3"/>
  <c r="N23" i="3"/>
  <c r="Q23" i="3"/>
  <c r="AK23" i="3" s="1"/>
  <c r="G25" i="3"/>
  <c r="J25" i="3"/>
  <c r="AG25" i="3" s="1"/>
  <c r="G30" i="3"/>
  <c r="J30" i="3"/>
  <c r="AG30" i="3" s="1"/>
  <c r="G32" i="3"/>
  <c r="J32" i="3"/>
  <c r="AG32" i="3" s="1"/>
  <c r="G34" i="3"/>
  <c r="J34" i="3"/>
  <c r="AG34" i="3" s="1"/>
  <c r="G39" i="3"/>
  <c r="J39" i="3"/>
  <c r="AG39" i="3" s="1"/>
  <c r="G41" i="3"/>
  <c r="J41" i="3"/>
  <c r="AG41" i="3" s="1"/>
  <c r="G43" i="3"/>
  <c r="J43" i="3"/>
  <c r="AG43" i="3" s="1"/>
  <c r="G48" i="3"/>
  <c r="J48" i="3"/>
  <c r="AG48" i="3" s="1"/>
  <c r="G50" i="3"/>
  <c r="J50" i="3"/>
  <c r="AG50" i="3" s="1"/>
  <c r="G55" i="3"/>
  <c r="J55" i="3"/>
  <c r="AG55" i="3" s="1"/>
  <c r="G57" i="3"/>
  <c r="J57" i="3"/>
  <c r="AG57" i="3" s="1"/>
  <c r="G59" i="3"/>
  <c r="J59" i="3"/>
  <c r="AG59" i="3" s="1"/>
  <c r="G61" i="3"/>
  <c r="J61" i="3"/>
  <c r="AG61" i="3" s="1"/>
  <c r="G63" i="3"/>
  <c r="J63" i="3"/>
  <c r="AG63" i="3" s="1"/>
  <c r="G68" i="3"/>
  <c r="J68" i="3"/>
  <c r="AG68" i="3" s="1"/>
  <c r="G70" i="3"/>
  <c r="J70" i="3"/>
  <c r="AG70" i="3" s="1"/>
  <c r="G72" i="3"/>
  <c r="J72" i="3"/>
  <c r="AG72" i="3" s="1"/>
  <c r="G78" i="3"/>
  <c r="J78" i="3"/>
  <c r="AG78" i="3" s="1"/>
  <c r="G80" i="3"/>
  <c r="J80" i="3"/>
  <c r="AG80" i="3" s="1"/>
  <c r="G82" i="3"/>
  <c r="J82" i="3"/>
  <c r="AG82" i="3" s="1"/>
  <c r="G84" i="3"/>
  <c r="J84" i="3"/>
  <c r="AG84" i="3" s="1"/>
  <c r="G86" i="3"/>
  <c r="J86" i="3"/>
  <c r="AG86" i="3" s="1"/>
  <c r="G88" i="3"/>
  <c r="J88" i="3"/>
  <c r="AG88" i="3" s="1"/>
  <c r="G93" i="3"/>
  <c r="J93" i="3"/>
  <c r="AG93" i="3" s="1"/>
  <c r="G95" i="3"/>
  <c r="J95" i="3"/>
  <c r="AG95" i="3" s="1"/>
  <c r="G97" i="3"/>
  <c r="J97" i="3"/>
  <c r="AG97" i="3" s="1"/>
  <c r="G99" i="3"/>
  <c r="J99" i="3"/>
  <c r="AG99" i="3" s="1"/>
  <c r="G104" i="3"/>
  <c r="J104" i="3"/>
  <c r="AG104" i="3" s="1"/>
  <c r="G106" i="3"/>
  <c r="J106" i="3"/>
  <c r="AG106" i="3" s="1"/>
  <c r="G112" i="3"/>
  <c r="J112" i="3"/>
  <c r="AG112" i="3" s="1"/>
  <c r="G114" i="3"/>
  <c r="J114" i="3"/>
  <c r="AG114" i="3" s="1"/>
  <c r="G122" i="3"/>
  <c r="J122" i="3"/>
  <c r="AG122" i="3" s="1"/>
  <c r="G124" i="3"/>
  <c r="J124" i="3"/>
  <c r="AG124" i="3" s="1"/>
  <c r="G131" i="3"/>
  <c r="J131" i="3"/>
  <c r="AG131" i="3" s="1"/>
  <c r="G133" i="3"/>
  <c r="J133" i="3"/>
  <c r="AG133" i="3" s="1"/>
  <c r="G135" i="3"/>
  <c r="J135" i="3"/>
  <c r="AG135" i="3" s="1"/>
  <c r="G137" i="3"/>
  <c r="J137" i="3"/>
  <c r="AG137" i="3" s="1"/>
  <c r="G139" i="3"/>
  <c r="J139" i="3"/>
  <c r="AG139" i="3" s="1"/>
  <c r="AG149" i="3"/>
  <c r="G144" i="3"/>
  <c r="J144" i="3"/>
  <c r="AG144" i="3" s="1"/>
  <c r="G146" i="3"/>
  <c r="J146" i="3"/>
  <c r="AG146" i="3" s="1"/>
  <c r="G153" i="3"/>
  <c r="J153" i="3"/>
  <c r="AG153" i="3" s="1"/>
  <c r="G155" i="3"/>
  <c r="J155" i="3"/>
  <c r="AG155" i="3" s="1"/>
  <c r="G157" i="3"/>
  <c r="J157" i="3"/>
  <c r="AG157" i="3" s="1"/>
  <c r="G159" i="3"/>
  <c r="J159" i="3"/>
  <c r="AG159" i="3" s="1"/>
  <c r="G161" i="3"/>
  <c r="J161" i="3"/>
  <c r="AG161" i="3" s="1"/>
  <c r="G163" i="3"/>
  <c r="J163" i="3"/>
  <c r="AG163" i="3" s="1"/>
  <c r="G168" i="3"/>
  <c r="J168" i="3"/>
  <c r="AG168" i="3" s="1"/>
  <c r="G170" i="3"/>
  <c r="J170" i="3"/>
  <c r="AG170" i="3" s="1"/>
  <c r="G175" i="3"/>
  <c r="J175" i="3"/>
  <c r="AG175" i="3" s="1"/>
  <c r="G177" i="3"/>
  <c r="J177" i="3"/>
  <c r="AG177" i="3" s="1"/>
  <c r="G182" i="3"/>
  <c r="J182" i="3"/>
  <c r="AG182" i="3" s="1"/>
  <c r="G184" i="3"/>
  <c r="J184" i="3"/>
  <c r="AG184" i="3" s="1"/>
  <c r="J186" i="3"/>
  <c r="AG186" i="3" s="1"/>
  <c r="G186" i="3"/>
  <c r="G188" i="3"/>
  <c r="J188" i="3"/>
  <c r="AG188" i="3" s="1"/>
  <c r="G190" i="3"/>
  <c r="J190" i="3"/>
  <c r="AG190" i="3" s="1"/>
  <c r="G196" i="3"/>
  <c r="J196" i="3"/>
  <c r="AG196" i="3" s="1"/>
  <c r="G198" i="3"/>
  <c r="J198" i="3"/>
  <c r="AG198" i="3" s="1"/>
  <c r="G203" i="3"/>
  <c r="J203" i="3"/>
  <c r="AG203" i="3" s="1"/>
  <c r="G205" i="3"/>
  <c r="J205" i="3"/>
  <c r="AG205" i="3" s="1"/>
  <c r="G210" i="3"/>
  <c r="J210" i="3"/>
  <c r="AG210" i="3" s="1"/>
  <c r="G215" i="3"/>
  <c r="J215" i="3"/>
  <c r="AG215" i="3" s="1"/>
  <c r="G217" i="3"/>
  <c r="J217" i="3"/>
  <c r="AG217" i="3" s="1"/>
  <c r="G223" i="3"/>
  <c r="J223" i="3"/>
  <c r="AG223" i="3" s="1"/>
  <c r="G225" i="3"/>
  <c r="J225" i="3"/>
  <c r="AG225" i="3" s="1"/>
  <c r="G227" i="3"/>
  <c r="J227" i="3"/>
  <c r="AG227" i="3" s="1"/>
  <c r="G229" i="3"/>
  <c r="J229" i="3"/>
  <c r="AG229" i="3" s="1"/>
  <c r="G231" i="3"/>
  <c r="J231" i="3"/>
  <c r="AG231" i="3" s="1"/>
  <c r="G236" i="3"/>
  <c r="J236" i="3"/>
  <c r="AG236" i="3" s="1"/>
  <c r="G238" i="3"/>
  <c r="J238" i="3"/>
  <c r="AG238" i="3" s="1"/>
  <c r="G240" i="3"/>
  <c r="J240" i="3"/>
  <c r="AG240" i="3" s="1"/>
  <c r="G245" i="3"/>
  <c r="AG250" i="3"/>
  <c r="J245" i="3"/>
  <c r="AG245" i="3" s="1"/>
  <c r="G247" i="3"/>
  <c r="J247" i="3"/>
  <c r="AG247" i="3" s="1"/>
  <c r="G252" i="3"/>
  <c r="J252" i="3"/>
  <c r="AG252" i="3" s="1"/>
  <c r="G254" i="3"/>
  <c r="J254" i="3"/>
  <c r="AG254" i="3" s="1"/>
  <c r="G256" i="3"/>
  <c r="J256" i="3"/>
  <c r="AG256" i="3" s="1"/>
  <c r="G258" i="3"/>
  <c r="J258" i="3"/>
  <c r="AG258" i="3" s="1"/>
  <c r="G260" i="3"/>
  <c r="J260" i="3"/>
  <c r="AG260" i="3" s="1"/>
  <c r="G265" i="3"/>
  <c r="J265" i="3"/>
  <c r="AG265" i="3" s="1"/>
  <c r="G267" i="3"/>
  <c r="J267" i="3"/>
  <c r="AG267" i="3" s="1"/>
  <c r="G269" i="3"/>
  <c r="J269" i="3"/>
  <c r="AG269" i="3" s="1"/>
  <c r="G274" i="3"/>
  <c r="J274" i="3"/>
  <c r="AG274" i="3" s="1"/>
  <c r="G276" i="3"/>
  <c r="J276" i="3"/>
  <c r="AG276" i="3" s="1"/>
  <c r="G278" i="3"/>
  <c r="J278" i="3"/>
  <c r="AG278" i="3" s="1"/>
  <c r="G280" i="3"/>
  <c r="J280" i="3"/>
  <c r="AG280" i="3" s="1"/>
  <c r="G282" i="3"/>
  <c r="J282" i="3"/>
  <c r="AG282" i="3" s="1"/>
  <c r="G284" i="3"/>
  <c r="J284" i="3"/>
  <c r="AG284" i="3" s="1"/>
  <c r="G286" i="3"/>
  <c r="J286" i="3"/>
  <c r="AG286" i="3" s="1"/>
  <c r="G291" i="3"/>
  <c r="J291" i="3"/>
  <c r="AG291" i="3" s="1"/>
  <c r="G293" i="3"/>
  <c r="J293" i="3"/>
  <c r="AG293" i="3" s="1"/>
  <c r="AG311" i="3"/>
  <c r="G305" i="3"/>
  <c r="J305" i="3"/>
  <c r="AG305" i="3" s="1"/>
  <c r="Z16" i="5"/>
  <c r="AP16" i="5" s="1"/>
  <c r="L18" i="5"/>
  <c r="AH18" i="5" s="1"/>
  <c r="Z24" i="5"/>
  <c r="AP24" i="5" s="1"/>
  <c r="L26" i="5"/>
  <c r="AH26" i="5" s="1"/>
  <c r="Z31" i="5"/>
  <c r="AP31" i="5" s="1"/>
  <c r="L33" i="5"/>
  <c r="AH33" i="5" s="1"/>
  <c r="Z38" i="5"/>
  <c r="AP38" i="5" s="1"/>
  <c r="L40" i="5"/>
  <c r="AH40" i="5" s="1"/>
  <c r="Z42" i="5"/>
  <c r="AP42" i="5" s="1"/>
  <c r="AH52" i="5"/>
  <c r="L47" i="5"/>
  <c r="AH47" i="5" s="1"/>
  <c r="Z49" i="5"/>
  <c r="AP49" i="5" s="1"/>
  <c r="L54" i="5"/>
  <c r="AH54" i="5" s="1"/>
  <c r="Z56" i="5"/>
  <c r="AP56" i="5" s="1"/>
  <c r="L58" i="5"/>
  <c r="AH58" i="5" s="1"/>
  <c r="Z60" i="5"/>
  <c r="AP60" i="5" s="1"/>
  <c r="L62" i="5"/>
  <c r="AH62" i="5" s="1"/>
  <c r="Z64" i="5"/>
  <c r="AP64" i="5" s="1"/>
  <c r="L69" i="5"/>
  <c r="AH69" i="5" s="1"/>
  <c r="Z71" i="5"/>
  <c r="AP71" i="5" s="1"/>
  <c r="L73" i="5"/>
  <c r="AH73" i="5" s="1"/>
  <c r="Z79" i="5"/>
  <c r="AP79" i="5" s="1"/>
  <c r="L81" i="5"/>
  <c r="AH81" i="5" s="1"/>
  <c r="Z83" i="5"/>
  <c r="AP83" i="5" s="1"/>
  <c r="L85" i="5"/>
  <c r="AH85" i="5" s="1"/>
  <c r="Z87" i="5"/>
  <c r="AP87" i="5" s="1"/>
  <c r="L92" i="5"/>
  <c r="AH92" i="5" s="1"/>
  <c r="Z94" i="5"/>
  <c r="AP94" i="5" s="1"/>
  <c r="L96" i="5"/>
  <c r="AH96" i="5" s="1"/>
  <c r="Z98" i="5"/>
  <c r="AP98" i="5" s="1"/>
  <c r="AH108" i="5"/>
  <c r="L103" i="5"/>
  <c r="AH103" i="5" s="1"/>
  <c r="Z105" i="5"/>
  <c r="AP105" i="5" s="1"/>
  <c r="AH116" i="5"/>
  <c r="L111" i="5"/>
  <c r="AH111" i="5" s="1"/>
  <c r="Z113" i="5"/>
  <c r="AP113" i="5" s="1"/>
  <c r="AH126" i="5"/>
  <c r="L121" i="5"/>
  <c r="AH121" i="5" s="1"/>
  <c r="Z123" i="5"/>
  <c r="AP123" i="5" s="1"/>
  <c r="G15" i="5"/>
  <c r="J15" i="5"/>
  <c r="AG15" i="5" s="1"/>
  <c r="U15" i="5"/>
  <c r="X15" i="5"/>
  <c r="AO15" i="5" s="1"/>
  <c r="Q16" i="5"/>
  <c r="AK16" i="5" s="1"/>
  <c r="N16" i="5"/>
  <c r="O16" i="5" s="1"/>
  <c r="AM16" i="5" s="1"/>
  <c r="G17" i="5"/>
  <c r="J17" i="5"/>
  <c r="AG17" i="5" s="1"/>
  <c r="U17" i="5"/>
  <c r="X17" i="5"/>
  <c r="AO17" i="5" s="1"/>
  <c r="N18" i="5"/>
  <c r="Q18" i="5"/>
  <c r="AK18" i="5" s="1"/>
  <c r="G23" i="5"/>
  <c r="J23" i="5"/>
  <c r="AG23" i="5" s="1"/>
  <c r="U23" i="5"/>
  <c r="X23" i="5"/>
  <c r="AO23" i="5" s="1"/>
  <c r="N24" i="5"/>
  <c r="Q24" i="5"/>
  <c r="AK24" i="5" s="1"/>
  <c r="G25" i="5"/>
  <c r="J25" i="5"/>
  <c r="AG25" i="5" s="1"/>
  <c r="U25" i="5"/>
  <c r="X25" i="5"/>
  <c r="AO25" i="5" s="1"/>
  <c r="N26" i="5"/>
  <c r="Q26" i="5"/>
  <c r="AK26" i="5" s="1"/>
  <c r="J30" i="5"/>
  <c r="AG30" i="5" s="1"/>
  <c r="G30" i="5"/>
  <c r="U30" i="5"/>
  <c r="X30" i="5"/>
  <c r="AO30" i="5" s="1"/>
  <c r="N31" i="5"/>
  <c r="Q31" i="5"/>
  <c r="AK31" i="5" s="1"/>
  <c r="G32" i="5"/>
  <c r="J32" i="5"/>
  <c r="AG32" i="5" s="1"/>
  <c r="X32" i="5"/>
  <c r="AO32" i="5" s="1"/>
  <c r="U32" i="5"/>
  <c r="N33" i="5"/>
  <c r="Q33" i="5"/>
  <c r="AK33" i="5" s="1"/>
  <c r="G34" i="5"/>
  <c r="J34" i="5"/>
  <c r="AG34" i="5" s="1"/>
  <c r="X34" i="5"/>
  <c r="AO34" i="5" s="1"/>
  <c r="U34" i="5"/>
  <c r="Q38" i="5"/>
  <c r="AK38" i="5" s="1"/>
  <c r="N38" i="5"/>
  <c r="O38" i="5" s="1"/>
  <c r="AM38" i="5" s="1"/>
  <c r="G39" i="5"/>
  <c r="J39" i="5"/>
  <c r="AG39" i="5" s="1"/>
  <c r="U39" i="5"/>
  <c r="X39" i="5"/>
  <c r="AO39" i="5" s="1"/>
  <c r="N40" i="5"/>
  <c r="Q40" i="5"/>
  <c r="AK40" i="5" s="1"/>
  <c r="G41" i="5"/>
  <c r="J41" i="5"/>
  <c r="AG41" i="5" s="1"/>
  <c r="U41" i="5"/>
  <c r="X41" i="5"/>
  <c r="AO41" i="5" s="1"/>
  <c r="N42" i="5"/>
  <c r="Q42" i="5"/>
  <c r="AK42" i="5" s="1"/>
  <c r="G43" i="5"/>
  <c r="J43" i="5"/>
  <c r="AG43" i="5" s="1"/>
  <c r="U43" i="5"/>
  <c r="X43" i="5"/>
  <c r="AO43" i="5" s="1"/>
  <c r="N47" i="5"/>
  <c r="AK52" i="5"/>
  <c r="Q47" i="5"/>
  <c r="AK47" i="5" s="1"/>
  <c r="G48" i="5"/>
  <c r="J48" i="5"/>
  <c r="AG48" i="5" s="1"/>
  <c r="U48" i="5"/>
  <c r="X48" i="5"/>
  <c r="AO48" i="5" s="1"/>
  <c r="N49" i="5"/>
  <c r="O49" i="5" s="1"/>
  <c r="AM49" i="5" s="1"/>
  <c r="Q49" i="5"/>
  <c r="AK49" i="5" s="1"/>
  <c r="G50" i="5"/>
  <c r="J50" i="5"/>
  <c r="AG50" i="5" s="1"/>
  <c r="U50" i="5"/>
  <c r="X50" i="5"/>
  <c r="AO50" i="5" s="1"/>
  <c r="N54" i="5"/>
  <c r="O54" i="5" s="1"/>
  <c r="AM54" i="5" s="1"/>
  <c r="Q54" i="5"/>
  <c r="AK54" i="5" s="1"/>
  <c r="G55" i="5"/>
  <c r="J55" i="5"/>
  <c r="AG55" i="5" s="1"/>
  <c r="U55" i="5"/>
  <c r="X55" i="5"/>
  <c r="AO55" i="5" s="1"/>
  <c r="N56" i="5"/>
  <c r="O56" i="5" s="1"/>
  <c r="AM56" i="5" s="1"/>
  <c r="Q56" i="5"/>
  <c r="AK56" i="5" s="1"/>
  <c r="G57" i="5"/>
  <c r="J57" i="5"/>
  <c r="AG57" i="5" s="1"/>
  <c r="U57" i="5"/>
  <c r="X57" i="5"/>
  <c r="AO57" i="5" s="1"/>
  <c r="N58" i="5"/>
  <c r="O58" i="5" s="1"/>
  <c r="AM58" i="5" s="1"/>
  <c r="Q58" i="5"/>
  <c r="AK58" i="5" s="1"/>
  <c r="G59" i="5"/>
  <c r="J59" i="5"/>
  <c r="AG59" i="5" s="1"/>
  <c r="U59" i="5"/>
  <c r="X59" i="5"/>
  <c r="AO59" i="5" s="1"/>
  <c r="N60" i="5"/>
  <c r="O60" i="5" s="1"/>
  <c r="AM60" i="5" s="1"/>
  <c r="Q60" i="5"/>
  <c r="AK60" i="5" s="1"/>
  <c r="G61" i="5"/>
  <c r="J61" i="5"/>
  <c r="AG61" i="5" s="1"/>
  <c r="U61" i="5"/>
  <c r="X61" i="5"/>
  <c r="AO61" i="5" s="1"/>
  <c r="N62" i="5"/>
  <c r="O62" i="5" s="1"/>
  <c r="AM62" i="5" s="1"/>
  <c r="Q62" i="5"/>
  <c r="AK62" i="5" s="1"/>
  <c r="G63" i="5"/>
  <c r="J63" i="5"/>
  <c r="AG63" i="5" s="1"/>
  <c r="U63" i="5"/>
  <c r="X63" i="5"/>
  <c r="AO63" i="5" s="1"/>
  <c r="N64" i="5"/>
  <c r="O64" i="5" s="1"/>
  <c r="AM64" i="5" s="1"/>
  <c r="Q64" i="5"/>
  <c r="AK64" i="5" s="1"/>
  <c r="G68" i="5"/>
  <c r="J68" i="5"/>
  <c r="AG68" i="5" s="1"/>
  <c r="U68" i="5"/>
  <c r="X68" i="5"/>
  <c r="AO68" i="5" s="1"/>
  <c r="N69" i="5"/>
  <c r="O69" i="5" s="1"/>
  <c r="AM69" i="5" s="1"/>
  <c r="Q69" i="5"/>
  <c r="AK69" i="5" s="1"/>
  <c r="G70" i="5"/>
  <c r="J70" i="5"/>
  <c r="AG70" i="5" s="1"/>
  <c r="U70" i="5"/>
  <c r="X70" i="5"/>
  <c r="AO70" i="5" s="1"/>
  <c r="N71" i="5"/>
  <c r="O71" i="5" s="1"/>
  <c r="AM71" i="5" s="1"/>
  <c r="Q71" i="5"/>
  <c r="AK71" i="5" s="1"/>
  <c r="G72" i="5"/>
  <c r="J72" i="5"/>
  <c r="AG72" i="5" s="1"/>
  <c r="U72" i="5"/>
  <c r="X72" i="5"/>
  <c r="AO72" i="5" s="1"/>
  <c r="N73" i="5"/>
  <c r="O73" i="5" s="1"/>
  <c r="AM73" i="5" s="1"/>
  <c r="Q73" i="5"/>
  <c r="AK73" i="5" s="1"/>
  <c r="J78" i="5"/>
  <c r="AG78" i="5" s="1"/>
  <c r="G78" i="5"/>
  <c r="X78" i="5"/>
  <c r="AO78" i="5" s="1"/>
  <c r="U78" i="5"/>
  <c r="N79" i="5"/>
  <c r="O79" i="5" s="1"/>
  <c r="AM79" i="5" s="1"/>
  <c r="Q79" i="5"/>
  <c r="AK79" i="5" s="1"/>
  <c r="J80" i="5"/>
  <c r="AG80" i="5" s="1"/>
  <c r="G80" i="5"/>
  <c r="U80" i="5"/>
  <c r="X80" i="5"/>
  <c r="AO80" i="5" s="1"/>
  <c r="Q81" i="5"/>
  <c r="AK81" i="5" s="1"/>
  <c r="N81" i="5"/>
  <c r="G82" i="5"/>
  <c r="J82" i="5"/>
  <c r="AG82" i="5" s="1"/>
  <c r="U82" i="5"/>
  <c r="X82" i="5"/>
  <c r="AO82" i="5" s="1"/>
  <c r="N83" i="5"/>
  <c r="O83" i="5" s="1"/>
  <c r="AM83" i="5" s="1"/>
  <c r="Q83" i="5"/>
  <c r="AK83" i="5" s="1"/>
  <c r="G84" i="5"/>
  <c r="J84" i="5"/>
  <c r="AG84" i="5" s="1"/>
  <c r="U84" i="5"/>
  <c r="X84" i="5"/>
  <c r="AO84" i="5" s="1"/>
  <c r="Q85" i="5"/>
  <c r="AK85" i="5" s="1"/>
  <c r="N85" i="5"/>
  <c r="G86" i="5"/>
  <c r="J86" i="5"/>
  <c r="AG86" i="5" s="1"/>
  <c r="U86" i="5"/>
  <c r="X86" i="5"/>
  <c r="AO86" i="5" s="1"/>
  <c r="N87" i="5"/>
  <c r="O87" i="5" s="1"/>
  <c r="AM87" i="5" s="1"/>
  <c r="Q87" i="5"/>
  <c r="AK87" i="5" s="1"/>
  <c r="G88" i="5"/>
  <c r="J88" i="5"/>
  <c r="AG88" i="5" s="1"/>
  <c r="U88" i="5"/>
  <c r="X88" i="5"/>
  <c r="AO88" i="5" s="1"/>
  <c r="N92" i="5"/>
  <c r="O92" i="5" s="1"/>
  <c r="AM92" i="5" s="1"/>
  <c r="Q92" i="5"/>
  <c r="AK92" i="5" s="1"/>
  <c r="G93" i="5"/>
  <c r="J93" i="5"/>
  <c r="AG93" i="5" s="1"/>
  <c r="U93" i="5"/>
  <c r="X93" i="5"/>
  <c r="AO93" i="5" s="1"/>
  <c r="N94" i="5"/>
  <c r="O94" i="5" s="1"/>
  <c r="AM94" i="5" s="1"/>
  <c r="Q94" i="5"/>
  <c r="AK94" i="5" s="1"/>
  <c r="G95" i="5"/>
  <c r="J95" i="5"/>
  <c r="AG95" i="5" s="1"/>
  <c r="U95" i="5"/>
  <c r="X95" i="5"/>
  <c r="AO95" i="5" s="1"/>
  <c r="N96" i="5"/>
  <c r="O96" i="5" s="1"/>
  <c r="AM96" i="5" s="1"/>
  <c r="Q96" i="5"/>
  <c r="AK96" i="5" s="1"/>
  <c r="G97" i="5"/>
  <c r="J97" i="5"/>
  <c r="AG97" i="5" s="1"/>
  <c r="U97" i="5"/>
  <c r="X97" i="5"/>
  <c r="AO97" i="5" s="1"/>
  <c r="N98" i="5"/>
  <c r="O98" i="5" s="1"/>
  <c r="AM98" i="5" s="1"/>
  <c r="Q98" i="5"/>
  <c r="AK98" i="5" s="1"/>
  <c r="G99" i="5"/>
  <c r="J99" i="5"/>
  <c r="AG99" i="5" s="1"/>
  <c r="U99" i="5"/>
  <c r="X99" i="5"/>
  <c r="AO99" i="5" s="1"/>
  <c r="N103" i="5"/>
  <c r="AK108" i="5"/>
  <c r="Q103" i="5"/>
  <c r="AK103" i="5" s="1"/>
  <c r="G104" i="5"/>
  <c r="J104" i="5"/>
  <c r="AG104" i="5" s="1"/>
  <c r="U104" i="5"/>
  <c r="X104" i="5"/>
  <c r="AO104" i="5" s="1"/>
  <c r="N105" i="5"/>
  <c r="Q105" i="5"/>
  <c r="AK105" i="5" s="1"/>
  <c r="G106" i="5"/>
  <c r="J106" i="5"/>
  <c r="AG106" i="5" s="1"/>
  <c r="U106" i="5"/>
  <c r="X106" i="5"/>
  <c r="AO106" i="5" s="1"/>
  <c r="N111" i="5"/>
  <c r="AK116" i="5"/>
  <c r="Q111" i="5"/>
  <c r="AK111" i="5" s="1"/>
  <c r="G112" i="5"/>
  <c r="J112" i="5"/>
  <c r="AG112" i="5" s="1"/>
  <c r="U112" i="5"/>
  <c r="X112" i="5"/>
  <c r="AO112" i="5" s="1"/>
  <c r="N113" i="5"/>
  <c r="O113" i="5" s="1"/>
  <c r="AM113" i="5" s="1"/>
  <c r="Q113" i="5"/>
  <c r="AK113" i="5" s="1"/>
  <c r="G114" i="5"/>
  <c r="J114" i="5"/>
  <c r="AG114" i="5" s="1"/>
  <c r="U114" i="5"/>
  <c r="X114" i="5"/>
  <c r="AO114" i="5" s="1"/>
  <c r="N121" i="5"/>
  <c r="AK126" i="5"/>
  <c r="Q121" i="5"/>
  <c r="AK121" i="5" s="1"/>
  <c r="G122" i="5"/>
  <c r="J122" i="5"/>
  <c r="AG122" i="5" s="1"/>
  <c r="U122" i="5"/>
  <c r="X122" i="5"/>
  <c r="AO122" i="5" s="1"/>
  <c r="N123" i="5"/>
  <c r="Q123" i="5"/>
  <c r="AK123" i="5" s="1"/>
  <c r="G124" i="5"/>
  <c r="J124" i="5"/>
  <c r="AG124" i="5" s="1"/>
  <c r="U124" i="5"/>
  <c r="X124" i="5"/>
  <c r="AO124" i="5" s="1"/>
  <c r="N130" i="5"/>
  <c r="Q130" i="5"/>
  <c r="AK130" i="5" s="1"/>
  <c r="J131" i="5"/>
  <c r="AG131" i="5" s="1"/>
  <c r="G131" i="5"/>
  <c r="X131" i="5"/>
  <c r="AO131" i="5" s="1"/>
  <c r="U131" i="5"/>
  <c r="Q132" i="5"/>
  <c r="AK132" i="5" s="1"/>
  <c r="N132" i="5"/>
  <c r="O132" i="5" s="1"/>
  <c r="AM132" i="5" s="1"/>
  <c r="G133" i="5"/>
  <c r="J133" i="5"/>
  <c r="AG133" i="5" s="1"/>
  <c r="U133" i="5"/>
  <c r="X133" i="5"/>
  <c r="AO133" i="5" s="1"/>
  <c r="Q134" i="5"/>
  <c r="AK134" i="5" s="1"/>
  <c r="N134" i="5"/>
  <c r="O134" i="5" s="1"/>
  <c r="AM134" i="5" s="1"/>
  <c r="J135" i="5"/>
  <c r="AG135" i="5" s="1"/>
  <c r="G135" i="5"/>
  <c r="X135" i="5"/>
  <c r="AO135" i="5" s="1"/>
  <c r="U135" i="5"/>
  <c r="Q136" i="5"/>
  <c r="AK136" i="5" s="1"/>
  <c r="N136" i="5"/>
  <c r="O136" i="5" s="1"/>
  <c r="AM136" i="5" s="1"/>
  <c r="G137" i="5"/>
  <c r="J137" i="5"/>
  <c r="AG137" i="5" s="1"/>
  <c r="U137" i="5"/>
  <c r="X137" i="5"/>
  <c r="AO137" i="5" s="1"/>
  <c r="N138" i="5"/>
  <c r="Q138" i="5"/>
  <c r="AK138" i="5" s="1"/>
  <c r="J139" i="5"/>
  <c r="AG139" i="5" s="1"/>
  <c r="G139" i="5"/>
  <c r="U139" i="5"/>
  <c r="X139" i="5"/>
  <c r="AO139" i="5" s="1"/>
  <c r="N140" i="5"/>
  <c r="Q140" i="5"/>
  <c r="AK140" i="5" s="1"/>
  <c r="AG149" i="5"/>
  <c r="G144" i="5"/>
  <c r="J144" i="5"/>
  <c r="AG144" i="5" s="1"/>
  <c r="AO149" i="5"/>
  <c r="U144" i="5"/>
  <c r="X144" i="5"/>
  <c r="AO144" i="5" s="1"/>
  <c r="N145" i="5"/>
  <c r="Q145" i="5"/>
  <c r="AK145" i="5" s="1"/>
  <c r="G146" i="5"/>
  <c r="J146" i="5"/>
  <c r="AG146" i="5" s="1"/>
  <c r="U146" i="5"/>
  <c r="X146" i="5"/>
  <c r="AO146" i="5" s="1"/>
  <c r="N147" i="5"/>
  <c r="Q147" i="5"/>
  <c r="AK147" i="5" s="1"/>
  <c r="G153" i="5"/>
  <c r="J153" i="5"/>
  <c r="AG153" i="5" s="1"/>
  <c r="U153" i="5"/>
  <c r="X153" i="5"/>
  <c r="AO153" i="5" s="1"/>
  <c r="N154" i="5"/>
  <c r="Q154" i="5"/>
  <c r="AK154" i="5" s="1"/>
  <c r="G155" i="5"/>
  <c r="J155" i="5"/>
  <c r="AG155" i="5" s="1"/>
  <c r="U155" i="5"/>
  <c r="X155" i="5"/>
  <c r="AO155" i="5" s="1"/>
  <c r="N156" i="5"/>
  <c r="Q156" i="5"/>
  <c r="AK156" i="5" s="1"/>
  <c r="G157" i="5"/>
  <c r="J157" i="5"/>
  <c r="AG157" i="5" s="1"/>
  <c r="U157" i="5"/>
  <c r="X157" i="5"/>
  <c r="AO157" i="5" s="1"/>
  <c r="N158" i="5"/>
  <c r="Q158" i="5"/>
  <c r="AK158" i="5" s="1"/>
  <c r="G159" i="5"/>
  <c r="J159" i="5"/>
  <c r="AG159" i="5" s="1"/>
  <c r="U159" i="5"/>
  <c r="X159" i="5"/>
  <c r="AO159" i="5" s="1"/>
  <c r="N160" i="5"/>
  <c r="Q160" i="5"/>
  <c r="AK160" i="5" s="1"/>
  <c r="G161" i="5"/>
  <c r="J161" i="5"/>
  <c r="AG161" i="5" s="1"/>
  <c r="U161" i="5"/>
  <c r="X161" i="5"/>
  <c r="AO161" i="5" s="1"/>
  <c r="N162" i="5"/>
  <c r="Q162" i="5"/>
  <c r="AK162" i="5" s="1"/>
  <c r="G163" i="5"/>
  <c r="J163" i="5"/>
  <c r="AG163" i="5" s="1"/>
  <c r="U163" i="5"/>
  <c r="X163" i="5"/>
  <c r="AO163" i="5" s="1"/>
  <c r="N164" i="5"/>
  <c r="Q164" i="5"/>
  <c r="AK164" i="5" s="1"/>
  <c r="G168" i="5"/>
  <c r="J168" i="5"/>
  <c r="AG168" i="5" s="1"/>
  <c r="U168" i="5"/>
  <c r="X168" i="5"/>
  <c r="AO168" i="5" s="1"/>
  <c r="N169" i="5"/>
  <c r="Q169" i="5"/>
  <c r="AK169" i="5" s="1"/>
  <c r="G170" i="5"/>
  <c r="J170" i="5"/>
  <c r="AG170" i="5" s="1"/>
  <c r="U170" i="5"/>
  <c r="X170" i="5"/>
  <c r="AO170" i="5" s="1"/>
  <c r="N171" i="5"/>
  <c r="Q171" i="5"/>
  <c r="AK171" i="5" s="1"/>
  <c r="G175" i="5"/>
  <c r="J175" i="5"/>
  <c r="AG175" i="5" s="1"/>
  <c r="U175" i="5"/>
  <c r="X175" i="5"/>
  <c r="AO175" i="5" s="1"/>
  <c r="N176" i="5"/>
  <c r="Q176" i="5"/>
  <c r="AK176" i="5" s="1"/>
  <c r="G177" i="5"/>
  <c r="J177" i="5"/>
  <c r="AG177" i="5" s="1"/>
  <c r="U177" i="5"/>
  <c r="X177" i="5"/>
  <c r="AO177" i="5" s="1"/>
  <c r="N178" i="5"/>
  <c r="Q178" i="5"/>
  <c r="AK178" i="5" s="1"/>
  <c r="G182" i="5"/>
  <c r="J182" i="5"/>
  <c r="AG182" i="5" s="1"/>
  <c r="U182" i="5"/>
  <c r="X182" i="5"/>
  <c r="AO182" i="5" s="1"/>
  <c r="N183" i="5"/>
  <c r="Q183" i="5"/>
  <c r="AK183" i="5" s="1"/>
  <c r="G184" i="5"/>
  <c r="J184" i="5"/>
  <c r="AG184" i="5" s="1"/>
  <c r="U184" i="5"/>
  <c r="X184" i="5"/>
  <c r="AO184" i="5" s="1"/>
  <c r="N185" i="5"/>
  <c r="Q185" i="5"/>
  <c r="AK185" i="5" s="1"/>
  <c r="G186" i="5"/>
  <c r="J186" i="5"/>
  <c r="AG186" i="5" s="1"/>
  <c r="U186" i="5"/>
  <c r="X186" i="5"/>
  <c r="AO186" i="5" s="1"/>
  <c r="N187" i="5"/>
  <c r="Q187" i="5"/>
  <c r="AK187" i="5" s="1"/>
  <c r="G188" i="5"/>
  <c r="J188" i="5"/>
  <c r="AG188" i="5" s="1"/>
  <c r="U188" i="5"/>
  <c r="X188" i="5"/>
  <c r="AO188" i="5" s="1"/>
  <c r="N189" i="5"/>
  <c r="Q189" i="5"/>
  <c r="AK189" i="5" s="1"/>
  <c r="G190" i="5"/>
  <c r="J190" i="5"/>
  <c r="AG190" i="5" s="1"/>
  <c r="U190" i="5"/>
  <c r="X190" i="5"/>
  <c r="AO190" i="5" s="1"/>
  <c r="N195" i="5"/>
  <c r="Q195" i="5"/>
  <c r="AK195" i="5" s="1"/>
  <c r="G196" i="5"/>
  <c r="J196" i="5"/>
  <c r="AG196" i="5" s="1"/>
  <c r="U196" i="5"/>
  <c r="X196" i="5"/>
  <c r="AO196" i="5" s="1"/>
  <c r="N197" i="5"/>
  <c r="Q197" i="5"/>
  <c r="AK197" i="5" s="1"/>
  <c r="G198" i="5"/>
  <c r="J198" i="5"/>
  <c r="AG198" i="5" s="1"/>
  <c r="U198" i="5"/>
  <c r="X198" i="5"/>
  <c r="AO198" i="5" s="1"/>
  <c r="N202" i="5"/>
  <c r="Q202" i="5"/>
  <c r="AK202" i="5" s="1"/>
  <c r="G203" i="5"/>
  <c r="J203" i="5"/>
  <c r="AG203" i="5" s="1"/>
  <c r="U203" i="5"/>
  <c r="X203" i="5"/>
  <c r="AO203" i="5" s="1"/>
  <c r="N204" i="5"/>
  <c r="Q204" i="5"/>
  <c r="AK204" i="5" s="1"/>
  <c r="G205" i="5"/>
  <c r="J205" i="5"/>
  <c r="AG205" i="5" s="1"/>
  <c r="U205" i="5"/>
  <c r="X205" i="5"/>
  <c r="AO205" i="5" s="1"/>
  <c r="N209" i="5"/>
  <c r="Q209" i="5"/>
  <c r="AK209" i="5" s="1"/>
  <c r="G210" i="5"/>
  <c r="J210" i="5"/>
  <c r="AG210" i="5" s="1"/>
  <c r="U210" i="5"/>
  <c r="X210" i="5"/>
  <c r="AO210" i="5" s="1"/>
  <c r="N211" i="5"/>
  <c r="Q211" i="5"/>
  <c r="AK211" i="5" s="1"/>
  <c r="G215" i="5"/>
  <c r="J215" i="5"/>
  <c r="AG215" i="5" s="1"/>
  <c r="U215" i="5"/>
  <c r="X215" i="5"/>
  <c r="AO215" i="5" s="1"/>
  <c r="N216" i="5"/>
  <c r="Q216" i="5"/>
  <c r="AK216" i="5" s="1"/>
  <c r="G217" i="5"/>
  <c r="J217" i="5"/>
  <c r="AG217" i="5" s="1"/>
  <c r="U217" i="5"/>
  <c r="X217" i="5"/>
  <c r="AO217" i="5" s="1"/>
  <c r="N222" i="5"/>
  <c r="Q222" i="5"/>
  <c r="AK222" i="5" s="1"/>
  <c r="G223" i="5"/>
  <c r="J223" i="5"/>
  <c r="AG223" i="5" s="1"/>
  <c r="X223" i="5"/>
  <c r="AO223" i="5" s="1"/>
  <c r="U223" i="5"/>
  <c r="N224" i="5"/>
  <c r="Q224" i="5"/>
  <c r="AK224" i="5" s="1"/>
  <c r="G225" i="5"/>
  <c r="J225" i="5"/>
  <c r="AG225" i="5" s="1"/>
  <c r="U225" i="5"/>
  <c r="X225" i="5"/>
  <c r="AO225" i="5" s="1"/>
  <c r="N226" i="5"/>
  <c r="Q226" i="5"/>
  <c r="AK226" i="5" s="1"/>
  <c r="G227" i="5"/>
  <c r="J227" i="5"/>
  <c r="AG227" i="5" s="1"/>
  <c r="X227" i="5"/>
  <c r="AO227" i="5" s="1"/>
  <c r="U227" i="5"/>
  <c r="N228" i="5"/>
  <c r="Q228" i="5"/>
  <c r="AK228" i="5" s="1"/>
  <c r="G229" i="5"/>
  <c r="J229" i="5"/>
  <c r="AG229" i="5" s="1"/>
  <c r="U229" i="5"/>
  <c r="X229" i="5"/>
  <c r="AO229" i="5" s="1"/>
  <c r="N230" i="5"/>
  <c r="Q230" i="5"/>
  <c r="AK230" i="5" s="1"/>
  <c r="G231" i="5"/>
  <c r="J231" i="5"/>
  <c r="AG231" i="5" s="1"/>
  <c r="X231" i="5"/>
  <c r="AO231" i="5" s="1"/>
  <c r="U231" i="5"/>
  <c r="N235" i="5"/>
  <c r="Q235" i="5"/>
  <c r="AK235" i="5" s="1"/>
  <c r="G236" i="5"/>
  <c r="J236" i="5"/>
  <c r="AG236" i="5" s="1"/>
  <c r="U236" i="5"/>
  <c r="X236" i="5"/>
  <c r="AO236" i="5" s="1"/>
  <c r="N237" i="5"/>
  <c r="Q237" i="5"/>
  <c r="AK237" i="5" s="1"/>
  <c r="G238" i="5"/>
  <c r="J238" i="5"/>
  <c r="AG238" i="5" s="1"/>
  <c r="U238" i="5"/>
  <c r="X238" i="5"/>
  <c r="AO238" i="5" s="1"/>
  <c r="N239" i="5"/>
  <c r="Q239" i="5"/>
  <c r="AK239" i="5" s="1"/>
  <c r="G240" i="5"/>
  <c r="J240" i="5"/>
  <c r="AG240" i="5" s="1"/>
  <c r="U240" i="5"/>
  <c r="X240" i="5"/>
  <c r="AO240" i="5" s="1"/>
  <c r="N244" i="5"/>
  <c r="Q244" i="5"/>
  <c r="AK244" i="5" s="1"/>
  <c r="G245" i="5"/>
  <c r="AG250" i="5"/>
  <c r="J245" i="5"/>
  <c r="AG245" i="5" s="1"/>
  <c r="U245" i="5"/>
  <c r="AO250" i="5"/>
  <c r="X245" i="5"/>
  <c r="AO245" i="5" s="1"/>
  <c r="N246" i="5"/>
  <c r="Q246" i="5"/>
  <c r="AK246" i="5" s="1"/>
  <c r="G247" i="5"/>
  <c r="J247" i="5"/>
  <c r="AG247" i="5" s="1"/>
  <c r="U247" i="5"/>
  <c r="X247" i="5"/>
  <c r="AO247" i="5" s="1"/>
  <c r="N248" i="5"/>
  <c r="Q248" i="5"/>
  <c r="AK248" i="5" s="1"/>
  <c r="G252" i="5"/>
  <c r="J252" i="5"/>
  <c r="AG252" i="5" s="1"/>
  <c r="U252" i="5"/>
  <c r="X252" i="5"/>
  <c r="AO252" i="5" s="1"/>
  <c r="N253" i="5"/>
  <c r="Q253" i="5"/>
  <c r="AK253" i="5" s="1"/>
  <c r="G254" i="5"/>
  <c r="J254" i="5"/>
  <c r="AG254" i="5" s="1"/>
  <c r="U254" i="5"/>
  <c r="X254" i="5"/>
  <c r="AO254" i="5" s="1"/>
  <c r="N255" i="5"/>
  <c r="Q255" i="5"/>
  <c r="AK255" i="5" s="1"/>
  <c r="G256" i="5"/>
  <c r="J256" i="5"/>
  <c r="AG256" i="5" s="1"/>
  <c r="U256" i="5"/>
  <c r="X256" i="5"/>
  <c r="AO256" i="5" s="1"/>
  <c r="N257" i="5"/>
  <c r="Q257" i="5"/>
  <c r="AK257" i="5" s="1"/>
  <c r="G258" i="5"/>
  <c r="J258" i="5"/>
  <c r="AG258" i="5" s="1"/>
  <c r="U258" i="5"/>
  <c r="X258" i="5"/>
  <c r="AO258" i="5" s="1"/>
  <c r="N259" i="5"/>
  <c r="Q259" i="5"/>
  <c r="AK259" i="5" s="1"/>
  <c r="J260" i="5"/>
  <c r="AG260" i="5" s="1"/>
  <c r="G260" i="5"/>
  <c r="U260" i="5"/>
  <c r="X260" i="5"/>
  <c r="AO260" i="5" s="1"/>
  <c r="N264" i="5"/>
  <c r="Q264" i="5"/>
  <c r="AK264" i="5" s="1"/>
  <c r="G265" i="5"/>
  <c r="J265" i="5"/>
  <c r="AG265" i="5" s="1"/>
  <c r="U265" i="5"/>
  <c r="X265" i="5"/>
  <c r="AO265" i="5" s="1"/>
  <c r="N266" i="5"/>
  <c r="Q266" i="5"/>
  <c r="AK266" i="5" s="1"/>
  <c r="G267" i="5"/>
  <c r="J267" i="5"/>
  <c r="AG267" i="5" s="1"/>
  <c r="U267" i="5"/>
  <c r="X267" i="5"/>
  <c r="AO267" i="5" s="1"/>
  <c r="N268" i="5"/>
  <c r="Q268" i="5"/>
  <c r="AK268" i="5" s="1"/>
  <c r="G269" i="5"/>
  <c r="J269" i="5"/>
  <c r="AG269" i="5" s="1"/>
  <c r="U269" i="5"/>
  <c r="X269" i="5"/>
  <c r="AO269" i="5" s="1"/>
  <c r="N273" i="5"/>
  <c r="Q273" i="5"/>
  <c r="AK273" i="5" s="1"/>
  <c r="G274" i="5"/>
  <c r="J274" i="5"/>
  <c r="AG274" i="5" s="1"/>
  <c r="U274" i="5"/>
  <c r="X274" i="5"/>
  <c r="AO274" i="5" s="1"/>
  <c r="N275" i="5"/>
  <c r="Q275" i="5"/>
  <c r="AK275" i="5" s="1"/>
  <c r="G276" i="5"/>
  <c r="J276" i="5"/>
  <c r="AG276" i="5" s="1"/>
  <c r="U276" i="5"/>
  <c r="X276" i="5"/>
  <c r="AO276" i="5" s="1"/>
  <c r="N277" i="5"/>
  <c r="Q277" i="5"/>
  <c r="AK277" i="5" s="1"/>
  <c r="G278" i="5"/>
  <c r="J278" i="5"/>
  <c r="AG278" i="5" s="1"/>
  <c r="U278" i="5"/>
  <c r="X278" i="5"/>
  <c r="AO278" i="5" s="1"/>
  <c r="N279" i="5"/>
  <c r="Q279" i="5"/>
  <c r="AK279" i="5" s="1"/>
  <c r="G280" i="5"/>
  <c r="J280" i="5"/>
  <c r="AG280" i="5" s="1"/>
  <c r="U280" i="5"/>
  <c r="X280" i="5"/>
  <c r="AO280" i="5" s="1"/>
  <c r="N281" i="5"/>
  <c r="Q281" i="5"/>
  <c r="AK281" i="5" s="1"/>
  <c r="G282" i="5"/>
  <c r="J282" i="5"/>
  <c r="AG282" i="5" s="1"/>
  <c r="U282" i="5"/>
  <c r="X282" i="5"/>
  <c r="AO282" i="5" s="1"/>
  <c r="N283" i="5"/>
  <c r="Q283" i="5"/>
  <c r="AK283" i="5" s="1"/>
  <c r="G284" i="5"/>
  <c r="J284" i="5"/>
  <c r="AG284" i="5" s="1"/>
  <c r="U284" i="5"/>
  <c r="X284" i="5"/>
  <c r="AO284" i="5" s="1"/>
  <c r="N285" i="5"/>
  <c r="Q285" i="5"/>
  <c r="AK285" i="5" s="1"/>
  <c r="G286" i="5"/>
  <c r="J286" i="5"/>
  <c r="AG286" i="5" s="1"/>
  <c r="U286" i="5"/>
  <c r="X286" i="5"/>
  <c r="AO286" i="5" s="1"/>
  <c r="N290" i="5"/>
  <c r="Q290" i="5"/>
  <c r="G291" i="5"/>
  <c r="J291" i="5"/>
  <c r="AG291" i="5" s="1"/>
  <c r="U291" i="5"/>
  <c r="X291" i="5"/>
  <c r="AO291" i="5" s="1"/>
  <c r="N292" i="5"/>
  <c r="Q292" i="5"/>
  <c r="AK292" i="5" s="1"/>
  <c r="G293" i="5"/>
  <c r="J293" i="5"/>
  <c r="AG293" i="5" s="1"/>
  <c r="U293" i="5"/>
  <c r="X293" i="5"/>
  <c r="AO293" i="5" s="1"/>
  <c r="N294" i="5"/>
  <c r="Q294" i="5"/>
  <c r="AK294" i="5" s="1"/>
  <c r="AG311" i="5"/>
  <c r="G305" i="5"/>
  <c r="J305" i="5"/>
  <c r="AG305" i="5" s="1"/>
  <c r="AO311" i="5"/>
  <c r="U305" i="5"/>
  <c r="X305" i="5"/>
  <c r="AO305" i="5" s="1"/>
  <c r="N306" i="5"/>
  <c r="Q306" i="5"/>
  <c r="AK306" i="5" s="1"/>
  <c r="G307" i="5"/>
  <c r="J307" i="5"/>
  <c r="AG307" i="5" s="1"/>
  <c r="U307" i="5"/>
  <c r="X307" i="5"/>
  <c r="AO307" i="5" s="1"/>
  <c r="N308" i="5"/>
  <c r="Q308" i="5"/>
  <c r="AK308" i="5" s="1"/>
  <c r="G309" i="5"/>
  <c r="J309" i="5"/>
  <c r="AG309" i="5" s="1"/>
  <c r="U309" i="5"/>
  <c r="X309" i="5"/>
  <c r="AO309" i="5" s="1"/>
  <c r="N310" i="5"/>
  <c r="Q310" i="5"/>
  <c r="AK310" i="5" s="1"/>
  <c r="G313" i="5"/>
  <c r="AG319" i="5"/>
  <c r="J313" i="5"/>
  <c r="AG313" i="5" s="1"/>
  <c r="U313" i="5"/>
  <c r="AO319" i="5"/>
  <c r="X313" i="5"/>
  <c r="AO313" i="5" s="1"/>
  <c r="N314" i="5"/>
  <c r="Q314" i="5"/>
  <c r="AK314" i="5" s="1"/>
  <c r="G315" i="5"/>
  <c r="J315" i="5"/>
  <c r="AG315" i="5" s="1"/>
  <c r="U315" i="5"/>
  <c r="X315" i="5"/>
  <c r="AO315" i="5" s="1"/>
  <c r="N316" i="5"/>
  <c r="Q316" i="5"/>
  <c r="AK316" i="5" s="1"/>
  <c r="G317" i="5"/>
  <c r="J317" i="5"/>
  <c r="AG317" i="5" s="1"/>
  <c r="U317" i="5"/>
  <c r="X317" i="5"/>
  <c r="AO317" i="5" s="1"/>
  <c r="N318" i="5"/>
  <c r="Q318" i="5"/>
  <c r="AK318" i="5" s="1"/>
  <c r="AG327" i="5"/>
  <c r="G321" i="5"/>
  <c r="J321" i="5"/>
  <c r="AG321" i="5" s="1"/>
  <c r="AO327" i="5"/>
  <c r="U321" i="5"/>
  <c r="X321" i="5"/>
  <c r="AO321" i="5" s="1"/>
  <c r="N322" i="5"/>
  <c r="Q322" i="5"/>
  <c r="AK322" i="5" s="1"/>
  <c r="G323" i="5"/>
  <c r="J323" i="5"/>
  <c r="AG323" i="5" s="1"/>
  <c r="U323" i="5"/>
  <c r="X323" i="5"/>
  <c r="AO323" i="5" s="1"/>
  <c r="N324" i="5"/>
  <c r="Q324" i="5"/>
  <c r="AK324" i="5" s="1"/>
  <c r="G325" i="5"/>
  <c r="J325" i="5"/>
  <c r="AG325" i="5" s="1"/>
  <c r="U325" i="5"/>
  <c r="X325" i="5"/>
  <c r="AO325" i="5" s="1"/>
  <c r="N326" i="5"/>
  <c r="Q326" i="5"/>
  <c r="AK326" i="5" s="1"/>
  <c r="G329" i="5"/>
  <c r="AG335" i="5"/>
  <c r="J329" i="5"/>
  <c r="AG329" i="5" s="1"/>
  <c r="U329" i="5"/>
  <c r="AO335" i="5"/>
  <c r="X329" i="5"/>
  <c r="AO329" i="5" s="1"/>
  <c r="N330" i="5"/>
  <c r="Q330" i="5"/>
  <c r="AK330" i="5" s="1"/>
  <c r="G331" i="5"/>
  <c r="J331" i="5"/>
  <c r="AG331" i="5" s="1"/>
  <c r="U331" i="5"/>
  <c r="X331" i="5"/>
  <c r="AO331" i="5" s="1"/>
  <c r="N332" i="5"/>
  <c r="Q332" i="5"/>
  <c r="AK332" i="5" s="1"/>
  <c r="G333" i="5"/>
  <c r="J333" i="5"/>
  <c r="AG333" i="5" s="1"/>
  <c r="U333" i="5"/>
  <c r="X333" i="5"/>
  <c r="AO333" i="5" s="1"/>
  <c r="N334" i="5"/>
  <c r="Q334" i="5"/>
  <c r="AK334" i="5" s="1"/>
  <c r="G337" i="5"/>
  <c r="J337" i="5"/>
  <c r="AG337" i="5" s="1"/>
  <c r="AG343" i="5"/>
  <c r="U337" i="5"/>
  <c r="X337" i="5"/>
  <c r="AO337" i="5" s="1"/>
  <c r="AO343" i="5"/>
  <c r="N338" i="5"/>
  <c r="Q338" i="5"/>
  <c r="AK338" i="5" s="1"/>
  <c r="G339" i="5"/>
  <c r="J339" i="5"/>
  <c r="AG339" i="5" s="1"/>
  <c r="U339" i="5"/>
  <c r="X339" i="5"/>
  <c r="AO339" i="5" s="1"/>
  <c r="N340" i="5"/>
  <c r="Q340" i="5"/>
  <c r="AK340" i="5" s="1"/>
  <c r="J341" i="5"/>
  <c r="AG341" i="5" s="1"/>
  <c r="G341" i="5"/>
  <c r="U341" i="5"/>
  <c r="X341" i="5"/>
  <c r="AO341" i="5" s="1"/>
  <c r="N342" i="5"/>
  <c r="Q342" i="5"/>
  <c r="AK342" i="5" s="1"/>
  <c r="AG351" i="5"/>
  <c r="G345" i="5"/>
  <c r="J345" i="5"/>
  <c r="AG345" i="5" s="1"/>
  <c r="U345" i="5"/>
  <c r="AO351" i="5"/>
  <c r="X345" i="5"/>
  <c r="AO345" i="5" s="1"/>
  <c r="N346" i="5"/>
  <c r="Q346" i="5"/>
  <c r="AK346" i="5" s="1"/>
  <c r="G347" i="5"/>
  <c r="J347" i="5"/>
  <c r="AG347" i="5" s="1"/>
  <c r="U347" i="5"/>
  <c r="X347" i="5"/>
  <c r="AO347" i="5" s="1"/>
  <c r="N348" i="5"/>
  <c r="Q348" i="5"/>
  <c r="AK348" i="5" s="1"/>
  <c r="G349" i="5"/>
  <c r="J349" i="5"/>
  <c r="AG349" i="5" s="1"/>
  <c r="U349" i="5"/>
  <c r="X349" i="5"/>
  <c r="AO349" i="5" s="1"/>
  <c r="N350" i="5"/>
  <c r="Q350" i="5"/>
  <c r="AK350" i="5" s="1"/>
  <c r="G353" i="5"/>
  <c r="AG359" i="5"/>
  <c r="J353" i="5"/>
  <c r="AG353" i="5" s="1"/>
  <c r="U353" i="5"/>
  <c r="AO359" i="5"/>
  <c r="X353" i="5"/>
  <c r="AO353" i="5" s="1"/>
  <c r="N354" i="5"/>
  <c r="Q354" i="5"/>
  <c r="AK354" i="5" s="1"/>
  <c r="G355" i="5"/>
  <c r="J355" i="5"/>
  <c r="AG355" i="5" s="1"/>
  <c r="U355" i="5"/>
  <c r="X355" i="5"/>
  <c r="AO355" i="5" s="1"/>
  <c r="N356" i="5"/>
  <c r="Q356" i="5"/>
  <c r="AK356" i="5" s="1"/>
  <c r="G357" i="5"/>
  <c r="J357" i="5"/>
  <c r="AG357" i="5" s="1"/>
  <c r="U357" i="5"/>
  <c r="X357" i="5"/>
  <c r="AO357" i="5" s="1"/>
  <c r="N358" i="5"/>
  <c r="Q358" i="5"/>
  <c r="AK358" i="5" s="1"/>
  <c r="AG367" i="5"/>
  <c r="G361" i="5"/>
  <c r="J361" i="5"/>
  <c r="AG361" i="5" s="1"/>
  <c r="AO367" i="5"/>
  <c r="U361" i="5"/>
  <c r="X361" i="5"/>
  <c r="AO361" i="5" s="1"/>
  <c r="N362" i="5"/>
  <c r="Q362" i="5"/>
  <c r="AK362" i="5" s="1"/>
  <c r="G363" i="5"/>
  <c r="J363" i="5"/>
  <c r="AG363" i="5" s="1"/>
  <c r="U363" i="5"/>
  <c r="X363" i="5"/>
  <c r="AO363" i="5" s="1"/>
  <c r="N364" i="5"/>
  <c r="Q364" i="5"/>
  <c r="AK364" i="5" s="1"/>
  <c r="G365" i="5"/>
  <c r="J365" i="5"/>
  <c r="AG365" i="5" s="1"/>
  <c r="U365" i="5"/>
  <c r="X365" i="5"/>
  <c r="AO365" i="5" s="1"/>
  <c r="N366" i="5"/>
  <c r="Q366" i="5"/>
  <c r="AK366" i="5" s="1"/>
  <c r="G369" i="5"/>
  <c r="AG375" i="5"/>
  <c r="J369" i="5"/>
  <c r="AG369" i="5" s="1"/>
  <c r="AO375" i="5"/>
  <c r="U369" i="5"/>
  <c r="X369" i="5"/>
  <c r="AO369" i="5" s="1"/>
  <c r="N370" i="5"/>
  <c r="Q370" i="5"/>
  <c r="AK370" i="5" s="1"/>
  <c r="G371" i="5"/>
  <c r="J371" i="5"/>
  <c r="AG371" i="5" s="1"/>
  <c r="U371" i="5"/>
  <c r="X371" i="5"/>
  <c r="AO371" i="5" s="1"/>
  <c r="N372" i="5"/>
  <c r="Q372" i="5"/>
  <c r="AK372" i="5" s="1"/>
  <c r="J373" i="5"/>
  <c r="AG373" i="5" s="1"/>
  <c r="G373" i="5"/>
  <c r="X373" i="5"/>
  <c r="AO373" i="5" s="1"/>
  <c r="U373" i="5"/>
  <c r="N374" i="5"/>
  <c r="Q374" i="5"/>
  <c r="AK374" i="5" s="1"/>
  <c r="G377" i="5"/>
  <c r="AG383" i="5"/>
  <c r="J377" i="5"/>
  <c r="AG377" i="5" s="1"/>
  <c r="U377" i="5"/>
  <c r="AO383" i="5"/>
  <c r="X377" i="5"/>
  <c r="AO377" i="5" s="1"/>
  <c r="N378" i="5"/>
  <c r="Q378" i="5"/>
  <c r="AK378" i="5" s="1"/>
  <c r="G379" i="5"/>
  <c r="J379" i="5"/>
  <c r="AG379" i="5" s="1"/>
  <c r="U379" i="5"/>
  <c r="X379" i="5"/>
  <c r="AO379" i="5" s="1"/>
  <c r="N380" i="5"/>
  <c r="Q380" i="5"/>
  <c r="AK380" i="5" s="1"/>
  <c r="G381" i="5"/>
  <c r="J381" i="5"/>
  <c r="AG381" i="5" s="1"/>
  <c r="U381" i="5"/>
  <c r="X381" i="5"/>
  <c r="AO381" i="5" s="1"/>
  <c r="N382" i="5"/>
  <c r="Q382" i="5"/>
  <c r="AK382" i="5" s="1"/>
  <c r="G386" i="5"/>
  <c r="J386" i="5"/>
  <c r="AG386" i="5" s="1"/>
  <c r="U386" i="5"/>
  <c r="X386" i="5"/>
  <c r="AO386" i="5" s="1"/>
  <c r="N387" i="5"/>
  <c r="Q387" i="5"/>
  <c r="AK387" i="5" s="1"/>
  <c r="G388" i="5"/>
  <c r="J388" i="5"/>
  <c r="AG388" i="5" s="1"/>
  <c r="U388" i="5"/>
  <c r="X388" i="5"/>
  <c r="AO388" i="5" s="1"/>
  <c r="N389" i="5"/>
  <c r="Q389" i="5"/>
  <c r="AK389" i="5" s="1"/>
  <c r="G390" i="5"/>
  <c r="J390" i="5"/>
  <c r="AG390" i="5" s="1"/>
  <c r="U390" i="5"/>
  <c r="X390" i="5"/>
  <c r="AO390" i="5" s="1"/>
  <c r="N391" i="5"/>
  <c r="Q391" i="5"/>
  <c r="AK391" i="5" s="1"/>
  <c r="G392" i="5"/>
  <c r="J392" i="5"/>
  <c r="AG392" i="5" s="1"/>
  <c r="U392" i="5"/>
  <c r="X392" i="5"/>
  <c r="AO392" i="5" s="1"/>
  <c r="N393" i="5"/>
  <c r="Q393" i="5"/>
  <c r="AK393" i="5" s="1"/>
  <c r="G394" i="5"/>
  <c r="J394" i="5"/>
  <c r="AG394" i="5" s="1"/>
  <c r="U394" i="5"/>
  <c r="X394" i="5"/>
  <c r="AO394" i="5" s="1"/>
  <c r="N397" i="5"/>
  <c r="Q397" i="5"/>
  <c r="AK397" i="5" s="1"/>
  <c r="G398" i="5"/>
  <c r="J398" i="5"/>
  <c r="AG398" i="5" s="1"/>
  <c r="U398" i="5"/>
  <c r="X398" i="5"/>
  <c r="AO398" i="5" s="1"/>
  <c r="N399" i="5"/>
  <c r="Q399" i="5"/>
  <c r="AK399" i="5" s="1"/>
  <c r="G400" i="5"/>
  <c r="J400" i="5"/>
  <c r="AG400" i="5" s="1"/>
  <c r="U400" i="5"/>
  <c r="X400" i="5"/>
  <c r="AO400" i="5" s="1"/>
  <c r="N401" i="5"/>
  <c r="Q401" i="5"/>
  <c r="AK401" i="5" s="1"/>
  <c r="G402" i="5"/>
  <c r="J402" i="5"/>
  <c r="AG402" i="5" s="1"/>
  <c r="U402" i="5"/>
  <c r="X402" i="5"/>
  <c r="AO402" i="5" s="1"/>
  <c r="N403" i="5"/>
  <c r="Q403" i="5"/>
  <c r="AK403" i="5" s="1"/>
  <c r="G404" i="5"/>
  <c r="J404" i="5"/>
  <c r="AG404" i="5" s="1"/>
  <c r="U404" i="5"/>
  <c r="X404" i="5"/>
  <c r="AO404" i="5" s="1"/>
  <c r="N407" i="5"/>
  <c r="Q407" i="5"/>
  <c r="AK407" i="5" s="1"/>
  <c r="G408" i="5"/>
  <c r="J408" i="5"/>
  <c r="AG408" i="5" s="1"/>
  <c r="U408" i="5"/>
  <c r="X408" i="5"/>
  <c r="AO408" i="5" s="1"/>
  <c r="N409" i="5"/>
  <c r="Q409" i="5"/>
  <c r="AK409" i="5" s="1"/>
  <c r="G410" i="5"/>
  <c r="J410" i="5"/>
  <c r="AG410" i="5" s="1"/>
  <c r="U410" i="5"/>
  <c r="X410" i="5"/>
  <c r="AO410" i="5" s="1"/>
  <c r="N411" i="5"/>
  <c r="Q411" i="5"/>
  <c r="AK411" i="5" s="1"/>
  <c r="G414" i="5"/>
  <c r="J414" i="5"/>
  <c r="AG414" i="5" s="1"/>
  <c r="U414" i="5"/>
  <c r="X414" i="5"/>
  <c r="AO414" i="5" s="1"/>
  <c r="N415" i="5"/>
  <c r="Q415" i="5"/>
  <c r="AK415" i="5" s="1"/>
  <c r="G416" i="5"/>
  <c r="J416" i="5"/>
  <c r="AG416" i="5" s="1"/>
  <c r="U416" i="5"/>
  <c r="X416" i="5"/>
  <c r="AO416" i="5" s="1"/>
  <c r="N417" i="5"/>
  <c r="Q417" i="5"/>
  <c r="AK417" i="5" s="1"/>
  <c r="G420" i="5"/>
  <c r="J420" i="5"/>
  <c r="AG420" i="5" s="1"/>
  <c r="U420" i="5"/>
  <c r="X420" i="5"/>
  <c r="AO420" i="5" s="1"/>
  <c r="N421" i="5"/>
  <c r="Q421" i="5"/>
  <c r="AK421" i="5" s="1"/>
  <c r="G422" i="5"/>
  <c r="J422" i="5"/>
  <c r="AG422" i="5" s="1"/>
  <c r="U422" i="5"/>
  <c r="X422" i="5"/>
  <c r="AO422" i="5" s="1"/>
  <c r="N423" i="5"/>
  <c r="Q423" i="5"/>
  <c r="AK423" i="5" s="1"/>
  <c r="G424" i="5"/>
  <c r="J424" i="5"/>
  <c r="AG424" i="5" s="1"/>
  <c r="U424" i="5"/>
  <c r="X424" i="5"/>
  <c r="AO424" i="5" s="1"/>
  <c r="N425" i="5"/>
  <c r="Q425" i="5"/>
  <c r="AK425" i="5" s="1"/>
  <c r="AG433" i="5"/>
  <c r="G428" i="5"/>
  <c r="J428" i="5"/>
  <c r="AG428" i="5" s="1"/>
  <c r="AO433" i="5"/>
  <c r="U428" i="5"/>
  <c r="X428" i="5"/>
  <c r="AO428" i="5" s="1"/>
  <c r="N429" i="5"/>
  <c r="Q429" i="5"/>
  <c r="AK429" i="5" s="1"/>
  <c r="G430" i="5"/>
  <c r="J430" i="5"/>
  <c r="AG430" i="5" s="1"/>
  <c r="U430" i="5"/>
  <c r="X430" i="5"/>
  <c r="AO430" i="5" s="1"/>
  <c r="N431" i="5"/>
  <c r="Q431" i="5"/>
  <c r="AK431" i="5" s="1"/>
  <c r="G432" i="5"/>
  <c r="J432" i="5"/>
  <c r="AG432" i="5" s="1"/>
  <c r="U432" i="5"/>
  <c r="X432" i="5"/>
  <c r="AO432" i="5" s="1"/>
  <c r="N435" i="5"/>
  <c r="Q435" i="5"/>
  <c r="AK435" i="5" s="1"/>
  <c r="G436" i="5"/>
  <c r="J436" i="5"/>
  <c r="AG436" i="5" s="1"/>
  <c r="U436" i="5"/>
  <c r="X436" i="5"/>
  <c r="AO436" i="5" s="1"/>
  <c r="N437" i="5"/>
  <c r="Q437" i="5"/>
  <c r="AK437" i="5" s="1"/>
  <c r="G438" i="5"/>
  <c r="J438" i="5"/>
  <c r="AG438" i="5" s="1"/>
  <c r="U438" i="5"/>
  <c r="X438" i="5"/>
  <c r="AO438" i="5" s="1"/>
  <c r="N439" i="5"/>
  <c r="Q439" i="5"/>
  <c r="G442" i="5"/>
  <c r="J442" i="5"/>
  <c r="AG442" i="5" s="1"/>
  <c r="U442" i="5"/>
  <c r="X442" i="5"/>
  <c r="AO442" i="5" s="1"/>
  <c r="N443" i="5"/>
  <c r="Q443" i="5"/>
  <c r="AK443" i="5" s="1"/>
  <c r="G444" i="5"/>
  <c r="J444" i="5"/>
  <c r="AG444" i="5" s="1"/>
  <c r="U444" i="5"/>
  <c r="X444" i="5"/>
  <c r="AO444" i="5" s="1"/>
  <c r="N445" i="5"/>
  <c r="Q445" i="5"/>
  <c r="AK445" i="5" s="1"/>
  <c r="G446" i="5"/>
  <c r="J446" i="5"/>
  <c r="AG446" i="5" s="1"/>
  <c r="U446" i="5"/>
  <c r="X446" i="5"/>
  <c r="AO446" i="5" s="1"/>
  <c r="N447" i="5"/>
  <c r="Q447" i="5"/>
  <c r="AK447" i="5" s="1"/>
  <c r="G448" i="5"/>
  <c r="J448" i="5"/>
  <c r="AG448" i="5" s="1"/>
  <c r="U448" i="5"/>
  <c r="X448" i="5"/>
  <c r="AO448" i="5" s="1"/>
  <c r="N449" i="5"/>
  <c r="Q449" i="5"/>
  <c r="AK449" i="5" s="1"/>
  <c r="G450" i="5"/>
  <c r="J450" i="5"/>
  <c r="AG450" i="5" s="1"/>
  <c r="U450" i="5"/>
  <c r="X450" i="5"/>
  <c r="AO450" i="5" s="1"/>
  <c r="N451" i="5"/>
  <c r="Q451" i="5"/>
  <c r="AK451" i="5" s="1"/>
  <c r="G452" i="5"/>
  <c r="J452" i="5"/>
  <c r="AG452" i="5" s="1"/>
  <c r="U452" i="5"/>
  <c r="X452" i="5"/>
  <c r="AO452" i="5" s="1"/>
  <c r="X5" i="5"/>
  <c r="X212" i="5"/>
  <c r="AO212" i="5" s="1"/>
  <c r="X249" i="5"/>
  <c r="AO249" i="5" s="1"/>
  <c r="X218" i="5"/>
  <c r="AO218" i="5" s="1"/>
  <c r="X199" i="5"/>
  <c r="AO199" i="5" s="1"/>
  <c r="X179" i="5"/>
  <c r="AO179" i="5" s="1"/>
  <c r="X74" i="5"/>
  <c r="AO74" i="5" s="1"/>
  <c r="X51" i="5"/>
  <c r="AO51" i="5" s="1"/>
  <c r="X125" i="5"/>
  <c r="AO125" i="5" s="1"/>
  <c r="X107" i="5"/>
  <c r="AO107" i="5" s="1"/>
  <c r="X19" i="5"/>
  <c r="AO19" i="5" s="1"/>
  <c r="X270" i="5"/>
  <c r="AO270" i="5" s="1"/>
  <c r="X261" i="5"/>
  <c r="AO261" i="5" s="1"/>
  <c r="X295" i="5"/>
  <c r="AO295" i="5" s="1"/>
  <c r="X241" i="5"/>
  <c r="AO241" i="5" s="1"/>
  <c r="X232" i="5"/>
  <c r="AO232" i="5" s="1"/>
  <c r="X206" i="5"/>
  <c r="AO206" i="5" s="1"/>
  <c r="X191" i="5"/>
  <c r="AO191" i="5" s="1"/>
  <c r="X172" i="5"/>
  <c r="AO172" i="5" s="1"/>
  <c r="X44" i="5"/>
  <c r="AO44" i="5" s="1"/>
  <c r="X148" i="5"/>
  <c r="AO148" i="5" s="1"/>
  <c r="X115" i="5"/>
  <c r="AO115" i="5" s="1"/>
  <c r="X27" i="5"/>
  <c r="X35" i="5"/>
  <c r="AO35" i="5" s="1"/>
  <c r="Q5" i="3"/>
  <c r="Q218" i="3"/>
  <c r="AK218" i="3" s="1"/>
  <c r="Q199" i="3"/>
  <c r="AK199" i="3" s="1"/>
  <c r="Q241" i="3"/>
  <c r="AK241" i="3" s="1"/>
  <c r="Q232" i="3"/>
  <c r="AK232" i="3" s="1"/>
  <c r="Q125" i="3"/>
  <c r="AK125" i="3" s="1"/>
  <c r="Q107" i="3"/>
  <c r="AK107" i="3" s="1"/>
  <c r="Q172" i="3"/>
  <c r="AK172" i="3" s="1"/>
  <c r="Q74" i="3"/>
  <c r="AK74" i="3" s="1"/>
  <c r="Q51" i="3"/>
  <c r="AK51" i="3" s="1"/>
  <c r="Q19" i="3"/>
  <c r="AK19" i="3" s="1"/>
  <c r="Q270" i="3"/>
  <c r="AK270" i="3" s="1"/>
  <c r="Q261" i="3"/>
  <c r="AK261" i="3" s="1"/>
  <c r="Q295" i="3"/>
  <c r="AK295" i="3" s="1"/>
  <c r="Q249" i="3"/>
  <c r="AK249" i="3" s="1"/>
  <c r="Q206" i="3"/>
  <c r="AK206" i="3" s="1"/>
  <c r="Q191" i="3"/>
  <c r="AK191" i="3" s="1"/>
  <c r="Q212" i="3"/>
  <c r="AK212" i="3" s="1"/>
  <c r="Q148" i="3"/>
  <c r="AK148" i="3" s="1"/>
  <c r="Q115" i="3"/>
  <c r="AK115" i="3" s="1"/>
  <c r="Q179" i="3"/>
  <c r="AK179" i="3" s="1"/>
  <c r="Q44" i="3"/>
  <c r="AK44" i="3" s="1"/>
  <c r="Q35" i="3"/>
  <c r="AK35" i="3" s="1"/>
  <c r="Q27" i="3"/>
  <c r="J16" i="3"/>
  <c r="AG16" i="3" s="1"/>
  <c r="G16" i="3"/>
  <c r="N26" i="3"/>
  <c r="O26" i="3" s="1"/>
  <c r="AM26" i="3" s="1"/>
  <c r="Q26" i="3"/>
  <c r="AK26" i="3" s="1"/>
  <c r="N31" i="3"/>
  <c r="O31" i="3" s="1"/>
  <c r="AM31" i="3" s="1"/>
  <c r="Q31" i="3"/>
  <c r="AK31" i="3" s="1"/>
  <c r="N33" i="3"/>
  <c r="O33" i="3" s="1"/>
  <c r="AM33" i="3" s="1"/>
  <c r="Q33" i="3"/>
  <c r="AK33" i="3" s="1"/>
  <c r="N38" i="3"/>
  <c r="O38" i="3" s="1"/>
  <c r="AM38" i="3" s="1"/>
  <c r="Q38" i="3"/>
  <c r="AK38" i="3" s="1"/>
  <c r="N40" i="3"/>
  <c r="O40" i="3" s="1"/>
  <c r="AM40" i="3" s="1"/>
  <c r="Q40" i="3"/>
  <c r="AK40" i="3" s="1"/>
  <c r="N42" i="3"/>
  <c r="O42" i="3" s="1"/>
  <c r="AM42" i="3" s="1"/>
  <c r="Q42" i="3"/>
  <c r="AK42" i="3" s="1"/>
  <c r="N47" i="3"/>
  <c r="Q47" i="3"/>
  <c r="AK47" i="3" s="1"/>
  <c r="AK52" i="3"/>
  <c r="N49" i="3"/>
  <c r="Q49" i="3"/>
  <c r="AK49" i="3" s="1"/>
  <c r="N54" i="3"/>
  <c r="Q54" i="3"/>
  <c r="AK54" i="3" s="1"/>
  <c r="N56" i="3"/>
  <c r="Q56" i="3"/>
  <c r="AK56" i="3" s="1"/>
  <c r="N58" i="3"/>
  <c r="Q58" i="3"/>
  <c r="AK58" i="3" s="1"/>
  <c r="N60" i="3"/>
  <c r="Q60" i="3"/>
  <c r="AK60" i="3" s="1"/>
  <c r="N62" i="3"/>
  <c r="Q62" i="3"/>
  <c r="AK62" i="3" s="1"/>
  <c r="N64" i="3"/>
  <c r="Q64" i="3"/>
  <c r="AK64" i="3" s="1"/>
  <c r="N69" i="3"/>
  <c r="Q69" i="3"/>
  <c r="AK69" i="3" s="1"/>
  <c r="N71" i="3"/>
  <c r="Q71" i="3"/>
  <c r="AK71" i="3" s="1"/>
  <c r="N73" i="3"/>
  <c r="Q73" i="3"/>
  <c r="AK73" i="3" s="1"/>
  <c r="N79" i="3"/>
  <c r="Q79" i="3"/>
  <c r="AK79" i="3" s="1"/>
  <c r="N81" i="3"/>
  <c r="Q81" i="3"/>
  <c r="AK81" i="3" s="1"/>
  <c r="N83" i="3"/>
  <c r="Q83" i="3"/>
  <c r="AK83" i="3" s="1"/>
  <c r="N85" i="3"/>
  <c r="Q85" i="3"/>
  <c r="AK85" i="3" s="1"/>
  <c r="N87" i="3"/>
  <c r="Q87" i="3"/>
  <c r="AK87" i="3" s="1"/>
  <c r="N92" i="3"/>
  <c r="Q92" i="3"/>
  <c r="AK92" i="3" s="1"/>
  <c r="N94" i="3"/>
  <c r="Q94" i="3"/>
  <c r="AK94" i="3" s="1"/>
  <c r="N96" i="3"/>
  <c r="Q96" i="3"/>
  <c r="AK96" i="3" s="1"/>
  <c r="N98" i="3"/>
  <c r="Q98" i="3"/>
  <c r="AK98" i="3" s="1"/>
  <c r="N103" i="3"/>
  <c r="AK108" i="3"/>
  <c r="Q103" i="3"/>
  <c r="AK103" i="3" s="1"/>
  <c r="N105" i="3"/>
  <c r="O105" i="3" s="1"/>
  <c r="AM105" i="3" s="1"/>
  <c r="Q105" i="3"/>
  <c r="AK105" i="3" s="1"/>
  <c r="AK116" i="3"/>
  <c r="N111" i="3"/>
  <c r="Q111" i="3"/>
  <c r="AK111" i="3" s="1"/>
  <c r="N113" i="3"/>
  <c r="Q113" i="3"/>
  <c r="AK113" i="3" s="1"/>
  <c r="N121" i="3"/>
  <c r="AK126" i="3"/>
  <c r="Q121" i="3"/>
  <c r="AK121" i="3" s="1"/>
  <c r="N123" i="3"/>
  <c r="O123" i="3" s="1"/>
  <c r="AM123" i="3" s="1"/>
  <c r="Q123" i="3"/>
  <c r="AK123" i="3" s="1"/>
  <c r="N130" i="3"/>
  <c r="O130" i="3" s="1"/>
  <c r="AM130" i="3" s="1"/>
  <c r="Q130" i="3"/>
  <c r="AK130" i="3" s="1"/>
  <c r="N132" i="3"/>
  <c r="O132" i="3" s="1"/>
  <c r="AM132" i="3" s="1"/>
  <c r="Q132" i="3"/>
  <c r="AK132" i="3" s="1"/>
  <c r="N134" i="3"/>
  <c r="O134" i="3" s="1"/>
  <c r="AM134" i="3" s="1"/>
  <c r="Q134" i="3"/>
  <c r="AK134" i="3" s="1"/>
  <c r="N136" i="3"/>
  <c r="O136" i="3" s="1"/>
  <c r="AM136" i="3" s="1"/>
  <c r="Q136" i="3"/>
  <c r="AK136" i="3" s="1"/>
  <c r="N138" i="3"/>
  <c r="O138" i="3" s="1"/>
  <c r="AM138" i="3" s="1"/>
  <c r="Q138" i="3"/>
  <c r="AK138" i="3" s="1"/>
  <c r="N140" i="3"/>
  <c r="O140" i="3" s="1"/>
  <c r="AM140" i="3" s="1"/>
  <c r="Q140" i="3"/>
  <c r="AK140" i="3" s="1"/>
  <c r="N145" i="3"/>
  <c r="O145" i="3" s="1"/>
  <c r="AM145" i="3" s="1"/>
  <c r="Q145" i="3"/>
  <c r="AK145" i="3" s="1"/>
  <c r="N147" i="3"/>
  <c r="O147" i="3" s="1"/>
  <c r="AM147" i="3" s="1"/>
  <c r="Q147" i="3"/>
  <c r="AK147" i="3" s="1"/>
  <c r="N154" i="3"/>
  <c r="O154" i="3" s="1"/>
  <c r="AM154" i="3" s="1"/>
  <c r="Q154" i="3"/>
  <c r="AK154" i="3" s="1"/>
  <c r="N156" i="3"/>
  <c r="O156" i="3" s="1"/>
  <c r="AM156" i="3" s="1"/>
  <c r="Q156" i="3"/>
  <c r="AK156" i="3" s="1"/>
  <c r="N158" i="3"/>
  <c r="O158" i="3" s="1"/>
  <c r="AM158" i="3" s="1"/>
  <c r="Q158" i="3"/>
  <c r="AK158" i="3" s="1"/>
  <c r="N160" i="3"/>
  <c r="O160" i="3" s="1"/>
  <c r="AM160" i="3" s="1"/>
  <c r="Q160" i="3"/>
  <c r="AK160" i="3" s="1"/>
  <c r="N162" i="3"/>
  <c r="O162" i="3" s="1"/>
  <c r="AM162" i="3" s="1"/>
  <c r="Q162" i="3"/>
  <c r="AK162" i="3" s="1"/>
  <c r="N164" i="3"/>
  <c r="O164" i="3" s="1"/>
  <c r="AM164" i="3" s="1"/>
  <c r="Q164" i="3"/>
  <c r="AK164" i="3" s="1"/>
  <c r="N169" i="3"/>
  <c r="O169" i="3" s="1"/>
  <c r="AM169" i="3" s="1"/>
  <c r="Q169" i="3"/>
  <c r="AK169" i="3" s="1"/>
  <c r="N171" i="3"/>
  <c r="O171" i="3" s="1"/>
  <c r="AM171" i="3" s="1"/>
  <c r="Q171" i="3"/>
  <c r="AK171" i="3" s="1"/>
  <c r="N176" i="3"/>
  <c r="O176" i="3" s="1"/>
  <c r="AM176" i="3" s="1"/>
  <c r="Q176" i="3"/>
  <c r="AK176" i="3" s="1"/>
  <c r="N178" i="3"/>
  <c r="O178" i="3" s="1"/>
  <c r="AM178" i="3" s="1"/>
  <c r="Q178" i="3"/>
  <c r="AK178" i="3" s="1"/>
  <c r="N183" i="3"/>
  <c r="O183" i="3" s="1"/>
  <c r="AM183" i="3" s="1"/>
  <c r="Q183" i="3"/>
  <c r="AK183" i="3" s="1"/>
  <c r="N185" i="3"/>
  <c r="O185" i="3" s="1"/>
  <c r="AM185" i="3" s="1"/>
  <c r="Q185" i="3"/>
  <c r="AK185" i="3" s="1"/>
  <c r="N187" i="3"/>
  <c r="O187" i="3" s="1"/>
  <c r="AM187" i="3" s="1"/>
  <c r="Q187" i="3"/>
  <c r="AK187" i="3" s="1"/>
  <c r="N189" i="3"/>
  <c r="O189" i="3" s="1"/>
  <c r="AM189" i="3" s="1"/>
  <c r="Q189" i="3"/>
  <c r="AK189" i="3" s="1"/>
  <c r="N195" i="3"/>
  <c r="O195" i="3" s="1"/>
  <c r="AM195" i="3" s="1"/>
  <c r="Q195" i="3"/>
  <c r="AK195" i="3" s="1"/>
  <c r="N197" i="3"/>
  <c r="O197" i="3" s="1"/>
  <c r="AM197" i="3" s="1"/>
  <c r="Q197" i="3"/>
  <c r="AK197" i="3" s="1"/>
  <c r="N202" i="3"/>
  <c r="O202" i="3" s="1"/>
  <c r="AM202" i="3" s="1"/>
  <c r="Q202" i="3"/>
  <c r="AK202" i="3" s="1"/>
  <c r="N204" i="3"/>
  <c r="O204" i="3" s="1"/>
  <c r="AM204" i="3" s="1"/>
  <c r="Q204" i="3"/>
  <c r="AK204" i="3" s="1"/>
  <c r="N209" i="3"/>
  <c r="O209" i="3" s="1"/>
  <c r="AM209" i="3" s="1"/>
  <c r="Q209" i="3"/>
  <c r="AK209" i="3" s="1"/>
  <c r="N211" i="3"/>
  <c r="O211" i="3" s="1"/>
  <c r="AM211" i="3" s="1"/>
  <c r="Q211" i="3"/>
  <c r="AK211" i="3" s="1"/>
  <c r="N216" i="3"/>
  <c r="O216" i="3" s="1"/>
  <c r="AM216" i="3" s="1"/>
  <c r="Q216" i="3"/>
  <c r="AK216" i="3" s="1"/>
  <c r="N222" i="3"/>
  <c r="O222" i="3" s="1"/>
  <c r="AM222" i="3" s="1"/>
  <c r="Q222" i="3"/>
  <c r="AK222" i="3" s="1"/>
  <c r="N224" i="3"/>
  <c r="O224" i="3" s="1"/>
  <c r="AM224" i="3" s="1"/>
  <c r="Q224" i="3"/>
  <c r="AK224" i="3" s="1"/>
  <c r="N226" i="3"/>
  <c r="O226" i="3" s="1"/>
  <c r="AM226" i="3" s="1"/>
  <c r="Q226" i="3"/>
  <c r="AK226" i="3" s="1"/>
  <c r="N228" i="3"/>
  <c r="O228" i="3" s="1"/>
  <c r="AM228" i="3" s="1"/>
  <c r="Q228" i="3"/>
  <c r="AK228" i="3" s="1"/>
  <c r="N230" i="3"/>
  <c r="O230" i="3" s="1"/>
  <c r="AM230" i="3" s="1"/>
  <c r="Q230" i="3"/>
  <c r="AK230" i="3" s="1"/>
  <c r="N235" i="3"/>
  <c r="O235" i="3" s="1"/>
  <c r="AM235" i="3" s="1"/>
  <c r="Q235" i="3"/>
  <c r="AK235" i="3" s="1"/>
  <c r="N237" i="3"/>
  <c r="O237" i="3" s="1"/>
  <c r="AM237" i="3" s="1"/>
  <c r="Q237" i="3"/>
  <c r="AK237" i="3" s="1"/>
  <c r="N239" i="3"/>
  <c r="O239" i="3" s="1"/>
  <c r="AM239" i="3" s="1"/>
  <c r="Q239" i="3"/>
  <c r="AK239" i="3" s="1"/>
  <c r="N244" i="3"/>
  <c r="O244" i="3" s="1"/>
  <c r="AM244" i="3" s="1"/>
  <c r="Q244" i="3"/>
  <c r="AK244" i="3" s="1"/>
  <c r="N246" i="3"/>
  <c r="O246" i="3" s="1"/>
  <c r="AM246" i="3" s="1"/>
  <c r="Q246" i="3"/>
  <c r="AK246" i="3" s="1"/>
  <c r="N248" i="3"/>
  <c r="O248" i="3" s="1"/>
  <c r="AM248" i="3" s="1"/>
  <c r="Q248" i="3"/>
  <c r="AK248" i="3" s="1"/>
  <c r="N253" i="3"/>
  <c r="O253" i="3" s="1"/>
  <c r="AM253" i="3" s="1"/>
  <c r="Q253" i="3"/>
  <c r="AK253" i="3" s="1"/>
  <c r="N255" i="3"/>
  <c r="O255" i="3" s="1"/>
  <c r="AM255" i="3" s="1"/>
  <c r="Q255" i="3"/>
  <c r="AK255" i="3" s="1"/>
  <c r="N257" i="3"/>
  <c r="O257" i="3" s="1"/>
  <c r="AM257" i="3" s="1"/>
  <c r="Q257" i="3"/>
  <c r="AK257" i="3" s="1"/>
  <c r="N259" i="3"/>
  <c r="O259" i="3" s="1"/>
  <c r="AM259" i="3" s="1"/>
  <c r="Q259" i="3"/>
  <c r="AK259" i="3" s="1"/>
  <c r="N264" i="3"/>
  <c r="O264" i="3" s="1"/>
  <c r="AM264" i="3" s="1"/>
  <c r="Q264" i="3"/>
  <c r="AK264" i="3" s="1"/>
  <c r="N266" i="3"/>
  <c r="O266" i="3" s="1"/>
  <c r="AM266" i="3" s="1"/>
  <c r="Q266" i="3"/>
  <c r="AK266" i="3" s="1"/>
  <c r="N268" i="3"/>
  <c r="O268" i="3" s="1"/>
  <c r="AM268" i="3" s="1"/>
  <c r="Q268" i="3"/>
  <c r="AK268" i="3" s="1"/>
  <c r="N273" i="3"/>
  <c r="O273" i="3" s="1"/>
  <c r="AM273" i="3" s="1"/>
  <c r="Q273" i="3"/>
  <c r="AK273" i="3" s="1"/>
  <c r="N275" i="3"/>
  <c r="O275" i="3" s="1"/>
  <c r="AM275" i="3" s="1"/>
  <c r="Q275" i="3"/>
  <c r="AK275" i="3" s="1"/>
  <c r="N277" i="3"/>
  <c r="O277" i="3" s="1"/>
  <c r="AM277" i="3" s="1"/>
  <c r="Q277" i="3"/>
  <c r="AK277" i="3" s="1"/>
  <c r="N279" i="3"/>
  <c r="O279" i="3" s="1"/>
  <c r="AM279" i="3" s="1"/>
  <c r="Q279" i="3"/>
  <c r="AK279" i="3" s="1"/>
  <c r="N281" i="3"/>
  <c r="O281" i="3" s="1"/>
  <c r="AM281" i="3" s="1"/>
  <c r="Q281" i="3"/>
  <c r="AK281" i="3" s="1"/>
  <c r="N283" i="3"/>
  <c r="O283" i="3" s="1"/>
  <c r="AM283" i="3" s="1"/>
  <c r="Q283" i="3"/>
  <c r="AK283" i="3" s="1"/>
  <c r="N285" i="3"/>
  <c r="O285" i="3" s="1"/>
  <c r="AM285" i="3" s="1"/>
  <c r="Q285" i="3"/>
  <c r="AK285" i="3" s="1"/>
  <c r="N290" i="3"/>
  <c r="O290" i="3" s="1"/>
  <c r="Q290" i="3"/>
  <c r="N292" i="3"/>
  <c r="O292" i="3" s="1"/>
  <c r="AM292" i="3" s="1"/>
  <c r="Q292" i="3"/>
  <c r="AK292" i="3" s="1"/>
  <c r="N294" i="3"/>
  <c r="O294" i="3" s="1"/>
  <c r="AM294" i="3" s="1"/>
  <c r="Q294" i="3"/>
  <c r="AK294" i="3" s="1"/>
  <c r="N306" i="3"/>
  <c r="O306" i="3" s="1"/>
  <c r="AM306" i="3" s="1"/>
  <c r="Q306" i="3"/>
  <c r="AK306" i="3" s="1"/>
  <c r="N307" i="3"/>
  <c r="O307" i="3" s="1"/>
  <c r="AM307" i="3" s="1"/>
  <c r="Q307" i="3"/>
  <c r="AK307" i="3" s="1"/>
  <c r="N308" i="3"/>
  <c r="O308" i="3" s="1"/>
  <c r="AM308" i="3" s="1"/>
  <c r="Q308" i="3"/>
  <c r="AK308" i="3" s="1"/>
  <c r="N309" i="3"/>
  <c r="O309" i="3" s="1"/>
  <c r="AM309" i="3" s="1"/>
  <c r="Q309" i="3"/>
  <c r="AK309" i="3" s="1"/>
  <c r="N310" i="3"/>
  <c r="O310" i="3" s="1"/>
  <c r="AM310" i="3" s="1"/>
  <c r="Q310" i="3"/>
  <c r="AK310" i="3" s="1"/>
  <c r="N313" i="3"/>
  <c r="O313" i="3" s="1"/>
  <c r="Q313" i="3"/>
  <c r="N314" i="3"/>
  <c r="O314" i="3" s="1"/>
  <c r="AM314" i="3" s="1"/>
  <c r="Q314" i="3"/>
  <c r="AK314" i="3" s="1"/>
  <c r="N315" i="3"/>
  <c r="O315" i="3" s="1"/>
  <c r="AM315" i="3" s="1"/>
  <c r="Q315" i="3"/>
  <c r="AK315" i="3" s="1"/>
  <c r="N316" i="3"/>
  <c r="O316" i="3" s="1"/>
  <c r="AM316" i="3" s="1"/>
  <c r="Q316" i="3"/>
  <c r="AK316" i="3" s="1"/>
  <c r="N317" i="3"/>
  <c r="O317" i="3" s="1"/>
  <c r="AM317" i="3" s="1"/>
  <c r="Q317" i="3"/>
  <c r="AK317" i="3" s="1"/>
  <c r="N318" i="3"/>
  <c r="O318" i="3" s="1"/>
  <c r="AM318" i="3" s="1"/>
  <c r="Q318" i="3"/>
  <c r="AK318" i="3" s="1"/>
  <c r="N321" i="3"/>
  <c r="O321" i="3" s="1"/>
  <c r="Q321" i="3"/>
  <c r="N322" i="3"/>
  <c r="O322" i="3" s="1"/>
  <c r="AM322" i="3" s="1"/>
  <c r="Q322" i="3"/>
  <c r="AK322" i="3" s="1"/>
  <c r="N323" i="3"/>
  <c r="O323" i="3" s="1"/>
  <c r="AM323" i="3" s="1"/>
  <c r="Q323" i="3"/>
  <c r="AK323" i="3" s="1"/>
  <c r="N324" i="3"/>
  <c r="O324" i="3" s="1"/>
  <c r="AM324" i="3" s="1"/>
  <c r="Q324" i="3"/>
  <c r="AK324" i="3" s="1"/>
  <c r="N325" i="3"/>
  <c r="O325" i="3" s="1"/>
  <c r="AM325" i="3" s="1"/>
  <c r="Q325" i="3"/>
  <c r="AK325" i="3" s="1"/>
  <c r="N326" i="3"/>
  <c r="O326" i="3" s="1"/>
  <c r="AM326" i="3" s="1"/>
  <c r="Q326" i="3"/>
  <c r="AK326" i="3" s="1"/>
  <c r="N329" i="3"/>
  <c r="O329" i="3" s="1"/>
  <c r="Q329" i="3"/>
  <c r="N330" i="3"/>
  <c r="O330" i="3" s="1"/>
  <c r="AM330" i="3" s="1"/>
  <c r="Q330" i="3"/>
  <c r="AK330" i="3" s="1"/>
  <c r="N331" i="3"/>
  <c r="O331" i="3" s="1"/>
  <c r="AM331" i="3" s="1"/>
  <c r="Q331" i="3"/>
  <c r="AK331" i="3" s="1"/>
  <c r="N332" i="3"/>
  <c r="O332" i="3" s="1"/>
  <c r="AM332" i="3" s="1"/>
  <c r="Q332" i="3"/>
  <c r="AK332" i="3" s="1"/>
  <c r="N333" i="3"/>
  <c r="O333" i="3" s="1"/>
  <c r="AM333" i="3" s="1"/>
  <c r="Q333" i="3"/>
  <c r="AK333" i="3" s="1"/>
  <c r="N334" i="3"/>
  <c r="O334" i="3" s="1"/>
  <c r="AM334" i="3" s="1"/>
  <c r="Q334" i="3"/>
  <c r="AK334" i="3" s="1"/>
  <c r="N337" i="3"/>
  <c r="O337" i="3" s="1"/>
  <c r="Q337" i="3"/>
  <c r="N338" i="3"/>
  <c r="O338" i="3" s="1"/>
  <c r="AM338" i="3" s="1"/>
  <c r="Q338" i="3"/>
  <c r="AK338" i="3" s="1"/>
  <c r="N339" i="3"/>
  <c r="O339" i="3" s="1"/>
  <c r="AM339" i="3" s="1"/>
  <c r="Q339" i="3"/>
  <c r="AK339" i="3" s="1"/>
  <c r="N340" i="3"/>
  <c r="O340" i="3" s="1"/>
  <c r="AM340" i="3" s="1"/>
  <c r="Q340" i="3"/>
  <c r="AK340" i="3" s="1"/>
  <c r="N341" i="3"/>
  <c r="O341" i="3" s="1"/>
  <c r="AM341" i="3" s="1"/>
  <c r="Q341" i="3"/>
  <c r="AK341" i="3" s="1"/>
  <c r="N342" i="3"/>
  <c r="O342" i="3" s="1"/>
  <c r="AM342" i="3" s="1"/>
  <c r="Q342" i="3"/>
  <c r="AK342" i="3" s="1"/>
  <c r="N345" i="3"/>
  <c r="O345" i="3" s="1"/>
  <c r="Q345" i="3"/>
  <c r="N346" i="3"/>
  <c r="O346" i="3" s="1"/>
  <c r="AM346" i="3" s="1"/>
  <c r="Q346" i="3"/>
  <c r="AK346" i="3" s="1"/>
  <c r="N347" i="3"/>
  <c r="O347" i="3" s="1"/>
  <c r="AM347" i="3" s="1"/>
  <c r="Q347" i="3"/>
  <c r="AK347" i="3" s="1"/>
  <c r="N348" i="3"/>
  <c r="O348" i="3" s="1"/>
  <c r="AM348" i="3" s="1"/>
  <c r="Q348" i="3"/>
  <c r="AK348" i="3" s="1"/>
  <c r="N349" i="3"/>
  <c r="O349" i="3" s="1"/>
  <c r="AM349" i="3" s="1"/>
  <c r="Q349" i="3"/>
  <c r="AK349" i="3" s="1"/>
  <c r="N350" i="3"/>
  <c r="O350" i="3" s="1"/>
  <c r="AM350" i="3" s="1"/>
  <c r="Q350" i="3"/>
  <c r="AK350" i="3" s="1"/>
  <c r="N353" i="3"/>
  <c r="O353" i="3" s="1"/>
  <c r="Q353" i="3"/>
  <c r="N354" i="3"/>
  <c r="O354" i="3" s="1"/>
  <c r="AM354" i="3" s="1"/>
  <c r="Q354" i="3"/>
  <c r="AK354" i="3" s="1"/>
  <c r="N355" i="3"/>
  <c r="O355" i="3" s="1"/>
  <c r="AM355" i="3" s="1"/>
  <c r="Q355" i="3"/>
  <c r="AK355" i="3" s="1"/>
  <c r="N356" i="3"/>
  <c r="O356" i="3" s="1"/>
  <c r="AM356" i="3" s="1"/>
  <c r="Q356" i="3"/>
  <c r="AK356" i="3" s="1"/>
  <c r="N357" i="3"/>
  <c r="O357" i="3" s="1"/>
  <c r="AM357" i="3" s="1"/>
  <c r="Q357" i="3"/>
  <c r="AK357" i="3" s="1"/>
  <c r="N358" i="3"/>
  <c r="O358" i="3" s="1"/>
  <c r="AM358" i="3" s="1"/>
  <c r="Q358" i="3"/>
  <c r="AK358" i="3" s="1"/>
  <c r="N361" i="3"/>
  <c r="O361" i="3" s="1"/>
  <c r="Q361" i="3"/>
  <c r="N362" i="3"/>
  <c r="O362" i="3" s="1"/>
  <c r="AM362" i="3" s="1"/>
  <c r="Q362" i="3"/>
  <c r="AK362" i="3" s="1"/>
  <c r="N363" i="3"/>
  <c r="O363" i="3" s="1"/>
  <c r="AM363" i="3" s="1"/>
  <c r="Q363" i="3"/>
  <c r="AK363" i="3" s="1"/>
  <c r="N364" i="3"/>
  <c r="O364" i="3" s="1"/>
  <c r="AM364" i="3" s="1"/>
  <c r="Q364" i="3"/>
  <c r="AK364" i="3" s="1"/>
  <c r="N365" i="3"/>
  <c r="O365" i="3" s="1"/>
  <c r="AM365" i="3" s="1"/>
  <c r="Q365" i="3"/>
  <c r="AK365" i="3" s="1"/>
  <c r="N366" i="3"/>
  <c r="O366" i="3" s="1"/>
  <c r="AM366" i="3" s="1"/>
  <c r="Q366" i="3"/>
  <c r="AK366" i="3" s="1"/>
  <c r="N369" i="3"/>
  <c r="O369" i="3" s="1"/>
  <c r="Q369" i="3"/>
  <c r="N370" i="3"/>
  <c r="O370" i="3" s="1"/>
  <c r="AM370" i="3" s="1"/>
  <c r="Q370" i="3"/>
  <c r="AK370" i="3" s="1"/>
  <c r="N371" i="3"/>
  <c r="O371" i="3" s="1"/>
  <c r="AM371" i="3" s="1"/>
  <c r="Q371" i="3"/>
  <c r="AK371" i="3" s="1"/>
  <c r="N372" i="3"/>
  <c r="O372" i="3" s="1"/>
  <c r="AM372" i="3" s="1"/>
  <c r="Q372" i="3"/>
  <c r="AK372" i="3" s="1"/>
  <c r="N373" i="3"/>
  <c r="O373" i="3" s="1"/>
  <c r="AM373" i="3" s="1"/>
  <c r="Q373" i="3"/>
  <c r="AK373" i="3" s="1"/>
  <c r="N374" i="3"/>
  <c r="O374" i="3" s="1"/>
  <c r="AM374" i="3" s="1"/>
  <c r="Q374" i="3"/>
  <c r="AK374" i="3" s="1"/>
  <c r="N377" i="3"/>
  <c r="O377" i="3" s="1"/>
  <c r="Q377" i="3"/>
  <c r="N378" i="3"/>
  <c r="O378" i="3" s="1"/>
  <c r="AM378" i="3" s="1"/>
  <c r="Q378" i="3"/>
  <c r="AK378" i="3" s="1"/>
  <c r="N379" i="3"/>
  <c r="O379" i="3" s="1"/>
  <c r="AM379" i="3" s="1"/>
  <c r="Q379" i="3"/>
  <c r="AK379" i="3" s="1"/>
  <c r="N380" i="3"/>
  <c r="O380" i="3" s="1"/>
  <c r="AM380" i="3" s="1"/>
  <c r="Q380" i="3"/>
  <c r="AK380" i="3" s="1"/>
  <c r="N381" i="3"/>
  <c r="O381" i="3" s="1"/>
  <c r="AM381" i="3" s="1"/>
  <c r="Q381" i="3"/>
  <c r="AK381" i="3" s="1"/>
  <c r="N382" i="3"/>
  <c r="O382" i="3" s="1"/>
  <c r="AM382" i="3" s="1"/>
  <c r="Q382" i="3"/>
  <c r="AK382" i="3" s="1"/>
  <c r="N386" i="3"/>
  <c r="O386" i="3" s="1"/>
  <c r="AM386" i="3" s="1"/>
  <c r="Q386" i="3"/>
  <c r="AK386" i="3" s="1"/>
  <c r="N387" i="3"/>
  <c r="O387" i="3" s="1"/>
  <c r="AM387" i="3" s="1"/>
  <c r="Q387" i="3"/>
  <c r="AK387" i="3" s="1"/>
  <c r="N388" i="3"/>
  <c r="O388" i="3" s="1"/>
  <c r="AM388" i="3" s="1"/>
  <c r="Q388" i="3"/>
  <c r="AK388" i="3" s="1"/>
  <c r="N389" i="3"/>
  <c r="O389" i="3" s="1"/>
  <c r="AM389" i="3" s="1"/>
  <c r="Q389" i="3"/>
  <c r="AK389" i="3" s="1"/>
  <c r="N390" i="3"/>
  <c r="O390" i="3" s="1"/>
  <c r="AM390" i="3" s="1"/>
  <c r="Q390" i="3"/>
  <c r="AK390" i="3" s="1"/>
  <c r="N391" i="3"/>
  <c r="O391" i="3" s="1"/>
  <c r="AM391" i="3" s="1"/>
  <c r="Q391" i="3"/>
  <c r="AK391" i="3" s="1"/>
  <c r="N392" i="3"/>
  <c r="O392" i="3" s="1"/>
  <c r="AM392" i="3" s="1"/>
  <c r="Q392" i="3"/>
  <c r="AK392" i="3" s="1"/>
  <c r="N393" i="3"/>
  <c r="O393" i="3" s="1"/>
  <c r="AM393" i="3" s="1"/>
  <c r="Q393" i="3"/>
  <c r="AK393" i="3" s="1"/>
  <c r="N394" i="3"/>
  <c r="O394" i="3" s="1"/>
  <c r="AM394" i="3" s="1"/>
  <c r="Q394" i="3"/>
  <c r="AK394" i="3" s="1"/>
  <c r="N397" i="3"/>
  <c r="O397" i="3" s="1"/>
  <c r="AM397" i="3" s="1"/>
  <c r="Q397" i="3"/>
  <c r="AK397" i="3" s="1"/>
  <c r="N398" i="3"/>
  <c r="O398" i="3" s="1"/>
  <c r="AM398" i="3" s="1"/>
  <c r="Q398" i="3"/>
  <c r="AK398" i="3" s="1"/>
  <c r="N399" i="3"/>
  <c r="O399" i="3" s="1"/>
  <c r="AM399" i="3" s="1"/>
  <c r="Q399" i="3"/>
  <c r="AK399" i="3" s="1"/>
  <c r="N400" i="3"/>
  <c r="O400" i="3" s="1"/>
  <c r="AM400" i="3" s="1"/>
  <c r="Q400" i="3"/>
  <c r="AK400" i="3" s="1"/>
  <c r="N401" i="3"/>
  <c r="O401" i="3" s="1"/>
  <c r="AM401" i="3" s="1"/>
  <c r="Q401" i="3"/>
  <c r="AK401" i="3" s="1"/>
  <c r="N402" i="3"/>
  <c r="O402" i="3" s="1"/>
  <c r="AM402" i="3" s="1"/>
  <c r="Q402" i="3"/>
  <c r="AK402" i="3" s="1"/>
  <c r="N403" i="3"/>
  <c r="O403" i="3" s="1"/>
  <c r="AM403" i="3" s="1"/>
  <c r="Q403" i="3"/>
  <c r="AK403" i="3" s="1"/>
  <c r="N404" i="3"/>
  <c r="O404" i="3" s="1"/>
  <c r="AM404" i="3" s="1"/>
  <c r="Q404" i="3"/>
  <c r="AK404" i="3" s="1"/>
  <c r="N407" i="3"/>
  <c r="O407" i="3" s="1"/>
  <c r="AM407" i="3" s="1"/>
  <c r="Q407" i="3"/>
  <c r="AK407" i="3" s="1"/>
  <c r="N408" i="3"/>
  <c r="O408" i="3" s="1"/>
  <c r="AM408" i="3" s="1"/>
  <c r="Q408" i="3"/>
  <c r="AK408" i="3" s="1"/>
  <c r="N409" i="3"/>
  <c r="O409" i="3" s="1"/>
  <c r="AM409" i="3" s="1"/>
  <c r="Q409" i="3"/>
  <c r="AK409" i="3" s="1"/>
  <c r="N410" i="3"/>
  <c r="O410" i="3" s="1"/>
  <c r="AM410" i="3" s="1"/>
  <c r="Q410" i="3"/>
  <c r="AK410" i="3" s="1"/>
  <c r="N411" i="3"/>
  <c r="O411" i="3" s="1"/>
  <c r="AM411" i="3" s="1"/>
  <c r="Q411" i="3"/>
  <c r="AK411" i="3" s="1"/>
  <c r="N414" i="3"/>
  <c r="O414" i="3" s="1"/>
  <c r="AM414" i="3" s="1"/>
  <c r="Q414" i="3"/>
  <c r="AK414" i="3" s="1"/>
  <c r="N415" i="3"/>
  <c r="O415" i="3" s="1"/>
  <c r="AM415" i="3" s="1"/>
  <c r="Q415" i="3"/>
  <c r="AK415" i="3" s="1"/>
  <c r="N416" i="3"/>
  <c r="O416" i="3" s="1"/>
  <c r="AM416" i="3" s="1"/>
  <c r="Q416" i="3"/>
  <c r="AK416" i="3" s="1"/>
  <c r="N417" i="3"/>
  <c r="O417" i="3" s="1"/>
  <c r="AM417" i="3" s="1"/>
  <c r="Q417" i="3"/>
  <c r="AK417" i="3" s="1"/>
  <c r="N420" i="3"/>
  <c r="O420" i="3" s="1"/>
  <c r="AM420" i="3" s="1"/>
  <c r="Q420" i="3"/>
  <c r="AK420" i="3" s="1"/>
  <c r="N421" i="3"/>
  <c r="O421" i="3" s="1"/>
  <c r="AM421" i="3" s="1"/>
  <c r="Q421" i="3"/>
  <c r="AK421" i="3" s="1"/>
  <c r="N422" i="3"/>
  <c r="O422" i="3" s="1"/>
  <c r="AM422" i="3" s="1"/>
  <c r="Q422" i="3"/>
  <c r="AK422" i="3" s="1"/>
  <c r="N423" i="3"/>
  <c r="O423" i="3" s="1"/>
  <c r="AM423" i="3" s="1"/>
  <c r="Q423" i="3"/>
  <c r="AK423" i="3" s="1"/>
  <c r="N424" i="3"/>
  <c r="O424" i="3" s="1"/>
  <c r="AM424" i="3" s="1"/>
  <c r="Q424" i="3"/>
  <c r="AK424" i="3" s="1"/>
  <c r="N425" i="3"/>
  <c r="O425" i="3" s="1"/>
  <c r="AM425" i="3" s="1"/>
  <c r="Q425" i="3"/>
  <c r="AK425" i="3" s="1"/>
  <c r="N428" i="3"/>
  <c r="O428" i="3" s="1"/>
  <c r="Q428" i="3"/>
  <c r="N429" i="3"/>
  <c r="O429" i="3" s="1"/>
  <c r="AM429" i="3" s="1"/>
  <c r="Q429" i="3"/>
  <c r="AK429" i="3" s="1"/>
  <c r="N430" i="3"/>
  <c r="O430" i="3" s="1"/>
  <c r="AM430" i="3" s="1"/>
  <c r="Q430" i="3"/>
  <c r="AK430" i="3" s="1"/>
  <c r="N431" i="3"/>
  <c r="O431" i="3" s="1"/>
  <c r="AM431" i="3" s="1"/>
  <c r="Q431" i="3"/>
  <c r="AK431" i="3" s="1"/>
  <c r="N432" i="3"/>
  <c r="O432" i="3" s="1"/>
  <c r="AM432" i="3" s="1"/>
  <c r="Q432" i="3"/>
  <c r="AK432" i="3" s="1"/>
  <c r="N435" i="3"/>
  <c r="O435" i="3" s="1"/>
  <c r="AM435" i="3" s="1"/>
  <c r="Q435" i="3"/>
  <c r="AK435" i="3" s="1"/>
  <c r="N436" i="3"/>
  <c r="O436" i="3" s="1"/>
  <c r="AM436" i="3" s="1"/>
  <c r="Q436" i="3"/>
  <c r="AK436" i="3" s="1"/>
  <c r="N437" i="3"/>
  <c r="O437" i="3" s="1"/>
  <c r="AM437" i="3" s="1"/>
  <c r="Q437" i="3"/>
  <c r="AK437" i="3" s="1"/>
  <c r="N438" i="3"/>
  <c r="O438" i="3" s="1"/>
  <c r="AM438" i="3" s="1"/>
  <c r="Q438" i="3"/>
  <c r="AK438" i="3" s="1"/>
  <c r="N439" i="3"/>
  <c r="O439" i="3" s="1"/>
  <c r="Q439" i="3"/>
  <c r="N442" i="3"/>
  <c r="O442" i="3" s="1"/>
  <c r="AM442" i="3" s="1"/>
  <c r="Q442" i="3"/>
  <c r="AK442" i="3" s="1"/>
  <c r="N443" i="3"/>
  <c r="O443" i="3" s="1"/>
  <c r="AM443" i="3" s="1"/>
  <c r="Q443" i="3"/>
  <c r="AK443" i="3" s="1"/>
  <c r="N444" i="3"/>
  <c r="O444" i="3" s="1"/>
  <c r="AM444" i="3" s="1"/>
  <c r="Q444" i="3"/>
  <c r="AK444" i="3" s="1"/>
  <c r="N445" i="3"/>
  <c r="O445" i="3" s="1"/>
  <c r="AM445" i="3" s="1"/>
  <c r="Q445" i="3"/>
  <c r="AK445" i="3" s="1"/>
  <c r="N446" i="3"/>
  <c r="O446" i="3" s="1"/>
  <c r="AM446" i="3" s="1"/>
  <c r="Q446" i="3"/>
  <c r="AK446" i="3" s="1"/>
  <c r="N447" i="3"/>
  <c r="O447" i="3" s="1"/>
  <c r="AM447" i="3" s="1"/>
  <c r="Q447" i="3"/>
  <c r="AK447" i="3" s="1"/>
  <c r="N448" i="3"/>
  <c r="O448" i="3" s="1"/>
  <c r="AM448" i="3" s="1"/>
  <c r="Q448" i="3"/>
  <c r="AK448" i="3" s="1"/>
  <c r="N449" i="3"/>
  <c r="O449" i="3" s="1"/>
  <c r="AM449" i="3" s="1"/>
  <c r="Q449" i="3"/>
  <c r="AK449" i="3" s="1"/>
  <c r="N450" i="3"/>
  <c r="O450" i="3" s="1"/>
  <c r="AM450" i="3" s="1"/>
  <c r="Q450" i="3"/>
  <c r="AK450" i="3" s="1"/>
  <c r="N451" i="3"/>
  <c r="O451" i="3" s="1"/>
  <c r="AM451" i="3" s="1"/>
  <c r="Q451" i="3"/>
  <c r="AK451" i="3" s="1"/>
  <c r="N452" i="3"/>
  <c r="O452" i="3" s="1"/>
  <c r="AM452" i="3" s="1"/>
  <c r="Q452" i="3"/>
  <c r="AK452" i="3" s="1"/>
  <c r="U15" i="3"/>
  <c r="X15" i="3"/>
  <c r="AO15" i="3" s="1"/>
  <c r="U17" i="3"/>
  <c r="X17" i="3"/>
  <c r="AO17" i="3" s="1"/>
  <c r="U23" i="3"/>
  <c r="X23" i="3"/>
  <c r="AO23" i="3" s="1"/>
  <c r="U25" i="3"/>
  <c r="X25" i="3"/>
  <c r="AO25" i="3" s="1"/>
  <c r="U30" i="3"/>
  <c r="X30" i="3"/>
  <c r="AO30" i="3" s="1"/>
  <c r="U32" i="3"/>
  <c r="X32" i="3"/>
  <c r="AO32" i="3" s="1"/>
  <c r="U34" i="3"/>
  <c r="X34" i="3"/>
  <c r="AO34" i="3" s="1"/>
  <c r="U39" i="3"/>
  <c r="X39" i="3"/>
  <c r="AO39" i="3" s="1"/>
  <c r="U41" i="3"/>
  <c r="X41" i="3"/>
  <c r="AO41" i="3" s="1"/>
  <c r="U43" i="3"/>
  <c r="X43" i="3"/>
  <c r="AO43" i="3" s="1"/>
  <c r="U48" i="3"/>
  <c r="X48" i="3"/>
  <c r="AO48" i="3" s="1"/>
  <c r="U50" i="3"/>
  <c r="X50" i="3"/>
  <c r="AO50" i="3" s="1"/>
  <c r="U55" i="3"/>
  <c r="X55" i="3"/>
  <c r="AO55" i="3" s="1"/>
  <c r="U57" i="3"/>
  <c r="X57" i="3"/>
  <c r="AO57" i="3" s="1"/>
  <c r="U59" i="3"/>
  <c r="X59" i="3"/>
  <c r="AO59" i="3" s="1"/>
  <c r="U61" i="3"/>
  <c r="X61" i="3"/>
  <c r="AO61" i="3" s="1"/>
  <c r="U63" i="3"/>
  <c r="X63" i="3"/>
  <c r="AO63" i="3" s="1"/>
  <c r="U68" i="3"/>
  <c r="X68" i="3"/>
  <c r="AO68" i="3" s="1"/>
  <c r="U70" i="3"/>
  <c r="X70" i="3"/>
  <c r="AO70" i="3" s="1"/>
  <c r="U72" i="3"/>
  <c r="X72" i="3"/>
  <c r="AO72" i="3" s="1"/>
  <c r="U78" i="3"/>
  <c r="X78" i="3"/>
  <c r="AO78" i="3" s="1"/>
  <c r="U80" i="3"/>
  <c r="X80" i="3"/>
  <c r="AO80" i="3" s="1"/>
  <c r="U82" i="3"/>
  <c r="X82" i="3"/>
  <c r="AO82" i="3" s="1"/>
  <c r="U84" i="3"/>
  <c r="X84" i="3"/>
  <c r="AO84" i="3" s="1"/>
  <c r="U86" i="3"/>
  <c r="X86" i="3"/>
  <c r="AO86" i="3" s="1"/>
  <c r="U88" i="3"/>
  <c r="X88" i="3"/>
  <c r="AO88" i="3" s="1"/>
  <c r="U93" i="3"/>
  <c r="X93" i="3"/>
  <c r="AO93" i="3" s="1"/>
  <c r="U95" i="3"/>
  <c r="X95" i="3"/>
  <c r="AO95" i="3" s="1"/>
  <c r="U97" i="3"/>
  <c r="X97" i="3"/>
  <c r="AO97" i="3" s="1"/>
  <c r="U99" i="3"/>
  <c r="X99" i="3"/>
  <c r="AO99" i="3" s="1"/>
  <c r="U104" i="3"/>
  <c r="X104" i="3"/>
  <c r="AO104" i="3" s="1"/>
  <c r="U106" i="3"/>
  <c r="X106" i="3"/>
  <c r="AO106" i="3" s="1"/>
  <c r="U112" i="3"/>
  <c r="X112" i="3"/>
  <c r="AO112" i="3" s="1"/>
  <c r="U114" i="3"/>
  <c r="X114" i="3"/>
  <c r="AO114" i="3" s="1"/>
  <c r="U122" i="3"/>
  <c r="X122" i="3"/>
  <c r="AO122" i="3" s="1"/>
  <c r="U124" i="3"/>
  <c r="X124" i="3"/>
  <c r="AO124" i="3" s="1"/>
  <c r="U131" i="3"/>
  <c r="X131" i="3"/>
  <c r="AO131" i="3" s="1"/>
  <c r="U133" i="3"/>
  <c r="X133" i="3"/>
  <c r="AO133" i="3" s="1"/>
  <c r="U135" i="3"/>
  <c r="X135" i="3"/>
  <c r="AO135" i="3" s="1"/>
  <c r="U137" i="3"/>
  <c r="X137" i="3"/>
  <c r="AO137" i="3" s="1"/>
  <c r="U139" i="3"/>
  <c r="X139" i="3"/>
  <c r="AO139" i="3" s="1"/>
  <c r="AO149" i="3"/>
  <c r="U144" i="3"/>
  <c r="X144" i="3"/>
  <c r="AO144" i="3" s="1"/>
  <c r="U146" i="3"/>
  <c r="X146" i="3"/>
  <c r="AO146" i="3" s="1"/>
  <c r="U153" i="3"/>
  <c r="X153" i="3"/>
  <c r="AO153" i="3" s="1"/>
  <c r="U155" i="3"/>
  <c r="X155" i="3"/>
  <c r="AO155" i="3" s="1"/>
  <c r="U157" i="3"/>
  <c r="X157" i="3"/>
  <c r="AO157" i="3" s="1"/>
  <c r="U159" i="3"/>
  <c r="X159" i="3"/>
  <c r="AO159" i="3" s="1"/>
  <c r="U161" i="3"/>
  <c r="X161" i="3"/>
  <c r="AO161" i="3" s="1"/>
  <c r="U163" i="3"/>
  <c r="X163" i="3"/>
  <c r="AO163" i="3" s="1"/>
  <c r="U168" i="3"/>
  <c r="X168" i="3"/>
  <c r="AO168" i="3" s="1"/>
  <c r="U170" i="3"/>
  <c r="X170" i="3"/>
  <c r="AO170" i="3" s="1"/>
  <c r="U175" i="3"/>
  <c r="X175" i="3"/>
  <c r="AO175" i="3" s="1"/>
  <c r="U177" i="3"/>
  <c r="X177" i="3"/>
  <c r="AO177" i="3" s="1"/>
  <c r="U182" i="3"/>
  <c r="X182" i="3"/>
  <c r="AO182" i="3" s="1"/>
  <c r="U184" i="3"/>
  <c r="X184" i="3"/>
  <c r="AO184" i="3" s="1"/>
  <c r="U186" i="3"/>
  <c r="X186" i="3"/>
  <c r="AO186" i="3" s="1"/>
  <c r="U188" i="3"/>
  <c r="X188" i="3"/>
  <c r="AO188" i="3" s="1"/>
  <c r="U190" i="3"/>
  <c r="X190" i="3"/>
  <c r="AO190" i="3" s="1"/>
  <c r="U196" i="3"/>
  <c r="X196" i="3"/>
  <c r="AO196" i="3" s="1"/>
  <c r="U198" i="3"/>
  <c r="X198" i="3"/>
  <c r="AO198" i="3" s="1"/>
  <c r="U203" i="3"/>
  <c r="X203" i="3"/>
  <c r="AO203" i="3" s="1"/>
  <c r="U205" i="3"/>
  <c r="X205" i="3"/>
  <c r="AO205" i="3" s="1"/>
  <c r="U210" i="3"/>
  <c r="X210" i="3"/>
  <c r="AO210" i="3" s="1"/>
  <c r="U215" i="3"/>
  <c r="X215" i="3"/>
  <c r="AO215" i="3" s="1"/>
  <c r="U217" i="3"/>
  <c r="X217" i="3"/>
  <c r="AO217" i="3" s="1"/>
  <c r="U223" i="3"/>
  <c r="X223" i="3"/>
  <c r="AO223" i="3" s="1"/>
  <c r="U225" i="3"/>
  <c r="X225" i="3"/>
  <c r="AO225" i="3" s="1"/>
  <c r="U227" i="3"/>
  <c r="X227" i="3"/>
  <c r="AO227" i="3" s="1"/>
  <c r="U229" i="3"/>
  <c r="X229" i="3"/>
  <c r="AO229" i="3" s="1"/>
  <c r="U231" i="3"/>
  <c r="X231" i="3"/>
  <c r="AO231" i="3" s="1"/>
  <c r="U236" i="3"/>
  <c r="X236" i="3"/>
  <c r="AO236" i="3" s="1"/>
  <c r="U238" i="3"/>
  <c r="X238" i="3"/>
  <c r="AO238" i="3" s="1"/>
  <c r="U240" i="3"/>
  <c r="X240" i="3"/>
  <c r="AO240" i="3" s="1"/>
  <c r="U245" i="3"/>
  <c r="AO250" i="3"/>
  <c r="X245" i="3"/>
  <c r="AO245" i="3" s="1"/>
  <c r="U247" i="3"/>
  <c r="X247" i="3"/>
  <c r="AO247" i="3" s="1"/>
  <c r="U252" i="3"/>
  <c r="X252" i="3"/>
  <c r="AO252" i="3" s="1"/>
  <c r="U254" i="3"/>
  <c r="X254" i="3"/>
  <c r="AO254" i="3" s="1"/>
  <c r="U256" i="3"/>
  <c r="X256" i="3"/>
  <c r="AO256" i="3" s="1"/>
  <c r="U258" i="3"/>
  <c r="X258" i="3"/>
  <c r="AO258" i="3" s="1"/>
  <c r="U260" i="3"/>
  <c r="X260" i="3"/>
  <c r="AO260" i="3" s="1"/>
  <c r="U265" i="3"/>
  <c r="X265" i="3"/>
  <c r="AO265" i="3" s="1"/>
  <c r="U267" i="3"/>
  <c r="X267" i="3"/>
  <c r="AO267" i="3" s="1"/>
  <c r="U269" i="3"/>
  <c r="X269" i="3"/>
  <c r="AO269" i="3" s="1"/>
  <c r="U274" i="3"/>
  <c r="X274" i="3"/>
  <c r="AO274" i="3" s="1"/>
  <c r="U276" i="3"/>
  <c r="X276" i="3"/>
  <c r="AO276" i="3" s="1"/>
  <c r="U278" i="3"/>
  <c r="X278" i="3"/>
  <c r="AO278" i="3" s="1"/>
  <c r="U280" i="3"/>
  <c r="X280" i="3"/>
  <c r="AO280" i="3" s="1"/>
  <c r="U282" i="3"/>
  <c r="X282" i="3"/>
  <c r="AO282" i="3" s="1"/>
  <c r="Z439" i="3"/>
  <c r="AP439" i="3" s="1"/>
  <c r="AP440" i="3"/>
  <c r="J295" i="6"/>
  <c r="AG295" i="6" s="1"/>
  <c r="J241" i="6"/>
  <c r="AG241" i="6" s="1"/>
  <c r="J249" i="6"/>
  <c r="AG249" i="6" s="1"/>
  <c r="J206" i="6"/>
  <c r="AG206" i="6" s="1"/>
  <c r="J191" i="6"/>
  <c r="AG191" i="6" s="1"/>
  <c r="J179" i="6"/>
  <c r="AG179" i="6" s="1"/>
  <c r="J125" i="6"/>
  <c r="AG125" i="6" s="1"/>
  <c r="J107" i="6"/>
  <c r="AG107" i="6" s="1"/>
  <c r="J172" i="6"/>
  <c r="AG172" i="6" s="1"/>
  <c r="J44" i="6"/>
  <c r="AG44" i="6" s="1"/>
  <c r="J35" i="6"/>
  <c r="AG35" i="6" s="1"/>
  <c r="J27" i="6"/>
  <c r="J5" i="6"/>
  <c r="J270" i="6"/>
  <c r="AG270" i="6" s="1"/>
  <c r="J261" i="6"/>
  <c r="AG261" i="6" s="1"/>
  <c r="J232" i="6"/>
  <c r="AG232" i="6" s="1"/>
  <c r="J212" i="6"/>
  <c r="AG212" i="6" s="1"/>
  <c r="J218" i="6"/>
  <c r="AG218" i="6" s="1"/>
  <c r="J199" i="6"/>
  <c r="AG199" i="6" s="1"/>
  <c r="J148" i="6"/>
  <c r="AG148" i="6" s="1"/>
  <c r="J115" i="6"/>
  <c r="AG115" i="6" s="1"/>
  <c r="J74" i="6"/>
  <c r="AG74" i="6" s="1"/>
  <c r="J51" i="6"/>
  <c r="AG51" i="6" s="1"/>
  <c r="AC6" i="6"/>
  <c r="J19" i="6"/>
  <c r="AG19" i="6" s="1"/>
  <c r="S15" i="6"/>
  <c r="AL15" i="6" s="1"/>
  <c r="S16" i="6"/>
  <c r="AL16" i="6" s="1"/>
  <c r="Q18" i="6"/>
  <c r="AK18" i="6" s="1"/>
  <c r="N18" i="6"/>
  <c r="G24" i="6"/>
  <c r="J24" i="6"/>
  <c r="AG24" i="6" s="1"/>
  <c r="G25" i="6"/>
  <c r="J25" i="6"/>
  <c r="AG25" i="6" s="1"/>
  <c r="G26" i="6"/>
  <c r="J26" i="6"/>
  <c r="AG26" i="6" s="1"/>
  <c r="G30" i="6"/>
  <c r="J30" i="6"/>
  <c r="AG30" i="6" s="1"/>
  <c r="G31" i="6"/>
  <c r="J31" i="6"/>
  <c r="AG31" i="6" s="1"/>
  <c r="G32" i="6"/>
  <c r="J32" i="6"/>
  <c r="AG32" i="6" s="1"/>
  <c r="G33" i="6"/>
  <c r="J33" i="6"/>
  <c r="AG33" i="6" s="1"/>
  <c r="G34" i="6"/>
  <c r="J34" i="6"/>
  <c r="AG34" i="6" s="1"/>
  <c r="AG52" i="6"/>
  <c r="G47" i="6"/>
  <c r="J47" i="6"/>
  <c r="AG47" i="6" s="1"/>
  <c r="AH108" i="6"/>
  <c r="L103" i="6"/>
  <c r="AH103" i="6" s="1"/>
  <c r="S104" i="6"/>
  <c r="AL104" i="6" s="1"/>
  <c r="S105" i="6"/>
  <c r="AL105" i="6" s="1"/>
  <c r="S106" i="6"/>
  <c r="AL106" i="6" s="1"/>
  <c r="S111" i="6"/>
  <c r="AL111" i="6" s="1"/>
  <c r="AL116" i="6"/>
  <c r="N113" i="6"/>
  <c r="Q113" i="6"/>
  <c r="AK113" i="6" s="1"/>
  <c r="AK126" i="6"/>
  <c r="N121" i="6"/>
  <c r="Q121" i="6"/>
  <c r="AK121" i="6" s="1"/>
  <c r="AH149" i="6"/>
  <c r="L144" i="6"/>
  <c r="AH144" i="6" s="1"/>
  <c r="N146" i="6"/>
  <c r="Q146" i="6"/>
  <c r="AK146" i="6" s="1"/>
  <c r="N175" i="6"/>
  <c r="Q175" i="6"/>
  <c r="AK175" i="6" s="1"/>
  <c r="N177" i="6"/>
  <c r="Q177" i="6"/>
  <c r="AK177" i="6" s="1"/>
  <c r="S182" i="6"/>
  <c r="AL182" i="6" s="1"/>
  <c r="S183" i="6"/>
  <c r="AL183" i="6" s="1"/>
  <c r="S184" i="6"/>
  <c r="AL184" i="6" s="1"/>
  <c r="S185" i="6"/>
  <c r="AL185" i="6" s="1"/>
  <c r="S186" i="6"/>
  <c r="AL186" i="6" s="1"/>
  <c r="S187" i="6"/>
  <c r="AL187" i="6" s="1"/>
  <c r="S188" i="6"/>
  <c r="AL188" i="6" s="1"/>
  <c r="S189" i="6"/>
  <c r="AL189" i="6" s="1"/>
  <c r="S190" i="6"/>
  <c r="AL190" i="6" s="1"/>
  <c r="N196" i="6"/>
  <c r="Q196" i="6"/>
  <c r="AK196" i="6" s="1"/>
  <c r="N198" i="6"/>
  <c r="Q198" i="6"/>
  <c r="AK198" i="6" s="1"/>
  <c r="S202" i="6"/>
  <c r="AL202" i="6" s="1"/>
  <c r="S203" i="6"/>
  <c r="AL203" i="6" s="1"/>
  <c r="S204" i="6"/>
  <c r="AL204" i="6" s="1"/>
  <c r="S205" i="6"/>
  <c r="AL205" i="6" s="1"/>
  <c r="N210" i="6"/>
  <c r="Q210" i="6"/>
  <c r="AK210" i="6" s="1"/>
  <c r="N235" i="6"/>
  <c r="Q235" i="6"/>
  <c r="AK235" i="6" s="1"/>
  <c r="N237" i="6"/>
  <c r="Q237" i="6"/>
  <c r="AK237" i="6" s="1"/>
  <c r="N239" i="6"/>
  <c r="Q239" i="6"/>
  <c r="AK239" i="6" s="1"/>
  <c r="J18" i="3"/>
  <c r="AG18" i="3" s="1"/>
  <c r="J270" i="3"/>
  <c r="AG270" i="3" s="1"/>
  <c r="J261" i="3"/>
  <c r="AG261" i="3" s="1"/>
  <c r="J218" i="3"/>
  <c r="AG218" i="3" s="1"/>
  <c r="J199" i="3"/>
  <c r="AG199" i="3" s="1"/>
  <c r="J241" i="3"/>
  <c r="AG241" i="3" s="1"/>
  <c r="J232" i="3"/>
  <c r="AG232" i="3" s="1"/>
  <c r="J125" i="3"/>
  <c r="AG125" i="3" s="1"/>
  <c r="J107" i="3"/>
  <c r="AG107" i="3" s="1"/>
  <c r="J179" i="3"/>
  <c r="AG179" i="3" s="1"/>
  <c r="J74" i="3"/>
  <c r="AG74" i="3" s="1"/>
  <c r="J51" i="3"/>
  <c r="AG51" i="3" s="1"/>
  <c r="J35" i="3"/>
  <c r="AG35" i="3" s="1"/>
  <c r="J19" i="3"/>
  <c r="AG19" i="3" s="1"/>
  <c r="J5" i="3"/>
  <c r="J295" i="3"/>
  <c r="AG295" i="3" s="1"/>
  <c r="J249" i="3"/>
  <c r="AG249" i="3" s="1"/>
  <c r="J206" i="3"/>
  <c r="AG206" i="3" s="1"/>
  <c r="J191" i="3"/>
  <c r="AG191" i="3" s="1"/>
  <c r="J212" i="3"/>
  <c r="AG212" i="3" s="1"/>
  <c r="J148" i="3"/>
  <c r="AG148" i="3" s="1"/>
  <c r="J115" i="3"/>
  <c r="AG115" i="3" s="1"/>
  <c r="J172" i="3"/>
  <c r="AG172" i="3" s="1"/>
  <c r="J44" i="3"/>
  <c r="AG44" i="3" s="1"/>
  <c r="J27" i="3"/>
  <c r="AC6" i="3"/>
  <c r="L15" i="3"/>
  <c r="AH15" i="3" s="1"/>
  <c r="L16" i="3"/>
  <c r="AH16" i="3" s="1"/>
  <c r="L17" i="3"/>
  <c r="AH17" i="3" s="1"/>
  <c r="L18" i="3"/>
  <c r="AH18" i="3" s="1"/>
  <c r="L23" i="3"/>
  <c r="AH23" i="3" s="1"/>
  <c r="G24" i="3"/>
  <c r="J24" i="3"/>
  <c r="AG24" i="3" s="1"/>
  <c r="L25" i="3"/>
  <c r="AH25" i="3" s="1"/>
  <c r="L26" i="3"/>
  <c r="AH26" i="3" s="1"/>
  <c r="L30" i="3"/>
  <c r="AH30" i="3" s="1"/>
  <c r="L31" i="3"/>
  <c r="AH31" i="3" s="1"/>
  <c r="L32" i="3"/>
  <c r="AH32" i="3" s="1"/>
  <c r="L33" i="3"/>
  <c r="AH33" i="3" s="1"/>
  <c r="L34" i="3"/>
  <c r="AH34" i="3" s="1"/>
  <c r="L38" i="3"/>
  <c r="AH38" i="3" s="1"/>
  <c r="L39" i="3"/>
  <c r="AH39" i="3" s="1"/>
  <c r="L40" i="3"/>
  <c r="AH40" i="3" s="1"/>
  <c r="L41" i="3"/>
  <c r="AH41" i="3" s="1"/>
  <c r="L42" i="3"/>
  <c r="AH42" i="3" s="1"/>
  <c r="L43" i="3"/>
  <c r="AH43" i="3" s="1"/>
  <c r="L47" i="3"/>
  <c r="AH47" i="3" s="1"/>
  <c r="AH52" i="3"/>
  <c r="L48" i="3"/>
  <c r="AH48" i="3" s="1"/>
  <c r="L49" i="3"/>
  <c r="AH49" i="3" s="1"/>
  <c r="L50" i="3"/>
  <c r="AH50" i="3" s="1"/>
  <c r="L54" i="3"/>
  <c r="AH54" i="3" s="1"/>
  <c r="L55" i="3"/>
  <c r="AH55" i="3" s="1"/>
  <c r="L56" i="3"/>
  <c r="AH56" i="3" s="1"/>
  <c r="L57" i="3"/>
  <c r="AH57" i="3" s="1"/>
  <c r="L58" i="3"/>
  <c r="AH58" i="3" s="1"/>
  <c r="L59" i="3"/>
  <c r="AH59" i="3" s="1"/>
  <c r="L60" i="3"/>
  <c r="AH60" i="3" s="1"/>
  <c r="L61" i="3"/>
  <c r="AH61" i="3" s="1"/>
  <c r="L62" i="3"/>
  <c r="AH62" i="3" s="1"/>
  <c r="L63" i="3"/>
  <c r="AH63" i="3" s="1"/>
  <c r="L64" i="3"/>
  <c r="AH64" i="3" s="1"/>
  <c r="L68" i="3"/>
  <c r="AH68" i="3" s="1"/>
  <c r="L69" i="3"/>
  <c r="AH69" i="3" s="1"/>
  <c r="L70" i="3"/>
  <c r="AH70" i="3" s="1"/>
  <c r="L71" i="3"/>
  <c r="AH71" i="3" s="1"/>
  <c r="L72" i="3"/>
  <c r="AH72" i="3" s="1"/>
  <c r="L73" i="3"/>
  <c r="AH73" i="3" s="1"/>
  <c r="L78" i="3"/>
  <c r="AH78" i="3" s="1"/>
  <c r="L79" i="3"/>
  <c r="AH79" i="3" s="1"/>
  <c r="L80" i="3"/>
  <c r="AH80" i="3" s="1"/>
  <c r="L81" i="3"/>
  <c r="AH81" i="3" s="1"/>
  <c r="L82" i="3"/>
  <c r="AH82" i="3" s="1"/>
  <c r="L83" i="3"/>
  <c r="AH83" i="3" s="1"/>
  <c r="L84" i="3"/>
  <c r="AH84" i="3" s="1"/>
  <c r="L85" i="3"/>
  <c r="AH85" i="3" s="1"/>
  <c r="L86" i="3"/>
  <c r="AH86" i="3" s="1"/>
  <c r="L87" i="3"/>
  <c r="AH87" i="3" s="1"/>
  <c r="L88" i="3"/>
  <c r="AH88" i="3" s="1"/>
  <c r="L92" i="3"/>
  <c r="AH92" i="3" s="1"/>
  <c r="L93" i="3"/>
  <c r="AH93" i="3" s="1"/>
  <c r="L94" i="3"/>
  <c r="AH94" i="3" s="1"/>
  <c r="L95" i="3"/>
  <c r="AH95" i="3" s="1"/>
  <c r="L96" i="3"/>
  <c r="AH96" i="3" s="1"/>
  <c r="L97" i="3"/>
  <c r="AH97" i="3" s="1"/>
  <c r="L98" i="3"/>
  <c r="AH98" i="3" s="1"/>
  <c r="L99" i="3"/>
  <c r="AH99" i="3" s="1"/>
  <c r="AH108" i="3"/>
  <c r="L103" i="3"/>
  <c r="AH103" i="3" s="1"/>
  <c r="L104" i="3"/>
  <c r="AH104" i="3" s="1"/>
  <c r="L105" i="3"/>
  <c r="AH105" i="3" s="1"/>
  <c r="L106" i="3"/>
  <c r="AH106" i="3" s="1"/>
  <c r="AH116" i="3"/>
  <c r="L111" i="3"/>
  <c r="AH111" i="3" s="1"/>
  <c r="L112" i="3"/>
  <c r="AH112" i="3" s="1"/>
  <c r="L113" i="3"/>
  <c r="AH113" i="3" s="1"/>
  <c r="L114" i="3"/>
  <c r="AH114" i="3" s="1"/>
  <c r="AH126" i="3"/>
  <c r="L121" i="3"/>
  <c r="AH121" i="3" s="1"/>
  <c r="L122" i="3"/>
  <c r="AH122" i="3" s="1"/>
  <c r="L123" i="3"/>
  <c r="AH123" i="3" s="1"/>
  <c r="L124" i="3"/>
  <c r="AH124" i="3" s="1"/>
  <c r="L130" i="3"/>
  <c r="AH130" i="3" s="1"/>
  <c r="L131" i="3"/>
  <c r="AH131" i="3" s="1"/>
  <c r="L132" i="3"/>
  <c r="AH132" i="3" s="1"/>
  <c r="L133" i="3"/>
  <c r="AH133" i="3" s="1"/>
  <c r="L134" i="3"/>
  <c r="AH134" i="3" s="1"/>
  <c r="L135" i="3"/>
  <c r="AH135" i="3" s="1"/>
  <c r="L136" i="3"/>
  <c r="AH136" i="3" s="1"/>
  <c r="L137" i="3"/>
  <c r="AH137" i="3" s="1"/>
  <c r="L138" i="3"/>
  <c r="AH138" i="3" s="1"/>
  <c r="L139" i="3"/>
  <c r="AH139" i="3" s="1"/>
  <c r="L140" i="3"/>
  <c r="AH140" i="3" s="1"/>
  <c r="AH149" i="3"/>
  <c r="L144" i="3"/>
  <c r="AH144" i="3" s="1"/>
  <c r="L145" i="3"/>
  <c r="AH145" i="3" s="1"/>
  <c r="L146" i="3"/>
  <c r="AH146" i="3" s="1"/>
  <c r="L147" i="3"/>
  <c r="AH147" i="3" s="1"/>
  <c r="L153" i="3"/>
  <c r="AH153" i="3" s="1"/>
  <c r="L154" i="3"/>
  <c r="AH154" i="3" s="1"/>
  <c r="L155" i="3"/>
  <c r="AH155" i="3" s="1"/>
  <c r="L156" i="3"/>
  <c r="AH156" i="3" s="1"/>
  <c r="L157" i="3"/>
  <c r="AH157" i="3" s="1"/>
  <c r="L158" i="3"/>
  <c r="AH158" i="3" s="1"/>
  <c r="L159" i="3"/>
  <c r="AH159" i="3" s="1"/>
  <c r="L160" i="3"/>
  <c r="AH160" i="3" s="1"/>
  <c r="L161" i="3"/>
  <c r="AH161" i="3" s="1"/>
  <c r="L162" i="3"/>
  <c r="AH162" i="3" s="1"/>
  <c r="L163" i="3"/>
  <c r="AH163" i="3" s="1"/>
  <c r="L164" i="3"/>
  <c r="AH164" i="3" s="1"/>
  <c r="L168" i="3"/>
  <c r="AH168" i="3" s="1"/>
  <c r="L169" i="3"/>
  <c r="AH169" i="3" s="1"/>
  <c r="L170" i="3"/>
  <c r="AH170" i="3" s="1"/>
  <c r="L171" i="3"/>
  <c r="AH171" i="3" s="1"/>
  <c r="L175" i="3"/>
  <c r="AH175" i="3" s="1"/>
  <c r="L176" i="3"/>
  <c r="AH176" i="3" s="1"/>
  <c r="L177" i="3"/>
  <c r="AH177" i="3" s="1"/>
  <c r="L178" i="3"/>
  <c r="AH178" i="3" s="1"/>
  <c r="L182" i="3"/>
  <c r="AH182" i="3" s="1"/>
  <c r="L183" i="3"/>
  <c r="AH183" i="3" s="1"/>
  <c r="L184" i="3"/>
  <c r="AH184" i="3" s="1"/>
  <c r="L185" i="3"/>
  <c r="AH185" i="3" s="1"/>
  <c r="L186" i="3"/>
  <c r="AH186" i="3" s="1"/>
  <c r="L187" i="3"/>
  <c r="AH187" i="3" s="1"/>
  <c r="L188" i="3"/>
  <c r="AH188" i="3" s="1"/>
  <c r="L189" i="3"/>
  <c r="AH189" i="3" s="1"/>
  <c r="L190" i="3"/>
  <c r="AH190" i="3" s="1"/>
  <c r="L195" i="3"/>
  <c r="AH195" i="3" s="1"/>
  <c r="L196" i="3"/>
  <c r="AH196" i="3" s="1"/>
  <c r="L197" i="3"/>
  <c r="AH197" i="3" s="1"/>
  <c r="L198" i="3"/>
  <c r="AH198" i="3" s="1"/>
  <c r="L202" i="3"/>
  <c r="AH202" i="3" s="1"/>
  <c r="L203" i="3"/>
  <c r="AH203" i="3" s="1"/>
  <c r="L204" i="3"/>
  <c r="AH204" i="3" s="1"/>
  <c r="L205" i="3"/>
  <c r="AH205" i="3" s="1"/>
  <c r="L209" i="3"/>
  <c r="AH209" i="3" s="1"/>
  <c r="L210" i="3"/>
  <c r="AH210" i="3" s="1"/>
  <c r="L211" i="3"/>
  <c r="AH211" i="3" s="1"/>
  <c r="L215" i="3"/>
  <c r="AH215" i="3" s="1"/>
  <c r="L216" i="3"/>
  <c r="AH216" i="3" s="1"/>
  <c r="L217" i="3"/>
  <c r="AH217" i="3" s="1"/>
  <c r="L222" i="3"/>
  <c r="AH222" i="3" s="1"/>
  <c r="L223" i="3"/>
  <c r="AH223" i="3" s="1"/>
  <c r="L224" i="3"/>
  <c r="AH224" i="3" s="1"/>
  <c r="L225" i="3"/>
  <c r="AH225" i="3" s="1"/>
  <c r="L226" i="3"/>
  <c r="AH226" i="3" s="1"/>
  <c r="L227" i="3"/>
  <c r="AH227" i="3" s="1"/>
  <c r="L228" i="3"/>
  <c r="AH228" i="3" s="1"/>
  <c r="L229" i="3"/>
  <c r="AH229" i="3" s="1"/>
  <c r="L230" i="3"/>
  <c r="AH230" i="3" s="1"/>
  <c r="L231" i="3"/>
  <c r="AH231" i="3" s="1"/>
  <c r="L235" i="3"/>
  <c r="AH235" i="3" s="1"/>
  <c r="L236" i="3"/>
  <c r="AH236" i="3" s="1"/>
  <c r="L237" i="3"/>
  <c r="AH237" i="3" s="1"/>
  <c r="L238" i="3"/>
  <c r="AH238" i="3" s="1"/>
  <c r="L239" i="3"/>
  <c r="AH239" i="3" s="1"/>
  <c r="L240" i="3"/>
  <c r="AH240" i="3" s="1"/>
  <c r="L244" i="3"/>
  <c r="AH244" i="3" s="1"/>
  <c r="AH250" i="3"/>
  <c r="L245" i="3"/>
  <c r="AH245" i="3" s="1"/>
  <c r="L246" i="3"/>
  <c r="AH246" i="3" s="1"/>
  <c r="L247" i="3"/>
  <c r="AH247" i="3" s="1"/>
  <c r="L248" i="3"/>
  <c r="AH248" i="3" s="1"/>
  <c r="L252" i="3"/>
  <c r="AH252" i="3" s="1"/>
  <c r="L253" i="3"/>
  <c r="AH253" i="3" s="1"/>
  <c r="L254" i="3"/>
  <c r="AH254" i="3" s="1"/>
  <c r="L255" i="3"/>
  <c r="AH255" i="3" s="1"/>
  <c r="L256" i="3"/>
  <c r="AH256" i="3" s="1"/>
  <c r="L257" i="3"/>
  <c r="AH257" i="3" s="1"/>
  <c r="L258" i="3"/>
  <c r="AH258" i="3" s="1"/>
  <c r="L259" i="3"/>
  <c r="AH259" i="3" s="1"/>
  <c r="L260" i="3"/>
  <c r="AH260" i="3" s="1"/>
  <c r="L264" i="3"/>
  <c r="AH264" i="3" s="1"/>
  <c r="L265" i="3"/>
  <c r="AH265" i="3" s="1"/>
  <c r="L266" i="3"/>
  <c r="AH266" i="3" s="1"/>
  <c r="L267" i="3"/>
  <c r="AH267" i="3" s="1"/>
  <c r="L268" i="3"/>
  <c r="AH268" i="3" s="1"/>
  <c r="L269" i="3"/>
  <c r="AH269" i="3" s="1"/>
  <c r="L273" i="3"/>
  <c r="AH273" i="3" s="1"/>
  <c r="L274" i="3"/>
  <c r="AH274" i="3" s="1"/>
  <c r="L275" i="3"/>
  <c r="AH275" i="3" s="1"/>
  <c r="L276" i="3"/>
  <c r="AH276" i="3" s="1"/>
  <c r="L277" i="3"/>
  <c r="AH277" i="3" s="1"/>
  <c r="L278" i="3"/>
  <c r="AH278" i="3" s="1"/>
  <c r="L279" i="3"/>
  <c r="AH279" i="3" s="1"/>
  <c r="L280" i="3"/>
  <c r="AH280" i="3" s="1"/>
  <c r="L281" i="3"/>
  <c r="AH281" i="3" s="1"/>
  <c r="L282" i="3"/>
  <c r="AH282" i="3" s="1"/>
  <c r="L283" i="3"/>
  <c r="AH283" i="3" s="1"/>
  <c r="L284" i="3"/>
  <c r="AH284" i="3" s="1"/>
  <c r="L285" i="3"/>
  <c r="AH285" i="3" s="1"/>
  <c r="L286" i="3"/>
  <c r="AH286" i="3" s="1"/>
  <c r="AH296" i="3"/>
  <c r="L290" i="3"/>
  <c r="AH290" i="3" s="1"/>
  <c r="L291" i="3"/>
  <c r="AH291" i="3" s="1"/>
  <c r="L292" i="3"/>
  <c r="AH292" i="3" s="1"/>
  <c r="L293" i="3"/>
  <c r="AH293" i="3" s="1"/>
  <c r="L294" i="3"/>
  <c r="AH294" i="3" s="1"/>
  <c r="AH311" i="3"/>
  <c r="L305" i="3"/>
  <c r="AH305" i="3" s="1"/>
  <c r="L306" i="3"/>
  <c r="AH306" i="3" s="1"/>
  <c r="L307" i="3"/>
  <c r="AH307" i="3" s="1"/>
  <c r="L308" i="3"/>
  <c r="AH308" i="3" s="1"/>
  <c r="L309" i="3"/>
  <c r="AH309" i="3" s="1"/>
  <c r="L310" i="3"/>
  <c r="AH310" i="3" s="1"/>
  <c r="AH319" i="3"/>
  <c r="L313" i="3"/>
  <c r="AH313" i="3" s="1"/>
  <c r="L314" i="3"/>
  <c r="AH314" i="3" s="1"/>
  <c r="L315" i="3"/>
  <c r="AH315" i="3" s="1"/>
  <c r="L316" i="3"/>
  <c r="AH316" i="3" s="1"/>
  <c r="L317" i="3"/>
  <c r="AH317" i="3" s="1"/>
  <c r="L318" i="3"/>
  <c r="AH318" i="3" s="1"/>
  <c r="AH327" i="3"/>
  <c r="L321" i="3"/>
  <c r="AH321" i="3" s="1"/>
  <c r="L322" i="3"/>
  <c r="AH322" i="3" s="1"/>
  <c r="L323" i="3"/>
  <c r="AH323" i="3" s="1"/>
  <c r="L324" i="3"/>
  <c r="AH324" i="3" s="1"/>
  <c r="L325" i="3"/>
  <c r="AH325" i="3" s="1"/>
  <c r="L326" i="3"/>
  <c r="AH326" i="3" s="1"/>
  <c r="AH335" i="3"/>
  <c r="L329" i="3"/>
  <c r="AH329" i="3" s="1"/>
  <c r="L330" i="3"/>
  <c r="AH330" i="3" s="1"/>
  <c r="L331" i="3"/>
  <c r="AH331" i="3" s="1"/>
  <c r="L332" i="3"/>
  <c r="AH332" i="3" s="1"/>
  <c r="L333" i="3"/>
  <c r="AH333" i="3" s="1"/>
  <c r="L334" i="3"/>
  <c r="AH334" i="3" s="1"/>
  <c r="AH343" i="3"/>
  <c r="L337" i="3"/>
  <c r="AH337" i="3" s="1"/>
  <c r="L338" i="3"/>
  <c r="AH338" i="3" s="1"/>
  <c r="L339" i="3"/>
  <c r="AH339" i="3" s="1"/>
  <c r="L340" i="3"/>
  <c r="AH340" i="3" s="1"/>
  <c r="L341" i="3"/>
  <c r="AH341" i="3" s="1"/>
  <c r="L342" i="3"/>
  <c r="AH342" i="3" s="1"/>
  <c r="AH351" i="3"/>
  <c r="L345" i="3"/>
  <c r="AH345" i="3" s="1"/>
  <c r="L346" i="3"/>
  <c r="AH346" i="3" s="1"/>
  <c r="L347" i="3"/>
  <c r="AH347" i="3" s="1"/>
  <c r="L348" i="3"/>
  <c r="AH348" i="3" s="1"/>
  <c r="L349" i="3"/>
  <c r="AH349" i="3" s="1"/>
  <c r="L350" i="3"/>
  <c r="AH350" i="3" s="1"/>
  <c r="AH359" i="3"/>
  <c r="L353" i="3"/>
  <c r="AH353" i="3" s="1"/>
  <c r="L354" i="3"/>
  <c r="AH354" i="3" s="1"/>
  <c r="L355" i="3"/>
  <c r="AH355" i="3" s="1"/>
  <c r="L356" i="3"/>
  <c r="AH356" i="3" s="1"/>
  <c r="L357" i="3"/>
  <c r="AH357" i="3" s="1"/>
  <c r="L358" i="3"/>
  <c r="AH358" i="3" s="1"/>
  <c r="AH367" i="3"/>
  <c r="L361" i="3"/>
  <c r="AH361" i="3" s="1"/>
  <c r="L362" i="3"/>
  <c r="AH362" i="3" s="1"/>
  <c r="L363" i="3"/>
  <c r="AH363" i="3" s="1"/>
  <c r="L364" i="3"/>
  <c r="AH364" i="3" s="1"/>
  <c r="L365" i="3"/>
  <c r="AH365" i="3" s="1"/>
  <c r="L366" i="3"/>
  <c r="AH366" i="3" s="1"/>
  <c r="AH375" i="3"/>
  <c r="L369" i="3"/>
  <c r="AH369" i="3" s="1"/>
  <c r="L370" i="3"/>
  <c r="AH370" i="3" s="1"/>
  <c r="L371" i="3"/>
  <c r="AH371" i="3" s="1"/>
  <c r="L372" i="3"/>
  <c r="AH372" i="3" s="1"/>
  <c r="L373" i="3"/>
  <c r="AH373" i="3" s="1"/>
  <c r="L374" i="3"/>
  <c r="AH374" i="3" s="1"/>
  <c r="AH383" i="3"/>
  <c r="L377" i="3"/>
  <c r="AH377" i="3" s="1"/>
  <c r="L378" i="3"/>
  <c r="AH378" i="3" s="1"/>
  <c r="L379" i="3"/>
  <c r="AH379" i="3" s="1"/>
  <c r="L380" i="3"/>
  <c r="AH380" i="3" s="1"/>
  <c r="L381" i="3"/>
  <c r="AH381" i="3" s="1"/>
  <c r="L382" i="3"/>
  <c r="AH382" i="3" s="1"/>
  <c r="L386" i="3"/>
  <c r="AH386" i="3" s="1"/>
  <c r="L387" i="3"/>
  <c r="AH387" i="3" s="1"/>
  <c r="L388" i="3"/>
  <c r="AH388" i="3" s="1"/>
  <c r="L389" i="3"/>
  <c r="AH389" i="3" s="1"/>
  <c r="L390" i="3"/>
  <c r="AH390" i="3" s="1"/>
  <c r="L391" i="3"/>
  <c r="AH391" i="3" s="1"/>
  <c r="L392" i="3"/>
  <c r="AH392" i="3" s="1"/>
  <c r="L393" i="3"/>
  <c r="AH393" i="3" s="1"/>
  <c r="L394" i="3"/>
  <c r="AH394" i="3" s="1"/>
  <c r="L397" i="3"/>
  <c r="AH397" i="3" s="1"/>
  <c r="L398" i="3"/>
  <c r="AH398" i="3" s="1"/>
  <c r="L399" i="3"/>
  <c r="AH399" i="3" s="1"/>
  <c r="L400" i="3"/>
  <c r="AH400" i="3" s="1"/>
  <c r="L401" i="3"/>
  <c r="AH401" i="3" s="1"/>
  <c r="L402" i="3"/>
  <c r="AH402" i="3" s="1"/>
  <c r="L403" i="3"/>
  <c r="AH403" i="3" s="1"/>
  <c r="L404" i="3"/>
  <c r="AH404" i="3" s="1"/>
  <c r="L407" i="3"/>
  <c r="AH407" i="3" s="1"/>
  <c r="L408" i="3"/>
  <c r="AH408" i="3" s="1"/>
  <c r="L409" i="3"/>
  <c r="AH409" i="3" s="1"/>
  <c r="L410" i="3"/>
  <c r="AH410" i="3" s="1"/>
  <c r="L411" i="3"/>
  <c r="AH411" i="3" s="1"/>
  <c r="L414" i="3"/>
  <c r="AH414" i="3" s="1"/>
  <c r="L415" i="3"/>
  <c r="AH415" i="3" s="1"/>
  <c r="L416" i="3"/>
  <c r="AH416" i="3" s="1"/>
  <c r="L417" i="3"/>
  <c r="AH417" i="3" s="1"/>
  <c r="L420" i="3"/>
  <c r="AH420" i="3" s="1"/>
  <c r="L421" i="3"/>
  <c r="AH421" i="3" s="1"/>
  <c r="L422" i="3"/>
  <c r="AH422" i="3" s="1"/>
  <c r="L423" i="3"/>
  <c r="AH423" i="3" s="1"/>
  <c r="L424" i="3"/>
  <c r="AH424" i="3" s="1"/>
  <c r="L425" i="3"/>
  <c r="AH425" i="3" s="1"/>
  <c r="AH433" i="3"/>
  <c r="L428" i="3"/>
  <c r="AH428" i="3" s="1"/>
  <c r="L429" i="3"/>
  <c r="AH429" i="3" s="1"/>
  <c r="L430" i="3"/>
  <c r="AH430" i="3" s="1"/>
  <c r="L431" i="3"/>
  <c r="AH431" i="3" s="1"/>
  <c r="L432" i="3"/>
  <c r="AH432" i="3" s="1"/>
  <c r="L435" i="3"/>
  <c r="AH435" i="3" s="1"/>
  <c r="L436" i="3"/>
  <c r="AH436" i="3" s="1"/>
  <c r="L437" i="3"/>
  <c r="AH437" i="3" s="1"/>
  <c r="L438" i="3"/>
  <c r="AH438" i="3" s="1"/>
  <c r="AH440" i="3"/>
  <c r="L439" i="3"/>
  <c r="AH439" i="3" s="1"/>
  <c r="L442" i="3"/>
  <c r="AH442" i="3" s="1"/>
  <c r="L443" i="3"/>
  <c r="AH443" i="3" s="1"/>
  <c r="L444" i="3"/>
  <c r="AH444" i="3" s="1"/>
  <c r="L445" i="3"/>
  <c r="AH445" i="3" s="1"/>
  <c r="L446" i="3"/>
  <c r="AH446" i="3" s="1"/>
  <c r="L447" i="3"/>
  <c r="AH447" i="3" s="1"/>
  <c r="L448" i="3"/>
  <c r="AH448" i="3" s="1"/>
  <c r="L449" i="3"/>
  <c r="AH449" i="3" s="1"/>
  <c r="L450" i="3"/>
  <c r="AH450" i="3" s="1"/>
  <c r="L451" i="3"/>
  <c r="AH451" i="3" s="1"/>
  <c r="L452" i="3"/>
  <c r="AH452" i="3" s="1"/>
  <c r="Z16" i="3"/>
  <c r="AP16" i="3" s="1"/>
  <c r="Z295" i="3"/>
  <c r="AP295" i="3" s="1"/>
  <c r="Z270" i="3"/>
  <c r="AP270" i="3" s="1"/>
  <c r="Z241" i="3"/>
  <c r="AP241" i="3" s="1"/>
  <c r="Z212" i="3"/>
  <c r="AP212" i="3" s="1"/>
  <c r="Z218" i="3"/>
  <c r="AP218" i="3" s="1"/>
  <c r="Z206" i="3"/>
  <c r="AP206" i="3" s="1"/>
  <c r="Z191" i="3"/>
  <c r="AP191" i="3" s="1"/>
  <c r="Z74" i="3"/>
  <c r="AP74" i="3" s="1"/>
  <c r="Z44" i="3"/>
  <c r="AP44" i="3" s="1"/>
  <c r="Z148" i="3"/>
  <c r="AP148" i="3" s="1"/>
  <c r="Z125" i="3"/>
  <c r="AP125" i="3" s="1"/>
  <c r="Z107" i="3"/>
  <c r="AP107" i="3" s="1"/>
  <c r="Z261" i="3"/>
  <c r="AP261" i="3" s="1"/>
  <c r="Z232" i="3"/>
  <c r="AP232" i="3" s="1"/>
  <c r="Z249" i="3"/>
  <c r="AP249" i="3" s="1"/>
  <c r="Z199" i="3"/>
  <c r="AP199" i="3" s="1"/>
  <c r="Z179" i="3"/>
  <c r="AP179" i="3" s="1"/>
  <c r="Z172" i="3"/>
  <c r="AP172" i="3" s="1"/>
  <c r="Z51" i="3"/>
  <c r="AP51" i="3" s="1"/>
  <c r="Z35" i="3"/>
  <c r="AP35" i="3" s="1"/>
  <c r="Z27" i="3"/>
  <c r="Z115" i="3"/>
  <c r="AP115" i="3" s="1"/>
  <c r="Z19" i="3"/>
  <c r="AP19" i="3" s="1"/>
  <c r="Z18" i="3"/>
  <c r="AP18" i="3" s="1"/>
  <c r="Z24" i="3"/>
  <c r="AP24" i="3" s="1"/>
  <c r="Z26" i="3"/>
  <c r="AP26" i="3" s="1"/>
  <c r="Z31" i="3"/>
  <c r="AP31" i="3" s="1"/>
  <c r="Z33" i="3"/>
  <c r="AP33" i="3" s="1"/>
  <c r="Z38" i="3"/>
  <c r="AP38" i="3" s="1"/>
  <c r="Z40" i="3"/>
  <c r="AP40" i="3" s="1"/>
  <c r="Z42" i="3"/>
  <c r="AP42" i="3" s="1"/>
  <c r="Z47" i="3"/>
  <c r="AP47" i="3" s="1"/>
  <c r="AP52" i="3"/>
  <c r="Z49" i="3"/>
  <c r="AP49" i="3" s="1"/>
  <c r="Z54" i="3"/>
  <c r="AP54" i="3" s="1"/>
  <c r="Z56" i="3"/>
  <c r="AP56" i="3" s="1"/>
  <c r="Z58" i="3"/>
  <c r="AP58" i="3" s="1"/>
  <c r="Z60" i="3"/>
  <c r="AP60" i="3" s="1"/>
  <c r="Z62" i="3"/>
  <c r="AP62" i="3" s="1"/>
  <c r="Z64" i="3"/>
  <c r="AP64" i="3" s="1"/>
  <c r="Z69" i="3"/>
  <c r="AP69" i="3" s="1"/>
  <c r="Z71" i="3"/>
  <c r="AP71" i="3" s="1"/>
  <c r="Z73" i="3"/>
  <c r="AP73" i="3" s="1"/>
  <c r="Z79" i="3"/>
  <c r="AP79" i="3" s="1"/>
  <c r="Z81" i="3"/>
  <c r="AP81" i="3" s="1"/>
  <c r="Z83" i="3"/>
  <c r="AP83" i="3" s="1"/>
  <c r="Z85" i="3"/>
  <c r="AP85" i="3" s="1"/>
  <c r="Z87" i="3"/>
  <c r="AP87" i="3" s="1"/>
  <c r="Z92" i="3"/>
  <c r="AP92" i="3" s="1"/>
  <c r="Z94" i="3"/>
  <c r="AP94" i="3" s="1"/>
  <c r="Z96" i="3"/>
  <c r="AP96" i="3" s="1"/>
  <c r="Z98" i="3"/>
  <c r="AP98" i="3" s="1"/>
  <c r="AP108" i="3"/>
  <c r="Z103" i="3"/>
  <c r="AP103" i="3" s="1"/>
  <c r="Z105" i="3"/>
  <c r="AP105" i="3" s="1"/>
  <c r="AP116" i="3"/>
  <c r="Z111" i="3"/>
  <c r="AP111" i="3" s="1"/>
  <c r="Z113" i="3"/>
  <c r="AP113" i="3" s="1"/>
  <c r="AP126" i="3"/>
  <c r="Z121" i="3"/>
  <c r="AP121" i="3" s="1"/>
  <c r="Z123" i="3"/>
  <c r="AP123" i="3" s="1"/>
  <c r="Z130" i="3"/>
  <c r="AP130" i="3" s="1"/>
  <c r="Z132" i="3"/>
  <c r="AP132" i="3" s="1"/>
  <c r="Z134" i="3"/>
  <c r="AP134" i="3" s="1"/>
  <c r="Z136" i="3"/>
  <c r="AP136" i="3" s="1"/>
  <c r="Z138" i="3"/>
  <c r="AP138" i="3" s="1"/>
  <c r="Z140" i="3"/>
  <c r="AP140" i="3" s="1"/>
  <c r="Z145" i="3"/>
  <c r="AP145" i="3" s="1"/>
  <c r="Z147" i="3"/>
  <c r="AP147" i="3" s="1"/>
  <c r="Z154" i="3"/>
  <c r="AP154" i="3" s="1"/>
  <c r="Z156" i="3"/>
  <c r="AP156" i="3" s="1"/>
  <c r="Z158" i="3"/>
  <c r="AP158" i="3" s="1"/>
  <c r="Z160" i="3"/>
  <c r="AP160" i="3" s="1"/>
  <c r="Z162" i="3"/>
  <c r="AP162" i="3" s="1"/>
  <c r="Z164" i="3"/>
  <c r="AP164" i="3" s="1"/>
  <c r="Z169" i="3"/>
  <c r="AP169" i="3" s="1"/>
  <c r="Z171" i="3"/>
  <c r="AP171" i="3" s="1"/>
  <c r="Z176" i="3"/>
  <c r="AP176" i="3" s="1"/>
  <c r="Z178" i="3"/>
  <c r="AP178" i="3" s="1"/>
  <c r="Z183" i="3"/>
  <c r="AP183" i="3" s="1"/>
  <c r="Z185" i="3"/>
  <c r="AP185" i="3" s="1"/>
  <c r="Z187" i="3"/>
  <c r="AP187" i="3" s="1"/>
  <c r="Z189" i="3"/>
  <c r="AP189" i="3" s="1"/>
  <c r="Z195" i="3"/>
  <c r="AP195" i="3" s="1"/>
  <c r="Z197" i="3"/>
  <c r="AP197" i="3" s="1"/>
  <c r="Z202" i="3"/>
  <c r="AP202" i="3" s="1"/>
  <c r="Z204" i="3"/>
  <c r="AP204" i="3" s="1"/>
  <c r="Z209" i="3"/>
  <c r="AP209" i="3" s="1"/>
  <c r="Z211" i="3"/>
  <c r="AP211" i="3" s="1"/>
  <c r="Z216" i="3"/>
  <c r="AP216" i="3" s="1"/>
  <c r="Z222" i="3"/>
  <c r="AP222" i="3" s="1"/>
  <c r="Z224" i="3"/>
  <c r="AP224" i="3" s="1"/>
  <c r="Z226" i="3"/>
  <c r="AP226" i="3" s="1"/>
  <c r="Z228" i="3"/>
  <c r="AP228" i="3" s="1"/>
  <c r="Z230" i="3"/>
  <c r="AP230" i="3" s="1"/>
  <c r="Z235" i="3"/>
  <c r="AP235" i="3" s="1"/>
  <c r="Z237" i="3"/>
  <c r="AP237" i="3" s="1"/>
  <c r="Z239" i="3"/>
  <c r="AP239" i="3" s="1"/>
  <c r="Z244" i="3"/>
  <c r="AP244" i="3" s="1"/>
  <c r="Z246" i="3"/>
  <c r="AP246" i="3" s="1"/>
  <c r="Z248" i="3"/>
  <c r="AP248" i="3" s="1"/>
  <c r="Z253" i="3"/>
  <c r="AP253" i="3" s="1"/>
  <c r="Z255" i="3"/>
  <c r="AP255" i="3" s="1"/>
  <c r="Z257" i="3"/>
  <c r="AP257" i="3" s="1"/>
  <c r="Z259" i="3"/>
  <c r="AP259" i="3" s="1"/>
  <c r="Z264" i="3"/>
  <c r="AP264" i="3" s="1"/>
  <c r="Z266" i="3"/>
  <c r="AP266" i="3" s="1"/>
  <c r="Z268" i="3"/>
  <c r="AP268" i="3" s="1"/>
  <c r="Z273" i="3"/>
  <c r="AP273" i="3" s="1"/>
  <c r="Z275" i="3"/>
  <c r="AP275" i="3" s="1"/>
  <c r="Z277" i="3"/>
  <c r="AP277" i="3" s="1"/>
  <c r="Z279" i="3"/>
  <c r="AP279" i="3" s="1"/>
  <c r="Z281" i="3"/>
  <c r="AP281" i="3" s="1"/>
  <c r="Z284" i="3"/>
  <c r="AP284" i="3" s="1"/>
  <c r="Z291" i="3"/>
  <c r="AP291" i="3" s="1"/>
  <c r="AP311" i="3"/>
  <c r="Z305" i="3"/>
  <c r="AP305" i="3" s="1"/>
  <c r="Z309" i="3"/>
  <c r="AP309" i="3" s="1"/>
  <c r="Z315" i="3"/>
  <c r="AP315" i="3" s="1"/>
  <c r="AP327" i="3"/>
  <c r="Z321" i="3"/>
  <c r="AP321" i="3" s="1"/>
  <c r="Z325" i="3"/>
  <c r="AP325" i="3" s="1"/>
  <c r="Z331" i="3"/>
  <c r="AP331" i="3" s="1"/>
  <c r="AP343" i="3"/>
  <c r="Z337" i="3"/>
  <c r="AP337" i="3" s="1"/>
  <c r="Z341" i="3"/>
  <c r="AP341" i="3" s="1"/>
  <c r="Z347" i="3"/>
  <c r="AP347" i="3" s="1"/>
  <c r="AP359" i="3"/>
  <c r="Z353" i="3"/>
  <c r="AP353" i="3" s="1"/>
  <c r="Z357" i="3"/>
  <c r="AP357" i="3" s="1"/>
  <c r="Z363" i="3"/>
  <c r="AP363" i="3" s="1"/>
  <c r="AP375" i="3"/>
  <c r="Z369" i="3"/>
  <c r="AP369" i="3" s="1"/>
  <c r="Z373" i="3"/>
  <c r="AP373" i="3" s="1"/>
  <c r="Z379" i="3"/>
  <c r="AP379" i="3" s="1"/>
  <c r="Z386" i="3"/>
  <c r="AP386" i="3" s="1"/>
  <c r="Z390" i="3"/>
  <c r="AP390" i="3" s="1"/>
  <c r="Z394" i="3"/>
  <c r="AP394" i="3" s="1"/>
  <c r="Z400" i="3"/>
  <c r="AP400" i="3" s="1"/>
  <c r="Z404" i="3"/>
  <c r="AP404" i="3" s="1"/>
  <c r="Z410" i="3"/>
  <c r="AP410" i="3" s="1"/>
  <c r="Z416" i="3"/>
  <c r="AP416" i="3" s="1"/>
  <c r="Z422" i="3"/>
  <c r="AP422" i="3" s="1"/>
  <c r="AP433" i="3"/>
  <c r="Z428" i="3"/>
  <c r="AP428" i="3" s="1"/>
  <c r="Z432" i="3"/>
  <c r="AP432" i="3" s="1"/>
  <c r="Z438" i="3"/>
  <c r="AP438" i="3" s="1"/>
  <c r="Z444" i="3"/>
  <c r="AP444" i="3" s="1"/>
  <c r="Z448" i="3"/>
  <c r="AP448" i="3" s="1"/>
  <c r="Z452" i="3"/>
  <c r="AP452" i="3" s="1"/>
  <c r="N38" i="6"/>
  <c r="Q38" i="6"/>
  <c r="AK38" i="6" s="1"/>
  <c r="N40" i="6"/>
  <c r="Q40" i="6"/>
  <c r="AK40" i="6" s="1"/>
  <c r="N42" i="6"/>
  <c r="Q42" i="6"/>
  <c r="AK42" i="6" s="1"/>
  <c r="N48" i="6"/>
  <c r="Q48" i="6"/>
  <c r="AK48" i="6" s="1"/>
  <c r="N50" i="6"/>
  <c r="Q50" i="6"/>
  <c r="AK50" i="6" s="1"/>
  <c r="S54" i="6"/>
  <c r="AL54" i="6" s="1"/>
  <c r="S55" i="6"/>
  <c r="AL55" i="6" s="1"/>
  <c r="S56" i="6"/>
  <c r="AL56" i="6" s="1"/>
  <c r="S57" i="6"/>
  <c r="AL57" i="6" s="1"/>
  <c r="S58" i="6"/>
  <c r="AL58" i="6" s="1"/>
  <c r="S59" i="6"/>
  <c r="AL59" i="6" s="1"/>
  <c r="S60" i="6"/>
  <c r="AL60" i="6" s="1"/>
  <c r="S61" i="6"/>
  <c r="AL61" i="6" s="1"/>
  <c r="S62" i="6"/>
  <c r="AL62" i="6" s="1"/>
  <c r="S63" i="6"/>
  <c r="AL63" i="6" s="1"/>
  <c r="S64" i="6"/>
  <c r="AL64" i="6" s="1"/>
  <c r="S68" i="6"/>
  <c r="AL68" i="6" s="1"/>
  <c r="S69" i="6"/>
  <c r="AL69" i="6" s="1"/>
  <c r="S70" i="6"/>
  <c r="AL70" i="6" s="1"/>
  <c r="S71" i="6"/>
  <c r="AL71" i="6" s="1"/>
  <c r="S72" i="6"/>
  <c r="AL72" i="6" s="1"/>
  <c r="S73" i="6"/>
  <c r="AL73" i="6" s="1"/>
  <c r="N79" i="6"/>
  <c r="Q79" i="6"/>
  <c r="AK79" i="6" s="1"/>
  <c r="N81" i="6"/>
  <c r="Q81" i="6"/>
  <c r="AK81" i="6" s="1"/>
  <c r="N83" i="6"/>
  <c r="Q83" i="6"/>
  <c r="AK83" i="6" s="1"/>
  <c r="N85" i="6"/>
  <c r="Q85" i="6"/>
  <c r="AK85" i="6" s="1"/>
  <c r="N87" i="6"/>
  <c r="Q87" i="6"/>
  <c r="AK87" i="6" s="1"/>
  <c r="N92" i="6"/>
  <c r="Q92" i="6"/>
  <c r="AK92" i="6" s="1"/>
  <c r="N94" i="6"/>
  <c r="Q94" i="6"/>
  <c r="AK94" i="6" s="1"/>
  <c r="N96" i="6"/>
  <c r="Q96" i="6"/>
  <c r="AK96" i="6" s="1"/>
  <c r="N98" i="6"/>
  <c r="Q98" i="6"/>
  <c r="AK98" i="6" s="1"/>
  <c r="AK108" i="6"/>
  <c r="N103" i="6"/>
  <c r="Q103" i="6"/>
  <c r="AK103" i="6" s="1"/>
  <c r="AH126" i="6"/>
  <c r="L121" i="6"/>
  <c r="AH121" i="6" s="1"/>
  <c r="S122" i="6"/>
  <c r="AL122" i="6" s="1"/>
  <c r="S123" i="6"/>
  <c r="AL123" i="6" s="1"/>
  <c r="S124" i="6"/>
  <c r="AL124" i="6" s="1"/>
  <c r="N131" i="6"/>
  <c r="Q131" i="6"/>
  <c r="AK131" i="6" s="1"/>
  <c r="N133" i="6"/>
  <c r="Q133" i="6"/>
  <c r="AK133" i="6" s="1"/>
  <c r="N135" i="6"/>
  <c r="Q135" i="6"/>
  <c r="AK135" i="6" s="1"/>
  <c r="N137" i="6"/>
  <c r="Q137" i="6"/>
  <c r="AK137" i="6" s="1"/>
  <c r="N139" i="6"/>
  <c r="Q139" i="6"/>
  <c r="AK139" i="6" s="1"/>
  <c r="AK149" i="6"/>
  <c r="N144" i="6"/>
  <c r="Q144" i="6"/>
  <c r="AK144" i="6" s="1"/>
  <c r="G153" i="6"/>
  <c r="J153" i="6"/>
  <c r="AG153" i="6" s="1"/>
  <c r="G154" i="6"/>
  <c r="J154" i="6"/>
  <c r="AG154" i="6" s="1"/>
  <c r="G155" i="6"/>
  <c r="J155" i="6"/>
  <c r="AG155" i="6" s="1"/>
  <c r="G156" i="6"/>
  <c r="J156" i="6"/>
  <c r="AG156" i="6" s="1"/>
  <c r="G157" i="6"/>
  <c r="J157" i="6"/>
  <c r="AG157" i="6" s="1"/>
  <c r="G158" i="6"/>
  <c r="J158" i="6"/>
  <c r="AG158" i="6" s="1"/>
  <c r="G159" i="6"/>
  <c r="J159" i="6"/>
  <c r="AG159" i="6" s="1"/>
  <c r="G160" i="6"/>
  <c r="J160" i="6"/>
  <c r="AG160" i="6" s="1"/>
  <c r="G161" i="6"/>
  <c r="J161" i="6"/>
  <c r="AG161" i="6" s="1"/>
  <c r="G162" i="6"/>
  <c r="J162" i="6"/>
  <c r="AG162" i="6" s="1"/>
  <c r="G163" i="6"/>
  <c r="J163" i="6"/>
  <c r="AG163" i="6" s="1"/>
  <c r="G164" i="6"/>
  <c r="J164" i="6"/>
  <c r="AG164" i="6" s="1"/>
  <c r="G168" i="6"/>
  <c r="J168" i="6"/>
  <c r="AG168" i="6" s="1"/>
  <c r="G169" i="6"/>
  <c r="J169" i="6"/>
  <c r="AG169" i="6" s="1"/>
  <c r="G170" i="6"/>
  <c r="J170" i="6"/>
  <c r="AG170" i="6" s="1"/>
  <c r="G171" i="6"/>
  <c r="J171" i="6"/>
  <c r="AG171" i="6" s="1"/>
  <c r="G215" i="6"/>
  <c r="J215" i="6"/>
  <c r="AG215" i="6" s="1"/>
  <c r="G216" i="6"/>
  <c r="J216" i="6"/>
  <c r="AG216" i="6" s="1"/>
  <c r="G217" i="6"/>
  <c r="J217" i="6"/>
  <c r="AG217" i="6" s="1"/>
  <c r="G222" i="6"/>
  <c r="J222" i="6"/>
  <c r="AG222" i="6" s="1"/>
  <c r="G223" i="6"/>
  <c r="J223" i="6"/>
  <c r="AG223" i="6" s="1"/>
  <c r="G224" i="6"/>
  <c r="J224" i="6"/>
  <c r="AG224" i="6" s="1"/>
  <c r="G225" i="6"/>
  <c r="J225" i="6"/>
  <c r="AG225" i="6" s="1"/>
  <c r="G226" i="6"/>
  <c r="J226" i="6"/>
  <c r="AG226" i="6" s="1"/>
  <c r="G227" i="6"/>
  <c r="J227" i="6"/>
  <c r="AG227" i="6" s="1"/>
  <c r="G228" i="6"/>
  <c r="J228" i="6"/>
  <c r="AG228" i="6" s="1"/>
  <c r="G229" i="6"/>
  <c r="J229" i="6"/>
  <c r="AG229" i="6" s="1"/>
  <c r="G230" i="6"/>
  <c r="J230" i="6"/>
  <c r="AG230" i="6" s="1"/>
  <c r="G231" i="6"/>
  <c r="J231" i="6"/>
  <c r="AG231" i="6" s="1"/>
  <c r="G244" i="6"/>
  <c r="J244" i="6"/>
  <c r="AG244" i="6" s="1"/>
  <c r="AG250" i="6"/>
  <c r="G245" i="6"/>
  <c r="J245" i="6"/>
  <c r="AG245" i="6" s="1"/>
  <c r="G246" i="6"/>
  <c r="J246" i="6"/>
  <c r="AG246" i="6" s="1"/>
  <c r="G247" i="6"/>
  <c r="J247" i="6"/>
  <c r="AG247" i="6" s="1"/>
  <c r="G248" i="6"/>
  <c r="J248" i="6"/>
  <c r="AG248" i="6" s="1"/>
  <c r="G264" i="6"/>
  <c r="J264" i="6"/>
  <c r="AG264" i="6" s="1"/>
  <c r="G265" i="6"/>
  <c r="J265" i="6"/>
  <c r="AG265" i="6" s="1"/>
  <c r="G266" i="6"/>
  <c r="J266" i="6"/>
  <c r="AG266" i="6" s="1"/>
  <c r="G267" i="6"/>
  <c r="J267" i="6"/>
  <c r="AG267" i="6" s="1"/>
  <c r="G268" i="6"/>
  <c r="J268" i="6"/>
  <c r="AG268" i="6" s="1"/>
  <c r="G269" i="6"/>
  <c r="J269" i="6"/>
  <c r="AG269" i="6" s="1"/>
  <c r="AH296" i="6"/>
  <c r="L290" i="6"/>
  <c r="AH290" i="6" s="1"/>
  <c r="G291" i="6"/>
  <c r="J291" i="6"/>
  <c r="AG291" i="6" s="1"/>
  <c r="G292" i="6"/>
  <c r="J292" i="6"/>
  <c r="AG292" i="6" s="1"/>
  <c r="G293" i="6"/>
  <c r="J293" i="6"/>
  <c r="AG293" i="6" s="1"/>
  <c r="G294" i="6"/>
  <c r="J294" i="6"/>
  <c r="AG294" i="6" s="1"/>
  <c r="AH311" i="6"/>
  <c r="L305" i="6"/>
  <c r="AH305" i="6" s="1"/>
  <c r="AG319" i="6"/>
  <c r="G313" i="6"/>
  <c r="J313" i="6"/>
  <c r="AG313" i="6" s="1"/>
  <c r="G314" i="6"/>
  <c r="J314" i="6"/>
  <c r="AG314" i="6" s="1"/>
  <c r="G315" i="6"/>
  <c r="J315" i="6"/>
  <c r="AG315" i="6" s="1"/>
  <c r="G316" i="6"/>
  <c r="J316" i="6"/>
  <c r="AG316" i="6" s="1"/>
  <c r="G317" i="6"/>
  <c r="J317" i="6"/>
  <c r="AG317" i="6" s="1"/>
  <c r="G318" i="6"/>
  <c r="J318" i="6"/>
  <c r="AG318" i="6" s="1"/>
  <c r="AH327" i="6"/>
  <c r="L321" i="6"/>
  <c r="AH321" i="6" s="1"/>
  <c r="G329" i="6"/>
  <c r="J329" i="6"/>
  <c r="AG329" i="6" s="1"/>
  <c r="AG335" i="6"/>
  <c r="G330" i="6"/>
  <c r="J330" i="6"/>
  <c r="AG330" i="6" s="1"/>
  <c r="G331" i="6"/>
  <c r="J331" i="6"/>
  <c r="AG331" i="6" s="1"/>
  <c r="G332" i="6"/>
  <c r="J332" i="6"/>
  <c r="AG332" i="6" s="1"/>
  <c r="G333" i="6"/>
  <c r="J333" i="6"/>
  <c r="AG333" i="6" s="1"/>
  <c r="G334" i="6"/>
  <c r="J334" i="6"/>
  <c r="AG334" i="6" s="1"/>
  <c r="AH343" i="6"/>
  <c r="L337" i="6"/>
  <c r="AH337" i="6" s="1"/>
  <c r="AG351" i="6"/>
  <c r="G345" i="6"/>
  <c r="J345" i="6"/>
  <c r="AG345" i="6" s="1"/>
  <c r="G346" i="6"/>
  <c r="J346" i="6"/>
  <c r="AG346" i="6" s="1"/>
  <c r="G347" i="6"/>
  <c r="J347" i="6"/>
  <c r="AG347" i="6" s="1"/>
  <c r="G348" i="6"/>
  <c r="J348" i="6"/>
  <c r="AG348" i="6" s="1"/>
  <c r="G349" i="6"/>
  <c r="J349" i="6"/>
  <c r="AG349" i="6" s="1"/>
  <c r="G350" i="6"/>
  <c r="J350" i="6"/>
  <c r="AG350" i="6" s="1"/>
  <c r="AG359" i="6"/>
  <c r="G353" i="6"/>
  <c r="J353" i="6"/>
  <c r="AG353" i="6" s="1"/>
  <c r="G354" i="6"/>
  <c r="J354" i="6"/>
  <c r="AG354" i="6" s="1"/>
  <c r="G355" i="6"/>
  <c r="J355" i="6"/>
  <c r="AG355" i="6" s="1"/>
  <c r="G356" i="6"/>
  <c r="J356" i="6"/>
  <c r="AG356" i="6" s="1"/>
  <c r="G357" i="6"/>
  <c r="J357" i="6"/>
  <c r="AG357" i="6" s="1"/>
  <c r="G358" i="6"/>
  <c r="J358" i="6"/>
  <c r="AG358" i="6" s="1"/>
  <c r="AH367" i="6"/>
  <c r="L361" i="6"/>
  <c r="AH361" i="6" s="1"/>
  <c r="AH375" i="6"/>
  <c r="L369" i="6"/>
  <c r="AH369" i="6" s="1"/>
  <c r="AG383" i="6"/>
  <c r="G377" i="6"/>
  <c r="J377" i="6"/>
  <c r="AG377" i="6" s="1"/>
  <c r="G378" i="6"/>
  <c r="J378" i="6"/>
  <c r="AG378" i="6" s="1"/>
  <c r="G379" i="6"/>
  <c r="J379" i="6"/>
  <c r="AG379" i="6" s="1"/>
  <c r="G380" i="6"/>
  <c r="J380" i="6"/>
  <c r="AG380" i="6" s="1"/>
  <c r="G381" i="6"/>
  <c r="J381" i="6"/>
  <c r="AG381" i="6" s="1"/>
  <c r="G382" i="6"/>
  <c r="J382" i="6"/>
  <c r="AG382" i="6" s="1"/>
  <c r="G386" i="6"/>
  <c r="J386" i="6"/>
  <c r="AG386" i="6" s="1"/>
  <c r="G387" i="6"/>
  <c r="J387" i="6"/>
  <c r="AG387" i="6" s="1"/>
  <c r="G388" i="6"/>
  <c r="J388" i="6"/>
  <c r="AG388" i="6" s="1"/>
  <c r="G389" i="6"/>
  <c r="J389" i="6"/>
  <c r="AG389" i="6" s="1"/>
  <c r="G390" i="6"/>
  <c r="J390" i="6"/>
  <c r="AG390" i="6" s="1"/>
  <c r="G391" i="6"/>
  <c r="J391" i="6"/>
  <c r="AG391" i="6" s="1"/>
  <c r="G392" i="6"/>
  <c r="J392" i="6"/>
  <c r="AG392" i="6" s="1"/>
  <c r="G393" i="6"/>
  <c r="J393" i="6"/>
  <c r="AG393" i="6" s="1"/>
  <c r="G394" i="6"/>
  <c r="J394" i="6"/>
  <c r="AG394" i="6" s="1"/>
  <c r="G403" i="6"/>
  <c r="J403" i="6"/>
  <c r="AG403" i="6" s="1"/>
  <c r="G407" i="6"/>
  <c r="J407" i="6"/>
  <c r="AG407" i="6" s="1"/>
  <c r="G408" i="6"/>
  <c r="J408" i="6"/>
  <c r="AG408" i="6" s="1"/>
  <c r="G409" i="6"/>
  <c r="J409" i="6"/>
  <c r="AG409" i="6" s="1"/>
  <c r="G410" i="6"/>
  <c r="J410" i="6"/>
  <c r="AG410" i="6" s="1"/>
  <c r="G411" i="6"/>
  <c r="J411" i="6"/>
  <c r="AG411" i="6" s="1"/>
  <c r="G420" i="6"/>
  <c r="J420" i="6"/>
  <c r="AG420" i="6" s="1"/>
  <c r="G421" i="6"/>
  <c r="J421" i="6"/>
  <c r="AG421" i="6" s="1"/>
  <c r="G422" i="6"/>
  <c r="J422" i="6"/>
  <c r="AG422" i="6" s="1"/>
  <c r="G423" i="6"/>
  <c r="J423" i="6"/>
  <c r="AG423" i="6" s="1"/>
  <c r="G424" i="6"/>
  <c r="J424" i="6"/>
  <c r="AG424" i="6" s="1"/>
  <c r="G425" i="6"/>
  <c r="J425" i="6"/>
  <c r="AG425" i="6" s="1"/>
  <c r="AH433" i="6"/>
  <c r="L428" i="6"/>
  <c r="AH428" i="6" s="1"/>
  <c r="G435" i="6"/>
  <c r="J435" i="6"/>
  <c r="AG435" i="6" s="1"/>
  <c r="L439" i="6"/>
  <c r="AH439" i="6" s="1"/>
  <c r="AH440" i="6"/>
  <c r="G442" i="6"/>
  <c r="J442" i="6"/>
  <c r="AG442" i="6" s="1"/>
  <c r="G443" i="6"/>
  <c r="J443" i="6"/>
  <c r="AG443" i="6" s="1"/>
  <c r="G444" i="6"/>
  <c r="J444" i="6"/>
  <c r="AG444" i="6" s="1"/>
  <c r="G445" i="6"/>
  <c r="J445" i="6"/>
  <c r="AG445" i="6" s="1"/>
  <c r="G446" i="6"/>
  <c r="J446" i="6"/>
  <c r="AG446" i="6" s="1"/>
  <c r="G447" i="6"/>
  <c r="J447" i="6"/>
  <c r="AG447" i="6" s="1"/>
  <c r="G448" i="6"/>
  <c r="J448" i="6"/>
  <c r="AG448" i="6" s="1"/>
  <c r="G449" i="6"/>
  <c r="J449" i="6"/>
  <c r="AG449" i="6" s="1"/>
  <c r="G450" i="6"/>
  <c r="J450" i="6"/>
  <c r="AG450" i="6" s="1"/>
  <c r="G451" i="6"/>
  <c r="J451" i="6"/>
  <c r="AG451" i="6" s="1"/>
  <c r="G452" i="6"/>
  <c r="J452" i="6"/>
  <c r="AG452" i="6" s="1"/>
  <c r="Z261" i="6"/>
  <c r="AP261" i="6" s="1"/>
  <c r="Z249" i="6"/>
  <c r="AP249" i="6" s="1"/>
  <c r="Z199" i="6"/>
  <c r="AP199" i="6" s="1"/>
  <c r="Z241" i="6"/>
  <c r="AP241" i="6" s="1"/>
  <c r="Z212" i="6"/>
  <c r="AP212" i="6" s="1"/>
  <c r="Z51" i="6"/>
  <c r="AP51" i="6" s="1"/>
  <c r="Z35" i="6"/>
  <c r="AP35" i="6" s="1"/>
  <c r="Z19" i="6"/>
  <c r="AP19" i="6" s="1"/>
  <c r="Z115" i="6"/>
  <c r="AP115" i="6" s="1"/>
  <c r="Z270" i="6"/>
  <c r="AP270" i="6" s="1"/>
  <c r="Z295" i="6"/>
  <c r="AP295" i="6" s="1"/>
  <c r="Z218" i="6"/>
  <c r="AP218" i="6" s="1"/>
  <c r="Z206" i="6"/>
  <c r="AP206" i="6" s="1"/>
  <c r="Z191" i="6"/>
  <c r="AP191" i="6" s="1"/>
  <c r="Z232" i="6"/>
  <c r="AP232" i="6" s="1"/>
  <c r="Z179" i="6"/>
  <c r="AP179" i="6" s="1"/>
  <c r="Z172" i="6"/>
  <c r="AP172" i="6" s="1"/>
  <c r="Z74" i="6"/>
  <c r="AP74" i="6" s="1"/>
  <c r="Z44" i="6"/>
  <c r="AP44" i="6" s="1"/>
  <c r="Z27" i="6"/>
  <c r="Z148" i="6"/>
  <c r="AP148" i="6" s="1"/>
  <c r="Z125" i="6"/>
  <c r="AP125" i="6" s="1"/>
  <c r="Z107" i="6"/>
  <c r="AP107" i="6" s="1"/>
  <c r="Z16" i="6"/>
  <c r="AP16" i="6" s="1"/>
  <c r="Z18" i="6"/>
  <c r="AP18" i="6" s="1"/>
  <c r="Z24" i="6"/>
  <c r="AP24" i="6" s="1"/>
  <c r="Z26" i="6"/>
  <c r="AP26" i="6" s="1"/>
  <c r="Z31" i="6"/>
  <c r="AP31" i="6" s="1"/>
  <c r="Z33" i="6"/>
  <c r="AP33" i="6" s="1"/>
  <c r="Z38" i="6"/>
  <c r="AP38" i="6" s="1"/>
  <c r="Z40" i="6"/>
  <c r="AP40" i="6" s="1"/>
  <c r="Z42" i="6"/>
  <c r="AP42" i="6" s="1"/>
  <c r="Z47" i="6"/>
  <c r="AP47" i="6" s="1"/>
  <c r="AP52" i="6"/>
  <c r="Z49" i="6"/>
  <c r="AP49" i="6" s="1"/>
  <c r="Z54" i="6"/>
  <c r="AP54" i="6" s="1"/>
  <c r="Z56" i="6"/>
  <c r="AP56" i="6" s="1"/>
  <c r="Z58" i="6"/>
  <c r="AP58" i="6" s="1"/>
  <c r="Z60" i="6"/>
  <c r="AP60" i="6" s="1"/>
  <c r="Z62" i="6"/>
  <c r="AP62" i="6" s="1"/>
  <c r="Z64" i="6"/>
  <c r="AP64" i="6" s="1"/>
  <c r="Z69" i="6"/>
  <c r="AP69" i="6" s="1"/>
  <c r="Z71" i="6"/>
  <c r="AP71" i="6" s="1"/>
  <c r="Z73" i="6"/>
  <c r="AP73" i="6" s="1"/>
  <c r="Z79" i="6"/>
  <c r="AP79" i="6" s="1"/>
  <c r="Z81" i="6"/>
  <c r="AP81" i="6" s="1"/>
  <c r="Z83" i="6"/>
  <c r="AP83" i="6" s="1"/>
  <c r="Z85" i="6"/>
  <c r="AP85" i="6" s="1"/>
  <c r="Z87" i="6"/>
  <c r="AP87" i="6" s="1"/>
  <c r="Z92" i="6"/>
  <c r="AP92" i="6" s="1"/>
  <c r="Z94" i="6"/>
  <c r="AP94" i="6" s="1"/>
  <c r="Z96" i="6"/>
  <c r="AP96" i="6" s="1"/>
  <c r="Z98" i="6"/>
  <c r="AP98" i="6" s="1"/>
  <c r="AP108" i="6"/>
  <c r="Z103" i="6"/>
  <c r="AP103" i="6" s="1"/>
  <c r="Z105" i="6"/>
  <c r="AP105" i="6" s="1"/>
  <c r="AP116" i="6"/>
  <c r="Z111" i="6"/>
  <c r="AP111" i="6" s="1"/>
  <c r="Z113" i="6"/>
  <c r="AP113" i="6" s="1"/>
  <c r="AP126" i="6"/>
  <c r="Z121" i="6"/>
  <c r="AP121" i="6" s="1"/>
  <c r="Z123" i="6"/>
  <c r="AP123" i="6" s="1"/>
  <c r="Z130" i="6"/>
  <c r="AP130" i="6" s="1"/>
  <c r="Z132" i="6"/>
  <c r="AP132" i="6" s="1"/>
  <c r="Z134" i="6"/>
  <c r="AP134" i="6" s="1"/>
  <c r="Z136" i="6"/>
  <c r="AP136" i="6" s="1"/>
  <c r="Z138" i="6"/>
  <c r="AP138" i="6" s="1"/>
  <c r="Z140" i="6"/>
  <c r="AP140" i="6" s="1"/>
  <c r="Z146" i="6"/>
  <c r="AP146" i="6" s="1"/>
  <c r="Z155" i="6"/>
  <c r="AP155" i="6" s="1"/>
  <c r="Z159" i="6"/>
  <c r="AP159" i="6" s="1"/>
  <c r="Z163" i="6"/>
  <c r="AP163" i="6" s="1"/>
  <c r="Z170" i="6"/>
  <c r="AP170" i="6" s="1"/>
  <c r="Z177" i="6"/>
  <c r="AP177" i="6" s="1"/>
  <c r="Z184" i="6"/>
  <c r="AP184" i="6" s="1"/>
  <c r="Z188" i="6"/>
  <c r="AP188" i="6" s="1"/>
  <c r="Z196" i="6"/>
  <c r="AP196" i="6" s="1"/>
  <c r="Z203" i="6"/>
  <c r="AP203" i="6" s="1"/>
  <c r="Z210" i="6"/>
  <c r="AP210" i="6" s="1"/>
  <c r="Z217" i="6"/>
  <c r="AP217" i="6" s="1"/>
  <c r="Z225" i="6"/>
  <c r="AP225" i="6" s="1"/>
  <c r="Z229" i="6"/>
  <c r="AP229" i="6" s="1"/>
  <c r="Z236" i="6"/>
  <c r="AP236" i="6" s="1"/>
  <c r="Z240" i="6"/>
  <c r="AP240" i="6" s="1"/>
  <c r="Z247" i="6"/>
  <c r="AP247" i="6" s="1"/>
  <c r="Z254" i="6"/>
  <c r="AP254" i="6" s="1"/>
  <c r="Z258" i="6"/>
  <c r="AP258" i="6" s="1"/>
  <c r="Z265" i="6"/>
  <c r="AP265" i="6" s="1"/>
  <c r="Z269" i="6"/>
  <c r="AP269" i="6" s="1"/>
  <c r="Z276" i="6"/>
  <c r="AP276" i="6" s="1"/>
  <c r="Z280" i="6"/>
  <c r="AP280" i="6" s="1"/>
  <c r="Z284" i="6"/>
  <c r="AP284" i="6" s="1"/>
  <c r="Z291" i="6"/>
  <c r="AP291" i="6" s="1"/>
  <c r="AP311" i="6"/>
  <c r="Z305" i="6"/>
  <c r="AP305" i="6" s="1"/>
  <c r="Z309" i="6"/>
  <c r="AP309" i="6" s="1"/>
  <c r="Z315" i="6"/>
  <c r="AP315" i="6" s="1"/>
  <c r="AP327" i="6"/>
  <c r="Z321" i="6"/>
  <c r="AP321" i="6" s="1"/>
  <c r="Z325" i="6"/>
  <c r="AP325" i="6" s="1"/>
  <c r="Z331" i="6"/>
  <c r="AP331" i="6" s="1"/>
  <c r="AP343" i="6"/>
  <c r="Z337" i="6"/>
  <c r="AP337" i="6" s="1"/>
  <c r="U284" i="3"/>
  <c r="X284" i="3"/>
  <c r="AO284" i="3" s="1"/>
  <c r="U286" i="3"/>
  <c r="X286" i="3"/>
  <c r="AO286" i="3" s="1"/>
  <c r="U291" i="3"/>
  <c r="X291" i="3"/>
  <c r="AO291" i="3" s="1"/>
  <c r="U293" i="3"/>
  <c r="X293" i="3"/>
  <c r="AO293" i="3" s="1"/>
  <c r="AO311" i="3"/>
  <c r="U305" i="3"/>
  <c r="X305" i="3"/>
  <c r="AO305" i="3" s="1"/>
  <c r="U307" i="3"/>
  <c r="X307" i="3"/>
  <c r="AO307" i="3" s="1"/>
  <c r="U309" i="3"/>
  <c r="X309" i="3"/>
  <c r="AO309" i="3" s="1"/>
  <c r="U313" i="3"/>
  <c r="AO319" i="3"/>
  <c r="X313" i="3"/>
  <c r="AO313" i="3" s="1"/>
  <c r="U315" i="3"/>
  <c r="X315" i="3"/>
  <c r="AO315" i="3" s="1"/>
  <c r="U317" i="3"/>
  <c r="X317" i="3"/>
  <c r="AO317" i="3" s="1"/>
  <c r="AO327" i="3"/>
  <c r="U321" i="3"/>
  <c r="X321" i="3"/>
  <c r="AO321" i="3" s="1"/>
  <c r="U323" i="3"/>
  <c r="X323" i="3"/>
  <c r="AO323" i="3" s="1"/>
  <c r="U325" i="3"/>
  <c r="X325" i="3"/>
  <c r="AO325" i="3" s="1"/>
  <c r="U329" i="3"/>
  <c r="AO335" i="3"/>
  <c r="X329" i="3"/>
  <c r="AO329" i="3" s="1"/>
  <c r="U331" i="3"/>
  <c r="X331" i="3"/>
  <c r="AO331" i="3" s="1"/>
  <c r="U333" i="3"/>
  <c r="X333" i="3"/>
  <c r="AO333" i="3" s="1"/>
  <c r="AO343" i="3"/>
  <c r="U337" i="3"/>
  <c r="X337" i="3"/>
  <c r="AO337" i="3" s="1"/>
  <c r="U339" i="3"/>
  <c r="X339" i="3"/>
  <c r="AO339" i="3" s="1"/>
  <c r="U341" i="3"/>
  <c r="X341" i="3"/>
  <c r="AO341" i="3" s="1"/>
  <c r="U345" i="3"/>
  <c r="AO351" i="3"/>
  <c r="X345" i="3"/>
  <c r="AO345" i="3" s="1"/>
  <c r="U347" i="3"/>
  <c r="X347" i="3"/>
  <c r="AO347" i="3" s="1"/>
  <c r="U349" i="3"/>
  <c r="X349" i="3"/>
  <c r="AO349" i="3" s="1"/>
  <c r="U353" i="3"/>
  <c r="AO359" i="3"/>
  <c r="X353" i="3"/>
  <c r="AO353" i="3" s="1"/>
  <c r="U355" i="3"/>
  <c r="X355" i="3"/>
  <c r="AO355" i="3" s="1"/>
  <c r="U357" i="3"/>
  <c r="X357" i="3"/>
  <c r="AO357" i="3" s="1"/>
  <c r="AO367" i="3"/>
  <c r="U361" i="3"/>
  <c r="X361" i="3"/>
  <c r="AO361" i="3" s="1"/>
  <c r="U363" i="3"/>
  <c r="X363" i="3"/>
  <c r="AO363" i="3" s="1"/>
  <c r="X365" i="3"/>
  <c r="AO365" i="3" s="1"/>
  <c r="U365" i="3"/>
  <c r="U369" i="3"/>
  <c r="X369" i="3"/>
  <c r="AO369" i="3" s="1"/>
  <c r="AO375" i="3"/>
  <c r="U371" i="3"/>
  <c r="X371" i="3"/>
  <c r="AO371" i="3" s="1"/>
  <c r="U373" i="3"/>
  <c r="X373" i="3"/>
  <c r="AO373" i="3" s="1"/>
  <c r="U377" i="3"/>
  <c r="X377" i="3"/>
  <c r="AO377" i="3" s="1"/>
  <c r="AO383" i="3"/>
  <c r="U379" i="3"/>
  <c r="X379" i="3"/>
  <c r="AO379" i="3" s="1"/>
  <c r="U381" i="3"/>
  <c r="X381" i="3"/>
  <c r="AO381" i="3" s="1"/>
  <c r="U386" i="3"/>
  <c r="X386" i="3"/>
  <c r="AO386" i="3" s="1"/>
  <c r="U388" i="3"/>
  <c r="X388" i="3"/>
  <c r="AO388" i="3" s="1"/>
  <c r="U390" i="3"/>
  <c r="X390" i="3"/>
  <c r="AO390" i="3" s="1"/>
  <c r="U392" i="3"/>
  <c r="X392" i="3"/>
  <c r="AO392" i="3" s="1"/>
  <c r="U394" i="3"/>
  <c r="X394" i="3"/>
  <c r="AO394" i="3" s="1"/>
  <c r="U398" i="3"/>
  <c r="X398" i="3"/>
  <c r="AO398" i="3" s="1"/>
  <c r="U400" i="3"/>
  <c r="X400" i="3"/>
  <c r="AO400" i="3" s="1"/>
  <c r="U402" i="3"/>
  <c r="X402" i="3"/>
  <c r="AO402" i="3" s="1"/>
  <c r="U404" i="3"/>
  <c r="X404" i="3"/>
  <c r="AO404" i="3" s="1"/>
  <c r="U408" i="3"/>
  <c r="X408" i="3"/>
  <c r="AO408" i="3" s="1"/>
  <c r="U410" i="3"/>
  <c r="X410" i="3"/>
  <c r="AO410" i="3" s="1"/>
  <c r="U414" i="3"/>
  <c r="X414" i="3"/>
  <c r="AO414" i="3" s="1"/>
  <c r="U416" i="3"/>
  <c r="X416" i="3"/>
  <c r="AO416" i="3" s="1"/>
  <c r="U420" i="3"/>
  <c r="X420" i="3"/>
  <c r="AO420" i="3" s="1"/>
  <c r="U422" i="3"/>
  <c r="X422" i="3"/>
  <c r="AO422" i="3" s="1"/>
  <c r="U424" i="3"/>
  <c r="X424" i="3"/>
  <c r="AO424" i="3" s="1"/>
  <c r="AO433" i="3"/>
  <c r="U428" i="3"/>
  <c r="X428" i="3"/>
  <c r="AO428" i="3" s="1"/>
  <c r="U430" i="3"/>
  <c r="X430" i="3"/>
  <c r="AO430" i="3" s="1"/>
  <c r="U432" i="3"/>
  <c r="X432" i="3"/>
  <c r="AO432" i="3" s="1"/>
  <c r="U436" i="3"/>
  <c r="X436" i="3"/>
  <c r="AO436" i="3" s="1"/>
  <c r="U438" i="3"/>
  <c r="X438" i="3"/>
  <c r="AO438" i="3" s="1"/>
  <c r="U442" i="3"/>
  <c r="X442" i="3"/>
  <c r="AO442" i="3" s="1"/>
  <c r="U444" i="3"/>
  <c r="X444" i="3"/>
  <c r="AO444" i="3" s="1"/>
  <c r="U446" i="3"/>
  <c r="X446" i="3"/>
  <c r="AO446" i="3" s="1"/>
  <c r="U448" i="3"/>
  <c r="X448" i="3"/>
  <c r="AO448" i="3" s="1"/>
  <c r="U450" i="3"/>
  <c r="X450" i="3"/>
  <c r="AO450" i="3" s="1"/>
  <c r="U452" i="3"/>
  <c r="X452" i="3"/>
  <c r="AO452" i="3" s="1"/>
  <c r="L261" i="6"/>
  <c r="AH261" i="6" s="1"/>
  <c r="L295" i="6"/>
  <c r="AH295" i="6" s="1"/>
  <c r="L199" i="6"/>
  <c r="AH199" i="6" s="1"/>
  <c r="L241" i="6"/>
  <c r="AH241" i="6" s="1"/>
  <c r="L212" i="6"/>
  <c r="AH212" i="6" s="1"/>
  <c r="L74" i="6"/>
  <c r="AH74" i="6" s="1"/>
  <c r="L44" i="6"/>
  <c r="AH44" i="6" s="1"/>
  <c r="L27" i="6"/>
  <c r="L148" i="6"/>
  <c r="AH148" i="6" s="1"/>
  <c r="L125" i="6"/>
  <c r="AH125" i="6" s="1"/>
  <c r="L107" i="6"/>
  <c r="AH107" i="6" s="1"/>
  <c r="AC7" i="6"/>
  <c r="L270" i="6"/>
  <c r="AH270" i="6" s="1"/>
  <c r="L249" i="6"/>
  <c r="AH249" i="6" s="1"/>
  <c r="L218" i="6"/>
  <c r="AH218" i="6" s="1"/>
  <c r="L206" i="6"/>
  <c r="AH206" i="6" s="1"/>
  <c r="L191" i="6"/>
  <c r="AH191" i="6" s="1"/>
  <c r="L232" i="6"/>
  <c r="AH232" i="6" s="1"/>
  <c r="L179" i="6"/>
  <c r="AH179" i="6" s="1"/>
  <c r="L172" i="6"/>
  <c r="AH172" i="6" s="1"/>
  <c r="L51" i="6"/>
  <c r="AH51" i="6" s="1"/>
  <c r="L35" i="6"/>
  <c r="AH35" i="6" s="1"/>
  <c r="L19" i="6"/>
  <c r="AH19" i="6" s="1"/>
  <c r="L115" i="6"/>
  <c r="AH115" i="6" s="1"/>
  <c r="N15" i="6"/>
  <c r="Q15" i="6"/>
  <c r="AK15" i="6" s="1"/>
  <c r="Q16" i="6"/>
  <c r="AK16" i="6" s="1"/>
  <c r="N16" i="6"/>
  <c r="S18" i="6"/>
  <c r="AL18" i="6" s="1"/>
  <c r="Q23" i="6"/>
  <c r="AK23" i="6" s="1"/>
  <c r="N23" i="6"/>
  <c r="N24" i="6"/>
  <c r="Q24" i="6"/>
  <c r="AK24" i="6" s="1"/>
  <c r="N25" i="6"/>
  <c r="Q25" i="6"/>
  <c r="AK25" i="6" s="1"/>
  <c r="N26" i="6"/>
  <c r="Q26" i="6"/>
  <c r="AK26" i="6" s="1"/>
  <c r="N30" i="6"/>
  <c r="Q30" i="6"/>
  <c r="AK30" i="6" s="1"/>
  <c r="N31" i="6"/>
  <c r="Q31" i="6"/>
  <c r="AK31" i="6" s="1"/>
  <c r="N32" i="6"/>
  <c r="Q32" i="6"/>
  <c r="AK32" i="6" s="1"/>
  <c r="N33" i="6"/>
  <c r="Q33" i="6"/>
  <c r="AK33" i="6" s="1"/>
  <c r="N34" i="6"/>
  <c r="Q34" i="6"/>
  <c r="AK34" i="6" s="1"/>
  <c r="S38" i="6"/>
  <c r="AL38" i="6" s="1"/>
  <c r="S39" i="6"/>
  <c r="AL39" i="6" s="1"/>
  <c r="S40" i="6"/>
  <c r="AL40" i="6" s="1"/>
  <c r="S41" i="6"/>
  <c r="AL41" i="6" s="1"/>
  <c r="S42" i="6"/>
  <c r="AL42" i="6" s="1"/>
  <c r="S43" i="6"/>
  <c r="AL43" i="6" s="1"/>
  <c r="N47" i="6"/>
  <c r="AK52" i="6"/>
  <c r="Q47" i="6"/>
  <c r="AK47" i="6" s="1"/>
  <c r="S48" i="6"/>
  <c r="AL48" i="6" s="1"/>
  <c r="S49" i="6"/>
  <c r="AL49" i="6" s="1"/>
  <c r="S50" i="6"/>
  <c r="AL50" i="6" s="1"/>
  <c r="N54" i="6"/>
  <c r="Q54" i="6"/>
  <c r="AK54" i="6" s="1"/>
  <c r="N55" i="6"/>
  <c r="Q55" i="6"/>
  <c r="AK55" i="6" s="1"/>
  <c r="N56" i="6"/>
  <c r="Q56" i="6"/>
  <c r="AK56" i="6" s="1"/>
  <c r="N57" i="6"/>
  <c r="Q57" i="6"/>
  <c r="AK57" i="6" s="1"/>
  <c r="N58" i="6"/>
  <c r="Q58" i="6"/>
  <c r="AK58" i="6" s="1"/>
  <c r="N59" i="6"/>
  <c r="Q59" i="6"/>
  <c r="AK59" i="6" s="1"/>
  <c r="N60" i="6"/>
  <c r="Q60" i="6"/>
  <c r="AK60" i="6" s="1"/>
  <c r="N61" i="6"/>
  <c r="Q61" i="6"/>
  <c r="AK61" i="6" s="1"/>
  <c r="N62" i="6"/>
  <c r="Q62" i="6"/>
  <c r="AK62" i="6" s="1"/>
  <c r="N63" i="6"/>
  <c r="Q63" i="6"/>
  <c r="AK63" i="6" s="1"/>
  <c r="N64" i="6"/>
  <c r="Q64" i="6"/>
  <c r="AK64" i="6" s="1"/>
  <c r="N68" i="6"/>
  <c r="Q68" i="6"/>
  <c r="AK68" i="6" s="1"/>
  <c r="N69" i="6"/>
  <c r="Q69" i="6"/>
  <c r="AK69" i="6" s="1"/>
  <c r="N70" i="6"/>
  <c r="Q70" i="6"/>
  <c r="AK70" i="6" s="1"/>
  <c r="N71" i="6"/>
  <c r="Q71" i="6"/>
  <c r="AK71" i="6" s="1"/>
  <c r="N72" i="6"/>
  <c r="Q72" i="6"/>
  <c r="AK72" i="6" s="1"/>
  <c r="N73" i="6"/>
  <c r="Q73" i="6"/>
  <c r="AK73" i="6" s="1"/>
  <c r="S78" i="6"/>
  <c r="AL78" i="6" s="1"/>
  <c r="S79" i="6"/>
  <c r="AL79" i="6" s="1"/>
  <c r="S80" i="6"/>
  <c r="AL80" i="6" s="1"/>
  <c r="S81" i="6"/>
  <c r="AL81" i="6" s="1"/>
  <c r="S82" i="6"/>
  <c r="AL82" i="6" s="1"/>
  <c r="S83" i="6"/>
  <c r="AL83" i="6" s="1"/>
  <c r="S84" i="6"/>
  <c r="AL84" i="6" s="1"/>
  <c r="S85" i="6"/>
  <c r="AL85" i="6" s="1"/>
  <c r="S86" i="6"/>
  <c r="AL86" i="6" s="1"/>
  <c r="S87" i="6"/>
  <c r="AL87" i="6" s="1"/>
  <c r="S88" i="6"/>
  <c r="AL88" i="6" s="1"/>
  <c r="S92" i="6"/>
  <c r="AL92" i="6" s="1"/>
  <c r="S93" i="6"/>
  <c r="AL93" i="6" s="1"/>
  <c r="S94" i="6"/>
  <c r="AL94" i="6" s="1"/>
  <c r="S95" i="6"/>
  <c r="AL95" i="6" s="1"/>
  <c r="S96" i="6"/>
  <c r="AL96" i="6" s="1"/>
  <c r="S97" i="6"/>
  <c r="AL97" i="6" s="1"/>
  <c r="S98" i="6"/>
  <c r="AL98" i="6" s="1"/>
  <c r="S99" i="6"/>
  <c r="AL99" i="6" s="1"/>
  <c r="S103" i="6"/>
  <c r="AL103" i="6" s="1"/>
  <c r="AL108" i="6"/>
  <c r="N104" i="6"/>
  <c r="Q104" i="6"/>
  <c r="AK104" i="6" s="1"/>
  <c r="N105" i="6"/>
  <c r="Q105" i="6"/>
  <c r="AK105" i="6" s="1"/>
  <c r="N106" i="6"/>
  <c r="Q106" i="6"/>
  <c r="AK106" i="6" s="1"/>
  <c r="AK116" i="6"/>
  <c r="N111" i="6"/>
  <c r="Q111" i="6"/>
  <c r="AK111" i="6" s="1"/>
  <c r="S112" i="6"/>
  <c r="AL112" i="6" s="1"/>
  <c r="S113" i="6"/>
  <c r="AL113" i="6" s="1"/>
  <c r="S114" i="6"/>
  <c r="AL114" i="6" s="1"/>
  <c r="S121" i="6"/>
  <c r="AL121" i="6" s="1"/>
  <c r="AL126" i="6"/>
  <c r="N122" i="6"/>
  <c r="Q122" i="6"/>
  <c r="AK122" i="6" s="1"/>
  <c r="N123" i="6"/>
  <c r="Q123" i="6"/>
  <c r="AK123" i="6" s="1"/>
  <c r="N124" i="6"/>
  <c r="Q124" i="6"/>
  <c r="AK124" i="6" s="1"/>
  <c r="S130" i="6"/>
  <c r="AL130" i="6" s="1"/>
  <c r="S131" i="6"/>
  <c r="AL131" i="6" s="1"/>
  <c r="S132" i="6"/>
  <c r="AL132" i="6" s="1"/>
  <c r="S133" i="6"/>
  <c r="AL133" i="6" s="1"/>
  <c r="S134" i="6"/>
  <c r="AL134" i="6" s="1"/>
  <c r="S135" i="6"/>
  <c r="AL135" i="6" s="1"/>
  <c r="S136" i="6"/>
  <c r="AL136" i="6" s="1"/>
  <c r="S137" i="6"/>
  <c r="AL137" i="6" s="1"/>
  <c r="S138" i="6"/>
  <c r="AL138" i="6" s="1"/>
  <c r="S139" i="6"/>
  <c r="AL139" i="6" s="1"/>
  <c r="S140" i="6"/>
  <c r="AL140" i="6" s="1"/>
  <c r="AL149" i="6"/>
  <c r="S144" i="6"/>
  <c r="AL144" i="6" s="1"/>
  <c r="S145" i="6"/>
  <c r="AL145" i="6" s="1"/>
  <c r="S146" i="6"/>
  <c r="AL146" i="6" s="1"/>
  <c r="S147" i="6"/>
  <c r="AL147" i="6" s="1"/>
  <c r="N153" i="6"/>
  <c r="Q153" i="6"/>
  <c r="AK153" i="6" s="1"/>
  <c r="N154" i="6"/>
  <c r="Q154" i="6"/>
  <c r="AK154" i="6" s="1"/>
  <c r="N155" i="6"/>
  <c r="Q155" i="6"/>
  <c r="AK155" i="6" s="1"/>
  <c r="N156" i="6"/>
  <c r="Q156" i="6"/>
  <c r="AK156" i="6" s="1"/>
  <c r="N157" i="6"/>
  <c r="Q157" i="6"/>
  <c r="AK157" i="6" s="1"/>
  <c r="N158" i="6"/>
  <c r="Q158" i="6"/>
  <c r="AK158" i="6" s="1"/>
  <c r="N159" i="6"/>
  <c r="Q159" i="6"/>
  <c r="AK159" i="6" s="1"/>
  <c r="N160" i="6"/>
  <c r="Q160" i="6"/>
  <c r="AK160" i="6" s="1"/>
  <c r="N161" i="6"/>
  <c r="Q161" i="6"/>
  <c r="AK161" i="6" s="1"/>
  <c r="N162" i="6"/>
  <c r="Q162" i="6"/>
  <c r="AK162" i="6" s="1"/>
  <c r="N163" i="6"/>
  <c r="Q163" i="6"/>
  <c r="AK163" i="6" s="1"/>
  <c r="N164" i="6"/>
  <c r="Q164" i="6"/>
  <c r="AK164" i="6" s="1"/>
  <c r="N168" i="6"/>
  <c r="Q168" i="6"/>
  <c r="AK168" i="6" s="1"/>
  <c r="N169" i="6"/>
  <c r="Q169" i="6"/>
  <c r="AK169" i="6" s="1"/>
  <c r="N170" i="6"/>
  <c r="Q170" i="6"/>
  <c r="AK170" i="6" s="1"/>
  <c r="N171" i="6"/>
  <c r="Q171" i="6"/>
  <c r="AK171" i="6" s="1"/>
  <c r="S175" i="6"/>
  <c r="AL175" i="6" s="1"/>
  <c r="S176" i="6"/>
  <c r="AL176" i="6" s="1"/>
  <c r="S177" i="6"/>
  <c r="AL177" i="6" s="1"/>
  <c r="S178" i="6"/>
  <c r="AL178" i="6" s="1"/>
  <c r="Q182" i="6"/>
  <c r="AK182" i="6" s="1"/>
  <c r="N182" i="6"/>
  <c r="N183" i="6"/>
  <c r="Q183" i="6"/>
  <c r="AK183" i="6" s="1"/>
  <c r="N184" i="6"/>
  <c r="Q184" i="6"/>
  <c r="AK184" i="6" s="1"/>
  <c r="N185" i="6"/>
  <c r="Q185" i="6"/>
  <c r="AK185" i="6" s="1"/>
  <c r="N186" i="6"/>
  <c r="Q186" i="6"/>
  <c r="AK186" i="6" s="1"/>
  <c r="N187" i="6"/>
  <c r="Q187" i="6"/>
  <c r="AK187" i="6" s="1"/>
  <c r="N188" i="6"/>
  <c r="Q188" i="6"/>
  <c r="AK188" i="6" s="1"/>
  <c r="N189" i="6"/>
  <c r="Q189" i="6"/>
  <c r="AK189" i="6" s="1"/>
  <c r="N190" i="6"/>
  <c r="Q190" i="6"/>
  <c r="AK190" i="6" s="1"/>
  <c r="S195" i="6"/>
  <c r="AL195" i="6" s="1"/>
  <c r="S196" i="6"/>
  <c r="AL196" i="6" s="1"/>
  <c r="S197" i="6"/>
  <c r="AL197" i="6" s="1"/>
  <c r="S198" i="6"/>
  <c r="AL198" i="6" s="1"/>
  <c r="N202" i="6"/>
  <c r="Q202" i="6"/>
  <c r="AK202" i="6" s="1"/>
  <c r="N203" i="6"/>
  <c r="Q203" i="6"/>
  <c r="AK203" i="6" s="1"/>
  <c r="N204" i="6"/>
  <c r="Q204" i="6"/>
  <c r="AK204" i="6" s="1"/>
  <c r="N205" i="6"/>
  <c r="Q205" i="6"/>
  <c r="AK205" i="6" s="1"/>
  <c r="S209" i="6"/>
  <c r="AL209" i="6" s="1"/>
  <c r="S210" i="6"/>
  <c r="AL210" i="6" s="1"/>
  <c r="S211" i="6"/>
  <c r="AL211" i="6" s="1"/>
  <c r="N215" i="6"/>
  <c r="Q215" i="6"/>
  <c r="AK215" i="6" s="1"/>
  <c r="N216" i="6"/>
  <c r="Q216" i="6"/>
  <c r="AK216" i="6" s="1"/>
  <c r="N217" i="6"/>
  <c r="Q217" i="6"/>
  <c r="AK217" i="6" s="1"/>
  <c r="N222" i="6"/>
  <c r="Q222" i="6"/>
  <c r="AK222" i="6" s="1"/>
  <c r="N223" i="6"/>
  <c r="Q223" i="6"/>
  <c r="AK223" i="6" s="1"/>
  <c r="N224" i="6"/>
  <c r="Q224" i="6"/>
  <c r="AK224" i="6" s="1"/>
  <c r="N225" i="6"/>
  <c r="Q225" i="6"/>
  <c r="AK225" i="6" s="1"/>
  <c r="N226" i="6"/>
  <c r="Q226" i="6"/>
  <c r="AK226" i="6" s="1"/>
  <c r="N227" i="6"/>
  <c r="Q227" i="6"/>
  <c r="AK227" i="6" s="1"/>
  <c r="N228" i="6"/>
  <c r="Q228" i="6"/>
  <c r="AK228" i="6" s="1"/>
  <c r="N229" i="6"/>
  <c r="Q229" i="6"/>
  <c r="AK229" i="6" s="1"/>
  <c r="N230" i="6"/>
  <c r="Q230" i="6"/>
  <c r="AK230" i="6" s="1"/>
  <c r="N231" i="6"/>
  <c r="Q231" i="6"/>
  <c r="AK231" i="6" s="1"/>
  <c r="S235" i="6"/>
  <c r="AL235" i="6" s="1"/>
  <c r="S236" i="6"/>
  <c r="AL236" i="6" s="1"/>
  <c r="S237" i="6"/>
  <c r="AL237" i="6" s="1"/>
  <c r="S238" i="6"/>
  <c r="AL238" i="6" s="1"/>
  <c r="S239" i="6"/>
  <c r="AL239" i="6" s="1"/>
  <c r="S240" i="6"/>
  <c r="AL240" i="6" s="1"/>
  <c r="N244" i="6"/>
  <c r="Q244" i="6"/>
  <c r="AK244" i="6" s="1"/>
  <c r="AK250" i="6"/>
  <c r="N245" i="6"/>
  <c r="Q245" i="6"/>
  <c r="AK245" i="6" s="1"/>
  <c r="N246" i="6"/>
  <c r="Q246" i="6"/>
  <c r="AK246" i="6" s="1"/>
  <c r="N247" i="6"/>
  <c r="Q247" i="6"/>
  <c r="AK247" i="6" s="1"/>
  <c r="N248" i="6"/>
  <c r="Q248" i="6"/>
  <c r="AK248" i="6" s="1"/>
  <c r="S252" i="6"/>
  <c r="AL252" i="6" s="1"/>
  <c r="S253" i="6"/>
  <c r="AL253" i="6" s="1"/>
  <c r="S254" i="6"/>
  <c r="AL254" i="6" s="1"/>
  <c r="S255" i="6"/>
  <c r="AL255" i="6" s="1"/>
  <c r="S256" i="6"/>
  <c r="AL256" i="6" s="1"/>
  <c r="S257" i="6"/>
  <c r="AL257" i="6" s="1"/>
  <c r="S258" i="6"/>
  <c r="AL258" i="6" s="1"/>
  <c r="S259" i="6"/>
  <c r="AL259" i="6" s="1"/>
  <c r="S260" i="6"/>
  <c r="AL260" i="6" s="1"/>
  <c r="N264" i="6"/>
  <c r="Q264" i="6"/>
  <c r="AK264" i="6" s="1"/>
  <c r="N265" i="6"/>
  <c r="Q265" i="6"/>
  <c r="AK265" i="6" s="1"/>
  <c r="N266" i="6"/>
  <c r="Q266" i="6"/>
  <c r="AK266" i="6" s="1"/>
  <c r="N267" i="6"/>
  <c r="Q267" i="6"/>
  <c r="AK267" i="6" s="1"/>
  <c r="N268" i="6"/>
  <c r="Q268" i="6"/>
  <c r="AK268" i="6" s="1"/>
  <c r="N269" i="6"/>
  <c r="Q269" i="6"/>
  <c r="AK269" i="6" s="1"/>
  <c r="S273" i="6"/>
  <c r="AL273" i="6" s="1"/>
  <c r="S274" i="6"/>
  <c r="AL274" i="6" s="1"/>
  <c r="S275" i="6"/>
  <c r="AL275" i="6" s="1"/>
  <c r="S276" i="6"/>
  <c r="AL276" i="6" s="1"/>
  <c r="S277" i="6"/>
  <c r="AL277" i="6" s="1"/>
  <c r="S278" i="6"/>
  <c r="AL278" i="6" s="1"/>
  <c r="S279" i="6"/>
  <c r="AL279" i="6" s="1"/>
  <c r="S280" i="6"/>
  <c r="AL280" i="6" s="1"/>
  <c r="S281" i="6"/>
  <c r="AL281" i="6" s="1"/>
  <c r="S282" i="6"/>
  <c r="AL282" i="6" s="1"/>
  <c r="S283" i="6"/>
  <c r="AL283" i="6" s="1"/>
  <c r="S284" i="6"/>
  <c r="AL284" i="6" s="1"/>
  <c r="S285" i="6"/>
  <c r="AL285" i="6" s="1"/>
  <c r="S286" i="6"/>
  <c r="AL286" i="6" s="1"/>
  <c r="S290" i="6"/>
  <c r="N291" i="6"/>
  <c r="Q291" i="6"/>
  <c r="AK291" i="6" s="1"/>
  <c r="N292" i="6"/>
  <c r="Q292" i="6"/>
  <c r="AK292" i="6" s="1"/>
  <c r="N293" i="6"/>
  <c r="Q293" i="6"/>
  <c r="AK293" i="6" s="1"/>
  <c r="N294" i="6"/>
  <c r="Q294" i="6"/>
  <c r="AK294" i="6" s="1"/>
  <c r="S305" i="6"/>
  <c r="S306" i="6"/>
  <c r="AL306" i="6" s="1"/>
  <c r="S307" i="6"/>
  <c r="AL307" i="6" s="1"/>
  <c r="S308" i="6"/>
  <c r="AL308" i="6" s="1"/>
  <c r="S309" i="6"/>
  <c r="AL309" i="6" s="1"/>
  <c r="S310" i="6"/>
  <c r="AL310" i="6" s="1"/>
  <c r="N313" i="6"/>
  <c r="Q313" i="6"/>
  <c r="N314" i="6"/>
  <c r="Q314" i="6"/>
  <c r="AK314" i="6" s="1"/>
  <c r="N315" i="6"/>
  <c r="Q315" i="6"/>
  <c r="AK315" i="6" s="1"/>
  <c r="N316" i="6"/>
  <c r="Q316" i="6"/>
  <c r="AK316" i="6" s="1"/>
  <c r="N317" i="6"/>
  <c r="Q317" i="6"/>
  <c r="AK317" i="6" s="1"/>
  <c r="N318" i="6"/>
  <c r="Q318" i="6"/>
  <c r="AK318" i="6" s="1"/>
  <c r="S321" i="6"/>
  <c r="S322" i="6"/>
  <c r="AL322" i="6" s="1"/>
  <c r="S323" i="6"/>
  <c r="AL323" i="6" s="1"/>
  <c r="S324" i="6"/>
  <c r="AL324" i="6" s="1"/>
  <c r="S325" i="6"/>
  <c r="AL325" i="6" s="1"/>
  <c r="S326" i="6"/>
  <c r="AL326" i="6" s="1"/>
  <c r="N329" i="6"/>
  <c r="Q329" i="6"/>
  <c r="N330" i="6"/>
  <c r="Q330" i="6"/>
  <c r="AK330" i="6" s="1"/>
  <c r="N331" i="6"/>
  <c r="Q331" i="6"/>
  <c r="AK331" i="6" s="1"/>
  <c r="N332" i="6"/>
  <c r="Q332" i="6"/>
  <c r="AK332" i="6" s="1"/>
  <c r="N333" i="6"/>
  <c r="Q333" i="6"/>
  <c r="AK333" i="6" s="1"/>
  <c r="N334" i="6"/>
  <c r="Q334" i="6"/>
  <c r="AK334" i="6" s="1"/>
  <c r="S337" i="6"/>
  <c r="S338" i="6"/>
  <c r="AL338" i="6" s="1"/>
  <c r="S339" i="6"/>
  <c r="AL339" i="6" s="1"/>
  <c r="S340" i="6"/>
  <c r="AL340" i="6" s="1"/>
  <c r="S341" i="6"/>
  <c r="AL341" i="6" s="1"/>
  <c r="S342" i="6"/>
  <c r="AL342" i="6" s="1"/>
  <c r="N345" i="6"/>
  <c r="Q345" i="6"/>
  <c r="N346" i="6"/>
  <c r="Q346" i="6"/>
  <c r="AK346" i="6" s="1"/>
  <c r="N347" i="6"/>
  <c r="Q347" i="6"/>
  <c r="AK347" i="6" s="1"/>
  <c r="N348" i="6"/>
  <c r="Q348" i="6"/>
  <c r="AK348" i="6" s="1"/>
  <c r="N349" i="6"/>
  <c r="Q349" i="6"/>
  <c r="AK349" i="6" s="1"/>
  <c r="N350" i="6"/>
  <c r="Q350" i="6"/>
  <c r="AK350" i="6" s="1"/>
  <c r="N353" i="6"/>
  <c r="Q353" i="6"/>
  <c r="N354" i="6"/>
  <c r="Q354" i="6"/>
  <c r="AK354" i="6" s="1"/>
  <c r="N355" i="6"/>
  <c r="Q355" i="6"/>
  <c r="AK355" i="6" s="1"/>
  <c r="N356" i="6"/>
  <c r="Q356" i="6"/>
  <c r="AK356" i="6" s="1"/>
  <c r="N357" i="6"/>
  <c r="Q357" i="6"/>
  <c r="AK357" i="6" s="1"/>
  <c r="N358" i="6"/>
  <c r="Q358" i="6"/>
  <c r="AK358" i="6" s="1"/>
  <c r="S361" i="6"/>
  <c r="S362" i="6"/>
  <c r="AL362" i="6" s="1"/>
  <c r="S363" i="6"/>
  <c r="AL363" i="6" s="1"/>
  <c r="S364" i="6"/>
  <c r="AL364" i="6" s="1"/>
  <c r="S365" i="6"/>
  <c r="AL365" i="6" s="1"/>
  <c r="S366" i="6"/>
  <c r="AL366" i="6" s="1"/>
  <c r="S369" i="6"/>
  <c r="S370" i="6"/>
  <c r="AL370" i="6" s="1"/>
  <c r="S371" i="6"/>
  <c r="AL371" i="6" s="1"/>
  <c r="S372" i="6"/>
  <c r="AL372" i="6" s="1"/>
  <c r="S373" i="6"/>
  <c r="AL373" i="6" s="1"/>
  <c r="S374" i="6"/>
  <c r="AL374" i="6" s="1"/>
  <c r="N377" i="6"/>
  <c r="Q377" i="6"/>
  <c r="N378" i="6"/>
  <c r="Q378" i="6"/>
  <c r="AK378" i="6" s="1"/>
  <c r="N379" i="6"/>
  <c r="Q379" i="6"/>
  <c r="AK379" i="6" s="1"/>
  <c r="N380" i="6"/>
  <c r="Q380" i="6"/>
  <c r="AK380" i="6" s="1"/>
  <c r="N381" i="6"/>
  <c r="Q381" i="6"/>
  <c r="AK381" i="6" s="1"/>
  <c r="N382" i="6"/>
  <c r="Q382" i="6"/>
  <c r="AK382" i="6" s="1"/>
  <c r="N386" i="6"/>
  <c r="Q386" i="6"/>
  <c r="AK386" i="6" s="1"/>
  <c r="N387" i="6"/>
  <c r="Q387" i="6"/>
  <c r="AK387" i="6" s="1"/>
  <c r="N388" i="6"/>
  <c r="Q388" i="6"/>
  <c r="AK388" i="6" s="1"/>
  <c r="N389" i="6"/>
  <c r="Q389" i="6"/>
  <c r="AK389" i="6" s="1"/>
  <c r="N390" i="6"/>
  <c r="Q390" i="6"/>
  <c r="AK390" i="6" s="1"/>
  <c r="N391" i="6"/>
  <c r="Q391" i="6"/>
  <c r="AK391" i="6" s="1"/>
  <c r="N392" i="6"/>
  <c r="Q392" i="6"/>
  <c r="AK392" i="6" s="1"/>
  <c r="N393" i="6"/>
  <c r="Q393" i="6"/>
  <c r="AK393" i="6" s="1"/>
  <c r="N394" i="6"/>
  <c r="Q394" i="6"/>
  <c r="AK394" i="6" s="1"/>
  <c r="S397" i="6"/>
  <c r="AL397" i="6" s="1"/>
  <c r="S398" i="6"/>
  <c r="AL398" i="6" s="1"/>
  <c r="S399" i="6"/>
  <c r="AL399" i="6" s="1"/>
  <c r="S400" i="6"/>
  <c r="AL400" i="6" s="1"/>
  <c r="S401" i="6"/>
  <c r="AL401" i="6" s="1"/>
  <c r="N402" i="6"/>
  <c r="Q402" i="6"/>
  <c r="AK402" i="6" s="1"/>
  <c r="N403" i="6"/>
  <c r="Q403" i="6"/>
  <c r="AK403" i="6" s="1"/>
  <c r="S404" i="6"/>
  <c r="AL404" i="6" s="1"/>
  <c r="N407" i="6"/>
  <c r="Q407" i="6"/>
  <c r="AK407" i="6" s="1"/>
  <c r="N408" i="6"/>
  <c r="Q408" i="6"/>
  <c r="AK408" i="6" s="1"/>
  <c r="N409" i="6"/>
  <c r="Q409" i="6"/>
  <c r="AK409" i="6" s="1"/>
  <c r="N410" i="6"/>
  <c r="Q410" i="6"/>
  <c r="AK410" i="6" s="1"/>
  <c r="N411" i="6"/>
  <c r="Q411" i="6"/>
  <c r="AK411" i="6" s="1"/>
  <c r="S414" i="6"/>
  <c r="AL414" i="6" s="1"/>
  <c r="S415" i="6"/>
  <c r="AL415" i="6" s="1"/>
  <c r="S416" i="6"/>
  <c r="AL416" i="6" s="1"/>
  <c r="S417" i="6"/>
  <c r="AL417" i="6" s="1"/>
  <c r="N420" i="6"/>
  <c r="Q420" i="6"/>
  <c r="AK420" i="6" s="1"/>
  <c r="N421" i="6"/>
  <c r="Q421" i="6"/>
  <c r="AK421" i="6" s="1"/>
  <c r="N422" i="6"/>
  <c r="Q422" i="6"/>
  <c r="AK422" i="6" s="1"/>
  <c r="N423" i="6"/>
  <c r="Q423" i="6"/>
  <c r="AK423" i="6" s="1"/>
  <c r="N424" i="6"/>
  <c r="Q424" i="6"/>
  <c r="AK424" i="6" s="1"/>
  <c r="N425" i="6"/>
  <c r="Q425" i="6"/>
  <c r="AK425" i="6" s="1"/>
  <c r="S428" i="6"/>
  <c r="S429" i="6"/>
  <c r="AL429" i="6" s="1"/>
  <c r="S430" i="6"/>
  <c r="AL430" i="6" s="1"/>
  <c r="S431" i="6"/>
  <c r="AL431" i="6" s="1"/>
  <c r="S432" i="6"/>
  <c r="AL432" i="6" s="1"/>
  <c r="N435" i="6"/>
  <c r="Q435" i="6"/>
  <c r="AK435" i="6" s="1"/>
  <c r="S436" i="6"/>
  <c r="AL436" i="6" s="1"/>
  <c r="S437" i="6"/>
  <c r="AL437" i="6" s="1"/>
  <c r="S438" i="6"/>
  <c r="AL438" i="6" s="1"/>
  <c r="S439" i="6"/>
  <c r="N442" i="6"/>
  <c r="Q442" i="6"/>
  <c r="AK442" i="6" s="1"/>
  <c r="N443" i="6"/>
  <c r="Q443" i="6"/>
  <c r="AK443" i="6" s="1"/>
  <c r="N444" i="6"/>
  <c r="Q444" i="6"/>
  <c r="AK444" i="6" s="1"/>
  <c r="N445" i="6"/>
  <c r="Q445" i="6"/>
  <c r="AK445" i="6" s="1"/>
  <c r="N446" i="6"/>
  <c r="Q446" i="6"/>
  <c r="AK446" i="6" s="1"/>
  <c r="N447" i="6"/>
  <c r="Q447" i="6"/>
  <c r="AK447" i="6" s="1"/>
  <c r="N448" i="6"/>
  <c r="Q448" i="6"/>
  <c r="AK448" i="6" s="1"/>
  <c r="N449" i="6"/>
  <c r="Q449" i="6"/>
  <c r="AK449" i="6" s="1"/>
  <c r="N450" i="6"/>
  <c r="Q450" i="6"/>
  <c r="AK450" i="6" s="1"/>
  <c r="N451" i="6"/>
  <c r="Q451" i="6"/>
  <c r="AK451" i="6" s="1"/>
  <c r="N452" i="6"/>
  <c r="Q452" i="6"/>
  <c r="AK452" i="6" s="1"/>
  <c r="U15" i="6"/>
  <c r="X15" i="6"/>
  <c r="AO15" i="6" s="1"/>
  <c r="X17" i="6"/>
  <c r="AO17" i="6" s="1"/>
  <c r="U17" i="6"/>
  <c r="U23" i="6"/>
  <c r="X23" i="6"/>
  <c r="AO23" i="6" s="1"/>
  <c r="U25" i="6"/>
  <c r="X25" i="6"/>
  <c r="AO25" i="6" s="1"/>
  <c r="U30" i="6"/>
  <c r="X30" i="6"/>
  <c r="AO30" i="6" s="1"/>
  <c r="U32" i="6"/>
  <c r="X32" i="6"/>
  <c r="AO32" i="6" s="1"/>
  <c r="U34" i="6"/>
  <c r="X34" i="6"/>
  <c r="AO34" i="6" s="1"/>
  <c r="U39" i="6"/>
  <c r="X39" i="6"/>
  <c r="AO39" i="6" s="1"/>
  <c r="U41" i="6"/>
  <c r="X41" i="6"/>
  <c r="AO41" i="6" s="1"/>
  <c r="U43" i="6"/>
  <c r="X43" i="6"/>
  <c r="AO43" i="6" s="1"/>
  <c r="U48" i="6"/>
  <c r="X48" i="6"/>
  <c r="AO48" i="6" s="1"/>
  <c r="U50" i="6"/>
  <c r="X50" i="6"/>
  <c r="AO50" i="6" s="1"/>
  <c r="U55" i="6"/>
  <c r="X55" i="6"/>
  <c r="AO55" i="6" s="1"/>
  <c r="U57" i="6"/>
  <c r="X57" i="6"/>
  <c r="AO57" i="6" s="1"/>
  <c r="U59" i="6"/>
  <c r="X59" i="6"/>
  <c r="AO59" i="6" s="1"/>
  <c r="U61" i="6"/>
  <c r="X61" i="6"/>
  <c r="AO61" i="6" s="1"/>
  <c r="U63" i="6"/>
  <c r="X63" i="6"/>
  <c r="AO63" i="6" s="1"/>
  <c r="U68" i="6"/>
  <c r="X68" i="6"/>
  <c r="AO68" i="6" s="1"/>
  <c r="U70" i="6"/>
  <c r="X70" i="6"/>
  <c r="AO70" i="6" s="1"/>
  <c r="U72" i="6"/>
  <c r="X72" i="6"/>
  <c r="AO72" i="6" s="1"/>
  <c r="U78" i="6"/>
  <c r="X78" i="6"/>
  <c r="AO78" i="6" s="1"/>
  <c r="U80" i="6"/>
  <c r="X80" i="6"/>
  <c r="AO80" i="6" s="1"/>
  <c r="U82" i="6"/>
  <c r="X82" i="6"/>
  <c r="AO82" i="6" s="1"/>
  <c r="U84" i="6"/>
  <c r="X84" i="6"/>
  <c r="AO84" i="6" s="1"/>
  <c r="U86" i="6"/>
  <c r="X86" i="6"/>
  <c r="AO86" i="6" s="1"/>
  <c r="U88" i="6"/>
  <c r="X88" i="6"/>
  <c r="AO88" i="6" s="1"/>
  <c r="U93" i="6"/>
  <c r="X93" i="6"/>
  <c r="AO93" i="6" s="1"/>
  <c r="U95" i="6"/>
  <c r="X95" i="6"/>
  <c r="AO95" i="6" s="1"/>
  <c r="U97" i="6"/>
  <c r="X97" i="6"/>
  <c r="AO97" i="6" s="1"/>
  <c r="U99" i="6"/>
  <c r="X99" i="6"/>
  <c r="AO99" i="6" s="1"/>
  <c r="U104" i="6"/>
  <c r="X104" i="6"/>
  <c r="AO104" i="6" s="1"/>
  <c r="U106" i="6"/>
  <c r="X106" i="6"/>
  <c r="AO106" i="6" s="1"/>
  <c r="U112" i="6"/>
  <c r="X112" i="6"/>
  <c r="AO112" i="6" s="1"/>
  <c r="U114" i="6"/>
  <c r="X114" i="6"/>
  <c r="AO114" i="6" s="1"/>
  <c r="U122" i="6"/>
  <c r="X122" i="6"/>
  <c r="AO122" i="6" s="1"/>
  <c r="U124" i="6"/>
  <c r="X124" i="6"/>
  <c r="AO124" i="6" s="1"/>
  <c r="U131" i="6"/>
  <c r="X131" i="6"/>
  <c r="AO131" i="6" s="1"/>
  <c r="U133" i="6"/>
  <c r="X133" i="6"/>
  <c r="AO133" i="6" s="1"/>
  <c r="U135" i="6"/>
  <c r="X135" i="6"/>
  <c r="AO135" i="6" s="1"/>
  <c r="U137" i="6"/>
  <c r="X137" i="6"/>
  <c r="AO137" i="6" s="1"/>
  <c r="U139" i="6"/>
  <c r="X139" i="6"/>
  <c r="AO139" i="6" s="1"/>
  <c r="AO149" i="6"/>
  <c r="U144" i="6"/>
  <c r="X144" i="6"/>
  <c r="AO144" i="6" s="1"/>
  <c r="Z147" i="6"/>
  <c r="AP147" i="6" s="1"/>
  <c r="Z156" i="6"/>
  <c r="AP156" i="6" s="1"/>
  <c r="Z160" i="6"/>
  <c r="AP160" i="6" s="1"/>
  <c r="Z164" i="6"/>
  <c r="AP164" i="6" s="1"/>
  <c r="Z171" i="6"/>
  <c r="AP171" i="6" s="1"/>
  <c r="Z178" i="6"/>
  <c r="AP178" i="6" s="1"/>
  <c r="Z185" i="6"/>
  <c r="AP185" i="6" s="1"/>
  <c r="Z189" i="6"/>
  <c r="AP189" i="6" s="1"/>
  <c r="Z197" i="6"/>
  <c r="AP197" i="6" s="1"/>
  <c r="Z204" i="6"/>
  <c r="AP204" i="6" s="1"/>
  <c r="Z211" i="6"/>
  <c r="AP211" i="6" s="1"/>
  <c r="Z222" i="6"/>
  <c r="AP222" i="6" s="1"/>
  <c r="Z226" i="6"/>
  <c r="AP226" i="6" s="1"/>
  <c r="Z230" i="6"/>
  <c r="AP230" i="6" s="1"/>
  <c r="Z237" i="6"/>
  <c r="AP237" i="6" s="1"/>
  <c r="Z244" i="6"/>
  <c r="AP244" i="6" s="1"/>
  <c r="Z248" i="6"/>
  <c r="AP248" i="6" s="1"/>
  <c r="Z255" i="6"/>
  <c r="AP255" i="6" s="1"/>
  <c r="Z259" i="6"/>
  <c r="AP259" i="6" s="1"/>
  <c r="Z266" i="6"/>
  <c r="AP266" i="6" s="1"/>
  <c r="Z273" i="6"/>
  <c r="AP273" i="6" s="1"/>
  <c r="Z277" i="6"/>
  <c r="AP277" i="6" s="1"/>
  <c r="Z281" i="6"/>
  <c r="AP281" i="6" s="1"/>
  <c r="Z285" i="6"/>
  <c r="AP285" i="6" s="1"/>
  <c r="Z292" i="6"/>
  <c r="AP292" i="6" s="1"/>
  <c r="Z306" i="6"/>
  <c r="AP306" i="6" s="1"/>
  <c r="Z310" i="6"/>
  <c r="AP310" i="6" s="1"/>
  <c r="Z316" i="6"/>
  <c r="AP316" i="6" s="1"/>
  <c r="Z322" i="6"/>
  <c r="AP322" i="6" s="1"/>
  <c r="Z326" i="6"/>
  <c r="AP326" i="6" s="1"/>
  <c r="Z332" i="6"/>
  <c r="AP332" i="6" s="1"/>
  <c r="Z338" i="6"/>
  <c r="AP338" i="6" s="1"/>
  <c r="Z340" i="6"/>
  <c r="AP340" i="6" s="1"/>
  <c r="Z342" i="6"/>
  <c r="AP342" i="6" s="1"/>
  <c r="Z346" i="6"/>
  <c r="AP346" i="6" s="1"/>
  <c r="Z348" i="6"/>
  <c r="AP348" i="6" s="1"/>
  <c r="Z350" i="6"/>
  <c r="AP350" i="6" s="1"/>
  <c r="Z354" i="6"/>
  <c r="AP354" i="6" s="1"/>
  <c r="Z356" i="6"/>
  <c r="AP356" i="6" s="1"/>
  <c r="Z358" i="6"/>
  <c r="AP358" i="6" s="1"/>
  <c r="Z362" i="6"/>
  <c r="AP362" i="6" s="1"/>
  <c r="Z364" i="6"/>
  <c r="AP364" i="6" s="1"/>
  <c r="Z366" i="6"/>
  <c r="AP366" i="6" s="1"/>
  <c r="Z370" i="6"/>
  <c r="AP370" i="6" s="1"/>
  <c r="Z372" i="6"/>
  <c r="AP372" i="6" s="1"/>
  <c r="Z374" i="6"/>
  <c r="AP374" i="6" s="1"/>
  <c r="Z378" i="6"/>
  <c r="AP378" i="6" s="1"/>
  <c r="Z380" i="6"/>
  <c r="AP380" i="6" s="1"/>
  <c r="Z382" i="6"/>
  <c r="AP382" i="6" s="1"/>
  <c r="Z387" i="6"/>
  <c r="AP387" i="6" s="1"/>
  <c r="Z389" i="6"/>
  <c r="AP389" i="6" s="1"/>
  <c r="Z391" i="6"/>
  <c r="AP391" i="6" s="1"/>
  <c r="Z393" i="6"/>
  <c r="AP393" i="6" s="1"/>
  <c r="Z397" i="6"/>
  <c r="AP397" i="6" s="1"/>
  <c r="Z399" i="6"/>
  <c r="AP399" i="6" s="1"/>
  <c r="Z401" i="6"/>
  <c r="AP401" i="6" s="1"/>
  <c r="Z403" i="6"/>
  <c r="AP403" i="6" s="1"/>
  <c r="Z407" i="6"/>
  <c r="AP407" i="6" s="1"/>
  <c r="Z409" i="6"/>
  <c r="AP409" i="6" s="1"/>
  <c r="Z411" i="6"/>
  <c r="AP411" i="6" s="1"/>
  <c r="Z415" i="6"/>
  <c r="AP415" i="6" s="1"/>
  <c r="Z417" i="6"/>
  <c r="AP417" i="6" s="1"/>
  <c r="Z421" i="6"/>
  <c r="AP421" i="6" s="1"/>
  <c r="Z423" i="6"/>
  <c r="AP423" i="6" s="1"/>
  <c r="Z425" i="6"/>
  <c r="AP425" i="6" s="1"/>
  <c r="Z429" i="6"/>
  <c r="AP429" i="6" s="1"/>
  <c r="Z431" i="6"/>
  <c r="AP431" i="6" s="1"/>
  <c r="Z435" i="6"/>
  <c r="AP435" i="6" s="1"/>
  <c r="Z437" i="6"/>
  <c r="AP437" i="6" s="1"/>
  <c r="Z439" i="6"/>
  <c r="AP439" i="6" s="1"/>
  <c r="AP440" i="6"/>
  <c r="Z443" i="6"/>
  <c r="AP443" i="6" s="1"/>
  <c r="Z445" i="6"/>
  <c r="AP445" i="6" s="1"/>
  <c r="Z447" i="6"/>
  <c r="AP447" i="6" s="1"/>
  <c r="Z449" i="6"/>
  <c r="AP449" i="6" s="1"/>
  <c r="Z451" i="6"/>
  <c r="AP451" i="6" s="1"/>
  <c r="X40" i="7"/>
  <c r="AO40" i="7" s="1"/>
  <c r="X5" i="7"/>
  <c r="X241" i="7"/>
  <c r="AO241" i="7" s="1"/>
  <c r="X232" i="7"/>
  <c r="AO232" i="7" s="1"/>
  <c r="X212" i="7"/>
  <c r="AO212" i="7" s="1"/>
  <c r="X172" i="7"/>
  <c r="AO172" i="7" s="1"/>
  <c r="X199" i="7"/>
  <c r="AO199" i="7" s="1"/>
  <c r="X125" i="7"/>
  <c r="AO125" i="7" s="1"/>
  <c r="X115" i="7"/>
  <c r="AO115" i="7" s="1"/>
  <c r="X74" i="7"/>
  <c r="AO74" i="7" s="1"/>
  <c r="X51" i="7"/>
  <c r="AO51" i="7" s="1"/>
  <c r="X27" i="7"/>
  <c r="X35" i="7"/>
  <c r="AO35" i="7" s="1"/>
  <c r="X270" i="7"/>
  <c r="AO270" i="7" s="1"/>
  <c r="X261" i="7"/>
  <c r="AO261" i="7" s="1"/>
  <c r="X249" i="7"/>
  <c r="AO249" i="7" s="1"/>
  <c r="X218" i="7"/>
  <c r="AO218" i="7" s="1"/>
  <c r="X206" i="7"/>
  <c r="AO206" i="7" s="1"/>
  <c r="X179" i="7"/>
  <c r="AO179" i="7" s="1"/>
  <c r="X191" i="7"/>
  <c r="AO191" i="7" s="1"/>
  <c r="X148" i="7"/>
  <c r="AO148" i="7" s="1"/>
  <c r="X107" i="7"/>
  <c r="AO107" i="7" s="1"/>
  <c r="X44" i="7"/>
  <c r="AO44" i="7" s="1"/>
  <c r="X19" i="7"/>
  <c r="AO19" i="7" s="1"/>
  <c r="X295" i="7"/>
  <c r="AO295" i="7" s="1"/>
  <c r="U15" i="7"/>
  <c r="V15" i="7" s="1"/>
  <c r="AQ15" i="7" s="1"/>
  <c r="X15" i="7"/>
  <c r="AO15" i="7" s="1"/>
  <c r="G17" i="7"/>
  <c r="J17" i="7"/>
  <c r="AG17" i="7" s="1"/>
  <c r="Q18" i="7"/>
  <c r="AK18" i="7" s="1"/>
  <c r="N18" i="7"/>
  <c r="X23" i="7"/>
  <c r="AO23" i="7" s="1"/>
  <c r="U23" i="7"/>
  <c r="G25" i="7"/>
  <c r="J25" i="7"/>
  <c r="AG25" i="7" s="1"/>
  <c r="Q26" i="7"/>
  <c r="AK26" i="7" s="1"/>
  <c r="N26" i="7"/>
  <c r="U30" i="7"/>
  <c r="V30" i="7" s="1"/>
  <c r="AQ30" i="7" s="1"/>
  <c r="X30" i="7"/>
  <c r="AO30" i="7" s="1"/>
  <c r="G32" i="7"/>
  <c r="J32" i="7"/>
  <c r="AG32" i="7" s="1"/>
  <c r="Q33" i="7"/>
  <c r="AK33" i="7" s="1"/>
  <c r="N33" i="7"/>
  <c r="U145" i="6"/>
  <c r="X145" i="6"/>
  <c r="AO145" i="6" s="1"/>
  <c r="U147" i="6"/>
  <c r="X147" i="6"/>
  <c r="AO147" i="6" s="1"/>
  <c r="U154" i="6"/>
  <c r="X154" i="6"/>
  <c r="AO154" i="6" s="1"/>
  <c r="U156" i="6"/>
  <c r="X156" i="6"/>
  <c r="AO156" i="6" s="1"/>
  <c r="U158" i="6"/>
  <c r="X158" i="6"/>
  <c r="AO158" i="6" s="1"/>
  <c r="U160" i="6"/>
  <c r="X160" i="6"/>
  <c r="AO160" i="6" s="1"/>
  <c r="U162" i="6"/>
  <c r="X162" i="6"/>
  <c r="AO162" i="6" s="1"/>
  <c r="U164" i="6"/>
  <c r="X164" i="6"/>
  <c r="AO164" i="6" s="1"/>
  <c r="U169" i="6"/>
  <c r="X169" i="6"/>
  <c r="AO169" i="6" s="1"/>
  <c r="U171" i="6"/>
  <c r="X171" i="6"/>
  <c r="AO171" i="6" s="1"/>
  <c r="U176" i="6"/>
  <c r="X176" i="6"/>
  <c r="AO176" i="6" s="1"/>
  <c r="U178" i="6"/>
  <c r="X178" i="6"/>
  <c r="AO178" i="6" s="1"/>
  <c r="U183" i="6"/>
  <c r="X183" i="6"/>
  <c r="AO183" i="6" s="1"/>
  <c r="U185" i="6"/>
  <c r="X185" i="6"/>
  <c r="AO185" i="6" s="1"/>
  <c r="U187" i="6"/>
  <c r="X187" i="6"/>
  <c r="AO187" i="6" s="1"/>
  <c r="U189" i="6"/>
  <c r="X189" i="6"/>
  <c r="AO189" i="6" s="1"/>
  <c r="U195" i="6"/>
  <c r="X195" i="6"/>
  <c r="AO195" i="6" s="1"/>
  <c r="U197" i="6"/>
  <c r="X197" i="6"/>
  <c r="AO197" i="6" s="1"/>
  <c r="U202" i="6"/>
  <c r="X202" i="6"/>
  <c r="AO202" i="6" s="1"/>
  <c r="U204" i="6"/>
  <c r="X204" i="6"/>
  <c r="AO204" i="6" s="1"/>
  <c r="U209" i="6"/>
  <c r="X209" i="6"/>
  <c r="AO209" i="6" s="1"/>
  <c r="U211" i="6"/>
  <c r="X211" i="6"/>
  <c r="AO211" i="6" s="1"/>
  <c r="U216" i="6"/>
  <c r="X216" i="6"/>
  <c r="AO216" i="6" s="1"/>
  <c r="U222" i="6"/>
  <c r="X222" i="6"/>
  <c r="AO222" i="6" s="1"/>
  <c r="U224" i="6"/>
  <c r="X224" i="6"/>
  <c r="AO224" i="6" s="1"/>
  <c r="U226" i="6"/>
  <c r="X226" i="6"/>
  <c r="AO226" i="6" s="1"/>
  <c r="U228" i="6"/>
  <c r="X228" i="6"/>
  <c r="AO228" i="6" s="1"/>
  <c r="U230" i="6"/>
  <c r="X230" i="6"/>
  <c r="AO230" i="6" s="1"/>
  <c r="U235" i="6"/>
  <c r="X235" i="6"/>
  <c r="AO235" i="6" s="1"/>
  <c r="U237" i="6"/>
  <c r="X237" i="6"/>
  <c r="AO237" i="6" s="1"/>
  <c r="U239" i="6"/>
  <c r="X239" i="6"/>
  <c r="AO239" i="6" s="1"/>
  <c r="U244" i="6"/>
  <c r="X244" i="6"/>
  <c r="AO244" i="6" s="1"/>
  <c r="U246" i="6"/>
  <c r="X246" i="6"/>
  <c r="AO246" i="6" s="1"/>
  <c r="U248" i="6"/>
  <c r="X248" i="6"/>
  <c r="AO248" i="6" s="1"/>
  <c r="U253" i="6"/>
  <c r="X253" i="6"/>
  <c r="AO253" i="6" s="1"/>
  <c r="U255" i="6"/>
  <c r="X255" i="6"/>
  <c r="AO255" i="6" s="1"/>
  <c r="U257" i="6"/>
  <c r="X257" i="6"/>
  <c r="AO257" i="6" s="1"/>
  <c r="U259" i="6"/>
  <c r="X259" i="6"/>
  <c r="AO259" i="6" s="1"/>
  <c r="U264" i="6"/>
  <c r="X264" i="6"/>
  <c r="AO264" i="6" s="1"/>
  <c r="U266" i="6"/>
  <c r="X266" i="6"/>
  <c r="AO266" i="6" s="1"/>
  <c r="U268" i="6"/>
  <c r="X268" i="6"/>
  <c r="AO268" i="6" s="1"/>
  <c r="U273" i="6"/>
  <c r="X273" i="6"/>
  <c r="AO273" i="6" s="1"/>
  <c r="U275" i="6"/>
  <c r="X275" i="6"/>
  <c r="AO275" i="6" s="1"/>
  <c r="U277" i="6"/>
  <c r="X277" i="6"/>
  <c r="AO277" i="6" s="1"/>
  <c r="U279" i="6"/>
  <c r="X279" i="6"/>
  <c r="AO279" i="6" s="1"/>
  <c r="U281" i="6"/>
  <c r="X281" i="6"/>
  <c r="AO281" i="6" s="1"/>
  <c r="U283" i="6"/>
  <c r="X283" i="6"/>
  <c r="AO283" i="6" s="1"/>
  <c r="U285" i="6"/>
  <c r="X285" i="6"/>
  <c r="AO285" i="6" s="1"/>
  <c r="U290" i="6"/>
  <c r="AO296" i="6"/>
  <c r="X290" i="6"/>
  <c r="AO290" i="6" s="1"/>
  <c r="U292" i="6"/>
  <c r="X292" i="6"/>
  <c r="AO292" i="6" s="1"/>
  <c r="U294" i="6"/>
  <c r="X294" i="6"/>
  <c r="AO294" i="6" s="1"/>
  <c r="U306" i="6"/>
  <c r="X306" i="6"/>
  <c r="AO306" i="6" s="1"/>
  <c r="U308" i="6"/>
  <c r="X308" i="6"/>
  <c r="AO308" i="6" s="1"/>
  <c r="U310" i="6"/>
  <c r="X310" i="6"/>
  <c r="AO310" i="6" s="1"/>
  <c r="U314" i="6"/>
  <c r="X314" i="6"/>
  <c r="AO314" i="6" s="1"/>
  <c r="U316" i="6"/>
  <c r="X316" i="6"/>
  <c r="AO316" i="6" s="1"/>
  <c r="U318" i="6"/>
  <c r="X318" i="6"/>
  <c r="AO318" i="6" s="1"/>
  <c r="U322" i="6"/>
  <c r="X322" i="6"/>
  <c r="AO322" i="6" s="1"/>
  <c r="U324" i="6"/>
  <c r="X324" i="6"/>
  <c r="AO324" i="6" s="1"/>
  <c r="U326" i="6"/>
  <c r="X326" i="6"/>
  <c r="AO326" i="6" s="1"/>
  <c r="U330" i="6"/>
  <c r="X330" i="6"/>
  <c r="AO330" i="6" s="1"/>
  <c r="U332" i="6"/>
  <c r="X332" i="6"/>
  <c r="AO332" i="6" s="1"/>
  <c r="U334" i="6"/>
  <c r="X334" i="6"/>
  <c r="AO334" i="6" s="1"/>
  <c r="U338" i="6"/>
  <c r="X338" i="6"/>
  <c r="AO338" i="6" s="1"/>
  <c r="U340" i="6"/>
  <c r="X340" i="6"/>
  <c r="AO340" i="6" s="1"/>
  <c r="U342" i="6"/>
  <c r="X342" i="6"/>
  <c r="AO342" i="6" s="1"/>
  <c r="U346" i="6"/>
  <c r="X346" i="6"/>
  <c r="AO346" i="6" s="1"/>
  <c r="U348" i="6"/>
  <c r="X348" i="6"/>
  <c r="AO348" i="6" s="1"/>
  <c r="U350" i="6"/>
  <c r="X350" i="6"/>
  <c r="AO350" i="6" s="1"/>
  <c r="U354" i="6"/>
  <c r="X354" i="6"/>
  <c r="AO354" i="6" s="1"/>
  <c r="U356" i="6"/>
  <c r="X356" i="6"/>
  <c r="AO356" i="6" s="1"/>
  <c r="U358" i="6"/>
  <c r="X358" i="6"/>
  <c r="AO358" i="6" s="1"/>
  <c r="U362" i="6"/>
  <c r="X362" i="6"/>
  <c r="AO362" i="6" s="1"/>
  <c r="U364" i="6"/>
  <c r="X364" i="6"/>
  <c r="AO364" i="6" s="1"/>
  <c r="U366" i="6"/>
  <c r="X366" i="6"/>
  <c r="AO366" i="6" s="1"/>
  <c r="U370" i="6"/>
  <c r="X370" i="6"/>
  <c r="AO370" i="6" s="1"/>
  <c r="U372" i="6"/>
  <c r="X372" i="6"/>
  <c r="AO372" i="6" s="1"/>
  <c r="U374" i="6"/>
  <c r="X374" i="6"/>
  <c r="AO374" i="6" s="1"/>
  <c r="U378" i="6"/>
  <c r="X378" i="6"/>
  <c r="AO378" i="6" s="1"/>
  <c r="U380" i="6"/>
  <c r="X380" i="6"/>
  <c r="AO380" i="6" s="1"/>
  <c r="U382" i="6"/>
  <c r="X382" i="6"/>
  <c r="AO382" i="6" s="1"/>
  <c r="U387" i="6"/>
  <c r="X387" i="6"/>
  <c r="AO387" i="6" s="1"/>
  <c r="U389" i="6"/>
  <c r="X389" i="6"/>
  <c r="AO389" i="6" s="1"/>
  <c r="U391" i="6"/>
  <c r="X391" i="6"/>
  <c r="AO391" i="6" s="1"/>
  <c r="U393" i="6"/>
  <c r="X393" i="6"/>
  <c r="AO393" i="6" s="1"/>
  <c r="U397" i="6"/>
  <c r="X397" i="6"/>
  <c r="AO397" i="6" s="1"/>
  <c r="U399" i="6"/>
  <c r="X399" i="6"/>
  <c r="AO399" i="6" s="1"/>
  <c r="U401" i="6"/>
  <c r="X401" i="6"/>
  <c r="AO401" i="6" s="1"/>
  <c r="U403" i="6"/>
  <c r="X403" i="6"/>
  <c r="AO403" i="6" s="1"/>
  <c r="U407" i="6"/>
  <c r="X407" i="6"/>
  <c r="AO407" i="6" s="1"/>
  <c r="U409" i="6"/>
  <c r="X409" i="6"/>
  <c r="AO409" i="6" s="1"/>
  <c r="U411" i="6"/>
  <c r="X411" i="6"/>
  <c r="AO411" i="6" s="1"/>
  <c r="U415" i="6"/>
  <c r="X415" i="6"/>
  <c r="AO415" i="6" s="1"/>
  <c r="U417" i="6"/>
  <c r="X417" i="6"/>
  <c r="AO417" i="6" s="1"/>
  <c r="U421" i="6"/>
  <c r="X421" i="6"/>
  <c r="AO421" i="6" s="1"/>
  <c r="U423" i="6"/>
  <c r="X423" i="6"/>
  <c r="AO423" i="6" s="1"/>
  <c r="U425" i="6"/>
  <c r="X425" i="6"/>
  <c r="AO425" i="6" s="1"/>
  <c r="U429" i="6"/>
  <c r="X429" i="6"/>
  <c r="AO429" i="6" s="1"/>
  <c r="U431" i="6"/>
  <c r="X431" i="6"/>
  <c r="AO431" i="6" s="1"/>
  <c r="U435" i="6"/>
  <c r="X435" i="6"/>
  <c r="AO435" i="6" s="1"/>
  <c r="U437" i="6"/>
  <c r="X437" i="6"/>
  <c r="AO437" i="6" s="1"/>
  <c r="U439" i="6"/>
  <c r="AO440" i="6"/>
  <c r="X439" i="6"/>
  <c r="AO439" i="6" s="1"/>
  <c r="U443" i="6"/>
  <c r="X443" i="6"/>
  <c r="AO443" i="6" s="1"/>
  <c r="U445" i="6"/>
  <c r="X445" i="6"/>
  <c r="AO445" i="6" s="1"/>
  <c r="U447" i="6"/>
  <c r="X447" i="6"/>
  <c r="AO447" i="6" s="1"/>
  <c r="U449" i="6"/>
  <c r="X449" i="6"/>
  <c r="AO449" i="6" s="1"/>
  <c r="U451" i="6"/>
  <c r="X451" i="6"/>
  <c r="AO451" i="6" s="1"/>
  <c r="J41" i="7"/>
  <c r="AG41" i="7" s="1"/>
  <c r="J179" i="7"/>
  <c r="AG179" i="7" s="1"/>
  <c r="J191" i="7"/>
  <c r="AG191" i="7" s="1"/>
  <c r="J125" i="7"/>
  <c r="AG125" i="7" s="1"/>
  <c r="J115" i="7"/>
  <c r="AG115" i="7" s="1"/>
  <c r="J44" i="7"/>
  <c r="AG44" i="7" s="1"/>
  <c r="AC6" i="7"/>
  <c r="J27" i="7"/>
  <c r="J35" i="7"/>
  <c r="AG35" i="7" s="1"/>
  <c r="J270" i="7"/>
  <c r="AG270" i="7" s="1"/>
  <c r="J261" i="7"/>
  <c r="AG261" i="7" s="1"/>
  <c r="J249" i="7"/>
  <c r="AG249" i="7" s="1"/>
  <c r="J241" i="7"/>
  <c r="AG241" i="7" s="1"/>
  <c r="J232" i="7"/>
  <c r="AG232" i="7" s="1"/>
  <c r="J218" i="7"/>
  <c r="AG218" i="7" s="1"/>
  <c r="J206" i="7"/>
  <c r="AG206" i="7" s="1"/>
  <c r="J212" i="7"/>
  <c r="AG212" i="7" s="1"/>
  <c r="J172" i="7"/>
  <c r="AG172" i="7" s="1"/>
  <c r="J199" i="7"/>
  <c r="AG199" i="7" s="1"/>
  <c r="J148" i="7"/>
  <c r="AG148" i="7" s="1"/>
  <c r="J107" i="7"/>
  <c r="AG107" i="7" s="1"/>
  <c r="J74" i="7"/>
  <c r="AG74" i="7" s="1"/>
  <c r="J51" i="7"/>
  <c r="AG51" i="7" s="1"/>
  <c r="J5" i="7"/>
  <c r="J19" i="7"/>
  <c r="AG19" i="7" s="1"/>
  <c r="J295" i="7"/>
  <c r="AG295" i="7" s="1"/>
  <c r="N15" i="7"/>
  <c r="Q15" i="7"/>
  <c r="AK15" i="7" s="1"/>
  <c r="U16" i="7"/>
  <c r="V16" i="7" s="1"/>
  <c r="AQ16" i="7" s="1"/>
  <c r="X16" i="7"/>
  <c r="AO16" i="7" s="1"/>
  <c r="G18" i="7"/>
  <c r="J18" i="7"/>
  <c r="AG18" i="7" s="1"/>
  <c r="N23" i="7"/>
  <c r="Q23" i="7"/>
  <c r="AK23" i="7" s="1"/>
  <c r="X24" i="7"/>
  <c r="AO24" i="7" s="1"/>
  <c r="U24" i="7"/>
  <c r="G26" i="7"/>
  <c r="J26" i="7"/>
  <c r="AG26" i="7" s="1"/>
  <c r="N30" i="7"/>
  <c r="Q30" i="7"/>
  <c r="AK30" i="7" s="1"/>
  <c r="U31" i="7"/>
  <c r="V31" i="7" s="1"/>
  <c r="AQ31" i="7" s="1"/>
  <c r="X31" i="7"/>
  <c r="AO31" i="7" s="1"/>
  <c r="G33" i="7"/>
  <c r="J33" i="7"/>
  <c r="AG33" i="7" s="1"/>
  <c r="N34" i="7"/>
  <c r="Q34" i="7"/>
  <c r="AK34" i="7" s="1"/>
  <c r="G38" i="7"/>
  <c r="J38" i="7"/>
  <c r="AG38" i="7" s="1"/>
  <c r="U38" i="7"/>
  <c r="V38" i="7" s="1"/>
  <c r="AQ38" i="7" s="1"/>
  <c r="X38" i="7"/>
  <c r="AO38" i="7" s="1"/>
  <c r="N39" i="7"/>
  <c r="Q39" i="7"/>
  <c r="AK39" i="7" s="1"/>
  <c r="G40" i="7"/>
  <c r="J40" i="7"/>
  <c r="AG40" i="7" s="1"/>
  <c r="N41" i="7"/>
  <c r="Q41" i="7"/>
  <c r="AK41" i="7" s="1"/>
  <c r="G42" i="7"/>
  <c r="J42" i="7"/>
  <c r="AG42" i="7" s="1"/>
  <c r="U42" i="7"/>
  <c r="V42" i="7" s="1"/>
  <c r="AQ42" i="7" s="1"/>
  <c r="X42" i="7"/>
  <c r="AO42" i="7" s="1"/>
  <c r="Q43" i="7"/>
  <c r="AK43" i="7" s="1"/>
  <c r="N43" i="7"/>
  <c r="G47" i="7"/>
  <c r="AG52" i="7"/>
  <c r="J47" i="7"/>
  <c r="AG47" i="7" s="1"/>
  <c r="U47" i="7"/>
  <c r="AO52" i="7"/>
  <c r="X47" i="7"/>
  <c r="AO47" i="7" s="1"/>
  <c r="N48" i="7"/>
  <c r="Q48" i="7"/>
  <c r="AK48" i="7" s="1"/>
  <c r="G49" i="7"/>
  <c r="J49" i="7"/>
  <c r="AG49" i="7" s="1"/>
  <c r="U49" i="7"/>
  <c r="V49" i="7" s="1"/>
  <c r="AQ49" i="7" s="1"/>
  <c r="X49" i="7"/>
  <c r="AO49" i="7" s="1"/>
  <c r="N50" i="7"/>
  <c r="Q50" i="7"/>
  <c r="AK50" i="7" s="1"/>
  <c r="G54" i="7"/>
  <c r="J54" i="7"/>
  <c r="AG54" i="7" s="1"/>
  <c r="U54" i="7"/>
  <c r="V54" i="7" s="1"/>
  <c r="AQ54" i="7" s="1"/>
  <c r="X54" i="7"/>
  <c r="AO54" i="7" s="1"/>
  <c r="N55" i="7"/>
  <c r="Q55" i="7"/>
  <c r="AK55" i="7" s="1"/>
  <c r="G56" i="7"/>
  <c r="J56" i="7"/>
  <c r="AG56" i="7" s="1"/>
  <c r="U56" i="7"/>
  <c r="V56" i="7" s="1"/>
  <c r="AQ56" i="7" s="1"/>
  <c r="X56" i="7"/>
  <c r="AO56" i="7" s="1"/>
  <c r="N57" i="7"/>
  <c r="Q57" i="7"/>
  <c r="AK57" i="7" s="1"/>
  <c r="G58" i="7"/>
  <c r="J58" i="7"/>
  <c r="AG58" i="7" s="1"/>
  <c r="U58" i="7"/>
  <c r="V58" i="7" s="1"/>
  <c r="AQ58" i="7" s="1"/>
  <c r="X58" i="7"/>
  <c r="AO58" i="7" s="1"/>
  <c r="N59" i="7"/>
  <c r="Q59" i="7"/>
  <c r="AK59" i="7" s="1"/>
  <c r="G60" i="7"/>
  <c r="J60" i="7"/>
  <c r="AG60" i="7" s="1"/>
  <c r="U60" i="7"/>
  <c r="V60" i="7" s="1"/>
  <c r="AQ60" i="7" s="1"/>
  <c r="X60" i="7"/>
  <c r="AO60" i="7" s="1"/>
  <c r="N61" i="7"/>
  <c r="Q61" i="7"/>
  <c r="AK61" i="7" s="1"/>
  <c r="G62" i="7"/>
  <c r="J62" i="7"/>
  <c r="AG62" i="7" s="1"/>
  <c r="U62" i="7"/>
  <c r="V62" i="7" s="1"/>
  <c r="AQ62" i="7" s="1"/>
  <c r="X62" i="7"/>
  <c r="AO62" i="7" s="1"/>
  <c r="N63" i="7"/>
  <c r="Q63" i="7"/>
  <c r="AK63" i="7" s="1"/>
  <c r="G64" i="7"/>
  <c r="J64" i="7"/>
  <c r="AG64" i="7" s="1"/>
  <c r="U64" i="7"/>
  <c r="V64" i="7" s="1"/>
  <c r="AQ64" i="7" s="1"/>
  <c r="X64" i="7"/>
  <c r="AO64" i="7" s="1"/>
  <c r="N68" i="7"/>
  <c r="Q68" i="7"/>
  <c r="AK68" i="7" s="1"/>
  <c r="G69" i="7"/>
  <c r="J69" i="7"/>
  <c r="AG69" i="7" s="1"/>
  <c r="U69" i="7"/>
  <c r="V69" i="7" s="1"/>
  <c r="AQ69" i="7" s="1"/>
  <c r="X69" i="7"/>
  <c r="AO69" i="7" s="1"/>
  <c r="N70" i="7"/>
  <c r="Q70" i="7"/>
  <c r="AK70" i="7" s="1"/>
  <c r="G71" i="7"/>
  <c r="J71" i="7"/>
  <c r="AG71" i="7" s="1"/>
  <c r="U71" i="7"/>
  <c r="V71" i="7" s="1"/>
  <c r="AQ71" i="7" s="1"/>
  <c r="X71" i="7"/>
  <c r="AO71" i="7" s="1"/>
  <c r="N72" i="7"/>
  <c r="Q72" i="7"/>
  <c r="AK72" i="7" s="1"/>
  <c r="G73" i="7"/>
  <c r="J73" i="7"/>
  <c r="AG73" i="7" s="1"/>
  <c r="L78" i="7"/>
  <c r="AH78" i="7" s="1"/>
  <c r="S79" i="7"/>
  <c r="AL79" i="7" s="1"/>
  <c r="L82" i="7"/>
  <c r="AH82" i="7" s="1"/>
  <c r="S83" i="7"/>
  <c r="AL83" i="7" s="1"/>
  <c r="L86" i="7"/>
  <c r="AH86" i="7" s="1"/>
  <c r="S87" i="7"/>
  <c r="AL87" i="7" s="1"/>
  <c r="L93" i="7"/>
  <c r="AH93" i="7" s="1"/>
  <c r="S94" i="7"/>
  <c r="AL94" i="7" s="1"/>
  <c r="L97" i="7"/>
  <c r="AH97" i="7" s="1"/>
  <c r="S98" i="7"/>
  <c r="AL98" i="7" s="1"/>
  <c r="L104" i="7"/>
  <c r="AH104" i="7" s="1"/>
  <c r="S105" i="7"/>
  <c r="AL105" i="7" s="1"/>
  <c r="L112" i="7"/>
  <c r="AH112" i="7" s="1"/>
  <c r="S113" i="7"/>
  <c r="AL113" i="7" s="1"/>
  <c r="L122" i="7"/>
  <c r="AH122" i="7" s="1"/>
  <c r="S123" i="7"/>
  <c r="AL123" i="7" s="1"/>
  <c r="L131" i="7"/>
  <c r="AH131" i="7" s="1"/>
  <c r="S132" i="7"/>
  <c r="AL132" i="7" s="1"/>
  <c r="L135" i="7"/>
  <c r="AH135" i="7" s="1"/>
  <c r="S136" i="7"/>
  <c r="AL136" i="7" s="1"/>
  <c r="L139" i="7"/>
  <c r="AH139" i="7" s="1"/>
  <c r="S140" i="7"/>
  <c r="AL140" i="7" s="1"/>
  <c r="AP149" i="7"/>
  <c r="Z144" i="7"/>
  <c r="AP144" i="7" s="1"/>
  <c r="L146" i="7"/>
  <c r="AH146" i="7" s="1"/>
  <c r="S147" i="7"/>
  <c r="AL147" i="7" s="1"/>
  <c r="L155" i="7"/>
  <c r="AH155" i="7" s="1"/>
  <c r="S156" i="7"/>
  <c r="AL156" i="7" s="1"/>
  <c r="L159" i="7"/>
  <c r="AH159" i="7" s="1"/>
  <c r="S160" i="7"/>
  <c r="AL160" i="7" s="1"/>
  <c r="Q5" i="7"/>
  <c r="Q249" i="7"/>
  <c r="AK249" i="7" s="1"/>
  <c r="Q241" i="7"/>
  <c r="AK241" i="7" s="1"/>
  <c r="Q232" i="7"/>
  <c r="AK232" i="7" s="1"/>
  <c r="Q212" i="7"/>
  <c r="AK212" i="7" s="1"/>
  <c r="Q172" i="7"/>
  <c r="AK172" i="7" s="1"/>
  <c r="Q199" i="7"/>
  <c r="AK199" i="7" s="1"/>
  <c r="Q148" i="7"/>
  <c r="AK148" i="7" s="1"/>
  <c r="Q107" i="7"/>
  <c r="AK107" i="7" s="1"/>
  <c r="Q74" i="7"/>
  <c r="AK74" i="7" s="1"/>
  <c r="Q51" i="7"/>
  <c r="AK51" i="7" s="1"/>
  <c r="Q19" i="7"/>
  <c r="AK19" i="7" s="1"/>
  <c r="Q295" i="7"/>
  <c r="AK295" i="7" s="1"/>
  <c r="Q218" i="7"/>
  <c r="AK218" i="7" s="1"/>
  <c r="Q206" i="7"/>
  <c r="AK206" i="7" s="1"/>
  <c r="Q179" i="7"/>
  <c r="AK179" i="7" s="1"/>
  <c r="Q191" i="7"/>
  <c r="AK191" i="7" s="1"/>
  <c r="Q125" i="7"/>
  <c r="AK125" i="7" s="1"/>
  <c r="Q115" i="7"/>
  <c r="AK115" i="7" s="1"/>
  <c r="Q44" i="7"/>
  <c r="AK44" i="7" s="1"/>
  <c r="Q27" i="7"/>
  <c r="Q35" i="7"/>
  <c r="AK35" i="7" s="1"/>
  <c r="Q270" i="7"/>
  <c r="AK270" i="7" s="1"/>
  <c r="Q261" i="7"/>
  <c r="AK261" i="7" s="1"/>
  <c r="Z241" i="7"/>
  <c r="AP241" i="7" s="1"/>
  <c r="Z232" i="7"/>
  <c r="AP232" i="7" s="1"/>
  <c r="Z249" i="7"/>
  <c r="AP249" i="7" s="1"/>
  <c r="Z212" i="7"/>
  <c r="AP212" i="7" s="1"/>
  <c r="Z199" i="7"/>
  <c r="AP199" i="7" s="1"/>
  <c r="Z179" i="7"/>
  <c r="AP179" i="7" s="1"/>
  <c r="Z51" i="7"/>
  <c r="AP51" i="7" s="1"/>
  <c r="Z107" i="7"/>
  <c r="AP107" i="7" s="1"/>
  <c r="Z27" i="7"/>
  <c r="Z35" i="7"/>
  <c r="AP35" i="7" s="1"/>
  <c r="Z295" i="7"/>
  <c r="AP295" i="7" s="1"/>
  <c r="Z270" i="7"/>
  <c r="AP270" i="7" s="1"/>
  <c r="Z218" i="7"/>
  <c r="AP218" i="7" s="1"/>
  <c r="Z206" i="7"/>
  <c r="AP206" i="7" s="1"/>
  <c r="Z191" i="7"/>
  <c r="AP191" i="7" s="1"/>
  <c r="Z172" i="7"/>
  <c r="AP172" i="7" s="1"/>
  <c r="Z148" i="7"/>
  <c r="AP148" i="7" s="1"/>
  <c r="Z125" i="7"/>
  <c r="AP125" i="7" s="1"/>
  <c r="Z74" i="7"/>
  <c r="AP74" i="7" s="1"/>
  <c r="Z115" i="7"/>
  <c r="AP115" i="7" s="1"/>
  <c r="Z19" i="7"/>
  <c r="AP19" i="7" s="1"/>
  <c r="Z44" i="7"/>
  <c r="AP44" i="7" s="1"/>
  <c r="Z261" i="7"/>
  <c r="AP261" i="7" s="1"/>
  <c r="S15" i="7"/>
  <c r="AL15" i="7" s="1"/>
  <c r="L16" i="7"/>
  <c r="AH16" i="7" s="1"/>
  <c r="Z16" i="7"/>
  <c r="AP16" i="7" s="1"/>
  <c r="S17" i="7"/>
  <c r="AL17" i="7" s="1"/>
  <c r="L18" i="7"/>
  <c r="AH18" i="7" s="1"/>
  <c r="Z18" i="7"/>
  <c r="AP18" i="7" s="1"/>
  <c r="S23" i="7"/>
  <c r="AL23" i="7" s="1"/>
  <c r="L24" i="7"/>
  <c r="AH24" i="7" s="1"/>
  <c r="Z24" i="7"/>
  <c r="AP24" i="7" s="1"/>
  <c r="S25" i="7"/>
  <c r="AL25" i="7" s="1"/>
  <c r="L26" i="7"/>
  <c r="AH26" i="7" s="1"/>
  <c r="Z26" i="7"/>
  <c r="AP26" i="7" s="1"/>
  <c r="S30" i="7"/>
  <c r="AL30" i="7" s="1"/>
  <c r="L31" i="7"/>
  <c r="AH31" i="7" s="1"/>
  <c r="Z31" i="7"/>
  <c r="AP31" i="7" s="1"/>
  <c r="S32" i="7"/>
  <c r="AL32" i="7" s="1"/>
  <c r="L33" i="7"/>
  <c r="AH33" i="7" s="1"/>
  <c r="Z33" i="7"/>
  <c r="AP33" i="7" s="1"/>
  <c r="S34" i="7"/>
  <c r="AL34" i="7" s="1"/>
  <c r="L38" i="7"/>
  <c r="AH38" i="7" s="1"/>
  <c r="Z38" i="7"/>
  <c r="AP38" i="7" s="1"/>
  <c r="S39" i="7"/>
  <c r="AL39" i="7" s="1"/>
  <c r="L40" i="7"/>
  <c r="AH40" i="7" s="1"/>
  <c r="Z40" i="7"/>
  <c r="AP40" i="7" s="1"/>
  <c r="S41" i="7"/>
  <c r="AL41" i="7" s="1"/>
  <c r="L42" i="7"/>
  <c r="AH42" i="7" s="1"/>
  <c r="Z42" i="7"/>
  <c r="AP42" i="7" s="1"/>
  <c r="S43" i="7"/>
  <c r="AL43" i="7" s="1"/>
  <c r="AH52" i="7"/>
  <c r="L47" i="7"/>
  <c r="AH47" i="7" s="1"/>
  <c r="AP52" i="7"/>
  <c r="Z47" i="7"/>
  <c r="AP47" i="7" s="1"/>
  <c r="S48" i="7"/>
  <c r="AL48" i="7" s="1"/>
  <c r="L49" i="7"/>
  <c r="AH49" i="7" s="1"/>
  <c r="Z49" i="7"/>
  <c r="AP49" i="7" s="1"/>
  <c r="S50" i="7"/>
  <c r="AL50" i="7" s="1"/>
  <c r="L54" i="7"/>
  <c r="AH54" i="7" s="1"/>
  <c r="Z54" i="7"/>
  <c r="AP54" i="7" s="1"/>
  <c r="S55" i="7"/>
  <c r="AL55" i="7" s="1"/>
  <c r="L56" i="7"/>
  <c r="AH56" i="7" s="1"/>
  <c r="Z56" i="7"/>
  <c r="AP56" i="7" s="1"/>
  <c r="S57" i="7"/>
  <c r="AL57" i="7" s="1"/>
  <c r="L58" i="7"/>
  <c r="AH58" i="7" s="1"/>
  <c r="Z58" i="7"/>
  <c r="AP58" i="7" s="1"/>
  <c r="S59" i="7"/>
  <c r="AL59" i="7" s="1"/>
  <c r="L60" i="7"/>
  <c r="AH60" i="7" s="1"/>
  <c r="Z60" i="7"/>
  <c r="AP60" i="7" s="1"/>
  <c r="S61" i="7"/>
  <c r="AL61" i="7" s="1"/>
  <c r="L62" i="7"/>
  <c r="AH62" i="7" s="1"/>
  <c r="Z62" i="7"/>
  <c r="AP62" i="7" s="1"/>
  <c r="S63" i="7"/>
  <c r="AL63" i="7" s="1"/>
  <c r="L64" i="7"/>
  <c r="AH64" i="7" s="1"/>
  <c r="Z64" i="7"/>
  <c r="AP64" i="7" s="1"/>
  <c r="S68" i="7"/>
  <c r="AL68" i="7" s="1"/>
  <c r="L69" i="7"/>
  <c r="AH69" i="7" s="1"/>
  <c r="Z69" i="7"/>
  <c r="AP69" i="7" s="1"/>
  <c r="S70" i="7"/>
  <c r="AL70" i="7" s="1"/>
  <c r="L71" i="7"/>
  <c r="AH71" i="7" s="1"/>
  <c r="Z71" i="7"/>
  <c r="AP71" i="7" s="1"/>
  <c r="S72" i="7"/>
  <c r="AL72" i="7" s="1"/>
  <c r="L73" i="7"/>
  <c r="AH73" i="7" s="1"/>
  <c r="S78" i="7"/>
  <c r="AL78" i="7" s="1"/>
  <c r="Z79" i="7"/>
  <c r="AP79" i="7" s="1"/>
  <c r="L81" i="7"/>
  <c r="AH81" i="7" s="1"/>
  <c r="S82" i="7"/>
  <c r="AL82" i="7" s="1"/>
  <c r="Z83" i="7"/>
  <c r="AP83" i="7" s="1"/>
  <c r="L85" i="7"/>
  <c r="AH85" i="7" s="1"/>
  <c r="S86" i="7"/>
  <c r="AL86" i="7" s="1"/>
  <c r="Z87" i="7"/>
  <c r="AP87" i="7" s="1"/>
  <c r="L92" i="7"/>
  <c r="AH92" i="7" s="1"/>
  <c r="S93" i="7"/>
  <c r="AL93" i="7" s="1"/>
  <c r="Z94" i="7"/>
  <c r="AP94" i="7" s="1"/>
  <c r="L96" i="7"/>
  <c r="AH96" i="7" s="1"/>
  <c r="S97" i="7"/>
  <c r="AL97" i="7" s="1"/>
  <c r="Z98" i="7"/>
  <c r="AP98" i="7" s="1"/>
  <c r="AH108" i="7"/>
  <c r="L103" i="7"/>
  <c r="AH103" i="7" s="1"/>
  <c r="S104" i="7"/>
  <c r="AL104" i="7" s="1"/>
  <c r="Z105" i="7"/>
  <c r="AP105" i="7" s="1"/>
  <c r="AH116" i="7"/>
  <c r="L111" i="7"/>
  <c r="AH111" i="7" s="1"/>
  <c r="S112" i="7"/>
  <c r="AL112" i="7" s="1"/>
  <c r="Z113" i="7"/>
  <c r="AP113" i="7" s="1"/>
  <c r="AH126" i="7"/>
  <c r="L121" i="7"/>
  <c r="AH121" i="7" s="1"/>
  <c r="S122" i="7"/>
  <c r="AL122" i="7" s="1"/>
  <c r="Z123" i="7"/>
  <c r="AP123" i="7" s="1"/>
  <c r="L130" i="7"/>
  <c r="AH130" i="7" s="1"/>
  <c r="S131" i="7"/>
  <c r="AL131" i="7" s="1"/>
  <c r="Z132" i="7"/>
  <c r="AP132" i="7" s="1"/>
  <c r="L134" i="7"/>
  <c r="AH134" i="7" s="1"/>
  <c r="S135" i="7"/>
  <c r="AL135" i="7" s="1"/>
  <c r="Z136" i="7"/>
  <c r="AP136" i="7" s="1"/>
  <c r="L138" i="7"/>
  <c r="AH138" i="7" s="1"/>
  <c r="S139" i="7"/>
  <c r="AL139" i="7" s="1"/>
  <c r="Z140" i="7"/>
  <c r="AP140" i="7" s="1"/>
  <c r="L145" i="7"/>
  <c r="AH145" i="7" s="1"/>
  <c r="S146" i="7"/>
  <c r="AL146" i="7" s="1"/>
  <c r="Z147" i="7"/>
  <c r="AP147" i="7" s="1"/>
  <c r="L154" i="7"/>
  <c r="AH154" i="7" s="1"/>
  <c r="S155" i="7"/>
  <c r="AL155" i="7" s="1"/>
  <c r="Z156" i="7"/>
  <c r="AP156" i="7" s="1"/>
  <c r="L158" i="7"/>
  <c r="AH158" i="7" s="1"/>
  <c r="S159" i="7"/>
  <c r="AL159" i="7" s="1"/>
  <c r="Z160" i="7"/>
  <c r="AP160" i="7" s="1"/>
  <c r="N73" i="7"/>
  <c r="O73" i="7" s="1"/>
  <c r="AM73" i="7" s="1"/>
  <c r="Q73" i="7"/>
  <c r="AK73" i="7" s="1"/>
  <c r="G78" i="7"/>
  <c r="J78" i="7"/>
  <c r="AG78" i="7" s="1"/>
  <c r="U78" i="7"/>
  <c r="V78" i="7" s="1"/>
  <c r="AQ78" i="7" s="1"/>
  <c r="X78" i="7"/>
  <c r="AO78" i="7" s="1"/>
  <c r="N79" i="7"/>
  <c r="O79" i="7" s="1"/>
  <c r="AM79" i="7" s="1"/>
  <c r="Q79" i="7"/>
  <c r="AK79" i="7" s="1"/>
  <c r="G80" i="7"/>
  <c r="J80" i="7"/>
  <c r="AG80" i="7" s="1"/>
  <c r="U80" i="7"/>
  <c r="V80" i="7" s="1"/>
  <c r="AQ80" i="7" s="1"/>
  <c r="X80" i="7"/>
  <c r="AO80" i="7" s="1"/>
  <c r="N81" i="7"/>
  <c r="O81" i="7" s="1"/>
  <c r="AM81" i="7" s="1"/>
  <c r="Q81" i="7"/>
  <c r="AK81" i="7" s="1"/>
  <c r="G82" i="7"/>
  <c r="J82" i="7"/>
  <c r="AG82" i="7" s="1"/>
  <c r="U82" i="7"/>
  <c r="V82" i="7" s="1"/>
  <c r="AQ82" i="7" s="1"/>
  <c r="X82" i="7"/>
  <c r="AO82" i="7" s="1"/>
  <c r="N83" i="7"/>
  <c r="O83" i="7" s="1"/>
  <c r="AM83" i="7" s="1"/>
  <c r="Q83" i="7"/>
  <c r="AK83" i="7" s="1"/>
  <c r="G84" i="7"/>
  <c r="J84" i="7"/>
  <c r="AG84" i="7" s="1"/>
  <c r="U84" i="7"/>
  <c r="V84" i="7" s="1"/>
  <c r="AQ84" i="7" s="1"/>
  <c r="X84" i="7"/>
  <c r="AO84" i="7" s="1"/>
  <c r="N85" i="7"/>
  <c r="O85" i="7" s="1"/>
  <c r="AM85" i="7" s="1"/>
  <c r="Q85" i="7"/>
  <c r="AK85" i="7" s="1"/>
  <c r="G86" i="7"/>
  <c r="J86" i="7"/>
  <c r="AG86" i="7" s="1"/>
  <c r="U86" i="7"/>
  <c r="V86" i="7" s="1"/>
  <c r="AQ86" i="7" s="1"/>
  <c r="X86" i="7"/>
  <c r="AO86" i="7" s="1"/>
  <c r="N87" i="7"/>
  <c r="O87" i="7" s="1"/>
  <c r="AM87" i="7" s="1"/>
  <c r="Q87" i="7"/>
  <c r="AK87" i="7" s="1"/>
  <c r="G88" i="7"/>
  <c r="J88" i="7"/>
  <c r="AG88" i="7" s="1"/>
  <c r="U88" i="7"/>
  <c r="V88" i="7" s="1"/>
  <c r="AQ88" i="7" s="1"/>
  <c r="X88" i="7"/>
  <c r="AO88" i="7" s="1"/>
  <c r="N92" i="7"/>
  <c r="O92" i="7" s="1"/>
  <c r="AM92" i="7" s="1"/>
  <c r="Q92" i="7"/>
  <c r="AK92" i="7" s="1"/>
  <c r="G93" i="7"/>
  <c r="J93" i="7"/>
  <c r="AG93" i="7" s="1"/>
  <c r="U93" i="7"/>
  <c r="V93" i="7" s="1"/>
  <c r="AQ93" i="7" s="1"/>
  <c r="X93" i="7"/>
  <c r="AO93" i="7" s="1"/>
  <c r="N94" i="7"/>
  <c r="O94" i="7" s="1"/>
  <c r="AM94" i="7" s="1"/>
  <c r="Q94" i="7"/>
  <c r="AK94" i="7" s="1"/>
  <c r="G95" i="7"/>
  <c r="J95" i="7"/>
  <c r="AG95" i="7" s="1"/>
  <c r="U95" i="7"/>
  <c r="V95" i="7" s="1"/>
  <c r="AQ95" i="7" s="1"/>
  <c r="X95" i="7"/>
  <c r="AO95" i="7" s="1"/>
  <c r="N96" i="7"/>
  <c r="O96" i="7" s="1"/>
  <c r="AM96" i="7" s="1"/>
  <c r="Q96" i="7"/>
  <c r="AK96" i="7" s="1"/>
  <c r="G97" i="7"/>
  <c r="J97" i="7"/>
  <c r="AG97" i="7" s="1"/>
  <c r="U97" i="7"/>
  <c r="V97" i="7" s="1"/>
  <c r="AQ97" i="7" s="1"/>
  <c r="X97" i="7"/>
  <c r="AO97" i="7" s="1"/>
  <c r="N98" i="7"/>
  <c r="O98" i="7" s="1"/>
  <c r="AM98" i="7" s="1"/>
  <c r="Q98" i="7"/>
  <c r="AK98" i="7" s="1"/>
  <c r="G99" i="7"/>
  <c r="J99" i="7"/>
  <c r="AG99" i="7" s="1"/>
  <c r="U99" i="7"/>
  <c r="V99" i="7" s="1"/>
  <c r="AQ99" i="7" s="1"/>
  <c r="X99" i="7"/>
  <c r="AO99" i="7" s="1"/>
  <c r="AK108" i="7"/>
  <c r="N103" i="7"/>
  <c r="Q103" i="7"/>
  <c r="AK103" i="7" s="1"/>
  <c r="G104" i="7"/>
  <c r="J104" i="7"/>
  <c r="AG104" i="7" s="1"/>
  <c r="U104" i="7"/>
  <c r="X104" i="7"/>
  <c r="AO104" i="7" s="1"/>
  <c r="N105" i="7"/>
  <c r="Q105" i="7"/>
  <c r="AK105" i="7" s="1"/>
  <c r="G106" i="7"/>
  <c r="J106" i="7"/>
  <c r="AG106" i="7" s="1"/>
  <c r="U106" i="7"/>
  <c r="X106" i="7"/>
  <c r="AO106" i="7" s="1"/>
  <c r="AK116" i="7"/>
  <c r="N111" i="7"/>
  <c r="Q111" i="7"/>
  <c r="AK111" i="7" s="1"/>
  <c r="G112" i="7"/>
  <c r="J112" i="7"/>
  <c r="AG112" i="7" s="1"/>
  <c r="U112" i="7"/>
  <c r="V112" i="7" s="1"/>
  <c r="AQ112" i="7" s="1"/>
  <c r="X112" i="7"/>
  <c r="AO112" i="7" s="1"/>
  <c r="N113" i="7"/>
  <c r="O113" i="7" s="1"/>
  <c r="AM113" i="7" s="1"/>
  <c r="Q113" i="7"/>
  <c r="AK113" i="7" s="1"/>
  <c r="G114" i="7"/>
  <c r="J114" i="7"/>
  <c r="AG114" i="7" s="1"/>
  <c r="U114" i="7"/>
  <c r="V114" i="7" s="1"/>
  <c r="AQ114" i="7" s="1"/>
  <c r="X114" i="7"/>
  <c r="AO114" i="7" s="1"/>
  <c r="AK126" i="7"/>
  <c r="N121" i="7"/>
  <c r="Q121" i="7"/>
  <c r="AK121" i="7" s="1"/>
  <c r="G122" i="7"/>
  <c r="J122" i="7"/>
  <c r="AG122" i="7" s="1"/>
  <c r="U122" i="7"/>
  <c r="X122" i="7"/>
  <c r="AO122" i="7" s="1"/>
  <c r="N123" i="7"/>
  <c r="Q123" i="7"/>
  <c r="AK123" i="7" s="1"/>
  <c r="J124" i="7"/>
  <c r="AG124" i="7" s="1"/>
  <c r="G124" i="7"/>
  <c r="U124" i="7"/>
  <c r="X124" i="7"/>
  <c r="AO124" i="7" s="1"/>
  <c r="N130" i="7"/>
  <c r="Q130" i="7"/>
  <c r="AK130" i="7" s="1"/>
  <c r="G131" i="7"/>
  <c r="J131" i="7"/>
  <c r="AG131" i="7" s="1"/>
  <c r="U131" i="7"/>
  <c r="X131" i="7"/>
  <c r="AO131" i="7" s="1"/>
  <c r="N132" i="7"/>
  <c r="Q132" i="7"/>
  <c r="AK132" i="7" s="1"/>
  <c r="G133" i="7"/>
  <c r="J133" i="7"/>
  <c r="AG133" i="7" s="1"/>
  <c r="U133" i="7"/>
  <c r="X133" i="7"/>
  <c r="AO133" i="7" s="1"/>
  <c r="N134" i="7"/>
  <c r="Q134" i="7"/>
  <c r="AK134" i="7" s="1"/>
  <c r="G135" i="7"/>
  <c r="J135" i="7"/>
  <c r="AG135" i="7" s="1"/>
  <c r="U135" i="7"/>
  <c r="X135" i="7"/>
  <c r="AO135" i="7" s="1"/>
  <c r="N136" i="7"/>
  <c r="Q136" i="7"/>
  <c r="AK136" i="7" s="1"/>
  <c r="G137" i="7"/>
  <c r="J137" i="7"/>
  <c r="AG137" i="7" s="1"/>
  <c r="U137" i="7"/>
  <c r="X137" i="7"/>
  <c r="AO137" i="7" s="1"/>
  <c r="N138" i="7"/>
  <c r="Q138" i="7"/>
  <c r="AK138" i="7" s="1"/>
  <c r="G139" i="7"/>
  <c r="J139" i="7"/>
  <c r="AG139" i="7" s="1"/>
  <c r="U139" i="7"/>
  <c r="X139" i="7"/>
  <c r="AO139" i="7" s="1"/>
  <c r="N140" i="7"/>
  <c r="Q140" i="7"/>
  <c r="AK140" i="7" s="1"/>
  <c r="AG149" i="7"/>
  <c r="G144" i="7"/>
  <c r="J144" i="7"/>
  <c r="AG144" i="7" s="1"/>
  <c r="AO149" i="7"/>
  <c r="U144" i="7"/>
  <c r="X144" i="7"/>
  <c r="AO144" i="7" s="1"/>
  <c r="N145" i="7"/>
  <c r="Q145" i="7"/>
  <c r="AK145" i="7" s="1"/>
  <c r="G146" i="7"/>
  <c r="J146" i="7"/>
  <c r="AG146" i="7" s="1"/>
  <c r="U146" i="7"/>
  <c r="X146" i="7"/>
  <c r="AO146" i="7" s="1"/>
  <c r="N147" i="7"/>
  <c r="Q147" i="7"/>
  <c r="AK147" i="7" s="1"/>
  <c r="G153" i="7"/>
  <c r="J153" i="7"/>
  <c r="AG153" i="7" s="1"/>
  <c r="U153" i="7"/>
  <c r="X153" i="7"/>
  <c r="AO153" i="7" s="1"/>
  <c r="N154" i="7"/>
  <c r="Q154" i="7"/>
  <c r="AK154" i="7" s="1"/>
  <c r="G155" i="7"/>
  <c r="J155" i="7"/>
  <c r="AG155" i="7" s="1"/>
  <c r="U155" i="7"/>
  <c r="X155" i="7"/>
  <c r="AO155" i="7" s="1"/>
  <c r="N156" i="7"/>
  <c r="Q156" i="7"/>
  <c r="AK156" i="7" s="1"/>
  <c r="G157" i="7"/>
  <c r="J157" i="7"/>
  <c r="AG157" i="7" s="1"/>
  <c r="U157" i="7"/>
  <c r="X157" i="7"/>
  <c r="AO157" i="7" s="1"/>
  <c r="N158" i="7"/>
  <c r="Q158" i="7"/>
  <c r="AK158" i="7" s="1"/>
  <c r="G159" i="7"/>
  <c r="J159" i="7"/>
  <c r="AG159" i="7" s="1"/>
  <c r="U159" i="7"/>
  <c r="X159" i="7"/>
  <c r="AO159" i="7" s="1"/>
  <c r="N160" i="7"/>
  <c r="Q160" i="7"/>
  <c r="AK160" i="7" s="1"/>
  <c r="G161" i="7"/>
  <c r="J161" i="7"/>
  <c r="AG161" i="7" s="1"/>
  <c r="X161" i="7"/>
  <c r="AO161" i="7" s="1"/>
  <c r="U161" i="7"/>
  <c r="V161" i="7" s="1"/>
  <c r="AQ161" i="7" s="1"/>
  <c r="N162" i="7"/>
  <c r="Q162" i="7"/>
  <c r="AK162" i="7" s="1"/>
  <c r="J163" i="7"/>
  <c r="AG163" i="7" s="1"/>
  <c r="G163" i="7"/>
  <c r="X163" i="7"/>
  <c r="AO163" i="7" s="1"/>
  <c r="U163" i="7"/>
  <c r="V163" i="7" s="1"/>
  <c r="AQ163" i="7" s="1"/>
  <c r="N164" i="7"/>
  <c r="Q164" i="7"/>
  <c r="AK164" i="7" s="1"/>
  <c r="G168" i="7"/>
  <c r="J168" i="7"/>
  <c r="AG168" i="7" s="1"/>
  <c r="U168" i="7"/>
  <c r="X168" i="7"/>
  <c r="AO168" i="7" s="1"/>
  <c r="N169" i="7"/>
  <c r="Q169" i="7"/>
  <c r="AK169" i="7" s="1"/>
  <c r="G170" i="7"/>
  <c r="J170" i="7"/>
  <c r="AG170" i="7" s="1"/>
  <c r="U170" i="7"/>
  <c r="X170" i="7"/>
  <c r="AO170" i="7" s="1"/>
  <c r="N171" i="7"/>
  <c r="Q171" i="7"/>
  <c r="AK171" i="7" s="1"/>
  <c r="G175" i="7"/>
  <c r="J175" i="7"/>
  <c r="AG175" i="7" s="1"/>
  <c r="U175" i="7"/>
  <c r="X175" i="7"/>
  <c r="AO175" i="7" s="1"/>
  <c r="N176" i="7"/>
  <c r="Q176" i="7"/>
  <c r="AK176" i="7" s="1"/>
  <c r="G177" i="7"/>
  <c r="J177" i="7"/>
  <c r="AG177" i="7" s="1"/>
  <c r="U177" i="7"/>
  <c r="X177" i="7"/>
  <c r="AO177" i="7" s="1"/>
  <c r="N178" i="7"/>
  <c r="Q178" i="7"/>
  <c r="AK178" i="7" s="1"/>
  <c r="G182" i="7"/>
  <c r="J182" i="7"/>
  <c r="AG182" i="7" s="1"/>
  <c r="U182" i="7"/>
  <c r="X182" i="7"/>
  <c r="AO182" i="7" s="1"/>
  <c r="N183" i="7"/>
  <c r="Q183" i="7"/>
  <c r="AK183" i="7" s="1"/>
  <c r="G184" i="7"/>
  <c r="J184" i="7"/>
  <c r="AG184" i="7" s="1"/>
  <c r="U184" i="7"/>
  <c r="X184" i="7"/>
  <c r="AO184" i="7" s="1"/>
  <c r="N185" i="7"/>
  <c r="Q185" i="7"/>
  <c r="AK185" i="7" s="1"/>
  <c r="G186" i="7"/>
  <c r="J186" i="7"/>
  <c r="AG186" i="7" s="1"/>
  <c r="U186" i="7"/>
  <c r="X186" i="7"/>
  <c r="AO186" i="7" s="1"/>
  <c r="N187" i="7"/>
  <c r="Q187" i="7"/>
  <c r="AK187" i="7" s="1"/>
  <c r="G188" i="7"/>
  <c r="J188" i="7"/>
  <c r="AG188" i="7" s="1"/>
  <c r="U188" i="7"/>
  <c r="X188" i="7"/>
  <c r="AO188" i="7" s="1"/>
  <c r="N189" i="7"/>
  <c r="Q189" i="7"/>
  <c r="AK189" i="7" s="1"/>
  <c r="G190" i="7"/>
  <c r="J190" i="7"/>
  <c r="AG190" i="7" s="1"/>
  <c r="U190" i="7"/>
  <c r="X190" i="7"/>
  <c r="AO190" i="7" s="1"/>
  <c r="N195" i="7"/>
  <c r="Q195" i="7"/>
  <c r="AK195" i="7" s="1"/>
  <c r="G196" i="7"/>
  <c r="H196" i="7" s="1"/>
  <c r="AI196" i="7" s="1"/>
  <c r="J196" i="7"/>
  <c r="AG196" i="7" s="1"/>
  <c r="U196" i="7"/>
  <c r="X196" i="7"/>
  <c r="AO196" i="7" s="1"/>
  <c r="N197" i="7"/>
  <c r="Q197" i="7"/>
  <c r="AK197" i="7" s="1"/>
  <c r="G198" i="7"/>
  <c r="H198" i="7" s="1"/>
  <c r="AI198" i="7" s="1"/>
  <c r="J198" i="7"/>
  <c r="AG198" i="7" s="1"/>
  <c r="U198" i="7"/>
  <c r="X198" i="7"/>
  <c r="AO198" i="7" s="1"/>
  <c r="N202" i="7"/>
  <c r="Q202" i="7"/>
  <c r="AK202" i="7" s="1"/>
  <c r="G203" i="7"/>
  <c r="H203" i="7" s="1"/>
  <c r="AI203" i="7" s="1"/>
  <c r="J203" i="7"/>
  <c r="AG203" i="7" s="1"/>
  <c r="U203" i="7"/>
  <c r="X203" i="7"/>
  <c r="AO203" i="7" s="1"/>
  <c r="N204" i="7"/>
  <c r="Q204" i="7"/>
  <c r="AK204" i="7" s="1"/>
  <c r="G205" i="7"/>
  <c r="H205" i="7" s="1"/>
  <c r="AI205" i="7" s="1"/>
  <c r="J205" i="7"/>
  <c r="AG205" i="7" s="1"/>
  <c r="U205" i="7"/>
  <c r="X205" i="7"/>
  <c r="AO205" i="7" s="1"/>
  <c r="N209" i="7"/>
  <c r="Q209" i="7"/>
  <c r="AK209" i="7" s="1"/>
  <c r="G210" i="7"/>
  <c r="H210" i="7" s="1"/>
  <c r="AI210" i="7" s="1"/>
  <c r="J210" i="7"/>
  <c r="AG210" i="7" s="1"/>
  <c r="U210" i="7"/>
  <c r="X210" i="7"/>
  <c r="AO210" i="7" s="1"/>
  <c r="N211" i="7"/>
  <c r="Q211" i="7"/>
  <c r="AK211" i="7" s="1"/>
  <c r="G215" i="7"/>
  <c r="H215" i="7" s="1"/>
  <c r="AI215" i="7" s="1"/>
  <c r="J215" i="7"/>
  <c r="AG215" i="7" s="1"/>
  <c r="U215" i="7"/>
  <c r="X215" i="7"/>
  <c r="AO215" i="7" s="1"/>
  <c r="N216" i="7"/>
  <c r="Q216" i="7"/>
  <c r="AK216" i="7" s="1"/>
  <c r="G217" i="7"/>
  <c r="H217" i="7" s="1"/>
  <c r="AI217" i="7" s="1"/>
  <c r="J217" i="7"/>
  <c r="AG217" i="7" s="1"/>
  <c r="U217" i="7"/>
  <c r="X217" i="7"/>
  <c r="AO217" i="7" s="1"/>
  <c r="N222" i="7"/>
  <c r="Q222" i="7"/>
  <c r="AK222" i="7" s="1"/>
  <c r="G223" i="7"/>
  <c r="J223" i="7"/>
  <c r="AG223" i="7" s="1"/>
  <c r="U223" i="7"/>
  <c r="X223" i="7"/>
  <c r="AO223" i="7" s="1"/>
  <c r="N224" i="7"/>
  <c r="Q224" i="7"/>
  <c r="AK224" i="7" s="1"/>
  <c r="G225" i="7"/>
  <c r="J225" i="7"/>
  <c r="AG225" i="7" s="1"/>
  <c r="U225" i="7"/>
  <c r="X225" i="7"/>
  <c r="AO225" i="7" s="1"/>
  <c r="N226" i="7"/>
  <c r="Q226" i="7"/>
  <c r="AK226" i="7" s="1"/>
  <c r="G227" i="7"/>
  <c r="J227" i="7"/>
  <c r="AG227" i="7" s="1"/>
  <c r="U227" i="7"/>
  <c r="X227" i="7"/>
  <c r="AO227" i="7" s="1"/>
  <c r="N228" i="7"/>
  <c r="Q228" i="7"/>
  <c r="AK228" i="7" s="1"/>
  <c r="G229" i="7"/>
  <c r="J229" i="7"/>
  <c r="AG229" i="7" s="1"/>
  <c r="U229" i="7"/>
  <c r="X229" i="7"/>
  <c r="AO229" i="7" s="1"/>
  <c r="N230" i="7"/>
  <c r="Q230" i="7"/>
  <c r="AK230" i="7" s="1"/>
  <c r="G231" i="7"/>
  <c r="J231" i="7"/>
  <c r="AG231" i="7" s="1"/>
  <c r="U231" i="7"/>
  <c r="X231" i="7"/>
  <c r="AO231" i="7" s="1"/>
  <c r="N235" i="7"/>
  <c r="Q235" i="7"/>
  <c r="AK235" i="7" s="1"/>
  <c r="N236" i="7"/>
  <c r="Q236" i="7"/>
  <c r="AK236" i="7" s="1"/>
  <c r="U237" i="7"/>
  <c r="X237" i="7"/>
  <c r="AO237" i="7" s="1"/>
  <c r="G239" i="7"/>
  <c r="J239" i="7"/>
  <c r="AG239" i="7" s="1"/>
  <c r="N240" i="7"/>
  <c r="Q240" i="7"/>
  <c r="AK240" i="7" s="1"/>
  <c r="U244" i="7"/>
  <c r="X244" i="7"/>
  <c r="AO244" i="7" s="1"/>
  <c r="G246" i="7"/>
  <c r="J246" i="7"/>
  <c r="AG246" i="7" s="1"/>
  <c r="N247" i="7"/>
  <c r="Q247" i="7"/>
  <c r="AK247" i="7" s="1"/>
  <c r="U248" i="7"/>
  <c r="X248" i="7"/>
  <c r="AO248" i="7" s="1"/>
  <c r="G253" i="7"/>
  <c r="J253" i="7"/>
  <c r="AG253" i="7" s="1"/>
  <c r="N254" i="7"/>
  <c r="Q254" i="7"/>
  <c r="AK254" i="7" s="1"/>
  <c r="U255" i="7"/>
  <c r="X255" i="7"/>
  <c r="AO255" i="7" s="1"/>
  <c r="G257" i="7"/>
  <c r="J257" i="7"/>
  <c r="AG257" i="7" s="1"/>
  <c r="N258" i="7"/>
  <c r="Q258" i="7"/>
  <c r="AK258" i="7" s="1"/>
  <c r="U259" i="7"/>
  <c r="X259" i="7"/>
  <c r="AO259" i="7" s="1"/>
  <c r="G264" i="7"/>
  <c r="J264" i="7"/>
  <c r="AG264" i="7" s="1"/>
  <c r="N265" i="7"/>
  <c r="Q265" i="7"/>
  <c r="AK265" i="7" s="1"/>
  <c r="U266" i="7"/>
  <c r="X266" i="7"/>
  <c r="AO266" i="7" s="1"/>
  <c r="G268" i="7"/>
  <c r="J268" i="7"/>
  <c r="AG268" i="7" s="1"/>
  <c r="N269" i="7"/>
  <c r="Q269" i="7"/>
  <c r="AK269" i="7" s="1"/>
  <c r="U273" i="7"/>
  <c r="X273" i="7"/>
  <c r="AO273" i="7" s="1"/>
  <c r="L162" i="7"/>
  <c r="AH162" i="7" s="1"/>
  <c r="Z162" i="7"/>
  <c r="AP162" i="7" s="1"/>
  <c r="S163" i="7"/>
  <c r="AL163" i="7" s="1"/>
  <c r="L164" i="7"/>
  <c r="AH164" i="7" s="1"/>
  <c r="Z164" i="7"/>
  <c r="AP164" i="7" s="1"/>
  <c r="S168" i="7"/>
  <c r="AL168" i="7" s="1"/>
  <c r="L169" i="7"/>
  <c r="AH169" i="7" s="1"/>
  <c r="Z169" i="7"/>
  <c r="AP169" i="7" s="1"/>
  <c r="S170" i="7"/>
  <c r="AL170" i="7" s="1"/>
  <c r="L171" i="7"/>
  <c r="AH171" i="7" s="1"/>
  <c r="Z171" i="7"/>
  <c r="AP171" i="7" s="1"/>
  <c r="S175" i="7"/>
  <c r="AL175" i="7" s="1"/>
  <c r="L176" i="7"/>
  <c r="AH176" i="7" s="1"/>
  <c r="Z176" i="7"/>
  <c r="AP176" i="7" s="1"/>
  <c r="S177" i="7"/>
  <c r="AL177" i="7" s="1"/>
  <c r="L178" i="7"/>
  <c r="AH178" i="7" s="1"/>
  <c r="Z178" i="7"/>
  <c r="AP178" i="7" s="1"/>
  <c r="S182" i="7"/>
  <c r="AL182" i="7" s="1"/>
  <c r="L183" i="7"/>
  <c r="AH183" i="7" s="1"/>
  <c r="Z183" i="7"/>
  <c r="AP183" i="7" s="1"/>
  <c r="S184" i="7"/>
  <c r="AL184" i="7" s="1"/>
  <c r="L185" i="7"/>
  <c r="AH185" i="7" s="1"/>
  <c r="Z185" i="7"/>
  <c r="AP185" i="7" s="1"/>
  <c r="S186" i="7"/>
  <c r="AL186" i="7" s="1"/>
  <c r="L187" i="7"/>
  <c r="AH187" i="7" s="1"/>
  <c r="Z187" i="7"/>
  <c r="AP187" i="7" s="1"/>
  <c r="S188" i="7"/>
  <c r="AL188" i="7" s="1"/>
  <c r="L189" i="7"/>
  <c r="AH189" i="7" s="1"/>
  <c r="Z189" i="7"/>
  <c r="AP189" i="7" s="1"/>
  <c r="S190" i="7"/>
  <c r="AL190" i="7" s="1"/>
  <c r="L195" i="7"/>
  <c r="AH195" i="7" s="1"/>
  <c r="Z195" i="7"/>
  <c r="AP195" i="7" s="1"/>
  <c r="S196" i="7"/>
  <c r="AL196" i="7" s="1"/>
  <c r="L197" i="7"/>
  <c r="AH197" i="7" s="1"/>
  <c r="Z197" i="7"/>
  <c r="AP197" i="7" s="1"/>
  <c r="S198" i="7"/>
  <c r="AL198" i="7" s="1"/>
  <c r="L202" i="7"/>
  <c r="AH202" i="7" s="1"/>
  <c r="Z202" i="7"/>
  <c r="AP202" i="7" s="1"/>
  <c r="S203" i="7"/>
  <c r="AL203" i="7" s="1"/>
  <c r="L204" i="7"/>
  <c r="AH204" i="7" s="1"/>
  <c r="Z204" i="7"/>
  <c r="AP204" i="7" s="1"/>
  <c r="S205" i="7"/>
  <c r="AL205" i="7" s="1"/>
  <c r="L209" i="7"/>
  <c r="AH209" i="7" s="1"/>
  <c r="Z209" i="7"/>
  <c r="AP209" i="7" s="1"/>
  <c r="S210" i="7"/>
  <c r="AL210" i="7" s="1"/>
  <c r="L211" i="7"/>
  <c r="AH211" i="7" s="1"/>
  <c r="Z211" i="7"/>
  <c r="AP211" i="7" s="1"/>
  <c r="S215" i="7"/>
  <c r="AL215" i="7" s="1"/>
  <c r="L216" i="7"/>
  <c r="AH216" i="7" s="1"/>
  <c r="Z216" i="7"/>
  <c r="AP216" i="7" s="1"/>
  <c r="S217" i="7"/>
  <c r="AL217" i="7" s="1"/>
  <c r="L222" i="7"/>
  <c r="AH222" i="7" s="1"/>
  <c r="Z222" i="7"/>
  <c r="AP222" i="7" s="1"/>
  <c r="S223" i="7"/>
  <c r="AL223" i="7" s="1"/>
  <c r="L224" i="7"/>
  <c r="AH224" i="7" s="1"/>
  <c r="Z224" i="7"/>
  <c r="AP224" i="7" s="1"/>
  <c r="S225" i="7"/>
  <c r="AL225" i="7" s="1"/>
  <c r="L226" i="7"/>
  <c r="AH226" i="7" s="1"/>
  <c r="Z226" i="7"/>
  <c r="AP226" i="7" s="1"/>
  <c r="S227" i="7"/>
  <c r="AL227" i="7" s="1"/>
  <c r="L228" i="7"/>
  <c r="AH228" i="7" s="1"/>
  <c r="Z228" i="7"/>
  <c r="AP228" i="7" s="1"/>
  <c r="S229" i="7"/>
  <c r="AL229" i="7" s="1"/>
  <c r="L230" i="7"/>
  <c r="AH230" i="7" s="1"/>
  <c r="Z230" i="7"/>
  <c r="AP230" i="7" s="1"/>
  <c r="S231" i="7"/>
  <c r="AL231" i="7" s="1"/>
  <c r="L235" i="7"/>
  <c r="AH235" i="7" s="1"/>
  <c r="G236" i="7"/>
  <c r="J236" i="7"/>
  <c r="AG236" i="7" s="1"/>
  <c r="N237" i="7"/>
  <c r="O237" i="7" s="1"/>
  <c r="AM237" i="7" s="1"/>
  <c r="Q237" i="7"/>
  <c r="AK237" i="7" s="1"/>
  <c r="U238" i="7"/>
  <c r="V238" i="7" s="1"/>
  <c r="AQ238" i="7" s="1"/>
  <c r="X238" i="7"/>
  <c r="AO238" i="7" s="1"/>
  <c r="G240" i="7"/>
  <c r="J240" i="7"/>
  <c r="AG240" i="7" s="1"/>
  <c r="N244" i="7"/>
  <c r="O244" i="7" s="1"/>
  <c r="AM244" i="7" s="1"/>
  <c r="Q244" i="7"/>
  <c r="AK244" i="7" s="1"/>
  <c r="U245" i="7"/>
  <c r="AO250" i="7"/>
  <c r="X245" i="7"/>
  <c r="AO245" i="7" s="1"/>
  <c r="G247" i="7"/>
  <c r="J247" i="7"/>
  <c r="AG247" i="7" s="1"/>
  <c r="N248" i="7"/>
  <c r="Q248" i="7"/>
  <c r="AK248" i="7" s="1"/>
  <c r="U252" i="7"/>
  <c r="X252" i="7"/>
  <c r="AO252" i="7" s="1"/>
  <c r="G254" i="7"/>
  <c r="J254" i="7"/>
  <c r="AG254" i="7" s="1"/>
  <c r="N255" i="7"/>
  <c r="Q255" i="7"/>
  <c r="AK255" i="7" s="1"/>
  <c r="U256" i="7"/>
  <c r="X256" i="7"/>
  <c r="AO256" i="7" s="1"/>
  <c r="G258" i="7"/>
  <c r="J258" i="7"/>
  <c r="AG258" i="7" s="1"/>
  <c r="N259" i="7"/>
  <c r="Q259" i="7"/>
  <c r="AK259" i="7" s="1"/>
  <c r="U260" i="7"/>
  <c r="X260" i="7"/>
  <c r="AO260" i="7" s="1"/>
  <c r="G265" i="7"/>
  <c r="J265" i="7"/>
  <c r="AG265" i="7" s="1"/>
  <c r="N266" i="7"/>
  <c r="Q266" i="7"/>
  <c r="AK266" i="7" s="1"/>
  <c r="U267" i="7"/>
  <c r="X267" i="7"/>
  <c r="AO267" i="7" s="1"/>
  <c r="G269" i="7"/>
  <c r="J269" i="7"/>
  <c r="AG269" i="7" s="1"/>
  <c r="N273" i="7"/>
  <c r="Q273" i="7"/>
  <c r="AK273" i="7" s="1"/>
  <c r="Z235" i="7"/>
  <c r="AP235" i="7" s="1"/>
  <c r="S236" i="7"/>
  <c r="AL236" i="7" s="1"/>
  <c r="L237" i="7"/>
  <c r="AH237" i="7" s="1"/>
  <c r="Z237" i="7"/>
  <c r="AP237" i="7" s="1"/>
  <c r="S238" i="7"/>
  <c r="AL238" i="7" s="1"/>
  <c r="L239" i="7"/>
  <c r="AH239" i="7" s="1"/>
  <c r="Z239" i="7"/>
  <c r="AP239" i="7" s="1"/>
  <c r="S240" i="7"/>
  <c r="AL240" i="7" s="1"/>
  <c r="L244" i="7"/>
  <c r="AH244" i="7" s="1"/>
  <c r="Z244" i="7"/>
  <c r="AP244" i="7" s="1"/>
  <c r="AL250" i="7"/>
  <c r="S245" i="7"/>
  <c r="AL245" i="7" s="1"/>
  <c r="L246" i="7"/>
  <c r="AH246" i="7" s="1"/>
  <c r="Z246" i="7"/>
  <c r="AP246" i="7" s="1"/>
  <c r="S247" i="7"/>
  <c r="AL247" i="7" s="1"/>
  <c r="L248" i="7"/>
  <c r="AH248" i="7" s="1"/>
  <c r="Z248" i="7"/>
  <c r="AP248" i="7" s="1"/>
  <c r="S252" i="7"/>
  <c r="AL252" i="7" s="1"/>
  <c r="L253" i="7"/>
  <c r="AH253" i="7" s="1"/>
  <c r="Z253" i="7"/>
  <c r="AP253" i="7" s="1"/>
  <c r="S254" i="7"/>
  <c r="AL254" i="7" s="1"/>
  <c r="L255" i="7"/>
  <c r="AH255" i="7" s="1"/>
  <c r="Z255" i="7"/>
  <c r="AP255" i="7" s="1"/>
  <c r="S256" i="7"/>
  <c r="AL256" i="7" s="1"/>
  <c r="L257" i="7"/>
  <c r="AH257" i="7" s="1"/>
  <c r="Z257" i="7"/>
  <c r="AP257" i="7" s="1"/>
  <c r="S258" i="7"/>
  <c r="AL258" i="7" s="1"/>
  <c r="L259" i="7"/>
  <c r="AH259" i="7" s="1"/>
  <c r="Z259" i="7"/>
  <c r="AP259" i="7" s="1"/>
  <c r="S260" i="7"/>
  <c r="AL260" i="7" s="1"/>
  <c r="L264" i="7"/>
  <c r="AH264" i="7" s="1"/>
  <c r="Z264" i="7"/>
  <c r="AP264" i="7" s="1"/>
  <c r="S265" i="7"/>
  <c r="AL265" i="7" s="1"/>
  <c r="L266" i="7"/>
  <c r="AH266" i="7" s="1"/>
  <c r="Z266" i="7"/>
  <c r="AP266" i="7" s="1"/>
  <c r="S267" i="7"/>
  <c r="AL267" i="7" s="1"/>
  <c r="L268" i="7"/>
  <c r="AH268" i="7" s="1"/>
  <c r="Z268" i="7"/>
  <c r="AP268" i="7" s="1"/>
  <c r="S269" i="7"/>
  <c r="AL269" i="7" s="1"/>
  <c r="L273" i="7"/>
  <c r="AH273" i="7" s="1"/>
  <c r="Z273" i="7"/>
  <c r="AP273" i="7" s="1"/>
  <c r="S274" i="7"/>
  <c r="AL274" i="7" s="1"/>
  <c r="L275" i="7"/>
  <c r="AH275" i="7" s="1"/>
  <c r="Z275" i="7"/>
  <c r="AP275" i="7" s="1"/>
  <c r="S276" i="7"/>
  <c r="AL276" i="7" s="1"/>
  <c r="L277" i="7"/>
  <c r="AH277" i="7" s="1"/>
  <c r="Z277" i="7"/>
  <c r="AP277" i="7" s="1"/>
  <c r="S278" i="7"/>
  <c r="AL278" i="7" s="1"/>
  <c r="L279" i="7"/>
  <c r="AH279" i="7" s="1"/>
  <c r="Z279" i="7"/>
  <c r="AP279" i="7" s="1"/>
  <c r="S280" i="7"/>
  <c r="AL280" i="7" s="1"/>
  <c r="L281" i="7"/>
  <c r="AH281" i="7" s="1"/>
  <c r="Z281" i="7"/>
  <c r="AP281" i="7" s="1"/>
  <c r="S282" i="7"/>
  <c r="AL282" i="7" s="1"/>
  <c r="L283" i="7"/>
  <c r="AH283" i="7" s="1"/>
  <c r="Z283" i="7"/>
  <c r="AP283" i="7" s="1"/>
  <c r="S284" i="7"/>
  <c r="AL284" i="7" s="1"/>
  <c r="L285" i="7"/>
  <c r="AH285" i="7" s="1"/>
  <c r="L286" i="7"/>
  <c r="AH286" i="7" s="1"/>
  <c r="S290" i="7"/>
  <c r="Z291" i="7"/>
  <c r="AP291" i="7" s="1"/>
  <c r="L293" i="7"/>
  <c r="AH293" i="7" s="1"/>
  <c r="S294" i="7"/>
  <c r="AL294" i="7" s="1"/>
  <c r="AP311" i="7"/>
  <c r="Z305" i="7"/>
  <c r="AP305" i="7" s="1"/>
  <c r="L307" i="7"/>
  <c r="AH307" i="7" s="1"/>
  <c r="S308" i="7"/>
  <c r="AL308" i="7" s="1"/>
  <c r="Z309" i="7"/>
  <c r="AP309" i="7" s="1"/>
  <c r="AH319" i="7"/>
  <c r="L313" i="7"/>
  <c r="AH313" i="7" s="1"/>
  <c r="S314" i="7"/>
  <c r="AL314" i="7" s="1"/>
  <c r="Z315" i="7"/>
  <c r="AP315" i="7" s="1"/>
  <c r="L317" i="7"/>
  <c r="AH317" i="7" s="1"/>
  <c r="S318" i="7"/>
  <c r="AL318" i="7" s="1"/>
  <c r="AP327" i="7"/>
  <c r="Z321" i="7"/>
  <c r="AP321" i="7" s="1"/>
  <c r="L323" i="7"/>
  <c r="AH323" i="7" s="1"/>
  <c r="S324" i="7"/>
  <c r="AL324" i="7" s="1"/>
  <c r="Z325" i="7"/>
  <c r="AP325" i="7" s="1"/>
  <c r="AH335" i="7"/>
  <c r="L329" i="7"/>
  <c r="AH329" i="7" s="1"/>
  <c r="S330" i="7"/>
  <c r="AL330" i="7" s="1"/>
  <c r="Z331" i="7"/>
  <c r="AP331" i="7" s="1"/>
  <c r="L333" i="7"/>
  <c r="AH333" i="7" s="1"/>
  <c r="S334" i="7"/>
  <c r="AL334" i="7" s="1"/>
  <c r="AP343" i="7"/>
  <c r="Z337" i="7"/>
  <c r="AP337" i="7" s="1"/>
  <c r="L339" i="7"/>
  <c r="AH339" i="7" s="1"/>
  <c r="S340" i="7"/>
  <c r="AL340" i="7" s="1"/>
  <c r="Z341" i="7"/>
  <c r="AP341" i="7" s="1"/>
  <c r="AH351" i="7"/>
  <c r="L345" i="7"/>
  <c r="AH345" i="7" s="1"/>
  <c r="N274" i="7"/>
  <c r="Q274" i="7"/>
  <c r="AK274" i="7" s="1"/>
  <c r="G275" i="7"/>
  <c r="J275" i="7"/>
  <c r="AG275" i="7" s="1"/>
  <c r="U275" i="7"/>
  <c r="X275" i="7"/>
  <c r="AO275" i="7" s="1"/>
  <c r="N276" i="7"/>
  <c r="Q276" i="7"/>
  <c r="AK276" i="7" s="1"/>
  <c r="G277" i="7"/>
  <c r="J277" i="7"/>
  <c r="AG277" i="7" s="1"/>
  <c r="U277" i="7"/>
  <c r="X277" i="7"/>
  <c r="AO277" i="7" s="1"/>
  <c r="N278" i="7"/>
  <c r="Q278" i="7"/>
  <c r="AK278" i="7" s="1"/>
  <c r="G279" i="7"/>
  <c r="J279" i="7"/>
  <c r="AG279" i="7" s="1"/>
  <c r="U279" i="7"/>
  <c r="X279" i="7"/>
  <c r="AO279" i="7" s="1"/>
  <c r="N280" i="7"/>
  <c r="Q280" i="7"/>
  <c r="AK280" i="7" s="1"/>
  <c r="G281" i="7"/>
  <c r="J281" i="7"/>
  <c r="AG281" i="7" s="1"/>
  <c r="U281" i="7"/>
  <c r="X281" i="7"/>
  <c r="AO281" i="7" s="1"/>
  <c r="N282" i="7"/>
  <c r="Q282" i="7"/>
  <c r="AK282" i="7" s="1"/>
  <c r="G283" i="7"/>
  <c r="J283" i="7"/>
  <c r="AG283" i="7" s="1"/>
  <c r="U283" i="7"/>
  <c r="X283" i="7"/>
  <c r="AO283" i="7" s="1"/>
  <c r="N284" i="7"/>
  <c r="Q284" i="7"/>
  <c r="AK284" i="7" s="1"/>
  <c r="G285" i="7"/>
  <c r="J285" i="7"/>
  <c r="AG285" i="7" s="1"/>
  <c r="Z285" i="7"/>
  <c r="AP285" i="7" s="1"/>
  <c r="AH296" i="7"/>
  <c r="L290" i="7"/>
  <c r="AH290" i="7" s="1"/>
  <c r="S291" i="7"/>
  <c r="AL291" i="7" s="1"/>
  <c r="Z292" i="7"/>
  <c r="AP292" i="7" s="1"/>
  <c r="L294" i="7"/>
  <c r="AH294" i="7" s="1"/>
  <c r="S305" i="7"/>
  <c r="Z306" i="7"/>
  <c r="AP306" i="7" s="1"/>
  <c r="L308" i="7"/>
  <c r="AH308" i="7" s="1"/>
  <c r="S309" i="7"/>
  <c r="AL309" i="7" s="1"/>
  <c r="Z310" i="7"/>
  <c r="AP310" i="7" s="1"/>
  <c r="L314" i="7"/>
  <c r="AH314" i="7" s="1"/>
  <c r="S315" i="7"/>
  <c r="AL315" i="7" s="1"/>
  <c r="Z316" i="7"/>
  <c r="AP316" i="7" s="1"/>
  <c r="L318" i="7"/>
  <c r="AH318" i="7" s="1"/>
  <c r="S321" i="7"/>
  <c r="Z322" i="7"/>
  <c r="AP322" i="7" s="1"/>
  <c r="L324" i="7"/>
  <c r="AH324" i="7" s="1"/>
  <c r="S325" i="7"/>
  <c r="AL325" i="7" s="1"/>
  <c r="Z326" i="7"/>
  <c r="AP326" i="7" s="1"/>
  <c r="L330" i="7"/>
  <c r="AH330" i="7" s="1"/>
  <c r="S331" i="7"/>
  <c r="AL331" i="7" s="1"/>
  <c r="Z332" i="7"/>
  <c r="AP332" i="7" s="1"/>
  <c r="L334" i="7"/>
  <c r="AH334" i="7" s="1"/>
  <c r="S337" i="7"/>
  <c r="Z338" i="7"/>
  <c r="AP338" i="7" s="1"/>
  <c r="L340" i="7"/>
  <c r="AH340" i="7" s="1"/>
  <c r="S341" i="7"/>
  <c r="AL341" i="7" s="1"/>
  <c r="Z342" i="7"/>
  <c r="AP342" i="7" s="1"/>
  <c r="L346" i="7"/>
  <c r="AH346" i="7" s="1"/>
  <c r="Z346" i="7"/>
  <c r="AP346" i="7" s="1"/>
  <c r="S347" i="7"/>
  <c r="AL347" i="7" s="1"/>
  <c r="L348" i="7"/>
  <c r="AH348" i="7" s="1"/>
  <c r="Z348" i="7"/>
  <c r="AP348" i="7" s="1"/>
  <c r="S349" i="7"/>
  <c r="AL349" i="7" s="1"/>
  <c r="L350" i="7"/>
  <c r="AH350" i="7" s="1"/>
  <c r="Z350" i="7"/>
  <c r="AP350" i="7" s="1"/>
  <c r="S353" i="7"/>
  <c r="L354" i="7"/>
  <c r="AH354" i="7" s="1"/>
  <c r="Z354" i="7"/>
  <c r="AP354" i="7" s="1"/>
  <c r="S355" i="7"/>
  <c r="AL355" i="7" s="1"/>
  <c r="L356" i="7"/>
  <c r="AH356" i="7" s="1"/>
  <c r="Z356" i="7"/>
  <c r="AP356" i="7" s="1"/>
  <c r="S357" i="7"/>
  <c r="AL357" i="7" s="1"/>
  <c r="L358" i="7"/>
  <c r="AH358" i="7" s="1"/>
  <c r="Z358" i="7"/>
  <c r="AP358" i="7" s="1"/>
  <c r="AP367" i="7"/>
  <c r="Z361" i="7"/>
  <c r="AP361" i="7" s="1"/>
  <c r="L363" i="7"/>
  <c r="AH363" i="7" s="1"/>
  <c r="S364" i="7"/>
  <c r="AL364" i="7" s="1"/>
  <c r="Z365" i="7"/>
  <c r="AP365" i="7" s="1"/>
  <c r="L369" i="7"/>
  <c r="AH369" i="7" s="1"/>
  <c r="AH375" i="7"/>
  <c r="S370" i="7"/>
  <c r="AL370" i="7" s="1"/>
  <c r="Z371" i="7"/>
  <c r="AP371" i="7" s="1"/>
  <c r="L373" i="7"/>
  <c r="AH373" i="7" s="1"/>
  <c r="S374" i="7"/>
  <c r="AL374" i="7" s="1"/>
  <c r="AP383" i="7"/>
  <c r="Z377" i="7"/>
  <c r="AP377" i="7" s="1"/>
  <c r="L379" i="7"/>
  <c r="AH379" i="7" s="1"/>
  <c r="S380" i="7"/>
  <c r="AL380" i="7" s="1"/>
  <c r="Z381" i="7"/>
  <c r="AP381" i="7" s="1"/>
  <c r="L386" i="7"/>
  <c r="AH386" i="7" s="1"/>
  <c r="S387" i="7"/>
  <c r="AL387" i="7" s="1"/>
  <c r="Z388" i="7"/>
  <c r="AP388" i="7" s="1"/>
  <c r="L390" i="7"/>
  <c r="AH390" i="7" s="1"/>
  <c r="S391" i="7"/>
  <c r="AL391" i="7" s="1"/>
  <c r="Z392" i="7"/>
  <c r="AP392" i="7" s="1"/>
  <c r="L394" i="7"/>
  <c r="AH394" i="7" s="1"/>
  <c r="S397" i="7"/>
  <c r="AL397" i="7" s="1"/>
  <c r="Z398" i="7"/>
  <c r="AP398" i="7" s="1"/>
  <c r="L400" i="7"/>
  <c r="AH400" i="7" s="1"/>
  <c r="S401" i="7"/>
  <c r="AL401" i="7" s="1"/>
  <c r="Z402" i="7"/>
  <c r="AP402" i="7" s="1"/>
  <c r="L404" i="7"/>
  <c r="AH404" i="7" s="1"/>
  <c r="U285" i="7"/>
  <c r="V285" i="7" s="1"/>
  <c r="AQ285" i="7" s="1"/>
  <c r="X285" i="7"/>
  <c r="AO285" i="7" s="1"/>
  <c r="N286" i="7"/>
  <c r="O286" i="7" s="1"/>
  <c r="AM286" i="7" s="1"/>
  <c r="Q286" i="7"/>
  <c r="AK286" i="7" s="1"/>
  <c r="G290" i="7"/>
  <c r="AG296" i="7"/>
  <c r="J290" i="7"/>
  <c r="AG290" i="7" s="1"/>
  <c r="U290" i="7"/>
  <c r="AO296" i="7"/>
  <c r="X290" i="7"/>
  <c r="AO290" i="7" s="1"/>
  <c r="N291" i="7"/>
  <c r="O291" i="7" s="1"/>
  <c r="AM291" i="7" s="1"/>
  <c r="Q291" i="7"/>
  <c r="AK291" i="7" s="1"/>
  <c r="G292" i="7"/>
  <c r="J292" i="7"/>
  <c r="AG292" i="7" s="1"/>
  <c r="U292" i="7"/>
  <c r="V292" i="7" s="1"/>
  <c r="AQ292" i="7" s="1"/>
  <c r="X292" i="7"/>
  <c r="AO292" i="7" s="1"/>
  <c r="N293" i="7"/>
  <c r="O293" i="7" s="1"/>
  <c r="AM293" i="7" s="1"/>
  <c r="Q293" i="7"/>
  <c r="AK293" i="7" s="1"/>
  <c r="G294" i="7"/>
  <c r="J294" i="7"/>
  <c r="AG294" i="7" s="1"/>
  <c r="U294" i="7"/>
  <c r="V294" i="7" s="1"/>
  <c r="AQ294" i="7" s="1"/>
  <c r="X294" i="7"/>
  <c r="AO294" i="7" s="1"/>
  <c r="N305" i="7"/>
  <c r="O305" i="7" s="1"/>
  <c r="Q305" i="7"/>
  <c r="G306" i="7"/>
  <c r="J306" i="7"/>
  <c r="AG306" i="7" s="1"/>
  <c r="U306" i="7"/>
  <c r="V306" i="7" s="1"/>
  <c r="AQ306" i="7" s="1"/>
  <c r="X306" i="7"/>
  <c r="AO306" i="7" s="1"/>
  <c r="N307" i="7"/>
  <c r="O307" i="7" s="1"/>
  <c r="AM307" i="7" s="1"/>
  <c r="Q307" i="7"/>
  <c r="AK307" i="7" s="1"/>
  <c r="G308" i="7"/>
  <c r="J308" i="7"/>
  <c r="AG308" i="7" s="1"/>
  <c r="U308" i="7"/>
  <c r="V308" i="7" s="1"/>
  <c r="AQ308" i="7" s="1"/>
  <c r="X308" i="7"/>
  <c r="AO308" i="7" s="1"/>
  <c r="N309" i="7"/>
  <c r="O309" i="7" s="1"/>
  <c r="AM309" i="7" s="1"/>
  <c r="Q309" i="7"/>
  <c r="AK309" i="7" s="1"/>
  <c r="G310" i="7"/>
  <c r="J310" i="7"/>
  <c r="AG310" i="7" s="1"/>
  <c r="U310" i="7"/>
  <c r="V310" i="7" s="1"/>
  <c r="AQ310" i="7" s="1"/>
  <c r="X310" i="7"/>
  <c r="AO310" i="7" s="1"/>
  <c r="N313" i="7"/>
  <c r="O313" i="7" s="1"/>
  <c r="Q313" i="7"/>
  <c r="G314" i="7"/>
  <c r="J314" i="7"/>
  <c r="AG314" i="7" s="1"/>
  <c r="U314" i="7"/>
  <c r="V314" i="7" s="1"/>
  <c r="AQ314" i="7" s="1"/>
  <c r="X314" i="7"/>
  <c r="AO314" i="7" s="1"/>
  <c r="N315" i="7"/>
  <c r="O315" i="7" s="1"/>
  <c r="AM315" i="7" s="1"/>
  <c r="Q315" i="7"/>
  <c r="AK315" i="7" s="1"/>
  <c r="G316" i="7"/>
  <c r="J316" i="7"/>
  <c r="AG316" i="7" s="1"/>
  <c r="U316" i="7"/>
  <c r="V316" i="7" s="1"/>
  <c r="AQ316" i="7" s="1"/>
  <c r="X316" i="7"/>
  <c r="AO316" i="7" s="1"/>
  <c r="N317" i="7"/>
  <c r="O317" i="7" s="1"/>
  <c r="AM317" i="7" s="1"/>
  <c r="Q317" i="7"/>
  <c r="AK317" i="7" s="1"/>
  <c r="G318" i="7"/>
  <c r="J318" i="7"/>
  <c r="AG318" i="7" s="1"/>
  <c r="U318" i="7"/>
  <c r="V318" i="7" s="1"/>
  <c r="AQ318" i="7" s="1"/>
  <c r="X318" i="7"/>
  <c r="AO318" i="7" s="1"/>
  <c r="N321" i="7"/>
  <c r="O321" i="7" s="1"/>
  <c r="Q321" i="7"/>
  <c r="G322" i="7"/>
  <c r="J322" i="7"/>
  <c r="AG322" i="7" s="1"/>
  <c r="U322" i="7"/>
  <c r="V322" i="7" s="1"/>
  <c r="AQ322" i="7" s="1"/>
  <c r="X322" i="7"/>
  <c r="AO322" i="7" s="1"/>
  <c r="N323" i="7"/>
  <c r="O323" i="7" s="1"/>
  <c r="AM323" i="7" s="1"/>
  <c r="Q323" i="7"/>
  <c r="AK323" i="7" s="1"/>
  <c r="G324" i="7"/>
  <c r="J324" i="7"/>
  <c r="AG324" i="7" s="1"/>
  <c r="U324" i="7"/>
  <c r="V324" i="7" s="1"/>
  <c r="AQ324" i="7" s="1"/>
  <c r="X324" i="7"/>
  <c r="AO324" i="7" s="1"/>
  <c r="N325" i="7"/>
  <c r="O325" i="7" s="1"/>
  <c r="AM325" i="7" s="1"/>
  <c r="Q325" i="7"/>
  <c r="AK325" i="7" s="1"/>
  <c r="G326" i="7"/>
  <c r="J326" i="7"/>
  <c r="AG326" i="7" s="1"/>
  <c r="U326" i="7"/>
  <c r="V326" i="7" s="1"/>
  <c r="AQ326" i="7" s="1"/>
  <c r="X326" i="7"/>
  <c r="AO326" i="7" s="1"/>
  <c r="N329" i="7"/>
  <c r="O329" i="7" s="1"/>
  <c r="Q329" i="7"/>
  <c r="G330" i="7"/>
  <c r="J330" i="7"/>
  <c r="AG330" i="7" s="1"/>
  <c r="U330" i="7"/>
  <c r="V330" i="7" s="1"/>
  <c r="AQ330" i="7" s="1"/>
  <c r="X330" i="7"/>
  <c r="AO330" i="7" s="1"/>
  <c r="N331" i="7"/>
  <c r="O331" i="7" s="1"/>
  <c r="AM331" i="7" s="1"/>
  <c r="Q331" i="7"/>
  <c r="AK331" i="7" s="1"/>
  <c r="G332" i="7"/>
  <c r="J332" i="7"/>
  <c r="AG332" i="7" s="1"/>
  <c r="U332" i="7"/>
  <c r="V332" i="7" s="1"/>
  <c r="AQ332" i="7" s="1"/>
  <c r="X332" i="7"/>
  <c r="AO332" i="7" s="1"/>
  <c r="N333" i="7"/>
  <c r="O333" i="7" s="1"/>
  <c r="AM333" i="7" s="1"/>
  <c r="Q333" i="7"/>
  <c r="AK333" i="7" s="1"/>
  <c r="J334" i="7"/>
  <c r="AG334" i="7" s="1"/>
  <c r="G334" i="7"/>
  <c r="U334" i="7"/>
  <c r="V334" i="7" s="1"/>
  <c r="AQ334" i="7" s="1"/>
  <c r="X334" i="7"/>
  <c r="AO334" i="7" s="1"/>
  <c r="N337" i="7"/>
  <c r="O337" i="7" s="1"/>
  <c r="Q337" i="7"/>
  <c r="G338" i="7"/>
  <c r="J338" i="7"/>
  <c r="AG338" i="7" s="1"/>
  <c r="U338" i="7"/>
  <c r="V338" i="7" s="1"/>
  <c r="AQ338" i="7" s="1"/>
  <c r="X338" i="7"/>
  <c r="AO338" i="7" s="1"/>
  <c r="N339" i="7"/>
  <c r="O339" i="7" s="1"/>
  <c r="AM339" i="7" s="1"/>
  <c r="Q339" i="7"/>
  <c r="AK339" i="7" s="1"/>
  <c r="G340" i="7"/>
  <c r="J340" i="7"/>
  <c r="AG340" i="7" s="1"/>
  <c r="U340" i="7"/>
  <c r="V340" i="7" s="1"/>
  <c r="AQ340" i="7" s="1"/>
  <c r="X340" i="7"/>
  <c r="AO340" i="7" s="1"/>
  <c r="N341" i="7"/>
  <c r="O341" i="7" s="1"/>
  <c r="AM341" i="7" s="1"/>
  <c r="Q341" i="7"/>
  <c r="AK341" i="7" s="1"/>
  <c r="G342" i="7"/>
  <c r="J342" i="7"/>
  <c r="AG342" i="7" s="1"/>
  <c r="U342" i="7"/>
  <c r="V342" i="7" s="1"/>
  <c r="AQ342" i="7" s="1"/>
  <c r="X342" i="7"/>
  <c r="AO342" i="7" s="1"/>
  <c r="N345" i="7"/>
  <c r="O345" i="7" s="1"/>
  <c r="Q345" i="7"/>
  <c r="G346" i="7"/>
  <c r="J346" i="7"/>
  <c r="AG346" i="7" s="1"/>
  <c r="U346" i="7"/>
  <c r="V346" i="7" s="1"/>
  <c r="AQ346" i="7" s="1"/>
  <c r="X346" i="7"/>
  <c r="AO346" i="7" s="1"/>
  <c r="N347" i="7"/>
  <c r="O347" i="7" s="1"/>
  <c r="AM347" i="7" s="1"/>
  <c r="Q347" i="7"/>
  <c r="AK347" i="7" s="1"/>
  <c r="G348" i="7"/>
  <c r="J348" i="7"/>
  <c r="AG348" i="7" s="1"/>
  <c r="U348" i="7"/>
  <c r="V348" i="7" s="1"/>
  <c r="AQ348" i="7" s="1"/>
  <c r="X348" i="7"/>
  <c r="AO348" i="7" s="1"/>
  <c r="N349" i="7"/>
  <c r="O349" i="7" s="1"/>
  <c r="AM349" i="7" s="1"/>
  <c r="Q349" i="7"/>
  <c r="AK349" i="7" s="1"/>
  <c r="G350" i="7"/>
  <c r="J350" i="7"/>
  <c r="AG350" i="7" s="1"/>
  <c r="U350" i="7"/>
  <c r="V350" i="7" s="1"/>
  <c r="AQ350" i="7" s="1"/>
  <c r="X350" i="7"/>
  <c r="AO350" i="7" s="1"/>
  <c r="N353" i="7"/>
  <c r="O353" i="7" s="1"/>
  <c r="Q353" i="7"/>
  <c r="G354" i="7"/>
  <c r="J354" i="7"/>
  <c r="AG354" i="7" s="1"/>
  <c r="U354" i="7"/>
  <c r="V354" i="7" s="1"/>
  <c r="AQ354" i="7" s="1"/>
  <c r="X354" i="7"/>
  <c r="AO354" i="7" s="1"/>
  <c r="N355" i="7"/>
  <c r="O355" i="7" s="1"/>
  <c r="AM355" i="7" s="1"/>
  <c r="Q355" i="7"/>
  <c r="AK355" i="7" s="1"/>
  <c r="G356" i="7"/>
  <c r="J356" i="7"/>
  <c r="AG356" i="7" s="1"/>
  <c r="U356" i="7"/>
  <c r="V356" i="7" s="1"/>
  <c r="AQ356" i="7" s="1"/>
  <c r="X356" i="7"/>
  <c r="AO356" i="7" s="1"/>
  <c r="N357" i="7"/>
  <c r="O357" i="7" s="1"/>
  <c r="AM357" i="7" s="1"/>
  <c r="Q357" i="7"/>
  <c r="AK357" i="7" s="1"/>
  <c r="G358" i="7"/>
  <c r="J358" i="7"/>
  <c r="AG358" i="7" s="1"/>
  <c r="U358" i="7"/>
  <c r="V358" i="7" s="1"/>
  <c r="AQ358" i="7" s="1"/>
  <c r="X358" i="7"/>
  <c r="AO358" i="7" s="1"/>
  <c r="S361" i="7"/>
  <c r="Z362" i="7"/>
  <c r="AP362" i="7" s="1"/>
  <c r="L364" i="7"/>
  <c r="AH364" i="7" s="1"/>
  <c r="S365" i="7"/>
  <c r="AL365" i="7" s="1"/>
  <c r="Z366" i="7"/>
  <c r="AP366" i="7" s="1"/>
  <c r="L370" i="7"/>
  <c r="AH370" i="7" s="1"/>
  <c r="S371" i="7"/>
  <c r="AL371" i="7" s="1"/>
  <c r="Z372" i="7"/>
  <c r="AP372" i="7" s="1"/>
  <c r="L374" i="7"/>
  <c r="AH374" i="7" s="1"/>
  <c r="S377" i="7"/>
  <c r="Z378" i="7"/>
  <c r="AP378" i="7" s="1"/>
  <c r="L380" i="7"/>
  <c r="AH380" i="7" s="1"/>
  <c r="S381" i="7"/>
  <c r="AL381" i="7" s="1"/>
  <c r="Z382" i="7"/>
  <c r="AP382" i="7" s="1"/>
  <c r="L387" i="7"/>
  <c r="AH387" i="7" s="1"/>
  <c r="S388" i="7"/>
  <c r="AL388" i="7" s="1"/>
  <c r="Z389" i="7"/>
  <c r="AP389" i="7" s="1"/>
  <c r="L391" i="7"/>
  <c r="AH391" i="7" s="1"/>
  <c r="S392" i="7"/>
  <c r="AL392" i="7" s="1"/>
  <c r="Z393" i="7"/>
  <c r="AP393" i="7" s="1"/>
  <c r="L397" i="7"/>
  <c r="AH397" i="7" s="1"/>
  <c r="S398" i="7"/>
  <c r="AL398" i="7" s="1"/>
  <c r="Z399" i="7"/>
  <c r="AP399" i="7" s="1"/>
  <c r="L401" i="7"/>
  <c r="AH401" i="7" s="1"/>
  <c r="S402" i="7"/>
  <c r="AL402" i="7" s="1"/>
  <c r="Z403" i="7"/>
  <c r="AP403" i="7" s="1"/>
  <c r="L407" i="7"/>
  <c r="AH407" i="7" s="1"/>
  <c r="Z407" i="7"/>
  <c r="AP407" i="7" s="1"/>
  <c r="S408" i="7"/>
  <c r="AL408" i="7" s="1"/>
  <c r="L409" i="7"/>
  <c r="AH409" i="7" s="1"/>
  <c r="Z409" i="7"/>
  <c r="AP409" i="7" s="1"/>
  <c r="S410" i="7"/>
  <c r="AL410" i="7" s="1"/>
  <c r="L411" i="7"/>
  <c r="AH411" i="7" s="1"/>
  <c r="Z411" i="7"/>
  <c r="AP411" i="7" s="1"/>
  <c r="S414" i="7"/>
  <c r="AL414" i="7" s="1"/>
  <c r="L415" i="7"/>
  <c r="AH415" i="7" s="1"/>
  <c r="Z415" i="7"/>
  <c r="AP415" i="7" s="1"/>
  <c r="S416" i="7"/>
  <c r="AL416" i="7" s="1"/>
  <c r="U417" i="7"/>
  <c r="V417" i="7" s="1"/>
  <c r="AQ417" i="7" s="1"/>
  <c r="X417" i="7"/>
  <c r="AO417" i="7" s="1"/>
  <c r="G421" i="7"/>
  <c r="J421" i="7"/>
  <c r="AG421" i="7" s="1"/>
  <c r="N422" i="7"/>
  <c r="O422" i="7" s="1"/>
  <c r="AM422" i="7" s="1"/>
  <c r="Q422" i="7"/>
  <c r="AK422" i="7" s="1"/>
  <c r="U423" i="7"/>
  <c r="V423" i="7" s="1"/>
  <c r="AQ423" i="7" s="1"/>
  <c r="X423" i="7"/>
  <c r="AO423" i="7" s="1"/>
  <c r="G425" i="7"/>
  <c r="J425" i="7"/>
  <c r="AG425" i="7" s="1"/>
  <c r="N428" i="7"/>
  <c r="O428" i="7" s="1"/>
  <c r="Q428" i="7"/>
  <c r="U429" i="7"/>
  <c r="V429" i="7" s="1"/>
  <c r="AQ429" i="7" s="1"/>
  <c r="X429" i="7"/>
  <c r="AO429" i="7" s="1"/>
  <c r="G431" i="7"/>
  <c r="J431" i="7"/>
  <c r="AG431" i="7" s="1"/>
  <c r="N432" i="7"/>
  <c r="O432" i="7" s="1"/>
  <c r="AM432" i="7" s="1"/>
  <c r="Q432" i="7"/>
  <c r="AK432" i="7" s="1"/>
  <c r="U435" i="7"/>
  <c r="V435" i="7" s="1"/>
  <c r="AQ435" i="7" s="1"/>
  <c r="X435" i="7"/>
  <c r="AO435" i="7" s="1"/>
  <c r="G437" i="7"/>
  <c r="J437" i="7"/>
  <c r="AG437" i="7" s="1"/>
  <c r="N438" i="7"/>
  <c r="O438" i="7" s="1"/>
  <c r="AM438" i="7" s="1"/>
  <c r="Q438" i="7"/>
  <c r="AK438" i="7" s="1"/>
  <c r="U439" i="7"/>
  <c r="AO440" i="7"/>
  <c r="X439" i="7"/>
  <c r="AO439" i="7" s="1"/>
  <c r="G443" i="7"/>
  <c r="J443" i="7"/>
  <c r="AG443" i="7" s="1"/>
  <c r="N444" i="7"/>
  <c r="Q444" i="7"/>
  <c r="AK444" i="7" s="1"/>
  <c r="U445" i="7"/>
  <c r="X445" i="7"/>
  <c r="AO445" i="7" s="1"/>
  <c r="G447" i="7"/>
  <c r="J447" i="7"/>
  <c r="AG447" i="7" s="1"/>
  <c r="N448" i="7"/>
  <c r="Q448" i="7"/>
  <c r="AK448" i="7" s="1"/>
  <c r="U449" i="7"/>
  <c r="X449" i="7"/>
  <c r="AO449" i="7" s="1"/>
  <c r="G451" i="7"/>
  <c r="J451" i="7"/>
  <c r="AG451" i="7" s="1"/>
  <c r="N452" i="7"/>
  <c r="Q452" i="7"/>
  <c r="AK452" i="7" s="1"/>
  <c r="AO367" i="7"/>
  <c r="U361" i="7"/>
  <c r="X361" i="7"/>
  <c r="AO361" i="7" s="1"/>
  <c r="N362" i="7"/>
  <c r="O362" i="7" s="1"/>
  <c r="AM362" i="7" s="1"/>
  <c r="Q362" i="7"/>
  <c r="AK362" i="7" s="1"/>
  <c r="G363" i="7"/>
  <c r="J363" i="7"/>
  <c r="AG363" i="7" s="1"/>
  <c r="U363" i="7"/>
  <c r="V363" i="7" s="1"/>
  <c r="AQ363" i="7" s="1"/>
  <c r="X363" i="7"/>
  <c r="AO363" i="7" s="1"/>
  <c r="N364" i="7"/>
  <c r="O364" i="7" s="1"/>
  <c r="AM364" i="7" s="1"/>
  <c r="Q364" i="7"/>
  <c r="AK364" i="7" s="1"/>
  <c r="G365" i="7"/>
  <c r="J365" i="7"/>
  <c r="AG365" i="7" s="1"/>
  <c r="U365" i="7"/>
  <c r="V365" i="7" s="1"/>
  <c r="AQ365" i="7" s="1"/>
  <c r="X365" i="7"/>
  <c r="AO365" i="7" s="1"/>
  <c r="N366" i="7"/>
  <c r="O366" i="7" s="1"/>
  <c r="AM366" i="7" s="1"/>
  <c r="Q366" i="7"/>
  <c r="AK366" i="7" s="1"/>
  <c r="G369" i="7"/>
  <c r="AG375" i="7"/>
  <c r="J369" i="7"/>
  <c r="AG369" i="7" s="1"/>
  <c r="U369" i="7"/>
  <c r="AO375" i="7"/>
  <c r="X369" i="7"/>
  <c r="AO369" i="7" s="1"/>
  <c r="N370" i="7"/>
  <c r="O370" i="7" s="1"/>
  <c r="AM370" i="7" s="1"/>
  <c r="Q370" i="7"/>
  <c r="AK370" i="7" s="1"/>
  <c r="G371" i="7"/>
  <c r="J371" i="7"/>
  <c r="AG371" i="7" s="1"/>
  <c r="U371" i="7"/>
  <c r="V371" i="7" s="1"/>
  <c r="AQ371" i="7" s="1"/>
  <c r="X371" i="7"/>
  <c r="AO371" i="7" s="1"/>
  <c r="N372" i="7"/>
  <c r="O372" i="7" s="1"/>
  <c r="AM372" i="7" s="1"/>
  <c r="Q372" i="7"/>
  <c r="AK372" i="7" s="1"/>
  <c r="G373" i="7"/>
  <c r="J373" i="7"/>
  <c r="AG373" i="7" s="1"/>
  <c r="U373" i="7"/>
  <c r="V373" i="7" s="1"/>
  <c r="AQ373" i="7" s="1"/>
  <c r="X373" i="7"/>
  <c r="AO373" i="7" s="1"/>
  <c r="N374" i="7"/>
  <c r="O374" i="7" s="1"/>
  <c r="AM374" i="7" s="1"/>
  <c r="Q374" i="7"/>
  <c r="AK374" i="7" s="1"/>
  <c r="G377" i="7"/>
  <c r="J377" i="7"/>
  <c r="AG377" i="7" s="1"/>
  <c r="AG383" i="7"/>
  <c r="U377" i="7"/>
  <c r="X377" i="7"/>
  <c r="AO377" i="7" s="1"/>
  <c r="AO383" i="7"/>
  <c r="N378" i="7"/>
  <c r="O378" i="7" s="1"/>
  <c r="AM378" i="7" s="1"/>
  <c r="Q378" i="7"/>
  <c r="AK378" i="7" s="1"/>
  <c r="G379" i="7"/>
  <c r="J379" i="7"/>
  <c r="AG379" i="7" s="1"/>
  <c r="U379" i="7"/>
  <c r="V379" i="7" s="1"/>
  <c r="AQ379" i="7" s="1"/>
  <c r="X379" i="7"/>
  <c r="AO379" i="7" s="1"/>
  <c r="N380" i="7"/>
  <c r="O380" i="7" s="1"/>
  <c r="AM380" i="7" s="1"/>
  <c r="Q380" i="7"/>
  <c r="AK380" i="7" s="1"/>
  <c r="G381" i="7"/>
  <c r="J381" i="7"/>
  <c r="AG381" i="7" s="1"/>
  <c r="U381" i="7"/>
  <c r="V381" i="7" s="1"/>
  <c r="AQ381" i="7" s="1"/>
  <c r="X381" i="7"/>
  <c r="AO381" i="7" s="1"/>
  <c r="N382" i="7"/>
  <c r="O382" i="7" s="1"/>
  <c r="AM382" i="7" s="1"/>
  <c r="Q382" i="7"/>
  <c r="AK382" i="7" s="1"/>
  <c r="G386" i="7"/>
  <c r="J386" i="7"/>
  <c r="AG386" i="7" s="1"/>
  <c r="U386" i="7"/>
  <c r="V386" i="7" s="1"/>
  <c r="AQ386" i="7" s="1"/>
  <c r="X386" i="7"/>
  <c r="AO386" i="7" s="1"/>
  <c r="N387" i="7"/>
  <c r="O387" i="7" s="1"/>
  <c r="AM387" i="7" s="1"/>
  <c r="Q387" i="7"/>
  <c r="AK387" i="7" s="1"/>
  <c r="G388" i="7"/>
  <c r="J388" i="7"/>
  <c r="AG388" i="7" s="1"/>
  <c r="U388" i="7"/>
  <c r="V388" i="7" s="1"/>
  <c r="AQ388" i="7" s="1"/>
  <c r="X388" i="7"/>
  <c r="AO388" i="7" s="1"/>
  <c r="N389" i="7"/>
  <c r="O389" i="7" s="1"/>
  <c r="AM389" i="7" s="1"/>
  <c r="Q389" i="7"/>
  <c r="AK389" i="7" s="1"/>
  <c r="G390" i="7"/>
  <c r="J390" i="7"/>
  <c r="AG390" i="7" s="1"/>
  <c r="U390" i="7"/>
  <c r="V390" i="7" s="1"/>
  <c r="AQ390" i="7" s="1"/>
  <c r="X390" i="7"/>
  <c r="AO390" i="7" s="1"/>
  <c r="N391" i="7"/>
  <c r="O391" i="7" s="1"/>
  <c r="AM391" i="7" s="1"/>
  <c r="Q391" i="7"/>
  <c r="AK391" i="7" s="1"/>
  <c r="G392" i="7"/>
  <c r="J392" i="7"/>
  <c r="AG392" i="7" s="1"/>
  <c r="U392" i="7"/>
  <c r="V392" i="7" s="1"/>
  <c r="AQ392" i="7" s="1"/>
  <c r="X392" i="7"/>
  <c r="AO392" i="7" s="1"/>
  <c r="N393" i="7"/>
  <c r="O393" i="7" s="1"/>
  <c r="AM393" i="7" s="1"/>
  <c r="Q393" i="7"/>
  <c r="AK393" i="7" s="1"/>
  <c r="G394" i="7"/>
  <c r="J394" i="7"/>
  <c r="AG394" i="7" s="1"/>
  <c r="U394" i="7"/>
  <c r="V394" i="7" s="1"/>
  <c r="AQ394" i="7" s="1"/>
  <c r="X394" i="7"/>
  <c r="AO394" i="7" s="1"/>
  <c r="N397" i="7"/>
  <c r="O397" i="7" s="1"/>
  <c r="AM397" i="7" s="1"/>
  <c r="Q397" i="7"/>
  <c r="AK397" i="7" s="1"/>
  <c r="G398" i="7"/>
  <c r="J398" i="7"/>
  <c r="AG398" i="7" s="1"/>
  <c r="U398" i="7"/>
  <c r="V398" i="7" s="1"/>
  <c r="AQ398" i="7" s="1"/>
  <c r="X398" i="7"/>
  <c r="AO398" i="7" s="1"/>
  <c r="N399" i="7"/>
  <c r="O399" i="7" s="1"/>
  <c r="AM399" i="7" s="1"/>
  <c r="Q399" i="7"/>
  <c r="AK399" i="7" s="1"/>
  <c r="G400" i="7"/>
  <c r="J400" i="7"/>
  <c r="AG400" i="7" s="1"/>
  <c r="U400" i="7"/>
  <c r="V400" i="7" s="1"/>
  <c r="AQ400" i="7" s="1"/>
  <c r="X400" i="7"/>
  <c r="AO400" i="7" s="1"/>
  <c r="N401" i="7"/>
  <c r="O401" i="7" s="1"/>
  <c r="AM401" i="7" s="1"/>
  <c r="Q401" i="7"/>
  <c r="AK401" i="7" s="1"/>
  <c r="G402" i="7"/>
  <c r="J402" i="7"/>
  <c r="AG402" i="7" s="1"/>
  <c r="U402" i="7"/>
  <c r="V402" i="7" s="1"/>
  <c r="AQ402" i="7" s="1"/>
  <c r="X402" i="7"/>
  <c r="AO402" i="7" s="1"/>
  <c r="N403" i="7"/>
  <c r="O403" i="7" s="1"/>
  <c r="AM403" i="7" s="1"/>
  <c r="Q403" i="7"/>
  <c r="AK403" i="7" s="1"/>
  <c r="J404" i="7"/>
  <c r="AG404" i="7" s="1"/>
  <c r="G404" i="7"/>
  <c r="X404" i="7"/>
  <c r="AO404" i="7" s="1"/>
  <c r="U404" i="7"/>
  <c r="N407" i="7"/>
  <c r="O407" i="7" s="1"/>
  <c r="AM407" i="7" s="1"/>
  <c r="Q407" i="7"/>
  <c r="AK407" i="7" s="1"/>
  <c r="G408" i="7"/>
  <c r="J408" i="7"/>
  <c r="AG408" i="7" s="1"/>
  <c r="U408" i="7"/>
  <c r="V408" i="7" s="1"/>
  <c r="AQ408" i="7" s="1"/>
  <c r="X408" i="7"/>
  <c r="AO408" i="7" s="1"/>
  <c r="N409" i="7"/>
  <c r="O409" i="7" s="1"/>
  <c r="AM409" i="7" s="1"/>
  <c r="Q409" i="7"/>
  <c r="AK409" i="7" s="1"/>
  <c r="G410" i="7"/>
  <c r="J410" i="7"/>
  <c r="AG410" i="7" s="1"/>
  <c r="U410" i="7"/>
  <c r="V410" i="7" s="1"/>
  <c r="AQ410" i="7" s="1"/>
  <c r="X410" i="7"/>
  <c r="AO410" i="7" s="1"/>
  <c r="N411" i="7"/>
  <c r="O411" i="7" s="1"/>
  <c r="AM411" i="7" s="1"/>
  <c r="Q411" i="7"/>
  <c r="AK411" i="7" s="1"/>
  <c r="G414" i="7"/>
  <c r="J414" i="7"/>
  <c r="AG414" i="7" s="1"/>
  <c r="U414" i="7"/>
  <c r="V414" i="7" s="1"/>
  <c r="AQ414" i="7" s="1"/>
  <c r="X414" i="7"/>
  <c r="AO414" i="7" s="1"/>
  <c r="N415" i="7"/>
  <c r="O415" i="7" s="1"/>
  <c r="AM415" i="7" s="1"/>
  <c r="Q415" i="7"/>
  <c r="AK415" i="7" s="1"/>
  <c r="G416" i="7"/>
  <c r="J416" i="7"/>
  <c r="AG416" i="7" s="1"/>
  <c r="U416" i="7"/>
  <c r="V416" i="7" s="1"/>
  <c r="AQ416" i="7" s="1"/>
  <c r="X416" i="7"/>
  <c r="AO416" i="7" s="1"/>
  <c r="G420" i="7"/>
  <c r="J420" i="7"/>
  <c r="AG420" i="7" s="1"/>
  <c r="N421" i="7"/>
  <c r="O421" i="7" s="1"/>
  <c r="AM421" i="7" s="1"/>
  <c r="Q421" i="7"/>
  <c r="AK421" i="7" s="1"/>
  <c r="U422" i="7"/>
  <c r="V422" i="7" s="1"/>
  <c r="AQ422" i="7" s="1"/>
  <c r="X422" i="7"/>
  <c r="AO422" i="7" s="1"/>
  <c r="G424" i="7"/>
  <c r="J424" i="7"/>
  <c r="AG424" i="7" s="1"/>
  <c r="N425" i="7"/>
  <c r="O425" i="7" s="1"/>
  <c r="AM425" i="7" s="1"/>
  <c r="Q425" i="7"/>
  <c r="AK425" i="7" s="1"/>
  <c r="U428" i="7"/>
  <c r="AO433" i="7"/>
  <c r="X428" i="7"/>
  <c r="AO428" i="7" s="1"/>
  <c r="G430" i="7"/>
  <c r="J430" i="7"/>
  <c r="AG430" i="7" s="1"/>
  <c r="N431" i="7"/>
  <c r="Q431" i="7"/>
  <c r="AK431" i="7" s="1"/>
  <c r="U432" i="7"/>
  <c r="X432" i="7"/>
  <c r="AO432" i="7" s="1"/>
  <c r="G436" i="7"/>
  <c r="J436" i="7"/>
  <c r="AG436" i="7" s="1"/>
  <c r="N437" i="7"/>
  <c r="Q437" i="7"/>
  <c r="AK437" i="7" s="1"/>
  <c r="U438" i="7"/>
  <c r="X438" i="7"/>
  <c r="AO438" i="7" s="1"/>
  <c r="G442" i="7"/>
  <c r="J442" i="7"/>
  <c r="AG442" i="7" s="1"/>
  <c r="N443" i="7"/>
  <c r="Q443" i="7"/>
  <c r="AK443" i="7" s="1"/>
  <c r="U444" i="7"/>
  <c r="X444" i="7"/>
  <c r="AO444" i="7" s="1"/>
  <c r="G446" i="7"/>
  <c r="J446" i="7"/>
  <c r="AG446" i="7" s="1"/>
  <c r="N447" i="7"/>
  <c r="Q447" i="7"/>
  <c r="AK447" i="7" s="1"/>
  <c r="U448" i="7"/>
  <c r="X448" i="7"/>
  <c r="AO448" i="7" s="1"/>
  <c r="G450" i="7"/>
  <c r="J450" i="7"/>
  <c r="AG450" i="7" s="1"/>
  <c r="N451" i="7"/>
  <c r="Q451" i="7"/>
  <c r="AK451" i="7" s="1"/>
  <c r="U452" i="7"/>
  <c r="X452" i="7"/>
  <c r="AO452" i="7" s="1"/>
  <c r="L417" i="7"/>
  <c r="AH417" i="7" s="1"/>
  <c r="Z417" i="7"/>
  <c r="AP417" i="7" s="1"/>
  <c r="S420" i="7"/>
  <c r="AL420" i="7" s="1"/>
  <c r="L421" i="7"/>
  <c r="AH421" i="7" s="1"/>
  <c r="Z421" i="7"/>
  <c r="AP421" i="7" s="1"/>
  <c r="S422" i="7"/>
  <c r="AL422" i="7" s="1"/>
  <c r="L423" i="7"/>
  <c r="AH423" i="7" s="1"/>
  <c r="Z423" i="7"/>
  <c r="AP423" i="7" s="1"/>
  <c r="S424" i="7"/>
  <c r="AL424" i="7" s="1"/>
  <c r="L425" i="7"/>
  <c r="AH425" i="7" s="1"/>
  <c r="Z425" i="7"/>
  <c r="AP425" i="7" s="1"/>
  <c r="S428" i="7"/>
  <c r="L429" i="7"/>
  <c r="AH429" i="7" s="1"/>
  <c r="Z429" i="7"/>
  <c r="AP429" i="7" s="1"/>
  <c r="S430" i="7"/>
  <c r="AL430" i="7" s="1"/>
  <c r="L431" i="7"/>
  <c r="AH431" i="7" s="1"/>
  <c r="Z431" i="7"/>
  <c r="AP431" i="7" s="1"/>
  <c r="S432" i="7"/>
  <c r="AL432" i="7" s="1"/>
  <c r="L435" i="7"/>
  <c r="AH435" i="7" s="1"/>
  <c r="Z435" i="7"/>
  <c r="AP435" i="7" s="1"/>
  <c r="S436" i="7"/>
  <c r="AL436" i="7" s="1"/>
  <c r="L437" i="7"/>
  <c r="AH437" i="7" s="1"/>
  <c r="Z437" i="7"/>
  <c r="AP437" i="7" s="1"/>
  <c r="S438" i="7"/>
  <c r="AL438" i="7" s="1"/>
  <c r="L439" i="7"/>
  <c r="AH439" i="7" s="1"/>
  <c r="AH440" i="7"/>
  <c r="Z439" i="7"/>
  <c r="AP439" i="7" s="1"/>
  <c r="AP440" i="7"/>
  <c r="S442" i="7"/>
  <c r="AL442" i="7" s="1"/>
  <c r="L443" i="7"/>
  <c r="AH443" i="7" s="1"/>
  <c r="Z443" i="7"/>
  <c r="AP443" i="7" s="1"/>
  <c r="S444" i="7"/>
  <c r="AL444" i="7" s="1"/>
  <c r="L445" i="7"/>
  <c r="AH445" i="7" s="1"/>
  <c r="Z445" i="7"/>
  <c r="AP445" i="7" s="1"/>
  <c r="S446" i="7"/>
  <c r="AL446" i="7" s="1"/>
  <c r="L447" i="7"/>
  <c r="AH447" i="7" s="1"/>
  <c r="Z447" i="7"/>
  <c r="AP447" i="7" s="1"/>
  <c r="S448" i="7"/>
  <c r="AL448" i="7" s="1"/>
  <c r="L449" i="7"/>
  <c r="AH449" i="7" s="1"/>
  <c r="Z449" i="7"/>
  <c r="AP449" i="7" s="1"/>
  <c r="S450" i="7"/>
  <c r="AL450" i="7" s="1"/>
  <c r="L451" i="7"/>
  <c r="AH451" i="7" s="1"/>
  <c r="Z451" i="7"/>
  <c r="AP451" i="7" s="1"/>
  <c r="S452" i="7"/>
  <c r="AL452" i="7" s="1"/>
  <c r="G15" i="6"/>
  <c r="J15" i="6"/>
  <c r="AG15" i="6" s="1"/>
  <c r="AP149" i="5"/>
  <c r="Z144" i="5"/>
  <c r="AP144" i="5" s="1"/>
  <c r="AP250" i="5"/>
  <c r="Z245" i="5"/>
  <c r="AP245" i="5" s="1"/>
  <c r="AH311" i="5"/>
  <c r="L305" i="5"/>
  <c r="AH305" i="5" s="1"/>
  <c r="AP311" i="5"/>
  <c r="Z305" i="5"/>
  <c r="AP305" i="5" s="1"/>
  <c r="AP319" i="5"/>
  <c r="Z313" i="5"/>
  <c r="AP313" i="5" s="1"/>
  <c r="AH327" i="5"/>
  <c r="L321" i="5"/>
  <c r="AH321" i="5" s="1"/>
  <c r="AP335" i="5"/>
  <c r="Z329" i="5"/>
  <c r="AP329" i="5" s="1"/>
  <c r="L337" i="5"/>
  <c r="AH337" i="5" s="1"/>
  <c r="AH343" i="5"/>
  <c r="AP351" i="5"/>
  <c r="Z345" i="5"/>
  <c r="AP345" i="5" s="1"/>
  <c r="AH359" i="5"/>
  <c r="L353" i="5"/>
  <c r="AH353" i="5" s="1"/>
  <c r="AP359" i="5"/>
  <c r="Z353" i="5"/>
  <c r="AP353" i="5" s="1"/>
  <c r="AH367" i="5"/>
  <c r="L361" i="5"/>
  <c r="AH361" i="5" s="1"/>
  <c r="AP383" i="5"/>
  <c r="Z377" i="5"/>
  <c r="AP377" i="5" s="1"/>
  <c r="AH433" i="5"/>
  <c r="L428" i="5"/>
  <c r="AH428" i="5" s="1"/>
  <c r="L295" i="5"/>
  <c r="AH295" i="5" s="1"/>
  <c r="L261" i="5"/>
  <c r="AH261" i="5" s="1"/>
  <c r="L218" i="5"/>
  <c r="AH218" i="5" s="1"/>
  <c r="L206" i="5"/>
  <c r="AH206" i="5" s="1"/>
  <c r="L232" i="5"/>
  <c r="AH232" i="5" s="1"/>
  <c r="L148" i="5"/>
  <c r="AH148" i="5" s="1"/>
  <c r="L125" i="5"/>
  <c r="AH125" i="5" s="1"/>
  <c r="L107" i="5"/>
  <c r="AH107" i="5" s="1"/>
  <c r="L191" i="5"/>
  <c r="AH191" i="5" s="1"/>
  <c r="L172" i="5"/>
  <c r="AH172" i="5" s="1"/>
  <c r="L51" i="5"/>
  <c r="AH51" i="5" s="1"/>
  <c r="L35" i="5"/>
  <c r="AH35" i="5" s="1"/>
  <c r="L19" i="5"/>
  <c r="AH19" i="5" s="1"/>
  <c r="L270" i="5"/>
  <c r="AH270" i="5" s="1"/>
  <c r="L249" i="5"/>
  <c r="AH249" i="5" s="1"/>
  <c r="L199" i="5"/>
  <c r="AH199" i="5" s="1"/>
  <c r="L241" i="5"/>
  <c r="AH241" i="5" s="1"/>
  <c r="L212" i="5"/>
  <c r="AH212" i="5" s="1"/>
  <c r="L115" i="5"/>
  <c r="AH115" i="5" s="1"/>
  <c r="L179" i="5"/>
  <c r="AH179" i="5" s="1"/>
  <c r="L74" i="5"/>
  <c r="AH74" i="5" s="1"/>
  <c r="L44" i="5"/>
  <c r="AH44" i="5" s="1"/>
  <c r="L27" i="5"/>
  <c r="AC7" i="5"/>
  <c r="Q16" i="3"/>
  <c r="AK16" i="3" s="1"/>
  <c r="N16" i="3"/>
  <c r="O16" i="3" s="1"/>
  <c r="AM16" i="3" s="1"/>
  <c r="L24" i="3"/>
  <c r="AH24" i="3" s="1"/>
  <c r="G31" i="3"/>
  <c r="J31" i="3"/>
  <c r="AG31" i="3" s="1"/>
  <c r="G38" i="3"/>
  <c r="J38" i="3"/>
  <c r="AG38" i="3" s="1"/>
  <c r="G42" i="3"/>
  <c r="J42" i="3"/>
  <c r="AG42" i="3" s="1"/>
  <c r="G49" i="3"/>
  <c r="J49" i="3"/>
  <c r="AG49" i="3" s="1"/>
  <c r="G56" i="3"/>
  <c r="J56" i="3"/>
  <c r="AG56" i="3" s="1"/>
  <c r="G60" i="3"/>
  <c r="J60" i="3"/>
  <c r="AG60" i="3" s="1"/>
  <c r="G64" i="3"/>
  <c r="J64" i="3"/>
  <c r="AG64" i="3" s="1"/>
  <c r="G71" i="3"/>
  <c r="J71" i="3"/>
  <c r="AG71" i="3" s="1"/>
  <c r="G79" i="3"/>
  <c r="J79" i="3"/>
  <c r="AG79" i="3" s="1"/>
  <c r="G83" i="3"/>
  <c r="J83" i="3"/>
  <c r="AG83" i="3" s="1"/>
  <c r="G87" i="3"/>
  <c r="J87" i="3"/>
  <c r="AG87" i="3" s="1"/>
  <c r="G94" i="3"/>
  <c r="J94" i="3"/>
  <c r="AG94" i="3" s="1"/>
  <c r="G98" i="3"/>
  <c r="J98" i="3"/>
  <c r="AG98" i="3" s="1"/>
  <c r="G105" i="3"/>
  <c r="J105" i="3"/>
  <c r="AG105" i="3" s="1"/>
  <c r="G113" i="3"/>
  <c r="J113" i="3"/>
  <c r="AG113" i="3" s="1"/>
  <c r="G123" i="3"/>
  <c r="J123" i="3"/>
  <c r="AG123" i="3" s="1"/>
  <c r="G132" i="3"/>
  <c r="J132" i="3"/>
  <c r="AG132" i="3" s="1"/>
  <c r="G136" i="3"/>
  <c r="J136" i="3"/>
  <c r="AG136" i="3" s="1"/>
  <c r="G140" i="3"/>
  <c r="J140" i="3"/>
  <c r="AG140" i="3" s="1"/>
  <c r="G147" i="3"/>
  <c r="J147" i="3"/>
  <c r="AG147" i="3" s="1"/>
  <c r="G156" i="3"/>
  <c r="J156" i="3"/>
  <c r="AG156" i="3" s="1"/>
  <c r="G160" i="3"/>
  <c r="J160" i="3"/>
  <c r="AG160" i="3" s="1"/>
  <c r="G164" i="3"/>
  <c r="J164" i="3"/>
  <c r="AG164" i="3" s="1"/>
  <c r="G171" i="3"/>
  <c r="J171" i="3"/>
  <c r="AG171" i="3" s="1"/>
  <c r="G178" i="3"/>
  <c r="J178" i="3"/>
  <c r="AG178" i="3" s="1"/>
  <c r="G185" i="3"/>
  <c r="J185" i="3"/>
  <c r="AG185" i="3" s="1"/>
  <c r="G189" i="3"/>
  <c r="J189" i="3"/>
  <c r="AG189" i="3" s="1"/>
  <c r="G197" i="3"/>
  <c r="J197" i="3"/>
  <c r="AG197" i="3" s="1"/>
  <c r="G204" i="3"/>
  <c r="J204" i="3"/>
  <c r="AG204" i="3" s="1"/>
  <c r="G211" i="3"/>
  <c r="J211" i="3"/>
  <c r="AG211" i="3" s="1"/>
  <c r="G222" i="3"/>
  <c r="J222" i="3"/>
  <c r="AG222" i="3" s="1"/>
  <c r="G226" i="3"/>
  <c r="J226" i="3"/>
  <c r="AG226" i="3" s="1"/>
  <c r="G230" i="3"/>
  <c r="J230" i="3"/>
  <c r="AG230" i="3" s="1"/>
  <c r="G237" i="3"/>
  <c r="J237" i="3"/>
  <c r="AG237" i="3" s="1"/>
  <c r="G244" i="3"/>
  <c r="J244" i="3"/>
  <c r="AG244" i="3" s="1"/>
  <c r="G248" i="3"/>
  <c r="J248" i="3"/>
  <c r="AG248" i="3" s="1"/>
  <c r="G255" i="3"/>
  <c r="J255" i="3"/>
  <c r="AG255" i="3" s="1"/>
  <c r="G259" i="3"/>
  <c r="J259" i="3"/>
  <c r="AG259" i="3" s="1"/>
  <c r="G266" i="3"/>
  <c r="J266" i="3"/>
  <c r="AG266" i="3" s="1"/>
  <c r="G273" i="3"/>
  <c r="J273" i="3"/>
  <c r="AG273" i="3" s="1"/>
  <c r="G277" i="3"/>
  <c r="J277" i="3"/>
  <c r="AG277" i="3" s="1"/>
  <c r="G279" i="3"/>
  <c r="J279" i="3"/>
  <c r="AG279" i="3" s="1"/>
  <c r="G281" i="3"/>
  <c r="J281" i="3"/>
  <c r="AG281" i="3" s="1"/>
  <c r="G283" i="3"/>
  <c r="J283" i="3"/>
  <c r="AG283" i="3" s="1"/>
  <c r="G290" i="3"/>
  <c r="AG296" i="3"/>
  <c r="J290" i="3"/>
  <c r="AG290" i="3" s="1"/>
  <c r="G294" i="3"/>
  <c r="J294" i="3"/>
  <c r="AG294" i="3" s="1"/>
  <c r="L16" i="5"/>
  <c r="AH16" i="5" s="1"/>
  <c r="L31" i="5"/>
  <c r="AH31" i="5" s="1"/>
  <c r="L42" i="5"/>
  <c r="AH42" i="5" s="1"/>
  <c r="AP52" i="5"/>
  <c r="Z47" i="5"/>
  <c r="AP47" i="5" s="1"/>
  <c r="L56" i="5"/>
  <c r="AH56" i="5" s="1"/>
  <c r="L64" i="5"/>
  <c r="AH64" i="5" s="1"/>
  <c r="L71" i="5"/>
  <c r="AH71" i="5" s="1"/>
  <c r="L83" i="5"/>
  <c r="AH83" i="5" s="1"/>
  <c r="L94" i="5"/>
  <c r="AH94" i="5" s="1"/>
  <c r="L98" i="5"/>
  <c r="AH98" i="5" s="1"/>
  <c r="L105" i="5"/>
  <c r="AH105" i="5" s="1"/>
  <c r="AP116" i="5"/>
  <c r="Z111" i="5"/>
  <c r="AP111" i="5" s="1"/>
  <c r="L113" i="5"/>
  <c r="AH113" i="5" s="1"/>
  <c r="AP126" i="5"/>
  <c r="Z121" i="5"/>
  <c r="AP121" i="5" s="1"/>
  <c r="L123" i="5"/>
  <c r="AH123" i="5" s="1"/>
  <c r="L131" i="5"/>
  <c r="AH131" i="5" s="1"/>
  <c r="Q15" i="5"/>
  <c r="AK15" i="5" s="1"/>
  <c r="N15" i="5"/>
  <c r="O15" i="5" s="1"/>
  <c r="AM15" i="5" s="1"/>
  <c r="J16" i="5"/>
  <c r="AG16" i="5" s="1"/>
  <c r="G16" i="5"/>
  <c r="X16" i="5"/>
  <c r="AO16" i="5" s="1"/>
  <c r="U16" i="5"/>
  <c r="N17" i="5"/>
  <c r="Q17" i="5"/>
  <c r="AK17" i="5" s="1"/>
  <c r="J18" i="5"/>
  <c r="AG18" i="5" s="1"/>
  <c r="G18" i="5"/>
  <c r="X18" i="5"/>
  <c r="AO18" i="5" s="1"/>
  <c r="U18" i="5"/>
  <c r="N23" i="5"/>
  <c r="Q23" i="5"/>
  <c r="AK23" i="5" s="1"/>
  <c r="G24" i="5"/>
  <c r="J24" i="5"/>
  <c r="AG24" i="5" s="1"/>
  <c r="U24" i="5"/>
  <c r="V24" i="5" s="1"/>
  <c r="AQ24" i="5" s="1"/>
  <c r="X24" i="5"/>
  <c r="AO24" i="5" s="1"/>
  <c r="N25" i="5"/>
  <c r="Q25" i="5"/>
  <c r="AK25" i="5" s="1"/>
  <c r="G26" i="5"/>
  <c r="J26" i="5"/>
  <c r="AG26" i="5" s="1"/>
  <c r="X26" i="5"/>
  <c r="AO26" i="5" s="1"/>
  <c r="U26" i="5"/>
  <c r="N30" i="5"/>
  <c r="Q30" i="5"/>
  <c r="AK30" i="5" s="1"/>
  <c r="G31" i="5"/>
  <c r="J31" i="5"/>
  <c r="AG31" i="5" s="1"/>
  <c r="U31" i="5"/>
  <c r="V31" i="5" s="1"/>
  <c r="AQ31" i="5" s="1"/>
  <c r="X31" i="5"/>
  <c r="AO31" i="5" s="1"/>
  <c r="N32" i="5"/>
  <c r="Q32" i="5"/>
  <c r="AK32" i="5" s="1"/>
  <c r="J33" i="5"/>
  <c r="AG33" i="5" s="1"/>
  <c r="G33" i="5"/>
  <c r="X33" i="5"/>
  <c r="AO33" i="5" s="1"/>
  <c r="U33" i="5"/>
  <c r="N34" i="5"/>
  <c r="Q34" i="5"/>
  <c r="AK34" i="5" s="1"/>
  <c r="G38" i="5"/>
  <c r="J38" i="5"/>
  <c r="AG38" i="5" s="1"/>
  <c r="U38" i="5"/>
  <c r="V38" i="5" s="1"/>
  <c r="AQ38" i="5" s="1"/>
  <c r="X38" i="5"/>
  <c r="AO38" i="5" s="1"/>
  <c r="N39" i="5"/>
  <c r="Q39" i="5"/>
  <c r="AK39" i="5" s="1"/>
  <c r="G40" i="5"/>
  <c r="J40" i="5"/>
  <c r="AG40" i="5" s="1"/>
  <c r="U40" i="5"/>
  <c r="V40" i="5" s="1"/>
  <c r="AQ40" i="5" s="1"/>
  <c r="X40" i="5"/>
  <c r="AO40" i="5" s="1"/>
  <c r="N41" i="5"/>
  <c r="Q41" i="5"/>
  <c r="AK41" i="5" s="1"/>
  <c r="G42" i="5"/>
  <c r="J42" i="5"/>
  <c r="AG42" i="5" s="1"/>
  <c r="U42" i="5"/>
  <c r="V42" i="5" s="1"/>
  <c r="AQ42" i="5" s="1"/>
  <c r="X42" i="5"/>
  <c r="AO42" i="5" s="1"/>
  <c r="N43" i="5"/>
  <c r="Q43" i="5"/>
  <c r="AK43" i="5" s="1"/>
  <c r="AG52" i="5"/>
  <c r="G47" i="5"/>
  <c r="J47" i="5"/>
  <c r="AG47" i="5" s="1"/>
  <c r="AO52" i="5"/>
  <c r="U47" i="5"/>
  <c r="X47" i="5"/>
  <c r="AO47" i="5" s="1"/>
  <c r="N48" i="5"/>
  <c r="Q48" i="5"/>
  <c r="AK48" i="5" s="1"/>
  <c r="G49" i="5"/>
  <c r="J49" i="5"/>
  <c r="AG49" i="5" s="1"/>
  <c r="U49" i="5"/>
  <c r="V49" i="5" s="1"/>
  <c r="AQ49" i="5" s="1"/>
  <c r="X49" i="5"/>
  <c r="AO49" i="5" s="1"/>
  <c r="N50" i="5"/>
  <c r="Q50" i="5"/>
  <c r="AK50" i="5" s="1"/>
  <c r="G54" i="5"/>
  <c r="J54" i="5"/>
  <c r="AG54" i="5" s="1"/>
  <c r="U54" i="5"/>
  <c r="V54" i="5" s="1"/>
  <c r="AQ54" i="5" s="1"/>
  <c r="X54" i="5"/>
  <c r="AO54" i="5" s="1"/>
  <c r="N55" i="5"/>
  <c r="Q55" i="5"/>
  <c r="AK55" i="5" s="1"/>
  <c r="G56" i="5"/>
  <c r="J56" i="5"/>
  <c r="AG56" i="5" s="1"/>
  <c r="U56" i="5"/>
  <c r="V56" i="5" s="1"/>
  <c r="AQ56" i="5" s="1"/>
  <c r="X56" i="5"/>
  <c r="AO56" i="5" s="1"/>
  <c r="N57" i="5"/>
  <c r="Q57" i="5"/>
  <c r="AK57" i="5" s="1"/>
  <c r="G58" i="5"/>
  <c r="J58" i="5"/>
  <c r="AG58" i="5" s="1"/>
  <c r="U58" i="5"/>
  <c r="V58" i="5" s="1"/>
  <c r="AQ58" i="5" s="1"/>
  <c r="X58" i="5"/>
  <c r="AO58" i="5" s="1"/>
  <c r="N59" i="5"/>
  <c r="Q59" i="5"/>
  <c r="AK59" i="5" s="1"/>
  <c r="G60" i="5"/>
  <c r="J60" i="5"/>
  <c r="AG60" i="5" s="1"/>
  <c r="U60" i="5"/>
  <c r="V60" i="5" s="1"/>
  <c r="AQ60" i="5" s="1"/>
  <c r="X60" i="5"/>
  <c r="AO60" i="5" s="1"/>
  <c r="N61" i="5"/>
  <c r="Q61" i="5"/>
  <c r="AK61" i="5" s="1"/>
  <c r="G62" i="5"/>
  <c r="J62" i="5"/>
  <c r="AG62" i="5" s="1"/>
  <c r="U62" i="5"/>
  <c r="V62" i="5" s="1"/>
  <c r="AQ62" i="5" s="1"/>
  <c r="X62" i="5"/>
  <c r="AO62" i="5" s="1"/>
  <c r="N63" i="5"/>
  <c r="Q63" i="5"/>
  <c r="AK63" i="5" s="1"/>
  <c r="G64" i="5"/>
  <c r="J64" i="5"/>
  <c r="AG64" i="5" s="1"/>
  <c r="U64" i="5"/>
  <c r="V64" i="5" s="1"/>
  <c r="AQ64" i="5" s="1"/>
  <c r="X64" i="5"/>
  <c r="AO64" i="5" s="1"/>
  <c r="N68" i="5"/>
  <c r="Q68" i="5"/>
  <c r="AK68" i="5" s="1"/>
  <c r="G69" i="5"/>
  <c r="J69" i="5"/>
  <c r="AG69" i="5" s="1"/>
  <c r="U69" i="5"/>
  <c r="V69" i="5" s="1"/>
  <c r="AQ69" i="5" s="1"/>
  <c r="X69" i="5"/>
  <c r="AO69" i="5" s="1"/>
  <c r="N70" i="5"/>
  <c r="Q70" i="5"/>
  <c r="AK70" i="5" s="1"/>
  <c r="G71" i="5"/>
  <c r="J71" i="5"/>
  <c r="AG71" i="5" s="1"/>
  <c r="U71" i="5"/>
  <c r="V71" i="5" s="1"/>
  <c r="AQ71" i="5" s="1"/>
  <c r="X71" i="5"/>
  <c r="AO71" i="5" s="1"/>
  <c r="N72" i="5"/>
  <c r="Q72" i="5"/>
  <c r="AK72" i="5" s="1"/>
  <c r="G73" i="5"/>
  <c r="J73" i="5"/>
  <c r="AG73" i="5" s="1"/>
  <c r="U73" i="5"/>
  <c r="V73" i="5" s="1"/>
  <c r="AQ73" i="5" s="1"/>
  <c r="X73" i="5"/>
  <c r="AO73" i="5" s="1"/>
  <c r="N78" i="5"/>
  <c r="Q78" i="5"/>
  <c r="AK78" i="5" s="1"/>
  <c r="G79" i="5"/>
  <c r="J79" i="5"/>
  <c r="AG79" i="5" s="1"/>
  <c r="U79" i="5"/>
  <c r="V79" i="5" s="1"/>
  <c r="AQ79" i="5" s="1"/>
  <c r="X79" i="5"/>
  <c r="AO79" i="5" s="1"/>
  <c r="Q80" i="5"/>
  <c r="AK80" i="5" s="1"/>
  <c r="N80" i="5"/>
  <c r="O80" i="5" s="1"/>
  <c r="AM80" i="5" s="1"/>
  <c r="G81" i="5"/>
  <c r="J81" i="5"/>
  <c r="AG81" i="5" s="1"/>
  <c r="U81" i="5"/>
  <c r="V81" i="5" s="1"/>
  <c r="AQ81" i="5" s="1"/>
  <c r="X81" i="5"/>
  <c r="AO81" i="5" s="1"/>
  <c r="N82" i="5"/>
  <c r="Q82" i="5"/>
  <c r="AK82" i="5" s="1"/>
  <c r="G83" i="5"/>
  <c r="J83" i="5"/>
  <c r="AG83" i="5" s="1"/>
  <c r="U83" i="5"/>
  <c r="V83" i="5" s="1"/>
  <c r="AQ83" i="5" s="1"/>
  <c r="X83" i="5"/>
  <c r="AO83" i="5" s="1"/>
  <c r="Q84" i="5"/>
  <c r="AK84" i="5" s="1"/>
  <c r="N84" i="5"/>
  <c r="O84" i="5" s="1"/>
  <c r="AM84" i="5" s="1"/>
  <c r="G85" i="5"/>
  <c r="J85" i="5"/>
  <c r="AG85" i="5" s="1"/>
  <c r="U85" i="5"/>
  <c r="V85" i="5" s="1"/>
  <c r="AQ85" i="5" s="1"/>
  <c r="X85" i="5"/>
  <c r="AO85" i="5" s="1"/>
  <c r="N86" i="5"/>
  <c r="Q86" i="5"/>
  <c r="AK86" i="5" s="1"/>
  <c r="G87" i="5"/>
  <c r="J87" i="5"/>
  <c r="AG87" i="5" s="1"/>
  <c r="U87" i="5"/>
  <c r="V87" i="5" s="1"/>
  <c r="AQ87" i="5" s="1"/>
  <c r="X87" i="5"/>
  <c r="AO87" i="5" s="1"/>
  <c r="N88" i="5"/>
  <c r="Q88" i="5"/>
  <c r="AK88" i="5" s="1"/>
  <c r="G92" i="5"/>
  <c r="J92" i="5"/>
  <c r="AG92" i="5" s="1"/>
  <c r="U92" i="5"/>
  <c r="V92" i="5" s="1"/>
  <c r="AQ92" i="5" s="1"/>
  <c r="X92" i="5"/>
  <c r="AO92" i="5" s="1"/>
  <c r="N93" i="5"/>
  <c r="Q93" i="5"/>
  <c r="AK93" i="5" s="1"/>
  <c r="G94" i="5"/>
  <c r="J94" i="5"/>
  <c r="AG94" i="5" s="1"/>
  <c r="U94" i="5"/>
  <c r="V94" i="5" s="1"/>
  <c r="AQ94" i="5" s="1"/>
  <c r="X94" i="5"/>
  <c r="AO94" i="5" s="1"/>
  <c r="N95" i="5"/>
  <c r="Q95" i="5"/>
  <c r="AK95" i="5" s="1"/>
  <c r="G96" i="5"/>
  <c r="J96" i="5"/>
  <c r="AG96" i="5" s="1"/>
  <c r="U96" i="5"/>
  <c r="V96" i="5" s="1"/>
  <c r="AQ96" i="5" s="1"/>
  <c r="X96" i="5"/>
  <c r="AO96" i="5" s="1"/>
  <c r="N97" i="5"/>
  <c r="Q97" i="5"/>
  <c r="AK97" i="5" s="1"/>
  <c r="G98" i="5"/>
  <c r="J98" i="5"/>
  <c r="AG98" i="5" s="1"/>
  <c r="U98" i="5"/>
  <c r="V98" i="5" s="1"/>
  <c r="AQ98" i="5" s="1"/>
  <c r="X98" i="5"/>
  <c r="AO98" i="5" s="1"/>
  <c r="N99" i="5"/>
  <c r="Q99" i="5"/>
  <c r="AK99" i="5" s="1"/>
  <c r="AG108" i="5"/>
  <c r="G103" i="5"/>
  <c r="J103" i="5"/>
  <c r="AG103" i="5" s="1"/>
  <c r="AO108" i="5"/>
  <c r="U103" i="5"/>
  <c r="X103" i="5"/>
  <c r="AO103" i="5" s="1"/>
  <c r="N104" i="5"/>
  <c r="Q104" i="5"/>
  <c r="AK104" i="5" s="1"/>
  <c r="G105" i="5"/>
  <c r="J105" i="5"/>
  <c r="AG105" i="5" s="1"/>
  <c r="U105" i="5"/>
  <c r="V105" i="5" s="1"/>
  <c r="AQ105" i="5" s="1"/>
  <c r="X105" i="5"/>
  <c r="AO105" i="5" s="1"/>
  <c r="N106" i="5"/>
  <c r="Q106" i="5"/>
  <c r="AK106" i="5" s="1"/>
  <c r="AG116" i="5"/>
  <c r="G111" i="5"/>
  <c r="J111" i="5"/>
  <c r="AG111" i="5" s="1"/>
  <c r="AO116" i="5"/>
  <c r="U111" i="5"/>
  <c r="X111" i="5"/>
  <c r="AO111" i="5" s="1"/>
  <c r="N112" i="5"/>
  <c r="Q112" i="5"/>
  <c r="AK112" i="5" s="1"/>
  <c r="G113" i="5"/>
  <c r="J113" i="5"/>
  <c r="AG113" i="5" s="1"/>
  <c r="U113" i="5"/>
  <c r="V113" i="5" s="1"/>
  <c r="AQ113" i="5" s="1"/>
  <c r="X113" i="5"/>
  <c r="AO113" i="5" s="1"/>
  <c r="N114" i="5"/>
  <c r="Q114" i="5"/>
  <c r="AK114" i="5" s="1"/>
  <c r="AG126" i="5"/>
  <c r="G121" i="5"/>
  <c r="J121" i="5"/>
  <c r="AG121" i="5" s="1"/>
  <c r="AO126" i="5"/>
  <c r="U121" i="5"/>
  <c r="X121" i="5"/>
  <c r="AO121" i="5" s="1"/>
  <c r="N122" i="5"/>
  <c r="Q122" i="5"/>
  <c r="AK122" i="5" s="1"/>
  <c r="G123" i="5"/>
  <c r="J123" i="5"/>
  <c r="AG123" i="5" s="1"/>
  <c r="U123" i="5"/>
  <c r="V123" i="5" s="1"/>
  <c r="AQ123" i="5" s="1"/>
  <c r="X123" i="5"/>
  <c r="AO123" i="5" s="1"/>
  <c r="N124" i="5"/>
  <c r="Q124" i="5"/>
  <c r="AK124" i="5" s="1"/>
  <c r="G130" i="5"/>
  <c r="J130" i="5"/>
  <c r="AG130" i="5" s="1"/>
  <c r="U130" i="5"/>
  <c r="V130" i="5" s="1"/>
  <c r="AQ130" i="5" s="1"/>
  <c r="X130" i="5"/>
  <c r="AO130" i="5" s="1"/>
  <c r="N131" i="5"/>
  <c r="Q131" i="5"/>
  <c r="AK131" i="5" s="1"/>
  <c r="J132" i="5"/>
  <c r="AG132" i="5" s="1"/>
  <c r="G132" i="5"/>
  <c r="U132" i="5"/>
  <c r="V132" i="5" s="1"/>
  <c r="AQ132" i="5" s="1"/>
  <c r="X132" i="5"/>
  <c r="AO132" i="5" s="1"/>
  <c r="N133" i="5"/>
  <c r="Q133" i="5"/>
  <c r="AK133" i="5" s="1"/>
  <c r="G134" i="5"/>
  <c r="J134" i="5"/>
  <c r="AG134" i="5" s="1"/>
  <c r="U134" i="5"/>
  <c r="V134" i="5" s="1"/>
  <c r="AQ134" i="5" s="1"/>
  <c r="X134" i="5"/>
  <c r="AO134" i="5" s="1"/>
  <c r="N135" i="5"/>
  <c r="Q135" i="5"/>
  <c r="AK135" i="5" s="1"/>
  <c r="G136" i="5"/>
  <c r="J136" i="5"/>
  <c r="AG136" i="5" s="1"/>
  <c r="U136" i="5"/>
  <c r="V136" i="5" s="1"/>
  <c r="AQ136" i="5" s="1"/>
  <c r="X136" i="5"/>
  <c r="AO136" i="5" s="1"/>
  <c r="N137" i="5"/>
  <c r="Q137" i="5"/>
  <c r="AK137" i="5" s="1"/>
  <c r="G138" i="5"/>
  <c r="J138" i="5"/>
  <c r="AG138" i="5" s="1"/>
  <c r="U138" i="5"/>
  <c r="V138" i="5" s="1"/>
  <c r="AQ138" i="5" s="1"/>
  <c r="X138" i="5"/>
  <c r="AO138" i="5" s="1"/>
  <c r="Q139" i="5"/>
  <c r="AK139" i="5" s="1"/>
  <c r="N139" i="5"/>
  <c r="O139" i="5" s="1"/>
  <c r="AM139" i="5" s="1"/>
  <c r="J140" i="5"/>
  <c r="AG140" i="5" s="1"/>
  <c r="G140" i="5"/>
  <c r="U140" i="5"/>
  <c r="V140" i="5" s="1"/>
  <c r="AQ140" i="5" s="1"/>
  <c r="X140" i="5"/>
  <c r="AO140" i="5" s="1"/>
  <c r="N144" i="5"/>
  <c r="AK149" i="5"/>
  <c r="Q144" i="5"/>
  <c r="AK144" i="5" s="1"/>
  <c r="G145" i="5"/>
  <c r="J145" i="5"/>
  <c r="AG145" i="5" s="1"/>
  <c r="U145" i="5"/>
  <c r="X145" i="5"/>
  <c r="AO145" i="5" s="1"/>
  <c r="N146" i="5"/>
  <c r="O146" i="5" s="1"/>
  <c r="AM146" i="5" s="1"/>
  <c r="Q146" i="5"/>
  <c r="AK146" i="5" s="1"/>
  <c r="G147" i="5"/>
  <c r="J147" i="5"/>
  <c r="AG147" i="5" s="1"/>
  <c r="U147" i="5"/>
  <c r="X147" i="5"/>
  <c r="AO147" i="5" s="1"/>
  <c r="N153" i="5"/>
  <c r="O153" i="5" s="1"/>
  <c r="AM153" i="5" s="1"/>
  <c r="Q153" i="5"/>
  <c r="AK153" i="5" s="1"/>
  <c r="G154" i="5"/>
  <c r="J154" i="5"/>
  <c r="AG154" i="5" s="1"/>
  <c r="U154" i="5"/>
  <c r="X154" i="5"/>
  <c r="AO154" i="5" s="1"/>
  <c r="N155" i="5"/>
  <c r="O155" i="5" s="1"/>
  <c r="AM155" i="5" s="1"/>
  <c r="Q155" i="5"/>
  <c r="AK155" i="5" s="1"/>
  <c r="G156" i="5"/>
  <c r="J156" i="5"/>
  <c r="AG156" i="5" s="1"/>
  <c r="U156" i="5"/>
  <c r="X156" i="5"/>
  <c r="AO156" i="5" s="1"/>
  <c r="N157" i="5"/>
  <c r="O157" i="5" s="1"/>
  <c r="AM157" i="5" s="1"/>
  <c r="Q157" i="5"/>
  <c r="AK157" i="5" s="1"/>
  <c r="G158" i="5"/>
  <c r="J158" i="5"/>
  <c r="AG158" i="5" s="1"/>
  <c r="U158" i="5"/>
  <c r="X158" i="5"/>
  <c r="AO158" i="5" s="1"/>
  <c r="N159" i="5"/>
  <c r="O159" i="5" s="1"/>
  <c r="AM159" i="5" s="1"/>
  <c r="Q159" i="5"/>
  <c r="AK159" i="5" s="1"/>
  <c r="G160" i="5"/>
  <c r="J160" i="5"/>
  <c r="AG160" i="5" s="1"/>
  <c r="U160" i="5"/>
  <c r="X160" i="5"/>
  <c r="AO160" i="5" s="1"/>
  <c r="N161" i="5"/>
  <c r="O161" i="5" s="1"/>
  <c r="AM161" i="5" s="1"/>
  <c r="Q161" i="5"/>
  <c r="AK161" i="5" s="1"/>
  <c r="G162" i="5"/>
  <c r="J162" i="5"/>
  <c r="AG162" i="5" s="1"/>
  <c r="U162" i="5"/>
  <c r="X162" i="5"/>
  <c r="AO162" i="5" s="1"/>
  <c r="N163" i="5"/>
  <c r="O163" i="5" s="1"/>
  <c r="AM163" i="5" s="1"/>
  <c r="Q163" i="5"/>
  <c r="AK163" i="5" s="1"/>
  <c r="G164" i="5"/>
  <c r="J164" i="5"/>
  <c r="AG164" i="5" s="1"/>
  <c r="U164" i="5"/>
  <c r="X164" i="5"/>
  <c r="AO164" i="5" s="1"/>
  <c r="N168" i="5"/>
  <c r="O168" i="5" s="1"/>
  <c r="AM168" i="5" s="1"/>
  <c r="Q168" i="5"/>
  <c r="AK168" i="5" s="1"/>
  <c r="G169" i="5"/>
  <c r="J169" i="5"/>
  <c r="AG169" i="5" s="1"/>
  <c r="U169" i="5"/>
  <c r="X169" i="5"/>
  <c r="AO169" i="5" s="1"/>
  <c r="N170" i="5"/>
  <c r="O170" i="5" s="1"/>
  <c r="AM170" i="5" s="1"/>
  <c r="Q170" i="5"/>
  <c r="AK170" i="5" s="1"/>
  <c r="G171" i="5"/>
  <c r="J171" i="5"/>
  <c r="AG171" i="5" s="1"/>
  <c r="U171" i="5"/>
  <c r="X171" i="5"/>
  <c r="AO171" i="5" s="1"/>
  <c r="N175" i="5"/>
  <c r="O175" i="5" s="1"/>
  <c r="AM175" i="5" s="1"/>
  <c r="Q175" i="5"/>
  <c r="AK175" i="5" s="1"/>
  <c r="G176" i="5"/>
  <c r="J176" i="5"/>
  <c r="AG176" i="5" s="1"/>
  <c r="U176" i="5"/>
  <c r="X176" i="5"/>
  <c r="AO176" i="5" s="1"/>
  <c r="N177" i="5"/>
  <c r="O177" i="5" s="1"/>
  <c r="AM177" i="5" s="1"/>
  <c r="Q177" i="5"/>
  <c r="AK177" i="5" s="1"/>
  <c r="G178" i="5"/>
  <c r="J178" i="5"/>
  <c r="AG178" i="5" s="1"/>
  <c r="U178" i="5"/>
  <c r="X178" i="5"/>
  <c r="AO178" i="5" s="1"/>
  <c r="N182" i="5"/>
  <c r="O182" i="5" s="1"/>
  <c r="AM182" i="5" s="1"/>
  <c r="Q182" i="5"/>
  <c r="AK182" i="5" s="1"/>
  <c r="G183" i="5"/>
  <c r="J183" i="5"/>
  <c r="AG183" i="5" s="1"/>
  <c r="U183" i="5"/>
  <c r="X183" i="5"/>
  <c r="AO183" i="5" s="1"/>
  <c r="N184" i="5"/>
  <c r="O184" i="5" s="1"/>
  <c r="AM184" i="5" s="1"/>
  <c r="Q184" i="5"/>
  <c r="AK184" i="5" s="1"/>
  <c r="G185" i="5"/>
  <c r="J185" i="5"/>
  <c r="AG185" i="5" s="1"/>
  <c r="U185" i="5"/>
  <c r="X185" i="5"/>
  <c r="AO185" i="5" s="1"/>
  <c r="N186" i="5"/>
  <c r="O186" i="5" s="1"/>
  <c r="AM186" i="5" s="1"/>
  <c r="Q186" i="5"/>
  <c r="AK186" i="5" s="1"/>
  <c r="G187" i="5"/>
  <c r="J187" i="5"/>
  <c r="AG187" i="5" s="1"/>
  <c r="U187" i="5"/>
  <c r="X187" i="5"/>
  <c r="AO187" i="5" s="1"/>
  <c r="N188" i="5"/>
  <c r="O188" i="5" s="1"/>
  <c r="AM188" i="5" s="1"/>
  <c r="Q188" i="5"/>
  <c r="AK188" i="5" s="1"/>
  <c r="G189" i="5"/>
  <c r="J189" i="5"/>
  <c r="AG189" i="5" s="1"/>
  <c r="U189" i="5"/>
  <c r="X189" i="5"/>
  <c r="AO189" i="5" s="1"/>
  <c r="N190" i="5"/>
  <c r="O190" i="5" s="1"/>
  <c r="AM190" i="5" s="1"/>
  <c r="Q190" i="5"/>
  <c r="AK190" i="5" s="1"/>
  <c r="G195" i="5"/>
  <c r="J195" i="5"/>
  <c r="AG195" i="5" s="1"/>
  <c r="U195" i="5"/>
  <c r="X195" i="5"/>
  <c r="AO195" i="5" s="1"/>
  <c r="N196" i="5"/>
  <c r="O196" i="5" s="1"/>
  <c r="AM196" i="5" s="1"/>
  <c r="Q196" i="5"/>
  <c r="AK196" i="5" s="1"/>
  <c r="G197" i="5"/>
  <c r="J197" i="5"/>
  <c r="AG197" i="5" s="1"/>
  <c r="U197" i="5"/>
  <c r="X197" i="5"/>
  <c r="AO197" i="5" s="1"/>
  <c r="N198" i="5"/>
  <c r="O198" i="5" s="1"/>
  <c r="AM198" i="5" s="1"/>
  <c r="Q198" i="5"/>
  <c r="AK198" i="5" s="1"/>
  <c r="G202" i="5"/>
  <c r="J202" i="5"/>
  <c r="AG202" i="5" s="1"/>
  <c r="U202" i="5"/>
  <c r="X202" i="5"/>
  <c r="AO202" i="5" s="1"/>
  <c r="N203" i="5"/>
  <c r="O203" i="5" s="1"/>
  <c r="AM203" i="5" s="1"/>
  <c r="Q203" i="5"/>
  <c r="AK203" i="5" s="1"/>
  <c r="G204" i="5"/>
  <c r="J204" i="5"/>
  <c r="AG204" i="5" s="1"/>
  <c r="U204" i="5"/>
  <c r="X204" i="5"/>
  <c r="AO204" i="5" s="1"/>
  <c r="N205" i="5"/>
  <c r="O205" i="5" s="1"/>
  <c r="AM205" i="5" s="1"/>
  <c r="Q205" i="5"/>
  <c r="AK205" i="5" s="1"/>
  <c r="G209" i="5"/>
  <c r="J209" i="5"/>
  <c r="AG209" i="5" s="1"/>
  <c r="U209" i="5"/>
  <c r="X209" i="5"/>
  <c r="AO209" i="5" s="1"/>
  <c r="N210" i="5"/>
  <c r="O210" i="5" s="1"/>
  <c r="AM210" i="5" s="1"/>
  <c r="Q210" i="5"/>
  <c r="AK210" i="5" s="1"/>
  <c r="G211" i="5"/>
  <c r="J211" i="5"/>
  <c r="AG211" i="5" s="1"/>
  <c r="U211" i="5"/>
  <c r="X211" i="5"/>
  <c r="AO211" i="5" s="1"/>
  <c r="N215" i="5"/>
  <c r="O215" i="5" s="1"/>
  <c r="AM215" i="5" s="1"/>
  <c r="Q215" i="5"/>
  <c r="AK215" i="5" s="1"/>
  <c r="G216" i="5"/>
  <c r="J216" i="5"/>
  <c r="AG216" i="5" s="1"/>
  <c r="U216" i="5"/>
  <c r="X216" i="5"/>
  <c r="AO216" i="5" s="1"/>
  <c r="N217" i="5"/>
  <c r="O217" i="5" s="1"/>
  <c r="AM217" i="5" s="1"/>
  <c r="Q217" i="5"/>
  <c r="AK217" i="5" s="1"/>
  <c r="G222" i="5"/>
  <c r="J222" i="5"/>
  <c r="AG222" i="5" s="1"/>
  <c r="U222" i="5"/>
  <c r="X222" i="5"/>
  <c r="AO222" i="5" s="1"/>
  <c r="N223" i="5"/>
  <c r="O223" i="5" s="1"/>
  <c r="AM223" i="5" s="1"/>
  <c r="Q223" i="5"/>
  <c r="AK223" i="5" s="1"/>
  <c r="G224" i="5"/>
  <c r="J224" i="5"/>
  <c r="AG224" i="5" s="1"/>
  <c r="U224" i="5"/>
  <c r="X224" i="5"/>
  <c r="AO224" i="5" s="1"/>
  <c r="N225" i="5"/>
  <c r="O225" i="5" s="1"/>
  <c r="AM225" i="5" s="1"/>
  <c r="Q225" i="5"/>
  <c r="AK225" i="5" s="1"/>
  <c r="G226" i="5"/>
  <c r="J226" i="5"/>
  <c r="AG226" i="5" s="1"/>
  <c r="U226" i="5"/>
  <c r="X226" i="5"/>
  <c r="AO226" i="5" s="1"/>
  <c r="N227" i="5"/>
  <c r="O227" i="5" s="1"/>
  <c r="AM227" i="5" s="1"/>
  <c r="Q227" i="5"/>
  <c r="AK227" i="5" s="1"/>
  <c r="G228" i="5"/>
  <c r="J228" i="5"/>
  <c r="AG228" i="5" s="1"/>
  <c r="U228" i="5"/>
  <c r="X228" i="5"/>
  <c r="AO228" i="5" s="1"/>
  <c r="N229" i="5"/>
  <c r="O229" i="5" s="1"/>
  <c r="AM229" i="5" s="1"/>
  <c r="Q229" i="5"/>
  <c r="AK229" i="5" s="1"/>
  <c r="G230" i="5"/>
  <c r="J230" i="5"/>
  <c r="AG230" i="5" s="1"/>
  <c r="U230" i="5"/>
  <c r="X230" i="5"/>
  <c r="AO230" i="5" s="1"/>
  <c r="N231" i="5"/>
  <c r="O231" i="5" s="1"/>
  <c r="AM231" i="5" s="1"/>
  <c r="Q231" i="5"/>
  <c r="AK231" i="5" s="1"/>
  <c r="G235" i="5"/>
  <c r="J235" i="5"/>
  <c r="AG235" i="5" s="1"/>
  <c r="U235" i="5"/>
  <c r="X235" i="5"/>
  <c r="AO235" i="5" s="1"/>
  <c r="N236" i="5"/>
  <c r="O236" i="5" s="1"/>
  <c r="AM236" i="5" s="1"/>
  <c r="Q236" i="5"/>
  <c r="AK236" i="5" s="1"/>
  <c r="G237" i="5"/>
  <c r="J237" i="5"/>
  <c r="AG237" i="5" s="1"/>
  <c r="U237" i="5"/>
  <c r="X237" i="5"/>
  <c r="AO237" i="5" s="1"/>
  <c r="N238" i="5"/>
  <c r="O238" i="5" s="1"/>
  <c r="AM238" i="5" s="1"/>
  <c r="Q238" i="5"/>
  <c r="AK238" i="5" s="1"/>
  <c r="G239" i="5"/>
  <c r="J239" i="5"/>
  <c r="AG239" i="5" s="1"/>
  <c r="U239" i="5"/>
  <c r="X239" i="5"/>
  <c r="AO239" i="5" s="1"/>
  <c r="N240" i="5"/>
  <c r="O240" i="5" s="1"/>
  <c r="AM240" i="5" s="1"/>
  <c r="Q240" i="5"/>
  <c r="AK240" i="5" s="1"/>
  <c r="G244" i="5"/>
  <c r="J244" i="5"/>
  <c r="AG244" i="5" s="1"/>
  <c r="U244" i="5"/>
  <c r="X244" i="5"/>
  <c r="AO244" i="5" s="1"/>
  <c r="AK250" i="5"/>
  <c r="N245" i="5"/>
  <c r="Q245" i="5"/>
  <c r="AK245" i="5" s="1"/>
  <c r="G246" i="5"/>
  <c r="J246" i="5"/>
  <c r="AG246" i="5" s="1"/>
  <c r="U246" i="5"/>
  <c r="V246" i="5" s="1"/>
  <c r="AQ246" i="5" s="1"/>
  <c r="X246" i="5"/>
  <c r="AO246" i="5" s="1"/>
  <c r="N247" i="5"/>
  <c r="Q247" i="5"/>
  <c r="AK247" i="5" s="1"/>
  <c r="G248" i="5"/>
  <c r="J248" i="5"/>
  <c r="AG248" i="5" s="1"/>
  <c r="U248" i="5"/>
  <c r="V248" i="5" s="1"/>
  <c r="AQ248" i="5" s="1"/>
  <c r="X248" i="5"/>
  <c r="AO248" i="5" s="1"/>
  <c r="N252" i="5"/>
  <c r="Q252" i="5"/>
  <c r="AK252" i="5" s="1"/>
  <c r="G253" i="5"/>
  <c r="J253" i="5"/>
  <c r="AG253" i="5" s="1"/>
  <c r="U253" i="5"/>
  <c r="V253" i="5" s="1"/>
  <c r="AQ253" i="5" s="1"/>
  <c r="X253" i="5"/>
  <c r="AO253" i="5" s="1"/>
  <c r="N254" i="5"/>
  <c r="Q254" i="5"/>
  <c r="AK254" i="5" s="1"/>
  <c r="G255" i="5"/>
  <c r="J255" i="5"/>
  <c r="AG255" i="5" s="1"/>
  <c r="U255" i="5"/>
  <c r="V255" i="5" s="1"/>
  <c r="AQ255" i="5" s="1"/>
  <c r="X255" i="5"/>
  <c r="AO255" i="5" s="1"/>
  <c r="N256" i="5"/>
  <c r="Q256" i="5"/>
  <c r="AK256" i="5" s="1"/>
  <c r="G257" i="5"/>
  <c r="J257" i="5"/>
  <c r="AG257" i="5" s="1"/>
  <c r="U257" i="5"/>
  <c r="V257" i="5" s="1"/>
  <c r="AQ257" i="5" s="1"/>
  <c r="X257" i="5"/>
  <c r="AO257" i="5" s="1"/>
  <c r="N258" i="5"/>
  <c r="Q258" i="5"/>
  <c r="AK258" i="5" s="1"/>
  <c r="G259" i="5"/>
  <c r="J259" i="5"/>
  <c r="AG259" i="5" s="1"/>
  <c r="U259" i="5"/>
  <c r="V259" i="5" s="1"/>
  <c r="AQ259" i="5" s="1"/>
  <c r="X259" i="5"/>
  <c r="AO259" i="5" s="1"/>
  <c r="N260" i="5"/>
  <c r="Q260" i="5"/>
  <c r="AK260" i="5" s="1"/>
  <c r="G264" i="5"/>
  <c r="J264" i="5"/>
  <c r="AG264" i="5" s="1"/>
  <c r="U264" i="5"/>
  <c r="V264" i="5" s="1"/>
  <c r="AQ264" i="5" s="1"/>
  <c r="X264" i="5"/>
  <c r="AO264" i="5" s="1"/>
  <c r="N265" i="5"/>
  <c r="Q265" i="5"/>
  <c r="AK265" i="5" s="1"/>
  <c r="G266" i="5"/>
  <c r="J266" i="5"/>
  <c r="AG266" i="5" s="1"/>
  <c r="U266" i="5"/>
  <c r="V266" i="5" s="1"/>
  <c r="AQ266" i="5" s="1"/>
  <c r="X266" i="5"/>
  <c r="AO266" i="5" s="1"/>
  <c r="N267" i="5"/>
  <c r="Q267" i="5"/>
  <c r="AK267" i="5" s="1"/>
  <c r="G268" i="5"/>
  <c r="J268" i="5"/>
  <c r="AG268" i="5" s="1"/>
  <c r="U268" i="5"/>
  <c r="V268" i="5" s="1"/>
  <c r="AQ268" i="5" s="1"/>
  <c r="X268" i="5"/>
  <c r="AO268" i="5" s="1"/>
  <c r="N269" i="5"/>
  <c r="Q269" i="5"/>
  <c r="AK269" i="5" s="1"/>
  <c r="G273" i="5"/>
  <c r="J273" i="5"/>
  <c r="AG273" i="5" s="1"/>
  <c r="U273" i="5"/>
  <c r="V273" i="5" s="1"/>
  <c r="AQ273" i="5" s="1"/>
  <c r="X273" i="5"/>
  <c r="AO273" i="5" s="1"/>
  <c r="N274" i="5"/>
  <c r="Q274" i="5"/>
  <c r="AK274" i="5" s="1"/>
  <c r="G275" i="5"/>
  <c r="J275" i="5"/>
  <c r="AG275" i="5" s="1"/>
  <c r="U275" i="5"/>
  <c r="V275" i="5" s="1"/>
  <c r="AQ275" i="5" s="1"/>
  <c r="X275" i="5"/>
  <c r="AO275" i="5" s="1"/>
  <c r="N276" i="5"/>
  <c r="Q276" i="5"/>
  <c r="AK276" i="5" s="1"/>
  <c r="G277" i="5"/>
  <c r="J277" i="5"/>
  <c r="AG277" i="5" s="1"/>
  <c r="U277" i="5"/>
  <c r="V277" i="5" s="1"/>
  <c r="AQ277" i="5" s="1"/>
  <c r="X277" i="5"/>
  <c r="AO277" i="5" s="1"/>
  <c r="N278" i="5"/>
  <c r="Q278" i="5"/>
  <c r="AK278" i="5" s="1"/>
  <c r="G279" i="5"/>
  <c r="J279" i="5"/>
  <c r="AG279" i="5" s="1"/>
  <c r="U279" i="5"/>
  <c r="V279" i="5" s="1"/>
  <c r="AQ279" i="5" s="1"/>
  <c r="X279" i="5"/>
  <c r="AO279" i="5" s="1"/>
  <c r="N280" i="5"/>
  <c r="Q280" i="5"/>
  <c r="AK280" i="5" s="1"/>
  <c r="G281" i="5"/>
  <c r="J281" i="5"/>
  <c r="AG281" i="5" s="1"/>
  <c r="U281" i="5"/>
  <c r="V281" i="5" s="1"/>
  <c r="AQ281" i="5" s="1"/>
  <c r="X281" i="5"/>
  <c r="AO281" i="5" s="1"/>
  <c r="N282" i="5"/>
  <c r="Q282" i="5"/>
  <c r="AK282" i="5" s="1"/>
  <c r="G283" i="5"/>
  <c r="J283" i="5"/>
  <c r="AG283" i="5" s="1"/>
  <c r="U283" i="5"/>
  <c r="V283" i="5" s="1"/>
  <c r="AQ283" i="5" s="1"/>
  <c r="X283" i="5"/>
  <c r="AO283" i="5" s="1"/>
  <c r="N284" i="5"/>
  <c r="Q284" i="5"/>
  <c r="AK284" i="5" s="1"/>
  <c r="G285" i="5"/>
  <c r="J285" i="5"/>
  <c r="AG285" i="5" s="1"/>
  <c r="U285" i="5"/>
  <c r="V285" i="5" s="1"/>
  <c r="AQ285" i="5" s="1"/>
  <c r="X285" i="5"/>
  <c r="AO285" i="5" s="1"/>
  <c r="N286" i="5"/>
  <c r="Q286" i="5"/>
  <c r="AK286" i="5" s="1"/>
  <c r="G290" i="5"/>
  <c r="AG296" i="5"/>
  <c r="J290" i="5"/>
  <c r="AG290" i="5" s="1"/>
  <c r="U290" i="5"/>
  <c r="AO296" i="5"/>
  <c r="X290" i="5"/>
  <c r="AO290" i="5" s="1"/>
  <c r="N291" i="5"/>
  <c r="Q291" i="5"/>
  <c r="AK291" i="5" s="1"/>
  <c r="G292" i="5"/>
  <c r="J292" i="5"/>
  <c r="AG292" i="5" s="1"/>
  <c r="U292" i="5"/>
  <c r="V292" i="5" s="1"/>
  <c r="AQ292" i="5" s="1"/>
  <c r="X292" i="5"/>
  <c r="AO292" i="5" s="1"/>
  <c r="N293" i="5"/>
  <c r="Q293" i="5"/>
  <c r="AK293" i="5" s="1"/>
  <c r="G294" i="5"/>
  <c r="J294" i="5"/>
  <c r="AG294" i="5" s="1"/>
  <c r="U294" i="5"/>
  <c r="V294" i="5" s="1"/>
  <c r="AQ294" i="5" s="1"/>
  <c r="X294" i="5"/>
  <c r="AO294" i="5" s="1"/>
  <c r="N305" i="5"/>
  <c r="Q305" i="5"/>
  <c r="G306" i="5"/>
  <c r="J306" i="5"/>
  <c r="AG306" i="5" s="1"/>
  <c r="U306" i="5"/>
  <c r="V306" i="5" s="1"/>
  <c r="AQ306" i="5" s="1"/>
  <c r="X306" i="5"/>
  <c r="AO306" i="5" s="1"/>
  <c r="N307" i="5"/>
  <c r="Q307" i="5"/>
  <c r="AK307" i="5" s="1"/>
  <c r="G308" i="5"/>
  <c r="J308" i="5"/>
  <c r="AG308" i="5" s="1"/>
  <c r="U308" i="5"/>
  <c r="V308" i="5" s="1"/>
  <c r="AQ308" i="5" s="1"/>
  <c r="X308" i="5"/>
  <c r="AO308" i="5" s="1"/>
  <c r="N309" i="5"/>
  <c r="Q309" i="5"/>
  <c r="AK309" i="5" s="1"/>
  <c r="G310" i="5"/>
  <c r="J310" i="5"/>
  <c r="AG310" i="5" s="1"/>
  <c r="U310" i="5"/>
  <c r="V310" i="5" s="1"/>
  <c r="AQ310" i="5" s="1"/>
  <c r="X310" i="5"/>
  <c r="AO310" i="5" s="1"/>
  <c r="N313" i="5"/>
  <c r="Q313" i="5"/>
  <c r="G314" i="5"/>
  <c r="J314" i="5"/>
  <c r="AG314" i="5" s="1"/>
  <c r="U314" i="5"/>
  <c r="V314" i="5" s="1"/>
  <c r="AQ314" i="5" s="1"/>
  <c r="X314" i="5"/>
  <c r="AO314" i="5" s="1"/>
  <c r="N315" i="5"/>
  <c r="Q315" i="5"/>
  <c r="AK315" i="5" s="1"/>
  <c r="G316" i="5"/>
  <c r="J316" i="5"/>
  <c r="AG316" i="5" s="1"/>
  <c r="U316" i="5"/>
  <c r="V316" i="5" s="1"/>
  <c r="AQ316" i="5" s="1"/>
  <c r="X316" i="5"/>
  <c r="AO316" i="5" s="1"/>
  <c r="N317" i="5"/>
  <c r="Q317" i="5"/>
  <c r="AK317" i="5" s="1"/>
  <c r="G318" i="5"/>
  <c r="J318" i="5"/>
  <c r="AG318" i="5" s="1"/>
  <c r="U318" i="5"/>
  <c r="V318" i="5" s="1"/>
  <c r="AQ318" i="5" s="1"/>
  <c r="X318" i="5"/>
  <c r="AO318" i="5" s="1"/>
  <c r="N321" i="5"/>
  <c r="Q321" i="5"/>
  <c r="G322" i="5"/>
  <c r="J322" i="5"/>
  <c r="AG322" i="5" s="1"/>
  <c r="U322" i="5"/>
  <c r="V322" i="5" s="1"/>
  <c r="AQ322" i="5" s="1"/>
  <c r="X322" i="5"/>
  <c r="AO322" i="5" s="1"/>
  <c r="N323" i="5"/>
  <c r="Q323" i="5"/>
  <c r="AK323" i="5" s="1"/>
  <c r="G324" i="5"/>
  <c r="J324" i="5"/>
  <c r="AG324" i="5" s="1"/>
  <c r="U324" i="5"/>
  <c r="V324" i="5" s="1"/>
  <c r="AQ324" i="5" s="1"/>
  <c r="X324" i="5"/>
  <c r="AO324" i="5" s="1"/>
  <c r="N325" i="5"/>
  <c r="Q325" i="5"/>
  <c r="AK325" i="5" s="1"/>
  <c r="G326" i="5"/>
  <c r="J326" i="5"/>
  <c r="AG326" i="5" s="1"/>
  <c r="U326" i="5"/>
  <c r="V326" i="5" s="1"/>
  <c r="AQ326" i="5" s="1"/>
  <c r="X326" i="5"/>
  <c r="AO326" i="5" s="1"/>
  <c r="N329" i="5"/>
  <c r="Q329" i="5"/>
  <c r="G330" i="5"/>
  <c r="J330" i="5"/>
  <c r="AG330" i="5" s="1"/>
  <c r="U330" i="5"/>
  <c r="V330" i="5" s="1"/>
  <c r="AQ330" i="5" s="1"/>
  <c r="X330" i="5"/>
  <c r="AO330" i="5" s="1"/>
  <c r="N331" i="5"/>
  <c r="Q331" i="5"/>
  <c r="AK331" i="5" s="1"/>
  <c r="G332" i="5"/>
  <c r="J332" i="5"/>
  <c r="AG332" i="5" s="1"/>
  <c r="U332" i="5"/>
  <c r="V332" i="5" s="1"/>
  <c r="AQ332" i="5" s="1"/>
  <c r="X332" i="5"/>
  <c r="AO332" i="5" s="1"/>
  <c r="N333" i="5"/>
  <c r="Q333" i="5"/>
  <c r="AK333" i="5" s="1"/>
  <c r="G334" i="5"/>
  <c r="J334" i="5"/>
  <c r="AG334" i="5" s="1"/>
  <c r="U334" i="5"/>
  <c r="V334" i="5" s="1"/>
  <c r="AQ334" i="5" s="1"/>
  <c r="X334" i="5"/>
  <c r="AO334" i="5" s="1"/>
  <c r="N337" i="5"/>
  <c r="Q337" i="5"/>
  <c r="G338" i="5"/>
  <c r="J338" i="5"/>
  <c r="AG338" i="5" s="1"/>
  <c r="U338" i="5"/>
  <c r="V338" i="5" s="1"/>
  <c r="AQ338" i="5" s="1"/>
  <c r="X338" i="5"/>
  <c r="AO338" i="5" s="1"/>
  <c r="N339" i="5"/>
  <c r="Q339" i="5"/>
  <c r="AK339" i="5" s="1"/>
  <c r="G340" i="5"/>
  <c r="J340" i="5"/>
  <c r="AG340" i="5" s="1"/>
  <c r="U340" i="5"/>
  <c r="V340" i="5" s="1"/>
  <c r="AQ340" i="5" s="1"/>
  <c r="X340" i="5"/>
  <c r="AO340" i="5" s="1"/>
  <c r="N341" i="5"/>
  <c r="Q341" i="5"/>
  <c r="AK341" i="5" s="1"/>
  <c r="G342" i="5"/>
  <c r="J342" i="5"/>
  <c r="AG342" i="5" s="1"/>
  <c r="U342" i="5"/>
  <c r="V342" i="5" s="1"/>
  <c r="AQ342" i="5" s="1"/>
  <c r="X342" i="5"/>
  <c r="AO342" i="5" s="1"/>
  <c r="N345" i="5"/>
  <c r="Q345" i="5"/>
  <c r="G346" i="5"/>
  <c r="J346" i="5"/>
  <c r="AG346" i="5" s="1"/>
  <c r="U346" i="5"/>
  <c r="V346" i="5" s="1"/>
  <c r="AQ346" i="5" s="1"/>
  <c r="X346" i="5"/>
  <c r="AO346" i="5" s="1"/>
  <c r="N347" i="5"/>
  <c r="Q347" i="5"/>
  <c r="AK347" i="5" s="1"/>
  <c r="G348" i="5"/>
  <c r="J348" i="5"/>
  <c r="AG348" i="5" s="1"/>
  <c r="U348" i="5"/>
  <c r="V348" i="5" s="1"/>
  <c r="AQ348" i="5" s="1"/>
  <c r="X348" i="5"/>
  <c r="AO348" i="5" s="1"/>
  <c r="N349" i="5"/>
  <c r="Q349" i="5"/>
  <c r="AK349" i="5" s="1"/>
  <c r="G350" i="5"/>
  <c r="J350" i="5"/>
  <c r="AG350" i="5" s="1"/>
  <c r="U350" i="5"/>
  <c r="V350" i="5" s="1"/>
  <c r="AQ350" i="5" s="1"/>
  <c r="X350" i="5"/>
  <c r="AO350" i="5" s="1"/>
  <c r="N353" i="5"/>
  <c r="Q353" i="5"/>
  <c r="G354" i="5"/>
  <c r="J354" i="5"/>
  <c r="AG354" i="5" s="1"/>
  <c r="U354" i="5"/>
  <c r="V354" i="5" s="1"/>
  <c r="AQ354" i="5" s="1"/>
  <c r="X354" i="5"/>
  <c r="AO354" i="5" s="1"/>
  <c r="N355" i="5"/>
  <c r="Q355" i="5"/>
  <c r="AK355" i="5" s="1"/>
  <c r="G356" i="5"/>
  <c r="J356" i="5"/>
  <c r="AG356" i="5" s="1"/>
  <c r="U356" i="5"/>
  <c r="V356" i="5" s="1"/>
  <c r="AQ356" i="5" s="1"/>
  <c r="X356" i="5"/>
  <c r="AO356" i="5" s="1"/>
  <c r="N357" i="5"/>
  <c r="Q357" i="5"/>
  <c r="AK357" i="5" s="1"/>
  <c r="G358" i="5"/>
  <c r="J358" i="5"/>
  <c r="AG358" i="5" s="1"/>
  <c r="U358" i="5"/>
  <c r="V358" i="5" s="1"/>
  <c r="AQ358" i="5" s="1"/>
  <c r="X358" i="5"/>
  <c r="AO358" i="5" s="1"/>
  <c r="N361" i="5"/>
  <c r="Q361" i="5"/>
  <c r="G362" i="5"/>
  <c r="J362" i="5"/>
  <c r="AG362" i="5" s="1"/>
  <c r="U362" i="5"/>
  <c r="V362" i="5" s="1"/>
  <c r="AQ362" i="5" s="1"/>
  <c r="X362" i="5"/>
  <c r="AO362" i="5" s="1"/>
  <c r="N363" i="5"/>
  <c r="Q363" i="5"/>
  <c r="AK363" i="5" s="1"/>
  <c r="G364" i="5"/>
  <c r="J364" i="5"/>
  <c r="AG364" i="5" s="1"/>
  <c r="U364" i="5"/>
  <c r="V364" i="5" s="1"/>
  <c r="AQ364" i="5" s="1"/>
  <c r="X364" i="5"/>
  <c r="AO364" i="5" s="1"/>
  <c r="N365" i="5"/>
  <c r="Q365" i="5"/>
  <c r="AK365" i="5" s="1"/>
  <c r="G366" i="5"/>
  <c r="J366" i="5"/>
  <c r="AG366" i="5" s="1"/>
  <c r="U366" i="5"/>
  <c r="V366" i="5" s="1"/>
  <c r="AQ366" i="5" s="1"/>
  <c r="X366" i="5"/>
  <c r="AO366" i="5" s="1"/>
  <c r="N369" i="5"/>
  <c r="Q369" i="5"/>
  <c r="G370" i="5"/>
  <c r="J370" i="5"/>
  <c r="AG370" i="5" s="1"/>
  <c r="U370" i="5"/>
  <c r="V370" i="5" s="1"/>
  <c r="AQ370" i="5" s="1"/>
  <c r="X370" i="5"/>
  <c r="AO370" i="5" s="1"/>
  <c r="Q371" i="5"/>
  <c r="AK371" i="5" s="1"/>
  <c r="N371" i="5"/>
  <c r="O371" i="5" s="1"/>
  <c r="AM371" i="5" s="1"/>
  <c r="G372" i="5"/>
  <c r="J372" i="5"/>
  <c r="AG372" i="5" s="1"/>
  <c r="U372" i="5"/>
  <c r="V372" i="5" s="1"/>
  <c r="AQ372" i="5" s="1"/>
  <c r="X372" i="5"/>
  <c r="AO372" i="5" s="1"/>
  <c r="N373" i="5"/>
  <c r="Q373" i="5"/>
  <c r="AK373" i="5" s="1"/>
  <c r="G374" i="5"/>
  <c r="J374" i="5"/>
  <c r="AG374" i="5" s="1"/>
  <c r="U374" i="5"/>
  <c r="V374" i="5" s="1"/>
  <c r="AQ374" i="5" s="1"/>
  <c r="X374" i="5"/>
  <c r="AO374" i="5" s="1"/>
  <c r="N377" i="5"/>
  <c r="Q377" i="5"/>
  <c r="G378" i="5"/>
  <c r="J378" i="5"/>
  <c r="AG378" i="5" s="1"/>
  <c r="U378" i="5"/>
  <c r="V378" i="5" s="1"/>
  <c r="AQ378" i="5" s="1"/>
  <c r="X378" i="5"/>
  <c r="AO378" i="5" s="1"/>
  <c r="N379" i="5"/>
  <c r="Q379" i="5"/>
  <c r="AK379" i="5" s="1"/>
  <c r="G380" i="5"/>
  <c r="J380" i="5"/>
  <c r="AG380" i="5" s="1"/>
  <c r="U380" i="5"/>
  <c r="V380" i="5" s="1"/>
  <c r="AQ380" i="5" s="1"/>
  <c r="X380" i="5"/>
  <c r="AO380" i="5" s="1"/>
  <c r="N381" i="5"/>
  <c r="Q381" i="5"/>
  <c r="AK381" i="5" s="1"/>
  <c r="G382" i="5"/>
  <c r="J382" i="5"/>
  <c r="AG382" i="5" s="1"/>
  <c r="U382" i="5"/>
  <c r="V382" i="5" s="1"/>
  <c r="AQ382" i="5" s="1"/>
  <c r="X382" i="5"/>
  <c r="AO382" i="5" s="1"/>
  <c r="N386" i="5"/>
  <c r="Q386" i="5"/>
  <c r="AK386" i="5" s="1"/>
  <c r="G387" i="5"/>
  <c r="J387" i="5"/>
  <c r="AG387" i="5" s="1"/>
  <c r="U387" i="5"/>
  <c r="V387" i="5" s="1"/>
  <c r="AQ387" i="5" s="1"/>
  <c r="X387" i="5"/>
  <c r="AO387" i="5" s="1"/>
  <c r="N388" i="5"/>
  <c r="Q388" i="5"/>
  <c r="AK388" i="5" s="1"/>
  <c r="G389" i="5"/>
  <c r="J389" i="5"/>
  <c r="AG389" i="5" s="1"/>
  <c r="U389" i="5"/>
  <c r="V389" i="5" s="1"/>
  <c r="AQ389" i="5" s="1"/>
  <c r="X389" i="5"/>
  <c r="AO389" i="5" s="1"/>
  <c r="N390" i="5"/>
  <c r="Q390" i="5"/>
  <c r="AK390" i="5" s="1"/>
  <c r="G391" i="5"/>
  <c r="J391" i="5"/>
  <c r="AG391" i="5" s="1"/>
  <c r="U391" i="5"/>
  <c r="V391" i="5" s="1"/>
  <c r="AQ391" i="5" s="1"/>
  <c r="X391" i="5"/>
  <c r="AO391" i="5" s="1"/>
  <c r="N392" i="5"/>
  <c r="Q392" i="5"/>
  <c r="AK392" i="5" s="1"/>
  <c r="G393" i="5"/>
  <c r="J393" i="5"/>
  <c r="AG393" i="5" s="1"/>
  <c r="U393" i="5"/>
  <c r="V393" i="5" s="1"/>
  <c r="AQ393" i="5" s="1"/>
  <c r="X393" i="5"/>
  <c r="AO393" i="5" s="1"/>
  <c r="N394" i="5"/>
  <c r="Q394" i="5"/>
  <c r="AK394" i="5" s="1"/>
  <c r="G397" i="5"/>
  <c r="J397" i="5"/>
  <c r="AG397" i="5" s="1"/>
  <c r="U397" i="5"/>
  <c r="V397" i="5" s="1"/>
  <c r="AQ397" i="5" s="1"/>
  <c r="X397" i="5"/>
  <c r="AO397" i="5" s="1"/>
  <c r="N398" i="5"/>
  <c r="Q398" i="5"/>
  <c r="AK398" i="5" s="1"/>
  <c r="G399" i="5"/>
  <c r="J399" i="5"/>
  <c r="AG399" i="5" s="1"/>
  <c r="U399" i="5"/>
  <c r="V399" i="5" s="1"/>
  <c r="AQ399" i="5" s="1"/>
  <c r="X399" i="5"/>
  <c r="AO399" i="5" s="1"/>
  <c r="N400" i="5"/>
  <c r="Q400" i="5"/>
  <c r="AK400" i="5" s="1"/>
  <c r="G401" i="5"/>
  <c r="J401" i="5"/>
  <c r="AG401" i="5" s="1"/>
  <c r="U401" i="5"/>
  <c r="V401" i="5" s="1"/>
  <c r="AQ401" i="5" s="1"/>
  <c r="X401" i="5"/>
  <c r="AO401" i="5" s="1"/>
  <c r="N402" i="5"/>
  <c r="Q402" i="5"/>
  <c r="AK402" i="5" s="1"/>
  <c r="G403" i="5"/>
  <c r="J403" i="5"/>
  <c r="AG403" i="5" s="1"/>
  <c r="U403" i="5"/>
  <c r="V403" i="5" s="1"/>
  <c r="AQ403" i="5" s="1"/>
  <c r="X403" i="5"/>
  <c r="AO403" i="5" s="1"/>
  <c r="N404" i="5"/>
  <c r="Q404" i="5"/>
  <c r="AK404" i="5" s="1"/>
  <c r="G407" i="5"/>
  <c r="J407" i="5"/>
  <c r="AG407" i="5" s="1"/>
  <c r="U407" i="5"/>
  <c r="V407" i="5" s="1"/>
  <c r="AQ407" i="5" s="1"/>
  <c r="X407" i="5"/>
  <c r="AO407" i="5" s="1"/>
  <c r="N408" i="5"/>
  <c r="Q408" i="5"/>
  <c r="AK408" i="5" s="1"/>
  <c r="G409" i="5"/>
  <c r="J409" i="5"/>
  <c r="AG409" i="5" s="1"/>
  <c r="U409" i="5"/>
  <c r="V409" i="5" s="1"/>
  <c r="AQ409" i="5" s="1"/>
  <c r="X409" i="5"/>
  <c r="AO409" i="5" s="1"/>
  <c r="N410" i="5"/>
  <c r="Q410" i="5"/>
  <c r="AK410" i="5" s="1"/>
  <c r="G411" i="5"/>
  <c r="J411" i="5"/>
  <c r="AG411" i="5" s="1"/>
  <c r="U411" i="5"/>
  <c r="V411" i="5" s="1"/>
  <c r="AQ411" i="5" s="1"/>
  <c r="X411" i="5"/>
  <c r="AO411" i="5" s="1"/>
  <c r="N414" i="5"/>
  <c r="Q414" i="5"/>
  <c r="AK414" i="5" s="1"/>
  <c r="G415" i="5"/>
  <c r="J415" i="5"/>
  <c r="AG415" i="5" s="1"/>
  <c r="U415" i="5"/>
  <c r="V415" i="5" s="1"/>
  <c r="AQ415" i="5" s="1"/>
  <c r="X415" i="5"/>
  <c r="AO415" i="5" s="1"/>
  <c r="N416" i="5"/>
  <c r="Q416" i="5"/>
  <c r="AK416" i="5" s="1"/>
  <c r="G417" i="5"/>
  <c r="J417" i="5"/>
  <c r="AG417" i="5" s="1"/>
  <c r="U417" i="5"/>
  <c r="V417" i="5" s="1"/>
  <c r="AQ417" i="5" s="1"/>
  <c r="X417" i="5"/>
  <c r="AO417" i="5" s="1"/>
  <c r="N420" i="5"/>
  <c r="Q420" i="5"/>
  <c r="AK420" i="5" s="1"/>
  <c r="G421" i="5"/>
  <c r="J421" i="5"/>
  <c r="AG421" i="5" s="1"/>
  <c r="U421" i="5"/>
  <c r="V421" i="5" s="1"/>
  <c r="AQ421" i="5" s="1"/>
  <c r="X421" i="5"/>
  <c r="AO421" i="5" s="1"/>
  <c r="N422" i="5"/>
  <c r="Q422" i="5"/>
  <c r="AK422" i="5" s="1"/>
  <c r="G423" i="5"/>
  <c r="J423" i="5"/>
  <c r="AG423" i="5" s="1"/>
  <c r="U423" i="5"/>
  <c r="V423" i="5" s="1"/>
  <c r="AQ423" i="5" s="1"/>
  <c r="X423" i="5"/>
  <c r="AO423" i="5" s="1"/>
  <c r="N424" i="5"/>
  <c r="Q424" i="5"/>
  <c r="AK424" i="5" s="1"/>
  <c r="G425" i="5"/>
  <c r="J425" i="5"/>
  <c r="AG425" i="5" s="1"/>
  <c r="U425" i="5"/>
  <c r="V425" i="5" s="1"/>
  <c r="AQ425" i="5" s="1"/>
  <c r="X425" i="5"/>
  <c r="AO425" i="5" s="1"/>
  <c r="N428" i="5"/>
  <c r="Q428" i="5"/>
  <c r="G429" i="5"/>
  <c r="J429" i="5"/>
  <c r="AG429" i="5" s="1"/>
  <c r="U429" i="5"/>
  <c r="V429" i="5" s="1"/>
  <c r="AQ429" i="5" s="1"/>
  <c r="X429" i="5"/>
  <c r="AO429" i="5" s="1"/>
  <c r="N430" i="5"/>
  <c r="Q430" i="5"/>
  <c r="AK430" i="5" s="1"/>
  <c r="G431" i="5"/>
  <c r="J431" i="5"/>
  <c r="AG431" i="5" s="1"/>
  <c r="U431" i="5"/>
  <c r="V431" i="5" s="1"/>
  <c r="AQ431" i="5" s="1"/>
  <c r="X431" i="5"/>
  <c r="AO431" i="5" s="1"/>
  <c r="N432" i="5"/>
  <c r="Q432" i="5"/>
  <c r="AK432" i="5" s="1"/>
  <c r="G435" i="5"/>
  <c r="J435" i="5"/>
  <c r="AG435" i="5" s="1"/>
  <c r="U435" i="5"/>
  <c r="V435" i="5" s="1"/>
  <c r="AQ435" i="5" s="1"/>
  <c r="X435" i="5"/>
  <c r="AO435" i="5" s="1"/>
  <c r="N436" i="5"/>
  <c r="Q436" i="5"/>
  <c r="AK436" i="5" s="1"/>
  <c r="G437" i="5"/>
  <c r="J437" i="5"/>
  <c r="AG437" i="5" s="1"/>
  <c r="U437" i="5"/>
  <c r="V437" i="5" s="1"/>
  <c r="AQ437" i="5" s="1"/>
  <c r="X437" i="5"/>
  <c r="AO437" i="5" s="1"/>
  <c r="N438" i="5"/>
  <c r="Q438" i="5"/>
  <c r="AK438" i="5" s="1"/>
  <c r="G439" i="5"/>
  <c r="AG440" i="5"/>
  <c r="J439" i="5"/>
  <c r="AG439" i="5" s="1"/>
  <c r="U439" i="5"/>
  <c r="AO440" i="5"/>
  <c r="X439" i="5"/>
  <c r="AO439" i="5" s="1"/>
  <c r="N442" i="5"/>
  <c r="Q442" i="5"/>
  <c r="AK442" i="5" s="1"/>
  <c r="G443" i="5"/>
  <c r="J443" i="5"/>
  <c r="AG443" i="5" s="1"/>
  <c r="U443" i="5"/>
  <c r="V443" i="5" s="1"/>
  <c r="AQ443" i="5" s="1"/>
  <c r="X443" i="5"/>
  <c r="AO443" i="5" s="1"/>
  <c r="N444" i="5"/>
  <c r="Q444" i="5"/>
  <c r="AK444" i="5" s="1"/>
  <c r="G445" i="5"/>
  <c r="J445" i="5"/>
  <c r="AG445" i="5" s="1"/>
  <c r="U445" i="5"/>
  <c r="V445" i="5" s="1"/>
  <c r="AQ445" i="5" s="1"/>
  <c r="X445" i="5"/>
  <c r="AO445" i="5" s="1"/>
  <c r="N446" i="5"/>
  <c r="Q446" i="5"/>
  <c r="AK446" i="5" s="1"/>
  <c r="G447" i="5"/>
  <c r="J447" i="5"/>
  <c r="AG447" i="5" s="1"/>
  <c r="U447" i="5"/>
  <c r="V447" i="5" s="1"/>
  <c r="AQ447" i="5" s="1"/>
  <c r="X447" i="5"/>
  <c r="AO447" i="5" s="1"/>
  <c r="N448" i="5"/>
  <c r="Q448" i="5"/>
  <c r="AK448" i="5" s="1"/>
  <c r="G449" i="5"/>
  <c r="J449" i="5"/>
  <c r="AG449" i="5" s="1"/>
  <c r="U449" i="5"/>
  <c r="V449" i="5" s="1"/>
  <c r="AQ449" i="5" s="1"/>
  <c r="X449" i="5"/>
  <c r="AO449" i="5" s="1"/>
  <c r="N450" i="5"/>
  <c r="Q450" i="5"/>
  <c r="AK450" i="5" s="1"/>
  <c r="G451" i="5"/>
  <c r="J451" i="5"/>
  <c r="AG451" i="5" s="1"/>
  <c r="U451" i="5"/>
  <c r="V451" i="5" s="1"/>
  <c r="AQ451" i="5" s="1"/>
  <c r="X451" i="5"/>
  <c r="AO451" i="5" s="1"/>
  <c r="N452" i="5"/>
  <c r="Q452" i="5"/>
  <c r="AK452" i="5" s="1"/>
  <c r="J261" i="5"/>
  <c r="AG261" i="5" s="1"/>
  <c r="J241" i="5"/>
  <c r="AG241" i="5" s="1"/>
  <c r="J249" i="5"/>
  <c r="AG249" i="5" s="1"/>
  <c r="J206" i="5"/>
  <c r="AG206" i="5" s="1"/>
  <c r="J191" i="5"/>
  <c r="AG191" i="5" s="1"/>
  <c r="J172" i="5"/>
  <c r="AG172" i="5" s="1"/>
  <c r="J74" i="5"/>
  <c r="AG74" i="5" s="1"/>
  <c r="J51" i="5"/>
  <c r="AG51" i="5" s="1"/>
  <c r="J125" i="5"/>
  <c r="AG125" i="5" s="1"/>
  <c r="J107" i="5"/>
  <c r="AG107" i="5" s="1"/>
  <c r="J5" i="5"/>
  <c r="J19" i="5"/>
  <c r="AG19" i="5" s="1"/>
  <c r="J270" i="5"/>
  <c r="AG270" i="5" s="1"/>
  <c r="J295" i="5"/>
  <c r="AG295" i="5" s="1"/>
  <c r="J232" i="5"/>
  <c r="AG232" i="5" s="1"/>
  <c r="J212" i="5"/>
  <c r="AG212" i="5" s="1"/>
  <c r="J218" i="5"/>
  <c r="AG218" i="5" s="1"/>
  <c r="J199" i="5"/>
  <c r="AG199" i="5" s="1"/>
  <c r="J179" i="5"/>
  <c r="AG179" i="5" s="1"/>
  <c r="J44" i="5"/>
  <c r="AG44" i="5" s="1"/>
  <c r="J148" i="5"/>
  <c r="AG148" i="5" s="1"/>
  <c r="J115" i="5"/>
  <c r="AG115" i="5" s="1"/>
  <c r="AC6" i="5"/>
  <c r="J27" i="5"/>
  <c r="J35" i="5"/>
  <c r="AG35" i="5" s="1"/>
  <c r="S19" i="5"/>
  <c r="AL19" i="5" s="1"/>
  <c r="S295" i="5"/>
  <c r="AL295" i="5" s="1"/>
  <c r="S270" i="5"/>
  <c r="AL270" i="5" s="1"/>
  <c r="S249" i="5"/>
  <c r="AL249" i="5" s="1"/>
  <c r="S199" i="5"/>
  <c r="AL199" i="5" s="1"/>
  <c r="S241" i="5"/>
  <c r="AL241" i="5" s="1"/>
  <c r="S191" i="5"/>
  <c r="AL191" i="5" s="1"/>
  <c r="S115" i="5"/>
  <c r="AL115" i="5" s="1"/>
  <c r="S172" i="5"/>
  <c r="AL172" i="5" s="1"/>
  <c r="S51" i="5"/>
  <c r="AL51" i="5" s="1"/>
  <c r="S35" i="5"/>
  <c r="AL35" i="5" s="1"/>
  <c r="S27" i="5"/>
  <c r="S261" i="5"/>
  <c r="AL261" i="5" s="1"/>
  <c r="S218" i="5"/>
  <c r="AL218" i="5" s="1"/>
  <c r="S206" i="5"/>
  <c r="AL206" i="5" s="1"/>
  <c r="S232" i="5"/>
  <c r="AL232" i="5" s="1"/>
  <c r="S212" i="5"/>
  <c r="AL212" i="5" s="1"/>
  <c r="S148" i="5"/>
  <c r="AL148" i="5" s="1"/>
  <c r="S125" i="5"/>
  <c r="AL125" i="5" s="1"/>
  <c r="S107" i="5"/>
  <c r="AL107" i="5" s="1"/>
  <c r="S179" i="5"/>
  <c r="AL179" i="5" s="1"/>
  <c r="S74" i="5"/>
  <c r="AL74" i="5" s="1"/>
  <c r="S44" i="5"/>
  <c r="AL44" i="5" s="1"/>
  <c r="G15" i="3"/>
  <c r="J15" i="3"/>
  <c r="AG15" i="3" s="1"/>
  <c r="G17" i="3"/>
  <c r="J17" i="3"/>
  <c r="AG17" i="3" s="1"/>
  <c r="G23" i="3"/>
  <c r="J23" i="3"/>
  <c r="AG23" i="3" s="1"/>
  <c r="N25" i="3"/>
  <c r="O25" i="3" s="1"/>
  <c r="AM25" i="3" s="1"/>
  <c r="Q25" i="3"/>
  <c r="AK25" i="3" s="1"/>
  <c r="N30" i="3"/>
  <c r="O30" i="3" s="1"/>
  <c r="AM30" i="3" s="1"/>
  <c r="Q30" i="3"/>
  <c r="AK30" i="3" s="1"/>
  <c r="N32" i="3"/>
  <c r="O32" i="3" s="1"/>
  <c r="AM32" i="3" s="1"/>
  <c r="Q32" i="3"/>
  <c r="AK32" i="3" s="1"/>
  <c r="N34" i="3"/>
  <c r="O34" i="3" s="1"/>
  <c r="AM34" i="3" s="1"/>
  <c r="Q34" i="3"/>
  <c r="AK34" i="3" s="1"/>
  <c r="N39" i="3"/>
  <c r="O39" i="3" s="1"/>
  <c r="AM39" i="3" s="1"/>
  <c r="Q39" i="3"/>
  <c r="AK39" i="3" s="1"/>
  <c r="N41" i="3"/>
  <c r="O41" i="3" s="1"/>
  <c r="AM41" i="3" s="1"/>
  <c r="Q41" i="3"/>
  <c r="AK41" i="3" s="1"/>
  <c r="N43" i="3"/>
  <c r="O43" i="3" s="1"/>
  <c r="AM43" i="3" s="1"/>
  <c r="Q43" i="3"/>
  <c r="AK43" i="3" s="1"/>
  <c r="N48" i="3"/>
  <c r="O48" i="3" s="1"/>
  <c r="AM48" i="3" s="1"/>
  <c r="Q48" i="3"/>
  <c r="AK48" i="3" s="1"/>
  <c r="N50" i="3"/>
  <c r="O50" i="3" s="1"/>
  <c r="AM50" i="3" s="1"/>
  <c r="Q50" i="3"/>
  <c r="AK50" i="3" s="1"/>
  <c r="N55" i="3"/>
  <c r="O55" i="3" s="1"/>
  <c r="AM55" i="3" s="1"/>
  <c r="Q55" i="3"/>
  <c r="AK55" i="3" s="1"/>
  <c r="N57" i="3"/>
  <c r="O57" i="3" s="1"/>
  <c r="AM57" i="3" s="1"/>
  <c r="Q57" i="3"/>
  <c r="AK57" i="3" s="1"/>
  <c r="N59" i="3"/>
  <c r="O59" i="3" s="1"/>
  <c r="AM59" i="3" s="1"/>
  <c r="Q59" i="3"/>
  <c r="AK59" i="3" s="1"/>
  <c r="N61" i="3"/>
  <c r="O61" i="3" s="1"/>
  <c r="AM61" i="3" s="1"/>
  <c r="Q61" i="3"/>
  <c r="AK61" i="3" s="1"/>
  <c r="N63" i="3"/>
  <c r="O63" i="3" s="1"/>
  <c r="AM63" i="3" s="1"/>
  <c r="Q63" i="3"/>
  <c r="AK63" i="3" s="1"/>
  <c r="N68" i="3"/>
  <c r="O68" i="3" s="1"/>
  <c r="AM68" i="3" s="1"/>
  <c r="Q68" i="3"/>
  <c r="AK68" i="3" s="1"/>
  <c r="N70" i="3"/>
  <c r="O70" i="3" s="1"/>
  <c r="AM70" i="3" s="1"/>
  <c r="Q70" i="3"/>
  <c r="AK70" i="3" s="1"/>
  <c r="N72" i="3"/>
  <c r="O72" i="3" s="1"/>
  <c r="AM72" i="3" s="1"/>
  <c r="Q72" i="3"/>
  <c r="AK72" i="3" s="1"/>
  <c r="N78" i="3"/>
  <c r="O78" i="3" s="1"/>
  <c r="AM78" i="3" s="1"/>
  <c r="Q78" i="3"/>
  <c r="AK78" i="3" s="1"/>
  <c r="N80" i="3"/>
  <c r="O80" i="3" s="1"/>
  <c r="AM80" i="3" s="1"/>
  <c r="Q80" i="3"/>
  <c r="AK80" i="3" s="1"/>
  <c r="N82" i="3"/>
  <c r="O82" i="3" s="1"/>
  <c r="AM82" i="3" s="1"/>
  <c r="Q82" i="3"/>
  <c r="AK82" i="3" s="1"/>
  <c r="N84" i="3"/>
  <c r="O84" i="3" s="1"/>
  <c r="AM84" i="3" s="1"/>
  <c r="Q84" i="3"/>
  <c r="AK84" i="3" s="1"/>
  <c r="N86" i="3"/>
  <c r="O86" i="3" s="1"/>
  <c r="AM86" i="3" s="1"/>
  <c r="Q86" i="3"/>
  <c r="AK86" i="3" s="1"/>
  <c r="N88" i="3"/>
  <c r="O88" i="3" s="1"/>
  <c r="AM88" i="3" s="1"/>
  <c r="Q88" i="3"/>
  <c r="AK88" i="3" s="1"/>
  <c r="N93" i="3"/>
  <c r="O93" i="3" s="1"/>
  <c r="AM93" i="3" s="1"/>
  <c r="Q93" i="3"/>
  <c r="AK93" i="3" s="1"/>
  <c r="N95" i="3"/>
  <c r="O95" i="3" s="1"/>
  <c r="AM95" i="3" s="1"/>
  <c r="Q95" i="3"/>
  <c r="AK95" i="3" s="1"/>
  <c r="N97" i="3"/>
  <c r="O97" i="3" s="1"/>
  <c r="AM97" i="3" s="1"/>
  <c r="Q97" i="3"/>
  <c r="AK97" i="3" s="1"/>
  <c r="N99" i="3"/>
  <c r="O99" i="3" s="1"/>
  <c r="AM99" i="3" s="1"/>
  <c r="Q99" i="3"/>
  <c r="AK99" i="3" s="1"/>
  <c r="N104" i="3"/>
  <c r="O104" i="3" s="1"/>
  <c r="AM104" i="3" s="1"/>
  <c r="Q104" i="3"/>
  <c r="AK104" i="3" s="1"/>
  <c r="N106" i="3"/>
  <c r="O106" i="3" s="1"/>
  <c r="AM106" i="3" s="1"/>
  <c r="Q106" i="3"/>
  <c r="AK106" i="3" s="1"/>
  <c r="N112" i="3"/>
  <c r="O112" i="3" s="1"/>
  <c r="AM112" i="3" s="1"/>
  <c r="Q112" i="3"/>
  <c r="AK112" i="3" s="1"/>
  <c r="N114" i="3"/>
  <c r="O114" i="3" s="1"/>
  <c r="AM114" i="3" s="1"/>
  <c r="Q114" i="3"/>
  <c r="AK114" i="3" s="1"/>
  <c r="N122" i="3"/>
  <c r="O122" i="3" s="1"/>
  <c r="AM122" i="3" s="1"/>
  <c r="Q122" i="3"/>
  <c r="AK122" i="3" s="1"/>
  <c r="N124" i="3"/>
  <c r="O124" i="3" s="1"/>
  <c r="AM124" i="3" s="1"/>
  <c r="Q124" i="3"/>
  <c r="AK124" i="3" s="1"/>
  <c r="N131" i="3"/>
  <c r="O131" i="3" s="1"/>
  <c r="AM131" i="3" s="1"/>
  <c r="Q131" i="3"/>
  <c r="AK131" i="3" s="1"/>
  <c r="N133" i="3"/>
  <c r="O133" i="3" s="1"/>
  <c r="AM133" i="3" s="1"/>
  <c r="Q133" i="3"/>
  <c r="AK133" i="3" s="1"/>
  <c r="N135" i="3"/>
  <c r="O135" i="3" s="1"/>
  <c r="AM135" i="3" s="1"/>
  <c r="Q135" i="3"/>
  <c r="AK135" i="3" s="1"/>
  <c r="N137" i="3"/>
  <c r="O137" i="3" s="1"/>
  <c r="AM137" i="3" s="1"/>
  <c r="Q137" i="3"/>
  <c r="AK137" i="3" s="1"/>
  <c r="N139" i="3"/>
  <c r="O139" i="3" s="1"/>
  <c r="AM139" i="3" s="1"/>
  <c r="Q139" i="3"/>
  <c r="AK139" i="3" s="1"/>
  <c r="N144" i="3"/>
  <c r="AK149" i="3"/>
  <c r="Q144" i="3"/>
  <c r="AK144" i="3" s="1"/>
  <c r="N146" i="3"/>
  <c r="Q146" i="3"/>
  <c r="AK146" i="3" s="1"/>
  <c r="N153" i="3"/>
  <c r="Q153" i="3"/>
  <c r="AK153" i="3" s="1"/>
  <c r="N155" i="3"/>
  <c r="Q155" i="3"/>
  <c r="AK155" i="3" s="1"/>
  <c r="N157" i="3"/>
  <c r="Q157" i="3"/>
  <c r="AK157" i="3" s="1"/>
  <c r="N159" i="3"/>
  <c r="Q159" i="3"/>
  <c r="AK159" i="3" s="1"/>
  <c r="N161" i="3"/>
  <c r="Q161" i="3"/>
  <c r="AK161" i="3" s="1"/>
  <c r="N163" i="3"/>
  <c r="Q163" i="3"/>
  <c r="AK163" i="3" s="1"/>
  <c r="N168" i="3"/>
  <c r="Q168" i="3"/>
  <c r="AK168" i="3" s="1"/>
  <c r="N170" i="3"/>
  <c r="Q170" i="3"/>
  <c r="AK170" i="3" s="1"/>
  <c r="N175" i="3"/>
  <c r="Q175" i="3"/>
  <c r="AK175" i="3" s="1"/>
  <c r="N177" i="3"/>
  <c r="Q177" i="3"/>
  <c r="AK177" i="3" s="1"/>
  <c r="N182" i="3"/>
  <c r="Q182" i="3"/>
  <c r="AK182" i="3" s="1"/>
  <c r="Q184" i="3"/>
  <c r="AK184" i="3" s="1"/>
  <c r="N184" i="3"/>
  <c r="O184" i="3" s="1"/>
  <c r="AM184" i="3" s="1"/>
  <c r="N186" i="3"/>
  <c r="Q186" i="3"/>
  <c r="AK186" i="3" s="1"/>
  <c r="N188" i="3"/>
  <c r="Q188" i="3"/>
  <c r="AK188" i="3" s="1"/>
  <c r="N190" i="3"/>
  <c r="Q190" i="3"/>
  <c r="AK190" i="3" s="1"/>
  <c r="N196" i="3"/>
  <c r="Q196" i="3"/>
  <c r="AK196" i="3" s="1"/>
  <c r="N198" i="3"/>
  <c r="Q198" i="3"/>
  <c r="AK198" i="3" s="1"/>
  <c r="N203" i="3"/>
  <c r="Q203" i="3"/>
  <c r="AK203" i="3" s="1"/>
  <c r="N205" i="3"/>
  <c r="Q205" i="3"/>
  <c r="AK205" i="3" s="1"/>
  <c r="N210" i="3"/>
  <c r="Q210" i="3"/>
  <c r="AK210" i="3" s="1"/>
  <c r="N215" i="3"/>
  <c r="Q215" i="3"/>
  <c r="AK215" i="3" s="1"/>
  <c r="N217" i="3"/>
  <c r="Q217" i="3"/>
  <c r="AK217" i="3" s="1"/>
  <c r="N223" i="3"/>
  <c r="Q223" i="3"/>
  <c r="AK223" i="3" s="1"/>
  <c r="N225" i="3"/>
  <c r="Q225" i="3"/>
  <c r="AK225" i="3" s="1"/>
  <c r="N227" i="3"/>
  <c r="Q227" i="3"/>
  <c r="AK227" i="3" s="1"/>
  <c r="N229" i="3"/>
  <c r="Q229" i="3"/>
  <c r="AK229" i="3" s="1"/>
  <c r="N231" i="3"/>
  <c r="Q231" i="3"/>
  <c r="AK231" i="3" s="1"/>
  <c r="N236" i="3"/>
  <c r="Q236" i="3"/>
  <c r="AK236" i="3" s="1"/>
  <c r="N238" i="3"/>
  <c r="Q238" i="3"/>
  <c r="AK238" i="3" s="1"/>
  <c r="N240" i="3"/>
  <c r="Q240" i="3"/>
  <c r="AK240" i="3" s="1"/>
  <c r="AK250" i="3"/>
  <c r="N245" i="3"/>
  <c r="Q245" i="3"/>
  <c r="AK245" i="3" s="1"/>
  <c r="N247" i="3"/>
  <c r="O247" i="3" s="1"/>
  <c r="AM247" i="3" s="1"/>
  <c r="Q247" i="3"/>
  <c r="AK247" i="3" s="1"/>
  <c r="N252" i="3"/>
  <c r="O252" i="3" s="1"/>
  <c r="AM252" i="3" s="1"/>
  <c r="Q252" i="3"/>
  <c r="AK252" i="3" s="1"/>
  <c r="N254" i="3"/>
  <c r="O254" i="3" s="1"/>
  <c r="AM254" i="3" s="1"/>
  <c r="Q254" i="3"/>
  <c r="AK254" i="3" s="1"/>
  <c r="N256" i="3"/>
  <c r="O256" i="3" s="1"/>
  <c r="AM256" i="3" s="1"/>
  <c r="Q256" i="3"/>
  <c r="AK256" i="3" s="1"/>
  <c r="N258" i="3"/>
  <c r="O258" i="3" s="1"/>
  <c r="AM258" i="3" s="1"/>
  <c r="Q258" i="3"/>
  <c r="AK258" i="3" s="1"/>
  <c r="N260" i="3"/>
  <c r="O260" i="3" s="1"/>
  <c r="AM260" i="3" s="1"/>
  <c r="Q260" i="3"/>
  <c r="AK260" i="3" s="1"/>
  <c r="N265" i="3"/>
  <c r="O265" i="3" s="1"/>
  <c r="AM265" i="3" s="1"/>
  <c r="Q265" i="3"/>
  <c r="AK265" i="3" s="1"/>
  <c r="N267" i="3"/>
  <c r="O267" i="3" s="1"/>
  <c r="AM267" i="3" s="1"/>
  <c r="Q267" i="3"/>
  <c r="AK267" i="3" s="1"/>
  <c r="N269" i="3"/>
  <c r="O269" i="3" s="1"/>
  <c r="AM269" i="3" s="1"/>
  <c r="Q269" i="3"/>
  <c r="AK269" i="3" s="1"/>
  <c r="N274" i="3"/>
  <c r="O274" i="3" s="1"/>
  <c r="AM274" i="3" s="1"/>
  <c r="Q274" i="3"/>
  <c r="AK274" i="3" s="1"/>
  <c r="N276" i="3"/>
  <c r="O276" i="3" s="1"/>
  <c r="AM276" i="3" s="1"/>
  <c r="Q276" i="3"/>
  <c r="AK276" i="3" s="1"/>
  <c r="N278" i="3"/>
  <c r="O278" i="3" s="1"/>
  <c r="AM278" i="3" s="1"/>
  <c r="Q278" i="3"/>
  <c r="AK278" i="3" s="1"/>
  <c r="N280" i="3"/>
  <c r="O280" i="3" s="1"/>
  <c r="AM280" i="3" s="1"/>
  <c r="Q280" i="3"/>
  <c r="AK280" i="3" s="1"/>
  <c r="N282" i="3"/>
  <c r="O282" i="3" s="1"/>
  <c r="AM282" i="3" s="1"/>
  <c r="Q282" i="3"/>
  <c r="AK282" i="3" s="1"/>
  <c r="N284" i="3"/>
  <c r="O284" i="3" s="1"/>
  <c r="AM284" i="3" s="1"/>
  <c r="Q284" i="3"/>
  <c r="AK284" i="3" s="1"/>
  <c r="N286" i="3"/>
  <c r="O286" i="3" s="1"/>
  <c r="AM286" i="3" s="1"/>
  <c r="Q286" i="3"/>
  <c r="AK286" i="3" s="1"/>
  <c r="N291" i="3"/>
  <c r="O291" i="3" s="1"/>
  <c r="AM291" i="3" s="1"/>
  <c r="Q291" i="3"/>
  <c r="AK291" i="3" s="1"/>
  <c r="N293" i="3"/>
  <c r="O293" i="3" s="1"/>
  <c r="AM293" i="3" s="1"/>
  <c r="Q293" i="3"/>
  <c r="AK293" i="3" s="1"/>
  <c r="N305" i="3"/>
  <c r="O305" i="3" s="1"/>
  <c r="Q305" i="3"/>
  <c r="G307" i="3"/>
  <c r="J307" i="3"/>
  <c r="AG307" i="3" s="1"/>
  <c r="G308" i="3"/>
  <c r="J308" i="3"/>
  <c r="AG308" i="3" s="1"/>
  <c r="G309" i="3"/>
  <c r="J309" i="3"/>
  <c r="AG309" i="3" s="1"/>
  <c r="G310" i="3"/>
  <c r="J310" i="3"/>
  <c r="AG310" i="3" s="1"/>
  <c r="G313" i="3"/>
  <c r="AG319" i="3"/>
  <c r="J313" i="3"/>
  <c r="AG313" i="3" s="1"/>
  <c r="G314" i="3"/>
  <c r="J314" i="3"/>
  <c r="AG314" i="3" s="1"/>
  <c r="G315" i="3"/>
  <c r="J315" i="3"/>
  <c r="AG315" i="3" s="1"/>
  <c r="G316" i="3"/>
  <c r="J316" i="3"/>
  <c r="AG316" i="3" s="1"/>
  <c r="G317" i="3"/>
  <c r="J317" i="3"/>
  <c r="AG317" i="3" s="1"/>
  <c r="G318" i="3"/>
  <c r="J318" i="3"/>
  <c r="AG318" i="3" s="1"/>
  <c r="AG327" i="3"/>
  <c r="G321" i="3"/>
  <c r="J321" i="3"/>
  <c r="AG321" i="3" s="1"/>
  <c r="G322" i="3"/>
  <c r="J322" i="3"/>
  <c r="AG322" i="3" s="1"/>
  <c r="G323" i="3"/>
  <c r="J323" i="3"/>
  <c r="AG323" i="3" s="1"/>
  <c r="G324" i="3"/>
  <c r="J324" i="3"/>
  <c r="AG324" i="3" s="1"/>
  <c r="G325" i="3"/>
  <c r="J325" i="3"/>
  <c r="AG325" i="3" s="1"/>
  <c r="G326" i="3"/>
  <c r="J326" i="3"/>
  <c r="AG326" i="3" s="1"/>
  <c r="G329" i="3"/>
  <c r="AG335" i="3"/>
  <c r="J329" i="3"/>
  <c r="AG329" i="3" s="1"/>
  <c r="G330" i="3"/>
  <c r="J330" i="3"/>
  <c r="AG330" i="3" s="1"/>
  <c r="G331" i="3"/>
  <c r="J331" i="3"/>
  <c r="AG331" i="3" s="1"/>
  <c r="G332" i="3"/>
  <c r="J332" i="3"/>
  <c r="AG332" i="3" s="1"/>
  <c r="G333" i="3"/>
  <c r="J333" i="3"/>
  <c r="AG333" i="3" s="1"/>
  <c r="G334" i="3"/>
  <c r="J334" i="3"/>
  <c r="AG334" i="3" s="1"/>
  <c r="AG343" i="3"/>
  <c r="G337" i="3"/>
  <c r="J337" i="3"/>
  <c r="AG337" i="3" s="1"/>
  <c r="G338" i="3"/>
  <c r="J338" i="3"/>
  <c r="AG338" i="3" s="1"/>
  <c r="G339" i="3"/>
  <c r="J339" i="3"/>
  <c r="AG339" i="3" s="1"/>
  <c r="G340" i="3"/>
  <c r="J340" i="3"/>
  <c r="AG340" i="3" s="1"/>
  <c r="G341" i="3"/>
  <c r="J341" i="3"/>
  <c r="AG341" i="3" s="1"/>
  <c r="G342" i="3"/>
  <c r="J342" i="3"/>
  <c r="AG342" i="3" s="1"/>
  <c r="G345" i="3"/>
  <c r="AG351" i="3"/>
  <c r="J345" i="3"/>
  <c r="AG345" i="3" s="1"/>
  <c r="G346" i="3"/>
  <c r="J346" i="3"/>
  <c r="AG346" i="3" s="1"/>
  <c r="G347" i="3"/>
  <c r="J347" i="3"/>
  <c r="AG347" i="3" s="1"/>
  <c r="G348" i="3"/>
  <c r="J348" i="3"/>
  <c r="AG348" i="3" s="1"/>
  <c r="G349" i="3"/>
  <c r="J349" i="3"/>
  <c r="AG349" i="3" s="1"/>
  <c r="G350" i="3"/>
  <c r="J350" i="3"/>
  <c r="AG350" i="3" s="1"/>
  <c r="G353" i="3"/>
  <c r="AG359" i="3"/>
  <c r="J353" i="3"/>
  <c r="AG353" i="3" s="1"/>
  <c r="G354" i="3"/>
  <c r="J354" i="3"/>
  <c r="AG354" i="3" s="1"/>
  <c r="G355" i="3"/>
  <c r="J355" i="3"/>
  <c r="AG355" i="3" s="1"/>
  <c r="G356" i="3"/>
  <c r="J356" i="3"/>
  <c r="AG356" i="3" s="1"/>
  <c r="G357" i="3"/>
  <c r="J357" i="3"/>
  <c r="AG357" i="3" s="1"/>
  <c r="G358" i="3"/>
  <c r="J358" i="3"/>
  <c r="AG358" i="3" s="1"/>
  <c r="AG367" i="3"/>
  <c r="G361" i="3"/>
  <c r="J361" i="3"/>
  <c r="AG361" i="3" s="1"/>
  <c r="G362" i="3"/>
  <c r="J362" i="3"/>
  <c r="AG362" i="3" s="1"/>
  <c r="G363" i="3"/>
  <c r="J363" i="3"/>
  <c r="AG363" i="3" s="1"/>
  <c r="G364" i="3"/>
  <c r="J364" i="3"/>
  <c r="AG364" i="3" s="1"/>
  <c r="G365" i="3"/>
  <c r="J365" i="3"/>
  <c r="AG365" i="3" s="1"/>
  <c r="G366" i="3"/>
  <c r="J366" i="3"/>
  <c r="AG366" i="3" s="1"/>
  <c r="G369" i="3"/>
  <c r="AG375" i="3"/>
  <c r="J369" i="3"/>
  <c r="AG369" i="3" s="1"/>
  <c r="G370" i="3"/>
  <c r="J370" i="3"/>
  <c r="AG370" i="3" s="1"/>
  <c r="G371" i="3"/>
  <c r="J371" i="3"/>
  <c r="AG371" i="3" s="1"/>
  <c r="G372" i="3"/>
  <c r="J372" i="3"/>
  <c r="AG372" i="3" s="1"/>
  <c r="G373" i="3"/>
  <c r="J373" i="3"/>
  <c r="AG373" i="3" s="1"/>
  <c r="G374" i="3"/>
  <c r="J374" i="3"/>
  <c r="AG374" i="3" s="1"/>
  <c r="G377" i="3"/>
  <c r="J377" i="3"/>
  <c r="AG377" i="3" s="1"/>
  <c r="AG383" i="3"/>
  <c r="G378" i="3"/>
  <c r="J378" i="3"/>
  <c r="AG378" i="3" s="1"/>
  <c r="G379" i="3"/>
  <c r="J379" i="3"/>
  <c r="AG379" i="3" s="1"/>
  <c r="G380" i="3"/>
  <c r="J380" i="3"/>
  <c r="AG380" i="3" s="1"/>
  <c r="G381" i="3"/>
  <c r="J381" i="3"/>
  <c r="AG381" i="3" s="1"/>
  <c r="G382" i="3"/>
  <c r="J382" i="3"/>
  <c r="AG382" i="3" s="1"/>
  <c r="G386" i="3"/>
  <c r="J386" i="3"/>
  <c r="AG386" i="3" s="1"/>
  <c r="G387" i="3"/>
  <c r="J387" i="3"/>
  <c r="AG387" i="3" s="1"/>
  <c r="G388" i="3"/>
  <c r="J388" i="3"/>
  <c r="AG388" i="3" s="1"/>
  <c r="G389" i="3"/>
  <c r="J389" i="3"/>
  <c r="AG389" i="3" s="1"/>
  <c r="G390" i="3"/>
  <c r="J390" i="3"/>
  <c r="AG390" i="3" s="1"/>
  <c r="G391" i="3"/>
  <c r="J391" i="3"/>
  <c r="AG391" i="3" s="1"/>
  <c r="G392" i="3"/>
  <c r="J392" i="3"/>
  <c r="AG392" i="3" s="1"/>
  <c r="G393" i="3"/>
  <c r="J393" i="3"/>
  <c r="AG393" i="3" s="1"/>
  <c r="G394" i="3"/>
  <c r="J394" i="3"/>
  <c r="AG394" i="3" s="1"/>
  <c r="G397" i="3"/>
  <c r="J397" i="3"/>
  <c r="AG397" i="3" s="1"/>
  <c r="G398" i="3"/>
  <c r="J398" i="3"/>
  <c r="AG398" i="3" s="1"/>
  <c r="G399" i="3"/>
  <c r="J399" i="3"/>
  <c r="AG399" i="3" s="1"/>
  <c r="G400" i="3"/>
  <c r="J400" i="3"/>
  <c r="AG400" i="3" s="1"/>
  <c r="G401" i="3"/>
  <c r="J401" i="3"/>
  <c r="AG401" i="3" s="1"/>
  <c r="G402" i="3"/>
  <c r="J402" i="3"/>
  <c r="AG402" i="3" s="1"/>
  <c r="G403" i="3"/>
  <c r="J403" i="3"/>
  <c r="AG403" i="3" s="1"/>
  <c r="J404" i="3"/>
  <c r="AG404" i="3" s="1"/>
  <c r="G404" i="3"/>
  <c r="G407" i="3"/>
  <c r="J407" i="3"/>
  <c r="AG407" i="3" s="1"/>
  <c r="G408" i="3"/>
  <c r="J408" i="3"/>
  <c r="AG408" i="3" s="1"/>
  <c r="G409" i="3"/>
  <c r="J409" i="3"/>
  <c r="AG409" i="3" s="1"/>
  <c r="G410" i="3"/>
  <c r="J410" i="3"/>
  <c r="AG410" i="3" s="1"/>
  <c r="G411" i="3"/>
  <c r="J411" i="3"/>
  <c r="AG411" i="3" s="1"/>
  <c r="G414" i="3"/>
  <c r="J414" i="3"/>
  <c r="AG414" i="3" s="1"/>
  <c r="G415" i="3"/>
  <c r="J415" i="3"/>
  <c r="AG415" i="3" s="1"/>
  <c r="G416" i="3"/>
  <c r="J416" i="3"/>
  <c r="AG416" i="3" s="1"/>
  <c r="J417" i="3"/>
  <c r="AG417" i="3" s="1"/>
  <c r="G417" i="3"/>
  <c r="G420" i="3"/>
  <c r="J420" i="3"/>
  <c r="AG420" i="3" s="1"/>
  <c r="G421" i="3"/>
  <c r="J421" i="3"/>
  <c r="AG421" i="3" s="1"/>
  <c r="G422" i="3"/>
  <c r="J422" i="3"/>
  <c r="AG422" i="3" s="1"/>
  <c r="G423" i="3"/>
  <c r="J423" i="3"/>
  <c r="AG423" i="3" s="1"/>
  <c r="G424" i="3"/>
  <c r="J424" i="3"/>
  <c r="AG424" i="3" s="1"/>
  <c r="G425" i="3"/>
  <c r="J425" i="3"/>
  <c r="AG425" i="3" s="1"/>
  <c r="AG433" i="3"/>
  <c r="G428" i="3"/>
  <c r="J428" i="3"/>
  <c r="AG428" i="3" s="1"/>
  <c r="G429" i="3"/>
  <c r="J429" i="3"/>
  <c r="AG429" i="3" s="1"/>
  <c r="G430" i="3"/>
  <c r="J430" i="3"/>
  <c r="AG430" i="3" s="1"/>
  <c r="G431" i="3"/>
  <c r="J431" i="3"/>
  <c r="AG431" i="3" s="1"/>
  <c r="G432" i="3"/>
  <c r="J432" i="3"/>
  <c r="AG432" i="3" s="1"/>
  <c r="G435" i="3"/>
  <c r="J435" i="3"/>
  <c r="AG435" i="3" s="1"/>
  <c r="J436" i="3"/>
  <c r="AG436" i="3" s="1"/>
  <c r="G436" i="3"/>
  <c r="G437" i="3"/>
  <c r="J437" i="3"/>
  <c r="AG437" i="3" s="1"/>
  <c r="G438" i="3"/>
  <c r="J438" i="3"/>
  <c r="AG438" i="3" s="1"/>
  <c r="G439" i="3"/>
  <c r="AG440" i="3"/>
  <c r="J439" i="3"/>
  <c r="AG439" i="3" s="1"/>
  <c r="G442" i="3"/>
  <c r="J442" i="3"/>
  <c r="AG442" i="3" s="1"/>
  <c r="G443" i="3"/>
  <c r="J443" i="3"/>
  <c r="AG443" i="3" s="1"/>
  <c r="G444" i="3"/>
  <c r="J444" i="3"/>
  <c r="AG444" i="3" s="1"/>
  <c r="G445" i="3"/>
  <c r="J445" i="3"/>
  <c r="AG445" i="3" s="1"/>
  <c r="G446" i="3"/>
  <c r="J446" i="3"/>
  <c r="AG446" i="3" s="1"/>
  <c r="G447" i="3"/>
  <c r="J447" i="3"/>
  <c r="AG447" i="3" s="1"/>
  <c r="G448" i="3"/>
  <c r="J448" i="3"/>
  <c r="AG448" i="3" s="1"/>
  <c r="G449" i="3"/>
  <c r="J449" i="3"/>
  <c r="AG449" i="3" s="1"/>
  <c r="G450" i="3"/>
  <c r="J450" i="3"/>
  <c r="AG450" i="3" s="1"/>
  <c r="G451" i="3"/>
  <c r="J451" i="3"/>
  <c r="AG451" i="3" s="1"/>
  <c r="G452" i="3"/>
  <c r="J452" i="3"/>
  <c r="AG452" i="3" s="1"/>
  <c r="X5" i="3"/>
  <c r="X218" i="3"/>
  <c r="AO218" i="3" s="1"/>
  <c r="X199" i="3"/>
  <c r="AO199" i="3" s="1"/>
  <c r="X241" i="3"/>
  <c r="AO241" i="3" s="1"/>
  <c r="X232" i="3"/>
  <c r="AO232" i="3" s="1"/>
  <c r="X148" i="3"/>
  <c r="AO148" i="3" s="1"/>
  <c r="X115" i="3"/>
  <c r="AO115" i="3" s="1"/>
  <c r="X179" i="3"/>
  <c r="AO179" i="3" s="1"/>
  <c r="X74" i="3"/>
  <c r="AO74" i="3" s="1"/>
  <c r="X51" i="3"/>
  <c r="AO51" i="3" s="1"/>
  <c r="X19" i="3"/>
  <c r="AO19" i="3" s="1"/>
  <c r="X270" i="3"/>
  <c r="AO270" i="3" s="1"/>
  <c r="X261" i="3"/>
  <c r="AO261" i="3" s="1"/>
  <c r="X295" i="3"/>
  <c r="AO295" i="3" s="1"/>
  <c r="X249" i="3"/>
  <c r="AO249" i="3" s="1"/>
  <c r="X206" i="3"/>
  <c r="AO206" i="3" s="1"/>
  <c r="X191" i="3"/>
  <c r="AO191" i="3" s="1"/>
  <c r="X212" i="3"/>
  <c r="AO212" i="3" s="1"/>
  <c r="X125" i="3"/>
  <c r="AO125" i="3" s="1"/>
  <c r="X107" i="3"/>
  <c r="AO107" i="3" s="1"/>
  <c r="X172" i="3"/>
  <c r="AO172" i="3" s="1"/>
  <c r="X44" i="3"/>
  <c r="AO44" i="3" s="1"/>
  <c r="X35" i="3"/>
  <c r="AO35" i="3" s="1"/>
  <c r="X27" i="3"/>
  <c r="U16" i="3"/>
  <c r="X16" i="3"/>
  <c r="AO16" i="3" s="1"/>
  <c r="X18" i="3"/>
  <c r="AO18" i="3" s="1"/>
  <c r="U18" i="3"/>
  <c r="U24" i="3"/>
  <c r="V24" i="3" s="1"/>
  <c r="AQ24" i="3" s="1"/>
  <c r="X24" i="3"/>
  <c r="AO24" i="3" s="1"/>
  <c r="U26" i="3"/>
  <c r="V26" i="3" s="1"/>
  <c r="AQ26" i="3" s="1"/>
  <c r="X26" i="3"/>
  <c r="AO26" i="3" s="1"/>
  <c r="U31" i="3"/>
  <c r="V31" i="3" s="1"/>
  <c r="AQ31" i="3" s="1"/>
  <c r="X31" i="3"/>
  <c r="AO31" i="3" s="1"/>
  <c r="U33" i="3"/>
  <c r="V33" i="3" s="1"/>
  <c r="AQ33" i="3" s="1"/>
  <c r="X33" i="3"/>
  <c r="AO33" i="3" s="1"/>
  <c r="U38" i="3"/>
  <c r="V38" i="3" s="1"/>
  <c r="AQ38" i="3" s="1"/>
  <c r="X38" i="3"/>
  <c r="AO38" i="3" s="1"/>
  <c r="U40" i="3"/>
  <c r="V40" i="3" s="1"/>
  <c r="AQ40" i="3" s="1"/>
  <c r="X40" i="3"/>
  <c r="AO40" i="3" s="1"/>
  <c r="U42" i="3"/>
  <c r="V42" i="3" s="1"/>
  <c r="AQ42" i="3" s="1"/>
  <c r="X42" i="3"/>
  <c r="AO42" i="3" s="1"/>
  <c r="U47" i="3"/>
  <c r="AO52" i="3"/>
  <c r="X47" i="3"/>
  <c r="AO47" i="3" s="1"/>
  <c r="U49" i="3"/>
  <c r="X49" i="3"/>
  <c r="AO49" i="3" s="1"/>
  <c r="U54" i="3"/>
  <c r="X54" i="3"/>
  <c r="AO54" i="3" s="1"/>
  <c r="U56" i="3"/>
  <c r="X56" i="3"/>
  <c r="AO56" i="3" s="1"/>
  <c r="U58" i="3"/>
  <c r="X58" i="3"/>
  <c r="AO58" i="3" s="1"/>
  <c r="U60" i="3"/>
  <c r="X60" i="3"/>
  <c r="AO60" i="3" s="1"/>
  <c r="U62" i="3"/>
  <c r="X62" i="3"/>
  <c r="AO62" i="3" s="1"/>
  <c r="U64" i="3"/>
  <c r="X64" i="3"/>
  <c r="AO64" i="3" s="1"/>
  <c r="U69" i="3"/>
  <c r="X69" i="3"/>
  <c r="AO69" i="3" s="1"/>
  <c r="U71" i="3"/>
  <c r="X71" i="3"/>
  <c r="AO71" i="3" s="1"/>
  <c r="U73" i="3"/>
  <c r="X73" i="3"/>
  <c r="AO73" i="3" s="1"/>
  <c r="U79" i="3"/>
  <c r="X79" i="3"/>
  <c r="AO79" i="3" s="1"/>
  <c r="U81" i="3"/>
  <c r="X81" i="3"/>
  <c r="AO81" i="3" s="1"/>
  <c r="U83" i="3"/>
  <c r="X83" i="3"/>
  <c r="AO83" i="3" s="1"/>
  <c r="U85" i="3"/>
  <c r="X85" i="3"/>
  <c r="AO85" i="3" s="1"/>
  <c r="U87" i="3"/>
  <c r="X87" i="3"/>
  <c r="AO87" i="3" s="1"/>
  <c r="U92" i="3"/>
  <c r="X92" i="3"/>
  <c r="AO92" i="3" s="1"/>
  <c r="U94" i="3"/>
  <c r="X94" i="3"/>
  <c r="AO94" i="3" s="1"/>
  <c r="U96" i="3"/>
  <c r="X96" i="3"/>
  <c r="AO96" i="3" s="1"/>
  <c r="U98" i="3"/>
  <c r="X98" i="3"/>
  <c r="AO98" i="3" s="1"/>
  <c r="U103" i="3"/>
  <c r="X103" i="3"/>
  <c r="AO103" i="3" s="1"/>
  <c r="AO108" i="3"/>
  <c r="U105" i="3"/>
  <c r="V105" i="3" s="1"/>
  <c r="AQ105" i="3" s="1"/>
  <c r="X105" i="3"/>
  <c r="AO105" i="3" s="1"/>
  <c r="U111" i="3"/>
  <c r="X111" i="3"/>
  <c r="AO111" i="3" s="1"/>
  <c r="AO116" i="3"/>
  <c r="U113" i="3"/>
  <c r="X113" i="3"/>
  <c r="AO113" i="3" s="1"/>
  <c r="U121" i="3"/>
  <c r="X121" i="3"/>
  <c r="AO121" i="3" s="1"/>
  <c r="AO126" i="3"/>
  <c r="U123" i="3"/>
  <c r="V123" i="3" s="1"/>
  <c r="AQ123" i="3" s="1"/>
  <c r="X123" i="3"/>
  <c r="AO123" i="3" s="1"/>
  <c r="U130" i="3"/>
  <c r="V130" i="3" s="1"/>
  <c r="AQ130" i="3" s="1"/>
  <c r="X130" i="3"/>
  <c r="AO130" i="3" s="1"/>
  <c r="U132" i="3"/>
  <c r="V132" i="3" s="1"/>
  <c r="AQ132" i="3" s="1"/>
  <c r="X132" i="3"/>
  <c r="AO132" i="3" s="1"/>
  <c r="U134" i="3"/>
  <c r="V134" i="3" s="1"/>
  <c r="AQ134" i="3" s="1"/>
  <c r="X134" i="3"/>
  <c r="AO134" i="3" s="1"/>
  <c r="U136" i="3"/>
  <c r="V136" i="3" s="1"/>
  <c r="AQ136" i="3" s="1"/>
  <c r="X136" i="3"/>
  <c r="AO136" i="3" s="1"/>
  <c r="U138" i="3"/>
  <c r="V138" i="3" s="1"/>
  <c r="AQ138" i="3" s="1"/>
  <c r="X138" i="3"/>
  <c r="AO138" i="3" s="1"/>
  <c r="U140" i="3"/>
  <c r="V140" i="3" s="1"/>
  <c r="AQ140" i="3" s="1"/>
  <c r="X140" i="3"/>
  <c r="AO140" i="3" s="1"/>
  <c r="U145" i="3"/>
  <c r="V145" i="3" s="1"/>
  <c r="AQ145" i="3" s="1"/>
  <c r="X145" i="3"/>
  <c r="AO145" i="3" s="1"/>
  <c r="U147" i="3"/>
  <c r="V147" i="3" s="1"/>
  <c r="AQ147" i="3" s="1"/>
  <c r="X147" i="3"/>
  <c r="AO147" i="3" s="1"/>
  <c r="U154" i="3"/>
  <c r="V154" i="3" s="1"/>
  <c r="AQ154" i="3" s="1"/>
  <c r="X154" i="3"/>
  <c r="AO154" i="3" s="1"/>
  <c r="U156" i="3"/>
  <c r="V156" i="3" s="1"/>
  <c r="AQ156" i="3" s="1"/>
  <c r="X156" i="3"/>
  <c r="AO156" i="3" s="1"/>
  <c r="U158" i="3"/>
  <c r="V158" i="3" s="1"/>
  <c r="AQ158" i="3" s="1"/>
  <c r="X158" i="3"/>
  <c r="AO158" i="3" s="1"/>
  <c r="U160" i="3"/>
  <c r="V160" i="3" s="1"/>
  <c r="AQ160" i="3" s="1"/>
  <c r="X160" i="3"/>
  <c r="AO160" i="3" s="1"/>
  <c r="U162" i="3"/>
  <c r="V162" i="3" s="1"/>
  <c r="AQ162" i="3" s="1"/>
  <c r="X162" i="3"/>
  <c r="AO162" i="3" s="1"/>
  <c r="U164" i="3"/>
  <c r="V164" i="3" s="1"/>
  <c r="AQ164" i="3" s="1"/>
  <c r="X164" i="3"/>
  <c r="AO164" i="3" s="1"/>
  <c r="U169" i="3"/>
  <c r="V169" i="3" s="1"/>
  <c r="AQ169" i="3" s="1"/>
  <c r="X169" i="3"/>
  <c r="AO169" i="3" s="1"/>
  <c r="U171" i="3"/>
  <c r="V171" i="3" s="1"/>
  <c r="AQ171" i="3" s="1"/>
  <c r="X171" i="3"/>
  <c r="AO171" i="3" s="1"/>
  <c r="U176" i="3"/>
  <c r="V176" i="3" s="1"/>
  <c r="AQ176" i="3" s="1"/>
  <c r="X176" i="3"/>
  <c r="AO176" i="3" s="1"/>
  <c r="U178" i="3"/>
  <c r="V178" i="3" s="1"/>
  <c r="AQ178" i="3" s="1"/>
  <c r="X178" i="3"/>
  <c r="AO178" i="3" s="1"/>
  <c r="U183" i="3"/>
  <c r="V183" i="3" s="1"/>
  <c r="AQ183" i="3" s="1"/>
  <c r="X183" i="3"/>
  <c r="AO183" i="3" s="1"/>
  <c r="U185" i="3"/>
  <c r="V185" i="3" s="1"/>
  <c r="AQ185" i="3" s="1"/>
  <c r="X185" i="3"/>
  <c r="AO185" i="3" s="1"/>
  <c r="U187" i="3"/>
  <c r="V187" i="3" s="1"/>
  <c r="AQ187" i="3" s="1"/>
  <c r="X187" i="3"/>
  <c r="AO187" i="3" s="1"/>
  <c r="U189" i="3"/>
  <c r="V189" i="3" s="1"/>
  <c r="AQ189" i="3" s="1"/>
  <c r="X189" i="3"/>
  <c r="AO189" i="3" s="1"/>
  <c r="U195" i="3"/>
  <c r="V195" i="3" s="1"/>
  <c r="AQ195" i="3" s="1"/>
  <c r="X195" i="3"/>
  <c r="AO195" i="3" s="1"/>
  <c r="U197" i="3"/>
  <c r="V197" i="3" s="1"/>
  <c r="AQ197" i="3" s="1"/>
  <c r="X197" i="3"/>
  <c r="AO197" i="3" s="1"/>
  <c r="U202" i="3"/>
  <c r="V202" i="3" s="1"/>
  <c r="AQ202" i="3" s="1"/>
  <c r="X202" i="3"/>
  <c r="AO202" i="3" s="1"/>
  <c r="U204" i="3"/>
  <c r="V204" i="3" s="1"/>
  <c r="AQ204" i="3" s="1"/>
  <c r="X204" i="3"/>
  <c r="AO204" i="3" s="1"/>
  <c r="U209" i="3"/>
  <c r="V209" i="3" s="1"/>
  <c r="AQ209" i="3" s="1"/>
  <c r="X209" i="3"/>
  <c r="AO209" i="3" s="1"/>
  <c r="U211" i="3"/>
  <c r="V211" i="3" s="1"/>
  <c r="AQ211" i="3" s="1"/>
  <c r="X211" i="3"/>
  <c r="AO211" i="3" s="1"/>
  <c r="U216" i="3"/>
  <c r="V216" i="3" s="1"/>
  <c r="AQ216" i="3" s="1"/>
  <c r="X216" i="3"/>
  <c r="AO216" i="3" s="1"/>
  <c r="U222" i="3"/>
  <c r="V222" i="3" s="1"/>
  <c r="AQ222" i="3" s="1"/>
  <c r="X222" i="3"/>
  <c r="AO222" i="3" s="1"/>
  <c r="U224" i="3"/>
  <c r="V224" i="3" s="1"/>
  <c r="AQ224" i="3" s="1"/>
  <c r="X224" i="3"/>
  <c r="AO224" i="3" s="1"/>
  <c r="U226" i="3"/>
  <c r="V226" i="3" s="1"/>
  <c r="AQ226" i="3" s="1"/>
  <c r="X226" i="3"/>
  <c r="AO226" i="3" s="1"/>
  <c r="U228" i="3"/>
  <c r="V228" i="3" s="1"/>
  <c r="AQ228" i="3" s="1"/>
  <c r="X228" i="3"/>
  <c r="AO228" i="3" s="1"/>
  <c r="U230" i="3"/>
  <c r="V230" i="3" s="1"/>
  <c r="AQ230" i="3" s="1"/>
  <c r="X230" i="3"/>
  <c r="AO230" i="3" s="1"/>
  <c r="U235" i="3"/>
  <c r="V235" i="3" s="1"/>
  <c r="AQ235" i="3" s="1"/>
  <c r="X235" i="3"/>
  <c r="AO235" i="3" s="1"/>
  <c r="U237" i="3"/>
  <c r="V237" i="3" s="1"/>
  <c r="AQ237" i="3" s="1"/>
  <c r="X237" i="3"/>
  <c r="AO237" i="3" s="1"/>
  <c r="U239" i="3"/>
  <c r="V239" i="3" s="1"/>
  <c r="AQ239" i="3" s="1"/>
  <c r="X239" i="3"/>
  <c r="AO239" i="3" s="1"/>
  <c r="U244" i="3"/>
  <c r="V244" i="3" s="1"/>
  <c r="AQ244" i="3" s="1"/>
  <c r="X244" i="3"/>
  <c r="AO244" i="3" s="1"/>
  <c r="U246" i="3"/>
  <c r="V246" i="3" s="1"/>
  <c r="AQ246" i="3" s="1"/>
  <c r="X246" i="3"/>
  <c r="AO246" i="3" s="1"/>
  <c r="U248" i="3"/>
  <c r="V248" i="3" s="1"/>
  <c r="AQ248" i="3" s="1"/>
  <c r="X248" i="3"/>
  <c r="AO248" i="3" s="1"/>
  <c r="U253" i="3"/>
  <c r="V253" i="3" s="1"/>
  <c r="AQ253" i="3" s="1"/>
  <c r="X253" i="3"/>
  <c r="AO253" i="3" s="1"/>
  <c r="U255" i="3"/>
  <c r="V255" i="3" s="1"/>
  <c r="AQ255" i="3" s="1"/>
  <c r="X255" i="3"/>
  <c r="AO255" i="3" s="1"/>
  <c r="U257" i="3"/>
  <c r="V257" i="3" s="1"/>
  <c r="AQ257" i="3" s="1"/>
  <c r="X257" i="3"/>
  <c r="AO257" i="3" s="1"/>
  <c r="U259" i="3"/>
  <c r="V259" i="3" s="1"/>
  <c r="AQ259" i="3" s="1"/>
  <c r="X259" i="3"/>
  <c r="AO259" i="3" s="1"/>
  <c r="U264" i="3"/>
  <c r="V264" i="3" s="1"/>
  <c r="AQ264" i="3" s="1"/>
  <c r="X264" i="3"/>
  <c r="AO264" i="3" s="1"/>
  <c r="U266" i="3"/>
  <c r="V266" i="3" s="1"/>
  <c r="AQ266" i="3" s="1"/>
  <c r="X266" i="3"/>
  <c r="AO266" i="3" s="1"/>
  <c r="U268" i="3"/>
  <c r="V268" i="3" s="1"/>
  <c r="AQ268" i="3" s="1"/>
  <c r="X268" i="3"/>
  <c r="AO268" i="3" s="1"/>
  <c r="U273" i="3"/>
  <c r="V273" i="3" s="1"/>
  <c r="AQ273" i="3" s="1"/>
  <c r="X273" i="3"/>
  <c r="AO273" i="3" s="1"/>
  <c r="U275" i="3"/>
  <c r="V275" i="3" s="1"/>
  <c r="AQ275" i="3" s="1"/>
  <c r="X275" i="3"/>
  <c r="AO275" i="3" s="1"/>
  <c r="U277" i="3"/>
  <c r="V277" i="3" s="1"/>
  <c r="AQ277" i="3" s="1"/>
  <c r="X277" i="3"/>
  <c r="AO277" i="3" s="1"/>
  <c r="U279" i="3"/>
  <c r="V279" i="3" s="1"/>
  <c r="AQ279" i="3" s="1"/>
  <c r="X279" i="3"/>
  <c r="AO279" i="3" s="1"/>
  <c r="U281" i="3"/>
  <c r="V281" i="3" s="1"/>
  <c r="AQ281" i="3" s="1"/>
  <c r="X281" i="3"/>
  <c r="AO281" i="3" s="1"/>
  <c r="AP296" i="3"/>
  <c r="Z290" i="3"/>
  <c r="AP290" i="3" s="1"/>
  <c r="S17" i="6"/>
  <c r="AL17" i="6" s="1"/>
  <c r="S270" i="6"/>
  <c r="AL270" i="6" s="1"/>
  <c r="S249" i="6"/>
  <c r="AL249" i="6" s="1"/>
  <c r="S199" i="6"/>
  <c r="AL199" i="6" s="1"/>
  <c r="S241" i="6"/>
  <c r="AL241" i="6" s="1"/>
  <c r="S212" i="6"/>
  <c r="AL212" i="6" s="1"/>
  <c r="S74" i="6"/>
  <c r="AL74" i="6" s="1"/>
  <c r="S44" i="6"/>
  <c r="AL44" i="6" s="1"/>
  <c r="S27" i="6"/>
  <c r="S148" i="6"/>
  <c r="AL148" i="6" s="1"/>
  <c r="S125" i="6"/>
  <c r="AL125" i="6" s="1"/>
  <c r="S107" i="6"/>
  <c r="AL107" i="6" s="1"/>
  <c r="S261" i="6"/>
  <c r="AL261" i="6" s="1"/>
  <c r="S295" i="6"/>
  <c r="AL295" i="6" s="1"/>
  <c r="S218" i="6"/>
  <c r="AL218" i="6" s="1"/>
  <c r="S206" i="6"/>
  <c r="AL206" i="6" s="1"/>
  <c r="S191" i="6"/>
  <c r="AL191" i="6" s="1"/>
  <c r="S232" i="6"/>
  <c r="AL232" i="6" s="1"/>
  <c r="S179" i="6"/>
  <c r="AL179" i="6" s="1"/>
  <c r="S172" i="6"/>
  <c r="AL172" i="6" s="1"/>
  <c r="S51" i="6"/>
  <c r="AL51" i="6" s="1"/>
  <c r="S35" i="6"/>
  <c r="AL35" i="6" s="1"/>
  <c r="S19" i="6"/>
  <c r="AL19" i="6" s="1"/>
  <c r="S115" i="6"/>
  <c r="AL115" i="6" s="1"/>
  <c r="J16" i="6"/>
  <c r="AG16" i="6" s="1"/>
  <c r="G16" i="6"/>
  <c r="S23" i="6"/>
  <c r="AL23" i="6" s="1"/>
  <c r="S24" i="6"/>
  <c r="AL24" i="6" s="1"/>
  <c r="S25" i="6"/>
  <c r="AL25" i="6" s="1"/>
  <c r="S26" i="6"/>
  <c r="AL26" i="6" s="1"/>
  <c r="S30" i="6"/>
  <c r="AL30" i="6" s="1"/>
  <c r="S31" i="6"/>
  <c r="AL31" i="6" s="1"/>
  <c r="S32" i="6"/>
  <c r="AL32" i="6" s="1"/>
  <c r="S33" i="6"/>
  <c r="AL33" i="6" s="1"/>
  <c r="S34" i="6"/>
  <c r="AL34" i="6" s="1"/>
  <c r="N39" i="6"/>
  <c r="Q39" i="6"/>
  <c r="AK39" i="6" s="1"/>
  <c r="N41" i="6"/>
  <c r="Q41" i="6"/>
  <c r="AK41" i="6" s="1"/>
  <c r="N43" i="6"/>
  <c r="Q43" i="6"/>
  <c r="AK43" i="6" s="1"/>
  <c r="AL52" i="6"/>
  <c r="S47" i="6"/>
  <c r="AL47" i="6" s="1"/>
  <c r="N49" i="6"/>
  <c r="Q49" i="6"/>
  <c r="AK49" i="6" s="1"/>
  <c r="N78" i="6"/>
  <c r="Q78" i="6"/>
  <c r="AK78" i="6" s="1"/>
  <c r="N80" i="6"/>
  <c r="Q80" i="6"/>
  <c r="AK80" i="6" s="1"/>
  <c r="N82" i="6"/>
  <c r="Q82" i="6"/>
  <c r="AK82" i="6" s="1"/>
  <c r="N84" i="6"/>
  <c r="Q84" i="6"/>
  <c r="AK84" i="6" s="1"/>
  <c r="N86" i="6"/>
  <c r="Q86" i="6"/>
  <c r="AK86" i="6" s="1"/>
  <c r="N88" i="6"/>
  <c r="Q88" i="6"/>
  <c r="AK88" i="6" s="1"/>
  <c r="N93" i="6"/>
  <c r="Q93" i="6"/>
  <c r="AK93" i="6" s="1"/>
  <c r="N95" i="6"/>
  <c r="Q95" i="6"/>
  <c r="AK95" i="6" s="1"/>
  <c r="N97" i="6"/>
  <c r="Q97" i="6"/>
  <c r="AK97" i="6" s="1"/>
  <c r="N99" i="6"/>
  <c r="Q99" i="6"/>
  <c r="AK99" i="6" s="1"/>
  <c r="G104" i="6"/>
  <c r="J104" i="6"/>
  <c r="AG104" i="6" s="1"/>
  <c r="G105" i="6"/>
  <c r="J105" i="6"/>
  <c r="AG105" i="6" s="1"/>
  <c r="G106" i="6"/>
  <c r="J106" i="6"/>
  <c r="AG106" i="6" s="1"/>
  <c r="AG116" i="6"/>
  <c r="G111" i="6"/>
  <c r="J111" i="6"/>
  <c r="AG111" i="6" s="1"/>
  <c r="N130" i="6"/>
  <c r="Q130" i="6"/>
  <c r="AK130" i="6" s="1"/>
  <c r="N132" i="6"/>
  <c r="Q132" i="6"/>
  <c r="AK132" i="6" s="1"/>
  <c r="N134" i="6"/>
  <c r="Q134" i="6"/>
  <c r="AK134" i="6" s="1"/>
  <c r="N136" i="6"/>
  <c r="Q136" i="6"/>
  <c r="AK136" i="6" s="1"/>
  <c r="N138" i="6"/>
  <c r="Q138" i="6"/>
  <c r="AK138" i="6" s="1"/>
  <c r="N140" i="6"/>
  <c r="Q140" i="6"/>
  <c r="AK140" i="6" s="1"/>
  <c r="G183" i="6"/>
  <c r="J183" i="6"/>
  <c r="AG183" i="6" s="1"/>
  <c r="G184" i="6"/>
  <c r="J184" i="6"/>
  <c r="AG184" i="6" s="1"/>
  <c r="G185" i="6"/>
  <c r="J185" i="6"/>
  <c r="AG185" i="6" s="1"/>
  <c r="G186" i="6"/>
  <c r="J186" i="6"/>
  <c r="AG186" i="6" s="1"/>
  <c r="G187" i="6"/>
  <c r="J187" i="6"/>
  <c r="AG187" i="6" s="1"/>
  <c r="G188" i="6"/>
  <c r="J188" i="6"/>
  <c r="AG188" i="6" s="1"/>
  <c r="G189" i="6"/>
  <c r="J189" i="6"/>
  <c r="AG189" i="6" s="1"/>
  <c r="G190" i="6"/>
  <c r="J190" i="6"/>
  <c r="AG190" i="6" s="1"/>
  <c r="G202" i="6"/>
  <c r="J202" i="6"/>
  <c r="AG202" i="6" s="1"/>
  <c r="G203" i="6"/>
  <c r="J203" i="6"/>
  <c r="AG203" i="6" s="1"/>
  <c r="G204" i="6"/>
  <c r="J204" i="6"/>
  <c r="AG204" i="6" s="1"/>
  <c r="G205" i="6"/>
  <c r="J205" i="6"/>
  <c r="AG205" i="6" s="1"/>
  <c r="S19" i="3"/>
  <c r="AL19" i="3" s="1"/>
  <c r="S295" i="3"/>
  <c r="AL295" i="3" s="1"/>
  <c r="S270" i="3"/>
  <c r="AL270" i="3" s="1"/>
  <c r="S241" i="3"/>
  <c r="AL241" i="3" s="1"/>
  <c r="S212" i="3"/>
  <c r="AL212" i="3" s="1"/>
  <c r="S218" i="3"/>
  <c r="AL218" i="3" s="1"/>
  <c r="S206" i="3"/>
  <c r="AL206" i="3" s="1"/>
  <c r="S191" i="3"/>
  <c r="AL191" i="3" s="1"/>
  <c r="S179" i="3"/>
  <c r="AL179" i="3" s="1"/>
  <c r="S74" i="3"/>
  <c r="AL74" i="3" s="1"/>
  <c r="S44" i="3"/>
  <c r="AL44" i="3" s="1"/>
  <c r="S27" i="3"/>
  <c r="S115" i="3"/>
  <c r="AL115" i="3" s="1"/>
  <c r="S261" i="3"/>
  <c r="AL261" i="3" s="1"/>
  <c r="S232" i="3"/>
  <c r="AL232" i="3" s="1"/>
  <c r="S249" i="3"/>
  <c r="AL249" i="3" s="1"/>
  <c r="S199" i="3"/>
  <c r="AL199" i="3" s="1"/>
  <c r="S172" i="3"/>
  <c r="AL172" i="3" s="1"/>
  <c r="S51" i="3"/>
  <c r="AL51" i="3" s="1"/>
  <c r="S35" i="3"/>
  <c r="AL35" i="3" s="1"/>
  <c r="S148" i="3"/>
  <c r="AL148" i="3" s="1"/>
  <c r="S125" i="3"/>
  <c r="AL125" i="3" s="1"/>
  <c r="S107" i="3"/>
  <c r="AL107" i="3" s="1"/>
  <c r="S15" i="3"/>
  <c r="AL15" i="3" s="1"/>
  <c r="S16" i="3"/>
  <c r="AL16" i="3" s="1"/>
  <c r="S17" i="3"/>
  <c r="AL17" i="3" s="1"/>
  <c r="S18" i="3"/>
  <c r="AL18" i="3" s="1"/>
  <c r="S23" i="3"/>
  <c r="AL23" i="3" s="1"/>
  <c r="N24" i="3"/>
  <c r="Q24" i="3"/>
  <c r="AK24" i="3" s="1"/>
  <c r="S25" i="3"/>
  <c r="AL25" i="3" s="1"/>
  <c r="S26" i="3"/>
  <c r="AL26" i="3" s="1"/>
  <c r="S30" i="3"/>
  <c r="AL30" i="3" s="1"/>
  <c r="S31" i="3"/>
  <c r="AL31" i="3" s="1"/>
  <c r="S32" i="3"/>
  <c r="AL32" i="3" s="1"/>
  <c r="S33" i="3"/>
  <c r="AL33" i="3" s="1"/>
  <c r="S34" i="3"/>
  <c r="AL34" i="3" s="1"/>
  <c r="S38" i="3"/>
  <c r="AL38" i="3" s="1"/>
  <c r="S39" i="3"/>
  <c r="AL39" i="3" s="1"/>
  <c r="S40" i="3"/>
  <c r="AL40" i="3" s="1"/>
  <c r="S41" i="3"/>
  <c r="AL41" i="3" s="1"/>
  <c r="S42" i="3"/>
  <c r="AL42" i="3" s="1"/>
  <c r="S43" i="3"/>
  <c r="AL43" i="3" s="1"/>
  <c r="AL52" i="3"/>
  <c r="S47" i="3"/>
  <c r="AL47" i="3" s="1"/>
  <c r="S48" i="3"/>
  <c r="AL48" i="3" s="1"/>
  <c r="S49" i="3"/>
  <c r="AL49" i="3" s="1"/>
  <c r="S50" i="3"/>
  <c r="AL50" i="3" s="1"/>
  <c r="S54" i="3"/>
  <c r="AL54" i="3" s="1"/>
  <c r="S55" i="3"/>
  <c r="AL55" i="3" s="1"/>
  <c r="S56" i="3"/>
  <c r="AL56" i="3" s="1"/>
  <c r="S57" i="3"/>
  <c r="AL57" i="3" s="1"/>
  <c r="S58" i="3"/>
  <c r="AL58" i="3" s="1"/>
  <c r="S59" i="3"/>
  <c r="AL59" i="3" s="1"/>
  <c r="S60" i="3"/>
  <c r="AL60" i="3" s="1"/>
  <c r="S61" i="3"/>
  <c r="AL61" i="3" s="1"/>
  <c r="S62" i="3"/>
  <c r="AL62" i="3" s="1"/>
  <c r="S63" i="3"/>
  <c r="AL63" i="3" s="1"/>
  <c r="S64" i="3"/>
  <c r="AL64" i="3" s="1"/>
  <c r="S68" i="3"/>
  <c r="AL68" i="3" s="1"/>
  <c r="S69" i="3"/>
  <c r="AL69" i="3" s="1"/>
  <c r="S70" i="3"/>
  <c r="AL70" i="3" s="1"/>
  <c r="S71" i="3"/>
  <c r="AL71" i="3" s="1"/>
  <c r="S72" i="3"/>
  <c r="AL72" i="3" s="1"/>
  <c r="S73" i="3"/>
  <c r="AL73" i="3" s="1"/>
  <c r="S78" i="3"/>
  <c r="AL78" i="3" s="1"/>
  <c r="S79" i="3"/>
  <c r="AL79" i="3" s="1"/>
  <c r="S80" i="3"/>
  <c r="AL80" i="3" s="1"/>
  <c r="S81" i="3"/>
  <c r="AL81" i="3" s="1"/>
  <c r="S82" i="3"/>
  <c r="AL82" i="3" s="1"/>
  <c r="S83" i="3"/>
  <c r="AL83" i="3" s="1"/>
  <c r="S84" i="3"/>
  <c r="AL84" i="3" s="1"/>
  <c r="S85" i="3"/>
  <c r="AL85" i="3" s="1"/>
  <c r="S86" i="3"/>
  <c r="AL86" i="3" s="1"/>
  <c r="S87" i="3"/>
  <c r="AL87" i="3" s="1"/>
  <c r="S88" i="3"/>
  <c r="AL88" i="3" s="1"/>
  <c r="S92" i="3"/>
  <c r="AL92" i="3" s="1"/>
  <c r="S93" i="3"/>
  <c r="AL93" i="3" s="1"/>
  <c r="S94" i="3"/>
  <c r="AL94" i="3" s="1"/>
  <c r="S95" i="3"/>
  <c r="AL95" i="3" s="1"/>
  <c r="S96" i="3"/>
  <c r="AL96" i="3" s="1"/>
  <c r="S97" i="3"/>
  <c r="AL97" i="3" s="1"/>
  <c r="S98" i="3"/>
  <c r="AL98" i="3" s="1"/>
  <c r="S99" i="3"/>
  <c r="AL99" i="3" s="1"/>
  <c r="AL108" i="3"/>
  <c r="S103" i="3"/>
  <c r="AL103" i="3" s="1"/>
  <c r="S104" i="3"/>
  <c r="AL104" i="3" s="1"/>
  <c r="S105" i="3"/>
  <c r="AL105" i="3" s="1"/>
  <c r="S106" i="3"/>
  <c r="AL106" i="3" s="1"/>
  <c r="AL116" i="3"/>
  <c r="S111" i="3"/>
  <c r="AL111" i="3" s="1"/>
  <c r="S112" i="3"/>
  <c r="AL112" i="3" s="1"/>
  <c r="S113" i="3"/>
  <c r="AL113" i="3" s="1"/>
  <c r="S114" i="3"/>
  <c r="AL114" i="3" s="1"/>
  <c r="AL126" i="3"/>
  <c r="S121" i="3"/>
  <c r="AL121" i="3" s="1"/>
  <c r="S122" i="3"/>
  <c r="AL122" i="3" s="1"/>
  <c r="S123" i="3"/>
  <c r="AL123" i="3" s="1"/>
  <c r="S124" i="3"/>
  <c r="AL124" i="3" s="1"/>
  <c r="S130" i="3"/>
  <c r="AL130" i="3" s="1"/>
  <c r="S131" i="3"/>
  <c r="AL131" i="3" s="1"/>
  <c r="S132" i="3"/>
  <c r="AL132" i="3" s="1"/>
  <c r="S133" i="3"/>
  <c r="AL133" i="3" s="1"/>
  <c r="S134" i="3"/>
  <c r="AL134" i="3" s="1"/>
  <c r="S135" i="3"/>
  <c r="AL135" i="3" s="1"/>
  <c r="S136" i="3"/>
  <c r="AL136" i="3" s="1"/>
  <c r="S137" i="3"/>
  <c r="AL137" i="3" s="1"/>
  <c r="S138" i="3"/>
  <c r="AL138" i="3" s="1"/>
  <c r="S139" i="3"/>
  <c r="AL139" i="3" s="1"/>
  <c r="S140" i="3"/>
  <c r="AL140" i="3" s="1"/>
  <c r="AL149" i="3"/>
  <c r="S144" i="3"/>
  <c r="AL144" i="3" s="1"/>
  <c r="S145" i="3"/>
  <c r="AL145" i="3" s="1"/>
  <c r="S146" i="3"/>
  <c r="AL146" i="3" s="1"/>
  <c r="S147" i="3"/>
  <c r="AL147" i="3" s="1"/>
  <c r="S153" i="3"/>
  <c r="AL153" i="3" s="1"/>
  <c r="S154" i="3"/>
  <c r="AL154" i="3" s="1"/>
  <c r="S155" i="3"/>
  <c r="AL155" i="3" s="1"/>
  <c r="S156" i="3"/>
  <c r="AL156" i="3" s="1"/>
  <c r="S157" i="3"/>
  <c r="AL157" i="3" s="1"/>
  <c r="S158" i="3"/>
  <c r="AL158" i="3" s="1"/>
  <c r="S159" i="3"/>
  <c r="AL159" i="3" s="1"/>
  <c r="S160" i="3"/>
  <c r="AL160" i="3" s="1"/>
  <c r="S161" i="3"/>
  <c r="AL161" i="3" s="1"/>
  <c r="S162" i="3"/>
  <c r="AL162" i="3" s="1"/>
  <c r="S163" i="3"/>
  <c r="AL163" i="3" s="1"/>
  <c r="S164" i="3"/>
  <c r="AL164" i="3" s="1"/>
  <c r="S168" i="3"/>
  <c r="AL168" i="3" s="1"/>
  <c r="S169" i="3"/>
  <c r="AL169" i="3" s="1"/>
  <c r="S170" i="3"/>
  <c r="AL170" i="3" s="1"/>
  <c r="S171" i="3"/>
  <c r="AL171" i="3" s="1"/>
  <c r="S175" i="3"/>
  <c r="AL175" i="3" s="1"/>
  <c r="S176" i="3"/>
  <c r="AL176" i="3" s="1"/>
  <c r="S177" i="3"/>
  <c r="AL177" i="3" s="1"/>
  <c r="S178" i="3"/>
  <c r="AL178" i="3" s="1"/>
  <c r="S182" i="3"/>
  <c r="AL182" i="3" s="1"/>
  <c r="S183" i="3"/>
  <c r="AL183" i="3" s="1"/>
  <c r="S184" i="3"/>
  <c r="AL184" i="3" s="1"/>
  <c r="S185" i="3"/>
  <c r="AL185" i="3" s="1"/>
  <c r="S186" i="3"/>
  <c r="AL186" i="3" s="1"/>
  <c r="S187" i="3"/>
  <c r="AL187" i="3" s="1"/>
  <c r="S188" i="3"/>
  <c r="AL188" i="3" s="1"/>
  <c r="S189" i="3"/>
  <c r="AL189" i="3" s="1"/>
  <c r="S190" i="3"/>
  <c r="AL190" i="3" s="1"/>
  <c r="S195" i="3"/>
  <c r="AL195" i="3" s="1"/>
  <c r="S196" i="3"/>
  <c r="AL196" i="3" s="1"/>
  <c r="S197" i="3"/>
  <c r="AL197" i="3" s="1"/>
  <c r="S198" i="3"/>
  <c r="AL198" i="3" s="1"/>
  <c r="S202" i="3"/>
  <c r="AL202" i="3" s="1"/>
  <c r="S203" i="3"/>
  <c r="AL203" i="3" s="1"/>
  <c r="S204" i="3"/>
  <c r="AL204" i="3" s="1"/>
  <c r="S205" i="3"/>
  <c r="AL205" i="3" s="1"/>
  <c r="S209" i="3"/>
  <c r="AL209" i="3" s="1"/>
  <c r="S210" i="3"/>
  <c r="AL210" i="3" s="1"/>
  <c r="S211" i="3"/>
  <c r="AL211" i="3" s="1"/>
  <c r="S215" i="3"/>
  <c r="AL215" i="3" s="1"/>
  <c r="S216" i="3"/>
  <c r="AL216" i="3" s="1"/>
  <c r="S217" i="3"/>
  <c r="AL217" i="3" s="1"/>
  <c r="S222" i="3"/>
  <c r="AL222" i="3" s="1"/>
  <c r="S223" i="3"/>
  <c r="AL223" i="3" s="1"/>
  <c r="S224" i="3"/>
  <c r="AL224" i="3" s="1"/>
  <c r="S225" i="3"/>
  <c r="AL225" i="3" s="1"/>
  <c r="S226" i="3"/>
  <c r="AL226" i="3" s="1"/>
  <c r="S227" i="3"/>
  <c r="AL227" i="3" s="1"/>
  <c r="S228" i="3"/>
  <c r="AL228" i="3" s="1"/>
  <c r="S229" i="3"/>
  <c r="AL229" i="3" s="1"/>
  <c r="S230" i="3"/>
  <c r="AL230" i="3" s="1"/>
  <c r="S231" i="3"/>
  <c r="AL231" i="3" s="1"/>
  <c r="S235" i="3"/>
  <c r="AL235" i="3" s="1"/>
  <c r="S236" i="3"/>
  <c r="AL236" i="3" s="1"/>
  <c r="S237" i="3"/>
  <c r="AL237" i="3" s="1"/>
  <c r="S238" i="3"/>
  <c r="AL238" i="3" s="1"/>
  <c r="S239" i="3"/>
  <c r="AL239" i="3" s="1"/>
  <c r="S240" i="3"/>
  <c r="AL240" i="3" s="1"/>
  <c r="S244" i="3"/>
  <c r="AL244" i="3" s="1"/>
  <c r="AL250" i="3"/>
  <c r="S245" i="3"/>
  <c r="AL245" i="3" s="1"/>
  <c r="S246" i="3"/>
  <c r="AL246" i="3" s="1"/>
  <c r="S247" i="3"/>
  <c r="AL247" i="3" s="1"/>
  <c r="S248" i="3"/>
  <c r="AL248" i="3" s="1"/>
  <c r="S252" i="3"/>
  <c r="AL252" i="3" s="1"/>
  <c r="S253" i="3"/>
  <c r="AL253" i="3" s="1"/>
  <c r="S254" i="3"/>
  <c r="AL254" i="3" s="1"/>
  <c r="S255" i="3"/>
  <c r="AL255" i="3" s="1"/>
  <c r="S256" i="3"/>
  <c r="AL256" i="3" s="1"/>
  <c r="S257" i="3"/>
  <c r="AL257" i="3" s="1"/>
  <c r="S258" i="3"/>
  <c r="AL258" i="3" s="1"/>
  <c r="S259" i="3"/>
  <c r="AL259" i="3" s="1"/>
  <c r="S260" i="3"/>
  <c r="AL260" i="3" s="1"/>
  <c r="S264" i="3"/>
  <c r="AL264" i="3" s="1"/>
  <c r="S265" i="3"/>
  <c r="AL265" i="3" s="1"/>
  <c r="S266" i="3"/>
  <c r="AL266" i="3" s="1"/>
  <c r="S267" i="3"/>
  <c r="AL267" i="3" s="1"/>
  <c r="S268" i="3"/>
  <c r="AL268" i="3" s="1"/>
  <c r="S269" i="3"/>
  <c r="AL269" i="3" s="1"/>
  <c r="S273" i="3"/>
  <c r="AL273" i="3" s="1"/>
  <c r="S274" i="3"/>
  <c r="AL274" i="3" s="1"/>
  <c r="S275" i="3"/>
  <c r="AL275" i="3" s="1"/>
  <c r="S276" i="3"/>
  <c r="AL276" i="3" s="1"/>
  <c r="S277" i="3"/>
  <c r="AL277" i="3" s="1"/>
  <c r="S278" i="3"/>
  <c r="AL278" i="3" s="1"/>
  <c r="S279" i="3"/>
  <c r="AL279" i="3" s="1"/>
  <c r="S280" i="3"/>
  <c r="AL280" i="3" s="1"/>
  <c r="S281" i="3"/>
  <c r="AL281" i="3" s="1"/>
  <c r="S282" i="3"/>
  <c r="AL282" i="3" s="1"/>
  <c r="S283" i="3"/>
  <c r="AL283" i="3" s="1"/>
  <c r="S284" i="3"/>
  <c r="AL284" i="3" s="1"/>
  <c r="S285" i="3"/>
  <c r="AL285" i="3" s="1"/>
  <c r="S286" i="3"/>
  <c r="AL286" i="3" s="1"/>
  <c r="S290" i="3"/>
  <c r="S291" i="3"/>
  <c r="AL291" i="3" s="1"/>
  <c r="S292" i="3"/>
  <c r="AL292" i="3" s="1"/>
  <c r="S293" i="3"/>
  <c r="AL293" i="3" s="1"/>
  <c r="S294" i="3"/>
  <c r="AL294" i="3" s="1"/>
  <c r="S305" i="3"/>
  <c r="S306" i="3"/>
  <c r="AL306" i="3" s="1"/>
  <c r="S307" i="3"/>
  <c r="AL307" i="3" s="1"/>
  <c r="S308" i="3"/>
  <c r="AL308" i="3" s="1"/>
  <c r="S309" i="3"/>
  <c r="AL309" i="3" s="1"/>
  <c r="S310" i="3"/>
  <c r="AL310" i="3" s="1"/>
  <c r="S313" i="3"/>
  <c r="S314" i="3"/>
  <c r="AL314" i="3" s="1"/>
  <c r="S315" i="3"/>
  <c r="AL315" i="3" s="1"/>
  <c r="S316" i="3"/>
  <c r="AL316" i="3" s="1"/>
  <c r="S317" i="3"/>
  <c r="AL317" i="3" s="1"/>
  <c r="S318" i="3"/>
  <c r="AL318" i="3" s="1"/>
  <c r="S321" i="3"/>
  <c r="S322" i="3"/>
  <c r="AL322" i="3" s="1"/>
  <c r="S323" i="3"/>
  <c r="AL323" i="3" s="1"/>
  <c r="S324" i="3"/>
  <c r="AL324" i="3" s="1"/>
  <c r="S325" i="3"/>
  <c r="AL325" i="3" s="1"/>
  <c r="S326" i="3"/>
  <c r="AL326" i="3" s="1"/>
  <c r="S329" i="3"/>
  <c r="S330" i="3"/>
  <c r="AL330" i="3" s="1"/>
  <c r="S331" i="3"/>
  <c r="AL331" i="3" s="1"/>
  <c r="S332" i="3"/>
  <c r="AL332" i="3" s="1"/>
  <c r="S333" i="3"/>
  <c r="AL333" i="3" s="1"/>
  <c r="S334" i="3"/>
  <c r="AL334" i="3" s="1"/>
  <c r="S337" i="3"/>
  <c r="S338" i="3"/>
  <c r="AL338" i="3" s="1"/>
  <c r="S339" i="3"/>
  <c r="AL339" i="3" s="1"/>
  <c r="S340" i="3"/>
  <c r="AL340" i="3" s="1"/>
  <c r="S341" i="3"/>
  <c r="AL341" i="3" s="1"/>
  <c r="S342" i="3"/>
  <c r="AL342" i="3" s="1"/>
  <c r="S345" i="3"/>
  <c r="S346" i="3"/>
  <c r="AL346" i="3" s="1"/>
  <c r="S347" i="3"/>
  <c r="AL347" i="3" s="1"/>
  <c r="S348" i="3"/>
  <c r="AL348" i="3" s="1"/>
  <c r="S349" i="3"/>
  <c r="AL349" i="3" s="1"/>
  <c r="S350" i="3"/>
  <c r="AL350" i="3" s="1"/>
  <c r="S353" i="3"/>
  <c r="S354" i="3"/>
  <c r="AL354" i="3" s="1"/>
  <c r="S355" i="3"/>
  <c r="AL355" i="3" s="1"/>
  <c r="S356" i="3"/>
  <c r="AL356" i="3" s="1"/>
  <c r="S357" i="3"/>
  <c r="AL357" i="3" s="1"/>
  <c r="S358" i="3"/>
  <c r="AL358" i="3" s="1"/>
  <c r="S361" i="3"/>
  <c r="S362" i="3"/>
  <c r="AL362" i="3" s="1"/>
  <c r="S363" i="3"/>
  <c r="AL363" i="3" s="1"/>
  <c r="S364" i="3"/>
  <c r="AL364" i="3" s="1"/>
  <c r="S365" i="3"/>
  <c r="AL365" i="3" s="1"/>
  <c r="S366" i="3"/>
  <c r="AL366" i="3" s="1"/>
  <c r="S369" i="3"/>
  <c r="S370" i="3"/>
  <c r="AL370" i="3" s="1"/>
  <c r="S371" i="3"/>
  <c r="AL371" i="3" s="1"/>
  <c r="S372" i="3"/>
  <c r="AL372" i="3" s="1"/>
  <c r="S373" i="3"/>
  <c r="AL373" i="3" s="1"/>
  <c r="S374" i="3"/>
  <c r="AL374" i="3" s="1"/>
  <c r="S377" i="3"/>
  <c r="S378" i="3"/>
  <c r="AL378" i="3" s="1"/>
  <c r="S379" i="3"/>
  <c r="AL379" i="3" s="1"/>
  <c r="S380" i="3"/>
  <c r="AL380" i="3" s="1"/>
  <c r="S381" i="3"/>
  <c r="AL381" i="3" s="1"/>
  <c r="S382" i="3"/>
  <c r="AL382" i="3" s="1"/>
  <c r="S386" i="3"/>
  <c r="AL386" i="3" s="1"/>
  <c r="S387" i="3"/>
  <c r="AL387" i="3" s="1"/>
  <c r="S388" i="3"/>
  <c r="AL388" i="3" s="1"/>
  <c r="S389" i="3"/>
  <c r="AL389" i="3" s="1"/>
  <c r="S390" i="3"/>
  <c r="AL390" i="3" s="1"/>
  <c r="S391" i="3"/>
  <c r="AL391" i="3" s="1"/>
  <c r="S392" i="3"/>
  <c r="AL392" i="3" s="1"/>
  <c r="S393" i="3"/>
  <c r="AL393" i="3" s="1"/>
  <c r="S394" i="3"/>
  <c r="AL394" i="3" s="1"/>
  <c r="S397" i="3"/>
  <c r="AL397" i="3" s="1"/>
  <c r="S398" i="3"/>
  <c r="AL398" i="3" s="1"/>
  <c r="S399" i="3"/>
  <c r="AL399" i="3" s="1"/>
  <c r="S400" i="3"/>
  <c r="AL400" i="3" s="1"/>
  <c r="S401" i="3"/>
  <c r="AL401" i="3" s="1"/>
  <c r="S402" i="3"/>
  <c r="AL402" i="3" s="1"/>
  <c r="S403" i="3"/>
  <c r="AL403" i="3" s="1"/>
  <c r="S404" i="3"/>
  <c r="AL404" i="3" s="1"/>
  <c r="S407" i="3"/>
  <c r="AL407" i="3" s="1"/>
  <c r="S408" i="3"/>
  <c r="AL408" i="3" s="1"/>
  <c r="S409" i="3"/>
  <c r="AL409" i="3" s="1"/>
  <c r="S410" i="3"/>
  <c r="AL410" i="3" s="1"/>
  <c r="S411" i="3"/>
  <c r="AL411" i="3" s="1"/>
  <c r="S414" i="3"/>
  <c r="AL414" i="3" s="1"/>
  <c r="S415" i="3"/>
  <c r="AL415" i="3" s="1"/>
  <c r="S416" i="3"/>
  <c r="AL416" i="3" s="1"/>
  <c r="S417" i="3"/>
  <c r="AL417" i="3" s="1"/>
  <c r="S420" i="3"/>
  <c r="AL420" i="3" s="1"/>
  <c r="S421" i="3"/>
  <c r="AL421" i="3" s="1"/>
  <c r="S422" i="3"/>
  <c r="AL422" i="3" s="1"/>
  <c r="S423" i="3"/>
  <c r="AL423" i="3" s="1"/>
  <c r="S424" i="3"/>
  <c r="AL424" i="3" s="1"/>
  <c r="S425" i="3"/>
  <c r="AL425" i="3" s="1"/>
  <c r="S428" i="3"/>
  <c r="S429" i="3"/>
  <c r="AL429" i="3" s="1"/>
  <c r="S430" i="3"/>
  <c r="AL430" i="3" s="1"/>
  <c r="S431" i="3"/>
  <c r="AL431" i="3" s="1"/>
  <c r="S432" i="3"/>
  <c r="AL432" i="3" s="1"/>
  <c r="S435" i="3"/>
  <c r="AL435" i="3" s="1"/>
  <c r="S436" i="3"/>
  <c r="AL436" i="3" s="1"/>
  <c r="S437" i="3"/>
  <c r="AL437" i="3" s="1"/>
  <c r="S438" i="3"/>
  <c r="AL438" i="3" s="1"/>
  <c r="S439" i="3"/>
  <c r="S442" i="3"/>
  <c r="AL442" i="3" s="1"/>
  <c r="S443" i="3"/>
  <c r="AL443" i="3" s="1"/>
  <c r="S444" i="3"/>
  <c r="AL444" i="3" s="1"/>
  <c r="S445" i="3"/>
  <c r="AL445" i="3" s="1"/>
  <c r="S446" i="3"/>
  <c r="AL446" i="3" s="1"/>
  <c r="S447" i="3"/>
  <c r="AL447" i="3" s="1"/>
  <c r="S448" i="3"/>
  <c r="AL448" i="3" s="1"/>
  <c r="S449" i="3"/>
  <c r="AL449" i="3" s="1"/>
  <c r="S450" i="3"/>
  <c r="AL450" i="3" s="1"/>
  <c r="S451" i="3"/>
  <c r="AL451" i="3" s="1"/>
  <c r="S452" i="3"/>
  <c r="AL452" i="3" s="1"/>
  <c r="AP149" i="3"/>
  <c r="Z144" i="3"/>
  <c r="AP144" i="3" s="1"/>
  <c r="AP250" i="3"/>
  <c r="Z245" i="3"/>
  <c r="AP245" i="3" s="1"/>
  <c r="AP319" i="3"/>
  <c r="Z313" i="3"/>
  <c r="AP313" i="3" s="1"/>
  <c r="AP335" i="3"/>
  <c r="Z329" i="3"/>
  <c r="AP329" i="3" s="1"/>
  <c r="AP351" i="3"/>
  <c r="Z345" i="3"/>
  <c r="AP345" i="3" s="1"/>
  <c r="AP367" i="3"/>
  <c r="Z361" i="3"/>
  <c r="AP361" i="3" s="1"/>
  <c r="AP383" i="3"/>
  <c r="Z377" i="3"/>
  <c r="AP377" i="3" s="1"/>
  <c r="G54" i="6"/>
  <c r="J54" i="6"/>
  <c r="AG54" i="6" s="1"/>
  <c r="G55" i="6"/>
  <c r="J55" i="6"/>
  <c r="AG55" i="6" s="1"/>
  <c r="G56" i="6"/>
  <c r="J56" i="6"/>
  <c r="AG56" i="6" s="1"/>
  <c r="G57" i="6"/>
  <c r="J57" i="6"/>
  <c r="AG57" i="6" s="1"/>
  <c r="G58" i="6"/>
  <c r="J58" i="6"/>
  <c r="AG58" i="6" s="1"/>
  <c r="G59" i="6"/>
  <c r="J59" i="6"/>
  <c r="AG59" i="6" s="1"/>
  <c r="G60" i="6"/>
  <c r="J60" i="6"/>
  <c r="AG60" i="6" s="1"/>
  <c r="G61" i="6"/>
  <c r="J61" i="6"/>
  <c r="AG61" i="6" s="1"/>
  <c r="G62" i="6"/>
  <c r="J62" i="6"/>
  <c r="AG62" i="6" s="1"/>
  <c r="G63" i="6"/>
  <c r="J63" i="6"/>
  <c r="AG63" i="6" s="1"/>
  <c r="G64" i="6"/>
  <c r="J64" i="6"/>
  <c r="AG64" i="6" s="1"/>
  <c r="G68" i="6"/>
  <c r="J68" i="6"/>
  <c r="AG68" i="6" s="1"/>
  <c r="G69" i="6"/>
  <c r="J69" i="6"/>
  <c r="AG69" i="6" s="1"/>
  <c r="G70" i="6"/>
  <c r="J70" i="6"/>
  <c r="AG70" i="6" s="1"/>
  <c r="G71" i="6"/>
  <c r="J71" i="6"/>
  <c r="AG71" i="6" s="1"/>
  <c r="G72" i="6"/>
  <c r="J72" i="6"/>
  <c r="AG72" i="6" s="1"/>
  <c r="G73" i="6"/>
  <c r="J73" i="6"/>
  <c r="AG73" i="6" s="1"/>
  <c r="N112" i="6"/>
  <c r="Q112" i="6"/>
  <c r="AK112" i="6" s="1"/>
  <c r="N114" i="6"/>
  <c r="Q114" i="6"/>
  <c r="AK114" i="6" s="1"/>
  <c r="G122" i="6"/>
  <c r="J122" i="6"/>
  <c r="AG122" i="6" s="1"/>
  <c r="G123" i="6"/>
  <c r="J123" i="6"/>
  <c r="AG123" i="6" s="1"/>
  <c r="G124" i="6"/>
  <c r="J124" i="6"/>
  <c r="AG124" i="6" s="1"/>
  <c r="N145" i="6"/>
  <c r="Q145" i="6"/>
  <c r="AK145" i="6" s="1"/>
  <c r="N147" i="6"/>
  <c r="Q147" i="6"/>
  <c r="AK147" i="6" s="1"/>
  <c r="S153" i="6"/>
  <c r="AL153" i="6" s="1"/>
  <c r="S154" i="6"/>
  <c r="AL154" i="6" s="1"/>
  <c r="S155" i="6"/>
  <c r="AL155" i="6" s="1"/>
  <c r="S156" i="6"/>
  <c r="AL156" i="6" s="1"/>
  <c r="S157" i="6"/>
  <c r="AL157" i="6" s="1"/>
  <c r="S158" i="6"/>
  <c r="AL158" i="6" s="1"/>
  <c r="S159" i="6"/>
  <c r="AL159" i="6" s="1"/>
  <c r="S160" i="6"/>
  <c r="AL160" i="6" s="1"/>
  <c r="S161" i="6"/>
  <c r="AL161" i="6" s="1"/>
  <c r="S162" i="6"/>
  <c r="AL162" i="6" s="1"/>
  <c r="S163" i="6"/>
  <c r="AL163" i="6" s="1"/>
  <c r="S164" i="6"/>
  <c r="AL164" i="6" s="1"/>
  <c r="S168" i="6"/>
  <c r="AL168" i="6" s="1"/>
  <c r="S169" i="6"/>
  <c r="AL169" i="6" s="1"/>
  <c r="S170" i="6"/>
  <c r="AL170" i="6" s="1"/>
  <c r="S171" i="6"/>
  <c r="AL171" i="6" s="1"/>
  <c r="N176" i="6"/>
  <c r="Q176" i="6"/>
  <c r="AK176" i="6" s="1"/>
  <c r="N178" i="6"/>
  <c r="Q178" i="6"/>
  <c r="AK178" i="6" s="1"/>
  <c r="N195" i="6"/>
  <c r="Q195" i="6"/>
  <c r="AK195" i="6" s="1"/>
  <c r="N197" i="6"/>
  <c r="Q197" i="6"/>
  <c r="AK197" i="6" s="1"/>
  <c r="N209" i="6"/>
  <c r="Q209" i="6"/>
  <c r="AK209" i="6" s="1"/>
  <c r="N211" i="6"/>
  <c r="Q211" i="6"/>
  <c r="AK211" i="6" s="1"/>
  <c r="S215" i="6"/>
  <c r="AL215" i="6" s="1"/>
  <c r="S216" i="6"/>
  <c r="AL216" i="6" s="1"/>
  <c r="S217" i="6"/>
  <c r="AL217" i="6" s="1"/>
  <c r="S222" i="6"/>
  <c r="AL222" i="6" s="1"/>
  <c r="S223" i="6"/>
  <c r="AL223" i="6" s="1"/>
  <c r="S224" i="6"/>
  <c r="AL224" i="6" s="1"/>
  <c r="S225" i="6"/>
  <c r="AL225" i="6" s="1"/>
  <c r="S226" i="6"/>
  <c r="AL226" i="6" s="1"/>
  <c r="S227" i="6"/>
  <c r="AL227" i="6" s="1"/>
  <c r="S228" i="6"/>
  <c r="AL228" i="6" s="1"/>
  <c r="S229" i="6"/>
  <c r="AL229" i="6" s="1"/>
  <c r="S230" i="6"/>
  <c r="AL230" i="6" s="1"/>
  <c r="S231" i="6"/>
  <c r="AL231" i="6" s="1"/>
  <c r="N236" i="6"/>
  <c r="Q236" i="6"/>
  <c r="AK236" i="6" s="1"/>
  <c r="N238" i="6"/>
  <c r="Q238" i="6"/>
  <c r="AK238" i="6" s="1"/>
  <c r="N240" i="6"/>
  <c r="Q240" i="6"/>
  <c r="AK240" i="6" s="1"/>
  <c r="S244" i="6"/>
  <c r="AL244" i="6" s="1"/>
  <c r="AL250" i="6"/>
  <c r="S245" i="6"/>
  <c r="AL245" i="6" s="1"/>
  <c r="S246" i="6"/>
  <c r="AL246" i="6" s="1"/>
  <c r="S247" i="6"/>
  <c r="AL247" i="6" s="1"/>
  <c r="S248" i="6"/>
  <c r="AL248" i="6" s="1"/>
  <c r="N252" i="6"/>
  <c r="Q252" i="6"/>
  <c r="AK252" i="6" s="1"/>
  <c r="N253" i="6"/>
  <c r="Q253" i="6"/>
  <c r="AK253" i="6" s="1"/>
  <c r="N254" i="6"/>
  <c r="Q254" i="6"/>
  <c r="AK254" i="6" s="1"/>
  <c r="N255" i="6"/>
  <c r="Q255" i="6"/>
  <c r="AK255" i="6" s="1"/>
  <c r="N256" i="6"/>
  <c r="Q256" i="6"/>
  <c r="AK256" i="6" s="1"/>
  <c r="N257" i="6"/>
  <c r="Q257" i="6"/>
  <c r="AK257" i="6" s="1"/>
  <c r="N258" i="6"/>
  <c r="Q258" i="6"/>
  <c r="AK258" i="6" s="1"/>
  <c r="N259" i="6"/>
  <c r="Q259" i="6"/>
  <c r="AK259" i="6" s="1"/>
  <c r="N260" i="6"/>
  <c r="Q260" i="6"/>
  <c r="AK260" i="6" s="1"/>
  <c r="S264" i="6"/>
  <c r="AL264" i="6" s="1"/>
  <c r="S265" i="6"/>
  <c r="AL265" i="6" s="1"/>
  <c r="S266" i="6"/>
  <c r="AL266" i="6" s="1"/>
  <c r="S267" i="6"/>
  <c r="AL267" i="6" s="1"/>
  <c r="S268" i="6"/>
  <c r="AL268" i="6" s="1"/>
  <c r="S269" i="6"/>
  <c r="AL269" i="6" s="1"/>
  <c r="N273" i="6"/>
  <c r="Q273" i="6"/>
  <c r="AK273" i="6" s="1"/>
  <c r="N274" i="6"/>
  <c r="Q274" i="6"/>
  <c r="AK274" i="6" s="1"/>
  <c r="N275" i="6"/>
  <c r="Q275" i="6"/>
  <c r="AK275" i="6" s="1"/>
  <c r="N276" i="6"/>
  <c r="Q276" i="6"/>
  <c r="AK276" i="6" s="1"/>
  <c r="N277" i="6"/>
  <c r="Q277" i="6"/>
  <c r="AK277" i="6" s="1"/>
  <c r="N278" i="6"/>
  <c r="Q278" i="6"/>
  <c r="AK278" i="6" s="1"/>
  <c r="N279" i="6"/>
  <c r="Q279" i="6"/>
  <c r="AK279" i="6" s="1"/>
  <c r="N280" i="6"/>
  <c r="Q280" i="6"/>
  <c r="AK280" i="6" s="1"/>
  <c r="N281" i="6"/>
  <c r="Q281" i="6"/>
  <c r="AK281" i="6" s="1"/>
  <c r="N282" i="6"/>
  <c r="Q282" i="6"/>
  <c r="AK282" i="6" s="1"/>
  <c r="N283" i="6"/>
  <c r="Q283" i="6"/>
  <c r="AK283" i="6" s="1"/>
  <c r="N284" i="6"/>
  <c r="Q284" i="6"/>
  <c r="AK284" i="6" s="1"/>
  <c r="N285" i="6"/>
  <c r="Q285" i="6"/>
  <c r="AK285" i="6" s="1"/>
  <c r="N286" i="6"/>
  <c r="Q286" i="6"/>
  <c r="AK286" i="6" s="1"/>
  <c r="N290" i="6"/>
  <c r="Q290" i="6"/>
  <c r="S291" i="6"/>
  <c r="AL291" i="6" s="1"/>
  <c r="S292" i="6"/>
  <c r="AL292" i="6" s="1"/>
  <c r="S293" i="6"/>
  <c r="AL293" i="6" s="1"/>
  <c r="S294" i="6"/>
  <c r="AL294" i="6" s="1"/>
  <c r="N305" i="6"/>
  <c r="Q305" i="6"/>
  <c r="N306" i="6"/>
  <c r="Q306" i="6"/>
  <c r="AK306" i="6" s="1"/>
  <c r="N307" i="6"/>
  <c r="Q307" i="6"/>
  <c r="AK307" i="6" s="1"/>
  <c r="N308" i="6"/>
  <c r="Q308" i="6"/>
  <c r="AK308" i="6" s="1"/>
  <c r="N309" i="6"/>
  <c r="Q309" i="6"/>
  <c r="AK309" i="6" s="1"/>
  <c r="N310" i="6"/>
  <c r="Q310" i="6"/>
  <c r="AK310" i="6" s="1"/>
  <c r="S313" i="6"/>
  <c r="S314" i="6"/>
  <c r="AL314" i="6" s="1"/>
  <c r="S315" i="6"/>
  <c r="AL315" i="6" s="1"/>
  <c r="S316" i="6"/>
  <c r="AL316" i="6" s="1"/>
  <c r="S317" i="6"/>
  <c r="AL317" i="6" s="1"/>
  <c r="S318" i="6"/>
  <c r="AL318" i="6" s="1"/>
  <c r="N321" i="6"/>
  <c r="Q321" i="6"/>
  <c r="N322" i="6"/>
  <c r="Q322" i="6"/>
  <c r="AK322" i="6" s="1"/>
  <c r="N323" i="6"/>
  <c r="Q323" i="6"/>
  <c r="AK323" i="6" s="1"/>
  <c r="N324" i="6"/>
  <c r="Q324" i="6"/>
  <c r="AK324" i="6" s="1"/>
  <c r="N325" i="6"/>
  <c r="Q325" i="6"/>
  <c r="AK325" i="6" s="1"/>
  <c r="N326" i="6"/>
  <c r="Q326" i="6"/>
  <c r="AK326" i="6" s="1"/>
  <c r="S329" i="6"/>
  <c r="S330" i="6"/>
  <c r="AL330" i="6" s="1"/>
  <c r="S331" i="6"/>
  <c r="AL331" i="6" s="1"/>
  <c r="S332" i="6"/>
  <c r="AL332" i="6" s="1"/>
  <c r="S333" i="6"/>
  <c r="AL333" i="6" s="1"/>
  <c r="S334" i="6"/>
  <c r="AL334" i="6" s="1"/>
  <c r="N337" i="6"/>
  <c r="Q337" i="6"/>
  <c r="N338" i="6"/>
  <c r="Q338" i="6"/>
  <c r="AK338" i="6" s="1"/>
  <c r="N339" i="6"/>
  <c r="Q339" i="6"/>
  <c r="AK339" i="6" s="1"/>
  <c r="N340" i="6"/>
  <c r="Q340" i="6"/>
  <c r="AK340" i="6" s="1"/>
  <c r="N341" i="6"/>
  <c r="Q341" i="6"/>
  <c r="AK341" i="6" s="1"/>
  <c r="N342" i="6"/>
  <c r="Q342" i="6"/>
  <c r="AK342" i="6" s="1"/>
  <c r="S345" i="6"/>
  <c r="S346" i="6"/>
  <c r="AL346" i="6" s="1"/>
  <c r="S347" i="6"/>
  <c r="AL347" i="6" s="1"/>
  <c r="S348" i="6"/>
  <c r="AL348" i="6" s="1"/>
  <c r="S349" i="6"/>
  <c r="AL349" i="6" s="1"/>
  <c r="S350" i="6"/>
  <c r="AL350" i="6" s="1"/>
  <c r="S353" i="6"/>
  <c r="S354" i="6"/>
  <c r="AL354" i="6" s="1"/>
  <c r="S355" i="6"/>
  <c r="AL355" i="6" s="1"/>
  <c r="S356" i="6"/>
  <c r="AL356" i="6" s="1"/>
  <c r="S357" i="6"/>
  <c r="AL357" i="6" s="1"/>
  <c r="S358" i="6"/>
  <c r="AL358" i="6" s="1"/>
  <c r="N361" i="6"/>
  <c r="Q361" i="6"/>
  <c r="N362" i="6"/>
  <c r="Q362" i="6"/>
  <c r="AK362" i="6" s="1"/>
  <c r="N363" i="6"/>
  <c r="Q363" i="6"/>
  <c r="AK363" i="6" s="1"/>
  <c r="N364" i="6"/>
  <c r="Q364" i="6"/>
  <c r="AK364" i="6" s="1"/>
  <c r="N365" i="6"/>
  <c r="Q365" i="6"/>
  <c r="AK365" i="6" s="1"/>
  <c r="N366" i="6"/>
  <c r="Q366" i="6"/>
  <c r="AK366" i="6" s="1"/>
  <c r="N369" i="6"/>
  <c r="Q369" i="6"/>
  <c r="N370" i="6"/>
  <c r="Q370" i="6"/>
  <c r="AK370" i="6" s="1"/>
  <c r="N371" i="6"/>
  <c r="Q371" i="6"/>
  <c r="AK371" i="6" s="1"/>
  <c r="N372" i="6"/>
  <c r="Q372" i="6"/>
  <c r="AK372" i="6" s="1"/>
  <c r="N373" i="6"/>
  <c r="Q373" i="6"/>
  <c r="AK373" i="6" s="1"/>
  <c r="N374" i="6"/>
  <c r="Q374" i="6"/>
  <c r="AK374" i="6" s="1"/>
  <c r="S377" i="6"/>
  <c r="S378" i="6"/>
  <c r="AL378" i="6" s="1"/>
  <c r="S379" i="6"/>
  <c r="AL379" i="6" s="1"/>
  <c r="S380" i="6"/>
  <c r="AL380" i="6" s="1"/>
  <c r="S381" i="6"/>
  <c r="AL381" i="6" s="1"/>
  <c r="S382" i="6"/>
  <c r="AL382" i="6" s="1"/>
  <c r="S386" i="6"/>
  <c r="AL386" i="6" s="1"/>
  <c r="S387" i="6"/>
  <c r="AL387" i="6" s="1"/>
  <c r="S388" i="6"/>
  <c r="AL388" i="6" s="1"/>
  <c r="S389" i="6"/>
  <c r="AL389" i="6" s="1"/>
  <c r="S390" i="6"/>
  <c r="AL390" i="6" s="1"/>
  <c r="S391" i="6"/>
  <c r="AL391" i="6" s="1"/>
  <c r="S392" i="6"/>
  <c r="AL392" i="6" s="1"/>
  <c r="S393" i="6"/>
  <c r="AL393" i="6" s="1"/>
  <c r="S394" i="6"/>
  <c r="AL394" i="6" s="1"/>
  <c r="N397" i="6"/>
  <c r="Q397" i="6"/>
  <c r="AK397" i="6" s="1"/>
  <c r="N398" i="6"/>
  <c r="Q398" i="6"/>
  <c r="AK398" i="6" s="1"/>
  <c r="N399" i="6"/>
  <c r="Q399" i="6"/>
  <c r="AK399" i="6" s="1"/>
  <c r="N400" i="6"/>
  <c r="Q400" i="6"/>
  <c r="AK400" i="6" s="1"/>
  <c r="N401" i="6"/>
  <c r="Q401" i="6"/>
  <c r="AK401" i="6" s="1"/>
  <c r="S402" i="6"/>
  <c r="AL402" i="6" s="1"/>
  <c r="S403" i="6"/>
  <c r="AL403" i="6" s="1"/>
  <c r="N404" i="6"/>
  <c r="Q404" i="6"/>
  <c r="AK404" i="6" s="1"/>
  <c r="S407" i="6"/>
  <c r="AL407" i="6" s="1"/>
  <c r="S408" i="6"/>
  <c r="AL408" i="6" s="1"/>
  <c r="S409" i="6"/>
  <c r="AL409" i="6" s="1"/>
  <c r="S410" i="6"/>
  <c r="AL410" i="6" s="1"/>
  <c r="S411" i="6"/>
  <c r="AL411" i="6" s="1"/>
  <c r="N414" i="6"/>
  <c r="Q414" i="6"/>
  <c r="AK414" i="6" s="1"/>
  <c r="N415" i="6"/>
  <c r="Q415" i="6"/>
  <c r="AK415" i="6" s="1"/>
  <c r="N416" i="6"/>
  <c r="Q416" i="6"/>
  <c r="AK416" i="6" s="1"/>
  <c r="N417" i="6"/>
  <c r="Q417" i="6"/>
  <c r="AK417" i="6" s="1"/>
  <c r="S420" i="6"/>
  <c r="AL420" i="6" s="1"/>
  <c r="S421" i="6"/>
  <c r="AL421" i="6" s="1"/>
  <c r="S422" i="6"/>
  <c r="AL422" i="6" s="1"/>
  <c r="S423" i="6"/>
  <c r="AL423" i="6" s="1"/>
  <c r="S424" i="6"/>
  <c r="AL424" i="6" s="1"/>
  <c r="S425" i="6"/>
  <c r="AL425" i="6" s="1"/>
  <c r="N428" i="6"/>
  <c r="Q428" i="6"/>
  <c r="N429" i="6"/>
  <c r="Q429" i="6"/>
  <c r="AK429" i="6" s="1"/>
  <c r="N430" i="6"/>
  <c r="Q430" i="6"/>
  <c r="AK430" i="6" s="1"/>
  <c r="N431" i="6"/>
  <c r="Q431" i="6"/>
  <c r="AK431" i="6" s="1"/>
  <c r="N432" i="6"/>
  <c r="Q432" i="6"/>
  <c r="AK432" i="6" s="1"/>
  <c r="S435" i="6"/>
  <c r="AL435" i="6" s="1"/>
  <c r="N436" i="6"/>
  <c r="Q436" i="6"/>
  <c r="AK436" i="6" s="1"/>
  <c r="N437" i="6"/>
  <c r="Q437" i="6"/>
  <c r="AK437" i="6" s="1"/>
  <c r="N438" i="6"/>
  <c r="Q438" i="6"/>
  <c r="AK438" i="6" s="1"/>
  <c r="N439" i="6"/>
  <c r="Q439" i="6"/>
  <c r="S442" i="6"/>
  <c r="AL442" i="6" s="1"/>
  <c r="S443" i="6"/>
  <c r="AL443" i="6" s="1"/>
  <c r="S444" i="6"/>
  <c r="AL444" i="6" s="1"/>
  <c r="S445" i="6"/>
  <c r="AL445" i="6" s="1"/>
  <c r="S446" i="6"/>
  <c r="AL446" i="6" s="1"/>
  <c r="S447" i="6"/>
  <c r="AL447" i="6" s="1"/>
  <c r="S448" i="6"/>
  <c r="AL448" i="6" s="1"/>
  <c r="S449" i="6"/>
  <c r="AL449" i="6" s="1"/>
  <c r="S450" i="6"/>
  <c r="AL450" i="6" s="1"/>
  <c r="S451" i="6"/>
  <c r="AL451" i="6" s="1"/>
  <c r="S452" i="6"/>
  <c r="AL452" i="6" s="1"/>
  <c r="AP149" i="6"/>
  <c r="Z144" i="6"/>
  <c r="AP144" i="6" s="1"/>
  <c r="AP250" i="6"/>
  <c r="Z245" i="6"/>
  <c r="AP245" i="6" s="1"/>
  <c r="AP319" i="6"/>
  <c r="Z313" i="6"/>
  <c r="AP313" i="6" s="1"/>
  <c r="Z329" i="6"/>
  <c r="AP329" i="6" s="1"/>
  <c r="AP335" i="6"/>
  <c r="U283" i="3"/>
  <c r="V283" i="3" s="1"/>
  <c r="AQ283" i="3" s="1"/>
  <c r="X283" i="3"/>
  <c r="AO283" i="3" s="1"/>
  <c r="U285" i="3"/>
  <c r="V285" i="3" s="1"/>
  <c r="AQ285" i="3" s="1"/>
  <c r="X285" i="3"/>
  <c r="AO285" i="3" s="1"/>
  <c r="U290" i="3"/>
  <c r="AO296" i="3"/>
  <c r="X290" i="3"/>
  <c r="AO290" i="3" s="1"/>
  <c r="U292" i="3"/>
  <c r="X292" i="3"/>
  <c r="AO292" i="3" s="1"/>
  <c r="U294" i="3"/>
  <c r="X294" i="3"/>
  <c r="AO294" i="3" s="1"/>
  <c r="U306" i="3"/>
  <c r="X306" i="3"/>
  <c r="AO306" i="3" s="1"/>
  <c r="U308" i="3"/>
  <c r="X308" i="3"/>
  <c r="AO308" i="3" s="1"/>
  <c r="U310" i="3"/>
  <c r="X310" i="3"/>
  <c r="AO310" i="3" s="1"/>
  <c r="U314" i="3"/>
  <c r="X314" i="3"/>
  <c r="AO314" i="3" s="1"/>
  <c r="U316" i="3"/>
  <c r="X316" i="3"/>
  <c r="AO316" i="3" s="1"/>
  <c r="U318" i="3"/>
  <c r="X318" i="3"/>
  <c r="AO318" i="3" s="1"/>
  <c r="U322" i="3"/>
  <c r="X322" i="3"/>
  <c r="AO322" i="3" s="1"/>
  <c r="U324" i="3"/>
  <c r="X324" i="3"/>
  <c r="AO324" i="3" s="1"/>
  <c r="U326" i="3"/>
  <c r="X326" i="3"/>
  <c r="AO326" i="3" s="1"/>
  <c r="U330" i="3"/>
  <c r="X330" i="3"/>
  <c r="AO330" i="3" s="1"/>
  <c r="U332" i="3"/>
  <c r="X332" i="3"/>
  <c r="AO332" i="3" s="1"/>
  <c r="U334" i="3"/>
  <c r="X334" i="3"/>
  <c r="AO334" i="3" s="1"/>
  <c r="U338" i="3"/>
  <c r="X338" i="3"/>
  <c r="AO338" i="3" s="1"/>
  <c r="U340" i="3"/>
  <c r="X340" i="3"/>
  <c r="AO340" i="3" s="1"/>
  <c r="U342" i="3"/>
  <c r="X342" i="3"/>
  <c r="AO342" i="3" s="1"/>
  <c r="U346" i="3"/>
  <c r="X346" i="3"/>
  <c r="AO346" i="3" s="1"/>
  <c r="U348" i="3"/>
  <c r="X348" i="3"/>
  <c r="AO348" i="3" s="1"/>
  <c r="U350" i="3"/>
  <c r="X350" i="3"/>
  <c r="AO350" i="3" s="1"/>
  <c r="U354" i="3"/>
  <c r="X354" i="3"/>
  <c r="AO354" i="3" s="1"/>
  <c r="U356" i="3"/>
  <c r="X356" i="3"/>
  <c r="AO356" i="3" s="1"/>
  <c r="U358" i="3"/>
  <c r="X358" i="3"/>
  <c r="AO358" i="3" s="1"/>
  <c r="U362" i="3"/>
  <c r="X362" i="3"/>
  <c r="AO362" i="3" s="1"/>
  <c r="U364" i="3"/>
  <c r="X364" i="3"/>
  <c r="AO364" i="3" s="1"/>
  <c r="U366" i="3"/>
  <c r="X366" i="3"/>
  <c r="AO366" i="3" s="1"/>
  <c r="U370" i="3"/>
  <c r="X370" i="3"/>
  <c r="AO370" i="3" s="1"/>
  <c r="U372" i="3"/>
  <c r="X372" i="3"/>
  <c r="AO372" i="3" s="1"/>
  <c r="U374" i="3"/>
  <c r="X374" i="3"/>
  <c r="AO374" i="3" s="1"/>
  <c r="U378" i="3"/>
  <c r="X378" i="3"/>
  <c r="AO378" i="3" s="1"/>
  <c r="U380" i="3"/>
  <c r="X380" i="3"/>
  <c r="AO380" i="3" s="1"/>
  <c r="U382" i="3"/>
  <c r="X382" i="3"/>
  <c r="AO382" i="3" s="1"/>
  <c r="U387" i="3"/>
  <c r="X387" i="3"/>
  <c r="AO387" i="3" s="1"/>
  <c r="U389" i="3"/>
  <c r="X389" i="3"/>
  <c r="AO389" i="3" s="1"/>
  <c r="U391" i="3"/>
  <c r="X391" i="3"/>
  <c r="AO391" i="3" s="1"/>
  <c r="U393" i="3"/>
  <c r="X393" i="3"/>
  <c r="AO393" i="3" s="1"/>
  <c r="U397" i="3"/>
  <c r="X397" i="3"/>
  <c r="AO397" i="3" s="1"/>
  <c r="U399" i="3"/>
  <c r="X399" i="3"/>
  <c r="AO399" i="3" s="1"/>
  <c r="U401" i="3"/>
  <c r="X401" i="3"/>
  <c r="AO401" i="3" s="1"/>
  <c r="U403" i="3"/>
  <c r="X403" i="3"/>
  <c r="AO403" i="3" s="1"/>
  <c r="U407" i="3"/>
  <c r="X407" i="3"/>
  <c r="AO407" i="3" s="1"/>
  <c r="U409" i="3"/>
  <c r="X409" i="3"/>
  <c r="AO409" i="3" s="1"/>
  <c r="U411" i="3"/>
  <c r="X411" i="3"/>
  <c r="AO411" i="3" s="1"/>
  <c r="U415" i="3"/>
  <c r="X415" i="3"/>
  <c r="AO415" i="3" s="1"/>
  <c r="X417" i="3"/>
  <c r="AO417" i="3" s="1"/>
  <c r="U417" i="3"/>
  <c r="V417" i="3" s="1"/>
  <c r="AQ417" i="3" s="1"/>
  <c r="U421" i="3"/>
  <c r="X421" i="3"/>
  <c r="AO421" i="3" s="1"/>
  <c r="U423" i="3"/>
  <c r="X423" i="3"/>
  <c r="AO423" i="3" s="1"/>
  <c r="U425" i="3"/>
  <c r="X425" i="3"/>
  <c r="AO425" i="3" s="1"/>
  <c r="U429" i="3"/>
  <c r="X429" i="3"/>
  <c r="AO429" i="3" s="1"/>
  <c r="U431" i="3"/>
  <c r="X431" i="3"/>
  <c r="AO431" i="3" s="1"/>
  <c r="U435" i="3"/>
  <c r="X435" i="3"/>
  <c r="AO435" i="3" s="1"/>
  <c r="U437" i="3"/>
  <c r="X437" i="3"/>
  <c r="AO437" i="3" s="1"/>
  <c r="AO440" i="3"/>
  <c r="U439" i="3"/>
  <c r="V439" i="3" s="1"/>
  <c r="AQ439" i="3" s="1"/>
  <c r="X439" i="3"/>
  <c r="AO439" i="3" s="1"/>
  <c r="U443" i="3"/>
  <c r="V443" i="3" s="1"/>
  <c r="AQ443" i="3" s="1"/>
  <c r="X443" i="3"/>
  <c r="AO443" i="3" s="1"/>
  <c r="U445" i="3"/>
  <c r="V445" i="3" s="1"/>
  <c r="AQ445" i="3" s="1"/>
  <c r="X445" i="3"/>
  <c r="AO445" i="3" s="1"/>
  <c r="U447" i="3"/>
  <c r="V447" i="3" s="1"/>
  <c r="AQ447" i="3" s="1"/>
  <c r="X447" i="3"/>
  <c r="AO447" i="3" s="1"/>
  <c r="U449" i="3"/>
  <c r="V449" i="3" s="1"/>
  <c r="AQ449" i="3" s="1"/>
  <c r="X449" i="3"/>
  <c r="AO449" i="3" s="1"/>
  <c r="U451" i="3"/>
  <c r="V451" i="3" s="1"/>
  <c r="AQ451" i="3" s="1"/>
  <c r="X451" i="3"/>
  <c r="AO451" i="3" s="1"/>
  <c r="Q17" i="6"/>
  <c r="AK17" i="6" s="1"/>
  <c r="Q5" i="6"/>
  <c r="Q295" i="6"/>
  <c r="AK295" i="6" s="1"/>
  <c r="Q241" i="6"/>
  <c r="AK241" i="6" s="1"/>
  <c r="Q232" i="6"/>
  <c r="AK232" i="6" s="1"/>
  <c r="Q249" i="6"/>
  <c r="AK249" i="6" s="1"/>
  <c r="Q206" i="6"/>
  <c r="AK206" i="6" s="1"/>
  <c r="Q191" i="6"/>
  <c r="AK191" i="6" s="1"/>
  <c r="Q179" i="6"/>
  <c r="AK179" i="6" s="1"/>
  <c r="Q125" i="6"/>
  <c r="AK125" i="6" s="1"/>
  <c r="Q107" i="6"/>
  <c r="AK107" i="6" s="1"/>
  <c r="Q74" i="6"/>
  <c r="AK74" i="6" s="1"/>
  <c r="Q51" i="6"/>
  <c r="AK51" i="6" s="1"/>
  <c r="Q19" i="6"/>
  <c r="AK19" i="6" s="1"/>
  <c r="Q270" i="6"/>
  <c r="AK270" i="6" s="1"/>
  <c r="Q261" i="6"/>
  <c r="AK261" i="6" s="1"/>
  <c r="Q212" i="6"/>
  <c r="AK212" i="6" s="1"/>
  <c r="Q218" i="6"/>
  <c r="AK218" i="6" s="1"/>
  <c r="Q199" i="6"/>
  <c r="AK199" i="6" s="1"/>
  <c r="Q148" i="6"/>
  <c r="AK148" i="6" s="1"/>
  <c r="Q115" i="6"/>
  <c r="AK115" i="6" s="1"/>
  <c r="Q172" i="6"/>
  <c r="AK172" i="6" s="1"/>
  <c r="Q44" i="6"/>
  <c r="AK44" i="6" s="1"/>
  <c r="Q35" i="6"/>
  <c r="AK35" i="6" s="1"/>
  <c r="Q27" i="6"/>
  <c r="G17" i="6"/>
  <c r="J17" i="6"/>
  <c r="AG17" i="6" s="1"/>
  <c r="J18" i="6"/>
  <c r="AG18" i="6" s="1"/>
  <c r="G18" i="6"/>
  <c r="G23" i="6"/>
  <c r="J23" i="6"/>
  <c r="AG23" i="6" s="1"/>
  <c r="G38" i="6"/>
  <c r="J38" i="6"/>
  <c r="AG38" i="6" s="1"/>
  <c r="G39" i="6"/>
  <c r="J39" i="6"/>
  <c r="AG39" i="6" s="1"/>
  <c r="G40" i="6"/>
  <c r="J40" i="6"/>
  <c r="AG40" i="6" s="1"/>
  <c r="G41" i="6"/>
  <c r="J41" i="6"/>
  <c r="AG41" i="6" s="1"/>
  <c r="G42" i="6"/>
  <c r="J42" i="6"/>
  <c r="AG42" i="6" s="1"/>
  <c r="G43" i="6"/>
  <c r="J43" i="6"/>
  <c r="AG43" i="6" s="1"/>
  <c r="L47" i="6"/>
  <c r="AH47" i="6" s="1"/>
  <c r="AH52" i="6"/>
  <c r="G48" i="6"/>
  <c r="J48" i="6"/>
  <c r="AG48" i="6" s="1"/>
  <c r="G49" i="6"/>
  <c r="J49" i="6"/>
  <c r="AG49" i="6" s="1"/>
  <c r="G50" i="6"/>
  <c r="J50" i="6"/>
  <c r="AG50" i="6" s="1"/>
  <c r="G78" i="6"/>
  <c r="J78" i="6"/>
  <c r="AG78" i="6" s="1"/>
  <c r="G79" i="6"/>
  <c r="J79" i="6"/>
  <c r="AG79" i="6" s="1"/>
  <c r="G80" i="6"/>
  <c r="J80" i="6"/>
  <c r="AG80" i="6" s="1"/>
  <c r="G81" i="6"/>
  <c r="J81" i="6"/>
  <c r="AG81" i="6" s="1"/>
  <c r="G82" i="6"/>
  <c r="J82" i="6"/>
  <c r="AG82" i="6" s="1"/>
  <c r="G83" i="6"/>
  <c r="J83" i="6"/>
  <c r="AG83" i="6" s="1"/>
  <c r="G84" i="6"/>
  <c r="J84" i="6"/>
  <c r="AG84" i="6" s="1"/>
  <c r="G85" i="6"/>
  <c r="J85" i="6"/>
  <c r="AG85" i="6" s="1"/>
  <c r="G86" i="6"/>
  <c r="J86" i="6"/>
  <c r="AG86" i="6" s="1"/>
  <c r="G87" i="6"/>
  <c r="J87" i="6"/>
  <c r="AG87" i="6" s="1"/>
  <c r="G88" i="6"/>
  <c r="J88" i="6"/>
  <c r="AG88" i="6" s="1"/>
  <c r="G92" i="6"/>
  <c r="J92" i="6"/>
  <c r="AG92" i="6" s="1"/>
  <c r="G93" i="6"/>
  <c r="J93" i="6"/>
  <c r="AG93" i="6" s="1"/>
  <c r="G94" i="6"/>
  <c r="J94" i="6"/>
  <c r="AG94" i="6" s="1"/>
  <c r="G95" i="6"/>
  <c r="J95" i="6"/>
  <c r="AG95" i="6" s="1"/>
  <c r="G96" i="6"/>
  <c r="J96" i="6"/>
  <c r="AG96" i="6" s="1"/>
  <c r="G97" i="6"/>
  <c r="J97" i="6"/>
  <c r="AG97" i="6" s="1"/>
  <c r="G98" i="6"/>
  <c r="J98" i="6"/>
  <c r="AG98" i="6" s="1"/>
  <c r="G99" i="6"/>
  <c r="J99" i="6"/>
  <c r="AG99" i="6" s="1"/>
  <c r="AG108" i="6"/>
  <c r="G103" i="6"/>
  <c r="J103" i="6"/>
  <c r="AG103" i="6" s="1"/>
  <c r="AH116" i="6"/>
  <c r="L111" i="6"/>
  <c r="AH111" i="6" s="1"/>
  <c r="G112" i="6"/>
  <c r="J112" i="6"/>
  <c r="AG112" i="6" s="1"/>
  <c r="G113" i="6"/>
  <c r="J113" i="6"/>
  <c r="AG113" i="6" s="1"/>
  <c r="G114" i="6"/>
  <c r="J114" i="6"/>
  <c r="AG114" i="6" s="1"/>
  <c r="AG126" i="6"/>
  <c r="G121" i="6"/>
  <c r="J121" i="6"/>
  <c r="AG121" i="6" s="1"/>
  <c r="G130" i="6"/>
  <c r="J130" i="6"/>
  <c r="AG130" i="6" s="1"/>
  <c r="G131" i="6"/>
  <c r="J131" i="6"/>
  <c r="AG131" i="6" s="1"/>
  <c r="G132" i="6"/>
  <c r="J132" i="6"/>
  <c r="AG132" i="6" s="1"/>
  <c r="G133" i="6"/>
  <c r="J133" i="6"/>
  <c r="AG133" i="6" s="1"/>
  <c r="G134" i="6"/>
  <c r="J134" i="6"/>
  <c r="AG134" i="6" s="1"/>
  <c r="G135" i="6"/>
  <c r="J135" i="6"/>
  <c r="AG135" i="6" s="1"/>
  <c r="G136" i="6"/>
  <c r="J136" i="6"/>
  <c r="AG136" i="6" s="1"/>
  <c r="G137" i="6"/>
  <c r="J137" i="6"/>
  <c r="AG137" i="6" s="1"/>
  <c r="G138" i="6"/>
  <c r="J138" i="6"/>
  <c r="AG138" i="6" s="1"/>
  <c r="G139" i="6"/>
  <c r="J139" i="6"/>
  <c r="AG139" i="6" s="1"/>
  <c r="G140" i="6"/>
  <c r="J140" i="6"/>
  <c r="AG140" i="6" s="1"/>
  <c r="AG149" i="6"/>
  <c r="G144" i="6"/>
  <c r="J144" i="6"/>
  <c r="AG144" i="6" s="1"/>
  <c r="G145" i="6"/>
  <c r="J145" i="6"/>
  <c r="AG145" i="6" s="1"/>
  <c r="G146" i="6"/>
  <c r="J146" i="6"/>
  <c r="AG146" i="6" s="1"/>
  <c r="G147" i="6"/>
  <c r="J147" i="6"/>
  <c r="AG147" i="6" s="1"/>
  <c r="G175" i="6"/>
  <c r="J175" i="6"/>
  <c r="AG175" i="6" s="1"/>
  <c r="G176" i="6"/>
  <c r="J176" i="6"/>
  <c r="AG176" i="6" s="1"/>
  <c r="G177" i="6"/>
  <c r="J177" i="6"/>
  <c r="AG177" i="6" s="1"/>
  <c r="G178" i="6"/>
  <c r="J178" i="6"/>
  <c r="AG178" i="6" s="1"/>
  <c r="G182" i="6"/>
  <c r="J182" i="6"/>
  <c r="AG182" i="6" s="1"/>
  <c r="G195" i="6"/>
  <c r="J195" i="6"/>
  <c r="AG195" i="6" s="1"/>
  <c r="G196" i="6"/>
  <c r="J196" i="6"/>
  <c r="AG196" i="6" s="1"/>
  <c r="G197" i="6"/>
  <c r="J197" i="6"/>
  <c r="AG197" i="6" s="1"/>
  <c r="G198" i="6"/>
  <c r="J198" i="6"/>
  <c r="AG198" i="6" s="1"/>
  <c r="G209" i="6"/>
  <c r="J209" i="6"/>
  <c r="AG209" i="6" s="1"/>
  <c r="G210" i="6"/>
  <c r="J210" i="6"/>
  <c r="AG210" i="6" s="1"/>
  <c r="G211" i="6"/>
  <c r="J211" i="6"/>
  <c r="AG211" i="6" s="1"/>
  <c r="L226" i="6"/>
  <c r="AH226" i="6" s="1"/>
  <c r="L227" i="6"/>
  <c r="AH227" i="6" s="1"/>
  <c r="L228" i="6"/>
  <c r="AH228" i="6" s="1"/>
  <c r="L229" i="6"/>
  <c r="AH229" i="6" s="1"/>
  <c r="L230" i="6"/>
  <c r="AH230" i="6" s="1"/>
  <c r="L231" i="6"/>
  <c r="AH231" i="6" s="1"/>
  <c r="G235" i="6"/>
  <c r="J235" i="6"/>
  <c r="AG235" i="6" s="1"/>
  <c r="G236" i="6"/>
  <c r="J236" i="6"/>
  <c r="AG236" i="6" s="1"/>
  <c r="G237" i="6"/>
  <c r="J237" i="6"/>
  <c r="AG237" i="6" s="1"/>
  <c r="G238" i="6"/>
  <c r="J238" i="6"/>
  <c r="AG238" i="6" s="1"/>
  <c r="G239" i="6"/>
  <c r="J239" i="6"/>
  <c r="AG239" i="6" s="1"/>
  <c r="G240" i="6"/>
  <c r="J240" i="6"/>
  <c r="AG240" i="6" s="1"/>
  <c r="L244" i="6"/>
  <c r="AH244" i="6" s="1"/>
  <c r="AH250" i="6"/>
  <c r="L245" i="6"/>
  <c r="AH245" i="6" s="1"/>
  <c r="L246" i="6"/>
  <c r="AH246" i="6" s="1"/>
  <c r="L247" i="6"/>
  <c r="AH247" i="6" s="1"/>
  <c r="L248" i="6"/>
  <c r="AH248" i="6" s="1"/>
  <c r="G252" i="6"/>
  <c r="J252" i="6"/>
  <c r="AG252" i="6" s="1"/>
  <c r="G253" i="6"/>
  <c r="J253" i="6"/>
  <c r="AG253" i="6" s="1"/>
  <c r="G254" i="6"/>
  <c r="J254" i="6"/>
  <c r="AG254" i="6" s="1"/>
  <c r="G255" i="6"/>
  <c r="J255" i="6"/>
  <c r="AG255" i="6" s="1"/>
  <c r="G256" i="6"/>
  <c r="J256" i="6"/>
  <c r="AG256" i="6" s="1"/>
  <c r="G257" i="6"/>
  <c r="J257" i="6"/>
  <c r="AG257" i="6" s="1"/>
  <c r="G258" i="6"/>
  <c r="J258" i="6"/>
  <c r="AG258" i="6" s="1"/>
  <c r="G259" i="6"/>
  <c r="J259" i="6"/>
  <c r="AG259" i="6" s="1"/>
  <c r="G260" i="6"/>
  <c r="J260" i="6"/>
  <c r="AG260" i="6" s="1"/>
  <c r="L264" i="6"/>
  <c r="AH264" i="6" s="1"/>
  <c r="L265" i="6"/>
  <c r="AH265" i="6" s="1"/>
  <c r="L266" i="6"/>
  <c r="AH266" i="6" s="1"/>
  <c r="L267" i="6"/>
  <c r="AH267" i="6" s="1"/>
  <c r="L268" i="6"/>
  <c r="AH268" i="6" s="1"/>
  <c r="L269" i="6"/>
  <c r="AH269" i="6" s="1"/>
  <c r="G273" i="6"/>
  <c r="J273" i="6"/>
  <c r="AG273" i="6" s="1"/>
  <c r="G274" i="6"/>
  <c r="J274" i="6"/>
  <c r="AG274" i="6" s="1"/>
  <c r="G275" i="6"/>
  <c r="J275" i="6"/>
  <c r="AG275" i="6" s="1"/>
  <c r="G276" i="6"/>
  <c r="J276" i="6"/>
  <c r="AG276" i="6" s="1"/>
  <c r="G277" i="6"/>
  <c r="J277" i="6"/>
  <c r="AG277" i="6" s="1"/>
  <c r="G278" i="6"/>
  <c r="J278" i="6"/>
  <c r="AG278" i="6" s="1"/>
  <c r="G279" i="6"/>
  <c r="J279" i="6"/>
  <c r="AG279" i="6" s="1"/>
  <c r="G280" i="6"/>
  <c r="J280" i="6"/>
  <c r="AG280" i="6" s="1"/>
  <c r="G281" i="6"/>
  <c r="J281" i="6"/>
  <c r="AG281" i="6" s="1"/>
  <c r="G282" i="6"/>
  <c r="J282" i="6"/>
  <c r="AG282" i="6" s="1"/>
  <c r="G283" i="6"/>
  <c r="J283" i="6"/>
  <c r="AG283" i="6" s="1"/>
  <c r="G284" i="6"/>
  <c r="J284" i="6"/>
  <c r="AG284" i="6" s="1"/>
  <c r="G285" i="6"/>
  <c r="J285" i="6"/>
  <c r="AG285" i="6" s="1"/>
  <c r="G286" i="6"/>
  <c r="J286" i="6"/>
  <c r="AG286" i="6" s="1"/>
  <c r="G290" i="6"/>
  <c r="J290" i="6"/>
  <c r="AG290" i="6" s="1"/>
  <c r="AG296" i="6"/>
  <c r="L291" i="6"/>
  <c r="AH291" i="6" s="1"/>
  <c r="L292" i="6"/>
  <c r="AH292" i="6" s="1"/>
  <c r="L293" i="6"/>
  <c r="AH293" i="6" s="1"/>
  <c r="L294" i="6"/>
  <c r="AH294" i="6" s="1"/>
  <c r="G305" i="6"/>
  <c r="J305" i="6"/>
  <c r="AG305" i="6" s="1"/>
  <c r="AG311" i="6"/>
  <c r="G306" i="6"/>
  <c r="J306" i="6"/>
  <c r="AG306" i="6" s="1"/>
  <c r="G307" i="6"/>
  <c r="J307" i="6"/>
  <c r="AG307" i="6" s="1"/>
  <c r="G308" i="6"/>
  <c r="J308" i="6"/>
  <c r="AG308" i="6" s="1"/>
  <c r="G309" i="6"/>
  <c r="J309" i="6"/>
  <c r="AG309" i="6" s="1"/>
  <c r="G310" i="6"/>
  <c r="J310" i="6"/>
  <c r="AG310" i="6" s="1"/>
  <c r="AH319" i="6"/>
  <c r="L313" i="6"/>
  <c r="AH313" i="6" s="1"/>
  <c r="L314" i="6"/>
  <c r="AH314" i="6" s="1"/>
  <c r="L315" i="6"/>
  <c r="AH315" i="6" s="1"/>
  <c r="L316" i="6"/>
  <c r="AH316" i="6" s="1"/>
  <c r="L317" i="6"/>
  <c r="AH317" i="6" s="1"/>
  <c r="L318" i="6"/>
  <c r="AH318" i="6" s="1"/>
  <c r="G321" i="6"/>
  <c r="AG327" i="6"/>
  <c r="J321" i="6"/>
  <c r="AG321" i="6" s="1"/>
  <c r="G322" i="6"/>
  <c r="J322" i="6"/>
  <c r="AG322" i="6" s="1"/>
  <c r="G323" i="6"/>
  <c r="J323" i="6"/>
  <c r="AG323" i="6" s="1"/>
  <c r="G324" i="6"/>
  <c r="J324" i="6"/>
  <c r="AG324" i="6" s="1"/>
  <c r="G325" i="6"/>
  <c r="J325" i="6"/>
  <c r="AG325" i="6" s="1"/>
  <c r="G326" i="6"/>
  <c r="J326" i="6"/>
  <c r="AG326" i="6" s="1"/>
  <c r="AH335" i="6"/>
  <c r="L329" i="6"/>
  <c r="AH329" i="6" s="1"/>
  <c r="L330" i="6"/>
  <c r="AH330" i="6" s="1"/>
  <c r="L331" i="6"/>
  <c r="AH331" i="6" s="1"/>
  <c r="L332" i="6"/>
  <c r="AH332" i="6" s="1"/>
  <c r="L333" i="6"/>
  <c r="AH333" i="6" s="1"/>
  <c r="L334" i="6"/>
  <c r="AH334" i="6" s="1"/>
  <c r="AG343" i="6"/>
  <c r="G337" i="6"/>
  <c r="J337" i="6"/>
  <c r="AG337" i="6" s="1"/>
  <c r="G338" i="6"/>
  <c r="J338" i="6"/>
  <c r="AG338" i="6" s="1"/>
  <c r="G339" i="6"/>
  <c r="J339" i="6"/>
  <c r="AG339" i="6" s="1"/>
  <c r="G340" i="6"/>
  <c r="J340" i="6"/>
  <c r="AG340" i="6" s="1"/>
  <c r="G341" i="6"/>
  <c r="J341" i="6"/>
  <c r="AG341" i="6" s="1"/>
  <c r="G342" i="6"/>
  <c r="J342" i="6"/>
  <c r="AG342" i="6" s="1"/>
  <c r="AH351" i="6"/>
  <c r="L345" i="6"/>
  <c r="AH345" i="6" s="1"/>
  <c r="L346" i="6"/>
  <c r="AH346" i="6" s="1"/>
  <c r="L347" i="6"/>
  <c r="AH347" i="6" s="1"/>
  <c r="L348" i="6"/>
  <c r="AH348" i="6" s="1"/>
  <c r="L349" i="6"/>
  <c r="AH349" i="6" s="1"/>
  <c r="L350" i="6"/>
  <c r="AH350" i="6" s="1"/>
  <c r="AH359" i="6"/>
  <c r="L353" i="6"/>
  <c r="AH353" i="6" s="1"/>
  <c r="L354" i="6"/>
  <c r="AH354" i="6" s="1"/>
  <c r="L355" i="6"/>
  <c r="AH355" i="6" s="1"/>
  <c r="L356" i="6"/>
  <c r="AH356" i="6" s="1"/>
  <c r="L357" i="6"/>
  <c r="AH357" i="6" s="1"/>
  <c r="L358" i="6"/>
  <c r="AH358" i="6" s="1"/>
  <c r="AG367" i="6"/>
  <c r="G361" i="6"/>
  <c r="J361" i="6"/>
  <c r="AG361" i="6" s="1"/>
  <c r="G362" i="6"/>
  <c r="J362" i="6"/>
  <c r="AG362" i="6" s="1"/>
  <c r="G363" i="6"/>
  <c r="J363" i="6"/>
  <c r="AG363" i="6" s="1"/>
  <c r="G364" i="6"/>
  <c r="J364" i="6"/>
  <c r="AG364" i="6" s="1"/>
  <c r="G365" i="6"/>
  <c r="J365" i="6"/>
  <c r="AG365" i="6" s="1"/>
  <c r="G366" i="6"/>
  <c r="J366" i="6"/>
  <c r="AG366" i="6" s="1"/>
  <c r="AG375" i="6"/>
  <c r="J369" i="6"/>
  <c r="AG369" i="6" s="1"/>
  <c r="G369" i="6"/>
  <c r="G370" i="6"/>
  <c r="J370" i="6"/>
  <c r="AG370" i="6" s="1"/>
  <c r="G371" i="6"/>
  <c r="J371" i="6"/>
  <c r="AG371" i="6" s="1"/>
  <c r="G372" i="6"/>
  <c r="J372" i="6"/>
  <c r="AG372" i="6" s="1"/>
  <c r="G373" i="6"/>
  <c r="J373" i="6"/>
  <c r="AG373" i="6" s="1"/>
  <c r="G374" i="6"/>
  <c r="J374" i="6"/>
  <c r="AG374" i="6" s="1"/>
  <c r="AH383" i="6"/>
  <c r="L377" i="6"/>
  <c r="AH377" i="6" s="1"/>
  <c r="L378" i="6"/>
  <c r="AH378" i="6" s="1"/>
  <c r="L379" i="6"/>
  <c r="AH379" i="6" s="1"/>
  <c r="L380" i="6"/>
  <c r="AH380" i="6" s="1"/>
  <c r="L381" i="6"/>
  <c r="AH381" i="6" s="1"/>
  <c r="L382" i="6"/>
  <c r="AH382" i="6" s="1"/>
  <c r="L386" i="6"/>
  <c r="AH386" i="6" s="1"/>
  <c r="L387" i="6"/>
  <c r="AH387" i="6" s="1"/>
  <c r="L388" i="6"/>
  <c r="AH388" i="6" s="1"/>
  <c r="L389" i="6"/>
  <c r="AH389" i="6" s="1"/>
  <c r="L390" i="6"/>
  <c r="AH390" i="6" s="1"/>
  <c r="L391" i="6"/>
  <c r="AH391" i="6" s="1"/>
  <c r="L392" i="6"/>
  <c r="AH392" i="6" s="1"/>
  <c r="L393" i="6"/>
  <c r="AH393" i="6" s="1"/>
  <c r="L394" i="6"/>
  <c r="AH394" i="6" s="1"/>
  <c r="G397" i="6"/>
  <c r="J397" i="6"/>
  <c r="AG397" i="6" s="1"/>
  <c r="G398" i="6"/>
  <c r="J398" i="6"/>
  <c r="AG398" i="6" s="1"/>
  <c r="G399" i="6"/>
  <c r="J399" i="6"/>
  <c r="AG399" i="6" s="1"/>
  <c r="G400" i="6"/>
  <c r="J400" i="6"/>
  <c r="AG400" i="6" s="1"/>
  <c r="G401" i="6"/>
  <c r="J401" i="6"/>
  <c r="AG401" i="6" s="1"/>
  <c r="G402" i="6"/>
  <c r="J402" i="6"/>
  <c r="AG402" i="6" s="1"/>
  <c r="L403" i="6"/>
  <c r="AH403" i="6" s="1"/>
  <c r="G404" i="6"/>
  <c r="J404" i="6"/>
  <c r="AG404" i="6" s="1"/>
  <c r="L407" i="6"/>
  <c r="AH407" i="6" s="1"/>
  <c r="L408" i="6"/>
  <c r="AH408" i="6" s="1"/>
  <c r="L409" i="6"/>
  <c r="AH409" i="6" s="1"/>
  <c r="L410" i="6"/>
  <c r="AH410" i="6" s="1"/>
  <c r="L411" i="6"/>
  <c r="AH411" i="6" s="1"/>
  <c r="G414" i="6"/>
  <c r="J414" i="6"/>
  <c r="AG414" i="6" s="1"/>
  <c r="G415" i="6"/>
  <c r="J415" i="6"/>
  <c r="AG415" i="6" s="1"/>
  <c r="G416" i="6"/>
  <c r="J416" i="6"/>
  <c r="AG416" i="6" s="1"/>
  <c r="G417" i="6"/>
  <c r="J417" i="6"/>
  <c r="AG417" i="6" s="1"/>
  <c r="L420" i="6"/>
  <c r="AH420" i="6" s="1"/>
  <c r="L421" i="6"/>
  <c r="AH421" i="6" s="1"/>
  <c r="L422" i="6"/>
  <c r="AH422" i="6" s="1"/>
  <c r="L423" i="6"/>
  <c r="AH423" i="6" s="1"/>
  <c r="L424" i="6"/>
  <c r="AH424" i="6" s="1"/>
  <c r="L425" i="6"/>
  <c r="AH425" i="6" s="1"/>
  <c r="AG433" i="6"/>
  <c r="G428" i="6"/>
  <c r="J428" i="6"/>
  <c r="AG428" i="6" s="1"/>
  <c r="G429" i="6"/>
  <c r="J429" i="6"/>
  <c r="AG429" i="6" s="1"/>
  <c r="G430" i="6"/>
  <c r="J430" i="6"/>
  <c r="AG430" i="6" s="1"/>
  <c r="G431" i="6"/>
  <c r="J431" i="6"/>
  <c r="AG431" i="6" s="1"/>
  <c r="G432" i="6"/>
  <c r="J432" i="6"/>
  <c r="AG432" i="6" s="1"/>
  <c r="L435" i="6"/>
  <c r="AH435" i="6" s="1"/>
  <c r="G436" i="6"/>
  <c r="J436" i="6"/>
  <c r="AG436" i="6" s="1"/>
  <c r="G437" i="6"/>
  <c r="J437" i="6"/>
  <c r="AG437" i="6" s="1"/>
  <c r="G438" i="6"/>
  <c r="J438" i="6"/>
  <c r="AG438" i="6" s="1"/>
  <c r="G439" i="6"/>
  <c r="AG440" i="6"/>
  <c r="J439" i="6"/>
  <c r="AG439" i="6" s="1"/>
  <c r="L442" i="6"/>
  <c r="AH442" i="6" s="1"/>
  <c r="L443" i="6"/>
  <c r="AH443" i="6" s="1"/>
  <c r="L444" i="6"/>
  <c r="AH444" i="6" s="1"/>
  <c r="L445" i="6"/>
  <c r="AH445" i="6" s="1"/>
  <c r="L446" i="6"/>
  <c r="AH446" i="6" s="1"/>
  <c r="L447" i="6"/>
  <c r="AH447" i="6" s="1"/>
  <c r="L448" i="6"/>
  <c r="AH448" i="6" s="1"/>
  <c r="L449" i="6"/>
  <c r="AH449" i="6" s="1"/>
  <c r="L450" i="6"/>
  <c r="AH450" i="6" s="1"/>
  <c r="L451" i="6"/>
  <c r="AH451" i="6" s="1"/>
  <c r="L452" i="6"/>
  <c r="AH452" i="6" s="1"/>
  <c r="X5" i="6"/>
  <c r="X295" i="6"/>
  <c r="AO295" i="6" s="1"/>
  <c r="X270" i="6"/>
  <c r="AO270" i="6" s="1"/>
  <c r="X261" i="6"/>
  <c r="AO261" i="6" s="1"/>
  <c r="X212" i="6"/>
  <c r="AO212" i="6" s="1"/>
  <c r="X218" i="6"/>
  <c r="AO218" i="6" s="1"/>
  <c r="X199" i="6"/>
  <c r="AO199" i="6" s="1"/>
  <c r="X148" i="6"/>
  <c r="AO148" i="6" s="1"/>
  <c r="X115" i="6"/>
  <c r="AO115" i="6" s="1"/>
  <c r="X172" i="6"/>
  <c r="AO172" i="6" s="1"/>
  <c r="X44" i="6"/>
  <c r="AO44" i="6" s="1"/>
  <c r="X35" i="6"/>
  <c r="AO35" i="6" s="1"/>
  <c r="X27" i="6"/>
  <c r="X241" i="6"/>
  <c r="AO241" i="6" s="1"/>
  <c r="X232" i="6"/>
  <c r="AO232" i="6" s="1"/>
  <c r="X249" i="6"/>
  <c r="AO249" i="6" s="1"/>
  <c r="X206" i="6"/>
  <c r="AO206" i="6" s="1"/>
  <c r="X191" i="6"/>
  <c r="AO191" i="6" s="1"/>
  <c r="X179" i="6"/>
  <c r="AO179" i="6" s="1"/>
  <c r="X125" i="6"/>
  <c r="AO125" i="6" s="1"/>
  <c r="X107" i="6"/>
  <c r="AO107" i="6" s="1"/>
  <c r="X74" i="6"/>
  <c r="AO74" i="6" s="1"/>
  <c r="X51" i="6"/>
  <c r="AO51" i="6" s="1"/>
  <c r="X19" i="6"/>
  <c r="AO19" i="6" s="1"/>
  <c r="X16" i="6"/>
  <c r="AO16" i="6" s="1"/>
  <c r="U16" i="6"/>
  <c r="X18" i="6"/>
  <c r="AO18" i="6" s="1"/>
  <c r="U18" i="6"/>
  <c r="U24" i="6"/>
  <c r="V24" i="6" s="1"/>
  <c r="AQ24" i="6" s="1"/>
  <c r="X24" i="6"/>
  <c r="AO24" i="6" s="1"/>
  <c r="U26" i="6"/>
  <c r="V26" i="6" s="1"/>
  <c r="AQ26" i="6" s="1"/>
  <c r="X26" i="6"/>
  <c r="AO26" i="6" s="1"/>
  <c r="U31" i="6"/>
  <c r="V31" i="6" s="1"/>
  <c r="AQ31" i="6" s="1"/>
  <c r="X31" i="6"/>
  <c r="AO31" i="6" s="1"/>
  <c r="U33" i="6"/>
  <c r="V33" i="6" s="1"/>
  <c r="AQ33" i="6" s="1"/>
  <c r="X33" i="6"/>
  <c r="AO33" i="6" s="1"/>
  <c r="U38" i="6"/>
  <c r="V38" i="6" s="1"/>
  <c r="AQ38" i="6" s="1"/>
  <c r="X38" i="6"/>
  <c r="AO38" i="6" s="1"/>
  <c r="U40" i="6"/>
  <c r="V40" i="6" s="1"/>
  <c r="AQ40" i="6" s="1"/>
  <c r="X40" i="6"/>
  <c r="AO40" i="6" s="1"/>
  <c r="U42" i="6"/>
  <c r="V42" i="6" s="1"/>
  <c r="AQ42" i="6" s="1"/>
  <c r="X42" i="6"/>
  <c r="AO42" i="6" s="1"/>
  <c r="U47" i="6"/>
  <c r="AO52" i="6"/>
  <c r="X47" i="6"/>
  <c r="AO47" i="6" s="1"/>
  <c r="U49" i="6"/>
  <c r="X49" i="6"/>
  <c r="AO49" i="6" s="1"/>
  <c r="U54" i="6"/>
  <c r="X54" i="6"/>
  <c r="AO54" i="6" s="1"/>
  <c r="U56" i="6"/>
  <c r="X56" i="6"/>
  <c r="AO56" i="6" s="1"/>
  <c r="U58" i="6"/>
  <c r="X58" i="6"/>
  <c r="AO58" i="6" s="1"/>
  <c r="U60" i="6"/>
  <c r="X60" i="6"/>
  <c r="AO60" i="6" s="1"/>
  <c r="U62" i="6"/>
  <c r="X62" i="6"/>
  <c r="AO62" i="6" s="1"/>
  <c r="U64" i="6"/>
  <c r="X64" i="6"/>
  <c r="AO64" i="6" s="1"/>
  <c r="U69" i="6"/>
  <c r="X69" i="6"/>
  <c r="AO69" i="6" s="1"/>
  <c r="U71" i="6"/>
  <c r="X71" i="6"/>
  <c r="AO71" i="6" s="1"/>
  <c r="U73" i="6"/>
  <c r="X73" i="6"/>
  <c r="AO73" i="6" s="1"/>
  <c r="U79" i="6"/>
  <c r="X79" i="6"/>
  <c r="AO79" i="6" s="1"/>
  <c r="U81" i="6"/>
  <c r="X81" i="6"/>
  <c r="AO81" i="6" s="1"/>
  <c r="U83" i="6"/>
  <c r="X83" i="6"/>
  <c r="AO83" i="6" s="1"/>
  <c r="U85" i="6"/>
  <c r="X85" i="6"/>
  <c r="AO85" i="6" s="1"/>
  <c r="U87" i="6"/>
  <c r="X87" i="6"/>
  <c r="AO87" i="6" s="1"/>
  <c r="U92" i="6"/>
  <c r="X92" i="6"/>
  <c r="AO92" i="6" s="1"/>
  <c r="U94" i="6"/>
  <c r="X94" i="6"/>
  <c r="AO94" i="6" s="1"/>
  <c r="U96" i="6"/>
  <c r="X96" i="6"/>
  <c r="AO96" i="6" s="1"/>
  <c r="U98" i="6"/>
  <c r="X98" i="6"/>
  <c r="AO98" i="6" s="1"/>
  <c r="U103" i="6"/>
  <c r="AO108" i="6"/>
  <c r="X103" i="6"/>
  <c r="AO103" i="6" s="1"/>
  <c r="U105" i="6"/>
  <c r="V105" i="6" s="1"/>
  <c r="AQ105" i="6" s="1"/>
  <c r="X105" i="6"/>
  <c r="AO105" i="6" s="1"/>
  <c r="U111" i="6"/>
  <c r="AO116" i="6"/>
  <c r="X111" i="6"/>
  <c r="AO111" i="6" s="1"/>
  <c r="U113" i="6"/>
  <c r="X113" i="6"/>
  <c r="AO113" i="6" s="1"/>
  <c r="U121" i="6"/>
  <c r="AO126" i="6"/>
  <c r="X121" i="6"/>
  <c r="AO121" i="6" s="1"/>
  <c r="U123" i="6"/>
  <c r="V123" i="6" s="1"/>
  <c r="AQ123" i="6" s="1"/>
  <c r="X123" i="6"/>
  <c r="AO123" i="6" s="1"/>
  <c r="U130" i="6"/>
  <c r="V130" i="6" s="1"/>
  <c r="AQ130" i="6" s="1"/>
  <c r="X130" i="6"/>
  <c r="AO130" i="6" s="1"/>
  <c r="U132" i="6"/>
  <c r="V132" i="6" s="1"/>
  <c r="AQ132" i="6" s="1"/>
  <c r="X132" i="6"/>
  <c r="AO132" i="6" s="1"/>
  <c r="U134" i="6"/>
  <c r="V134" i="6" s="1"/>
  <c r="AQ134" i="6" s="1"/>
  <c r="X134" i="6"/>
  <c r="AO134" i="6" s="1"/>
  <c r="U136" i="6"/>
  <c r="V136" i="6" s="1"/>
  <c r="AQ136" i="6" s="1"/>
  <c r="X136" i="6"/>
  <c r="AO136" i="6" s="1"/>
  <c r="U138" i="6"/>
  <c r="V138" i="6" s="1"/>
  <c r="AQ138" i="6" s="1"/>
  <c r="X138" i="6"/>
  <c r="AO138" i="6" s="1"/>
  <c r="U140" i="6"/>
  <c r="V140" i="6" s="1"/>
  <c r="AQ140" i="6" s="1"/>
  <c r="X140" i="6"/>
  <c r="AO140" i="6" s="1"/>
  <c r="Z145" i="6"/>
  <c r="AP145" i="6" s="1"/>
  <c r="Z154" i="6"/>
  <c r="AP154" i="6" s="1"/>
  <c r="Z158" i="6"/>
  <c r="AP158" i="6" s="1"/>
  <c r="Z162" i="6"/>
  <c r="AP162" i="6" s="1"/>
  <c r="Z169" i="6"/>
  <c r="AP169" i="6" s="1"/>
  <c r="Z176" i="6"/>
  <c r="AP176" i="6" s="1"/>
  <c r="Z183" i="6"/>
  <c r="AP183" i="6" s="1"/>
  <c r="Z187" i="6"/>
  <c r="AP187" i="6" s="1"/>
  <c r="Z195" i="6"/>
  <c r="AP195" i="6" s="1"/>
  <c r="Z202" i="6"/>
  <c r="AP202" i="6" s="1"/>
  <c r="Z209" i="6"/>
  <c r="AP209" i="6" s="1"/>
  <c r="Z216" i="6"/>
  <c r="AP216" i="6" s="1"/>
  <c r="Z224" i="6"/>
  <c r="AP224" i="6" s="1"/>
  <c r="Z228" i="6"/>
  <c r="AP228" i="6" s="1"/>
  <c r="Z235" i="6"/>
  <c r="AP235" i="6" s="1"/>
  <c r="Z239" i="6"/>
  <c r="AP239" i="6" s="1"/>
  <c r="Z246" i="6"/>
  <c r="AP246" i="6" s="1"/>
  <c r="Z253" i="6"/>
  <c r="AP253" i="6" s="1"/>
  <c r="Z257" i="6"/>
  <c r="AP257" i="6" s="1"/>
  <c r="Z264" i="6"/>
  <c r="AP264" i="6" s="1"/>
  <c r="Z268" i="6"/>
  <c r="AP268" i="6" s="1"/>
  <c r="Z275" i="6"/>
  <c r="AP275" i="6" s="1"/>
  <c r="Z279" i="6"/>
  <c r="AP279" i="6" s="1"/>
  <c r="Z283" i="6"/>
  <c r="AP283" i="6" s="1"/>
  <c r="AP296" i="6"/>
  <c r="Z290" i="6"/>
  <c r="AP290" i="6" s="1"/>
  <c r="Z294" i="6"/>
  <c r="AP294" i="6" s="1"/>
  <c r="Z308" i="6"/>
  <c r="AP308" i="6" s="1"/>
  <c r="Z314" i="6"/>
  <c r="AP314" i="6" s="1"/>
  <c r="Z318" i="6"/>
  <c r="AP318" i="6" s="1"/>
  <c r="Z324" i="6"/>
  <c r="AP324" i="6" s="1"/>
  <c r="Z330" i="6"/>
  <c r="AP330" i="6" s="1"/>
  <c r="Z334" i="6"/>
  <c r="AP334" i="6" s="1"/>
  <c r="Z339" i="6"/>
  <c r="AP339" i="6" s="1"/>
  <c r="Z341" i="6"/>
  <c r="AP341" i="6" s="1"/>
  <c r="AP351" i="6"/>
  <c r="Z345" i="6"/>
  <c r="AP345" i="6" s="1"/>
  <c r="Z347" i="6"/>
  <c r="AP347" i="6" s="1"/>
  <c r="Z349" i="6"/>
  <c r="AP349" i="6" s="1"/>
  <c r="AP359" i="6"/>
  <c r="Z353" i="6"/>
  <c r="AP353" i="6" s="1"/>
  <c r="Z355" i="6"/>
  <c r="AP355" i="6" s="1"/>
  <c r="Z357" i="6"/>
  <c r="AP357" i="6" s="1"/>
  <c r="AP367" i="6"/>
  <c r="Z361" i="6"/>
  <c r="AP361" i="6" s="1"/>
  <c r="Z363" i="6"/>
  <c r="AP363" i="6" s="1"/>
  <c r="Z365" i="6"/>
  <c r="AP365" i="6" s="1"/>
  <c r="AP375" i="6"/>
  <c r="Z369" i="6"/>
  <c r="AP369" i="6" s="1"/>
  <c r="Z371" i="6"/>
  <c r="AP371" i="6" s="1"/>
  <c r="Z373" i="6"/>
  <c r="AP373" i="6" s="1"/>
  <c r="AP383" i="6"/>
  <c r="Z377" i="6"/>
  <c r="AP377" i="6" s="1"/>
  <c r="Z379" i="6"/>
  <c r="AP379" i="6" s="1"/>
  <c r="Z381" i="6"/>
  <c r="AP381" i="6" s="1"/>
  <c r="Z386" i="6"/>
  <c r="AP386" i="6" s="1"/>
  <c r="Z388" i="6"/>
  <c r="AP388" i="6" s="1"/>
  <c r="Z390" i="6"/>
  <c r="AP390" i="6" s="1"/>
  <c r="Z392" i="6"/>
  <c r="AP392" i="6" s="1"/>
  <c r="Z394" i="6"/>
  <c r="AP394" i="6" s="1"/>
  <c r="Z398" i="6"/>
  <c r="AP398" i="6" s="1"/>
  <c r="Z400" i="6"/>
  <c r="AP400" i="6" s="1"/>
  <c r="Z402" i="6"/>
  <c r="AP402" i="6" s="1"/>
  <c r="Z404" i="6"/>
  <c r="AP404" i="6" s="1"/>
  <c r="Z408" i="6"/>
  <c r="AP408" i="6" s="1"/>
  <c r="Z410" i="6"/>
  <c r="AP410" i="6" s="1"/>
  <c r="Z414" i="6"/>
  <c r="AP414" i="6" s="1"/>
  <c r="Z416" i="6"/>
  <c r="AP416" i="6" s="1"/>
  <c r="Z420" i="6"/>
  <c r="AP420" i="6" s="1"/>
  <c r="Z422" i="6"/>
  <c r="AP422" i="6" s="1"/>
  <c r="Z424" i="6"/>
  <c r="AP424" i="6" s="1"/>
  <c r="AP433" i="6"/>
  <c r="Z428" i="6"/>
  <c r="AP428" i="6" s="1"/>
  <c r="Z430" i="6"/>
  <c r="AP430" i="6" s="1"/>
  <c r="Z432" i="6"/>
  <c r="AP432" i="6" s="1"/>
  <c r="Z436" i="6"/>
  <c r="AP436" i="6" s="1"/>
  <c r="Z438" i="6"/>
  <c r="AP438" i="6" s="1"/>
  <c r="Z442" i="6"/>
  <c r="AP442" i="6" s="1"/>
  <c r="Z444" i="6"/>
  <c r="AP444" i="6" s="1"/>
  <c r="Z446" i="6"/>
  <c r="AP446" i="6" s="1"/>
  <c r="Z448" i="6"/>
  <c r="AP448" i="6" s="1"/>
  <c r="Z450" i="6"/>
  <c r="AP450" i="6" s="1"/>
  <c r="Z452" i="6"/>
  <c r="AP452" i="6" s="1"/>
  <c r="G15" i="7"/>
  <c r="J15" i="7"/>
  <c r="AG15" i="7" s="1"/>
  <c r="Q16" i="7"/>
  <c r="AK16" i="7" s="1"/>
  <c r="N16" i="7"/>
  <c r="U17" i="7"/>
  <c r="V17" i="7" s="1"/>
  <c r="AQ17" i="7" s="1"/>
  <c r="X17" i="7"/>
  <c r="AO17" i="7" s="1"/>
  <c r="G23" i="7"/>
  <c r="J23" i="7"/>
  <c r="AG23" i="7" s="1"/>
  <c r="N24" i="7"/>
  <c r="O24" i="7" s="1"/>
  <c r="AM24" i="7" s="1"/>
  <c r="Q24" i="7"/>
  <c r="AK24" i="7" s="1"/>
  <c r="U25" i="7"/>
  <c r="V25" i="7" s="1"/>
  <c r="AQ25" i="7" s="1"/>
  <c r="X25" i="7"/>
  <c r="AO25" i="7" s="1"/>
  <c r="G30" i="7"/>
  <c r="J30" i="7"/>
  <c r="AG30" i="7" s="1"/>
  <c r="N31" i="7"/>
  <c r="O31" i="7" s="1"/>
  <c r="AM31" i="7" s="1"/>
  <c r="Q31" i="7"/>
  <c r="AK31" i="7" s="1"/>
  <c r="U32" i="7"/>
  <c r="V32" i="7" s="1"/>
  <c r="AQ32" i="7" s="1"/>
  <c r="X32" i="7"/>
  <c r="AO32" i="7" s="1"/>
  <c r="G34" i="7"/>
  <c r="J34" i="7"/>
  <c r="AG34" i="7" s="1"/>
  <c r="U146" i="6"/>
  <c r="X146" i="6"/>
  <c r="AO146" i="6" s="1"/>
  <c r="U153" i="6"/>
  <c r="X153" i="6"/>
  <c r="AO153" i="6" s="1"/>
  <c r="U155" i="6"/>
  <c r="X155" i="6"/>
  <c r="AO155" i="6" s="1"/>
  <c r="U157" i="6"/>
  <c r="X157" i="6"/>
  <c r="AO157" i="6" s="1"/>
  <c r="U159" i="6"/>
  <c r="X159" i="6"/>
  <c r="AO159" i="6" s="1"/>
  <c r="U161" i="6"/>
  <c r="X161" i="6"/>
  <c r="AO161" i="6" s="1"/>
  <c r="U163" i="6"/>
  <c r="X163" i="6"/>
  <c r="AO163" i="6" s="1"/>
  <c r="U168" i="6"/>
  <c r="X168" i="6"/>
  <c r="AO168" i="6" s="1"/>
  <c r="U170" i="6"/>
  <c r="X170" i="6"/>
  <c r="AO170" i="6" s="1"/>
  <c r="U175" i="6"/>
  <c r="X175" i="6"/>
  <c r="AO175" i="6" s="1"/>
  <c r="U177" i="6"/>
  <c r="X177" i="6"/>
  <c r="AO177" i="6" s="1"/>
  <c r="U182" i="6"/>
  <c r="X182" i="6"/>
  <c r="AO182" i="6" s="1"/>
  <c r="U184" i="6"/>
  <c r="X184" i="6"/>
  <c r="AO184" i="6" s="1"/>
  <c r="U186" i="6"/>
  <c r="X186" i="6"/>
  <c r="AO186" i="6" s="1"/>
  <c r="U188" i="6"/>
  <c r="X188" i="6"/>
  <c r="AO188" i="6" s="1"/>
  <c r="U190" i="6"/>
  <c r="X190" i="6"/>
  <c r="AO190" i="6" s="1"/>
  <c r="U196" i="6"/>
  <c r="X196" i="6"/>
  <c r="AO196" i="6" s="1"/>
  <c r="U198" i="6"/>
  <c r="X198" i="6"/>
  <c r="AO198" i="6" s="1"/>
  <c r="U203" i="6"/>
  <c r="X203" i="6"/>
  <c r="AO203" i="6" s="1"/>
  <c r="U205" i="6"/>
  <c r="X205" i="6"/>
  <c r="AO205" i="6" s="1"/>
  <c r="U210" i="6"/>
  <c r="X210" i="6"/>
  <c r="AO210" i="6" s="1"/>
  <c r="U215" i="6"/>
  <c r="X215" i="6"/>
  <c r="AO215" i="6" s="1"/>
  <c r="U217" i="6"/>
  <c r="X217" i="6"/>
  <c r="AO217" i="6" s="1"/>
  <c r="U223" i="6"/>
  <c r="X223" i="6"/>
  <c r="AO223" i="6" s="1"/>
  <c r="U225" i="6"/>
  <c r="X225" i="6"/>
  <c r="AO225" i="6" s="1"/>
  <c r="U227" i="6"/>
  <c r="X227" i="6"/>
  <c r="AO227" i="6" s="1"/>
  <c r="U229" i="6"/>
  <c r="X229" i="6"/>
  <c r="AO229" i="6" s="1"/>
  <c r="U231" i="6"/>
  <c r="X231" i="6"/>
  <c r="AO231" i="6" s="1"/>
  <c r="U236" i="6"/>
  <c r="X236" i="6"/>
  <c r="AO236" i="6" s="1"/>
  <c r="U238" i="6"/>
  <c r="X238" i="6"/>
  <c r="AO238" i="6" s="1"/>
  <c r="U240" i="6"/>
  <c r="X240" i="6"/>
  <c r="AO240" i="6" s="1"/>
  <c r="U245" i="6"/>
  <c r="AO250" i="6"/>
  <c r="X245" i="6"/>
  <c r="AO245" i="6" s="1"/>
  <c r="U247" i="6"/>
  <c r="V247" i="6" s="1"/>
  <c r="AQ247" i="6" s="1"/>
  <c r="X247" i="6"/>
  <c r="AO247" i="6" s="1"/>
  <c r="U252" i="6"/>
  <c r="V252" i="6" s="1"/>
  <c r="AQ252" i="6" s="1"/>
  <c r="X252" i="6"/>
  <c r="AO252" i="6" s="1"/>
  <c r="U254" i="6"/>
  <c r="V254" i="6" s="1"/>
  <c r="AQ254" i="6" s="1"/>
  <c r="X254" i="6"/>
  <c r="AO254" i="6" s="1"/>
  <c r="U256" i="6"/>
  <c r="V256" i="6" s="1"/>
  <c r="AQ256" i="6" s="1"/>
  <c r="X256" i="6"/>
  <c r="AO256" i="6" s="1"/>
  <c r="U258" i="6"/>
  <c r="V258" i="6" s="1"/>
  <c r="AQ258" i="6" s="1"/>
  <c r="X258" i="6"/>
  <c r="AO258" i="6" s="1"/>
  <c r="U260" i="6"/>
  <c r="V260" i="6" s="1"/>
  <c r="AQ260" i="6" s="1"/>
  <c r="X260" i="6"/>
  <c r="AO260" i="6" s="1"/>
  <c r="U265" i="6"/>
  <c r="V265" i="6" s="1"/>
  <c r="AQ265" i="6" s="1"/>
  <c r="X265" i="6"/>
  <c r="AO265" i="6" s="1"/>
  <c r="U267" i="6"/>
  <c r="V267" i="6" s="1"/>
  <c r="AQ267" i="6" s="1"/>
  <c r="X267" i="6"/>
  <c r="AO267" i="6" s="1"/>
  <c r="U269" i="6"/>
  <c r="V269" i="6" s="1"/>
  <c r="AQ269" i="6" s="1"/>
  <c r="X269" i="6"/>
  <c r="AO269" i="6" s="1"/>
  <c r="U274" i="6"/>
  <c r="V274" i="6" s="1"/>
  <c r="AQ274" i="6" s="1"/>
  <c r="X274" i="6"/>
  <c r="AO274" i="6" s="1"/>
  <c r="U276" i="6"/>
  <c r="V276" i="6" s="1"/>
  <c r="AQ276" i="6" s="1"/>
  <c r="X276" i="6"/>
  <c r="AO276" i="6" s="1"/>
  <c r="U278" i="6"/>
  <c r="V278" i="6" s="1"/>
  <c r="AQ278" i="6" s="1"/>
  <c r="X278" i="6"/>
  <c r="AO278" i="6" s="1"/>
  <c r="U280" i="6"/>
  <c r="V280" i="6" s="1"/>
  <c r="AQ280" i="6" s="1"/>
  <c r="X280" i="6"/>
  <c r="AO280" i="6" s="1"/>
  <c r="U282" i="6"/>
  <c r="V282" i="6" s="1"/>
  <c r="AQ282" i="6" s="1"/>
  <c r="X282" i="6"/>
  <c r="AO282" i="6" s="1"/>
  <c r="U284" i="6"/>
  <c r="V284" i="6" s="1"/>
  <c r="AQ284" i="6" s="1"/>
  <c r="X284" i="6"/>
  <c r="AO284" i="6" s="1"/>
  <c r="U286" i="6"/>
  <c r="V286" i="6" s="1"/>
  <c r="AQ286" i="6" s="1"/>
  <c r="X286" i="6"/>
  <c r="AO286" i="6" s="1"/>
  <c r="U291" i="6"/>
  <c r="V291" i="6" s="1"/>
  <c r="AQ291" i="6" s="1"/>
  <c r="X291" i="6"/>
  <c r="AO291" i="6" s="1"/>
  <c r="U293" i="6"/>
  <c r="V293" i="6" s="1"/>
  <c r="AQ293" i="6" s="1"/>
  <c r="X293" i="6"/>
  <c r="AO293" i="6" s="1"/>
  <c r="AO311" i="6"/>
  <c r="U305" i="6"/>
  <c r="X305" i="6"/>
  <c r="AO305" i="6" s="1"/>
  <c r="U307" i="6"/>
  <c r="X307" i="6"/>
  <c r="AO307" i="6" s="1"/>
  <c r="U309" i="6"/>
  <c r="X309" i="6"/>
  <c r="AO309" i="6" s="1"/>
  <c r="U313" i="6"/>
  <c r="AO319" i="6"/>
  <c r="X313" i="6"/>
  <c r="AO313" i="6" s="1"/>
  <c r="U315" i="6"/>
  <c r="V315" i="6" s="1"/>
  <c r="AQ315" i="6" s="1"/>
  <c r="X315" i="6"/>
  <c r="AO315" i="6" s="1"/>
  <c r="U317" i="6"/>
  <c r="V317" i="6" s="1"/>
  <c r="AQ317" i="6" s="1"/>
  <c r="X317" i="6"/>
  <c r="AO317" i="6" s="1"/>
  <c r="AO327" i="6"/>
  <c r="U321" i="6"/>
  <c r="X321" i="6"/>
  <c r="AO321" i="6" s="1"/>
  <c r="U323" i="6"/>
  <c r="X323" i="6"/>
  <c r="AO323" i="6" s="1"/>
  <c r="U325" i="6"/>
  <c r="X325" i="6"/>
  <c r="AO325" i="6" s="1"/>
  <c r="U329" i="6"/>
  <c r="X329" i="6"/>
  <c r="AO329" i="6" s="1"/>
  <c r="AO335" i="6"/>
  <c r="U331" i="6"/>
  <c r="V331" i="6" s="1"/>
  <c r="AQ331" i="6" s="1"/>
  <c r="X331" i="6"/>
  <c r="AO331" i="6" s="1"/>
  <c r="U333" i="6"/>
  <c r="V333" i="6" s="1"/>
  <c r="AQ333" i="6" s="1"/>
  <c r="X333" i="6"/>
  <c r="AO333" i="6" s="1"/>
  <c r="AO343" i="6"/>
  <c r="U337" i="6"/>
  <c r="X337" i="6"/>
  <c r="AO337" i="6" s="1"/>
  <c r="U339" i="6"/>
  <c r="X339" i="6"/>
  <c r="AO339" i="6" s="1"/>
  <c r="U341" i="6"/>
  <c r="X341" i="6"/>
  <c r="AO341" i="6" s="1"/>
  <c r="U345" i="6"/>
  <c r="AO351" i="6"/>
  <c r="X345" i="6"/>
  <c r="AO345" i="6" s="1"/>
  <c r="U347" i="6"/>
  <c r="V347" i="6" s="1"/>
  <c r="AQ347" i="6" s="1"/>
  <c r="X347" i="6"/>
  <c r="AO347" i="6" s="1"/>
  <c r="U349" i="6"/>
  <c r="V349" i="6" s="1"/>
  <c r="AQ349" i="6" s="1"/>
  <c r="X349" i="6"/>
  <c r="AO349" i="6" s="1"/>
  <c r="U353" i="6"/>
  <c r="AO359" i="6"/>
  <c r="X353" i="6"/>
  <c r="AO353" i="6" s="1"/>
  <c r="U355" i="6"/>
  <c r="X355" i="6"/>
  <c r="AO355" i="6" s="1"/>
  <c r="U357" i="6"/>
  <c r="X357" i="6"/>
  <c r="AO357" i="6" s="1"/>
  <c r="AO367" i="6"/>
  <c r="U361" i="6"/>
  <c r="X361" i="6"/>
  <c r="AO361" i="6" s="1"/>
  <c r="U363" i="6"/>
  <c r="V363" i="6" s="1"/>
  <c r="AQ363" i="6" s="1"/>
  <c r="X363" i="6"/>
  <c r="AO363" i="6" s="1"/>
  <c r="U365" i="6"/>
  <c r="V365" i="6" s="1"/>
  <c r="AQ365" i="6" s="1"/>
  <c r="X365" i="6"/>
  <c r="AO365" i="6" s="1"/>
  <c r="AO375" i="6"/>
  <c r="U369" i="6"/>
  <c r="X369" i="6"/>
  <c r="AO369" i="6" s="1"/>
  <c r="U371" i="6"/>
  <c r="X371" i="6"/>
  <c r="AO371" i="6" s="1"/>
  <c r="U373" i="6"/>
  <c r="X373" i="6"/>
  <c r="AO373" i="6" s="1"/>
  <c r="U377" i="6"/>
  <c r="AO383" i="6"/>
  <c r="X377" i="6"/>
  <c r="AO377" i="6" s="1"/>
  <c r="U379" i="6"/>
  <c r="V379" i="6" s="1"/>
  <c r="AQ379" i="6" s="1"/>
  <c r="X379" i="6"/>
  <c r="AO379" i="6" s="1"/>
  <c r="U381" i="6"/>
  <c r="V381" i="6" s="1"/>
  <c r="AQ381" i="6" s="1"/>
  <c r="X381" i="6"/>
  <c r="AO381" i="6" s="1"/>
  <c r="U386" i="6"/>
  <c r="V386" i="6" s="1"/>
  <c r="AQ386" i="6" s="1"/>
  <c r="X386" i="6"/>
  <c r="AO386" i="6" s="1"/>
  <c r="U388" i="6"/>
  <c r="V388" i="6" s="1"/>
  <c r="AQ388" i="6" s="1"/>
  <c r="X388" i="6"/>
  <c r="AO388" i="6" s="1"/>
  <c r="U390" i="6"/>
  <c r="V390" i="6" s="1"/>
  <c r="AQ390" i="6" s="1"/>
  <c r="X390" i="6"/>
  <c r="AO390" i="6" s="1"/>
  <c r="U392" i="6"/>
  <c r="V392" i="6" s="1"/>
  <c r="AQ392" i="6" s="1"/>
  <c r="X392" i="6"/>
  <c r="AO392" i="6" s="1"/>
  <c r="U394" i="6"/>
  <c r="V394" i="6" s="1"/>
  <c r="AQ394" i="6" s="1"/>
  <c r="X394" i="6"/>
  <c r="AO394" i="6" s="1"/>
  <c r="U398" i="6"/>
  <c r="V398" i="6" s="1"/>
  <c r="AQ398" i="6" s="1"/>
  <c r="X398" i="6"/>
  <c r="AO398" i="6" s="1"/>
  <c r="U400" i="6"/>
  <c r="V400" i="6" s="1"/>
  <c r="AQ400" i="6" s="1"/>
  <c r="X400" i="6"/>
  <c r="AO400" i="6" s="1"/>
  <c r="U402" i="6"/>
  <c r="V402" i="6" s="1"/>
  <c r="AQ402" i="6" s="1"/>
  <c r="X402" i="6"/>
  <c r="AO402" i="6" s="1"/>
  <c r="U404" i="6"/>
  <c r="V404" i="6" s="1"/>
  <c r="AQ404" i="6" s="1"/>
  <c r="X404" i="6"/>
  <c r="AO404" i="6" s="1"/>
  <c r="U408" i="6"/>
  <c r="V408" i="6" s="1"/>
  <c r="AQ408" i="6" s="1"/>
  <c r="X408" i="6"/>
  <c r="AO408" i="6" s="1"/>
  <c r="U410" i="6"/>
  <c r="V410" i="6" s="1"/>
  <c r="AQ410" i="6" s="1"/>
  <c r="X410" i="6"/>
  <c r="AO410" i="6" s="1"/>
  <c r="U414" i="6"/>
  <c r="V414" i="6" s="1"/>
  <c r="AQ414" i="6" s="1"/>
  <c r="X414" i="6"/>
  <c r="AO414" i="6" s="1"/>
  <c r="U416" i="6"/>
  <c r="V416" i="6" s="1"/>
  <c r="AQ416" i="6" s="1"/>
  <c r="X416" i="6"/>
  <c r="AO416" i="6" s="1"/>
  <c r="U420" i="6"/>
  <c r="V420" i="6" s="1"/>
  <c r="AQ420" i="6" s="1"/>
  <c r="X420" i="6"/>
  <c r="AO420" i="6" s="1"/>
  <c r="U422" i="6"/>
  <c r="V422" i="6" s="1"/>
  <c r="AQ422" i="6" s="1"/>
  <c r="X422" i="6"/>
  <c r="AO422" i="6" s="1"/>
  <c r="U424" i="6"/>
  <c r="V424" i="6" s="1"/>
  <c r="AQ424" i="6" s="1"/>
  <c r="X424" i="6"/>
  <c r="AO424" i="6" s="1"/>
  <c r="AO433" i="6"/>
  <c r="U428" i="6"/>
  <c r="X428" i="6"/>
  <c r="AO428" i="6" s="1"/>
  <c r="U430" i="6"/>
  <c r="X430" i="6"/>
  <c r="AO430" i="6" s="1"/>
  <c r="U432" i="6"/>
  <c r="X432" i="6"/>
  <c r="AO432" i="6" s="1"/>
  <c r="U436" i="6"/>
  <c r="X436" i="6"/>
  <c r="AO436" i="6" s="1"/>
  <c r="U438" i="6"/>
  <c r="X438" i="6"/>
  <c r="AO438" i="6" s="1"/>
  <c r="U442" i="6"/>
  <c r="X442" i="6"/>
  <c r="AO442" i="6" s="1"/>
  <c r="U444" i="6"/>
  <c r="X444" i="6"/>
  <c r="AO444" i="6" s="1"/>
  <c r="U446" i="6"/>
  <c r="X446" i="6"/>
  <c r="AO446" i="6" s="1"/>
  <c r="U448" i="6"/>
  <c r="X448" i="6"/>
  <c r="AO448" i="6" s="1"/>
  <c r="U450" i="6"/>
  <c r="X450" i="6"/>
  <c r="AO450" i="6" s="1"/>
  <c r="U452" i="6"/>
  <c r="X452" i="6"/>
  <c r="AO452" i="6" s="1"/>
  <c r="S40" i="7"/>
  <c r="AL40" i="7" s="1"/>
  <c r="S27" i="7"/>
  <c r="S212" i="7"/>
  <c r="AL212" i="7" s="1"/>
  <c r="S199" i="7"/>
  <c r="AL199" i="7" s="1"/>
  <c r="S179" i="7"/>
  <c r="AL179" i="7" s="1"/>
  <c r="S51" i="7"/>
  <c r="AL51" i="7" s="1"/>
  <c r="S125" i="7"/>
  <c r="AL125" i="7" s="1"/>
  <c r="S115" i="7"/>
  <c r="AL115" i="7" s="1"/>
  <c r="S44" i="7"/>
  <c r="AL44" i="7" s="1"/>
  <c r="S295" i="7"/>
  <c r="AL295" i="7" s="1"/>
  <c r="S261" i="7"/>
  <c r="AL261" i="7" s="1"/>
  <c r="S19" i="7"/>
  <c r="AL19" i="7" s="1"/>
  <c r="S35" i="7"/>
  <c r="AL35" i="7" s="1"/>
  <c r="S249" i="7"/>
  <c r="AL249" i="7" s="1"/>
  <c r="S241" i="7"/>
  <c r="AL241" i="7" s="1"/>
  <c r="S232" i="7"/>
  <c r="AL232" i="7" s="1"/>
  <c r="S218" i="7"/>
  <c r="AL218" i="7" s="1"/>
  <c r="S206" i="7"/>
  <c r="AL206" i="7" s="1"/>
  <c r="S191" i="7"/>
  <c r="AL191" i="7" s="1"/>
  <c r="S172" i="7"/>
  <c r="AL172" i="7" s="1"/>
  <c r="S148" i="7"/>
  <c r="AL148" i="7" s="1"/>
  <c r="S74" i="7"/>
  <c r="AL74" i="7" s="1"/>
  <c r="S107" i="7"/>
  <c r="AL107" i="7" s="1"/>
  <c r="S270" i="7"/>
  <c r="AL270" i="7" s="1"/>
  <c r="G16" i="7"/>
  <c r="J16" i="7"/>
  <c r="AG16" i="7" s="1"/>
  <c r="N17" i="7"/>
  <c r="O17" i="7" s="1"/>
  <c r="AM17" i="7" s="1"/>
  <c r="Q17" i="7"/>
  <c r="AK17" i="7" s="1"/>
  <c r="U18" i="7"/>
  <c r="V18" i="7" s="1"/>
  <c r="AQ18" i="7" s="1"/>
  <c r="X18" i="7"/>
  <c r="AO18" i="7" s="1"/>
  <c r="G24" i="7"/>
  <c r="J24" i="7"/>
  <c r="AG24" i="7" s="1"/>
  <c r="N25" i="7"/>
  <c r="O25" i="7" s="1"/>
  <c r="AM25" i="7" s="1"/>
  <c r="Q25" i="7"/>
  <c r="AK25" i="7" s="1"/>
  <c r="U26" i="7"/>
  <c r="V26" i="7" s="1"/>
  <c r="AQ26" i="7" s="1"/>
  <c r="X26" i="7"/>
  <c r="AO26" i="7" s="1"/>
  <c r="G31" i="7"/>
  <c r="J31" i="7"/>
  <c r="AG31" i="7" s="1"/>
  <c r="N32" i="7"/>
  <c r="O32" i="7" s="1"/>
  <c r="AM32" i="7" s="1"/>
  <c r="Q32" i="7"/>
  <c r="AK32" i="7" s="1"/>
  <c r="U33" i="7"/>
  <c r="V33" i="7" s="1"/>
  <c r="AQ33" i="7" s="1"/>
  <c r="X33" i="7"/>
  <c r="AO33" i="7" s="1"/>
  <c r="U34" i="7"/>
  <c r="V34" i="7" s="1"/>
  <c r="AQ34" i="7" s="1"/>
  <c r="X34" i="7"/>
  <c r="AO34" i="7" s="1"/>
  <c r="Q38" i="7"/>
  <c r="AK38" i="7" s="1"/>
  <c r="N38" i="7"/>
  <c r="G39" i="7"/>
  <c r="J39" i="7"/>
  <c r="AG39" i="7" s="1"/>
  <c r="U39" i="7"/>
  <c r="V39" i="7" s="1"/>
  <c r="AQ39" i="7" s="1"/>
  <c r="X39" i="7"/>
  <c r="AO39" i="7" s="1"/>
  <c r="N40" i="7"/>
  <c r="O40" i="7" s="1"/>
  <c r="AM40" i="7" s="1"/>
  <c r="Q40" i="7"/>
  <c r="AK40" i="7" s="1"/>
  <c r="U41" i="7"/>
  <c r="V41" i="7" s="1"/>
  <c r="AQ41" i="7" s="1"/>
  <c r="X41" i="7"/>
  <c r="AO41" i="7" s="1"/>
  <c r="Q42" i="7"/>
  <c r="AK42" i="7" s="1"/>
  <c r="N42" i="7"/>
  <c r="G43" i="7"/>
  <c r="J43" i="7"/>
  <c r="AG43" i="7" s="1"/>
  <c r="U43" i="7"/>
  <c r="V43" i="7" s="1"/>
  <c r="AQ43" i="7" s="1"/>
  <c r="X43" i="7"/>
  <c r="AO43" i="7" s="1"/>
  <c r="AK52" i="7"/>
  <c r="N47" i="7"/>
  <c r="Q47" i="7"/>
  <c r="AK47" i="7" s="1"/>
  <c r="G48" i="7"/>
  <c r="J48" i="7"/>
  <c r="AG48" i="7" s="1"/>
  <c r="U48" i="7"/>
  <c r="X48" i="7"/>
  <c r="AO48" i="7" s="1"/>
  <c r="N49" i="7"/>
  <c r="Q49" i="7"/>
  <c r="AK49" i="7" s="1"/>
  <c r="G50" i="7"/>
  <c r="J50" i="7"/>
  <c r="AG50" i="7" s="1"/>
  <c r="U50" i="7"/>
  <c r="X50" i="7"/>
  <c r="AO50" i="7" s="1"/>
  <c r="N54" i="7"/>
  <c r="Q54" i="7"/>
  <c r="AK54" i="7" s="1"/>
  <c r="G55" i="7"/>
  <c r="J55" i="7"/>
  <c r="AG55" i="7" s="1"/>
  <c r="U55" i="7"/>
  <c r="X55" i="7"/>
  <c r="AO55" i="7" s="1"/>
  <c r="N56" i="7"/>
  <c r="Q56" i="7"/>
  <c r="AK56" i="7" s="1"/>
  <c r="G57" i="7"/>
  <c r="J57" i="7"/>
  <c r="AG57" i="7" s="1"/>
  <c r="U57" i="7"/>
  <c r="X57" i="7"/>
  <c r="AO57" i="7" s="1"/>
  <c r="N58" i="7"/>
  <c r="Q58" i="7"/>
  <c r="AK58" i="7" s="1"/>
  <c r="G59" i="7"/>
  <c r="J59" i="7"/>
  <c r="AG59" i="7" s="1"/>
  <c r="U59" i="7"/>
  <c r="X59" i="7"/>
  <c r="AO59" i="7" s="1"/>
  <c r="N60" i="7"/>
  <c r="Q60" i="7"/>
  <c r="AK60" i="7" s="1"/>
  <c r="G61" i="7"/>
  <c r="J61" i="7"/>
  <c r="AG61" i="7" s="1"/>
  <c r="U61" i="7"/>
  <c r="X61" i="7"/>
  <c r="AO61" i="7" s="1"/>
  <c r="N62" i="7"/>
  <c r="Q62" i="7"/>
  <c r="AK62" i="7" s="1"/>
  <c r="G63" i="7"/>
  <c r="J63" i="7"/>
  <c r="AG63" i="7" s="1"/>
  <c r="U63" i="7"/>
  <c r="X63" i="7"/>
  <c r="AO63" i="7" s="1"/>
  <c r="N64" i="7"/>
  <c r="Q64" i="7"/>
  <c r="AK64" i="7" s="1"/>
  <c r="G68" i="7"/>
  <c r="J68" i="7"/>
  <c r="AG68" i="7" s="1"/>
  <c r="U68" i="7"/>
  <c r="X68" i="7"/>
  <c r="AO68" i="7" s="1"/>
  <c r="N69" i="7"/>
  <c r="Q69" i="7"/>
  <c r="AK69" i="7" s="1"/>
  <c r="G70" i="7"/>
  <c r="J70" i="7"/>
  <c r="AG70" i="7" s="1"/>
  <c r="U70" i="7"/>
  <c r="X70" i="7"/>
  <c r="AO70" i="7" s="1"/>
  <c r="N71" i="7"/>
  <c r="Q71" i="7"/>
  <c r="AK71" i="7" s="1"/>
  <c r="G72" i="7"/>
  <c r="J72" i="7"/>
  <c r="AG72" i="7" s="1"/>
  <c r="U72" i="7"/>
  <c r="X72" i="7"/>
  <c r="AO72" i="7" s="1"/>
  <c r="S73" i="7"/>
  <c r="AL73" i="7" s="1"/>
  <c r="S81" i="7"/>
  <c r="AL81" i="7" s="1"/>
  <c r="S85" i="7"/>
  <c r="AL85" i="7" s="1"/>
  <c r="S92" i="7"/>
  <c r="AL92" i="7" s="1"/>
  <c r="S96" i="7"/>
  <c r="AL96" i="7" s="1"/>
  <c r="AL108" i="7"/>
  <c r="S103" i="7"/>
  <c r="AL103" i="7" s="1"/>
  <c r="AL116" i="7"/>
  <c r="S111" i="7"/>
  <c r="AL111" i="7" s="1"/>
  <c r="S121" i="7"/>
  <c r="AL121" i="7" s="1"/>
  <c r="AL126" i="7"/>
  <c r="S130" i="7"/>
  <c r="AL130" i="7" s="1"/>
  <c r="S134" i="7"/>
  <c r="AL134" i="7" s="1"/>
  <c r="S138" i="7"/>
  <c r="AL138" i="7" s="1"/>
  <c r="AH149" i="7"/>
  <c r="L144" i="7"/>
  <c r="AH144" i="7" s="1"/>
  <c r="S145" i="7"/>
  <c r="AL145" i="7" s="1"/>
  <c r="S154" i="7"/>
  <c r="AL154" i="7" s="1"/>
  <c r="S158" i="7"/>
  <c r="AL158" i="7" s="1"/>
  <c r="L212" i="7"/>
  <c r="AH212" i="7" s="1"/>
  <c r="L218" i="7"/>
  <c r="AH218" i="7" s="1"/>
  <c r="L206" i="7"/>
  <c r="AH206" i="7" s="1"/>
  <c r="L191" i="7"/>
  <c r="AH191" i="7" s="1"/>
  <c r="L179" i="7"/>
  <c r="AH179" i="7" s="1"/>
  <c r="L51" i="7"/>
  <c r="AH51" i="7" s="1"/>
  <c r="L115" i="7"/>
  <c r="AH115" i="7" s="1"/>
  <c r="L27" i="7"/>
  <c r="L35" i="7"/>
  <c r="AH35" i="7" s="1"/>
  <c r="AC7" i="7"/>
  <c r="L270" i="7"/>
  <c r="AH270" i="7" s="1"/>
  <c r="L241" i="7"/>
  <c r="AH241" i="7" s="1"/>
  <c r="L232" i="7"/>
  <c r="AH232" i="7" s="1"/>
  <c r="L249" i="7"/>
  <c r="AH249" i="7" s="1"/>
  <c r="L199" i="7"/>
  <c r="AH199" i="7" s="1"/>
  <c r="L172" i="7"/>
  <c r="AH172" i="7" s="1"/>
  <c r="L148" i="7"/>
  <c r="AH148" i="7" s="1"/>
  <c r="L125" i="7"/>
  <c r="AH125" i="7" s="1"/>
  <c r="L74" i="7"/>
  <c r="AH74" i="7" s="1"/>
  <c r="L107" i="7"/>
  <c r="AH107" i="7" s="1"/>
  <c r="L19" i="7"/>
  <c r="AH19" i="7" s="1"/>
  <c r="L44" i="7"/>
  <c r="AH44" i="7" s="1"/>
  <c r="L295" i="7"/>
  <c r="AH295" i="7" s="1"/>
  <c r="L261" i="7"/>
  <c r="AH261" i="7" s="1"/>
  <c r="L15" i="7"/>
  <c r="AH15" i="7" s="1"/>
  <c r="S16" i="7"/>
  <c r="AL16" i="7" s="1"/>
  <c r="L17" i="7"/>
  <c r="AH17" i="7" s="1"/>
  <c r="S18" i="7"/>
  <c r="AL18" i="7" s="1"/>
  <c r="L23" i="7"/>
  <c r="AH23" i="7" s="1"/>
  <c r="S24" i="7"/>
  <c r="AL24" i="7" s="1"/>
  <c r="L25" i="7"/>
  <c r="AH25" i="7" s="1"/>
  <c r="S26" i="7"/>
  <c r="AL26" i="7" s="1"/>
  <c r="L30" i="7"/>
  <c r="AH30" i="7" s="1"/>
  <c r="S31" i="7"/>
  <c r="AL31" i="7" s="1"/>
  <c r="L32" i="7"/>
  <c r="AH32" i="7" s="1"/>
  <c r="S33" i="7"/>
  <c r="AL33" i="7" s="1"/>
  <c r="L34" i="7"/>
  <c r="AH34" i="7" s="1"/>
  <c r="S38" i="7"/>
  <c r="AL38" i="7" s="1"/>
  <c r="L39" i="7"/>
  <c r="AH39" i="7" s="1"/>
  <c r="L41" i="7"/>
  <c r="AH41" i="7" s="1"/>
  <c r="S42" i="7"/>
  <c r="AL42" i="7" s="1"/>
  <c r="L43" i="7"/>
  <c r="AH43" i="7" s="1"/>
  <c r="S47" i="7"/>
  <c r="AL47" i="7" s="1"/>
  <c r="AL52" i="7"/>
  <c r="L48" i="7"/>
  <c r="AH48" i="7" s="1"/>
  <c r="S49" i="7"/>
  <c r="AL49" i="7" s="1"/>
  <c r="L50" i="7"/>
  <c r="AH50" i="7" s="1"/>
  <c r="S54" i="7"/>
  <c r="AL54" i="7" s="1"/>
  <c r="L55" i="7"/>
  <c r="AH55" i="7" s="1"/>
  <c r="S56" i="7"/>
  <c r="AL56" i="7" s="1"/>
  <c r="L57" i="7"/>
  <c r="AH57" i="7" s="1"/>
  <c r="S58" i="7"/>
  <c r="AL58" i="7" s="1"/>
  <c r="L59" i="7"/>
  <c r="AH59" i="7" s="1"/>
  <c r="S60" i="7"/>
  <c r="AL60" i="7" s="1"/>
  <c r="L61" i="7"/>
  <c r="AH61" i="7" s="1"/>
  <c r="S62" i="7"/>
  <c r="AL62" i="7" s="1"/>
  <c r="L63" i="7"/>
  <c r="AH63" i="7" s="1"/>
  <c r="S64" i="7"/>
  <c r="AL64" i="7" s="1"/>
  <c r="L68" i="7"/>
  <c r="AH68" i="7" s="1"/>
  <c r="S69" i="7"/>
  <c r="AL69" i="7" s="1"/>
  <c r="L70" i="7"/>
  <c r="AH70" i="7" s="1"/>
  <c r="S71" i="7"/>
  <c r="AL71" i="7" s="1"/>
  <c r="L72" i="7"/>
  <c r="AH72" i="7" s="1"/>
  <c r="L79" i="7"/>
  <c r="AH79" i="7" s="1"/>
  <c r="S80" i="7"/>
  <c r="AL80" i="7" s="1"/>
  <c r="L83" i="7"/>
  <c r="AH83" i="7" s="1"/>
  <c r="S84" i="7"/>
  <c r="AL84" i="7" s="1"/>
  <c r="L87" i="7"/>
  <c r="AH87" i="7" s="1"/>
  <c r="S88" i="7"/>
  <c r="AL88" i="7" s="1"/>
  <c r="L94" i="7"/>
  <c r="AH94" i="7" s="1"/>
  <c r="S95" i="7"/>
  <c r="AL95" i="7" s="1"/>
  <c r="L98" i="7"/>
  <c r="AH98" i="7" s="1"/>
  <c r="S99" i="7"/>
  <c r="AL99" i="7" s="1"/>
  <c r="AP108" i="7"/>
  <c r="Z103" i="7"/>
  <c r="AP103" i="7" s="1"/>
  <c r="L105" i="7"/>
  <c r="AH105" i="7" s="1"/>
  <c r="S106" i="7"/>
  <c r="AL106" i="7" s="1"/>
  <c r="AP116" i="7"/>
  <c r="Z111" i="7"/>
  <c r="AP111" i="7" s="1"/>
  <c r="L113" i="7"/>
  <c r="AH113" i="7" s="1"/>
  <c r="S114" i="7"/>
  <c r="AL114" i="7" s="1"/>
  <c r="AP126" i="7"/>
  <c r="Z121" i="7"/>
  <c r="AP121" i="7" s="1"/>
  <c r="L123" i="7"/>
  <c r="AH123" i="7" s="1"/>
  <c r="S124" i="7"/>
  <c r="AL124" i="7" s="1"/>
  <c r="L132" i="7"/>
  <c r="AH132" i="7" s="1"/>
  <c r="S133" i="7"/>
  <c r="AL133" i="7" s="1"/>
  <c r="L136" i="7"/>
  <c r="AH136" i="7" s="1"/>
  <c r="S137" i="7"/>
  <c r="AL137" i="7" s="1"/>
  <c r="L140" i="7"/>
  <c r="AH140" i="7" s="1"/>
  <c r="AL149" i="7"/>
  <c r="S144" i="7"/>
  <c r="AL144" i="7" s="1"/>
  <c r="L147" i="7"/>
  <c r="AH147" i="7" s="1"/>
  <c r="S153" i="7"/>
  <c r="AL153" i="7" s="1"/>
  <c r="L156" i="7"/>
  <c r="AH156" i="7" s="1"/>
  <c r="S157" i="7"/>
  <c r="AL157" i="7" s="1"/>
  <c r="L160" i="7"/>
  <c r="AH160" i="7" s="1"/>
  <c r="S161" i="7"/>
  <c r="AL161" i="7" s="1"/>
  <c r="U73" i="7"/>
  <c r="V73" i="7" s="1"/>
  <c r="AQ73" i="7" s="1"/>
  <c r="X73" i="7"/>
  <c r="AO73" i="7" s="1"/>
  <c r="N78" i="7"/>
  <c r="O78" i="7" s="1"/>
  <c r="AM78" i="7" s="1"/>
  <c r="Q78" i="7"/>
  <c r="AK78" i="7" s="1"/>
  <c r="G79" i="7"/>
  <c r="J79" i="7"/>
  <c r="AG79" i="7" s="1"/>
  <c r="U79" i="7"/>
  <c r="V79" i="7" s="1"/>
  <c r="AQ79" i="7" s="1"/>
  <c r="X79" i="7"/>
  <c r="AO79" i="7" s="1"/>
  <c r="N80" i="7"/>
  <c r="O80" i="7" s="1"/>
  <c r="AM80" i="7" s="1"/>
  <c r="Q80" i="7"/>
  <c r="AK80" i="7" s="1"/>
  <c r="G81" i="7"/>
  <c r="J81" i="7"/>
  <c r="AG81" i="7" s="1"/>
  <c r="U81" i="7"/>
  <c r="V81" i="7" s="1"/>
  <c r="AQ81" i="7" s="1"/>
  <c r="X81" i="7"/>
  <c r="AO81" i="7" s="1"/>
  <c r="N82" i="7"/>
  <c r="O82" i="7" s="1"/>
  <c r="AM82" i="7" s="1"/>
  <c r="Q82" i="7"/>
  <c r="AK82" i="7" s="1"/>
  <c r="G83" i="7"/>
  <c r="J83" i="7"/>
  <c r="AG83" i="7" s="1"/>
  <c r="U83" i="7"/>
  <c r="V83" i="7" s="1"/>
  <c r="AQ83" i="7" s="1"/>
  <c r="X83" i="7"/>
  <c r="AO83" i="7" s="1"/>
  <c r="N84" i="7"/>
  <c r="O84" i="7" s="1"/>
  <c r="AM84" i="7" s="1"/>
  <c r="Q84" i="7"/>
  <c r="AK84" i="7" s="1"/>
  <c r="G85" i="7"/>
  <c r="J85" i="7"/>
  <c r="AG85" i="7" s="1"/>
  <c r="U85" i="7"/>
  <c r="V85" i="7" s="1"/>
  <c r="AQ85" i="7" s="1"/>
  <c r="X85" i="7"/>
  <c r="AO85" i="7" s="1"/>
  <c r="N86" i="7"/>
  <c r="O86" i="7" s="1"/>
  <c r="AM86" i="7" s="1"/>
  <c r="Q86" i="7"/>
  <c r="AK86" i="7" s="1"/>
  <c r="G87" i="7"/>
  <c r="J87" i="7"/>
  <c r="AG87" i="7" s="1"/>
  <c r="U87" i="7"/>
  <c r="V87" i="7" s="1"/>
  <c r="AQ87" i="7" s="1"/>
  <c r="X87" i="7"/>
  <c r="AO87" i="7" s="1"/>
  <c r="N88" i="7"/>
  <c r="O88" i="7" s="1"/>
  <c r="AM88" i="7" s="1"/>
  <c r="Q88" i="7"/>
  <c r="AK88" i="7" s="1"/>
  <c r="G92" i="7"/>
  <c r="J92" i="7"/>
  <c r="AG92" i="7" s="1"/>
  <c r="U92" i="7"/>
  <c r="V92" i="7" s="1"/>
  <c r="AQ92" i="7" s="1"/>
  <c r="X92" i="7"/>
  <c r="AO92" i="7" s="1"/>
  <c r="N93" i="7"/>
  <c r="O93" i="7" s="1"/>
  <c r="AM93" i="7" s="1"/>
  <c r="Q93" i="7"/>
  <c r="AK93" i="7" s="1"/>
  <c r="G94" i="7"/>
  <c r="J94" i="7"/>
  <c r="AG94" i="7" s="1"/>
  <c r="U94" i="7"/>
  <c r="V94" i="7" s="1"/>
  <c r="AQ94" i="7" s="1"/>
  <c r="X94" i="7"/>
  <c r="AO94" i="7" s="1"/>
  <c r="N95" i="7"/>
  <c r="O95" i="7" s="1"/>
  <c r="AM95" i="7" s="1"/>
  <c r="Q95" i="7"/>
  <c r="AK95" i="7" s="1"/>
  <c r="G96" i="7"/>
  <c r="J96" i="7"/>
  <c r="AG96" i="7" s="1"/>
  <c r="U96" i="7"/>
  <c r="V96" i="7" s="1"/>
  <c r="AQ96" i="7" s="1"/>
  <c r="X96" i="7"/>
  <c r="AO96" i="7" s="1"/>
  <c r="N97" i="7"/>
  <c r="O97" i="7" s="1"/>
  <c r="AM97" i="7" s="1"/>
  <c r="Q97" i="7"/>
  <c r="AK97" i="7" s="1"/>
  <c r="G98" i="7"/>
  <c r="J98" i="7"/>
  <c r="AG98" i="7" s="1"/>
  <c r="U98" i="7"/>
  <c r="V98" i="7" s="1"/>
  <c r="AQ98" i="7" s="1"/>
  <c r="X98" i="7"/>
  <c r="AO98" i="7" s="1"/>
  <c r="N99" i="7"/>
  <c r="O99" i="7" s="1"/>
  <c r="AM99" i="7" s="1"/>
  <c r="Q99" i="7"/>
  <c r="AK99" i="7" s="1"/>
  <c r="G103" i="7"/>
  <c r="AG108" i="7"/>
  <c r="J103" i="7"/>
  <c r="AG103" i="7" s="1"/>
  <c r="U103" i="7"/>
  <c r="AO108" i="7"/>
  <c r="X103" i="7"/>
  <c r="AO103" i="7" s="1"/>
  <c r="N104" i="7"/>
  <c r="O104" i="7" s="1"/>
  <c r="AM104" i="7" s="1"/>
  <c r="Q104" i="7"/>
  <c r="AK104" i="7" s="1"/>
  <c r="G105" i="7"/>
  <c r="J105" i="7"/>
  <c r="AG105" i="7" s="1"/>
  <c r="U105" i="7"/>
  <c r="V105" i="7" s="1"/>
  <c r="AQ105" i="7" s="1"/>
  <c r="X105" i="7"/>
  <c r="AO105" i="7" s="1"/>
  <c r="N106" i="7"/>
  <c r="O106" i="7" s="1"/>
  <c r="AM106" i="7" s="1"/>
  <c r="Q106" i="7"/>
  <c r="AK106" i="7" s="1"/>
  <c r="G111" i="7"/>
  <c r="AG116" i="7"/>
  <c r="J111" i="7"/>
  <c r="AG111" i="7" s="1"/>
  <c r="U111" i="7"/>
  <c r="AO116" i="7"/>
  <c r="X111" i="7"/>
  <c r="AO111" i="7" s="1"/>
  <c r="N112" i="7"/>
  <c r="O112" i="7" s="1"/>
  <c r="AM112" i="7" s="1"/>
  <c r="Q112" i="7"/>
  <c r="AK112" i="7" s="1"/>
  <c r="G113" i="7"/>
  <c r="J113" i="7"/>
  <c r="AG113" i="7" s="1"/>
  <c r="U113" i="7"/>
  <c r="V113" i="7" s="1"/>
  <c r="AQ113" i="7" s="1"/>
  <c r="X113" i="7"/>
  <c r="AO113" i="7" s="1"/>
  <c r="N114" i="7"/>
  <c r="O114" i="7" s="1"/>
  <c r="AM114" i="7" s="1"/>
  <c r="Q114" i="7"/>
  <c r="AK114" i="7" s="1"/>
  <c r="G121" i="7"/>
  <c r="AG126" i="7"/>
  <c r="J121" i="7"/>
  <c r="AG121" i="7" s="1"/>
  <c r="U121" i="7"/>
  <c r="X121" i="7"/>
  <c r="AO121" i="7" s="1"/>
  <c r="AO126" i="7"/>
  <c r="Q122" i="7"/>
  <c r="AK122" i="7" s="1"/>
  <c r="N122" i="7"/>
  <c r="G123" i="7"/>
  <c r="J123" i="7"/>
  <c r="AG123" i="7" s="1"/>
  <c r="U123" i="7"/>
  <c r="V123" i="7" s="1"/>
  <c r="AQ123" i="7" s="1"/>
  <c r="X123" i="7"/>
  <c r="AO123" i="7" s="1"/>
  <c r="N124" i="7"/>
  <c r="O124" i="7" s="1"/>
  <c r="AM124" i="7" s="1"/>
  <c r="Q124" i="7"/>
  <c r="AK124" i="7" s="1"/>
  <c r="G130" i="7"/>
  <c r="J130" i="7"/>
  <c r="AG130" i="7" s="1"/>
  <c r="U130" i="7"/>
  <c r="V130" i="7" s="1"/>
  <c r="AQ130" i="7" s="1"/>
  <c r="X130" i="7"/>
  <c r="AO130" i="7" s="1"/>
  <c r="N131" i="7"/>
  <c r="O131" i="7" s="1"/>
  <c r="AM131" i="7" s="1"/>
  <c r="Q131" i="7"/>
  <c r="AK131" i="7" s="1"/>
  <c r="G132" i="7"/>
  <c r="J132" i="7"/>
  <c r="AG132" i="7" s="1"/>
  <c r="U132" i="7"/>
  <c r="V132" i="7" s="1"/>
  <c r="AQ132" i="7" s="1"/>
  <c r="X132" i="7"/>
  <c r="AO132" i="7" s="1"/>
  <c r="N133" i="7"/>
  <c r="O133" i="7" s="1"/>
  <c r="AM133" i="7" s="1"/>
  <c r="Q133" i="7"/>
  <c r="AK133" i="7" s="1"/>
  <c r="G134" i="7"/>
  <c r="J134" i="7"/>
  <c r="AG134" i="7" s="1"/>
  <c r="U134" i="7"/>
  <c r="V134" i="7" s="1"/>
  <c r="AQ134" i="7" s="1"/>
  <c r="X134" i="7"/>
  <c r="AO134" i="7" s="1"/>
  <c r="N135" i="7"/>
  <c r="O135" i="7" s="1"/>
  <c r="AM135" i="7" s="1"/>
  <c r="Q135" i="7"/>
  <c r="AK135" i="7" s="1"/>
  <c r="G136" i="7"/>
  <c r="J136" i="7"/>
  <c r="AG136" i="7" s="1"/>
  <c r="U136" i="7"/>
  <c r="V136" i="7" s="1"/>
  <c r="AQ136" i="7" s="1"/>
  <c r="X136" i="7"/>
  <c r="AO136" i="7" s="1"/>
  <c r="N137" i="7"/>
  <c r="O137" i="7" s="1"/>
  <c r="AM137" i="7" s="1"/>
  <c r="Q137" i="7"/>
  <c r="AK137" i="7" s="1"/>
  <c r="G138" i="7"/>
  <c r="J138" i="7"/>
  <c r="AG138" i="7" s="1"/>
  <c r="U138" i="7"/>
  <c r="V138" i="7" s="1"/>
  <c r="AQ138" i="7" s="1"/>
  <c r="X138" i="7"/>
  <c r="AO138" i="7" s="1"/>
  <c r="N139" i="7"/>
  <c r="O139" i="7" s="1"/>
  <c r="AM139" i="7" s="1"/>
  <c r="Q139" i="7"/>
  <c r="AK139" i="7" s="1"/>
  <c r="G140" i="7"/>
  <c r="J140" i="7"/>
  <c r="AG140" i="7" s="1"/>
  <c r="U140" i="7"/>
  <c r="V140" i="7" s="1"/>
  <c r="AQ140" i="7" s="1"/>
  <c r="X140" i="7"/>
  <c r="AO140" i="7" s="1"/>
  <c r="N144" i="7"/>
  <c r="AK149" i="7"/>
  <c r="Q144" i="7"/>
  <c r="AK144" i="7" s="1"/>
  <c r="G145" i="7"/>
  <c r="J145" i="7"/>
  <c r="AG145" i="7" s="1"/>
  <c r="U145" i="7"/>
  <c r="X145" i="7"/>
  <c r="AO145" i="7" s="1"/>
  <c r="N146" i="7"/>
  <c r="Q146" i="7"/>
  <c r="AK146" i="7" s="1"/>
  <c r="G147" i="7"/>
  <c r="J147" i="7"/>
  <c r="AG147" i="7" s="1"/>
  <c r="U147" i="7"/>
  <c r="X147" i="7"/>
  <c r="AO147" i="7" s="1"/>
  <c r="N153" i="7"/>
  <c r="Q153" i="7"/>
  <c r="AK153" i="7" s="1"/>
  <c r="G154" i="7"/>
  <c r="J154" i="7"/>
  <c r="AG154" i="7" s="1"/>
  <c r="U154" i="7"/>
  <c r="X154" i="7"/>
  <c r="AO154" i="7" s="1"/>
  <c r="N155" i="7"/>
  <c r="Q155" i="7"/>
  <c r="AK155" i="7" s="1"/>
  <c r="G156" i="7"/>
  <c r="J156" i="7"/>
  <c r="AG156" i="7" s="1"/>
  <c r="U156" i="7"/>
  <c r="X156" i="7"/>
  <c r="AO156" i="7" s="1"/>
  <c r="N157" i="7"/>
  <c r="Q157" i="7"/>
  <c r="AK157" i="7" s="1"/>
  <c r="G158" i="7"/>
  <c r="J158" i="7"/>
  <c r="AG158" i="7" s="1"/>
  <c r="U158" i="7"/>
  <c r="X158" i="7"/>
  <c r="AO158" i="7" s="1"/>
  <c r="N159" i="7"/>
  <c r="Q159" i="7"/>
  <c r="AK159" i="7" s="1"/>
  <c r="G160" i="7"/>
  <c r="J160" i="7"/>
  <c r="AG160" i="7" s="1"/>
  <c r="U160" i="7"/>
  <c r="X160" i="7"/>
  <c r="AO160" i="7" s="1"/>
  <c r="N161" i="7"/>
  <c r="Q161" i="7"/>
  <c r="AK161" i="7" s="1"/>
  <c r="G162" i="7"/>
  <c r="J162" i="7"/>
  <c r="AG162" i="7" s="1"/>
  <c r="U162" i="7"/>
  <c r="X162" i="7"/>
  <c r="AO162" i="7" s="1"/>
  <c r="N163" i="7"/>
  <c r="Q163" i="7"/>
  <c r="AK163" i="7" s="1"/>
  <c r="G164" i="7"/>
  <c r="J164" i="7"/>
  <c r="AG164" i="7" s="1"/>
  <c r="U164" i="7"/>
  <c r="X164" i="7"/>
  <c r="AO164" i="7" s="1"/>
  <c r="N168" i="7"/>
  <c r="Q168" i="7"/>
  <c r="AK168" i="7" s="1"/>
  <c r="G169" i="7"/>
  <c r="J169" i="7"/>
  <c r="AG169" i="7" s="1"/>
  <c r="U169" i="7"/>
  <c r="X169" i="7"/>
  <c r="AO169" i="7" s="1"/>
  <c r="N170" i="7"/>
  <c r="Q170" i="7"/>
  <c r="AK170" i="7" s="1"/>
  <c r="G171" i="7"/>
  <c r="J171" i="7"/>
  <c r="AG171" i="7" s="1"/>
  <c r="U171" i="7"/>
  <c r="X171" i="7"/>
  <c r="AO171" i="7" s="1"/>
  <c r="N175" i="7"/>
  <c r="Q175" i="7"/>
  <c r="AK175" i="7" s="1"/>
  <c r="G176" i="7"/>
  <c r="J176" i="7"/>
  <c r="AG176" i="7" s="1"/>
  <c r="U176" i="7"/>
  <c r="X176" i="7"/>
  <c r="AO176" i="7" s="1"/>
  <c r="N177" i="7"/>
  <c r="Q177" i="7"/>
  <c r="AK177" i="7" s="1"/>
  <c r="G178" i="7"/>
  <c r="J178" i="7"/>
  <c r="AG178" i="7" s="1"/>
  <c r="U178" i="7"/>
  <c r="X178" i="7"/>
  <c r="AO178" i="7" s="1"/>
  <c r="N182" i="7"/>
  <c r="Q182" i="7"/>
  <c r="AK182" i="7" s="1"/>
  <c r="G183" i="7"/>
  <c r="J183" i="7"/>
  <c r="AG183" i="7" s="1"/>
  <c r="U183" i="7"/>
  <c r="X183" i="7"/>
  <c r="AO183" i="7" s="1"/>
  <c r="N184" i="7"/>
  <c r="Q184" i="7"/>
  <c r="AK184" i="7" s="1"/>
  <c r="G185" i="7"/>
  <c r="J185" i="7"/>
  <c r="AG185" i="7" s="1"/>
  <c r="U185" i="7"/>
  <c r="X185" i="7"/>
  <c r="AO185" i="7" s="1"/>
  <c r="N186" i="7"/>
  <c r="Q186" i="7"/>
  <c r="AK186" i="7" s="1"/>
  <c r="G187" i="7"/>
  <c r="J187" i="7"/>
  <c r="AG187" i="7" s="1"/>
  <c r="U187" i="7"/>
  <c r="X187" i="7"/>
  <c r="AO187" i="7" s="1"/>
  <c r="N188" i="7"/>
  <c r="Q188" i="7"/>
  <c r="AK188" i="7" s="1"/>
  <c r="G189" i="7"/>
  <c r="H189" i="7" s="1"/>
  <c r="AI189" i="7" s="1"/>
  <c r="J189" i="7"/>
  <c r="AG189" i="7" s="1"/>
  <c r="U189" i="7"/>
  <c r="X189" i="7"/>
  <c r="AO189" i="7" s="1"/>
  <c r="N190" i="7"/>
  <c r="Q190" i="7"/>
  <c r="AK190" i="7" s="1"/>
  <c r="G195" i="7"/>
  <c r="J195" i="7"/>
  <c r="AG195" i="7" s="1"/>
  <c r="U195" i="7"/>
  <c r="X195" i="7"/>
  <c r="AO195" i="7" s="1"/>
  <c r="N196" i="7"/>
  <c r="Q196" i="7"/>
  <c r="AK196" i="7" s="1"/>
  <c r="G197" i="7"/>
  <c r="J197" i="7"/>
  <c r="AG197" i="7" s="1"/>
  <c r="U197" i="7"/>
  <c r="X197" i="7"/>
  <c r="AO197" i="7" s="1"/>
  <c r="N198" i="7"/>
  <c r="Q198" i="7"/>
  <c r="AK198" i="7" s="1"/>
  <c r="G202" i="7"/>
  <c r="J202" i="7"/>
  <c r="AG202" i="7" s="1"/>
  <c r="U202" i="7"/>
  <c r="X202" i="7"/>
  <c r="AO202" i="7" s="1"/>
  <c r="N203" i="7"/>
  <c r="Q203" i="7"/>
  <c r="AK203" i="7" s="1"/>
  <c r="G204" i="7"/>
  <c r="J204" i="7"/>
  <c r="AG204" i="7" s="1"/>
  <c r="U204" i="7"/>
  <c r="X204" i="7"/>
  <c r="AO204" i="7" s="1"/>
  <c r="N205" i="7"/>
  <c r="Q205" i="7"/>
  <c r="AK205" i="7" s="1"/>
  <c r="G209" i="7"/>
  <c r="J209" i="7"/>
  <c r="AG209" i="7" s="1"/>
  <c r="U209" i="7"/>
  <c r="X209" i="7"/>
  <c r="AO209" i="7" s="1"/>
  <c r="N210" i="7"/>
  <c r="Q210" i="7"/>
  <c r="AK210" i="7" s="1"/>
  <c r="G211" i="7"/>
  <c r="J211" i="7"/>
  <c r="AG211" i="7" s="1"/>
  <c r="U211" i="7"/>
  <c r="X211" i="7"/>
  <c r="AO211" i="7" s="1"/>
  <c r="N215" i="7"/>
  <c r="Q215" i="7"/>
  <c r="AK215" i="7" s="1"/>
  <c r="G216" i="7"/>
  <c r="J216" i="7"/>
  <c r="AG216" i="7" s="1"/>
  <c r="U216" i="7"/>
  <c r="X216" i="7"/>
  <c r="AO216" i="7" s="1"/>
  <c r="N217" i="7"/>
  <c r="Q217" i="7"/>
  <c r="AK217" i="7" s="1"/>
  <c r="G222" i="7"/>
  <c r="J222" i="7"/>
  <c r="AG222" i="7" s="1"/>
  <c r="U222" i="7"/>
  <c r="X222" i="7"/>
  <c r="AO222" i="7" s="1"/>
  <c r="N223" i="7"/>
  <c r="Q223" i="7"/>
  <c r="AK223" i="7" s="1"/>
  <c r="G224" i="7"/>
  <c r="J224" i="7"/>
  <c r="AG224" i="7" s="1"/>
  <c r="U224" i="7"/>
  <c r="X224" i="7"/>
  <c r="AO224" i="7" s="1"/>
  <c r="N225" i="7"/>
  <c r="Q225" i="7"/>
  <c r="AK225" i="7" s="1"/>
  <c r="G226" i="7"/>
  <c r="J226" i="7"/>
  <c r="AG226" i="7" s="1"/>
  <c r="U226" i="7"/>
  <c r="X226" i="7"/>
  <c r="AO226" i="7" s="1"/>
  <c r="N227" i="7"/>
  <c r="Q227" i="7"/>
  <c r="AK227" i="7" s="1"/>
  <c r="G228" i="7"/>
  <c r="J228" i="7"/>
  <c r="AG228" i="7" s="1"/>
  <c r="U228" i="7"/>
  <c r="X228" i="7"/>
  <c r="AO228" i="7" s="1"/>
  <c r="N229" i="7"/>
  <c r="Q229" i="7"/>
  <c r="AK229" i="7" s="1"/>
  <c r="G230" i="7"/>
  <c r="J230" i="7"/>
  <c r="AG230" i="7" s="1"/>
  <c r="U230" i="7"/>
  <c r="X230" i="7"/>
  <c r="AO230" i="7" s="1"/>
  <c r="N231" i="7"/>
  <c r="Q231" i="7"/>
  <c r="AK231" i="7" s="1"/>
  <c r="G235" i="7"/>
  <c r="J235" i="7"/>
  <c r="AG235" i="7" s="1"/>
  <c r="U235" i="7"/>
  <c r="X235" i="7"/>
  <c r="AO235" i="7" s="1"/>
  <c r="G237" i="7"/>
  <c r="J237" i="7"/>
  <c r="AG237" i="7" s="1"/>
  <c r="N238" i="7"/>
  <c r="Q238" i="7"/>
  <c r="AK238" i="7" s="1"/>
  <c r="U239" i="7"/>
  <c r="X239" i="7"/>
  <c r="AO239" i="7" s="1"/>
  <c r="G244" i="7"/>
  <c r="J244" i="7"/>
  <c r="AG244" i="7" s="1"/>
  <c r="AK250" i="7"/>
  <c r="N245" i="7"/>
  <c r="Q245" i="7"/>
  <c r="AK245" i="7" s="1"/>
  <c r="U246" i="7"/>
  <c r="V246" i="7" s="1"/>
  <c r="AQ246" i="7" s="1"/>
  <c r="X246" i="7"/>
  <c r="AO246" i="7" s="1"/>
  <c r="G248" i="7"/>
  <c r="J248" i="7"/>
  <c r="AG248" i="7" s="1"/>
  <c r="N252" i="7"/>
  <c r="O252" i="7" s="1"/>
  <c r="AM252" i="7" s="1"/>
  <c r="Q252" i="7"/>
  <c r="AK252" i="7" s="1"/>
  <c r="U253" i="7"/>
  <c r="V253" i="7" s="1"/>
  <c r="AQ253" i="7" s="1"/>
  <c r="X253" i="7"/>
  <c r="AO253" i="7" s="1"/>
  <c r="G255" i="7"/>
  <c r="J255" i="7"/>
  <c r="AG255" i="7" s="1"/>
  <c r="N256" i="7"/>
  <c r="O256" i="7" s="1"/>
  <c r="AM256" i="7" s="1"/>
  <c r="Q256" i="7"/>
  <c r="AK256" i="7" s="1"/>
  <c r="U257" i="7"/>
  <c r="V257" i="7" s="1"/>
  <c r="AQ257" i="7" s="1"/>
  <c r="X257" i="7"/>
  <c r="AO257" i="7" s="1"/>
  <c r="G259" i="7"/>
  <c r="J259" i="7"/>
  <c r="AG259" i="7" s="1"/>
  <c r="N260" i="7"/>
  <c r="O260" i="7" s="1"/>
  <c r="AM260" i="7" s="1"/>
  <c r="Q260" i="7"/>
  <c r="AK260" i="7" s="1"/>
  <c r="U264" i="7"/>
  <c r="V264" i="7" s="1"/>
  <c r="AQ264" i="7" s="1"/>
  <c r="X264" i="7"/>
  <c r="AO264" i="7" s="1"/>
  <c r="G266" i="7"/>
  <c r="J266" i="7"/>
  <c r="AG266" i="7" s="1"/>
  <c r="N267" i="7"/>
  <c r="O267" i="7" s="1"/>
  <c r="AM267" i="7" s="1"/>
  <c r="Q267" i="7"/>
  <c r="AK267" i="7" s="1"/>
  <c r="U268" i="7"/>
  <c r="V268" i="7" s="1"/>
  <c r="AQ268" i="7" s="1"/>
  <c r="X268" i="7"/>
  <c r="AO268" i="7" s="1"/>
  <c r="G273" i="7"/>
  <c r="J273" i="7"/>
  <c r="AG273" i="7" s="1"/>
  <c r="Z161" i="7"/>
  <c r="AP161" i="7" s="1"/>
  <c r="S162" i="7"/>
  <c r="AL162" i="7" s="1"/>
  <c r="L163" i="7"/>
  <c r="AH163" i="7" s="1"/>
  <c r="Z163" i="7"/>
  <c r="AP163" i="7" s="1"/>
  <c r="S164" i="7"/>
  <c r="AL164" i="7" s="1"/>
  <c r="L168" i="7"/>
  <c r="AH168" i="7" s="1"/>
  <c r="Z168" i="7"/>
  <c r="AP168" i="7" s="1"/>
  <c r="S169" i="7"/>
  <c r="AL169" i="7" s="1"/>
  <c r="L170" i="7"/>
  <c r="AH170" i="7" s="1"/>
  <c r="Z170" i="7"/>
  <c r="AP170" i="7" s="1"/>
  <c r="S171" i="7"/>
  <c r="AL171" i="7" s="1"/>
  <c r="L175" i="7"/>
  <c r="AH175" i="7" s="1"/>
  <c r="Z175" i="7"/>
  <c r="AP175" i="7" s="1"/>
  <c r="S176" i="7"/>
  <c r="AL176" i="7" s="1"/>
  <c r="L177" i="7"/>
  <c r="AH177" i="7" s="1"/>
  <c r="Z177" i="7"/>
  <c r="AP177" i="7" s="1"/>
  <c r="S178" i="7"/>
  <c r="AL178" i="7" s="1"/>
  <c r="L182" i="7"/>
  <c r="AH182" i="7" s="1"/>
  <c r="Z182" i="7"/>
  <c r="AP182" i="7" s="1"/>
  <c r="S183" i="7"/>
  <c r="AL183" i="7" s="1"/>
  <c r="L184" i="7"/>
  <c r="AH184" i="7" s="1"/>
  <c r="Z184" i="7"/>
  <c r="AP184" i="7" s="1"/>
  <c r="S185" i="7"/>
  <c r="AL185" i="7" s="1"/>
  <c r="L186" i="7"/>
  <c r="AH186" i="7" s="1"/>
  <c r="Z186" i="7"/>
  <c r="AP186" i="7" s="1"/>
  <c r="S187" i="7"/>
  <c r="AL187" i="7" s="1"/>
  <c r="L188" i="7"/>
  <c r="AH188" i="7" s="1"/>
  <c r="Z188" i="7"/>
  <c r="AP188" i="7" s="1"/>
  <c r="S189" i="7"/>
  <c r="AL189" i="7" s="1"/>
  <c r="L190" i="7"/>
  <c r="AH190" i="7" s="1"/>
  <c r="Z190" i="7"/>
  <c r="AP190" i="7" s="1"/>
  <c r="S195" i="7"/>
  <c r="AL195" i="7" s="1"/>
  <c r="L196" i="7"/>
  <c r="AH196" i="7" s="1"/>
  <c r="Z196" i="7"/>
  <c r="AP196" i="7" s="1"/>
  <c r="S197" i="7"/>
  <c r="AL197" i="7" s="1"/>
  <c r="L198" i="7"/>
  <c r="AH198" i="7" s="1"/>
  <c r="Z198" i="7"/>
  <c r="AP198" i="7" s="1"/>
  <c r="S202" i="7"/>
  <c r="AL202" i="7" s="1"/>
  <c r="L203" i="7"/>
  <c r="AH203" i="7" s="1"/>
  <c r="Z203" i="7"/>
  <c r="AP203" i="7" s="1"/>
  <c r="S204" i="7"/>
  <c r="AL204" i="7" s="1"/>
  <c r="L205" i="7"/>
  <c r="AH205" i="7" s="1"/>
  <c r="Z205" i="7"/>
  <c r="AP205" i="7" s="1"/>
  <c r="S209" i="7"/>
  <c r="AL209" i="7" s="1"/>
  <c r="L210" i="7"/>
  <c r="AH210" i="7" s="1"/>
  <c r="Z210" i="7"/>
  <c r="AP210" i="7" s="1"/>
  <c r="S211" i="7"/>
  <c r="AL211" i="7" s="1"/>
  <c r="L215" i="7"/>
  <c r="AH215" i="7" s="1"/>
  <c r="Z215" i="7"/>
  <c r="AP215" i="7" s="1"/>
  <c r="S216" i="7"/>
  <c r="AL216" i="7" s="1"/>
  <c r="L217" i="7"/>
  <c r="AH217" i="7" s="1"/>
  <c r="Z217" i="7"/>
  <c r="AP217" i="7" s="1"/>
  <c r="S222" i="7"/>
  <c r="AL222" i="7" s="1"/>
  <c r="L223" i="7"/>
  <c r="AH223" i="7" s="1"/>
  <c r="Z223" i="7"/>
  <c r="AP223" i="7" s="1"/>
  <c r="S224" i="7"/>
  <c r="AL224" i="7" s="1"/>
  <c r="L225" i="7"/>
  <c r="AH225" i="7" s="1"/>
  <c r="Z225" i="7"/>
  <c r="AP225" i="7" s="1"/>
  <c r="S226" i="7"/>
  <c r="AL226" i="7" s="1"/>
  <c r="L227" i="7"/>
  <c r="AH227" i="7" s="1"/>
  <c r="Z227" i="7"/>
  <c r="AP227" i="7" s="1"/>
  <c r="S228" i="7"/>
  <c r="AL228" i="7" s="1"/>
  <c r="L229" i="7"/>
  <c r="AH229" i="7" s="1"/>
  <c r="Z229" i="7"/>
  <c r="AP229" i="7" s="1"/>
  <c r="S230" i="7"/>
  <c r="AL230" i="7" s="1"/>
  <c r="L231" i="7"/>
  <c r="AH231" i="7" s="1"/>
  <c r="Z231" i="7"/>
  <c r="AP231" i="7" s="1"/>
  <c r="S235" i="7"/>
  <c r="AL235" i="7" s="1"/>
  <c r="U236" i="7"/>
  <c r="V236" i="7" s="1"/>
  <c r="AQ236" i="7" s="1"/>
  <c r="X236" i="7"/>
  <c r="AO236" i="7" s="1"/>
  <c r="G238" i="7"/>
  <c r="J238" i="7"/>
  <c r="AG238" i="7" s="1"/>
  <c r="N239" i="7"/>
  <c r="O239" i="7" s="1"/>
  <c r="AM239" i="7" s="1"/>
  <c r="Q239" i="7"/>
  <c r="AK239" i="7" s="1"/>
  <c r="U240" i="7"/>
  <c r="V240" i="7" s="1"/>
  <c r="AQ240" i="7" s="1"/>
  <c r="X240" i="7"/>
  <c r="AO240" i="7" s="1"/>
  <c r="G245" i="7"/>
  <c r="AG250" i="7"/>
  <c r="J245" i="7"/>
  <c r="AG245" i="7" s="1"/>
  <c r="N246" i="7"/>
  <c r="Q246" i="7"/>
  <c r="AK246" i="7" s="1"/>
  <c r="U247" i="7"/>
  <c r="X247" i="7"/>
  <c r="AO247" i="7" s="1"/>
  <c r="G252" i="7"/>
  <c r="J252" i="7"/>
  <c r="AG252" i="7" s="1"/>
  <c r="N253" i="7"/>
  <c r="Q253" i="7"/>
  <c r="AK253" i="7" s="1"/>
  <c r="U254" i="7"/>
  <c r="X254" i="7"/>
  <c r="AO254" i="7" s="1"/>
  <c r="G256" i="7"/>
  <c r="J256" i="7"/>
  <c r="AG256" i="7" s="1"/>
  <c r="N257" i="7"/>
  <c r="Q257" i="7"/>
  <c r="AK257" i="7" s="1"/>
  <c r="U258" i="7"/>
  <c r="X258" i="7"/>
  <c r="AO258" i="7" s="1"/>
  <c r="G260" i="7"/>
  <c r="J260" i="7"/>
  <c r="AG260" i="7" s="1"/>
  <c r="N264" i="7"/>
  <c r="Q264" i="7"/>
  <c r="AK264" i="7" s="1"/>
  <c r="U265" i="7"/>
  <c r="X265" i="7"/>
  <c r="AO265" i="7" s="1"/>
  <c r="G267" i="7"/>
  <c r="J267" i="7"/>
  <c r="AG267" i="7" s="1"/>
  <c r="N268" i="7"/>
  <c r="Q268" i="7"/>
  <c r="AK268" i="7" s="1"/>
  <c r="U269" i="7"/>
  <c r="X269" i="7"/>
  <c r="AO269" i="7" s="1"/>
  <c r="G274" i="7"/>
  <c r="J274" i="7"/>
  <c r="AG274" i="7" s="1"/>
  <c r="L236" i="7"/>
  <c r="AH236" i="7" s="1"/>
  <c r="Z236" i="7"/>
  <c r="AP236" i="7" s="1"/>
  <c r="S237" i="7"/>
  <c r="AL237" i="7" s="1"/>
  <c r="L238" i="7"/>
  <c r="AH238" i="7" s="1"/>
  <c r="Z238" i="7"/>
  <c r="AP238" i="7" s="1"/>
  <c r="S239" i="7"/>
  <c r="AL239" i="7" s="1"/>
  <c r="L240" i="7"/>
  <c r="AH240" i="7" s="1"/>
  <c r="Z240" i="7"/>
  <c r="AP240" i="7" s="1"/>
  <c r="S244" i="7"/>
  <c r="AL244" i="7" s="1"/>
  <c r="AH250" i="7"/>
  <c r="L245" i="7"/>
  <c r="AH245" i="7" s="1"/>
  <c r="AP250" i="7"/>
  <c r="Z245" i="7"/>
  <c r="AP245" i="7" s="1"/>
  <c r="S246" i="7"/>
  <c r="AL246" i="7" s="1"/>
  <c r="L247" i="7"/>
  <c r="AH247" i="7" s="1"/>
  <c r="Z247" i="7"/>
  <c r="AP247" i="7" s="1"/>
  <c r="S248" i="7"/>
  <c r="AL248" i="7" s="1"/>
  <c r="L252" i="7"/>
  <c r="AH252" i="7" s="1"/>
  <c r="Z252" i="7"/>
  <c r="AP252" i="7" s="1"/>
  <c r="S253" i="7"/>
  <c r="AL253" i="7" s="1"/>
  <c r="L254" i="7"/>
  <c r="AH254" i="7" s="1"/>
  <c r="Z254" i="7"/>
  <c r="AP254" i="7" s="1"/>
  <c r="S255" i="7"/>
  <c r="AL255" i="7" s="1"/>
  <c r="L256" i="7"/>
  <c r="AH256" i="7" s="1"/>
  <c r="Z256" i="7"/>
  <c r="AP256" i="7" s="1"/>
  <c r="S257" i="7"/>
  <c r="AL257" i="7" s="1"/>
  <c r="L258" i="7"/>
  <c r="AH258" i="7" s="1"/>
  <c r="Z258" i="7"/>
  <c r="AP258" i="7" s="1"/>
  <c r="S259" i="7"/>
  <c r="AL259" i="7" s="1"/>
  <c r="L260" i="7"/>
  <c r="AH260" i="7" s="1"/>
  <c r="Z260" i="7"/>
  <c r="AP260" i="7" s="1"/>
  <c r="S264" i="7"/>
  <c r="AL264" i="7" s="1"/>
  <c r="L265" i="7"/>
  <c r="AH265" i="7" s="1"/>
  <c r="Z265" i="7"/>
  <c r="AP265" i="7" s="1"/>
  <c r="S266" i="7"/>
  <c r="AL266" i="7" s="1"/>
  <c r="L267" i="7"/>
  <c r="AH267" i="7" s="1"/>
  <c r="Z267" i="7"/>
  <c r="AP267" i="7" s="1"/>
  <c r="S268" i="7"/>
  <c r="AL268" i="7" s="1"/>
  <c r="L269" i="7"/>
  <c r="AH269" i="7" s="1"/>
  <c r="Z269" i="7"/>
  <c r="AP269" i="7" s="1"/>
  <c r="S273" i="7"/>
  <c r="AL273" i="7" s="1"/>
  <c r="L274" i="7"/>
  <c r="AH274" i="7" s="1"/>
  <c r="Z274" i="7"/>
  <c r="AP274" i="7" s="1"/>
  <c r="S275" i="7"/>
  <c r="AL275" i="7" s="1"/>
  <c r="L276" i="7"/>
  <c r="AH276" i="7" s="1"/>
  <c r="Z276" i="7"/>
  <c r="AP276" i="7" s="1"/>
  <c r="S277" i="7"/>
  <c r="AL277" i="7" s="1"/>
  <c r="L278" i="7"/>
  <c r="AH278" i="7" s="1"/>
  <c r="Z278" i="7"/>
  <c r="AP278" i="7" s="1"/>
  <c r="S279" i="7"/>
  <c r="AL279" i="7" s="1"/>
  <c r="L280" i="7"/>
  <c r="AH280" i="7" s="1"/>
  <c r="Z280" i="7"/>
  <c r="AP280" i="7" s="1"/>
  <c r="S281" i="7"/>
  <c r="AL281" i="7" s="1"/>
  <c r="L282" i="7"/>
  <c r="AH282" i="7" s="1"/>
  <c r="Z282" i="7"/>
  <c r="AP282" i="7" s="1"/>
  <c r="S283" i="7"/>
  <c r="AL283" i="7" s="1"/>
  <c r="L284" i="7"/>
  <c r="AH284" i="7" s="1"/>
  <c r="Z284" i="7"/>
  <c r="AP284" i="7" s="1"/>
  <c r="S285" i="7"/>
  <c r="AL285" i="7" s="1"/>
  <c r="Z286" i="7"/>
  <c r="AP286" i="7" s="1"/>
  <c r="L291" i="7"/>
  <c r="AH291" i="7" s="1"/>
  <c r="S292" i="7"/>
  <c r="AL292" i="7" s="1"/>
  <c r="Z293" i="7"/>
  <c r="AP293" i="7" s="1"/>
  <c r="AH311" i="7"/>
  <c r="L305" i="7"/>
  <c r="AH305" i="7" s="1"/>
  <c r="S306" i="7"/>
  <c r="AL306" i="7" s="1"/>
  <c r="Z307" i="7"/>
  <c r="AP307" i="7" s="1"/>
  <c r="L309" i="7"/>
  <c r="AH309" i="7" s="1"/>
  <c r="S310" i="7"/>
  <c r="AL310" i="7" s="1"/>
  <c r="AP319" i="7"/>
  <c r="Z313" i="7"/>
  <c r="AP313" i="7" s="1"/>
  <c r="L315" i="7"/>
  <c r="AH315" i="7" s="1"/>
  <c r="S316" i="7"/>
  <c r="AL316" i="7" s="1"/>
  <c r="Z317" i="7"/>
  <c r="AP317" i="7" s="1"/>
  <c r="AH327" i="7"/>
  <c r="L321" i="7"/>
  <c r="AH321" i="7" s="1"/>
  <c r="S322" i="7"/>
  <c r="AL322" i="7" s="1"/>
  <c r="Z323" i="7"/>
  <c r="AP323" i="7" s="1"/>
  <c r="L325" i="7"/>
  <c r="AH325" i="7" s="1"/>
  <c r="S326" i="7"/>
  <c r="AL326" i="7" s="1"/>
  <c r="AP335" i="7"/>
  <c r="Z329" i="7"/>
  <c r="AP329" i="7" s="1"/>
  <c r="L331" i="7"/>
  <c r="AH331" i="7" s="1"/>
  <c r="S332" i="7"/>
  <c r="AL332" i="7" s="1"/>
  <c r="Z333" i="7"/>
  <c r="AP333" i="7" s="1"/>
  <c r="AH343" i="7"/>
  <c r="L337" i="7"/>
  <c r="AH337" i="7" s="1"/>
  <c r="S338" i="7"/>
  <c r="AL338" i="7" s="1"/>
  <c r="Z339" i="7"/>
  <c r="AP339" i="7" s="1"/>
  <c r="L341" i="7"/>
  <c r="AH341" i="7" s="1"/>
  <c r="S342" i="7"/>
  <c r="AL342" i="7" s="1"/>
  <c r="AP351" i="7"/>
  <c r="Z345" i="7"/>
  <c r="AP345" i="7" s="1"/>
  <c r="U274" i="7"/>
  <c r="V274" i="7" s="1"/>
  <c r="AQ274" i="7" s="1"/>
  <c r="X274" i="7"/>
  <c r="AO274" i="7" s="1"/>
  <c r="N275" i="7"/>
  <c r="O275" i="7" s="1"/>
  <c r="AM275" i="7" s="1"/>
  <c r="Q275" i="7"/>
  <c r="AK275" i="7" s="1"/>
  <c r="G276" i="7"/>
  <c r="J276" i="7"/>
  <c r="AG276" i="7" s="1"/>
  <c r="U276" i="7"/>
  <c r="V276" i="7" s="1"/>
  <c r="AQ276" i="7" s="1"/>
  <c r="X276" i="7"/>
  <c r="AO276" i="7" s="1"/>
  <c r="N277" i="7"/>
  <c r="O277" i="7" s="1"/>
  <c r="AM277" i="7" s="1"/>
  <c r="Q277" i="7"/>
  <c r="AK277" i="7" s="1"/>
  <c r="G278" i="7"/>
  <c r="J278" i="7"/>
  <c r="AG278" i="7" s="1"/>
  <c r="U278" i="7"/>
  <c r="V278" i="7" s="1"/>
  <c r="AQ278" i="7" s="1"/>
  <c r="X278" i="7"/>
  <c r="AO278" i="7" s="1"/>
  <c r="N279" i="7"/>
  <c r="O279" i="7" s="1"/>
  <c r="AM279" i="7" s="1"/>
  <c r="Q279" i="7"/>
  <c r="AK279" i="7" s="1"/>
  <c r="G280" i="7"/>
  <c r="J280" i="7"/>
  <c r="AG280" i="7" s="1"/>
  <c r="U280" i="7"/>
  <c r="V280" i="7" s="1"/>
  <c r="AQ280" i="7" s="1"/>
  <c r="X280" i="7"/>
  <c r="AO280" i="7" s="1"/>
  <c r="N281" i="7"/>
  <c r="O281" i="7" s="1"/>
  <c r="AM281" i="7" s="1"/>
  <c r="Q281" i="7"/>
  <c r="AK281" i="7" s="1"/>
  <c r="G282" i="7"/>
  <c r="J282" i="7"/>
  <c r="AG282" i="7" s="1"/>
  <c r="U282" i="7"/>
  <c r="V282" i="7" s="1"/>
  <c r="AQ282" i="7" s="1"/>
  <c r="X282" i="7"/>
  <c r="AO282" i="7" s="1"/>
  <c r="N283" i="7"/>
  <c r="O283" i="7" s="1"/>
  <c r="AM283" i="7" s="1"/>
  <c r="Q283" i="7"/>
  <c r="AK283" i="7" s="1"/>
  <c r="G284" i="7"/>
  <c r="J284" i="7"/>
  <c r="AG284" i="7" s="1"/>
  <c r="U284" i="7"/>
  <c r="V284" i="7" s="1"/>
  <c r="AQ284" i="7" s="1"/>
  <c r="X284" i="7"/>
  <c r="AO284" i="7" s="1"/>
  <c r="N285" i="7"/>
  <c r="O285" i="7" s="1"/>
  <c r="AM285" i="7" s="1"/>
  <c r="Q285" i="7"/>
  <c r="AK285" i="7" s="1"/>
  <c r="S286" i="7"/>
  <c r="AL286" i="7" s="1"/>
  <c r="AP296" i="7"/>
  <c r="Z290" i="7"/>
  <c r="AP290" i="7" s="1"/>
  <c r="L292" i="7"/>
  <c r="AH292" i="7" s="1"/>
  <c r="S293" i="7"/>
  <c r="AL293" i="7" s="1"/>
  <c r="Z294" i="7"/>
  <c r="AP294" i="7" s="1"/>
  <c r="L306" i="7"/>
  <c r="AH306" i="7" s="1"/>
  <c r="S307" i="7"/>
  <c r="AL307" i="7" s="1"/>
  <c r="Z308" i="7"/>
  <c r="AP308" i="7" s="1"/>
  <c r="L310" i="7"/>
  <c r="AH310" i="7" s="1"/>
  <c r="S313" i="7"/>
  <c r="Z314" i="7"/>
  <c r="AP314" i="7" s="1"/>
  <c r="L316" i="7"/>
  <c r="AH316" i="7" s="1"/>
  <c r="S317" i="7"/>
  <c r="AL317" i="7" s="1"/>
  <c r="Z318" i="7"/>
  <c r="AP318" i="7" s="1"/>
  <c r="L322" i="7"/>
  <c r="AH322" i="7" s="1"/>
  <c r="S323" i="7"/>
  <c r="AL323" i="7" s="1"/>
  <c r="Z324" i="7"/>
  <c r="AP324" i="7" s="1"/>
  <c r="L326" i="7"/>
  <c r="AH326" i="7" s="1"/>
  <c r="S329" i="7"/>
  <c r="Z330" i="7"/>
  <c r="AP330" i="7" s="1"/>
  <c r="L332" i="7"/>
  <c r="AH332" i="7" s="1"/>
  <c r="S333" i="7"/>
  <c r="AL333" i="7" s="1"/>
  <c r="Z334" i="7"/>
  <c r="AP334" i="7" s="1"/>
  <c r="L338" i="7"/>
  <c r="AH338" i="7" s="1"/>
  <c r="S339" i="7"/>
  <c r="AL339" i="7" s="1"/>
  <c r="Z340" i="7"/>
  <c r="AP340" i="7" s="1"/>
  <c r="L342" i="7"/>
  <c r="AH342" i="7" s="1"/>
  <c r="S345" i="7"/>
  <c r="S346" i="7"/>
  <c r="AL346" i="7" s="1"/>
  <c r="L347" i="7"/>
  <c r="AH347" i="7" s="1"/>
  <c r="Z347" i="7"/>
  <c r="AP347" i="7" s="1"/>
  <c r="S348" i="7"/>
  <c r="AL348" i="7" s="1"/>
  <c r="L349" i="7"/>
  <c r="AH349" i="7" s="1"/>
  <c r="Z349" i="7"/>
  <c r="AP349" i="7" s="1"/>
  <c r="S350" i="7"/>
  <c r="AL350" i="7" s="1"/>
  <c r="AH359" i="7"/>
  <c r="L353" i="7"/>
  <c r="AH353" i="7" s="1"/>
  <c r="AP359" i="7"/>
  <c r="Z353" i="7"/>
  <c r="AP353" i="7" s="1"/>
  <c r="S354" i="7"/>
  <c r="AL354" i="7" s="1"/>
  <c r="L355" i="7"/>
  <c r="AH355" i="7" s="1"/>
  <c r="Z355" i="7"/>
  <c r="AP355" i="7" s="1"/>
  <c r="S356" i="7"/>
  <c r="AL356" i="7" s="1"/>
  <c r="L357" i="7"/>
  <c r="AH357" i="7" s="1"/>
  <c r="Z357" i="7"/>
  <c r="AP357" i="7" s="1"/>
  <c r="S358" i="7"/>
  <c r="AL358" i="7" s="1"/>
  <c r="AH367" i="7"/>
  <c r="L361" i="7"/>
  <c r="AH361" i="7" s="1"/>
  <c r="S362" i="7"/>
  <c r="AL362" i="7" s="1"/>
  <c r="Z363" i="7"/>
  <c r="AP363" i="7" s="1"/>
  <c r="L365" i="7"/>
  <c r="AH365" i="7" s="1"/>
  <c r="S366" i="7"/>
  <c r="AL366" i="7" s="1"/>
  <c r="AP375" i="7"/>
  <c r="Z369" i="7"/>
  <c r="AP369" i="7" s="1"/>
  <c r="L371" i="7"/>
  <c r="AH371" i="7" s="1"/>
  <c r="S372" i="7"/>
  <c r="AL372" i="7" s="1"/>
  <c r="Z373" i="7"/>
  <c r="AP373" i="7" s="1"/>
  <c r="AH383" i="7"/>
  <c r="L377" i="7"/>
  <c r="AH377" i="7" s="1"/>
  <c r="S378" i="7"/>
  <c r="AL378" i="7" s="1"/>
  <c r="Z379" i="7"/>
  <c r="AP379" i="7" s="1"/>
  <c r="L381" i="7"/>
  <c r="AH381" i="7" s="1"/>
  <c r="S382" i="7"/>
  <c r="AL382" i="7" s="1"/>
  <c r="Z386" i="7"/>
  <c r="AP386" i="7" s="1"/>
  <c r="L388" i="7"/>
  <c r="AH388" i="7" s="1"/>
  <c r="S389" i="7"/>
  <c r="AL389" i="7" s="1"/>
  <c r="Z390" i="7"/>
  <c r="AP390" i="7" s="1"/>
  <c r="L392" i="7"/>
  <c r="AH392" i="7" s="1"/>
  <c r="S393" i="7"/>
  <c r="AL393" i="7" s="1"/>
  <c r="Z394" i="7"/>
  <c r="AP394" i="7" s="1"/>
  <c r="L398" i="7"/>
  <c r="AH398" i="7" s="1"/>
  <c r="S399" i="7"/>
  <c r="AL399" i="7" s="1"/>
  <c r="Z400" i="7"/>
  <c r="AP400" i="7" s="1"/>
  <c r="L402" i="7"/>
  <c r="AH402" i="7" s="1"/>
  <c r="S403" i="7"/>
  <c r="AL403" i="7" s="1"/>
  <c r="Z404" i="7"/>
  <c r="AP404" i="7" s="1"/>
  <c r="G286" i="7"/>
  <c r="J286" i="7"/>
  <c r="AG286" i="7" s="1"/>
  <c r="U286" i="7"/>
  <c r="X286" i="7"/>
  <c r="AO286" i="7" s="1"/>
  <c r="N290" i="7"/>
  <c r="Q290" i="7"/>
  <c r="G291" i="7"/>
  <c r="J291" i="7"/>
  <c r="AG291" i="7" s="1"/>
  <c r="U291" i="7"/>
  <c r="X291" i="7"/>
  <c r="AO291" i="7" s="1"/>
  <c r="N292" i="7"/>
  <c r="Q292" i="7"/>
  <c r="AK292" i="7" s="1"/>
  <c r="G293" i="7"/>
  <c r="J293" i="7"/>
  <c r="AG293" i="7" s="1"/>
  <c r="U293" i="7"/>
  <c r="X293" i="7"/>
  <c r="AO293" i="7" s="1"/>
  <c r="N294" i="7"/>
  <c r="Q294" i="7"/>
  <c r="AK294" i="7" s="1"/>
  <c r="AG311" i="7"/>
  <c r="G305" i="7"/>
  <c r="J305" i="7"/>
  <c r="AG305" i="7" s="1"/>
  <c r="AO311" i="7"/>
  <c r="U305" i="7"/>
  <c r="X305" i="7"/>
  <c r="AO305" i="7" s="1"/>
  <c r="N306" i="7"/>
  <c r="Q306" i="7"/>
  <c r="AK306" i="7" s="1"/>
  <c r="G307" i="7"/>
  <c r="J307" i="7"/>
  <c r="AG307" i="7" s="1"/>
  <c r="U307" i="7"/>
  <c r="X307" i="7"/>
  <c r="AO307" i="7" s="1"/>
  <c r="N308" i="7"/>
  <c r="Q308" i="7"/>
  <c r="AK308" i="7" s="1"/>
  <c r="G309" i="7"/>
  <c r="J309" i="7"/>
  <c r="AG309" i="7" s="1"/>
  <c r="U309" i="7"/>
  <c r="X309" i="7"/>
  <c r="AO309" i="7" s="1"/>
  <c r="N310" i="7"/>
  <c r="Q310" i="7"/>
  <c r="AK310" i="7" s="1"/>
  <c r="G313" i="7"/>
  <c r="AG319" i="7"/>
  <c r="J313" i="7"/>
  <c r="AG313" i="7" s="1"/>
  <c r="U313" i="7"/>
  <c r="AO319" i="7"/>
  <c r="X313" i="7"/>
  <c r="AO313" i="7" s="1"/>
  <c r="N314" i="7"/>
  <c r="Q314" i="7"/>
  <c r="AK314" i="7" s="1"/>
  <c r="G315" i="7"/>
  <c r="J315" i="7"/>
  <c r="AG315" i="7" s="1"/>
  <c r="U315" i="7"/>
  <c r="X315" i="7"/>
  <c r="AO315" i="7" s="1"/>
  <c r="N316" i="7"/>
  <c r="Q316" i="7"/>
  <c r="AK316" i="7" s="1"/>
  <c r="G317" i="7"/>
  <c r="J317" i="7"/>
  <c r="AG317" i="7" s="1"/>
  <c r="U317" i="7"/>
  <c r="X317" i="7"/>
  <c r="AO317" i="7" s="1"/>
  <c r="N318" i="7"/>
  <c r="Q318" i="7"/>
  <c r="AK318" i="7" s="1"/>
  <c r="AG327" i="7"/>
  <c r="G321" i="7"/>
  <c r="J321" i="7"/>
  <c r="AG321" i="7" s="1"/>
  <c r="AO327" i="7"/>
  <c r="U321" i="7"/>
  <c r="X321" i="7"/>
  <c r="AO321" i="7" s="1"/>
  <c r="N322" i="7"/>
  <c r="Q322" i="7"/>
  <c r="AK322" i="7" s="1"/>
  <c r="G323" i="7"/>
  <c r="J323" i="7"/>
  <c r="AG323" i="7" s="1"/>
  <c r="U323" i="7"/>
  <c r="X323" i="7"/>
  <c r="AO323" i="7" s="1"/>
  <c r="N324" i="7"/>
  <c r="Q324" i="7"/>
  <c r="AK324" i="7" s="1"/>
  <c r="G325" i="7"/>
  <c r="J325" i="7"/>
  <c r="AG325" i="7" s="1"/>
  <c r="U325" i="7"/>
  <c r="X325" i="7"/>
  <c r="AO325" i="7" s="1"/>
  <c r="N326" i="7"/>
  <c r="Q326" i="7"/>
  <c r="AK326" i="7" s="1"/>
  <c r="G329" i="7"/>
  <c r="AG335" i="7"/>
  <c r="J329" i="7"/>
  <c r="AG329" i="7" s="1"/>
  <c r="U329" i="7"/>
  <c r="AO335" i="7"/>
  <c r="X329" i="7"/>
  <c r="AO329" i="7" s="1"/>
  <c r="N330" i="7"/>
  <c r="Q330" i="7"/>
  <c r="AK330" i="7" s="1"/>
  <c r="G331" i="7"/>
  <c r="J331" i="7"/>
  <c r="AG331" i="7" s="1"/>
  <c r="U331" i="7"/>
  <c r="X331" i="7"/>
  <c r="AO331" i="7" s="1"/>
  <c r="N332" i="7"/>
  <c r="Q332" i="7"/>
  <c r="AK332" i="7" s="1"/>
  <c r="G333" i="7"/>
  <c r="J333" i="7"/>
  <c r="AG333" i="7" s="1"/>
  <c r="U333" i="7"/>
  <c r="X333" i="7"/>
  <c r="AO333" i="7" s="1"/>
  <c r="N334" i="7"/>
  <c r="Q334" i="7"/>
  <c r="AK334" i="7" s="1"/>
  <c r="AG343" i="7"/>
  <c r="G337" i="7"/>
  <c r="J337" i="7"/>
  <c r="AG337" i="7" s="1"/>
  <c r="AO343" i="7"/>
  <c r="U337" i="7"/>
  <c r="X337" i="7"/>
  <c r="AO337" i="7" s="1"/>
  <c r="N338" i="7"/>
  <c r="Q338" i="7"/>
  <c r="AK338" i="7" s="1"/>
  <c r="G339" i="7"/>
  <c r="J339" i="7"/>
  <c r="AG339" i="7" s="1"/>
  <c r="U339" i="7"/>
  <c r="X339" i="7"/>
  <c r="AO339" i="7" s="1"/>
  <c r="N340" i="7"/>
  <c r="Q340" i="7"/>
  <c r="AK340" i="7" s="1"/>
  <c r="G341" i="7"/>
  <c r="J341" i="7"/>
  <c r="AG341" i="7" s="1"/>
  <c r="U341" i="7"/>
  <c r="X341" i="7"/>
  <c r="AO341" i="7" s="1"/>
  <c r="N342" i="7"/>
  <c r="Q342" i="7"/>
  <c r="AK342" i="7" s="1"/>
  <c r="G345" i="7"/>
  <c r="AG351" i="7"/>
  <c r="J345" i="7"/>
  <c r="AG345" i="7" s="1"/>
  <c r="U345" i="7"/>
  <c r="AO351" i="7"/>
  <c r="X345" i="7"/>
  <c r="AO345" i="7" s="1"/>
  <c r="N346" i="7"/>
  <c r="Q346" i="7"/>
  <c r="AK346" i="7" s="1"/>
  <c r="G347" i="7"/>
  <c r="J347" i="7"/>
  <c r="AG347" i="7" s="1"/>
  <c r="U347" i="7"/>
  <c r="X347" i="7"/>
  <c r="AO347" i="7" s="1"/>
  <c r="N348" i="7"/>
  <c r="Q348" i="7"/>
  <c r="AK348" i="7" s="1"/>
  <c r="G349" i="7"/>
  <c r="J349" i="7"/>
  <c r="AG349" i="7" s="1"/>
  <c r="U349" i="7"/>
  <c r="X349" i="7"/>
  <c r="AO349" i="7" s="1"/>
  <c r="N350" i="7"/>
  <c r="Q350" i="7"/>
  <c r="AK350" i="7" s="1"/>
  <c r="G353" i="7"/>
  <c r="J353" i="7"/>
  <c r="AG353" i="7" s="1"/>
  <c r="AG359" i="7"/>
  <c r="U353" i="7"/>
  <c r="X353" i="7"/>
  <c r="AO353" i="7" s="1"/>
  <c r="AO359" i="7"/>
  <c r="N354" i="7"/>
  <c r="Q354" i="7"/>
  <c r="AK354" i="7" s="1"/>
  <c r="G355" i="7"/>
  <c r="J355" i="7"/>
  <c r="AG355" i="7" s="1"/>
  <c r="U355" i="7"/>
  <c r="X355" i="7"/>
  <c r="AO355" i="7" s="1"/>
  <c r="N356" i="7"/>
  <c r="Q356" i="7"/>
  <c r="AK356" i="7" s="1"/>
  <c r="G357" i="7"/>
  <c r="J357" i="7"/>
  <c r="AG357" i="7" s="1"/>
  <c r="U357" i="7"/>
  <c r="X357" i="7"/>
  <c r="AO357" i="7" s="1"/>
  <c r="N358" i="7"/>
  <c r="Q358" i="7"/>
  <c r="AK358" i="7" s="1"/>
  <c r="AG367" i="7"/>
  <c r="G361" i="7"/>
  <c r="J361" i="7"/>
  <c r="AG361" i="7" s="1"/>
  <c r="L362" i="7"/>
  <c r="AH362" i="7" s="1"/>
  <c r="S363" i="7"/>
  <c r="AL363" i="7" s="1"/>
  <c r="Z364" i="7"/>
  <c r="AP364" i="7" s="1"/>
  <c r="L366" i="7"/>
  <c r="AH366" i="7" s="1"/>
  <c r="S369" i="7"/>
  <c r="Z370" i="7"/>
  <c r="AP370" i="7" s="1"/>
  <c r="L372" i="7"/>
  <c r="AH372" i="7" s="1"/>
  <c r="S373" i="7"/>
  <c r="AL373" i="7" s="1"/>
  <c r="Z374" i="7"/>
  <c r="AP374" i="7" s="1"/>
  <c r="L378" i="7"/>
  <c r="AH378" i="7" s="1"/>
  <c r="S379" i="7"/>
  <c r="AL379" i="7" s="1"/>
  <c r="Z380" i="7"/>
  <c r="AP380" i="7" s="1"/>
  <c r="L382" i="7"/>
  <c r="AH382" i="7" s="1"/>
  <c r="S386" i="7"/>
  <c r="AL386" i="7" s="1"/>
  <c r="Z387" i="7"/>
  <c r="AP387" i="7" s="1"/>
  <c r="L389" i="7"/>
  <c r="AH389" i="7" s="1"/>
  <c r="S390" i="7"/>
  <c r="AL390" i="7" s="1"/>
  <c r="Z391" i="7"/>
  <c r="AP391" i="7" s="1"/>
  <c r="L393" i="7"/>
  <c r="AH393" i="7" s="1"/>
  <c r="S394" i="7"/>
  <c r="AL394" i="7" s="1"/>
  <c r="Z397" i="7"/>
  <c r="AP397" i="7" s="1"/>
  <c r="L399" i="7"/>
  <c r="AH399" i="7" s="1"/>
  <c r="S400" i="7"/>
  <c r="AL400" i="7" s="1"/>
  <c r="Z401" i="7"/>
  <c r="AP401" i="7" s="1"/>
  <c r="L403" i="7"/>
  <c r="AH403" i="7" s="1"/>
  <c r="S404" i="7"/>
  <c r="AL404" i="7" s="1"/>
  <c r="S407" i="7"/>
  <c r="AL407" i="7" s="1"/>
  <c r="L408" i="7"/>
  <c r="AH408" i="7" s="1"/>
  <c r="Z408" i="7"/>
  <c r="AP408" i="7" s="1"/>
  <c r="S409" i="7"/>
  <c r="AL409" i="7" s="1"/>
  <c r="L410" i="7"/>
  <c r="AH410" i="7" s="1"/>
  <c r="Z410" i="7"/>
  <c r="AP410" i="7" s="1"/>
  <c r="S411" i="7"/>
  <c r="AL411" i="7" s="1"/>
  <c r="L414" i="7"/>
  <c r="AH414" i="7" s="1"/>
  <c r="Z414" i="7"/>
  <c r="AP414" i="7" s="1"/>
  <c r="S415" i="7"/>
  <c r="AL415" i="7" s="1"/>
  <c r="L416" i="7"/>
  <c r="AH416" i="7" s="1"/>
  <c r="G417" i="7"/>
  <c r="J417" i="7"/>
  <c r="AG417" i="7" s="1"/>
  <c r="N420" i="7"/>
  <c r="Q420" i="7"/>
  <c r="AK420" i="7" s="1"/>
  <c r="U421" i="7"/>
  <c r="X421" i="7"/>
  <c r="AO421" i="7" s="1"/>
  <c r="G423" i="7"/>
  <c r="J423" i="7"/>
  <c r="AG423" i="7" s="1"/>
  <c r="N424" i="7"/>
  <c r="Q424" i="7"/>
  <c r="AK424" i="7" s="1"/>
  <c r="U425" i="7"/>
  <c r="X425" i="7"/>
  <c r="AO425" i="7" s="1"/>
  <c r="G429" i="7"/>
  <c r="J429" i="7"/>
  <c r="AG429" i="7" s="1"/>
  <c r="N430" i="7"/>
  <c r="Q430" i="7"/>
  <c r="AK430" i="7" s="1"/>
  <c r="U431" i="7"/>
  <c r="X431" i="7"/>
  <c r="AO431" i="7" s="1"/>
  <c r="G435" i="7"/>
  <c r="J435" i="7"/>
  <c r="AG435" i="7" s="1"/>
  <c r="N436" i="7"/>
  <c r="Q436" i="7"/>
  <c r="AK436" i="7" s="1"/>
  <c r="U437" i="7"/>
  <c r="X437" i="7"/>
  <c r="AO437" i="7" s="1"/>
  <c r="G439" i="7"/>
  <c r="AG440" i="7"/>
  <c r="J439" i="7"/>
  <c r="AG439" i="7" s="1"/>
  <c r="N442" i="7"/>
  <c r="O442" i="7" s="1"/>
  <c r="AM442" i="7" s="1"/>
  <c r="Q442" i="7"/>
  <c r="AK442" i="7" s="1"/>
  <c r="U443" i="7"/>
  <c r="V443" i="7" s="1"/>
  <c r="AQ443" i="7" s="1"/>
  <c r="X443" i="7"/>
  <c r="AO443" i="7" s="1"/>
  <c r="G445" i="7"/>
  <c r="J445" i="7"/>
  <c r="AG445" i="7" s="1"/>
  <c r="N446" i="7"/>
  <c r="O446" i="7" s="1"/>
  <c r="AM446" i="7" s="1"/>
  <c r="Q446" i="7"/>
  <c r="AK446" i="7" s="1"/>
  <c r="U447" i="7"/>
  <c r="V447" i="7" s="1"/>
  <c r="AQ447" i="7" s="1"/>
  <c r="X447" i="7"/>
  <c r="AO447" i="7" s="1"/>
  <c r="G449" i="7"/>
  <c r="J449" i="7"/>
  <c r="AG449" i="7" s="1"/>
  <c r="N450" i="7"/>
  <c r="O450" i="7" s="1"/>
  <c r="AM450" i="7" s="1"/>
  <c r="Q450" i="7"/>
  <c r="AK450" i="7" s="1"/>
  <c r="U451" i="7"/>
  <c r="V451" i="7" s="1"/>
  <c r="AQ451" i="7" s="1"/>
  <c r="X451" i="7"/>
  <c r="AO451" i="7" s="1"/>
  <c r="N361" i="7"/>
  <c r="O361" i="7" s="1"/>
  <c r="Q361" i="7"/>
  <c r="G362" i="7"/>
  <c r="J362" i="7"/>
  <c r="AG362" i="7" s="1"/>
  <c r="U362" i="7"/>
  <c r="V362" i="7" s="1"/>
  <c r="AQ362" i="7" s="1"/>
  <c r="X362" i="7"/>
  <c r="AO362" i="7" s="1"/>
  <c r="N363" i="7"/>
  <c r="O363" i="7" s="1"/>
  <c r="AM363" i="7" s="1"/>
  <c r="Q363" i="7"/>
  <c r="AK363" i="7" s="1"/>
  <c r="G364" i="7"/>
  <c r="J364" i="7"/>
  <c r="AG364" i="7" s="1"/>
  <c r="U364" i="7"/>
  <c r="V364" i="7" s="1"/>
  <c r="AQ364" i="7" s="1"/>
  <c r="X364" i="7"/>
  <c r="AO364" i="7" s="1"/>
  <c r="N365" i="7"/>
  <c r="O365" i="7" s="1"/>
  <c r="AM365" i="7" s="1"/>
  <c r="Q365" i="7"/>
  <c r="AK365" i="7" s="1"/>
  <c r="G366" i="7"/>
  <c r="J366" i="7"/>
  <c r="AG366" i="7" s="1"/>
  <c r="U366" i="7"/>
  <c r="V366" i="7" s="1"/>
  <c r="AQ366" i="7" s="1"/>
  <c r="X366" i="7"/>
  <c r="AO366" i="7" s="1"/>
  <c r="Q369" i="7"/>
  <c r="N369" i="7"/>
  <c r="G370" i="7"/>
  <c r="J370" i="7"/>
  <c r="AG370" i="7" s="1"/>
  <c r="U370" i="7"/>
  <c r="V370" i="7" s="1"/>
  <c r="AQ370" i="7" s="1"/>
  <c r="X370" i="7"/>
  <c r="AO370" i="7" s="1"/>
  <c r="N371" i="7"/>
  <c r="O371" i="7" s="1"/>
  <c r="AM371" i="7" s="1"/>
  <c r="Q371" i="7"/>
  <c r="AK371" i="7" s="1"/>
  <c r="G372" i="7"/>
  <c r="J372" i="7"/>
  <c r="AG372" i="7" s="1"/>
  <c r="U372" i="7"/>
  <c r="V372" i="7" s="1"/>
  <c r="AQ372" i="7" s="1"/>
  <c r="X372" i="7"/>
  <c r="AO372" i="7" s="1"/>
  <c r="N373" i="7"/>
  <c r="O373" i="7" s="1"/>
  <c r="AM373" i="7" s="1"/>
  <c r="Q373" i="7"/>
  <c r="AK373" i="7" s="1"/>
  <c r="G374" i="7"/>
  <c r="J374" i="7"/>
  <c r="AG374" i="7" s="1"/>
  <c r="U374" i="7"/>
  <c r="V374" i="7" s="1"/>
  <c r="AQ374" i="7" s="1"/>
  <c r="X374" i="7"/>
  <c r="AO374" i="7" s="1"/>
  <c r="N377" i="7"/>
  <c r="O377" i="7" s="1"/>
  <c r="Q377" i="7"/>
  <c r="G378" i="7"/>
  <c r="J378" i="7"/>
  <c r="AG378" i="7" s="1"/>
  <c r="U378" i="7"/>
  <c r="V378" i="7" s="1"/>
  <c r="AQ378" i="7" s="1"/>
  <c r="X378" i="7"/>
  <c r="AO378" i="7" s="1"/>
  <c r="N379" i="7"/>
  <c r="O379" i="7" s="1"/>
  <c r="AM379" i="7" s="1"/>
  <c r="Q379" i="7"/>
  <c r="AK379" i="7" s="1"/>
  <c r="G380" i="7"/>
  <c r="J380" i="7"/>
  <c r="AG380" i="7" s="1"/>
  <c r="U380" i="7"/>
  <c r="V380" i="7" s="1"/>
  <c r="AQ380" i="7" s="1"/>
  <c r="X380" i="7"/>
  <c r="AO380" i="7" s="1"/>
  <c r="N381" i="7"/>
  <c r="O381" i="7" s="1"/>
  <c r="AM381" i="7" s="1"/>
  <c r="Q381" i="7"/>
  <c r="AK381" i="7" s="1"/>
  <c r="G382" i="7"/>
  <c r="J382" i="7"/>
  <c r="AG382" i="7" s="1"/>
  <c r="U382" i="7"/>
  <c r="V382" i="7" s="1"/>
  <c r="AQ382" i="7" s="1"/>
  <c r="X382" i="7"/>
  <c r="AO382" i="7" s="1"/>
  <c r="N386" i="7"/>
  <c r="O386" i="7" s="1"/>
  <c r="AM386" i="7" s="1"/>
  <c r="Q386" i="7"/>
  <c r="AK386" i="7" s="1"/>
  <c r="G387" i="7"/>
  <c r="J387" i="7"/>
  <c r="AG387" i="7" s="1"/>
  <c r="U387" i="7"/>
  <c r="V387" i="7" s="1"/>
  <c r="AQ387" i="7" s="1"/>
  <c r="X387" i="7"/>
  <c r="AO387" i="7" s="1"/>
  <c r="N388" i="7"/>
  <c r="O388" i="7" s="1"/>
  <c r="AM388" i="7" s="1"/>
  <c r="Q388" i="7"/>
  <c r="AK388" i="7" s="1"/>
  <c r="G389" i="7"/>
  <c r="J389" i="7"/>
  <c r="AG389" i="7" s="1"/>
  <c r="U389" i="7"/>
  <c r="V389" i="7" s="1"/>
  <c r="AQ389" i="7" s="1"/>
  <c r="X389" i="7"/>
  <c r="AO389" i="7" s="1"/>
  <c r="N390" i="7"/>
  <c r="O390" i="7" s="1"/>
  <c r="AM390" i="7" s="1"/>
  <c r="Q390" i="7"/>
  <c r="AK390" i="7" s="1"/>
  <c r="G391" i="7"/>
  <c r="J391" i="7"/>
  <c r="AG391" i="7" s="1"/>
  <c r="U391" i="7"/>
  <c r="V391" i="7" s="1"/>
  <c r="AQ391" i="7" s="1"/>
  <c r="X391" i="7"/>
  <c r="AO391" i="7" s="1"/>
  <c r="N392" i="7"/>
  <c r="O392" i="7" s="1"/>
  <c r="AM392" i="7" s="1"/>
  <c r="Q392" i="7"/>
  <c r="AK392" i="7" s="1"/>
  <c r="G393" i="7"/>
  <c r="J393" i="7"/>
  <c r="AG393" i="7" s="1"/>
  <c r="U393" i="7"/>
  <c r="V393" i="7" s="1"/>
  <c r="AQ393" i="7" s="1"/>
  <c r="X393" i="7"/>
  <c r="AO393" i="7" s="1"/>
  <c r="N394" i="7"/>
  <c r="O394" i="7" s="1"/>
  <c r="AM394" i="7" s="1"/>
  <c r="Q394" i="7"/>
  <c r="AK394" i="7" s="1"/>
  <c r="G397" i="7"/>
  <c r="J397" i="7"/>
  <c r="AG397" i="7" s="1"/>
  <c r="U397" i="7"/>
  <c r="V397" i="7" s="1"/>
  <c r="AQ397" i="7" s="1"/>
  <c r="X397" i="7"/>
  <c r="AO397" i="7" s="1"/>
  <c r="N398" i="7"/>
  <c r="O398" i="7" s="1"/>
  <c r="AM398" i="7" s="1"/>
  <c r="Q398" i="7"/>
  <c r="AK398" i="7" s="1"/>
  <c r="G399" i="7"/>
  <c r="J399" i="7"/>
  <c r="AG399" i="7" s="1"/>
  <c r="U399" i="7"/>
  <c r="V399" i="7" s="1"/>
  <c r="AQ399" i="7" s="1"/>
  <c r="X399" i="7"/>
  <c r="AO399" i="7" s="1"/>
  <c r="N400" i="7"/>
  <c r="O400" i="7" s="1"/>
  <c r="AM400" i="7" s="1"/>
  <c r="Q400" i="7"/>
  <c r="AK400" i="7" s="1"/>
  <c r="G401" i="7"/>
  <c r="J401" i="7"/>
  <c r="AG401" i="7" s="1"/>
  <c r="U401" i="7"/>
  <c r="V401" i="7" s="1"/>
  <c r="AQ401" i="7" s="1"/>
  <c r="X401" i="7"/>
  <c r="AO401" i="7" s="1"/>
  <c r="N402" i="7"/>
  <c r="O402" i="7" s="1"/>
  <c r="AM402" i="7" s="1"/>
  <c r="Q402" i="7"/>
  <c r="AK402" i="7" s="1"/>
  <c r="G403" i="7"/>
  <c r="J403" i="7"/>
  <c r="AG403" i="7" s="1"/>
  <c r="U403" i="7"/>
  <c r="V403" i="7" s="1"/>
  <c r="AQ403" i="7" s="1"/>
  <c r="X403" i="7"/>
  <c r="AO403" i="7" s="1"/>
  <c r="N404" i="7"/>
  <c r="O404" i="7" s="1"/>
  <c r="AM404" i="7" s="1"/>
  <c r="Q404" i="7"/>
  <c r="AK404" i="7" s="1"/>
  <c r="G407" i="7"/>
  <c r="J407" i="7"/>
  <c r="AG407" i="7" s="1"/>
  <c r="U407" i="7"/>
  <c r="V407" i="7" s="1"/>
  <c r="AQ407" i="7" s="1"/>
  <c r="X407" i="7"/>
  <c r="AO407" i="7" s="1"/>
  <c r="N408" i="7"/>
  <c r="O408" i="7" s="1"/>
  <c r="AM408" i="7" s="1"/>
  <c r="Q408" i="7"/>
  <c r="AK408" i="7" s="1"/>
  <c r="G409" i="7"/>
  <c r="J409" i="7"/>
  <c r="AG409" i="7" s="1"/>
  <c r="U409" i="7"/>
  <c r="V409" i="7" s="1"/>
  <c r="AQ409" i="7" s="1"/>
  <c r="X409" i="7"/>
  <c r="AO409" i="7" s="1"/>
  <c r="N410" i="7"/>
  <c r="O410" i="7" s="1"/>
  <c r="AM410" i="7" s="1"/>
  <c r="Q410" i="7"/>
  <c r="AK410" i="7" s="1"/>
  <c r="G411" i="7"/>
  <c r="J411" i="7"/>
  <c r="AG411" i="7" s="1"/>
  <c r="U411" i="7"/>
  <c r="V411" i="7" s="1"/>
  <c r="AQ411" i="7" s="1"/>
  <c r="X411" i="7"/>
  <c r="AO411" i="7" s="1"/>
  <c r="N414" i="7"/>
  <c r="O414" i="7" s="1"/>
  <c r="AM414" i="7" s="1"/>
  <c r="Q414" i="7"/>
  <c r="AK414" i="7" s="1"/>
  <c r="G415" i="7"/>
  <c r="J415" i="7"/>
  <c r="AG415" i="7" s="1"/>
  <c r="U415" i="7"/>
  <c r="V415" i="7" s="1"/>
  <c r="AQ415" i="7" s="1"/>
  <c r="X415" i="7"/>
  <c r="AO415" i="7" s="1"/>
  <c r="N416" i="7"/>
  <c r="O416" i="7" s="1"/>
  <c r="AM416" i="7" s="1"/>
  <c r="Q416" i="7"/>
  <c r="AK416" i="7" s="1"/>
  <c r="N417" i="7"/>
  <c r="O417" i="7" s="1"/>
  <c r="AM417" i="7" s="1"/>
  <c r="Q417" i="7"/>
  <c r="AK417" i="7" s="1"/>
  <c r="U420" i="7"/>
  <c r="V420" i="7" s="1"/>
  <c r="AQ420" i="7" s="1"/>
  <c r="X420" i="7"/>
  <c r="AO420" i="7" s="1"/>
  <c r="G422" i="7"/>
  <c r="J422" i="7"/>
  <c r="AG422" i="7" s="1"/>
  <c r="N423" i="7"/>
  <c r="O423" i="7" s="1"/>
  <c r="AM423" i="7" s="1"/>
  <c r="Q423" i="7"/>
  <c r="AK423" i="7" s="1"/>
  <c r="U424" i="7"/>
  <c r="V424" i="7" s="1"/>
  <c r="AQ424" i="7" s="1"/>
  <c r="X424" i="7"/>
  <c r="AO424" i="7" s="1"/>
  <c r="G428" i="7"/>
  <c r="AG433" i="7"/>
  <c r="J428" i="7"/>
  <c r="AG428" i="7" s="1"/>
  <c r="N429" i="7"/>
  <c r="Q429" i="7"/>
  <c r="AK429" i="7" s="1"/>
  <c r="U430" i="7"/>
  <c r="X430" i="7"/>
  <c r="AO430" i="7" s="1"/>
  <c r="G432" i="7"/>
  <c r="J432" i="7"/>
  <c r="AG432" i="7" s="1"/>
  <c r="N435" i="7"/>
  <c r="Q435" i="7"/>
  <c r="AK435" i="7" s="1"/>
  <c r="U436" i="7"/>
  <c r="X436" i="7"/>
  <c r="AO436" i="7" s="1"/>
  <c r="G438" i="7"/>
  <c r="J438" i="7"/>
  <c r="AG438" i="7" s="1"/>
  <c r="N439" i="7"/>
  <c r="Q439" i="7"/>
  <c r="U442" i="7"/>
  <c r="X442" i="7"/>
  <c r="AO442" i="7" s="1"/>
  <c r="G444" i="7"/>
  <c r="J444" i="7"/>
  <c r="AG444" i="7" s="1"/>
  <c r="N445" i="7"/>
  <c r="Q445" i="7"/>
  <c r="AK445" i="7" s="1"/>
  <c r="U446" i="7"/>
  <c r="X446" i="7"/>
  <c r="AO446" i="7" s="1"/>
  <c r="G448" i="7"/>
  <c r="J448" i="7"/>
  <c r="AG448" i="7" s="1"/>
  <c r="N449" i="7"/>
  <c r="Q449" i="7"/>
  <c r="AK449" i="7" s="1"/>
  <c r="U450" i="7"/>
  <c r="X450" i="7"/>
  <c r="AO450" i="7" s="1"/>
  <c r="G452" i="7"/>
  <c r="J452" i="7"/>
  <c r="AG452" i="7" s="1"/>
  <c r="Z416" i="7"/>
  <c r="AP416" i="7" s="1"/>
  <c r="S417" i="7"/>
  <c r="AL417" i="7" s="1"/>
  <c r="L420" i="7"/>
  <c r="AH420" i="7" s="1"/>
  <c r="Z420" i="7"/>
  <c r="AP420" i="7" s="1"/>
  <c r="S421" i="7"/>
  <c r="AL421" i="7" s="1"/>
  <c r="L422" i="7"/>
  <c r="AH422" i="7" s="1"/>
  <c r="Z422" i="7"/>
  <c r="AP422" i="7" s="1"/>
  <c r="S423" i="7"/>
  <c r="AL423" i="7" s="1"/>
  <c r="L424" i="7"/>
  <c r="AH424" i="7" s="1"/>
  <c r="Z424" i="7"/>
  <c r="AP424" i="7" s="1"/>
  <c r="S425" i="7"/>
  <c r="AL425" i="7" s="1"/>
  <c r="AH433" i="7"/>
  <c r="L428" i="7"/>
  <c r="AH428" i="7" s="1"/>
  <c r="AP433" i="7"/>
  <c r="Z428" i="7"/>
  <c r="AP428" i="7" s="1"/>
  <c r="S429" i="7"/>
  <c r="AL429" i="7" s="1"/>
  <c r="L430" i="7"/>
  <c r="AH430" i="7" s="1"/>
  <c r="Z430" i="7"/>
  <c r="AP430" i="7" s="1"/>
  <c r="S431" i="7"/>
  <c r="AL431" i="7" s="1"/>
  <c r="L432" i="7"/>
  <c r="AH432" i="7" s="1"/>
  <c r="Z432" i="7"/>
  <c r="AP432" i="7" s="1"/>
  <c r="S435" i="7"/>
  <c r="AL435" i="7" s="1"/>
  <c r="L436" i="7"/>
  <c r="AH436" i="7" s="1"/>
  <c r="Z436" i="7"/>
  <c r="AP436" i="7" s="1"/>
  <c r="S437" i="7"/>
  <c r="AL437" i="7" s="1"/>
  <c r="L438" i="7"/>
  <c r="AH438" i="7" s="1"/>
  <c r="Z438" i="7"/>
  <c r="AP438" i="7" s="1"/>
  <c r="S439" i="7"/>
  <c r="L442" i="7"/>
  <c r="AH442" i="7" s="1"/>
  <c r="Z442" i="7"/>
  <c r="AP442" i="7" s="1"/>
  <c r="S443" i="7"/>
  <c r="AL443" i="7" s="1"/>
  <c r="L444" i="7"/>
  <c r="AH444" i="7" s="1"/>
  <c r="Z444" i="7"/>
  <c r="AP444" i="7" s="1"/>
  <c r="S445" i="7"/>
  <c r="AL445" i="7" s="1"/>
  <c r="L446" i="7"/>
  <c r="AH446" i="7" s="1"/>
  <c r="Z446" i="7"/>
  <c r="AP446" i="7" s="1"/>
  <c r="S447" i="7"/>
  <c r="AL447" i="7" s="1"/>
  <c r="L448" i="7"/>
  <c r="AH448" i="7" s="1"/>
  <c r="Z448" i="7"/>
  <c r="AP448" i="7" s="1"/>
  <c r="S449" i="7"/>
  <c r="AL449" i="7" s="1"/>
  <c r="L450" i="7"/>
  <c r="AH450" i="7" s="1"/>
  <c r="Z450" i="7"/>
  <c r="AP450" i="7" s="1"/>
  <c r="S451" i="7"/>
  <c r="AL451" i="7" s="1"/>
  <c r="L452" i="7"/>
  <c r="AH452" i="7" s="1"/>
  <c r="Z452" i="7"/>
  <c r="AP452" i="7" s="1"/>
  <c r="AL343" i="9" l="1"/>
  <c r="AL367" i="9"/>
  <c r="AL351" i="9"/>
  <c r="AL359" i="9"/>
  <c r="AL335" i="9"/>
  <c r="AL327" i="9"/>
  <c r="AL311" i="9"/>
  <c r="AL296" i="9"/>
  <c r="O325" i="9"/>
  <c r="O324" i="9"/>
  <c r="AM324" i="9" s="1"/>
  <c r="V322" i="9"/>
  <c r="AQ322" i="9" s="1"/>
  <c r="O294" i="9"/>
  <c r="AM294" i="9" s="1"/>
  <c r="O293" i="9"/>
  <c r="AM293" i="9" s="1"/>
  <c r="O292" i="9"/>
  <c r="AM292" i="9" s="1"/>
  <c r="O291" i="9"/>
  <c r="AM291" i="9" s="1"/>
  <c r="O290" i="9"/>
  <c r="AM290" i="9" s="1"/>
  <c r="O286" i="9"/>
  <c r="AM286" i="9" s="1"/>
  <c r="O285" i="9"/>
  <c r="AM285" i="9" s="1"/>
  <c r="O284" i="9"/>
  <c r="AM284" i="9" s="1"/>
  <c r="O283" i="9"/>
  <c r="AM283" i="9" s="1"/>
  <c r="O282" i="9"/>
  <c r="AM282" i="9" s="1"/>
  <c r="O281" i="9"/>
  <c r="AM281" i="9" s="1"/>
  <c r="O280" i="9"/>
  <c r="AM280" i="9" s="1"/>
  <c r="O279" i="9"/>
  <c r="AM279" i="9" s="1"/>
  <c r="O278" i="9"/>
  <c r="AM278" i="9" s="1"/>
  <c r="O277" i="9"/>
  <c r="AM277" i="9" s="1"/>
  <c r="O276" i="9"/>
  <c r="AM276" i="9" s="1"/>
  <c r="O275" i="9"/>
  <c r="AM275" i="9" s="1"/>
  <c r="O274" i="9"/>
  <c r="AM274" i="9" s="1"/>
  <c r="O273" i="9"/>
  <c r="AM273" i="9" s="1"/>
  <c r="V269" i="9"/>
  <c r="AQ269" i="9" s="1"/>
  <c r="V268" i="9"/>
  <c r="AQ268" i="9" s="1"/>
  <c r="V267" i="9"/>
  <c r="AQ267" i="9" s="1"/>
  <c r="V266" i="9"/>
  <c r="AQ266" i="9" s="1"/>
  <c r="V265" i="9"/>
  <c r="AQ265" i="9" s="1"/>
  <c r="V264" i="9"/>
  <c r="AQ264" i="9" s="1"/>
  <c r="O260" i="9"/>
  <c r="AM260" i="9" s="1"/>
  <c r="O259" i="9"/>
  <c r="AM259" i="9" s="1"/>
  <c r="O258" i="9"/>
  <c r="AM258" i="9" s="1"/>
  <c r="O257" i="9"/>
  <c r="AM257" i="9" s="1"/>
  <c r="O256" i="9"/>
  <c r="AM256" i="9" s="1"/>
  <c r="O255" i="9"/>
  <c r="AM255" i="9" s="1"/>
  <c r="O254" i="9"/>
  <c r="AM254" i="9" s="1"/>
  <c r="O253" i="9"/>
  <c r="AM253" i="9" s="1"/>
  <c r="O252" i="9"/>
  <c r="AM252" i="9" s="1"/>
  <c r="V248" i="9"/>
  <c r="AQ248" i="9" s="1"/>
  <c r="V247" i="9"/>
  <c r="AQ247" i="9" s="1"/>
  <c r="V246" i="9"/>
  <c r="AQ246" i="9" s="1"/>
  <c r="O244" i="9"/>
  <c r="AM244" i="9" s="1"/>
  <c r="O230" i="9"/>
  <c r="AM230" i="9" s="1"/>
  <c r="O228" i="9"/>
  <c r="AM228" i="9" s="1"/>
  <c r="O226" i="9"/>
  <c r="AM226" i="9" s="1"/>
  <c r="O224" i="9"/>
  <c r="AM224" i="9" s="1"/>
  <c r="O222" i="9"/>
  <c r="AM222" i="9" s="1"/>
  <c r="O217" i="9"/>
  <c r="AM217" i="9" s="1"/>
  <c r="O215" i="9"/>
  <c r="AM215" i="9" s="1"/>
  <c r="V323" i="9"/>
  <c r="AQ323" i="9" s="1"/>
  <c r="O305" i="9"/>
  <c r="AM305" i="9" s="1"/>
  <c r="V294" i="9"/>
  <c r="AQ294" i="9" s="1"/>
  <c r="V293" i="9"/>
  <c r="AQ293" i="9" s="1"/>
  <c r="V292" i="9"/>
  <c r="AQ292" i="9" s="1"/>
  <c r="V291" i="9"/>
  <c r="AQ291" i="9" s="1"/>
  <c r="V286" i="9"/>
  <c r="AQ286" i="9" s="1"/>
  <c r="V285" i="9"/>
  <c r="AQ285" i="9" s="1"/>
  <c r="V284" i="9"/>
  <c r="AQ284" i="9" s="1"/>
  <c r="V283" i="9"/>
  <c r="AQ283" i="9" s="1"/>
  <c r="V282" i="9"/>
  <c r="AQ282" i="9" s="1"/>
  <c r="V281" i="9"/>
  <c r="AQ281" i="9" s="1"/>
  <c r="V280" i="9"/>
  <c r="AQ280" i="9" s="1"/>
  <c r="V279" i="9"/>
  <c r="AQ279" i="9" s="1"/>
  <c r="V278" i="9"/>
  <c r="AQ278" i="9" s="1"/>
  <c r="V277" i="9"/>
  <c r="AQ277" i="9" s="1"/>
  <c r="V276" i="9"/>
  <c r="AQ276" i="9" s="1"/>
  <c r="V275" i="9"/>
  <c r="AQ275" i="9" s="1"/>
  <c r="V274" i="9"/>
  <c r="AQ274" i="9" s="1"/>
  <c r="V273" i="9"/>
  <c r="AQ273" i="9" s="1"/>
  <c r="O269" i="9"/>
  <c r="AM269" i="9" s="1"/>
  <c r="O268" i="9"/>
  <c r="AM268" i="9" s="1"/>
  <c r="O267" i="9"/>
  <c r="AM267" i="9" s="1"/>
  <c r="O266" i="9"/>
  <c r="AM266" i="9" s="1"/>
  <c r="O265" i="9"/>
  <c r="AM265" i="9" s="1"/>
  <c r="O264" i="9"/>
  <c r="AM264" i="9" s="1"/>
  <c r="V260" i="9"/>
  <c r="AQ260" i="9" s="1"/>
  <c r="V259" i="9"/>
  <c r="AQ259" i="9" s="1"/>
  <c r="V258" i="9"/>
  <c r="AQ258" i="9" s="1"/>
  <c r="V257" i="9"/>
  <c r="AQ257" i="9" s="1"/>
  <c r="V256" i="9"/>
  <c r="AQ256" i="9" s="1"/>
  <c r="V255" i="9"/>
  <c r="AQ255" i="9" s="1"/>
  <c r="V254" i="9"/>
  <c r="AQ254" i="9" s="1"/>
  <c r="V253" i="9"/>
  <c r="AQ253" i="9" s="1"/>
  <c r="V252" i="9"/>
  <c r="AQ252" i="9" s="1"/>
  <c r="O248" i="9"/>
  <c r="AM248" i="9" s="1"/>
  <c r="O247" i="9"/>
  <c r="AM247" i="9" s="1"/>
  <c r="V244" i="9"/>
  <c r="AQ244" i="9" s="1"/>
  <c r="O238" i="9"/>
  <c r="AM238" i="9" s="1"/>
  <c r="O236" i="9"/>
  <c r="AM236" i="9" s="1"/>
  <c r="V231" i="9"/>
  <c r="AQ231" i="9" s="1"/>
  <c r="V230" i="9"/>
  <c r="AQ230" i="9" s="1"/>
  <c r="V229" i="9"/>
  <c r="AQ229" i="9" s="1"/>
  <c r="V228" i="9"/>
  <c r="AQ228" i="9" s="1"/>
  <c r="V227" i="9"/>
  <c r="AQ227" i="9" s="1"/>
  <c r="V226" i="9"/>
  <c r="AQ226" i="9" s="1"/>
  <c r="V225" i="9"/>
  <c r="AQ225" i="9" s="1"/>
  <c r="V224" i="9"/>
  <c r="AQ224" i="9" s="1"/>
  <c r="V223" i="9"/>
  <c r="AQ223" i="9" s="1"/>
  <c r="V222" i="9"/>
  <c r="AQ222" i="9" s="1"/>
  <c r="V217" i="9"/>
  <c r="AQ217" i="9" s="1"/>
  <c r="V216" i="9"/>
  <c r="AQ216" i="9" s="1"/>
  <c r="V215" i="9"/>
  <c r="AQ215" i="9" s="1"/>
  <c r="O211" i="9"/>
  <c r="AM211" i="9" s="1"/>
  <c r="O209" i="9"/>
  <c r="AM209" i="9" s="1"/>
  <c r="V205" i="9"/>
  <c r="AQ205" i="9" s="1"/>
  <c r="V204" i="9"/>
  <c r="AQ204" i="9" s="1"/>
  <c r="V203" i="9"/>
  <c r="AQ203" i="9" s="1"/>
  <c r="V202" i="9"/>
  <c r="AQ202" i="9" s="1"/>
  <c r="O197" i="9"/>
  <c r="AM197" i="9" s="1"/>
  <c r="O195" i="9"/>
  <c r="AM195" i="9" s="1"/>
  <c r="V190" i="9"/>
  <c r="AQ190" i="9" s="1"/>
  <c r="V189" i="9"/>
  <c r="AQ189" i="9" s="1"/>
  <c r="V188" i="9"/>
  <c r="AQ188" i="9" s="1"/>
  <c r="V187" i="9"/>
  <c r="AQ187" i="9" s="1"/>
  <c r="V186" i="9"/>
  <c r="AQ186" i="9" s="1"/>
  <c r="V185" i="9"/>
  <c r="AQ185" i="9" s="1"/>
  <c r="V184" i="9"/>
  <c r="AQ184" i="9" s="1"/>
  <c r="V183" i="9"/>
  <c r="AQ183" i="9" s="1"/>
  <c r="V182" i="9"/>
  <c r="AQ182" i="9" s="1"/>
  <c r="V177" i="9"/>
  <c r="AQ177" i="9" s="1"/>
  <c r="V176" i="9"/>
  <c r="AQ176" i="9" s="1"/>
  <c r="V175" i="9"/>
  <c r="AQ175" i="9" s="1"/>
  <c r="O171" i="9"/>
  <c r="AM171" i="9" s="1"/>
  <c r="O170" i="9"/>
  <c r="AM170" i="9" s="1"/>
  <c r="O169" i="9"/>
  <c r="AM169" i="9" s="1"/>
  <c r="O168" i="9"/>
  <c r="AM168" i="9" s="1"/>
  <c r="O164" i="9"/>
  <c r="AM164" i="9" s="1"/>
  <c r="O163" i="9"/>
  <c r="AM163" i="9" s="1"/>
  <c r="O162" i="9"/>
  <c r="AM162" i="9" s="1"/>
  <c r="O161" i="9"/>
  <c r="AM161" i="9" s="1"/>
  <c r="O160" i="9"/>
  <c r="AM160" i="9" s="1"/>
  <c r="O159" i="9"/>
  <c r="AM159" i="9" s="1"/>
  <c r="O158" i="9"/>
  <c r="AM158" i="9" s="1"/>
  <c r="O157" i="9"/>
  <c r="AM157" i="9" s="1"/>
  <c r="O156" i="9"/>
  <c r="AM156" i="9" s="1"/>
  <c r="O155" i="9"/>
  <c r="AM155" i="9" s="1"/>
  <c r="O154" i="9"/>
  <c r="AM154" i="9" s="1"/>
  <c r="O153" i="9"/>
  <c r="AM153" i="9" s="1"/>
  <c r="V147" i="9"/>
  <c r="AQ147" i="9" s="1"/>
  <c r="V146" i="9"/>
  <c r="AQ146" i="9" s="1"/>
  <c r="V145" i="9"/>
  <c r="AQ145" i="9" s="1"/>
  <c r="O204" i="9"/>
  <c r="AM204" i="9" s="1"/>
  <c r="O202" i="9"/>
  <c r="AM202" i="9" s="1"/>
  <c r="V198" i="9"/>
  <c r="AQ198" i="9" s="1"/>
  <c r="V197" i="9"/>
  <c r="AQ197" i="9" s="1"/>
  <c r="V196" i="9"/>
  <c r="AQ196" i="9" s="1"/>
  <c r="V195" i="9"/>
  <c r="AQ195" i="9" s="1"/>
  <c r="O189" i="9"/>
  <c r="AM189" i="9" s="1"/>
  <c r="O187" i="9"/>
  <c r="AM187" i="9" s="1"/>
  <c r="V178" i="9"/>
  <c r="AQ178" i="9" s="1"/>
  <c r="V171" i="9"/>
  <c r="AQ171" i="9" s="1"/>
  <c r="V170" i="9"/>
  <c r="AQ170" i="9" s="1"/>
  <c r="V169" i="9"/>
  <c r="AQ169" i="9" s="1"/>
  <c r="V168" i="9"/>
  <c r="AQ168" i="9" s="1"/>
  <c r="V164" i="9"/>
  <c r="AQ164" i="9" s="1"/>
  <c r="V163" i="9"/>
  <c r="AQ163" i="9" s="1"/>
  <c r="V162" i="9"/>
  <c r="AQ162" i="9" s="1"/>
  <c r="V161" i="9"/>
  <c r="AQ161" i="9" s="1"/>
  <c r="V160" i="9"/>
  <c r="AQ160" i="9" s="1"/>
  <c r="V159" i="9"/>
  <c r="AQ159" i="9" s="1"/>
  <c r="V158" i="9"/>
  <c r="AQ158" i="9" s="1"/>
  <c r="V157" i="9"/>
  <c r="AQ157" i="9" s="1"/>
  <c r="V156" i="9"/>
  <c r="AQ156" i="9" s="1"/>
  <c r="V155" i="9"/>
  <c r="AQ155" i="9" s="1"/>
  <c r="V154" i="9"/>
  <c r="AQ154" i="9" s="1"/>
  <c r="V153" i="9"/>
  <c r="AQ153" i="9" s="1"/>
  <c r="V114" i="9"/>
  <c r="AQ114" i="9" s="1"/>
  <c r="V113" i="9"/>
  <c r="AQ113" i="9" s="1"/>
  <c r="V112" i="9"/>
  <c r="AQ112" i="9" s="1"/>
  <c r="O43" i="9"/>
  <c r="AM43" i="9" s="1"/>
  <c r="O42" i="9"/>
  <c r="AM42" i="9" s="1"/>
  <c r="O41" i="9"/>
  <c r="AM41" i="9" s="1"/>
  <c r="O40" i="9"/>
  <c r="AM40" i="9" s="1"/>
  <c r="O39" i="9"/>
  <c r="AM39" i="9" s="1"/>
  <c r="O38" i="9"/>
  <c r="AM38" i="9" s="1"/>
  <c r="V34" i="9"/>
  <c r="AQ34" i="9" s="1"/>
  <c r="V33" i="9"/>
  <c r="AQ33" i="9" s="1"/>
  <c r="V32" i="9"/>
  <c r="AQ32" i="9" s="1"/>
  <c r="V31" i="9"/>
  <c r="AQ31" i="9" s="1"/>
  <c r="V30" i="9"/>
  <c r="AQ30" i="9" s="1"/>
  <c r="V26" i="9"/>
  <c r="AQ26" i="9" s="1"/>
  <c r="V25" i="9"/>
  <c r="AQ25" i="9" s="1"/>
  <c r="V24" i="9"/>
  <c r="AQ24" i="9" s="1"/>
  <c r="V23" i="9"/>
  <c r="AQ23" i="9" s="1"/>
  <c r="V17" i="9"/>
  <c r="AQ17" i="9" s="1"/>
  <c r="O15" i="9"/>
  <c r="AM15" i="9" s="1"/>
  <c r="O124" i="9"/>
  <c r="AM124" i="9" s="1"/>
  <c r="O114" i="9"/>
  <c r="AM114" i="9" s="1"/>
  <c r="O113" i="9"/>
  <c r="AM113" i="9" s="1"/>
  <c r="O112" i="9"/>
  <c r="AM112" i="9" s="1"/>
  <c r="V99" i="9"/>
  <c r="AQ99" i="9" s="1"/>
  <c r="V98" i="9"/>
  <c r="AQ98" i="9" s="1"/>
  <c r="V97" i="9"/>
  <c r="AQ97" i="9" s="1"/>
  <c r="V96" i="9"/>
  <c r="AQ96" i="9" s="1"/>
  <c r="V95" i="9"/>
  <c r="AQ95" i="9" s="1"/>
  <c r="V94" i="9"/>
  <c r="AQ94" i="9" s="1"/>
  <c r="V93" i="9"/>
  <c r="AQ93" i="9" s="1"/>
  <c r="V92" i="9"/>
  <c r="AQ92" i="9" s="1"/>
  <c r="V88" i="9"/>
  <c r="AQ88" i="9" s="1"/>
  <c r="V87" i="9"/>
  <c r="AQ87" i="9" s="1"/>
  <c r="V86" i="9"/>
  <c r="AQ86" i="9" s="1"/>
  <c r="V85" i="9"/>
  <c r="AQ85" i="9" s="1"/>
  <c r="V84" i="9"/>
  <c r="AQ84" i="9" s="1"/>
  <c r="V83" i="9"/>
  <c r="AQ83" i="9" s="1"/>
  <c r="V82" i="9"/>
  <c r="AQ82" i="9" s="1"/>
  <c r="V81" i="9"/>
  <c r="AQ81" i="9" s="1"/>
  <c r="V80" i="9"/>
  <c r="AQ80" i="9" s="1"/>
  <c r="V79" i="9"/>
  <c r="AQ79" i="9" s="1"/>
  <c r="V78" i="9"/>
  <c r="AQ78" i="9" s="1"/>
  <c r="V43" i="9"/>
  <c r="AQ43" i="9" s="1"/>
  <c r="V42" i="9"/>
  <c r="AQ42" i="9" s="1"/>
  <c r="V41" i="9"/>
  <c r="AQ41" i="9" s="1"/>
  <c r="V40" i="9"/>
  <c r="AQ40" i="9" s="1"/>
  <c r="V39" i="9"/>
  <c r="AQ39" i="9" s="1"/>
  <c r="V38" i="9"/>
  <c r="AQ38" i="9" s="1"/>
  <c r="V18" i="9"/>
  <c r="AQ18" i="9" s="1"/>
  <c r="V15" i="9"/>
  <c r="AQ15" i="9" s="1"/>
  <c r="V16" i="9"/>
  <c r="AQ16" i="9" s="1"/>
  <c r="V106" i="9"/>
  <c r="AQ106" i="9" s="1"/>
  <c r="V105" i="9"/>
  <c r="AQ105" i="9" s="1"/>
  <c r="V104" i="9"/>
  <c r="AQ104" i="9" s="1"/>
  <c r="AB452" i="9"/>
  <c r="H452" i="9"/>
  <c r="AI452" i="9" s="1"/>
  <c r="AB451" i="9"/>
  <c r="H451" i="9"/>
  <c r="AI451" i="9" s="1"/>
  <c r="AB450" i="9"/>
  <c r="H450" i="9"/>
  <c r="AI450" i="9" s="1"/>
  <c r="AB449" i="9"/>
  <c r="H449" i="9"/>
  <c r="AI449" i="9" s="1"/>
  <c r="AB448" i="9"/>
  <c r="H448" i="9"/>
  <c r="AI448" i="9" s="1"/>
  <c r="AB447" i="9"/>
  <c r="H447" i="9"/>
  <c r="AI447" i="9" s="1"/>
  <c r="H446" i="9"/>
  <c r="AI446" i="9" s="1"/>
  <c r="AB446" i="9"/>
  <c r="AB445" i="9"/>
  <c r="H445" i="9"/>
  <c r="AI445" i="9" s="1"/>
  <c r="AB444" i="9"/>
  <c r="H444" i="9"/>
  <c r="AI444" i="9" s="1"/>
  <c r="H443" i="9"/>
  <c r="AI443" i="9" s="1"/>
  <c r="AB443" i="9"/>
  <c r="AB442" i="9"/>
  <c r="H442" i="9"/>
  <c r="AI442" i="9" s="1"/>
  <c r="AK439" i="9"/>
  <c r="AK440" i="9"/>
  <c r="AM439" i="9"/>
  <c r="AM440" i="9"/>
  <c r="AB436" i="9"/>
  <c r="H436" i="9"/>
  <c r="AI436" i="9" s="1"/>
  <c r="AQ440" i="9"/>
  <c r="V435" i="9"/>
  <c r="AQ435" i="9" s="1"/>
  <c r="AB435" i="9"/>
  <c r="H435" i="9"/>
  <c r="AI435" i="9" s="1"/>
  <c r="AB439" i="9"/>
  <c r="H439" i="9"/>
  <c r="AI439" i="9" s="1"/>
  <c r="AI440" i="9"/>
  <c r="AB438" i="9"/>
  <c r="H438" i="9"/>
  <c r="AI438" i="9" s="1"/>
  <c r="AB437" i="9"/>
  <c r="H437" i="9"/>
  <c r="AI437" i="9" s="1"/>
  <c r="AB432" i="9"/>
  <c r="H432" i="9"/>
  <c r="AI432" i="9" s="1"/>
  <c r="H431" i="9"/>
  <c r="AI431" i="9" s="1"/>
  <c r="AB431" i="9"/>
  <c r="AK428" i="9"/>
  <c r="AK433" i="9"/>
  <c r="AM428" i="9"/>
  <c r="AM433" i="9"/>
  <c r="AB425" i="9"/>
  <c r="H425" i="9"/>
  <c r="AI425" i="9" s="1"/>
  <c r="AB424" i="9"/>
  <c r="H424" i="9"/>
  <c r="AI424" i="9" s="1"/>
  <c r="AB423" i="9"/>
  <c r="H423" i="9"/>
  <c r="AI423" i="9" s="1"/>
  <c r="AB422" i="9"/>
  <c r="H422" i="9"/>
  <c r="AI422" i="9" s="1"/>
  <c r="AB421" i="9"/>
  <c r="H421" i="9"/>
  <c r="AI421" i="9" s="1"/>
  <c r="AB420" i="9"/>
  <c r="H420" i="9"/>
  <c r="AI420" i="9" s="1"/>
  <c r="H417" i="9"/>
  <c r="AI417" i="9" s="1"/>
  <c r="AB417" i="9"/>
  <c r="H416" i="9"/>
  <c r="AI416" i="9" s="1"/>
  <c r="AB416" i="9"/>
  <c r="AB415" i="9"/>
  <c r="H415" i="9"/>
  <c r="AI415" i="9" s="1"/>
  <c r="H414" i="9"/>
  <c r="AI414" i="9" s="1"/>
  <c r="AB414" i="9"/>
  <c r="H404" i="9"/>
  <c r="AI404" i="9" s="1"/>
  <c r="AB404" i="9"/>
  <c r="AB403" i="9"/>
  <c r="H403" i="9"/>
  <c r="AI403" i="9" s="1"/>
  <c r="AB430" i="9"/>
  <c r="H430" i="9"/>
  <c r="AI430" i="9" s="1"/>
  <c r="AB429" i="9"/>
  <c r="H429" i="9"/>
  <c r="AI429" i="9" s="1"/>
  <c r="AQ433" i="9"/>
  <c r="V428" i="9"/>
  <c r="AQ428" i="9" s="1"/>
  <c r="AB428" i="9"/>
  <c r="AI433" i="9"/>
  <c r="H428" i="9"/>
  <c r="AI428" i="9" s="1"/>
  <c r="H411" i="9"/>
  <c r="AI411" i="9" s="1"/>
  <c r="AB411" i="9"/>
  <c r="AB410" i="9"/>
  <c r="H410" i="9"/>
  <c r="AI410" i="9" s="1"/>
  <c r="H409" i="9"/>
  <c r="AI409" i="9" s="1"/>
  <c r="AB409" i="9"/>
  <c r="AB408" i="9"/>
  <c r="H408" i="9"/>
  <c r="AI408" i="9" s="1"/>
  <c r="H407" i="9"/>
  <c r="AI407" i="9" s="1"/>
  <c r="AB407" i="9"/>
  <c r="H402" i="9"/>
  <c r="AI402" i="9" s="1"/>
  <c r="AB402" i="9"/>
  <c r="AB401" i="9"/>
  <c r="H401" i="9"/>
  <c r="AI401" i="9" s="1"/>
  <c r="H400" i="9"/>
  <c r="AI400" i="9" s="1"/>
  <c r="AB400" i="9"/>
  <c r="AB399" i="9"/>
  <c r="H399" i="9"/>
  <c r="AI399" i="9" s="1"/>
  <c r="AB394" i="9"/>
  <c r="H394" i="9"/>
  <c r="AI394" i="9" s="1"/>
  <c r="AB393" i="9"/>
  <c r="H393" i="9"/>
  <c r="AI393" i="9" s="1"/>
  <c r="H392" i="9"/>
  <c r="AI392" i="9" s="1"/>
  <c r="AB392" i="9"/>
  <c r="AB391" i="9"/>
  <c r="H391" i="9"/>
  <c r="AI391" i="9" s="1"/>
  <c r="AB390" i="9"/>
  <c r="H390" i="9"/>
  <c r="AI390" i="9" s="1"/>
  <c r="AB389" i="9"/>
  <c r="H389" i="9"/>
  <c r="AI389" i="9" s="1"/>
  <c r="H388" i="9"/>
  <c r="AI388" i="9" s="1"/>
  <c r="AB388" i="9"/>
  <c r="AB387" i="9"/>
  <c r="H387" i="9"/>
  <c r="AI387" i="9" s="1"/>
  <c r="AB386" i="9"/>
  <c r="H386" i="9"/>
  <c r="AI386" i="9" s="1"/>
  <c r="AB382" i="9"/>
  <c r="H382" i="9"/>
  <c r="AI382" i="9" s="1"/>
  <c r="H381" i="9"/>
  <c r="AI381" i="9" s="1"/>
  <c r="AB381" i="9"/>
  <c r="AB380" i="9"/>
  <c r="H380" i="9"/>
  <c r="AI380" i="9" s="1"/>
  <c r="AB379" i="9"/>
  <c r="H379" i="9"/>
  <c r="AI379" i="9" s="1"/>
  <c r="AB378" i="9"/>
  <c r="H378" i="9"/>
  <c r="AI378" i="9" s="1"/>
  <c r="AQ383" i="9"/>
  <c r="V377" i="9"/>
  <c r="AQ377" i="9" s="1"/>
  <c r="H377" i="9"/>
  <c r="AI377" i="9" s="1"/>
  <c r="AB377" i="9"/>
  <c r="AI383" i="9"/>
  <c r="AK369" i="9"/>
  <c r="AK375" i="9"/>
  <c r="AM369" i="9"/>
  <c r="AM375" i="9"/>
  <c r="AB366" i="9"/>
  <c r="H366" i="9"/>
  <c r="AI366" i="9" s="1"/>
  <c r="H365" i="9"/>
  <c r="AI365" i="9" s="1"/>
  <c r="AB365" i="9"/>
  <c r="AB364" i="9"/>
  <c r="H364" i="9"/>
  <c r="AI364" i="9" s="1"/>
  <c r="AB363" i="9"/>
  <c r="H363" i="9"/>
  <c r="AI363" i="9" s="1"/>
  <c r="AQ367" i="9"/>
  <c r="V361" i="9"/>
  <c r="AQ361" i="9" s="1"/>
  <c r="H361" i="9"/>
  <c r="AI361" i="9" s="1"/>
  <c r="AI367" i="9"/>
  <c r="AB361" i="9"/>
  <c r="AB398" i="9"/>
  <c r="H398" i="9"/>
  <c r="AI398" i="9" s="1"/>
  <c r="AB397" i="9"/>
  <c r="H397" i="9"/>
  <c r="AI397" i="9" s="1"/>
  <c r="AK377" i="9"/>
  <c r="AK383" i="9"/>
  <c r="AM377" i="9"/>
  <c r="AM383" i="9"/>
  <c r="AB374" i="9"/>
  <c r="H374" i="9"/>
  <c r="AI374" i="9" s="1"/>
  <c r="AB373" i="9"/>
  <c r="H373" i="9"/>
  <c r="AI373" i="9" s="1"/>
  <c r="AB372" i="9"/>
  <c r="H372" i="9"/>
  <c r="AI372" i="9" s="1"/>
  <c r="AB371" i="9"/>
  <c r="H371" i="9"/>
  <c r="AI371" i="9" s="1"/>
  <c r="AB370" i="9"/>
  <c r="H370" i="9"/>
  <c r="AI370" i="9" s="1"/>
  <c r="AQ375" i="9"/>
  <c r="V369" i="9"/>
  <c r="AQ369" i="9" s="1"/>
  <c r="H369" i="9"/>
  <c r="AI369" i="9" s="1"/>
  <c r="AB369" i="9"/>
  <c r="AI375" i="9"/>
  <c r="AB362" i="9"/>
  <c r="H362" i="9"/>
  <c r="AI362" i="9" s="1"/>
  <c r="AK361" i="9"/>
  <c r="AK367" i="9"/>
  <c r="AM361" i="9"/>
  <c r="AM367" i="9"/>
  <c r="AB358" i="9"/>
  <c r="H358" i="9"/>
  <c r="AI358" i="9" s="1"/>
  <c r="AB357" i="9"/>
  <c r="H357" i="9"/>
  <c r="AI357" i="9" s="1"/>
  <c r="AB356" i="9"/>
  <c r="H356" i="9"/>
  <c r="AI356" i="9" s="1"/>
  <c r="AB355" i="9"/>
  <c r="H355" i="9"/>
  <c r="AI355" i="9" s="1"/>
  <c r="AK359" i="9"/>
  <c r="AK353" i="9"/>
  <c r="AM359" i="9"/>
  <c r="AM353" i="9"/>
  <c r="AK345" i="9"/>
  <c r="AK351" i="9"/>
  <c r="AM345" i="9"/>
  <c r="AM351" i="9"/>
  <c r="AB342" i="9"/>
  <c r="H342" i="9"/>
  <c r="AI342" i="9" s="1"/>
  <c r="AB341" i="9"/>
  <c r="H341" i="9"/>
  <c r="AI341" i="9" s="1"/>
  <c r="AB340" i="9"/>
  <c r="H340" i="9"/>
  <c r="AI340" i="9" s="1"/>
  <c r="AB339" i="9"/>
  <c r="H339" i="9"/>
  <c r="AI339" i="9" s="1"/>
  <c r="AB338" i="9"/>
  <c r="H338" i="9"/>
  <c r="AI338" i="9" s="1"/>
  <c r="AQ343" i="9"/>
  <c r="V337" i="9"/>
  <c r="AQ337" i="9" s="1"/>
  <c r="AI343" i="9"/>
  <c r="H337" i="9"/>
  <c r="AI337" i="9" s="1"/>
  <c r="AB337" i="9"/>
  <c r="AK329" i="9"/>
  <c r="AK335" i="9"/>
  <c r="AM329" i="9"/>
  <c r="AM335" i="9"/>
  <c r="AB325" i="9"/>
  <c r="H325" i="9"/>
  <c r="AI325" i="9" s="1"/>
  <c r="AK321" i="9"/>
  <c r="AK327" i="9"/>
  <c r="AM321" i="9"/>
  <c r="AB318" i="9"/>
  <c r="H318" i="9"/>
  <c r="AI318" i="9" s="1"/>
  <c r="H317" i="9"/>
  <c r="AI317" i="9" s="1"/>
  <c r="AB317" i="9"/>
  <c r="AB316" i="9"/>
  <c r="H316" i="9"/>
  <c r="AI316" i="9" s="1"/>
  <c r="AB315" i="9"/>
  <c r="H315" i="9"/>
  <c r="AI315" i="9" s="1"/>
  <c r="AB314" i="9"/>
  <c r="H314" i="9"/>
  <c r="AI314" i="9" s="1"/>
  <c r="AQ319" i="9"/>
  <c r="V313" i="9"/>
  <c r="AQ313" i="9" s="1"/>
  <c r="AB313" i="9"/>
  <c r="H313" i="9"/>
  <c r="AI313" i="9" s="1"/>
  <c r="AI319" i="9"/>
  <c r="AB354" i="9"/>
  <c r="H354" i="9"/>
  <c r="AI354" i="9" s="1"/>
  <c r="AQ359" i="9"/>
  <c r="V353" i="9"/>
  <c r="AQ353" i="9" s="1"/>
  <c r="AI359" i="9"/>
  <c r="H353" i="9"/>
  <c r="AI353" i="9" s="1"/>
  <c r="AB353" i="9"/>
  <c r="AB350" i="9"/>
  <c r="H350" i="9"/>
  <c r="AI350" i="9" s="1"/>
  <c r="AB349" i="9"/>
  <c r="H349" i="9"/>
  <c r="AI349" i="9" s="1"/>
  <c r="AB348" i="9"/>
  <c r="H348" i="9"/>
  <c r="AI348" i="9" s="1"/>
  <c r="AB347" i="9"/>
  <c r="H347" i="9"/>
  <c r="AI347" i="9" s="1"/>
  <c r="AB346" i="9"/>
  <c r="H346" i="9"/>
  <c r="AI346" i="9" s="1"/>
  <c r="AQ351" i="9"/>
  <c r="V345" i="9"/>
  <c r="AQ345" i="9" s="1"/>
  <c r="AI351" i="9"/>
  <c r="H345" i="9"/>
  <c r="AI345" i="9" s="1"/>
  <c r="AB345" i="9"/>
  <c r="AB333" i="9"/>
  <c r="H333" i="9"/>
  <c r="AI333" i="9" s="1"/>
  <c r="AB331" i="9"/>
  <c r="H331" i="9"/>
  <c r="AI331" i="9" s="1"/>
  <c r="AI335" i="9"/>
  <c r="H329" i="9"/>
  <c r="AI329" i="9" s="1"/>
  <c r="AB329" i="9"/>
  <c r="H326" i="9"/>
  <c r="AI326" i="9" s="1"/>
  <c r="AB326" i="9"/>
  <c r="AB323" i="9"/>
  <c r="H323" i="9"/>
  <c r="AI323" i="9" s="1"/>
  <c r="AI327" i="9"/>
  <c r="AB321" i="9"/>
  <c r="H321" i="9"/>
  <c r="AI321" i="9" s="1"/>
  <c r="AB309" i="9"/>
  <c r="H309" i="9"/>
  <c r="AI309" i="9" s="1"/>
  <c r="H307" i="9"/>
  <c r="AI307" i="9" s="1"/>
  <c r="AB307" i="9"/>
  <c r="AB305" i="9"/>
  <c r="H305" i="9"/>
  <c r="AI305" i="9" s="1"/>
  <c r="AI311" i="9"/>
  <c r="AK290" i="9"/>
  <c r="AK296" i="9"/>
  <c r="AB269" i="9"/>
  <c r="H269" i="9"/>
  <c r="AI269" i="9" s="1"/>
  <c r="H268" i="9"/>
  <c r="AI268" i="9" s="1"/>
  <c r="AB268" i="9"/>
  <c r="AB267" i="9"/>
  <c r="H267" i="9"/>
  <c r="AI267" i="9" s="1"/>
  <c r="H266" i="9"/>
  <c r="AI266" i="9" s="1"/>
  <c r="AB266" i="9"/>
  <c r="AB265" i="9"/>
  <c r="H265" i="9"/>
  <c r="AI265" i="9" s="1"/>
  <c r="H264" i="9"/>
  <c r="AI264" i="9" s="1"/>
  <c r="AB264" i="9"/>
  <c r="H248" i="9"/>
  <c r="AI248" i="9" s="1"/>
  <c r="AB248" i="9"/>
  <c r="AB247" i="9"/>
  <c r="H247" i="9"/>
  <c r="AI247" i="9" s="1"/>
  <c r="AM250" i="9"/>
  <c r="O245" i="9"/>
  <c r="AM245" i="9" s="1"/>
  <c r="AB240" i="9"/>
  <c r="H240" i="9"/>
  <c r="AI240" i="9" s="1"/>
  <c r="H239" i="9"/>
  <c r="AI239" i="9" s="1"/>
  <c r="AB239" i="9"/>
  <c r="AB238" i="9"/>
  <c r="H238" i="9"/>
  <c r="AI238" i="9" s="1"/>
  <c r="H237" i="9"/>
  <c r="AI237" i="9" s="1"/>
  <c r="AB237" i="9"/>
  <c r="AB236" i="9"/>
  <c r="H236" i="9"/>
  <c r="AI236" i="9" s="1"/>
  <c r="H235" i="9"/>
  <c r="AI235" i="9" s="1"/>
  <c r="AB235" i="9"/>
  <c r="AB211" i="9"/>
  <c r="H211" i="9"/>
  <c r="AI211" i="9" s="1"/>
  <c r="H210" i="9"/>
  <c r="AI210" i="9" s="1"/>
  <c r="AB210" i="9"/>
  <c r="AB209" i="9"/>
  <c r="H209" i="9"/>
  <c r="AI209" i="9" s="1"/>
  <c r="AK337" i="9"/>
  <c r="AK343" i="9"/>
  <c r="AM337" i="9"/>
  <c r="AM343" i="9"/>
  <c r="AB334" i="9"/>
  <c r="H334" i="9"/>
  <c r="AI334" i="9" s="1"/>
  <c r="AB332" i="9"/>
  <c r="H332" i="9"/>
  <c r="AI332" i="9" s="1"/>
  <c r="AB330" i="9"/>
  <c r="H330" i="9"/>
  <c r="AI330" i="9" s="1"/>
  <c r="AQ335" i="9"/>
  <c r="V329" i="9"/>
  <c r="AQ329" i="9" s="1"/>
  <c r="AB324" i="9"/>
  <c r="H324" i="9"/>
  <c r="AI324" i="9" s="1"/>
  <c r="AB322" i="9"/>
  <c r="H322" i="9"/>
  <c r="AI322" i="9" s="1"/>
  <c r="AQ327" i="9"/>
  <c r="V321" i="9"/>
  <c r="AQ321" i="9" s="1"/>
  <c r="AK313" i="9"/>
  <c r="AK319" i="9"/>
  <c r="AM313" i="9"/>
  <c r="AM319" i="9"/>
  <c r="AB310" i="9"/>
  <c r="H310" i="9"/>
  <c r="AI310" i="9" s="1"/>
  <c r="AB308" i="9"/>
  <c r="H308" i="9"/>
  <c r="AI308" i="9" s="1"/>
  <c r="AB306" i="9"/>
  <c r="H306" i="9"/>
  <c r="AI306" i="9" s="1"/>
  <c r="AQ311" i="9"/>
  <c r="V305" i="9"/>
  <c r="AQ305" i="9" s="1"/>
  <c r="AK305" i="9"/>
  <c r="AK311" i="9"/>
  <c r="AM311" i="9"/>
  <c r="H294" i="9"/>
  <c r="AI294" i="9" s="1"/>
  <c r="AB294" i="9"/>
  <c r="AB293" i="9"/>
  <c r="H293" i="9"/>
  <c r="AI293" i="9" s="1"/>
  <c r="AB292" i="9"/>
  <c r="H292" i="9"/>
  <c r="AI292" i="9" s="1"/>
  <c r="AB291" i="9"/>
  <c r="H291" i="9"/>
  <c r="AI291" i="9" s="1"/>
  <c r="V290" i="9"/>
  <c r="AQ290" i="9" s="1"/>
  <c r="AQ296" i="9"/>
  <c r="H290" i="9"/>
  <c r="AI290" i="9" s="1"/>
  <c r="AB290" i="9"/>
  <c r="AI296" i="9"/>
  <c r="AB286" i="9"/>
  <c r="H286" i="9"/>
  <c r="AI286" i="9" s="1"/>
  <c r="AB285" i="9"/>
  <c r="H285" i="9"/>
  <c r="AI285" i="9" s="1"/>
  <c r="AB284" i="9"/>
  <c r="H284" i="9"/>
  <c r="AI284" i="9" s="1"/>
  <c r="H283" i="9"/>
  <c r="AI283" i="9" s="1"/>
  <c r="AB283" i="9"/>
  <c r="AB282" i="9"/>
  <c r="H282" i="9"/>
  <c r="AI282" i="9" s="1"/>
  <c r="AB281" i="9"/>
  <c r="H281" i="9"/>
  <c r="AI281" i="9" s="1"/>
  <c r="AB280" i="9"/>
  <c r="H280" i="9"/>
  <c r="AI280" i="9" s="1"/>
  <c r="H279" i="9"/>
  <c r="AI279" i="9" s="1"/>
  <c r="AB279" i="9"/>
  <c r="AB278" i="9"/>
  <c r="H278" i="9"/>
  <c r="AI278" i="9" s="1"/>
  <c r="AB277" i="9"/>
  <c r="H277" i="9"/>
  <c r="AI277" i="9" s="1"/>
  <c r="AB276" i="9"/>
  <c r="H276" i="9"/>
  <c r="AI276" i="9" s="1"/>
  <c r="H275" i="9"/>
  <c r="AI275" i="9" s="1"/>
  <c r="AB275" i="9"/>
  <c r="AB274" i="9"/>
  <c r="H274" i="9"/>
  <c r="AI274" i="9" s="1"/>
  <c r="AB273" i="9"/>
  <c r="H273" i="9"/>
  <c r="AI273" i="9" s="1"/>
  <c r="AB260" i="9"/>
  <c r="H260" i="9"/>
  <c r="AI260" i="9" s="1"/>
  <c r="H259" i="9"/>
  <c r="AI259" i="9" s="1"/>
  <c r="AB259" i="9"/>
  <c r="AB258" i="9"/>
  <c r="H258" i="9"/>
  <c r="AI258" i="9" s="1"/>
  <c r="H257" i="9"/>
  <c r="AI257" i="9" s="1"/>
  <c r="AB257" i="9"/>
  <c r="AB256" i="9"/>
  <c r="H256" i="9"/>
  <c r="AI256" i="9" s="1"/>
  <c r="AB255" i="9"/>
  <c r="H255" i="9"/>
  <c r="AI255" i="9" s="1"/>
  <c r="AB254" i="9"/>
  <c r="H254" i="9"/>
  <c r="AI254" i="9" s="1"/>
  <c r="H253" i="9"/>
  <c r="AI253" i="9" s="1"/>
  <c r="AB253" i="9"/>
  <c r="AB252" i="9"/>
  <c r="H252" i="9"/>
  <c r="AI252" i="9" s="1"/>
  <c r="AB246" i="9"/>
  <c r="H246" i="9"/>
  <c r="AI246" i="9" s="1"/>
  <c r="V245" i="9"/>
  <c r="AQ245" i="9" s="1"/>
  <c r="AQ250" i="9"/>
  <c r="H245" i="9"/>
  <c r="AI245" i="9" s="1"/>
  <c r="AI250" i="9"/>
  <c r="AB245" i="9"/>
  <c r="H244" i="9"/>
  <c r="AI244" i="9" s="1"/>
  <c r="AB244" i="9"/>
  <c r="AB231" i="9"/>
  <c r="H231" i="9"/>
  <c r="AI231" i="9" s="1"/>
  <c r="H230" i="9"/>
  <c r="AI230" i="9" s="1"/>
  <c r="AB230" i="9"/>
  <c r="AB229" i="9"/>
  <c r="H229" i="9"/>
  <c r="AI229" i="9" s="1"/>
  <c r="H228" i="9"/>
  <c r="AI228" i="9" s="1"/>
  <c r="AB228" i="9"/>
  <c r="AB227" i="9"/>
  <c r="H227" i="9"/>
  <c r="AI227" i="9" s="1"/>
  <c r="H226" i="9"/>
  <c r="AI226" i="9" s="1"/>
  <c r="AB226" i="9"/>
  <c r="AB225" i="9"/>
  <c r="H225" i="9"/>
  <c r="AI225" i="9" s="1"/>
  <c r="H224" i="9"/>
  <c r="AI224" i="9" s="1"/>
  <c r="AB224" i="9"/>
  <c r="AB223" i="9"/>
  <c r="H223" i="9"/>
  <c r="AI223" i="9" s="1"/>
  <c r="H222" i="9"/>
  <c r="AI222" i="9" s="1"/>
  <c r="AB222" i="9"/>
  <c r="H217" i="9"/>
  <c r="AI217" i="9" s="1"/>
  <c r="AB217" i="9"/>
  <c r="AB216" i="9"/>
  <c r="H216" i="9"/>
  <c r="AI216" i="9" s="1"/>
  <c r="H215" i="9"/>
  <c r="AI215" i="9" s="1"/>
  <c r="AB215" i="9"/>
  <c r="H205" i="9"/>
  <c r="AI205" i="9" s="1"/>
  <c r="AB205" i="9"/>
  <c r="AB204" i="9"/>
  <c r="H204" i="9"/>
  <c r="AI204" i="9" s="1"/>
  <c r="H203" i="9"/>
  <c r="AI203" i="9" s="1"/>
  <c r="AB203" i="9"/>
  <c r="AB202" i="9"/>
  <c r="H202" i="9"/>
  <c r="AI202" i="9" s="1"/>
  <c r="H190" i="9"/>
  <c r="AI190" i="9" s="1"/>
  <c r="AB190" i="9"/>
  <c r="AB189" i="9"/>
  <c r="H189" i="9"/>
  <c r="AI189" i="9" s="1"/>
  <c r="H188" i="9"/>
  <c r="AI188" i="9" s="1"/>
  <c r="AB188" i="9"/>
  <c r="AB187" i="9"/>
  <c r="H187" i="9"/>
  <c r="AI187" i="9" s="1"/>
  <c r="H186" i="9"/>
  <c r="AI186" i="9" s="1"/>
  <c r="AB186" i="9"/>
  <c r="AB185" i="9"/>
  <c r="H185" i="9"/>
  <c r="AI185" i="9" s="1"/>
  <c r="H184" i="9"/>
  <c r="AI184" i="9" s="1"/>
  <c r="AB184" i="9"/>
  <c r="AB183" i="9"/>
  <c r="H183" i="9"/>
  <c r="AI183" i="9" s="1"/>
  <c r="H182" i="9"/>
  <c r="AI182" i="9" s="1"/>
  <c r="AB182" i="9"/>
  <c r="AB171" i="9"/>
  <c r="H171" i="9"/>
  <c r="AI171" i="9" s="1"/>
  <c r="AB170" i="9"/>
  <c r="H170" i="9"/>
  <c r="AI170" i="9" s="1"/>
  <c r="AB169" i="9"/>
  <c r="H169" i="9"/>
  <c r="AI169" i="9" s="1"/>
  <c r="AB168" i="9"/>
  <c r="H168" i="9"/>
  <c r="AI168" i="9" s="1"/>
  <c r="AB164" i="9"/>
  <c r="H164" i="9"/>
  <c r="AI164" i="9" s="1"/>
  <c r="AB163" i="9"/>
  <c r="H163" i="9"/>
  <c r="AI163" i="9" s="1"/>
  <c r="AB162" i="9"/>
  <c r="H162" i="9"/>
  <c r="AI162" i="9" s="1"/>
  <c r="AB161" i="9"/>
  <c r="H161" i="9"/>
  <c r="AI161" i="9" s="1"/>
  <c r="AB160" i="9"/>
  <c r="H160" i="9"/>
  <c r="AI160" i="9" s="1"/>
  <c r="AB159" i="9"/>
  <c r="H159" i="9"/>
  <c r="AI159" i="9" s="1"/>
  <c r="AB158" i="9"/>
  <c r="H158" i="9"/>
  <c r="AI158" i="9" s="1"/>
  <c r="AB157" i="9"/>
  <c r="H157" i="9"/>
  <c r="AI157" i="9" s="1"/>
  <c r="AB156" i="9"/>
  <c r="H156" i="9"/>
  <c r="AI156" i="9" s="1"/>
  <c r="AB155" i="9"/>
  <c r="H155" i="9"/>
  <c r="AI155" i="9" s="1"/>
  <c r="AB154" i="9"/>
  <c r="H154" i="9"/>
  <c r="AI154" i="9" s="1"/>
  <c r="AB153" i="9"/>
  <c r="H153" i="9"/>
  <c r="AI153" i="9" s="1"/>
  <c r="AQ149" i="9"/>
  <c r="V144" i="9"/>
  <c r="AQ144" i="9" s="1"/>
  <c r="AQ126" i="9"/>
  <c r="V121" i="9"/>
  <c r="AQ121" i="9" s="1"/>
  <c r="H198" i="9"/>
  <c r="AI198" i="9" s="1"/>
  <c r="AB198" i="9"/>
  <c r="AB197" i="9"/>
  <c r="H197" i="9"/>
  <c r="AI197" i="9" s="1"/>
  <c r="H196" i="9"/>
  <c r="AI196" i="9" s="1"/>
  <c r="AB196" i="9"/>
  <c r="AB195" i="9"/>
  <c r="H195" i="9"/>
  <c r="AI195" i="9" s="1"/>
  <c r="AB178" i="9"/>
  <c r="H178" i="9"/>
  <c r="AI178" i="9" s="1"/>
  <c r="AB177" i="9"/>
  <c r="H177" i="9"/>
  <c r="AI177" i="9" s="1"/>
  <c r="AB176" i="9"/>
  <c r="H176" i="9"/>
  <c r="AI176" i="9" s="1"/>
  <c r="AB175" i="9"/>
  <c r="H175" i="9"/>
  <c r="AI175" i="9" s="1"/>
  <c r="AB147" i="9"/>
  <c r="H147" i="9"/>
  <c r="AI147" i="9" s="1"/>
  <c r="AB146" i="9"/>
  <c r="H146" i="9"/>
  <c r="AI146" i="9" s="1"/>
  <c r="AB145" i="9"/>
  <c r="H145" i="9"/>
  <c r="AI145" i="9" s="1"/>
  <c r="AM149" i="9"/>
  <c r="O144" i="9"/>
  <c r="AM144" i="9" s="1"/>
  <c r="AB144" i="9"/>
  <c r="AI149" i="9"/>
  <c r="H144" i="9"/>
  <c r="AI144" i="9" s="1"/>
  <c r="AB140" i="9"/>
  <c r="H140" i="9"/>
  <c r="AI140" i="9" s="1"/>
  <c r="AB139" i="9"/>
  <c r="H139" i="9"/>
  <c r="AI139" i="9" s="1"/>
  <c r="AB138" i="9"/>
  <c r="H138" i="9"/>
  <c r="AI138" i="9" s="1"/>
  <c r="AB137" i="9"/>
  <c r="H137" i="9"/>
  <c r="AI137" i="9" s="1"/>
  <c r="AB136" i="9"/>
  <c r="H136" i="9"/>
  <c r="AI136" i="9" s="1"/>
  <c r="AB135" i="9"/>
  <c r="H135" i="9"/>
  <c r="AI135" i="9" s="1"/>
  <c r="AB134" i="9"/>
  <c r="H134" i="9"/>
  <c r="AI134" i="9" s="1"/>
  <c r="AB133" i="9"/>
  <c r="H133" i="9"/>
  <c r="AI133" i="9" s="1"/>
  <c r="AB132" i="9"/>
  <c r="H132" i="9"/>
  <c r="AI132" i="9" s="1"/>
  <c r="AB131" i="9"/>
  <c r="H131" i="9"/>
  <c r="AI131" i="9" s="1"/>
  <c r="AB130" i="9"/>
  <c r="H130" i="9"/>
  <c r="AI130" i="9" s="1"/>
  <c r="AB123" i="9"/>
  <c r="H123" i="9"/>
  <c r="AI123" i="9" s="1"/>
  <c r="AB122" i="9"/>
  <c r="H122" i="9"/>
  <c r="AI122" i="9" s="1"/>
  <c r="AQ116" i="9"/>
  <c r="V111" i="9"/>
  <c r="AQ111" i="9" s="1"/>
  <c r="AB106" i="9"/>
  <c r="H106" i="9"/>
  <c r="AI106" i="9" s="1"/>
  <c r="AB105" i="9"/>
  <c r="H105" i="9"/>
  <c r="AI105" i="9" s="1"/>
  <c r="AB104" i="9"/>
  <c r="H104" i="9"/>
  <c r="AI104" i="9" s="1"/>
  <c r="AM108" i="9"/>
  <c r="O103" i="9"/>
  <c r="AM103" i="9" s="1"/>
  <c r="AI108" i="9"/>
  <c r="AB103" i="9"/>
  <c r="H103" i="9"/>
  <c r="AI103" i="9" s="1"/>
  <c r="AB99" i="9"/>
  <c r="H99" i="9"/>
  <c r="AI99" i="9" s="1"/>
  <c r="AB98" i="9"/>
  <c r="H98" i="9"/>
  <c r="AI98" i="9" s="1"/>
  <c r="AB97" i="9"/>
  <c r="H97" i="9"/>
  <c r="AI97" i="9" s="1"/>
  <c r="AB96" i="9"/>
  <c r="H96" i="9"/>
  <c r="AI96" i="9" s="1"/>
  <c r="AB95" i="9"/>
  <c r="H95" i="9"/>
  <c r="AI95" i="9" s="1"/>
  <c r="AB94" i="9"/>
  <c r="H94" i="9"/>
  <c r="AI94" i="9" s="1"/>
  <c r="AB93" i="9"/>
  <c r="H93" i="9"/>
  <c r="AI93" i="9" s="1"/>
  <c r="AB92" i="9"/>
  <c r="H92" i="9"/>
  <c r="AI92" i="9" s="1"/>
  <c r="AB88" i="9"/>
  <c r="H88" i="9"/>
  <c r="AI88" i="9" s="1"/>
  <c r="AB87" i="9"/>
  <c r="H87" i="9"/>
  <c r="AI87" i="9" s="1"/>
  <c r="AB86" i="9"/>
  <c r="H86" i="9"/>
  <c r="AI86" i="9" s="1"/>
  <c r="AB85" i="9"/>
  <c r="H85" i="9"/>
  <c r="AI85" i="9" s="1"/>
  <c r="AB84" i="9"/>
  <c r="H84" i="9"/>
  <c r="AI84" i="9" s="1"/>
  <c r="AB83" i="9"/>
  <c r="H83" i="9"/>
  <c r="AI83" i="9" s="1"/>
  <c r="AB82" i="9"/>
  <c r="H82" i="9"/>
  <c r="AI82" i="9" s="1"/>
  <c r="AB81" i="9"/>
  <c r="H81" i="9"/>
  <c r="AI81" i="9" s="1"/>
  <c r="AB80" i="9"/>
  <c r="H80" i="9"/>
  <c r="AI80" i="9" s="1"/>
  <c r="AB79" i="9"/>
  <c r="H79" i="9"/>
  <c r="AI79" i="9" s="1"/>
  <c r="AB78" i="9"/>
  <c r="H78" i="9"/>
  <c r="AI78" i="9" s="1"/>
  <c r="AQ52" i="9"/>
  <c r="V47" i="9"/>
  <c r="AQ47" i="9" s="1"/>
  <c r="AB43" i="9"/>
  <c r="H43" i="9"/>
  <c r="AI43" i="9" s="1"/>
  <c r="AB42" i="9"/>
  <c r="H42" i="9"/>
  <c r="AI42" i="9" s="1"/>
  <c r="AB41" i="9"/>
  <c r="H41" i="9"/>
  <c r="AI41" i="9" s="1"/>
  <c r="AB40" i="9"/>
  <c r="H40" i="9"/>
  <c r="AI40" i="9" s="1"/>
  <c r="AB39" i="9"/>
  <c r="H39" i="9"/>
  <c r="AI39" i="9" s="1"/>
  <c r="AB38" i="9"/>
  <c r="H38" i="9"/>
  <c r="AI38" i="9" s="1"/>
  <c r="AB15" i="9"/>
  <c r="H15" i="9"/>
  <c r="AI15" i="9" s="1"/>
  <c r="V172" i="9"/>
  <c r="AQ172" i="9" s="1"/>
  <c r="V125" i="9"/>
  <c r="AQ125" i="9" s="1"/>
  <c r="V107" i="9"/>
  <c r="AQ107" i="9" s="1"/>
  <c r="V74" i="9"/>
  <c r="AQ74" i="9" s="1"/>
  <c r="V27" i="9"/>
  <c r="V51" i="9"/>
  <c r="AQ51" i="9" s="1"/>
  <c r="V232" i="9"/>
  <c r="AQ232" i="9" s="1"/>
  <c r="V295" i="9"/>
  <c r="AQ295" i="9" s="1"/>
  <c r="V199" i="9"/>
  <c r="AQ199" i="9" s="1"/>
  <c r="V148" i="9"/>
  <c r="AQ148" i="9" s="1"/>
  <c r="V115" i="9"/>
  <c r="AQ115" i="9" s="1"/>
  <c r="V19" i="9"/>
  <c r="AQ19" i="9" s="1"/>
  <c r="V35" i="9"/>
  <c r="AQ35" i="9" s="1"/>
  <c r="V44" i="9"/>
  <c r="AQ44" i="9" s="1"/>
  <c r="V179" i="9"/>
  <c r="AQ179" i="9" s="1"/>
  <c r="V212" i="9"/>
  <c r="AQ212" i="9" s="1"/>
  <c r="V241" i="9"/>
  <c r="AQ241" i="9" s="1"/>
  <c r="V249" i="9"/>
  <c r="AQ249" i="9" s="1"/>
  <c r="V218" i="9"/>
  <c r="AQ218" i="9" s="1"/>
  <c r="V206" i="9"/>
  <c r="AQ206" i="9" s="1"/>
  <c r="V191" i="9"/>
  <c r="AQ191" i="9" s="1"/>
  <c r="V270" i="9"/>
  <c r="AQ270" i="9" s="1"/>
  <c r="V261" i="9"/>
  <c r="AQ261" i="9" s="1"/>
  <c r="H179" i="9"/>
  <c r="AI179" i="9" s="1"/>
  <c r="H212" i="9"/>
  <c r="AI212" i="9" s="1"/>
  <c r="H241" i="9"/>
  <c r="AI241" i="9" s="1"/>
  <c r="H295" i="9"/>
  <c r="AI295" i="9" s="1"/>
  <c r="H199" i="9"/>
  <c r="AI199" i="9" s="1"/>
  <c r="H232" i="9"/>
  <c r="AI232" i="9" s="1"/>
  <c r="H249" i="9"/>
  <c r="AI249" i="9" s="1"/>
  <c r="H218" i="9"/>
  <c r="AI218" i="9" s="1"/>
  <c r="H206" i="9"/>
  <c r="AI206" i="9" s="1"/>
  <c r="H191" i="9"/>
  <c r="AI191" i="9" s="1"/>
  <c r="H261" i="9"/>
  <c r="AI261" i="9" s="1"/>
  <c r="H270" i="9"/>
  <c r="AI270" i="9" s="1"/>
  <c r="H172" i="9"/>
  <c r="AI172" i="9" s="1"/>
  <c r="H115" i="9"/>
  <c r="AI115" i="9" s="1"/>
  <c r="H51" i="9"/>
  <c r="AI51" i="9" s="1"/>
  <c r="H27" i="9"/>
  <c r="H148" i="9"/>
  <c r="AI148" i="9" s="1"/>
  <c r="H125" i="9"/>
  <c r="AI125" i="9" s="1"/>
  <c r="H107" i="9"/>
  <c r="AI107" i="9" s="1"/>
  <c r="H74" i="9"/>
  <c r="AI74" i="9" s="1"/>
  <c r="H44" i="9"/>
  <c r="AI44" i="9" s="1"/>
  <c r="H35" i="9"/>
  <c r="AI35" i="9" s="1"/>
  <c r="H19" i="9"/>
  <c r="AI19" i="9" s="1"/>
  <c r="AC5" i="9"/>
  <c r="H16" i="9"/>
  <c r="AI16" i="9" s="1"/>
  <c r="AB16" i="9"/>
  <c r="AC16" i="9" s="1"/>
  <c r="AS16" i="9" s="1"/>
  <c r="AB124" i="9"/>
  <c r="H124" i="9"/>
  <c r="AI124" i="9" s="1"/>
  <c r="O121" i="9"/>
  <c r="AM121" i="9" s="1"/>
  <c r="AM126" i="9"/>
  <c r="AI126" i="9"/>
  <c r="AB121" i="9"/>
  <c r="AC121" i="9" s="1"/>
  <c r="AS121" i="9" s="1"/>
  <c r="H121" i="9"/>
  <c r="AI121" i="9" s="1"/>
  <c r="AB114" i="9"/>
  <c r="AC114" i="9" s="1"/>
  <c r="AS114" i="9" s="1"/>
  <c r="H114" i="9"/>
  <c r="AI114" i="9" s="1"/>
  <c r="AB113" i="9"/>
  <c r="AC113" i="9" s="1"/>
  <c r="AS113" i="9" s="1"/>
  <c r="H113" i="9"/>
  <c r="AI113" i="9" s="1"/>
  <c r="AB112" i="9"/>
  <c r="AC112" i="9" s="1"/>
  <c r="AS112" i="9" s="1"/>
  <c r="H112" i="9"/>
  <c r="AI112" i="9" s="1"/>
  <c r="AM116" i="9"/>
  <c r="O111" i="9"/>
  <c r="AM111" i="9" s="1"/>
  <c r="AI116" i="9"/>
  <c r="AB111" i="9"/>
  <c r="H111" i="9"/>
  <c r="AI111" i="9" s="1"/>
  <c r="AQ108" i="9"/>
  <c r="V103" i="9"/>
  <c r="AQ103" i="9" s="1"/>
  <c r="AB73" i="9"/>
  <c r="H73" i="9"/>
  <c r="AI73" i="9" s="1"/>
  <c r="AB72" i="9"/>
  <c r="H72" i="9"/>
  <c r="AI72" i="9" s="1"/>
  <c r="AB71" i="9"/>
  <c r="H71" i="9"/>
  <c r="AI71" i="9" s="1"/>
  <c r="AB70" i="9"/>
  <c r="H70" i="9"/>
  <c r="AI70" i="9" s="1"/>
  <c r="AB69" i="9"/>
  <c r="H69" i="9"/>
  <c r="AI69" i="9" s="1"/>
  <c r="AB68" i="9"/>
  <c r="H68" i="9"/>
  <c r="AI68" i="9" s="1"/>
  <c r="AB64" i="9"/>
  <c r="H64" i="9"/>
  <c r="AI64" i="9" s="1"/>
  <c r="AB63" i="9"/>
  <c r="H63" i="9"/>
  <c r="AI63" i="9" s="1"/>
  <c r="AB62" i="9"/>
  <c r="H62" i="9"/>
  <c r="AI62" i="9" s="1"/>
  <c r="AB61" i="9"/>
  <c r="H61" i="9"/>
  <c r="AI61" i="9" s="1"/>
  <c r="AB60" i="9"/>
  <c r="H60" i="9"/>
  <c r="AI60" i="9" s="1"/>
  <c r="AB59" i="9"/>
  <c r="H59" i="9"/>
  <c r="AI59" i="9" s="1"/>
  <c r="AB58" i="9"/>
  <c r="H58" i="9"/>
  <c r="AI58" i="9" s="1"/>
  <c r="AB57" i="9"/>
  <c r="H57" i="9"/>
  <c r="AI57" i="9" s="1"/>
  <c r="AB56" i="9"/>
  <c r="H56" i="9"/>
  <c r="AI56" i="9" s="1"/>
  <c r="AB55" i="9"/>
  <c r="H55" i="9"/>
  <c r="AI55" i="9" s="1"/>
  <c r="AB54" i="9"/>
  <c r="H54" i="9"/>
  <c r="AI54" i="9" s="1"/>
  <c r="AB50" i="9"/>
  <c r="H50" i="9"/>
  <c r="AI50" i="9" s="1"/>
  <c r="AB49" i="9"/>
  <c r="H49" i="9"/>
  <c r="AI49" i="9" s="1"/>
  <c r="AB48" i="9"/>
  <c r="H48" i="9"/>
  <c r="AI48" i="9" s="1"/>
  <c r="O47" i="9"/>
  <c r="AM47" i="9" s="1"/>
  <c r="AM52" i="9"/>
  <c r="AI52" i="9"/>
  <c r="AB47" i="9"/>
  <c r="AC47" i="9" s="1"/>
  <c r="AS47" i="9" s="1"/>
  <c r="H47" i="9"/>
  <c r="AI47" i="9" s="1"/>
  <c r="AB34" i="9"/>
  <c r="AC34" i="9" s="1"/>
  <c r="AS34" i="9" s="1"/>
  <c r="H34" i="9"/>
  <c r="AI34" i="9" s="1"/>
  <c r="AB33" i="9"/>
  <c r="AC33" i="9" s="1"/>
  <c r="AS33" i="9" s="1"/>
  <c r="H33" i="9"/>
  <c r="AI33" i="9" s="1"/>
  <c r="AB32" i="9"/>
  <c r="AC32" i="9" s="1"/>
  <c r="AS32" i="9" s="1"/>
  <c r="H32" i="9"/>
  <c r="AI32" i="9" s="1"/>
  <c r="AB31" i="9"/>
  <c r="AC31" i="9" s="1"/>
  <c r="AS31" i="9" s="1"/>
  <c r="H31" i="9"/>
  <c r="AI31" i="9" s="1"/>
  <c r="AB30" i="9"/>
  <c r="AC30" i="9" s="1"/>
  <c r="AS30" i="9" s="1"/>
  <c r="H30" i="9"/>
  <c r="AI30" i="9" s="1"/>
  <c r="AB26" i="9"/>
  <c r="AC26" i="9" s="1"/>
  <c r="AS26" i="9" s="1"/>
  <c r="H26" i="9"/>
  <c r="AI26" i="9" s="1"/>
  <c r="AB25" i="9"/>
  <c r="AC25" i="9" s="1"/>
  <c r="AS25" i="9" s="1"/>
  <c r="H25" i="9"/>
  <c r="AI25" i="9" s="1"/>
  <c r="AB24" i="9"/>
  <c r="AC24" i="9" s="1"/>
  <c r="AS24" i="9" s="1"/>
  <c r="H24" i="9"/>
  <c r="AI24" i="9" s="1"/>
  <c r="AB23" i="9"/>
  <c r="AC23" i="9" s="1"/>
  <c r="AS23" i="9" s="1"/>
  <c r="H23" i="9"/>
  <c r="AI23" i="9" s="1"/>
  <c r="AB18" i="9"/>
  <c r="AC18" i="9" s="1"/>
  <c r="AS18" i="9" s="1"/>
  <c r="H18" i="9"/>
  <c r="AI18" i="9" s="1"/>
  <c r="AB17" i="9"/>
  <c r="AC17" i="9" s="1"/>
  <c r="AS17" i="9" s="1"/>
  <c r="H17" i="9"/>
  <c r="AI17" i="9" s="1"/>
  <c r="O148" i="9"/>
  <c r="AM148" i="9" s="1"/>
  <c r="O125" i="9"/>
  <c r="AM125" i="9" s="1"/>
  <c r="O172" i="9"/>
  <c r="AM172" i="9" s="1"/>
  <c r="O115" i="9"/>
  <c r="AM115" i="9" s="1"/>
  <c r="O74" i="9"/>
  <c r="AM74" i="9" s="1"/>
  <c r="O51" i="9"/>
  <c r="AM51" i="9" s="1"/>
  <c r="O35" i="9"/>
  <c r="AM35" i="9" s="1"/>
  <c r="O27" i="9"/>
  <c r="O107" i="9"/>
  <c r="AM107" i="9" s="1"/>
  <c r="O44" i="9"/>
  <c r="AM44" i="9" s="1"/>
  <c r="O19" i="9"/>
  <c r="AM19" i="9" s="1"/>
  <c r="O179" i="9"/>
  <c r="AM179" i="9" s="1"/>
  <c r="O212" i="9"/>
  <c r="AM212" i="9" s="1"/>
  <c r="O295" i="9"/>
  <c r="AM295" i="9" s="1"/>
  <c r="O218" i="9"/>
  <c r="AM218" i="9" s="1"/>
  <c r="O206" i="9"/>
  <c r="AM206" i="9" s="1"/>
  <c r="O191" i="9"/>
  <c r="AM191" i="9" s="1"/>
  <c r="O232" i="9"/>
  <c r="AM232" i="9" s="1"/>
  <c r="O241" i="9"/>
  <c r="AM241" i="9" s="1"/>
  <c r="O249" i="9"/>
  <c r="AM249" i="9" s="1"/>
  <c r="O199" i="9"/>
  <c r="AM199" i="9" s="1"/>
  <c r="O270" i="9"/>
  <c r="AM270" i="9" s="1"/>
  <c r="O261" i="9"/>
  <c r="AM261" i="9" s="1"/>
  <c r="AB18" i="3"/>
  <c r="O452" i="5"/>
  <c r="AM452" i="5" s="1"/>
  <c r="O450" i="5"/>
  <c r="AM450" i="5" s="1"/>
  <c r="O448" i="5"/>
  <c r="AM448" i="5" s="1"/>
  <c r="O446" i="5"/>
  <c r="AM446" i="5" s="1"/>
  <c r="O444" i="5"/>
  <c r="AM444" i="5" s="1"/>
  <c r="O442" i="5"/>
  <c r="AM442" i="5" s="1"/>
  <c r="O438" i="5"/>
  <c r="AM438" i="5" s="1"/>
  <c r="O436" i="5"/>
  <c r="AM436" i="5" s="1"/>
  <c r="O432" i="5"/>
  <c r="AM432" i="5" s="1"/>
  <c r="O430" i="5"/>
  <c r="AM430" i="5" s="1"/>
  <c r="O428" i="5"/>
  <c r="O424" i="5"/>
  <c r="AM424" i="5" s="1"/>
  <c r="O422" i="5"/>
  <c r="AM422" i="5" s="1"/>
  <c r="O420" i="5"/>
  <c r="AM420" i="5" s="1"/>
  <c r="O416" i="5"/>
  <c r="AM416" i="5" s="1"/>
  <c r="O452" i="8"/>
  <c r="AM452" i="8" s="1"/>
  <c r="O450" i="8"/>
  <c r="AM450" i="8" s="1"/>
  <c r="O448" i="8"/>
  <c r="AM448" i="8" s="1"/>
  <c r="O446" i="8"/>
  <c r="AM446" i="8" s="1"/>
  <c r="O444" i="8"/>
  <c r="AM444" i="8" s="1"/>
  <c r="O442" i="8"/>
  <c r="AM442" i="8" s="1"/>
  <c r="O438" i="8"/>
  <c r="AM438" i="8" s="1"/>
  <c r="O436" i="8"/>
  <c r="AM436" i="8" s="1"/>
  <c r="O432" i="8"/>
  <c r="AM432" i="8" s="1"/>
  <c r="O430" i="8"/>
  <c r="AM430" i="8" s="1"/>
  <c r="O428" i="8"/>
  <c r="O424" i="8"/>
  <c r="AM424" i="8" s="1"/>
  <c r="O422" i="8"/>
  <c r="AM422" i="8" s="1"/>
  <c r="O420" i="8"/>
  <c r="AM420" i="8" s="1"/>
  <c r="O416" i="8"/>
  <c r="AM416" i="8" s="1"/>
  <c r="O414" i="8"/>
  <c r="AM414" i="8" s="1"/>
  <c r="O410" i="8"/>
  <c r="AM410" i="8" s="1"/>
  <c r="O408" i="8"/>
  <c r="AM408" i="8" s="1"/>
  <c r="O404" i="8"/>
  <c r="AM404" i="8" s="1"/>
  <c r="O402" i="8"/>
  <c r="AM402" i="8" s="1"/>
  <c r="O400" i="8"/>
  <c r="AM400" i="8" s="1"/>
  <c r="O398" i="8"/>
  <c r="AM398" i="8" s="1"/>
  <c r="O394" i="8"/>
  <c r="AM394" i="8" s="1"/>
  <c r="O392" i="8"/>
  <c r="AM392" i="8" s="1"/>
  <c r="O390" i="8"/>
  <c r="AM390" i="8" s="1"/>
  <c r="O388" i="8"/>
  <c r="AM388" i="8" s="1"/>
  <c r="O386" i="8"/>
  <c r="AM386" i="8" s="1"/>
  <c r="O381" i="8"/>
  <c r="AM381" i="8" s="1"/>
  <c r="O379" i="8"/>
  <c r="AM379" i="8" s="1"/>
  <c r="O240" i="8"/>
  <c r="AM240" i="8" s="1"/>
  <c r="O238" i="8"/>
  <c r="AM238" i="8" s="1"/>
  <c r="O236" i="8"/>
  <c r="AM236" i="8" s="1"/>
  <c r="O231" i="8"/>
  <c r="AM231" i="8" s="1"/>
  <c r="O229" i="8"/>
  <c r="AM229" i="8" s="1"/>
  <c r="O227" i="8"/>
  <c r="AM227" i="8" s="1"/>
  <c r="O225" i="8"/>
  <c r="AM225" i="8" s="1"/>
  <c r="O223" i="8"/>
  <c r="AM223" i="8" s="1"/>
  <c r="O217" i="8"/>
  <c r="AM217" i="8" s="1"/>
  <c r="O215" i="8"/>
  <c r="AM215" i="8" s="1"/>
  <c r="O210" i="8"/>
  <c r="AM210" i="8" s="1"/>
  <c r="O205" i="8"/>
  <c r="AM205" i="8" s="1"/>
  <c r="O203" i="8"/>
  <c r="AM203" i="8" s="1"/>
  <c r="O198" i="8"/>
  <c r="AM198" i="8" s="1"/>
  <c r="O196" i="8"/>
  <c r="AM196" i="8" s="1"/>
  <c r="O190" i="8"/>
  <c r="AM190" i="8" s="1"/>
  <c r="O188" i="8"/>
  <c r="AM188" i="8" s="1"/>
  <c r="O186" i="8"/>
  <c r="AM186" i="8" s="1"/>
  <c r="O184" i="8"/>
  <c r="AM184" i="8" s="1"/>
  <c r="O177" i="8"/>
  <c r="AM177" i="8" s="1"/>
  <c r="O175" i="8"/>
  <c r="AM175" i="8" s="1"/>
  <c r="O170" i="8"/>
  <c r="AM170" i="8" s="1"/>
  <c r="O168" i="8"/>
  <c r="AM168" i="8" s="1"/>
  <c r="O163" i="8"/>
  <c r="AM163" i="8" s="1"/>
  <c r="O161" i="8"/>
  <c r="AM161" i="8" s="1"/>
  <c r="O159" i="8"/>
  <c r="AM159" i="8" s="1"/>
  <c r="O157" i="8"/>
  <c r="AM157" i="8" s="1"/>
  <c r="O155" i="8"/>
  <c r="AM155" i="8" s="1"/>
  <c r="O153" i="8"/>
  <c r="AM153" i="8" s="1"/>
  <c r="O146" i="8"/>
  <c r="AM146" i="8" s="1"/>
  <c r="AL377" i="5"/>
  <c r="AL383" i="5"/>
  <c r="O414" i="5"/>
  <c r="AM414" i="5" s="1"/>
  <c r="O410" i="5"/>
  <c r="AM410" i="5" s="1"/>
  <c r="O408" i="5"/>
  <c r="AM408" i="5" s="1"/>
  <c r="O404" i="5"/>
  <c r="AM404" i="5" s="1"/>
  <c r="O402" i="5"/>
  <c r="AM402" i="5" s="1"/>
  <c r="O400" i="5"/>
  <c r="AM400" i="5" s="1"/>
  <c r="O398" i="5"/>
  <c r="AM398" i="5" s="1"/>
  <c r="O394" i="5"/>
  <c r="AM394" i="5" s="1"/>
  <c r="O392" i="5"/>
  <c r="AM392" i="5" s="1"/>
  <c r="O390" i="5"/>
  <c r="AM390" i="5" s="1"/>
  <c r="O388" i="5"/>
  <c r="AM388" i="5" s="1"/>
  <c r="O386" i="5"/>
  <c r="AM386" i="5" s="1"/>
  <c r="O381" i="5"/>
  <c r="AM381" i="5" s="1"/>
  <c r="O379" i="5"/>
  <c r="AM379" i="5" s="1"/>
  <c r="O377" i="5"/>
  <c r="AM377" i="5" s="1"/>
  <c r="O373" i="5"/>
  <c r="AM373" i="5" s="1"/>
  <c r="O369" i="5"/>
  <c r="V373" i="8"/>
  <c r="AQ373" i="8" s="1"/>
  <c r="V371" i="8"/>
  <c r="AQ371" i="8" s="1"/>
  <c r="V365" i="8"/>
  <c r="AQ365" i="8" s="1"/>
  <c r="V363" i="8"/>
  <c r="AQ363" i="8" s="1"/>
  <c r="V357" i="8"/>
  <c r="AQ357" i="8" s="1"/>
  <c r="V355" i="8"/>
  <c r="AQ355" i="8" s="1"/>
  <c r="V349" i="8"/>
  <c r="AQ349" i="8" s="1"/>
  <c r="V347" i="8"/>
  <c r="AQ347" i="8" s="1"/>
  <c r="V341" i="8"/>
  <c r="AQ341" i="8" s="1"/>
  <c r="V339" i="8"/>
  <c r="AQ339" i="8" s="1"/>
  <c r="V333" i="8"/>
  <c r="AQ333" i="8" s="1"/>
  <c r="V331" i="8"/>
  <c r="AQ331" i="8" s="1"/>
  <c r="V325" i="8"/>
  <c r="AQ325" i="8" s="1"/>
  <c r="V323" i="8"/>
  <c r="AQ323" i="8" s="1"/>
  <c r="V317" i="8"/>
  <c r="AQ317" i="8" s="1"/>
  <c r="V315" i="8"/>
  <c r="AQ315" i="8" s="1"/>
  <c r="V309" i="8"/>
  <c r="AQ309" i="8" s="1"/>
  <c r="V307" i="8"/>
  <c r="AQ307" i="8" s="1"/>
  <c r="V292" i="8"/>
  <c r="AQ292" i="8" s="1"/>
  <c r="V285" i="8"/>
  <c r="AQ285" i="8" s="1"/>
  <c r="V283" i="8"/>
  <c r="AQ283" i="8" s="1"/>
  <c r="V281" i="8"/>
  <c r="AQ281" i="8" s="1"/>
  <c r="V279" i="8"/>
  <c r="AQ279" i="8" s="1"/>
  <c r="V277" i="8"/>
  <c r="AQ277" i="8" s="1"/>
  <c r="V275" i="8"/>
  <c r="AQ275" i="8" s="1"/>
  <c r="V273" i="8"/>
  <c r="AQ273" i="8" s="1"/>
  <c r="V268" i="8"/>
  <c r="AQ268" i="8" s="1"/>
  <c r="V266" i="8"/>
  <c r="AQ266" i="8" s="1"/>
  <c r="V264" i="8"/>
  <c r="AQ264" i="8" s="1"/>
  <c r="V259" i="8"/>
  <c r="AQ259" i="8" s="1"/>
  <c r="V257" i="8"/>
  <c r="AQ257" i="8" s="1"/>
  <c r="V255" i="8"/>
  <c r="AQ255" i="8" s="1"/>
  <c r="V253" i="8"/>
  <c r="AQ253" i="8" s="1"/>
  <c r="V248" i="8"/>
  <c r="AQ248" i="8" s="1"/>
  <c r="V246" i="8"/>
  <c r="AQ246" i="8" s="1"/>
  <c r="V140" i="8"/>
  <c r="AQ140" i="8" s="1"/>
  <c r="V138" i="8"/>
  <c r="AQ138" i="8" s="1"/>
  <c r="V136" i="8"/>
  <c r="AQ136" i="8" s="1"/>
  <c r="V134" i="8"/>
  <c r="AQ134" i="8" s="1"/>
  <c r="V132" i="8"/>
  <c r="AQ132" i="8" s="1"/>
  <c r="V130" i="8"/>
  <c r="AQ130" i="8" s="1"/>
  <c r="V123" i="8"/>
  <c r="AQ123" i="8" s="1"/>
  <c r="V113" i="8"/>
  <c r="AQ113" i="8" s="1"/>
  <c r="V105" i="8"/>
  <c r="AQ105" i="8" s="1"/>
  <c r="V98" i="8"/>
  <c r="AQ98" i="8" s="1"/>
  <c r="V96" i="8"/>
  <c r="AQ96" i="8" s="1"/>
  <c r="V94" i="8"/>
  <c r="AQ94" i="8" s="1"/>
  <c r="V92" i="8"/>
  <c r="AQ92" i="8" s="1"/>
  <c r="V87" i="8"/>
  <c r="AQ87" i="8" s="1"/>
  <c r="V85" i="8"/>
  <c r="AQ85" i="8" s="1"/>
  <c r="V83" i="8"/>
  <c r="AQ83" i="8" s="1"/>
  <c r="V81" i="8"/>
  <c r="AQ81" i="8" s="1"/>
  <c r="V79" i="8"/>
  <c r="AQ79" i="8" s="1"/>
  <c r="V73" i="8"/>
  <c r="AQ73" i="8" s="1"/>
  <c r="V71" i="8"/>
  <c r="AQ71" i="8" s="1"/>
  <c r="V69" i="8"/>
  <c r="AQ69" i="8" s="1"/>
  <c r="V64" i="8"/>
  <c r="AQ64" i="8" s="1"/>
  <c r="V62" i="8"/>
  <c r="AQ62" i="8" s="1"/>
  <c r="V60" i="8"/>
  <c r="AQ60" i="8" s="1"/>
  <c r="V58" i="8"/>
  <c r="AQ58" i="8" s="1"/>
  <c r="V56" i="8"/>
  <c r="AQ56" i="8" s="1"/>
  <c r="V54" i="8"/>
  <c r="AQ54" i="8" s="1"/>
  <c r="V49" i="8"/>
  <c r="AQ49" i="8" s="1"/>
  <c r="V42" i="8"/>
  <c r="AQ42" i="8" s="1"/>
  <c r="V40" i="8"/>
  <c r="AQ40" i="8" s="1"/>
  <c r="V38" i="8"/>
  <c r="AQ38" i="8" s="1"/>
  <c r="V15" i="8"/>
  <c r="AQ15" i="8" s="1"/>
  <c r="O33" i="8"/>
  <c r="AM33" i="8" s="1"/>
  <c r="O31" i="8"/>
  <c r="AM31" i="8" s="1"/>
  <c r="O26" i="8"/>
  <c r="AM26" i="8" s="1"/>
  <c r="O16" i="8"/>
  <c r="AM16" i="8" s="1"/>
  <c r="AL439" i="8"/>
  <c r="AL440" i="8"/>
  <c r="V439" i="8"/>
  <c r="AQ439" i="8" s="1"/>
  <c r="AQ440" i="8"/>
  <c r="AK428" i="8"/>
  <c r="AK433" i="8"/>
  <c r="H417" i="8"/>
  <c r="AI417" i="8" s="1"/>
  <c r="AB417" i="8"/>
  <c r="AB379" i="8"/>
  <c r="H379" i="8"/>
  <c r="AI379" i="8" s="1"/>
  <c r="AQ383" i="8"/>
  <c r="V377" i="8"/>
  <c r="AQ377" i="8" s="1"/>
  <c r="AB373" i="8"/>
  <c r="H373" i="8"/>
  <c r="AI373" i="8" s="1"/>
  <c r="AB371" i="8"/>
  <c r="H371" i="8"/>
  <c r="AI371" i="8" s="1"/>
  <c r="AI375" i="8"/>
  <c r="H369" i="8"/>
  <c r="AI369" i="8" s="1"/>
  <c r="AB369" i="8"/>
  <c r="AB365" i="8"/>
  <c r="H365" i="8"/>
  <c r="AI365" i="8" s="1"/>
  <c r="H363" i="8"/>
  <c r="AI363" i="8" s="1"/>
  <c r="AB363" i="8"/>
  <c r="H361" i="8"/>
  <c r="AI361" i="8" s="1"/>
  <c r="AB361" i="8"/>
  <c r="AI367" i="8"/>
  <c r="AB357" i="8"/>
  <c r="H357" i="8"/>
  <c r="AI357" i="8" s="1"/>
  <c r="AB355" i="8"/>
  <c r="H355" i="8"/>
  <c r="AI355" i="8" s="1"/>
  <c r="AQ359" i="8"/>
  <c r="V353" i="8"/>
  <c r="AQ353" i="8" s="1"/>
  <c r="AI359" i="8"/>
  <c r="AB353" i="8"/>
  <c r="H353" i="8"/>
  <c r="AI353" i="8" s="1"/>
  <c r="H349" i="8"/>
  <c r="AI349" i="8" s="1"/>
  <c r="AB349" i="8"/>
  <c r="AB347" i="8"/>
  <c r="H347" i="8"/>
  <c r="AI347" i="8" s="1"/>
  <c r="AI351" i="8"/>
  <c r="AB345" i="8"/>
  <c r="H345" i="8"/>
  <c r="AI345" i="8" s="1"/>
  <c r="H341" i="8"/>
  <c r="AI341" i="8" s="1"/>
  <c r="AB341" i="8"/>
  <c r="AB339" i="8"/>
  <c r="H339" i="8"/>
  <c r="AI339" i="8" s="1"/>
  <c r="AQ343" i="8"/>
  <c r="V337" i="8"/>
  <c r="AQ337" i="8" s="1"/>
  <c r="AB333" i="8"/>
  <c r="H333" i="8"/>
  <c r="AI333" i="8" s="1"/>
  <c r="AB331" i="8"/>
  <c r="H331" i="8"/>
  <c r="AI331" i="8" s="1"/>
  <c r="AI335" i="8"/>
  <c r="AB329" i="8"/>
  <c r="H329" i="8"/>
  <c r="AI329" i="8" s="1"/>
  <c r="AB325" i="8"/>
  <c r="H325" i="8"/>
  <c r="AI325" i="8" s="1"/>
  <c r="AB323" i="8"/>
  <c r="H323" i="8"/>
  <c r="AI323" i="8" s="1"/>
  <c r="AQ327" i="8"/>
  <c r="V321" i="8"/>
  <c r="AQ321" i="8" s="1"/>
  <c r="AB317" i="8"/>
  <c r="H317" i="8"/>
  <c r="AI317" i="8" s="1"/>
  <c r="AB315" i="8"/>
  <c r="H315" i="8"/>
  <c r="AI315" i="8" s="1"/>
  <c r="AI319" i="8"/>
  <c r="H313" i="8"/>
  <c r="AI313" i="8" s="1"/>
  <c r="AB313" i="8"/>
  <c r="AB309" i="8"/>
  <c r="H309" i="8"/>
  <c r="AI309" i="8" s="1"/>
  <c r="AB307" i="8"/>
  <c r="H307" i="8"/>
  <c r="AI307" i="8" s="1"/>
  <c r="AQ311" i="8"/>
  <c r="V305" i="8"/>
  <c r="AQ305" i="8" s="1"/>
  <c r="AB294" i="8"/>
  <c r="H294" i="8"/>
  <c r="AI294" i="8" s="1"/>
  <c r="AB292" i="8"/>
  <c r="H292" i="8"/>
  <c r="AI292" i="8" s="1"/>
  <c r="AI296" i="8"/>
  <c r="H290" i="8"/>
  <c r="AI290" i="8" s="1"/>
  <c r="AB290" i="8"/>
  <c r="AB285" i="8"/>
  <c r="H285" i="8"/>
  <c r="AI285" i="8" s="1"/>
  <c r="AB283" i="8"/>
  <c r="H283" i="8"/>
  <c r="AI283" i="8" s="1"/>
  <c r="AB281" i="8"/>
  <c r="H281" i="8"/>
  <c r="AI281" i="8" s="1"/>
  <c r="AB279" i="8"/>
  <c r="H279" i="8"/>
  <c r="AI279" i="8" s="1"/>
  <c r="AB277" i="8"/>
  <c r="H277" i="8"/>
  <c r="AI277" i="8" s="1"/>
  <c r="AB275" i="8"/>
  <c r="H275" i="8"/>
  <c r="AI275" i="8" s="1"/>
  <c r="AB273" i="8"/>
  <c r="H273" i="8"/>
  <c r="AI273" i="8" s="1"/>
  <c r="AB268" i="8"/>
  <c r="H268" i="8"/>
  <c r="AI268" i="8" s="1"/>
  <c r="AB266" i="8"/>
  <c r="H266" i="8"/>
  <c r="AI266" i="8" s="1"/>
  <c r="AB264" i="8"/>
  <c r="H264" i="8"/>
  <c r="AI264" i="8" s="1"/>
  <c r="AB259" i="8"/>
  <c r="H259" i="8"/>
  <c r="AI259" i="8" s="1"/>
  <c r="AB257" i="8"/>
  <c r="H257" i="8"/>
  <c r="AI257" i="8" s="1"/>
  <c r="H255" i="8"/>
  <c r="AI255" i="8" s="1"/>
  <c r="AB255" i="8"/>
  <c r="H248" i="8"/>
  <c r="AI248" i="8" s="1"/>
  <c r="AB248" i="8"/>
  <c r="AB246" i="8"/>
  <c r="H246" i="8"/>
  <c r="AI246" i="8" s="1"/>
  <c r="AM250" i="8"/>
  <c r="O245" i="8"/>
  <c r="AM245" i="8" s="1"/>
  <c r="AM149" i="8"/>
  <c r="O144" i="8"/>
  <c r="AM144" i="8" s="1"/>
  <c r="AB140" i="8"/>
  <c r="H140" i="8"/>
  <c r="AI140" i="8" s="1"/>
  <c r="AB138" i="8"/>
  <c r="H138" i="8"/>
  <c r="AI138" i="8" s="1"/>
  <c r="AB136" i="8"/>
  <c r="H136" i="8"/>
  <c r="AI136" i="8" s="1"/>
  <c r="AB134" i="8"/>
  <c r="H134" i="8"/>
  <c r="AI134" i="8" s="1"/>
  <c r="AB132" i="8"/>
  <c r="H132" i="8"/>
  <c r="AI132" i="8" s="1"/>
  <c r="AB130" i="8"/>
  <c r="H130" i="8"/>
  <c r="AI130" i="8" s="1"/>
  <c r="AB123" i="8"/>
  <c r="H123" i="8"/>
  <c r="AI123" i="8" s="1"/>
  <c r="V121" i="8"/>
  <c r="AQ121" i="8" s="1"/>
  <c r="AQ126" i="8"/>
  <c r="AI126" i="8"/>
  <c r="AB121" i="8"/>
  <c r="H121" i="8"/>
  <c r="AI121" i="8" s="1"/>
  <c r="AB113" i="8"/>
  <c r="H113" i="8"/>
  <c r="AI113" i="8" s="1"/>
  <c r="AQ116" i="8"/>
  <c r="V111" i="8"/>
  <c r="AQ111" i="8" s="1"/>
  <c r="AI116" i="8"/>
  <c r="AB111" i="8"/>
  <c r="H111" i="8"/>
  <c r="AI111" i="8" s="1"/>
  <c r="AB105" i="8"/>
  <c r="H105" i="8"/>
  <c r="AI105" i="8" s="1"/>
  <c r="V103" i="8"/>
  <c r="AQ103" i="8" s="1"/>
  <c r="AQ108" i="8"/>
  <c r="AI108" i="8"/>
  <c r="AB103" i="8"/>
  <c r="H103" i="8"/>
  <c r="AI103" i="8" s="1"/>
  <c r="AB98" i="8"/>
  <c r="H98" i="8"/>
  <c r="AI98" i="8" s="1"/>
  <c r="AB96" i="8"/>
  <c r="H96" i="8"/>
  <c r="AI96" i="8" s="1"/>
  <c r="AB94" i="8"/>
  <c r="H94" i="8"/>
  <c r="AI94" i="8" s="1"/>
  <c r="AB92" i="8"/>
  <c r="H92" i="8"/>
  <c r="AI92" i="8" s="1"/>
  <c r="AB87" i="8"/>
  <c r="H87" i="8"/>
  <c r="AI87" i="8" s="1"/>
  <c r="AB85" i="8"/>
  <c r="H85" i="8"/>
  <c r="AI85" i="8" s="1"/>
  <c r="AB83" i="8"/>
  <c r="H83" i="8"/>
  <c r="AI83" i="8" s="1"/>
  <c r="AB81" i="8"/>
  <c r="H81" i="8"/>
  <c r="AI81" i="8" s="1"/>
  <c r="AB79" i="8"/>
  <c r="H79" i="8"/>
  <c r="AI79" i="8" s="1"/>
  <c r="AB73" i="8"/>
  <c r="H73" i="8"/>
  <c r="AI73" i="8" s="1"/>
  <c r="AB71" i="8"/>
  <c r="H71" i="8"/>
  <c r="AI71" i="8" s="1"/>
  <c r="AB69" i="8"/>
  <c r="H69" i="8"/>
  <c r="AI69" i="8" s="1"/>
  <c r="AB64" i="8"/>
  <c r="H64" i="8"/>
  <c r="AI64" i="8" s="1"/>
  <c r="AB62" i="8"/>
  <c r="H62" i="8"/>
  <c r="AI62" i="8" s="1"/>
  <c r="AB60" i="8"/>
  <c r="H60" i="8"/>
  <c r="AI60" i="8" s="1"/>
  <c r="AB58" i="8"/>
  <c r="H58" i="8"/>
  <c r="AI58" i="8" s="1"/>
  <c r="AB56" i="8"/>
  <c r="H56" i="8"/>
  <c r="AI56" i="8" s="1"/>
  <c r="AB54" i="8"/>
  <c r="H54" i="8"/>
  <c r="AI54" i="8" s="1"/>
  <c r="AB49" i="8"/>
  <c r="H49" i="8"/>
  <c r="AI49" i="8" s="1"/>
  <c r="AB47" i="8"/>
  <c r="H47" i="8"/>
  <c r="AI47" i="8" s="1"/>
  <c r="AI52" i="8"/>
  <c r="AB42" i="8"/>
  <c r="H42" i="8"/>
  <c r="AI42" i="8" s="1"/>
  <c r="AB40" i="8"/>
  <c r="H40" i="8"/>
  <c r="AI40" i="8" s="1"/>
  <c r="O17" i="8"/>
  <c r="AM17" i="8" s="1"/>
  <c r="O27" i="8"/>
  <c r="O218" i="8"/>
  <c r="AM218" i="8" s="1"/>
  <c r="O206" i="8"/>
  <c r="AM206" i="8" s="1"/>
  <c r="O191" i="8"/>
  <c r="AM191" i="8" s="1"/>
  <c r="O148" i="8"/>
  <c r="AM148" i="8" s="1"/>
  <c r="O125" i="8"/>
  <c r="AM125" i="8" s="1"/>
  <c r="O107" i="8"/>
  <c r="AM107" i="8" s="1"/>
  <c r="O19" i="8"/>
  <c r="AM19" i="8" s="1"/>
  <c r="O35" i="8"/>
  <c r="AM35" i="8" s="1"/>
  <c r="O51" i="8"/>
  <c r="AM51" i="8" s="1"/>
  <c r="O172" i="8"/>
  <c r="AM172" i="8" s="1"/>
  <c r="O295" i="8"/>
  <c r="AM295" i="8" s="1"/>
  <c r="O199" i="8"/>
  <c r="AM199" i="8" s="1"/>
  <c r="O115" i="8"/>
  <c r="AM115" i="8" s="1"/>
  <c r="O44" i="8"/>
  <c r="AM44" i="8" s="1"/>
  <c r="O74" i="8"/>
  <c r="AM74" i="8" s="1"/>
  <c r="O179" i="8"/>
  <c r="AM179" i="8" s="1"/>
  <c r="O232" i="8"/>
  <c r="AM232" i="8" s="1"/>
  <c r="O270" i="8"/>
  <c r="AM270" i="8" s="1"/>
  <c r="O261" i="8"/>
  <c r="AM261" i="8" s="1"/>
  <c r="O212" i="8"/>
  <c r="AM212" i="8" s="1"/>
  <c r="O241" i="8"/>
  <c r="AM241" i="8" s="1"/>
  <c r="O249" i="8"/>
  <c r="AM249" i="8" s="1"/>
  <c r="H25" i="8"/>
  <c r="AI25" i="8" s="1"/>
  <c r="AB25" i="8"/>
  <c r="V17" i="8"/>
  <c r="AQ17" i="8" s="1"/>
  <c r="V19" i="8"/>
  <c r="AQ19" i="8" s="1"/>
  <c r="V44" i="8"/>
  <c r="AQ44" i="8" s="1"/>
  <c r="V74" i="8"/>
  <c r="AQ74" i="8" s="1"/>
  <c r="V179" i="8"/>
  <c r="AQ179" i="8" s="1"/>
  <c r="V218" i="8"/>
  <c r="AQ218" i="8" s="1"/>
  <c r="V206" i="8"/>
  <c r="AQ206" i="8" s="1"/>
  <c r="V191" i="8"/>
  <c r="AQ191" i="8" s="1"/>
  <c r="V148" i="8"/>
  <c r="AQ148" i="8" s="1"/>
  <c r="V125" i="8"/>
  <c r="AQ125" i="8" s="1"/>
  <c r="V107" i="8"/>
  <c r="AQ107" i="8" s="1"/>
  <c r="V295" i="8"/>
  <c r="AQ295" i="8" s="1"/>
  <c r="V199" i="8"/>
  <c r="AQ199" i="8" s="1"/>
  <c r="V115" i="8"/>
  <c r="AQ115" i="8" s="1"/>
  <c r="V27" i="8"/>
  <c r="V232" i="8"/>
  <c r="AQ232" i="8" s="1"/>
  <c r="V249" i="8"/>
  <c r="AQ249" i="8" s="1"/>
  <c r="V35" i="8"/>
  <c r="AQ35" i="8" s="1"/>
  <c r="V51" i="8"/>
  <c r="AQ51" i="8" s="1"/>
  <c r="V172" i="8"/>
  <c r="AQ172" i="8" s="1"/>
  <c r="V212" i="8"/>
  <c r="AQ212" i="8" s="1"/>
  <c r="V241" i="8"/>
  <c r="AQ241" i="8" s="1"/>
  <c r="V261" i="8"/>
  <c r="AQ261" i="8" s="1"/>
  <c r="V270" i="8"/>
  <c r="AQ270" i="8" s="1"/>
  <c r="V452" i="8"/>
  <c r="AQ452" i="8" s="1"/>
  <c r="AB452" i="8"/>
  <c r="H452" i="8"/>
  <c r="AI452" i="8" s="1"/>
  <c r="O451" i="8"/>
  <c r="AM451" i="8" s="1"/>
  <c r="V450" i="8"/>
  <c r="AQ450" i="8" s="1"/>
  <c r="AB450" i="8"/>
  <c r="H450" i="8"/>
  <c r="AI450" i="8" s="1"/>
  <c r="O449" i="8"/>
  <c r="AM449" i="8" s="1"/>
  <c r="V448" i="8"/>
  <c r="AQ448" i="8" s="1"/>
  <c r="AB448" i="8"/>
  <c r="H448" i="8"/>
  <c r="AI448" i="8" s="1"/>
  <c r="O447" i="8"/>
  <c r="AM447" i="8" s="1"/>
  <c r="V446" i="8"/>
  <c r="AQ446" i="8" s="1"/>
  <c r="AB446" i="8"/>
  <c r="H446" i="8"/>
  <c r="AI446" i="8" s="1"/>
  <c r="O445" i="8"/>
  <c r="AM445" i="8" s="1"/>
  <c r="V444" i="8"/>
  <c r="AQ444" i="8" s="1"/>
  <c r="AB444" i="8"/>
  <c r="H444" i="8"/>
  <c r="AI444" i="8" s="1"/>
  <c r="O443" i="8"/>
  <c r="AM443" i="8" s="1"/>
  <c r="V442" i="8"/>
  <c r="AQ442" i="8" s="1"/>
  <c r="AB442" i="8"/>
  <c r="H442" i="8"/>
  <c r="AI442" i="8" s="1"/>
  <c r="O439" i="8"/>
  <c r="V438" i="8"/>
  <c r="AQ438" i="8" s="1"/>
  <c r="AB438" i="8"/>
  <c r="H438" i="8"/>
  <c r="AI438" i="8" s="1"/>
  <c r="O437" i="8"/>
  <c r="AM437" i="8" s="1"/>
  <c r="V436" i="8"/>
  <c r="AQ436" i="8" s="1"/>
  <c r="AB436" i="8"/>
  <c r="H436" i="8"/>
  <c r="AI436" i="8" s="1"/>
  <c r="O435" i="8"/>
  <c r="AM435" i="8" s="1"/>
  <c r="V432" i="8"/>
  <c r="AQ432" i="8" s="1"/>
  <c r="H432" i="8"/>
  <c r="AI432" i="8" s="1"/>
  <c r="AB432" i="8"/>
  <c r="O431" i="8"/>
  <c r="AM431" i="8" s="1"/>
  <c r="V430" i="8"/>
  <c r="AQ430" i="8" s="1"/>
  <c r="H430" i="8"/>
  <c r="AI430" i="8" s="1"/>
  <c r="AB430" i="8"/>
  <c r="O429" i="8"/>
  <c r="AM429" i="8" s="1"/>
  <c r="AQ433" i="8"/>
  <c r="V428" i="8"/>
  <c r="AQ428" i="8" s="1"/>
  <c r="AI433" i="8"/>
  <c r="AB428" i="8"/>
  <c r="H428" i="8"/>
  <c r="AI428" i="8" s="1"/>
  <c r="O425" i="8"/>
  <c r="AM425" i="8" s="1"/>
  <c r="V424" i="8"/>
  <c r="AQ424" i="8" s="1"/>
  <c r="AB424" i="8"/>
  <c r="H424" i="8"/>
  <c r="AI424" i="8" s="1"/>
  <c r="O423" i="8"/>
  <c r="AM423" i="8" s="1"/>
  <c r="V422" i="8"/>
  <c r="AQ422" i="8" s="1"/>
  <c r="AB422" i="8"/>
  <c r="H422" i="8"/>
  <c r="AI422" i="8" s="1"/>
  <c r="O421" i="8"/>
  <c r="AM421" i="8" s="1"/>
  <c r="V420" i="8"/>
  <c r="AQ420" i="8" s="1"/>
  <c r="AB420" i="8"/>
  <c r="H420" i="8"/>
  <c r="AI420" i="8" s="1"/>
  <c r="O417" i="8"/>
  <c r="AM417" i="8" s="1"/>
  <c r="V416" i="8"/>
  <c r="AQ416" i="8" s="1"/>
  <c r="AB416" i="8"/>
  <c r="H416" i="8"/>
  <c r="AI416" i="8" s="1"/>
  <c r="O415" i="8"/>
  <c r="AM415" i="8" s="1"/>
  <c r="V414" i="8"/>
  <c r="AQ414" i="8" s="1"/>
  <c r="AB414" i="8"/>
  <c r="H414" i="8"/>
  <c r="AI414" i="8" s="1"/>
  <c r="O411" i="8"/>
  <c r="AM411" i="8" s="1"/>
  <c r="V410" i="8"/>
  <c r="AQ410" i="8" s="1"/>
  <c r="AB410" i="8"/>
  <c r="H410" i="8"/>
  <c r="AI410" i="8" s="1"/>
  <c r="O409" i="8"/>
  <c r="AM409" i="8" s="1"/>
  <c r="V408" i="8"/>
  <c r="AQ408" i="8" s="1"/>
  <c r="AB408" i="8"/>
  <c r="H408" i="8"/>
  <c r="AI408" i="8" s="1"/>
  <c r="O407" i="8"/>
  <c r="AM407" i="8" s="1"/>
  <c r="V404" i="8"/>
  <c r="AQ404" i="8" s="1"/>
  <c r="AB404" i="8"/>
  <c r="H404" i="8"/>
  <c r="AI404" i="8" s="1"/>
  <c r="O403" i="8"/>
  <c r="AM403" i="8" s="1"/>
  <c r="V402" i="8"/>
  <c r="AQ402" i="8" s="1"/>
  <c r="AB402" i="8"/>
  <c r="H402" i="8"/>
  <c r="AI402" i="8" s="1"/>
  <c r="O401" i="8"/>
  <c r="AM401" i="8" s="1"/>
  <c r="V400" i="8"/>
  <c r="AQ400" i="8" s="1"/>
  <c r="AB400" i="8"/>
  <c r="H400" i="8"/>
  <c r="AI400" i="8" s="1"/>
  <c r="O399" i="8"/>
  <c r="AM399" i="8" s="1"/>
  <c r="V398" i="8"/>
  <c r="AQ398" i="8" s="1"/>
  <c r="AB398" i="8"/>
  <c r="H398" i="8"/>
  <c r="AI398" i="8" s="1"/>
  <c r="O397" i="8"/>
  <c r="AM397" i="8" s="1"/>
  <c r="V394" i="8"/>
  <c r="AQ394" i="8" s="1"/>
  <c r="AB394" i="8"/>
  <c r="H394" i="8"/>
  <c r="AI394" i="8" s="1"/>
  <c r="O393" i="8"/>
  <c r="AM393" i="8" s="1"/>
  <c r="V392" i="8"/>
  <c r="AQ392" i="8" s="1"/>
  <c r="AB392" i="8"/>
  <c r="H392" i="8"/>
  <c r="AI392" i="8" s="1"/>
  <c r="O391" i="8"/>
  <c r="AM391" i="8" s="1"/>
  <c r="V390" i="8"/>
  <c r="AQ390" i="8" s="1"/>
  <c r="AB390" i="8"/>
  <c r="H390" i="8"/>
  <c r="AI390" i="8" s="1"/>
  <c r="O389" i="8"/>
  <c r="AM389" i="8" s="1"/>
  <c r="V388" i="8"/>
  <c r="AQ388" i="8" s="1"/>
  <c r="AB388" i="8"/>
  <c r="H388" i="8"/>
  <c r="AI388" i="8" s="1"/>
  <c r="O387" i="8"/>
  <c r="AM387" i="8" s="1"/>
  <c r="V386" i="8"/>
  <c r="AQ386" i="8" s="1"/>
  <c r="AB386" i="8"/>
  <c r="H386" i="8"/>
  <c r="AI386" i="8" s="1"/>
  <c r="O382" i="8"/>
  <c r="AM382" i="8" s="1"/>
  <c r="V381" i="8"/>
  <c r="AQ381" i="8" s="1"/>
  <c r="AB381" i="8"/>
  <c r="H381" i="8"/>
  <c r="AI381" i="8" s="1"/>
  <c r="O380" i="8"/>
  <c r="AM380" i="8" s="1"/>
  <c r="V379" i="8"/>
  <c r="AQ379" i="8" s="1"/>
  <c r="AL383" i="8"/>
  <c r="AL377" i="8"/>
  <c r="AL361" i="8"/>
  <c r="AL367" i="8"/>
  <c r="AL351" i="8"/>
  <c r="AL345" i="8"/>
  <c r="AL335" i="8"/>
  <c r="AL329" i="8"/>
  <c r="AL313" i="8"/>
  <c r="AL319" i="8"/>
  <c r="V378" i="8"/>
  <c r="AQ378" i="8" s="1"/>
  <c r="AB378" i="8"/>
  <c r="H378" i="8"/>
  <c r="AI378" i="8" s="1"/>
  <c r="O377" i="8"/>
  <c r="V374" i="8"/>
  <c r="AQ374" i="8" s="1"/>
  <c r="AB374" i="8"/>
  <c r="H374" i="8"/>
  <c r="AI374" i="8" s="1"/>
  <c r="O373" i="8"/>
  <c r="AM373" i="8" s="1"/>
  <c r="V372" i="8"/>
  <c r="AQ372" i="8" s="1"/>
  <c r="AB372" i="8"/>
  <c r="H372" i="8"/>
  <c r="AI372" i="8" s="1"/>
  <c r="O371" i="8"/>
  <c r="AM371" i="8" s="1"/>
  <c r="V370" i="8"/>
  <c r="AQ370" i="8" s="1"/>
  <c r="AB370" i="8"/>
  <c r="H370" i="8"/>
  <c r="AI370" i="8" s="1"/>
  <c r="O369" i="8"/>
  <c r="V366" i="8"/>
  <c r="AQ366" i="8" s="1"/>
  <c r="AB366" i="8"/>
  <c r="H366" i="8"/>
  <c r="AI366" i="8" s="1"/>
  <c r="O365" i="8"/>
  <c r="AM365" i="8" s="1"/>
  <c r="V364" i="8"/>
  <c r="AQ364" i="8" s="1"/>
  <c r="AB364" i="8"/>
  <c r="H364" i="8"/>
  <c r="AI364" i="8" s="1"/>
  <c r="O363" i="8"/>
  <c r="AM363" i="8" s="1"/>
  <c r="V362" i="8"/>
  <c r="AQ362" i="8" s="1"/>
  <c r="AB362" i="8"/>
  <c r="H362" i="8"/>
  <c r="AI362" i="8" s="1"/>
  <c r="AK367" i="8"/>
  <c r="AK361" i="8"/>
  <c r="V358" i="8"/>
  <c r="AQ358" i="8" s="1"/>
  <c r="AB358" i="8"/>
  <c r="H358" i="8"/>
  <c r="AI358" i="8" s="1"/>
  <c r="O357" i="8"/>
  <c r="AM357" i="8" s="1"/>
  <c r="V356" i="8"/>
  <c r="AQ356" i="8" s="1"/>
  <c r="H356" i="8"/>
  <c r="AI356" i="8" s="1"/>
  <c r="AB356" i="8"/>
  <c r="O355" i="8"/>
  <c r="AM355" i="8" s="1"/>
  <c r="V354" i="8"/>
  <c r="AQ354" i="8" s="1"/>
  <c r="AB354" i="8"/>
  <c r="H354" i="8"/>
  <c r="AI354" i="8" s="1"/>
  <c r="O353" i="8"/>
  <c r="V350" i="8"/>
  <c r="AQ350" i="8" s="1"/>
  <c r="AB350" i="8"/>
  <c r="H350" i="8"/>
  <c r="AI350" i="8" s="1"/>
  <c r="O349" i="8"/>
  <c r="AM349" i="8" s="1"/>
  <c r="V348" i="8"/>
  <c r="AQ348" i="8" s="1"/>
  <c r="AB348" i="8"/>
  <c r="H348" i="8"/>
  <c r="AI348" i="8" s="1"/>
  <c r="O347" i="8"/>
  <c r="AM347" i="8" s="1"/>
  <c r="V346" i="8"/>
  <c r="AQ346" i="8" s="1"/>
  <c r="AB346" i="8"/>
  <c r="H346" i="8"/>
  <c r="AI346" i="8" s="1"/>
  <c r="O345" i="8"/>
  <c r="V342" i="8"/>
  <c r="AQ342" i="8" s="1"/>
  <c r="AB342" i="8"/>
  <c r="H342" i="8"/>
  <c r="AI342" i="8" s="1"/>
  <c r="O341" i="8"/>
  <c r="AM341" i="8" s="1"/>
  <c r="V340" i="8"/>
  <c r="AQ340" i="8" s="1"/>
  <c r="AB340" i="8"/>
  <c r="H340" i="8"/>
  <c r="AI340" i="8" s="1"/>
  <c r="O339" i="8"/>
  <c r="AM339" i="8" s="1"/>
  <c r="V338" i="8"/>
  <c r="AQ338" i="8" s="1"/>
  <c r="AB338" i="8"/>
  <c r="H338" i="8"/>
  <c r="AI338" i="8" s="1"/>
  <c r="O337" i="8"/>
  <c r="V334" i="8"/>
  <c r="AQ334" i="8" s="1"/>
  <c r="AB334" i="8"/>
  <c r="H334" i="8"/>
  <c r="AI334" i="8" s="1"/>
  <c r="O333" i="8"/>
  <c r="AM333" i="8" s="1"/>
  <c r="V332" i="8"/>
  <c r="AQ332" i="8" s="1"/>
  <c r="AB332" i="8"/>
  <c r="H332" i="8"/>
  <c r="AI332" i="8" s="1"/>
  <c r="O331" i="8"/>
  <c r="AM331" i="8" s="1"/>
  <c r="V330" i="8"/>
  <c r="AQ330" i="8" s="1"/>
  <c r="AB330" i="8"/>
  <c r="H330" i="8"/>
  <c r="AI330" i="8" s="1"/>
  <c r="O329" i="8"/>
  <c r="V326" i="8"/>
  <c r="AQ326" i="8" s="1"/>
  <c r="H326" i="8"/>
  <c r="AI326" i="8" s="1"/>
  <c r="AB326" i="8"/>
  <c r="O325" i="8"/>
  <c r="AM325" i="8" s="1"/>
  <c r="V324" i="8"/>
  <c r="AQ324" i="8" s="1"/>
  <c r="H324" i="8"/>
  <c r="AI324" i="8" s="1"/>
  <c r="AB324" i="8"/>
  <c r="O323" i="8"/>
  <c r="AM323" i="8" s="1"/>
  <c r="V322" i="8"/>
  <c r="AQ322" i="8" s="1"/>
  <c r="H322" i="8"/>
  <c r="AI322" i="8" s="1"/>
  <c r="AB322" i="8"/>
  <c r="O321" i="8"/>
  <c r="V318" i="8"/>
  <c r="AQ318" i="8" s="1"/>
  <c r="AB318" i="8"/>
  <c r="H318" i="8"/>
  <c r="AI318" i="8" s="1"/>
  <c r="O317" i="8"/>
  <c r="AM317" i="8" s="1"/>
  <c r="V316" i="8"/>
  <c r="AQ316" i="8" s="1"/>
  <c r="H316" i="8"/>
  <c r="AI316" i="8" s="1"/>
  <c r="AB316" i="8"/>
  <c r="O315" i="8"/>
  <c r="AM315" i="8" s="1"/>
  <c r="V314" i="8"/>
  <c r="AQ314" i="8" s="1"/>
  <c r="AB314" i="8"/>
  <c r="H314" i="8"/>
  <c r="AI314" i="8" s="1"/>
  <c r="O313" i="8"/>
  <c r="V310" i="8"/>
  <c r="AQ310" i="8" s="1"/>
  <c r="H310" i="8"/>
  <c r="AI310" i="8" s="1"/>
  <c r="AB310" i="8"/>
  <c r="O309" i="8"/>
  <c r="AM309" i="8" s="1"/>
  <c r="V308" i="8"/>
  <c r="AQ308" i="8" s="1"/>
  <c r="H308" i="8"/>
  <c r="AI308" i="8" s="1"/>
  <c r="AB308" i="8"/>
  <c r="O307" i="8"/>
  <c r="AM307" i="8" s="1"/>
  <c r="V306" i="8"/>
  <c r="AQ306" i="8" s="1"/>
  <c r="AB306" i="8"/>
  <c r="H306" i="8"/>
  <c r="AI306" i="8" s="1"/>
  <c r="O305" i="8"/>
  <c r="V294" i="8"/>
  <c r="AQ294" i="8" s="1"/>
  <c r="O294" i="8"/>
  <c r="AM294" i="8" s="1"/>
  <c r="V293" i="8"/>
  <c r="AQ293" i="8" s="1"/>
  <c r="AB293" i="8"/>
  <c r="H293" i="8"/>
  <c r="AI293" i="8" s="1"/>
  <c r="O292" i="8"/>
  <c r="AM292" i="8" s="1"/>
  <c r="V291" i="8"/>
  <c r="AQ291" i="8" s="1"/>
  <c r="AB291" i="8"/>
  <c r="H291" i="8"/>
  <c r="AI291" i="8" s="1"/>
  <c r="O290" i="8"/>
  <c r="V286" i="8"/>
  <c r="AQ286" i="8" s="1"/>
  <c r="AB286" i="8"/>
  <c r="H286" i="8"/>
  <c r="AI286" i="8" s="1"/>
  <c r="O285" i="8"/>
  <c r="AM285" i="8" s="1"/>
  <c r="V284" i="8"/>
  <c r="AQ284" i="8" s="1"/>
  <c r="AB284" i="8"/>
  <c r="H284" i="8"/>
  <c r="AI284" i="8" s="1"/>
  <c r="O283" i="8"/>
  <c r="AM283" i="8" s="1"/>
  <c r="V282" i="8"/>
  <c r="AQ282" i="8" s="1"/>
  <c r="AB282" i="8"/>
  <c r="H282" i="8"/>
  <c r="AI282" i="8" s="1"/>
  <c r="O281" i="8"/>
  <c r="AM281" i="8" s="1"/>
  <c r="V280" i="8"/>
  <c r="AQ280" i="8" s="1"/>
  <c r="AB280" i="8"/>
  <c r="H280" i="8"/>
  <c r="AI280" i="8" s="1"/>
  <c r="O279" i="8"/>
  <c r="AM279" i="8" s="1"/>
  <c r="V278" i="8"/>
  <c r="AQ278" i="8" s="1"/>
  <c r="AB278" i="8"/>
  <c r="H278" i="8"/>
  <c r="AI278" i="8" s="1"/>
  <c r="O277" i="8"/>
  <c r="AM277" i="8" s="1"/>
  <c r="V276" i="8"/>
  <c r="AQ276" i="8" s="1"/>
  <c r="AB276" i="8"/>
  <c r="H276" i="8"/>
  <c r="AI276" i="8" s="1"/>
  <c r="O275" i="8"/>
  <c r="AM275" i="8" s="1"/>
  <c r="V274" i="8"/>
  <c r="AQ274" i="8" s="1"/>
  <c r="AB274" i="8"/>
  <c r="H274" i="8"/>
  <c r="AI274" i="8" s="1"/>
  <c r="O273" i="8"/>
  <c r="AM273" i="8" s="1"/>
  <c r="V269" i="8"/>
  <c r="AQ269" i="8" s="1"/>
  <c r="AB269" i="8"/>
  <c r="H269" i="8"/>
  <c r="AI269" i="8" s="1"/>
  <c r="O268" i="8"/>
  <c r="AM268" i="8" s="1"/>
  <c r="V267" i="8"/>
  <c r="AQ267" i="8" s="1"/>
  <c r="AB267" i="8"/>
  <c r="H267" i="8"/>
  <c r="AI267" i="8" s="1"/>
  <c r="O266" i="8"/>
  <c r="AM266" i="8" s="1"/>
  <c r="V265" i="8"/>
  <c r="AQ265" i="8" s="1"/>
  <c r="AB265" i="8"/>
  <c r="H265" i="8"/>
  <c r="AI265" i="8" s="1"/>
  <c r="O264" i="8"/>
  <c r="AM264" i="8" s="1"/>
  <c r="V260" i="8"/>
  <c r="AQ260" i="8" s="1"/>
  <c r="AB260" i="8"/>
  <c r="H260" i="8"/>
  <c r="AI260" i="8" s="1"/>
  <c r="O259" i="8"/>
  <c r="AM259" i="8" s="1"/>
  <c r="V258" i="8"/>
  <c r="AQ258" i="8" s="1"/>
  <c r="AB258" i="8"/>
  <c r="H258" i="8"/>
  <c r="AI258" i="8" s="1"/>
  <c r="O257" i="8"/>
  <c r="AM257" i="8" s="1"/>
  <c r="V256" i="8"/>
  <c r="AQ256" i="8" s="1"/>
  <c r="AB256" i="8"/>
  <c r="H256" i="8"/>
  <c r="AI256" i="8" s="1"/>
  <c r="V254" i="8"/>
  <c r="AQ254" i="8" s="1"/>
  <c r="AB254" i="8"/>
  <c r="H254" i="8"/>
  <c r="AI254" i="8" s="1"/>
  <c r="O253" i="8"/>
  <c r="AM253" i="8" s="1"/>
  <c r="V252" i="8"/>
  <c r="AQ252" i="8" s="1"/>
  <c r="AB252" i="8"/>
  <c r="H252" i="8"/>
  <c r="AI252" i="8" s="1"/>
  <c r="O248" i="8"/>
  <c r="AM248" i="8" s="1"/>
  <c r="V247" i="8"/>
  <c r="AQ247" i="8" s="1"/>
  <c r="AB247" i="8"/>
  <c r="H247" i="8"/>
  <c r="AI247" i="8" s="1"/>
  <c r="O246" i="8"/>
  <c r="AM246" i="8" s="1"/>
  <c r="AB245" i="8"/>
  <c r="AI250" i="8"/>
  <c r="H245" i="8"/>
  <c r="AI245" i="8" s="1"/>
  <c r="O244" i="8"/>
  <c r="AM244" i="8" s="1"/>
  <c r="V240" i="8"/>
  <c r="AQ240" i="8" s="1"/>
  <c r="AB240" i="8"/>
  <c r="H240" i="8"/>
  <c r="AI240" i="8" s="1"/>
  <c r="O239" i="8"/>
  <c r="AM239" i="8" s="1"/>
  <c r="V238" i="8"/>
  <c r="AQ238" i="8" s="1"/>
  <c r="AB238" i="8"/>
  <c r="H238" i="8"/>
  <c r="AI238" i="8" s="1"/>
  <c r="O237" i="8"/>
  <c r="AM237" i="8" s="1"/>
  <c r="V236" i="8"/>
  <c r="AQ236" i="8" s="1"/>
  <c r="AB236" i="8"/>
  <c r="H236" i="8"/>
  <c r="AI236" i="8" s="1"/>
  <c r="O235" i="8"/>
  <c r="AM235" i="8" s="1"/>
  <c r="V231" i="8"/>
  <c r="AQ231" i="8" s="1"/>
  <c r="AB231" i="8"/>
  <c r="H231" i="8"/>
  <c r="AI231" i="8" s="1"/>
  <c r="O230" i="8"/>
  <c r="AM230" i="8" s="1"/>
  <c r="V229" i="8"/>
  <c r="AQ229" i="8" s="1"/>
  <c r="AB229" i="8"/>
  <c r="H229" i="8"/>
  <c r="AI229" i="8" s="1"/>
  <c r="O228" i="8"/>
  <c r="AM228" i="8" s="1"/>
  <c r="V227" i="8"/>
  <c r="AQ227" i="8" s="1"/>
  <c r="AB227" i="8"/>
  <c r="H227" i="8"/>
  <c r="AI227" i="8" s="1"/>
  <c r="O226" i="8"/>
  <c r="AM226" i="8" s="1"/>
  <c r="V225" i="8"/>
  <c r="AQ225" i="8" s="1"/>
  <c r="AB225" i="8"/>
  <c r="H225" i="8"/>
  <c r="AI225" i="8" s="1"/>
  <c r="O224" i="8"/>
  <c r="AM224" i="8" s="1"/>
  <c r="V223" i="8"/>
  <c r="AQ223" i="8" s="1"/>
  <c r="AB223" i="8"/>
  <c r="H223" i="8"/>
  <c r="AI223" i="8" s="1"/>
  <c r="O222" i="8"/>
  <c r="AM222" i="8" s="1"/>
  <c r="V217" i="8"/>
  <c r="AQ217" i="8" s="1"/>
  <c r="AB217" i="8"/>
  <c r="H217" i="8"/>
  <c r="AI217" i="8" s="1"/>
  <c r="O216" i="8"/>
  <c r="AM216" i="8" s="1"/>
  <c r="V215" i="8"/>
  <c r="AQ215" i="8" s="1"/>
  <c r="H215" i="8"/>
  <c r="AI215" i="8" s="1"/>
  <c r="AB215" i="8"/>
  <c r="O211" i="8"/>
  <c r="AM211" i="8" s="1"/>
  <c r="V210" i="8"/>
  <c r="AQ210" i="8" s="1"/>
  <c r="H210" i="8"/>
  <c r="AI210" i="8" s="1"/>
  <c r="AB210" i="8"/>
  <c r="O209" i="8"/>
  <c r="AM209" i="8" s="1"/>
  <c r="V205" i="8"/>
  <c r="AQ205" i="8" s="1"/>
  <c r="H205" i="8"/>
  <c r="AI205" i="8" s="1"/>
  <c r="AB205" i="8"/>
  <c r="O204" i="8"/>
  <c r="AM204" i="8" s="1"/>
  <c r="V203" i="8"/>
  <c r="AQ203" i="8" s="1"/>
  <c r="H203" i="8"/>
  <c r="AI203" i="8" s="1"/>
  <c r="AB203" i="8"/>
  <c r="O202" i="8"/>
  <c r="AM202" i="8" s="1"/>
  <c r="V198" i="8"/>
  <c r="AQ198" i="8" s="1"/>
  <c r="H198" i="8"/>
  <c r="AI198" i="8" s="1"/>
  <c r="AB198" i="8"/>
  <c r="O197" i="8"/>
  <c r="AM197" i="8" s="1"/>
  <c r="V196" i="8"/>
  <c r="AQ196" i="8" s="1"/>
  <c r="H196" i="8"/>
  <c r="AI196" i="8" s="1"/>
  <c r="AB196" i="8"/>
  <c r="O195" i="8"/>
  <c r="AM195" i="8" s="1"/>
  <c r="V190" i="8"/>
  <c r="AQ190" i="8" s="1"/>
  <c r="H190" i="8"/>
  <c r="AI190" i="8" s="1"/>
  <c r="AB190" i="8"/>
  <c r="O189" i="8"/>
  <c r="AM189" i="8" s="1"/>
  <c r="V188" i="8"/>
  <c r="AQ188" i="8" s="1"/>
  <c r="H188" i="8"/>
  <c r="AI188" i="8" s="1"/>
  <c r="AB188" i="8"/>
  <c r="O187" i="8"/>
  <c r="AM187" i="8" s="1"/>
  <c r="V186" i="8"/>
  <c r="AQ186" i="8" s="1"/>
  <c r="H186" i="8"/>
  <c r="AI186" i="8" s="1"/>
  <c r="AB186" i="8"/>
  <c r="O185" i="8"/>
  <c r="AM185" i="8" s="1"/>
  <c r="V184" i="8"/>
  <c r="AQ184" i="8" s="1"/>
  <c r="H184" i="8"/>
  <c r="AI184" i="8" s="1"/>
  <c r="AB184" i="8"/>
  <c r="O183" i="8"/>
  <c r="AM183" i="8" s="1"/>
  <c r="H182" i="8"/>
  <c r="AI182" i="8" s="1"/>
  <c r="AB182" i="8"/>
  <c r="O178" i="8"/>
  <c r="AM178" i="8" s="1"/>
  <c r="V177" i="8"/>
  <c r="AQ177" i="8" s="1"/>
  <c r="AB177" i="8"/>
  <c r="H177" i="8"/>
  <c r="AI177" i="8" s="1"/>
  <c r="O176" i="8"/>
  <c r="AM176" i="8" s="1"/>
  <c r="V175" i="8"/>
  <c r="AQ175" i="8" s="1"/>
  <c r="AB175" i="8"/>
  <c r="H175" i="8"/>
  <c r="AI175" i="8" s="1"/>
  <c r="O171" i="8"/>
  <c r="AM171" i="8" s="1"/>
  <c r="V170" i="8"/>
  <c r="AQ170" i="8" s="1"/>
  <c r="AB170" i="8"/>
  <c r="H170" i="8"/>
  <c r="AI170" i="8" s="1"/>
  <c r="O169" i="8"/>
  <c r="AM169" i="8" s="1"/>
  <c r="V168" i="8"/>
  <c r="AQ168" i="8" s="1"/>
  <c r="AB168" i="8"/>
  <c r="H168" i="8"/>
  <c r="AI168" i="8" s="1"/>
  <c r="O164" i="8"/>
  <c r="AM164" i="8" s="1"/>
  <c r="V163" i="8"/>
  <c r="AQ163" i="8" s="1"/>
  <c r="AB163" i="8"/>
  <c r="H163" i="8"/>
  <c r="AI163" i="8" s="1"/>
  <c r="O162" i="8"/>
  <c r="AM162" i="8" s="1"/>
  <c r="V161" i="8"/>
  <c r="AQ161" i="8" s="1"/>
  <c r="AB161" i="8"/>
  <c r="H161" i="8"/>
  <c r="AI161" i="8" s="1"/>
  <c r="O160" i="8"/>
  <c r="AM160" i="8" s="1"/>
  <c r="V159" i="8"/>
  <c r="AQ159" i="8" s="1"/>
  <c r="AB159" i="8"/>
  <c r="H159" i="8"/>
  <c r="AI159" i="8" s="1"/>
  <c r="O158" i="8"/>
  <c r="AM158" i="8" s="1"/>
  <c r="V157" i="8"/>
  <c r="AQ157" i="8" s="1"/>
  <c r="AB157" i="8"/>
  <c r="H157" i="8"/>
  <c r="AI157" i="8" s="1"/>
  <c r="O156" i="8"/>
  <c r="AM156" i="8" s="1"/>
  <c r="V155" i="8"/>
  <c r="AQ155" i="8" s="1"/>
  <c r="AB155" i="8"/>
  <c r="H155" i="8"/>
  <c r="AI155" i="8" s="1"/>
  <c r="O154" i="8"/>
  <c r="AM154" i="8" s="1"/>
  <c r="V153" i="8"/>
  <c r="AQ153" i="8" s="1"/>
  <c r="AB153" i="8"/>
  <c r="H153" i="8"/>
  <c r="AI153" i="8" s="1"/>
  <c r="O147" i="8"/>
  <c r="AM147" i="8" s="1"/>
  <c r="V146" i="8"/>
  <c r="AQ146" i="8" s="1"/>
  <c r="AB146" i="8"/>
  <c r="H146" i="8"/>
  <c r="AI146" i="8" s="1"/>
  <c r="O145" i="8"/>
  <c r="AM145" i="8" s="1"/>
  <c r="AQ149" i="8"/>
  <c r="V144" i="8"/>
  <c r="AQ144" i="8" s="1"/>
  <c r="O140" i="8"/>
  <c r="AM140" i="8" s="1"/>
  <c r="V139" i="8"/>
  <c r="AQ139" i="8" s="1"/>
  <c r="AB139" i="8"/>
  <c r="H139" i="8"/>
  <c r="AI139" i="8" s="1"/>
  <c r="O138" i="8"/>
  <c r="AM138" i="8" s="1"/>
  <c r="V137" i="8"/>
  <c r="AQ137" i="8" s="1"/>
  <c r="AB137" i="8"/>
  <c r="H137" i="8"/>
  <c r="AI137" i="8" s="1"/>
  <c r="O136" i="8"/>
  <c r="AM136" i="8" s="1"/>
  <c r="V135" i="8"/>
  <c r="AQ135" i="8" s="1"/>
  <c r="AB135" i="8"/>
  <c r="H135" i="8"/>
  <c r="AI135" i="8" s="1"/>
  <c r="O134" i="8"/>
  <c r="AM134" i="8" s="1"/>
  <c r="V133" i="8"/>
  <c r="AQ133" i="8" s="1"/>
  <c r="AB133" i="8"/>
  <c r="H133" i="8"/>
  <c r="AI133" i="8" s="1"/>
  <c r="O132" i="8"/>
  <c r="AM132" i="8" s="1"/>
  <c r="V131" i="8"/>
  <c r="AQ131" i="8" s="1"/>
  <c r="AB131" i="8"/>
  <c r="H131" i="8"/>
  <c r="AI131" i="8" s="1"/>
  <c r="O130" i="8"/>
  <c r="AM130" i="8" s="1"/>
  <c r="V124" i="8"/>
  <c r="AQ124" i="8" s="1"/>
  <c r="AB124" i="8"/>
  <c r="H124" i="8"/>
  <c r="AI124" i="8" s="1"/>
  <c r="O123" i="8"/>
  <c r="AM123" i="8" s="1"/>
  <c r="V122" i="8"/>
  <c r="AQ122" i="8" s="1"/>
  <c r="AB122" i="8"/>
  <c r="H122" i="8"/>
  <c r="AI122" i="8" s="1"/>
  <c r="AM126" i="8"/>
  <c r="O121" i="8"/>
  <c r="AM121" i="8" s="1"/>
  <c r="V106" i="8"/>
  <c r="AQ106" i="8" s="1"/>
  <c r="AB106" i="8"/>
  <c r="H106" i="8"/>
  <c r="AI106" i="8" s="1"/>
  <c r="O105" i="8"/>
  <c r="AM105" i="8" s="1"/>
  <c r="V104" i="8"/>
  <c r="AQ104" i="8" s="1"/>
  <c r="AB104" i="8"/>
  <c r="H104" i="8"/>
  <c r="AI104" i="8" s="1"/>
  <c r="AM108" i="8"/>
  <c r="O103" i="8"/>
  <c r="AM103" i="8" s="1"/>
  <c r="V43" i="8"/>
  <c r="AQ43" i="8" s="1"/>
  <c r="AB43" i="8"/>
  <c r="H43" i="8"/>
  <c r="AI43" i="8" s="1"/>
  <c r="O42" i="8"/>
  <c r="AM42" i="8" s="1"/>
  <c r="V41" i="8"/>
  <c r="AQ41" i="8" s="1"/>
  <c r="AB41" i="8"/>
  <c r="H41" i="8"/>
  <c r="AI41" i="8" s="1"/>
  <c r="O40" i="8"/>
  <c r="AM40" i="8" s="1"/>
  <c r="V39" i="8"/>
  <c r="AQ39" i="8" s="1"/>
  <c r="AB39" i="8"/>
  <c r="H39" i="8"/>
  <c r="AI39" i="8" s="1"/>
  <c r="O38" i="8"/>
  <c r="AM38" i="8" s="1"/>
  <c r="O24" i="8"/>
  <c r="AM24" i="8" s="1"/>
  <c r="AB15" i="8"/>
  <c r="O23" i="8"/>
  <c r="AM23" i="8" s="1"/>
  <c r="V18" i="8"/>
  <c r="AQ18" i="8" s="1"/>
  <c r="V16" i="8"/>
  <c r="AQ16" i="8" s="1"/>
  <c r="AB451" i="8"/>
  <c r="H451" i="8"/>
  <c r="AI451" i="8" s="1"/>
  <c r="AB449" i="8"/>
  <c r="H449" i="8"/>
  <c r="AI449" i="8" s="1"/>
  <c r="AB447" i="8"/>
  <c r="H447" i="8"/>
  <c r="AI447" i="8" s="1"/>
  <c r="AB445" i="8"/>
  <c r="H445" i="8"/>
  <c r="AI445" i="8" s="1"/>
  <c r="AB443" i="8"/>
  <c r="H443" i="8"/>
  <c r="AI443" i="8" s="1"/>
  <c r="AB439" i="8"/>
  <c r="AI440" i="8"/>
  <c r="H439" i="8"/>
  <c r="AI439" i="8" s="1"/>
  <c r="AB437" i="8"/>
  <c r="H437" i="8"/>
  <c r="AI437" i="8" s="1"/>
  <c r="AB435" i="8"/>
  <c r="H435" i="8"/>
  <c r="AI435" i="8" s="1"/>
  <c r="AB431" i="8"/>
  <c r="H431" i="8"/>
  <c r="AI431" i="8" s="1"/>
  <c r="AB429" i="8"/>
  <c r="H429" i="8"/>
  <c r="AI429" i="8" s="1"/>
  <c r="AM433" i="8"/>
  <c r="AM428" i="8"/>
  <c r="H425" i="8"/>
  <c r="AI425" i="8" s="1"/>
  <c r="AB425" i="8"/>
  <c r="H423" i="8"/>
  <c r="AI423" i="8" s="1"/>
  <c r="AB423" i="8"/>
  <c r="H421" i="8"/>
  <c r="AI421" i="8" s="1"/>
  <c r="AB421" i="8"/>
  <c r="H415" i="8"/>
  <c r="AI415" i="8" s="1"/>
  <c r="AB415" i="8"/>
  <c r="AB411" i="8"/>
  <c r="H411" i="8"/>
  <c r="AI411" i="8" s="1"/>
  <c r="AB409" i="8"/>
  <c r="H409" i="8"/>
  <c r="AI409" i="8" s="1"/>
  <c r="AB407" i="8"/>
  <c r="H407" i="8"/>
  <c r="AI407" i="8" s="1"/>
  <c r="AB403" i="8"/>
  <c r="H403" i="8"/>
  <c r="AI403" i="8" s="1"/>
  <c r="AB401" i="8"/>
  <c r="H401" i="8"/>
  <c r="AI401" i="8" s="1"/>
  <c r="AB399" i="8"/>
  <c r="H399" i="8"/>
  <c r="AI399" i="8" s="1"/>
  <c r="AB397" i="8"/>
  <c r="H397" i="8"/>
  <c r="AI397" i="8" s="1"/>
  <c r="AB393" i="8"/>
  <c r="H393" i="8"/>
  <c r="AI393" i="8" s="1"/>
  <c r="H391" i="8"/>
  <c r="AI391" i="8" s="1"/>
  <c r="AB391" i="8"/>
  <c r="H389" i="8"/>
  <c r="AI389" i="8" s="1"/>
  <c r="AB389" i="8"/>
  <c r="H387" i="8"/>
  <c r="AI387" i="8" s="1"/>
  <c r="AB387" i="8"/>
  <c r="H382" i="8"/>
  <c r="AI382" i="8" s="1"/>
  <c r="AB382" i="8"/>
  <c r="AB380" i="8"/>
  <c r="H380" i="8"/>
  <c r="AI380" i="8" s="1"/>
  <c r="AI383" i="8"/>
  <c r="H377" i="8"/>
  <c r="AI377" i="8" s="1"/>
  <c r="AB377" i="8"/>
  <c r="AQ375" i="8"/>
  <c r="V369" i="8"/>
  <c r="AQ369" i="8" s="1"/>
  <c r="V361" i="8"/>
  <c r="AQ361" i="8" s="1"/>
  <c r="AQ367" i="8"/>
  <c r="AQ351" i="8"/>
  <c r="V345" i="8"/>
  <c r="AQ345" i="8" s="1"/>
  <c r="AI343" i="8"/>
  <c r="AB337" i="8"/>
  <c r="H337" i="8"/>
  <c r="AI337" i="8" s="1"/>
  <c r="AQ335" i="8"/>
  <c r="V329" i="8"/>
  <c r="AQ329" i="8" s="1"/>
  <c r="AI327" i="8"/>
  <c r="H321" i="8"/>
  <c r="AI321" i="8" s="1"/>
  <c r="AB321" i="8"/>
  <c r="AQ319" i="8"/>
  <c r="V313" i="8"/>
  <c r="AQ313" i="8" s="1"/>
  <c r="AI311" i="8"/>
  <c r="H305" i="8"/>
  <c r="AI305" i="8" s="1"/>
  <c r="AB305" i="8"/>
  <c r="AL290" i="8"/>
  <c r="AL296" i="8"/>
  <c r="AQ296" i="8"/>
  <c r="V290" i="8"/>
  <c r="AQ290" i="8" s="1"/>
  <c r="AB253" i="8"/>
  <c r="H253" i="8"/>
  <c r="AI253" i="8" s="1"/>
  <c r="H244" i="8"/>
  <c r="AI244" i="8" s="1"/>
  <c r="AB244" i="8"/>
  <c r="H239" i="8"/>
  <c r="AI239" i="8" s="1"/>
  <c r="AB239" i="8"/>
  <c r="H237" i="8"/>
  <c r="AI237" i="8" s="1"/>
  <c r="AB237" i="8"/>
  <c r="H235" i="8"/>
  <c r="AI235" i="8" s="1"/>
  <c r="AB235" i="8"/>
  <c r="H230" i="8"/>
  <c r="AI230" i="8" s="1"/>
  <c r="AB230" i="8"/>
  <c r="AB228" i="8"/>
  <c r="H228" i="8"/>
  <c r="AI228" i="8" s="1"/>
  <c r="H226" i="8"/>
  <c r="AI226" i="8" s="1"/>
  <c r="AB226" i="8"/>
  <c r="H224" i="8"/>
  <c r="AI224" i="8" s="1"/>
  <c r="AB224" i="8"/>
  <c r="H222" i="8"/>
  <c r="AI222" i="8" s="1"/>
  <c r="AB222" i="8"/>
  <c r="AB216" i="8"/>
  <c r="H216" i="8"/>
  <c r="AI216" i="8" s="1"/>
  <c r="AB211" i="8"/>
  <c r="H211" i="8"/>
  <c r="AI211" i="8" s="1"/>
  <c r="AB209" i="8"/>
  <c r="H209" i="8"/>
  <c r="AI209" i="8" s="1"/>
  <c r="AB204" i="8"/>
  <c r="H204" i="8"/>
  <c r="AI204" i="8" s="1"/>
  <c r="AB202" i="8"/>
  <c r="H202" i="8"/>
  <c r="AI202" i="8" s="1"/>
  <c r="AB197" i="8"/>
  <c r="H197" i="8"/>
  <c r="AI197" i="8" s="1"/>
  <c r="AB195" i="8"/>
  <c r="H195" i="8"/>
  <c r="AI195" i="8" s="1"/>
  <c r="AB189" i="8"/>
  <c r="H189" i="8"/>
  <c r="AI189" i="8" s="1"/>
  <c r="AB187" i="8"/>
  <c r="H187" i="8"/>
  <c r="AI187" i="8" s="1"/>
  <c r="AB185" i="8"/>
  <c r="H185" i="8"/>
  <c r="AI185" i="8" s="1"/>
  <c r="AB183" i="8"/>
  <c r="H183" i="8"/>
  <c r="AI183" i="8" s="1"/>
  <c r="AB178" i="8"/>
  <c r="H178" i="8"/>
  <c r="AI178" i="8" s="1"/>
  <c r="AB176" i="8"/>
  <c r="H176" i="8"/>
  <c r="AI176" i="8" s="1"/>
  <c r="H171" i="8"/>
  <c r="AI171" i="8" s="1"/>
  <c r="AB171" i="8"/>
  <c r="H169" i="8"/>
  <c r="AI169" i="8" s="1"/>
  <c r="AB169" i="8"/>
  <c r="H164" i="8"/>
  <c r="AI164" i="8" s="1"/>
  <c r="AB164" i="8"/>
  <c r="H162" i="8"/>
  <c r="AI162" i="8" s="1"/>
  <c r="AB162" i="8"/>
  <c r="H160" i="8"/>
  <c r="AI160" i="8" s="1"/>
  <c r="AB160" i="8"/>
  <c r="H158" i="8"/>
  <c r="AI158" i="8" s="1"/>
  <c r="AB158" i="8"/>
  <c r="H156" i="8"/>
  <c r="AI156" i="8" s="1"/>
  <c r="AB156" i="8"/>
  <c r="H154" i="8"/>
  <c r="AI154" i="8" s="1"/>
  <c r="AB154" i="8"/>
  <c r="AB147" i="8"/>
  <c r="H147" i="8"/>
  <c r="AI147" i="8" s="1"/>
  <c r="AB145" i="8"/>
  <c r="H145" i="8"/>
  <c r="AI145" i="8" s="1"/>
  <c r="AQ52" i="8"/>
  <c r="V47" i="8"/>
  <c r="AQ47" i="8" s="1"/>
  <c r="AB34" i="8"/>
  <c r="H34" i="8"/>
  <c r="AI34" i="8" s="1"/>
  <c r="AB32" i="8"/>
  <c r="H32" i="8"/>
  <c r="AI32" i="8" s="1"/>
  <c r="AB30" i="8"/>
  <c r="H30" i="8"/>
  <c r="AI30" i="8" s="1"/>
  <c r="AB17" i="8"/>
  <c r="H17" i="8"/>
  <c r="AI17" i="8" s="1"/>
  <c r="AL433" i="8"/>
  <c r="AL428" i="8"/>
  <c r="AK440" i="8"/>
  <c r="AK439" i="8"/>
  <c r="AL369" i="8"/>
  <c r="AL375" i="8"/>
  <c r="AL359" i="8"/>
  <c r="AL353" i="8"/>
  <c r="AL343" i="8"/>
  <c r="AL337" i="8"/>
  <c r="AL321" i="8"/>
  <c r="AL327" i="8"/>
  <c r="AL305" i="8"/>
  <c r="AL311" i="8"/>
  <c r="AK383" i="8"/>
  <c r="AK377" i="8"/>
  <c r="AK375" i="8"/>
  <c r="AK369" i="8"/>
  <c r="O361" i="8"/>
  <c r="AK353" i="8"/>
  <c r="AK359" i="8"/>
  <c r="AK345" i="8"/>
  <c r="AK351" i="8"/>
  <c r="AK343" i="8"/>
  <c r="AK337" i="8"/>
  <c r="AK329" i="8"/>
  <c r="AK335" i="8"/>
  <c r="AK321" i="8"/>
  <c r="AK327" i="8"/>
  <c r="AK313" i="8"/>
  <c r="AK319" i="8"/>
  <c r="AK311" i="8"/>
  <c r="AK305" i="8"/>
  <c r="AK290" i="8"/>
  <c r="AK296" i="8"/>
  <c r="O255" i="8"/>
  <c r="AM255" i="8" s="1"/>
  <c r="V245" i="8"/>
  <c r="AQ245" i="8" s="1"/>
  <c r="AQ250" i="8"/>
  <c r="V182" i="8"/>
  <c r="AQ182" i="8" s="1"/>
  <c r="AI149" i="8"/>
  <c r="AB144" i="8"/>
  <c r="H144" i="8"/>
  <c r="AI144" i="8" s="1"/>
  <c r="V114" i="8"/>
  <c r="AQ114" i="8" s="1"/>
  <c r="AB114" i="8"/>
  <c r="H114" i="8"/>
  <c r="AI114" i="8" s="1"/>
  <c r="O113" i="8"/>
  <c r="AM113" i="8" s="1"/>
  <c r="V112" i="8"/>
  <c r="AQ112" i="8" s="1"/>
  <c r="AB112" i="8"/>
  <c r="H112" i="8"/>
  <c r="AI112" i="8" s="1"/>
  <c r="AM116" i="8"/>
  <c r="O111" i="8"/>
  <c r="AM111" i="8" s="1"/>
  <c r="V99" i="8"/>
  <c r="AQ99" i="8" s="1"/>
  <c r="AB99" i="8"/>
  <c r="H99" i="8"/>
  <c r="AI99" i="8" s="1"/>
  <c r="O98" i="8"/>
  <c r="AM98" i="8" s="1"/>
  <c r="V97" i="8"/>
  <c r="AQ97" i="8" s="1"/>
  <c r="AB97" i="8"/>
  <c r="H97" i="8"/>
  <c r="AI97" i="8" s="1"/>
  <c r="O96" i="8"/>
  <c r="AM96" i="8" s="1"/>
  <c r="V95" i="8"/>
  <c r="AQ95" i="8" s="1"/>
  <c r="AB95" i="8"/>
  <c r="H95" i="8"/>
  <c r="AI95" i="8" s="1"/>
  <c r="O94" i="8"/>
  <c r="AM94" i="8" s="1"/>
  <c r="V93" i="8"/>
  <c r="AQ93" i="8" s="1"/>
  <c r="AB93" i="8"/>
  <c r="H93" i="8"/>
  <c r="AI93" i="8" s="1"/>
  <c r="O92" i="8"/>
  <c r="AM92" i="8" s="1"/>
  <c r="V88" i="8"/>
  <c r="AQ88" i="8" s="1"/>
  <c r="AB88" i="8"/>
  <c r="H88" i="8"/>
  <c r="AI88" i="8" s="1"/>
  <c r="O87" i="8"/>
  <c r="AM87" i="8" s="1"/>
  <c r="V86" i="8"/>
  <c r="AQ86" i="8" s="1"/>
  <c r="AB86" i="8"/>
  <c r="H86" i="8"/>
  <c r="AI86" i="8" s="1"/>
  <c r="O85" i="8"/>
  <c r="AM85" i="8" s="1"/>
  <c r="V84" i="8"/>
  <c r="AQ84" i="8" s="1"/>
  <c r="AB84" i="8"/>
  <c r="H84" i="8"/>
  <c r="AI84" i="8" s="1"/>
  <c r="O83" i="8"/>
  <c r="AM83" i="8" s="1"/>
  <c r="V82" i="8"/>
  <c r="AQ82" i="8" s="1"/>
  <c r="AB82" i="8"/>
  <c r="H82" i="8"/>
  <c r="AI82" i="8" s="1"/>
  <c r="O81" i="8"/>
  <c r="AM81" i="8" s="1"/>
  <c r="V80" i="8"/>
  <c r="AQ80" i="8" s="1"/>
  <c r="AB80" i="8"/>
  <c r="H80" i="8"/>
  <c r="AI80" i="8" s="1"/>
  <c r="O79" i="8"/>
  <c r="AM79" i="8" s="1"/>
  <c r="V78" i="8"/>
  <c r="AQ78" i="8" s="1"/>
  <c r="AB78" i="8"/>
  <c r="H78" i="8"/>
  <c r="AI78" i="8" s="1"/>
  <c r="O73" i="8"/>
  <c r="AM73" i="8" s="1"/>
  <c r="V72" i="8"/>
  <c r="AQ72" i="8" s="1"/>
  <c r="AB72" i="8"/>
  <c r="H72" i="8"/>
  <c r="AI72" i="8" s="1"/>
  <c r="O71" i="8"/>
  <c r="AM71" i="8" s="1"/>
  <c r="V70" i="8"/>
  <c r="AQ70" i="8" s="1"/>
  <c r="AB70" i="8"/>
  <c r="H70" i="8"/>
  <c r="AI70" i="8" s="1"/>
  <c r="O69" i="8"/>
  <c r="AM69" i="8" s="1"/>
  <c r="V68" i="8"/>
  <c r="AQ68" i="8" s="1"/>
  <c r="AB68" i="8"/>
  <c r="H68" i="8"/>
  <c r="AI68" i="8" s="1"/>
  <c r="O64" i="8"/>
  <c r="AM64" i="8" s="1"/>
  <c r="V63" i="8"/>
  <c r="AQ63" i="8" s="1"/>
  <c r="AB63" i="8"/>
  <c r="H63" i="8"/>
  <c r="AI63" i="8" s="1"/>
  <c r="O62" i="8"/>
  <c r="AM62" i="8" s="1"/>
  <c r="V61" i="8"/>
  <c r="AQ61" i="8" s="1"/>
  <c r="AB61" i="8"/>
  <c r="H61" i="8"/>
  <c r="AI61" i="8" s="1"/>
  <c r="O60" i="8"/>
  <c r="AM60" i="8" s="1"/>
  <c r="V59" i="8"/>
  <c r="AQ59" i="8" s="1"/>
  <c r="AB59" i="8"/>
  <c r="H59" i="8"/>
  <c r="AI59" i="8" s="1"/>
  <c r="O58" i="8"/>
  <c r="AM58" i="8" s="1"/>
  <c r="V57" i="8"/>
  <c r="AQ57" i="8" s="1"/>
  <c r="AB57" i="8"/>
  <c r="H57" i="8"/>
  <c r="AI57" i="8" s="1"/>
  <c r="O56" i="8"/>
  <c r="AM56" i="8" s="1"/>
  <c r="V55" i="8"/>
  <c r="AQ55" i="8" s="1"/>
  <c r="AB55" i="8"/>
  <c r="H55" i="8"/>
  <c r="AI55" i="8" s="1"/>
  <c r="O54" i="8"/>
  <c r="AM54" i="8" s="1"/>
  <c r="V50" i="8"/>
  <c r="AQ50" i="8" s="1"/>
  <c r="AB50" i="8"/>
  <c r="H50" i="8"/>
  <c r="AI50" i="8" s="1"/>
  <c r="O49" i="8"/>
  <c r="AM49" i="8" s="1"/>
  <c r="V48" i="8"/>
  <c r="AQ48" i="8" s="1"/>
  <c r="AB48" i="8"/>
  <c r="H48" i="8"/>
  <c r="AI48" i="8" s="1"/>
  <c r="AM52" i="8"/>
  <c r="O47" i="8"/>
  <c r="AM47" i="8" s="1"/>
  <c r="AB23" i="8"/>
  <c r="H23" i="8"/>
  <c r="AI23" i="8" s="1"/>
  <c r="AB38" i="8"/>
  <c r="H38" i="8"/>
  <c r="AI38" i="8" s="1"/>
  <c r="O34" i="8"/>
  <c r="AM34" i="8" s="1"/>
  <c r="V33" i="8"/>
  <c r="AQ33" i="8" s="1"/>
  <c r="AB33" i="8"/>
  <c r="H33" i="8"/>
  <c r="AI33" i="8" s="1"/>
  <c r="O32" i="8"/>
  <c r="AM32" i="8" s="1"/>
  <c r="V31" i="8"/>
  <c r="AQ31" i="8" s="1"/>
  <c r="AB31" i="8"/>
  <c r="H31" i="8"/>
  <c r="AI31" i="8" s="1"/>
  <c r="O30" i="8"/>
  <c r="AM30" i="8" s="1"/>
  <c r="V26" i="8"/>
  <c r="AQ26" i="8" s="1"/>
  <c r="AB26" i="8"/>
  <c r="H26" i="8"/>
  <c r="AI26" i="8" s="1"/>
  <c r="O25" i="8"/>
  <c r="AM25" i="8" s="1"/>
  <c r="V24" i="8"/>
  <c r="AQ24" i="8" s="1"/>
  <c r="AB24" i="8"/>
  <c r="H24" i="8"/>
  <c r="AI24" i="8" s="1"/>
  <c r="AB18" i="8"/>
  <c r="H18" i="8"/>
  <c r="AI18" i="8" s="1"/>
  <c r="AB16" i="8"/>
  <c r="H16" i="8"/>
  <c r="AI16" i="8" s="1"/>
  <c r="O15" i="8"/>
  <c r="AM15" i="8" s="1"/>
  <c r="H15" i="8"/>
  <c r="AI15" i="8" s="1"/>
  <c r="H27" i="8"/>
  <c r="H51" i="8"/>
  <c r="AI51" i="8" s="1"/>
  <c r="H74" i="8"/>
  <c r="AI74" i="8" s="1"/>
  <c r="H172" i="8"/>
  <c r="AI172" i="8" s="1"/>
  <c r="H212" i="8"/>
  <c r="AI212" i="8" s="1"/>
  <c r="H241" i="8"/>
  <c r="AI241" i="8" s="1"/>
  <c r="H249" i="8"/>
  <c r="AI249" i="8" s="1"/>
  <c r="H261" i="8"/>
  <c r="AI261" i="8" s="1"/>
  <c r="H270" i="8"/>
  <c r="AI270" i="8" s="1"/>
  <c r="H35" i="8"/>
  <c r="AI35" i="8" s="1"/>
  <c r="H44" i="8"/>
  <c r="AI44" i="8" s="1"/>
  <c r="H179" i="8"/>
  <c r="AI179" i="8" s="1"/>
  <c r="H232" i="8"/>
  <c r="AI232" i="8" s="1"/>
  <c r="H218" i="8"/>
  <c r="AI218" i="8" s="1"/>
  <c r="H206" i="8"/>
  <c r="AI206" i="8" s="1"/>
  <c r="H191" i="8"/>
  <c r="AI191" i="8" s="1"/>
  <c r="H148" i="8"/>
  <c r="AI148" i="8" s="1"/>
  <c r="H125" i="8"/>
  <c r="AI125" i="8" s="1"/>
  <c r="H107" i="8"/>
  <c r="AI107" i="8" s="1"/>
  <c r="AC5" i="8"/>
  <c r="H19" i="8"/>
  <c r="AI19" i="8" s="1"/>
  <c r="H295" i="8"/>
  <c r="AI295" i="8" s="1"/>
  <c r="H199" i="8"/>
  <c r="AI199" i="8" s="1"/>
  <c r="H115" i="8"/>
  <c r="AI115" i="8" s="1"/>
  <c r="AL351" i="5"/>
  <c r="AL359" i="5"/>
  <c r="AL363" i="5"/>
  <c r="AL367" i="5"/>
  <c r="AL337" i="5"/>
  <c r="AL343" i="5"/>
  <c r="AL321" i="5"/>
  <c r="AL327" i="5"/>
  <c r="AL315" i="5"/>
  <c r="AL319" i="5"/>
  <c r="AL305" i="5"/>
  <c r="AL311" i="5"/>
  <c r="AL291" i="5"/>
  <c r="AL296" i="5"/>
  <c r="AL335" i="5"/>
  <c r="AL430" i="5"/>
  <c r="AL433" i="5"/>
  <c r="AL375" i="5"/>
  <c r="O365" i="5"/>
  <c r="AM365" i="5" s="1"/>
  <c r="O363" i="5"/>
  <c r="AM363" i="5" s="1"/>
  <c r="O361" i="5"/>
  <c r="AM361" i="5" s="1"/>
  <c r="O357" i="5"/>
  <c r="AM357" i="5" s="1"/>
  <c r="O355" i="5"/>
  <c r="AM355" i="5" s="1"/>
  <c r="O353" i="5"/>
  <c r="O349" i="5"/>
  <c r="AM349" i="5" s="1"/>
  <c r="O347" i="5"/>
  <c r="AM347" i="5" s="1"/>
  <c r="O345" i="5"/>
  <c r="AM345" i="5" s="1"/>
  <c r="O341" i="5"/>
  <c r="AM341" i="5" s="1"/>
  <c r="O339" i="5"/>
  <c r="AM339" i="5" s="1"/>
  <c r="O337" i="5"/>
  <c r="O333" i="5"/>
  <c r="AM333" i="5" s="1"/>
  <c r="O331" i="5"/>
  <c r="AM331" i="5" s="1"/>
  <c r="O329" i="5"/>
  <c r="AM329" i="5" s="1"/>
  <c r="O325" i="5"/>
  <c r="AM325" i="5" s="1"/>
  <c r="O323" i="5"/>
  <c r="AM323" i="5" s="1"/>
  <c r="O321" i="5"/>
  <c r="O317" i="5"/>
  <c r="AM317" i="5" s="1"/>
  <c r="O315" i="5"/>
  <c r="AM315" i="5" s="1"/>
  <c r="O313" i="5"/>
  <c r="AM313" i="5" s="1"/>
  <c r="O309" i="5"/>
  <c r="AM309" i="5" s="1"/>
  <c r="O307" i="5"/>
  <c r="AM307" i="5" s="1"/>
  <c r="O305" i="5"/>
  <c r="O293" i="5"/>
  <c r="AM293" i="5" s="1"/>
  <c r="O291" i="5"/>
  <c r="AM291" i="5" s="1"/>
  <c r="O286" i="5"/>
  <c r="AM286" i="5" s="1"/>
  <c r="O284" i="5"/>
  <c r="AM284" i="5" s="1"/>
  <c r="O282" i="5"/>
  <c r="AM282" i="5" s="1"/>
  <c r="O280" i="5"/>
  <c r="AM280" i="5" s="1"/>
  <c r="O278" i="5"/>
  <c r="AM278" i="5" s="1"/>
  <c r="O276" i="5"/>
  <c r="AM276" i="5" s="1"/>
  <c r="O274" i="5"/>
  <c r="AM274" i="5" s="1"/>
  <c r="O269" i="5"/>
  <c r="AM269" i="5" s="1"/>
  <c r="O267" i="5"/>
  <c r="AM267" i="5" s="1"/>
  <c r="O265" i="5"/>
  <c r="AM265" i="5" s="1"/>
  <c r="O260" i="5"/>
  <c r="AM260" i="5" s="1"/>
  <c r="O258" i="5"/>
  <c r="AM258" i="5" s="1"/>
  <c r="O256" i="5"/>
  <c r="AM256" i="5" s="1"/>
  <c r="O254" i="5"/>
  <c r="AM254" i="5" s="1"/>
  <c r="O252" i="5"/>
  <c r="AM252" i="5" s="1"/>
  <c r="O247" i="5"/>
  <c r="AM247" i="5" s="1"/>
  <c r="O137" i="5"/>
  <c r="AM137" i="5" s="1"/>
  <c r="O135" i="5"/>
  <c r="AM135" i="5" s="1"/>
  <c r="O133" i="5"/>
  <c r="AM133" i="5" s="1"/>
  <c r="O131" i="5"/>
  <c r="AM131" i="5" s="1"/>
  <c r="O124" i="5"/>
  <c r="AM124" i="5" s="1"/>
  <c r="O122" i="5"/>
  <c r="AM122" i="5" s="1"/>
  <c r="O114" i="5"/>
  <c r="AM114" i="5" s="1"/>
  <c r="O112" i="5"/>
  <c r="AM112" i="5" s="1"/>
  <c r="O106" i="5"/>
  <c r="AM106" i="5" s="1"/>
  <c r="O104" i="5"/>
  <c r="AM104" i="5" s="1"/>
  <c r="O99" i="5"/>
  <c r="AM99" i="5" s="1"/>
  <c r="O97" i="5"/>
  <c r="AM97" i="5" s="1"/>
  <c r="O95" i="5"/>
  <c r="AM95" i="5" s="1"/>
  <c r="O93" i="5"/>
  <c r="AM93" i="5" s="1"/>
  <c r="O88" i="5"/>
  <c r="AM88" i="5" s="1"/>
  <c r="O86" i="5"/>
  <c r="AM86" i="5" s="1"/>
  <c r="O82" i="5"/>
  <c r="AM82" i="5" s="1"/>
  <c r="O78" i="5"/>
  <c r="AM78" i="5" s="1"/>
  <c r="O72" i="5"/>
  <c r="AM72" i="5" s="1"/>
  <c r="O70" i="5"/>
  <c r="AM70" i="5" s="1"/>
  <c r="O68" i="5"/>
  <c r="AM68" i="5" s="1"/>
  <c r="O63" i="5"/>
  <c r="AM63" i="5" s="1"/>
  <c r="O61" i="5"/>
  <c r="AM61" i="5" s="1"/>
  <c r="O59" i="5"/>
  <c r="AM59" i="5" s="1"/>
  <c r="O57" i="5"/>
  <c r="AM57" i="5" s="1"/>
  <c r="O55" i="5"/>
  <c r="AM55" i="5" s="1"/>
  <c r="O50" i="5"/>
  <c r="AM50" i="5" s="1"/>
  <c r="O48" i="5"/>
  <c r="AM48" i="5" s="1"/>
  <c r="O43" i="5"/>
  <c r="AM43" i="5" s="1"/>
  <c r="O41" i="5"/>
  <c r="AM41" i="5" s="1"/>
  <c r="O39" i="5"/>
  <c r="AM39" i="5" s="1"/>
  <c r="O32" i="5"/>
  <c r="AM32" i="5" s="1"/>
  <c r="O30" i="5"/>
  <c r="AM30" i="5" s="1"/>
  <c r="O25" i="5"/>
  <c r="AM25" i="5" s="1"/>
  <c r="O23" i="5"/>
  <c r="AM23" i="5" s="1"/>
  <c r="O17" i="5"/>
  <c r="AM17" i="5" s="1"/>
  <c r="V450" i="7"/>
  <c r="AQ450" i="7" s="1"/>
  <c r="O449" i="7"/>
  <c r="AM449" i="7" s="1"/>
  <c r="V446" i="7"/>
  <c r="AQ446" i="7" s="1"/>
  <c r="O445" i="7"/>
  <c r="AM445" i="7" s="1"/>
  <c r="V442" i="7"/>
  <c r="AQ442" i="7" s="1"/>
  <c r="O439" i="7"/>
  <c r="AM439" i="7" s="1"/>
  <c r="V436" i="7"/>
  <c r="AQ436" i="7" s="1"/>
  <c r="O435" i="7"/>
  <c r="AM435" i="7" s="1"/>
  <c r="V430" i="7"/>
  <c r="AQ430" i="7" s="1"/>
  <c r="O429" i="7"/>
  <c r="AM429" i="7" s="1"/>
  <c r="O369" i="7"/>
  <c r="AM369" i="7" s="1"/>
  <c r="V437" i="7"/>
  <c r="AQ437" i="7" s="1"/>
  <c r="O436" i="7"/>
  <c r="AM436" i="7" s="1"/>
  <c r="V431" i="7"/>
  <c r="AQ431" i="7" s="1"/>
  <c r="O430" i="7"/>
  <c r="AM430" i="7" s="1"/>
  <c r="V425" i="7"/>
  <c r="AQ425" i="7" s="1"/>
  <c r="O424" i="7"/>
  <c r="AM424" i="7" s="1"/>
  <c r="V421" i="7"/>
  <c r="AQ421" i="7" s="1"/>
  <c r="O420" i="7"/>
  <c r="AM420" i="7" s="1"/>
  <c r="O358" i="7"/>
  <c r="AM358" i="7" s="1"/>
  <c r="V357" i="7"/>
  <c r="AQ357" i="7" s="1"/>
  <c r="O356" i="7"/>
  <c r="AM356" i="7" s="1"/>
  <c r="V355" i="7"/>
  <c r="AQ355" i="7" s="1"/>
  <c r="O354" i="7"/>
  <c r="AM354" i="7" s="1"/>
  <c r="O350" i="7"/>
  <c r="AM350" i="7" s="1"/>
  <c r="V349" i="7"/>
  <c r="AQ349" i="7" s="1"/>
  <c r="O348" i="7"/>
  <c r="AM348" i="7" s="1"/>
  <c r="V347" i="7"/>
  <c r="AQ347" i="7" s="1"/>
  <c r="O346" i="7"/>
  <c r="AM346" i="7" s="1"/>
  <c r="O342" i="7"/>
  <c r="AM342" i="7" s="1"/>
  <c r="V341" i="7"/>
  <c r="AQ341" i="7" s="1"/>
  <c r="O340" i="7"/>
  <c r="AM340" i="7" s="1"/>
  <c r="V339" i="7"/>
  <c r="AQ339" i="7" s="1"/>
  <c r="O338" i="7"/>
  <c r="AM338" i="7" s="1"/>
  <c r="O334" i="7"/>
  <c r="AM334" i="7" s="1"/>
  <c r="V333" i="7"/>
  <c r="AQ333" i="7" s="1"/>
  <c r="O332" i="7"/>
  <c r="AM332" i="7" s="1"/>
  <c r="V331" i="7"/>
  <c r="AQ331" i="7" s="1"/>
  <c r="O330" i="7"/>
  <c r="AM330" i="7" s="1"/>
  <c r="O326" i="7"/>
  <c r="AM326" i="7" s="1"/>
  <c r="V325" i="7"/>
  <c r="AQ325" i="7" s="1"/>
  <c r="O324" i="7"/>
  <c r="AM324" i="7" s="1"/>
  <c r="V323" i="7"/>
  <c r="AQ323" i="7" s="1"/>
  <c r="O322" i="7"/>
  <c r="AM322" i="7" s="1"/>
  <c r="O318" i="7"/>
  <c r="AM318" i="7" s="1"/>
  <c r="V317" i="7"/>
  <c r="AQ317" i="7" s="1"/>
  <c r="O316" i="7"/>
  <c r="AM316" i="7" s="1"/>
  <c r="V315" i="7"/>
  <c r="AQ315" i="7" s="1"/>
  <c r="O314" i="7"/>
  <c r="AM314" i="7" s="1"/>
  <c r="O310" i="7"/>
  <c r="AM310" i="7" s="1"/>
  <c r="V309" i="7"/>
  <c r="AQ309" i="7" s="1"/>
  <c r="O308" i="7"/>
  <c r="AM308" i="7" s="1"/>
  <c r="V307" i="7"/>
  <c r="AQ307" i="7" s="1"/>
  <c r="O306" i="7"/>
  <c r="AM306" i="7" s="1"/>
  <c r="O294" i="7"/>
  <c r="AM294" i="7" s="1"/>
  <c r="V293" i="7"/>
  <c r="AQ293" i="7" s="1"/>
  <c r="O292" i="7"/>
  <c r="AM292" i="7" s="1"/>
  <c r="V291" i="7"/>
  <c r="AQ291" i="7" s="1"/>
  <c r="O290" i="7"/>
  <c r="AM290" i="7" s="1"/>
  <c r="V286" i="7"/>
  <c r="AQ286" i="7" s="1"/>
  <c r="V269" i="7"/>
  <c r="AQ269" i="7" s="1"/>
  <c r="O268" i="7"/>
  <c r="AM268" i="7" s="1"/>
  <c r="V265" i="7"/>
  <c r="AQ265" i="7" s="1"/>
  <c r="O264" i="7"/>
  <c r="AM264" i="7" s="1"/>
  <c r="V258" i="7"/>
  <c r="AQ258" i="7" s="1"/>
  <c r="O257" i="7"/>
  <c r="AM257" i="7" s="1"/>
  <c r="V254" i="7"/>
  <c r="AQ254" i="7" s="1"/>
  <c r="O253" i="7"/>
  <c r="AM253" i="7" s="1"/>
  <c r="V247" i="7"/>
  <c r="AQ247" i="7" s="1"/>
  <c r="O246" i="7"/>
  <c r="AM246" i="7" s="1"/>
  <c r="V239" i="7"/>
  <c r="AQ239" i="7" s="1"/>
  <c r="O238" i="7"/>
  <c r="AM238" i="7" s="1"/>
  <c r="V235" i="7"/>
  <c r="AQ235" i="7" s="1"/>
  <c r="O231" i="7"/>
  <c r="AM231" i="7" s="1"/>
  <c r="V230" i="7"/>
  <c r="AQ230" i="7" s="1"/>
  <c r="O229" i="7"/>
  <c r="AM229" i="7" s="1"/>
  <c r="V228" i="7"/>
  <c r="AQ228" i="7" s="1"/>
  <c r="O227" i="7"/>
  <c r="AM227" i="7" s="1"/>
  <c r="V226" i="7"/>
  <c r="AQ226" i="7" s="1"/>
  <c r="O225" i="7"/>
  <c r="AM225" i="7" s="1"/>
  <c r="V224" i="7"/>
  <c r="AQ224" i="7" s="1"/>
  <c r="O223" i="7"/>
  <c r="AM223" i="7" s="1"/>
  <c r="V222" i="7"/>
  <c r="AQ222" i="7" s="1"/>
  <c r="V216" i="7"/>
  <c r="AQ216" i="7" s="1"/>
  <c r="V211" i="7"/>
  <c r="AQ211" i="7" s="1"/>
  <c r="V209" i="7"/>
  <c r="AQ209" i="7" s="1"/>
  <c r="V204" i="7"/>
  <c r="AQ204" i="7" s="1"/>
  <c r="V202" i="7"/>
  <c r="AQ202" i="7" s="1"/>
  <c r="V197" i="7"/>
  <c r="AQ197" i="7" s="1"/>
  <c r="V195" i="7"/>
  <c r="AQ195" i="7" s="1"/>
  <c r="O190" i="7"/>
  <c r="AM190" i="7" s="1"/>
  <c r="V189" i="7"/>
  <c r="AQ189" i="7" s="1"/>
  <c r="O188" i="7"/>
  <c r="AM188" i="7" s="1"/>
  <c r="V187" i="7"/>
  <c r="AQ187" i="7" s="1"/>
  <c r="O186" i="7"/>
  <c r="AM186" i="7" s="1"/>
  <c r="V185" i="7"/>
  <c r="AQ185" i="7" s="1"/>
  <c r="O184" i="7"/>
  <c r="AM184" i="7" s="1"/>
  <c r="V183" i="7"/>
  <c r="AQ183" i="7" s="1"/>
  <c r="O182" i="7"/>
  <c r="AM182" i="7" s="1"/>
  <c r="V178" i="7"/>
  <c r="AQ178" i="7" s="1"/>
  <c r="O177" i="7"/>
  <c r="AM177" i="7" s="1"/>
  <c r="V176" i="7"/>
  <c r="AQ176" i="7" s="1"/>
  <c r="O175" i="7"/>
  <c r="AM175" i="7" s="1"/>
  <c r="V171" i="7"/>
  <c r="AQ171" i="7" s="1"/>
  <c r="O170" i="7"/>
  <c r="AM170" i="7" s="1"/>
  <c r="V169" i="7"/>
  <c r="AQ169" i="7" s="1"/>
  <c r="O168" i="7"/>
  <c r="AM168" i="7" s="1"/>
  <c r="V164" i="7"/>
  <c r="AQ164" i="7" s="1"/>
  <c r="O163" i="7"/>
  <c r="AM163" i="7" s="1"/>
  <c r="V162" i="7"/>
  <c r="AQ162" i="7" s="1"/>
  <c r="O161" i="7"/>
  <c r="AM161" i="7" s="1"/>
  <c r="V160" i="7"/>
  <c r="AQ160" i="7" s="1"/>
  <c r="O159" i="7"/>
  <c r="AM159" i="7" s="1"/>
  <c r="V158" i="7"/>
  <c r="AQ158" i="7" s="1"/>
  <c r="O157" i="7"/>
  <c r="AM157" i="7" s="1"/>
  <c r="V156" i="7"/>
  <c r="AQ156" i="7" s="1"/>
  <c r="O155" i="7"/>
  <c r="AM155" i="7" s="1"/>
  <c r="V154" i="7"/>
  <c r="AQ154" i="7" s="1"/>
  <c r="O153" i="7"/>
  <c r="AM153" i="7" s="1"/>
  <c r="V147" i="7"/>
  <c r="AQ147" i="7" s="1"/>
  <c r="O146" i="7"/>
  <c r="AM146" i="7" s="1"/>
  <c r="V145" i="7"/>
  <c r="AQ145" i="7" s="1"/>
  <c r="O122" i="7"/>
  <c r="AM122" i="7" s="1"/>
  <c r="V72" i="7"/>
  <c r="AQ72" i="7" s="1"/>
  <c r="O71" i="7"/>
  <c r="AM71" i="7" s="1"/>
  <c r="V70" i="7"/>
  <c r="AQ70" i="7" s="1"/>
  <c r="O69" i="7"/>
  <c r="AM69" i="7" s="1"/>
  <c r="V68" i="7"/>
  <c r="AQ68" i="7" s="1"/>
  <c r="O64" i="7"/>
  <c r="AM64" i="7" s="1"/>
  <c r="V63" i="7"/>
  <c r="AQ63" i="7" s="1"/>
  <c r="O62" i="7"/>
  <c r="AM62" i="7" s="1"/>
  <c r="V61" i="7"/>
  <c r="AQ61" i="7" s="1"/>
  <c r="O60" i="7"/>
  <c r="AM60" i="7" s="1"/>
  <c r="V59" i="7"/>
  <c r="AQ59" i="7" s="1"/>
  <c r="O58" i="7"/>
  <c r="AM58" i="7" s="1"/>
  <c r="V57" i="7"/>
  <c r="AQ57" i="7" s="1"/>
  <c r="O56" i="7"/>
  <c r="AM56" i="7" s="1"/>
  <c r="V55" i="7"/>
  <c r="AQ55" i="7" s="1"/>
  <c r="O54" i="7"/>
  <c r="AM54" i="7" s="1"/>
  <c r="V50" i="7"/>
  <c r="AQ50" i="7" s="1"/>
  <c r="O49" i="7"/>
  <c r="AM49" i="7" s="1"/>
  <c r="V48" i="7"/>
  <c r="AQ48" i="7" s="1"/>
  <c r="O42" i="7"/>
  <c r="AM42" i="7" s="1"/>
  <c r="O38" i="7"/>
  <c r="AM38" i="7" s="1"/>
  <c r="O16" i="7"/>
  <c r="AM16" i="7" s="1"/>
  <c r="O24" i="3"/>
  <c r="AM24" i="3" s="1"/>
  <c r="O240" i="3"/>
  <c r="AM240" i="3" s="1"/>
  <c r="O238" i="3"/>
  <c r="AM238" i="3" s="1"/>
  <c r="O236" i="3"/>
  <c r="AM236" i="3" s="1"/>
  <c r="O231" i="3"/>
  <c r="AM231" i="3" s="1"/>
  <c r="O229" i="3"/>
  <c r="AM229" i="3" s="1"/>
  <c r="O227" i="3"/>
  <c r="AM227" i="3" s="1"/>
  <c r="O225" i="3"/>
  <c r="AM225" i="3" s="1"/>
  <c r="O223" i="3"/>
  <c r="AM223" i="3" s="1"/>
  <c r="O217" i="3"/>
  <c r="AM217" i="3" s="1"/>
  <c r="O215" i="3"/>
  <c r="AM215" i="3" s="1"/>
  <c r="O210" i="3"/>
  <c r="AM210" i="3" s="1"/>
  <c r="O205" i="3"/>
  <c r="AM205" i="3" s="1"/>
  <c r="O203" i="3"/>
  <c r="AM203" i="3" s="1"/>
  <c r="O198" i="3"/>
  <c r="AM198" i="3" s="1"/>
  <c r="O196" i="3"/>
  <c r="AM196" i="3" s="1"/>
  <c r="O190" i="3"/>
  <c r="AM190" i="3" s="1"/>
  <c r="O188" i="3"/>
  <c r="AM188" i="3" s="1"/>
  <c r="O186" i="3"/>
  <c r="AM186" i="3" s="1"/>
  <c r="O182" i="3"/>
  <c r="AM182" i="3" s="1"/>
  <c r="O177" i="3"/>
  <c r="AM177" i="3" s="1"/>
  <c r="O175" i="3"/>
  <c r="AM175" i="3" s="1"/>
  <c r="O170" i="3"/>
  <c r="AM170" i="3" s="1"/>
  <c r="O168" i="3"/>
  <c r="AM168" i="3" s="1"/>
  <c r="O163" i="3"/>
  <c r="AM163" i="3" s="1"/>
  <c r="O161" i="3"/>
  <c r="AM161" i="3" s="1"/>
  <c r="O159" i="3"/>
  <c r="AM159" i="3" s="1"/>
  <c r="O157" i="3"/>
  <c r="AM157" i="3" s="1"/>
  <c r="O155" i="3"/>
  <c r="AM155" i="3" s="1"/>
  <c r="O153" i="3"/>
  <c r="AM153" i="3" s="1"/>
  <c r="O146" i="3"/>
  <c r="AM146" i="3" s="1"/>
  <c r="V244" i="5"/>
  <c r="AQ244" i="5" s="1"/>
  <c r="V239" i="5"/>
  <c r="AQ239" i="5" s="1"/>
  <c r="V237" i="5"/>
  <c r="AQ237" i="5" s="1"/>
  <c r="V235" i="5"/>
  <c r="AQ235" i="5" s="1"/>
  <c r="V230" i="5"/>
  <c r="AQ230" i="5" s="1"/>
  <c r="V228" i="5"/>
  <c r="AQ228" i="5" s="1"/>
  <c r="V226" i="5"/>
  <c r="AQ226" i="5" s="1"/>
  <c r="V224" i="5"/>
  <c r="AQ224" i="5" s="1"/>
  <c r="V222" i="5"/>
  <c r="AQ222" i="5" s="1"/>
  <c r="V216" i="5"/>
  <c r="AQ216" i="5" s="1"/>
  <c r="V211" i="5"/>
  <c r="AQ211" i="5" s="1"/>
  <c r="V209" i="5"/>
  <c r="AQ209" i="5" s="1"/>
  <c r="V204" i="5"/>
  <c r="AQ204" i="5" s="1"/>
  <c r="V202" i="5"/>
  <c r="AQ202" i="5" s="1"/>
  <c r="V197" i="5"/>
  <c r="AQ197" i="5" s="1"/>
  <c r="V195" i="5"/>
  <c r="AQ195" i="5" s="1"/>
  <c r="V189" i="5"/>
  <c r="AQ189" i="5" s="1"/>
  <c r="V187" i="5"/>
  <c r="AQ187" i="5" s="1"/>
  <c r="V185" i="5"/>
  <c r="AQ185" i="5" s="1"/>
  <c r="V183" i="5"/>
  <c r="AQ183" i="5" s="1"/>
  <c r="V178" i="5"/>
  <c r="AQ178" i="5" s="1"/>
  <c r="V176" i="5"/>
  <c r="AQ176" i="5" s="1"/>
  <c r="V171" i="5"/>
  <c r="AQ171" i="5" s="1"/>
  <c r="V169" i="5"/>
  <c r="AQ169" i="5" s="1"/>
  <c r="V164" i="5"/>
  <c r="AQ164" i="5" s="1"/>
  <c r="V162" i="5"/>
  <c r="AQ162" i="5" s="1"/>
  <c r="V160" i="5"/>
  <c r="AQ160" i="5" s="1"/>
  <c r="V158" i="5"/>
  <c r="AQ158" i="5" s="1"/>
  <c r="V156" i="5"/>
  <c r="AQ156" i="5" s="1"/>
  <c r="V154" i="5"/>
  <c r="AQ154" i="5" s="1"/>
  <c r="V147" i="5"/>
  <c r="AQ147" i="5" s="1"/>
  <c r="V145" i="5"/>
  <c r="AQ145" i="5" s="1"/>
  <c r="V33" i="5"/>
  <c r="AQ33" i="5" s="1"/>
  <c r="V26" i="5"/>
  <c r="AQ26" i="5" s="1"/>
  <c r="V18" i="5"/>
  <c r="AQ18" i="5" s="1"/>
  <c r="V16" i="5"/>
  <c r="AQ16" i="5" s="1"/>
  <c r="V452" i="7"/>
  <c r="AQ452" i="7" s="1"/>
  <c r="O451" i="7"/>
  <c r="AM451" i="7" s="1"/>
  <c r="V448" i="7"/>
  <c r="AQ448" i="7" s="1"/>
  <c r="O447" i="7"/>
  <c r="AM447" i="7" s="1"/>
  <c r="V444" i="7"/>
  <c r="AQ444" i="7" s="1"/>
  <c r="O443" i="7"/>
  <c r="AM443" i="7" s="1"/>
  <c r="V438" i="7"/>
  <c r="AQ438" i="7" s="1"/>
  <c r="O437" i="7"/>
  <c r="AM437" i="7" s="1"/>
  <c r="V432" i="7"/>
  <c r="AQ432" i="7" s="1"/>
  <c r="O431" i="7"/>
  <c r="AM431" i="7" s="1"/>
  <c r="V404" i="7"/>
  <c r="AQ404" i="7" s="1"/>
  <c r="O452" i="7"/>
  <c r="AM452" i="7" s="1"/>
  <c r="V449" i="7"/>
  <c r="AQ449" i="7" s="1"/>
  <c r="O448" i="7"/>
  <c r="AM448" i="7" s="1"/>
  <c r="V445" i="7"/>
  <c r="AQ445" i="7" s="1"/>
  <c r="O444" i="7"/>
  <c r="AM444" i="7" s="1"/>
  <c r="O284" i="7"/>
  <c r="AM284" i="7" s="1"/>
  <c r="V283" i="7"/>
  <c r="AQ283" i="7" s="1"/>
  <c r="O282" i="7"/>
  <c r="AM282" i="7" s="1"/>
  <c r="V281" i="7"/>
  <c r="AQ281" i="7" s="1"/>
  <c r="O280" i="7"/>
  <c r="AM280" i="7" s="1"/>
  <c r="V279" i="7"/>
  <c r="AQ279" i="7" s="1"/>
  <c r="O278" i="7"/>
  <c r="AM278" i="7" s="1"/>
  <c r="V277" i="7"/>
  <c r="AQ277" i="7" s="1"/>
  <c r="O276" i="7"/>
  <c r="AM276" i="7" s="1"/>
  <c r="V275" i="7"/>
  <c r="AQ275" i="7" s="1"/>
  <c r="O274" i="7"/>
  <c r="AM274" i="7" s="1"/>
  <c r="O273" i="7"/>
  <c r="AM273" i="7" s="1"/>
  <c r="V267" i="7"/>
  <c r="AQ267" i="7" s="1"/>
  <c r="O266" i="7"/>
  <c r="AM266" i="7" s="1"/>
  <c r="V260" i="7"/>
  <c r="AQ260" i="7" s="1"/>
  <c r="O259" i="7"/>
  <c r="AM259" i="7" s="1"/>
  <c r="V256" i="7"/>
  <c r="AQ256" i="7" s="1"/>
  <c r="O255" i="7"/>
  <c r="AM255" i="7" s="1"/>
  <c r="V252" i="7"/>
  <c r="AQ252" i="7" s="1"/>
  <c r="O248" i="7"/>
  <c r="AM248" i="7" s="1"/>
  <c r="V273" i="7"/>
  <c r="AQ273" i="7" s="1"/>
  <c r="O269" i="7"/>
  <c r="AM269" i="7" s="1"/>
  <c r="V266" i="7"/>
  <c r="AQ266" i="7" s="1"/>
  <c r="O265" i="7"/>
  <c r="AM265" i="7" s="1"/>
  <c r="V259" i="7"/>
  <c r="AQ259" i="7" s="1"/>
  <c r="V255" i="7"/>
  <c r="AQ255" i="7" s="1"/>
  <c r="V248" i="7"/>
  <c r="AQ248" i="7" s="1"/>
  <c r="V244" i="7"/>
  <c r="AQ244" i="7" s="1"/>
  <c r="V237" i="7"/>
  <c r="AQ237" i="7" s="1"/>
  <c r="V231" i="7"/>
  <c r="AQ231" i="7" s="1"/>
  <c r="V229" i="7"/>
  <c r="AQ229" i="7" s="1"/>
  <c r="V227" i="7"/>
  <c r="AQ227" i="7" s="1"/>
  <c r="V225" i="7"/>
  <c r="AQ225" i="7" s="1"/>
  <c r="V223" i="7"/>
  <c r="AQ223" i="7" s="1"/>
  <c r="V217" i="7"/>
  <c r="AQ217" i="7" s="1"/>
  <c r="V215" i="7"/>
  <c r="AQ215" i="7" s="1"/>
  <c r="V210" i="7"/>
  <c r="AQ210" i="7" s="1"/>
  <c r="V205" i="7"/>
  <c r="AQ205" i="7" s="1"/>
  <c r="V203" i="7"/>
  <c r="AQ203" i="7" s="1"/>
  <c r="V198" i="7"/>
  <c r="AQ198" i="7" s="1"/>
  <c r="V196" i="7"/>
  <c r="AQ196" i="7" s="1"/>
  <c r="V190" i="7"/>
  <c r="AQ190" i="7" s="1"/>
  <c r="V188" i="7"/>
  <c r="AQ188" i="7" s="1"/>
  <c r="V186" i="7"/>
  <c r="AQ186" i="7" s="1"/>
  <c r="V184" i="7"/>
  <c r="AQ184" i="7" s="1"/>
  <c r="V182" i="7"/>
  <c r="AQ182" i="7" s="1"/>
  <c r="V177" i="7"/>
  <c r="AQ177" i="7" s="1"/>
  <c r="V175" i="7"/>
  <c r="AQ175" i="7" s="1"/>
  <c r="V170" i="7"/>
  <c r="AQ170" i="7" s="1"/>
  <c r="V168" i="7"/>
  <c r="AQ168" i="7" s="1"/>
  <c r="V159" i="7"/>
  <c r="AQ159" i="7" s="1"/>
  <c r="V157" i="7"/>
  <c r="AQ157" i="7" s="1"/>
  <c r="V155" i="7"/>
  <c r="AQ155" i="7" s="1"/>
  <c r="V153" i="7"/>
  <c r="AQ153" i="7" s="1"/>
  <c r="V146" i="7"/>
  <c r="AQ146" i="7" s="1"/>
  <c r="V139" i="7"/>
  <c r="AQ139" i="7" s="1"/>
  <c r="V137" i="7"/>
  <c r="AQ137" i="7" s="1"/>
  <c r="V135" i="7"/>
  <c r="AQ135" i="7" s="1"/>
  <c r="V133" i="7"/>
  <c r="AQ133" i="7" s="1"/>
  <c r="V131" i="7"/>
  <c r="AQ131" i="7" s="1"/>
  <c r="V124" i="7"/>
  <c r="AQ124" i="7" s="1"/>
  <c r="V122" i="7"/>
  <c r="AQ122" i="7" s="1"/>
  <c r="V106" i="7"/>
  <c r="AQ106" i="7" s="1"/>
  <c r="V104" i="7"/>
  <c r="AQ104" i="7" s="1"/>
  <c r="O113" i="3"/>
  <c r="AM113" i="3" s="1"/>
  <c r="O98" i="3"/>
  <c r="AM98" i="3" s="1"/>
  <c r="AL440" i="5"/>
  <c r="V437" i="3"/>
  <c r="AQ437" i="3" s="1"/>
  <c r="V431" i="3"/>
  <c r="AQ431" i="3" s="1"/>
  <c r="V429" i="3"/>
  <c r="AQ429" i="3" s="1"/>
  <c r="V425" i="3"/>
  <c r="AQ425" i="3" s="1"/>
  <c r="V423" i="3"/>
  <c r="AQ423" i="3" s="1"/>
  <c r="V421" i="3"/>
  <c r="AQ421" i="3" s="1"/>
  <c r="V415" i="3"/>
  <c r="AQ415" i="3" s="1"/>
  <c r="V411" i="3"/>
  <c r="AQ411" i="3" s="1"/>
  <c r="V409" i="3"/>
  <c r="AQ409" i="3" s="1"/>
  <c r="V407" i="3"/>
  <c r="AQ407" i="3" s="1"/>
  <c r="V403" i="3"/>
  <c r="AQ403" i="3" s="1"/>
  <c r="V401" i="3"/>
  <c r="AQ401" i="3" s="1"/>
  <c r="V399" i="3"/>
  <c r="AQ399" i="3" s="1"/>
  <c r="V397" i="3"/>
  <c r="AQ397" i="3" s="1"/>
  <c r="V393" i="3"/>
  <c r="AQ393" i="3" s="1"/>
  <c r="V391" i="3"/>
  <c r="AQ391" i="3" s="1"/>
  <c r="V389" i="3"/>
  <c r="AQ389" i="3" s="1"/>
  <c r="V387" i="3"/>
  <c r="AQ387" i="3" s="1"/>
  <c r="V382" i="3"/>
  <c r="AQ382" i="3" s="1"/>
  <c r="V380" i="3"/>
  <c r="AQ380" i="3" s="1"/>
  <c r="V378" i="3"/>
  <c r="AQ378" i="3" s="1"/>
  <c r="V374" i="3"/>
  <c r="AQ374" i="3" s="1"/>
  <c r="V372" i="3"/>
  <c r="AQ372" i="3" s="1"/>
  <c r="V370" i="3"/>
  <c r="AQ370" i="3" s="1"/>
  <c r="V366" i="3"/>
  <c r="AQ366" i="3" s="1"/>
  <c r="V364" i="3"/>
  <c r="AQ364" i="3" s="1"/>
  <c r="V362" i="3"/>
  <c r="AQ362" i="3" s="1"/>
  <c r="V358" i="3"/>
  <c r="AQ358" i="3" s="1"/>
  <c r="V356" i="3"/>
  <c r="AQ356" i="3" s="1"/>
  <c r="V354" i="3"/>
  <c r="AQ354" i="3" s="1"/>
  <c r="V350" i="3"/>
  <c r="AQ350" i="3" s="1"/>
  <c r="V348" i="3"/>
  <c r="AQ348" i="3" s="1"/>
  <c r="V346" i="3"/>
  <c r="AQ346" i="3" s="1"/>
  <c r="V342" i="3"/>
  <c r="AQ342" i="3" s="1"/>
  <c r="V340" i="3"/>
  <c r="AQ340" i="3" s="1"/>
  <c r="V338" i="3"/>
  <c r="AQ338" i="3" s="1"/>
  <c r="V334" i="3"/>
  <c r="AQ334" i="3" s="1"/>
  <c r="V332" i="3"/>
  <c r="AQ332" i="3" s="1"/>
  <c r="V330" i="3"/>
  <c r="AQ330" i="3" s="1"/>
  <c r="V326" i="3"/>
  <c r="AQ326" i="3" s="1"/>
  <c r="V324" i="3"/>
  <c r="AQ324" i="3" s="1"/>
  <c r="V322" i="3"/>
  <c r="AQ322" i="3" s="1"/>
  <c r="V318" i="3"/>
  <c r="AQ318" i="3" s="1"/>
  <c r="V316" i="3"/>
  <c r="AQ316" i="3" s="1"/>
  <c r="V314" i="3"/>
  <c r="AQ314" i="3" s="1"/>
  <c r="V310" i="3"/>
  <c r="AQ310" i="3" s="1"/>
  <c r="V308" i="3"/>
  <c r="AQ308" i="3" s="1"/>
  <c r="V306" i="3"/>
  <c r="AQ306" i="3" s="1"/>
  <c r="V294" i="3"/>
  <c r="AQ294" i="3" s="1"/>
  <c r="V292" i="3"/>
  <c r="AQ292" i="3" s="1"/>
  <c r="O451" i="5"/>
  <c r="AM451" i="5" s="1"/>
  <c r="O449" i="5"/>
  <c r="AM449" i="5" s="1"/>
  <c r="O447" i="5"/>
  <c r="AM447" i="5" s="1"/>
  <c r="O445" i="5"/>
  <c r="AM445" i="5" s="1"/>
  <c r="O443" i="5"/>
  <c r="AM443" i="5" s="1"/>
  <c r="O439" i="5"/>
  <c r="AM439" i="5" s="1"/>
  <c r="O437" i="5"/>
  <c r="AM437" i="5" s="1"/>
  <c r="O435" i="5"/>
  <c r="AM435" i="5" s="1"/>
  <c r="O431" i="5"/>
  <c r="AM431" i="5" s="1"/>
  <c r="O429" i="5"/>
  <c r="AM429" i="5" s="1"/>
  <c r="O425" i="5"/>
  <c r="AM425" i="5" s="1"/>
  <c r="O423" i="5"/>
  <c r="AM423" i="5" s="1"/>
  <c r="O421" i="5"/>
  <c r="AM421" i="5" s="1"/>
  <c r="O417" i="5"/>
  <c r="AM417" i="5" s="1"/>
  <c r="O415" i="5"/>
  <c r="AM415" i="5" s="1"/>
  <c r="O411" i="5"/>
  <c r="AM411" i="5" s="1"/>
  <c r="O409" i="5"/>
  <c r="AM409" i="5" s="1"/>
  <c r="O407" i="5"/>
  <c r="AM407" i="5" s="1"/>
  <c r="O403" i="5"/>
  <c r="AM403" i="5" s="1"/>
  <c r="O401" i="5"/>
  <c r="AM401" i="5" s="1"/>
  <c r="O399" i="5"/>
  <c r="AM399" i="5" s="1"/>
  <c r="O397" i="5"/>
  <c r="AM397" i="5" s="1"/>
  <c r="O393" i="5"/>
  <c r="AM393" i="5" s="1"/>
  <c r="O391" i="5"/>
  <c r="AM391" i="5" s="1"/>
  <c r="O389" i="5"/>
  <c r="AM389" i="5" s="1"/>
  <c r="O387" i="5"/>
  <c r="AM387" i="5" s="1"/>
  <c r="O382" i="5"/>
  <c r="AM382" i="5" s="1"/>
  <c r="O380" i="5"/>
  <c r="AM380" i="5" s="1"/>
  <c r="O378" i="5"/>
  <c r="AM378" i="5" s="1"/>
  <c r="O374" i="5"/>
  <c r="AM374" i="5" s="1"/>
  <c r="O372" i="5"/>
  <c r="AM372" i="5" s="1"/>
  <c r="O370" i="5"/>
  <c r="AM370" i="5" s="1"/>
  <c r="O366" i="5"/>
  <c r="AM366" i="5" s="1"/>
  <c r="O364" i="5"/>
  <c r="AM364" i="5" s="1"/>
  <c r="O362" i="5"/>
  <c r="AM362" i="5" s="1"/>
  <c r="O358" i="5"/>
  <c r="AM358" i="5" s="1"/>
  <c r="O356" i="5"/>
  <c r="AM356" i="5" s="1"/>
  <c r="O354" i="5"/>
  <c r="AM354" i="5" s="1"/>
  <c r="O350" i="5"/>
  <c r="AM350" i="5" s="1"/>
  <c r="O348" i="5"/>
  <c r="AM348" i="5" s="1"/>
  <c r="O346" i="5"/>
  <c r="AM346" i="5" s="1"/>
  <c r="O342" i="5"/>
  <c r="AM342" i="5" s="1"/>
  <c r="O340" i="5"/>
  <c r="AM340" i="5" s="1"/>
  <c r="O338" i="5"/>
  <c r="AM338" i="5" s="1"/>
  <c r="O334" i="5"/>
  <c r="AM334" i="5" s="1"/>
  <c r="O332" i="5"/>
  <c r="AM332" i="5" s="1"/>
  <c r="O330" i="5"/>
  <c r="AM330" i="5" s="1"/>
  <c r="O326" i="5"/>
  <c r="AM326" i="5" s="1"/>
  <c r="O324" i="5"/>
  <c r="O322" i="5"/>
  <c r="AM322" i="5" s="1"/>
  <c r="O318" i="5"/>
  <c r="AM318" i="5" s="1"/>
  <c r="O316" i="5"/>
  <c r="AM316" i="5" s="1"/>
  <c r="O314" i="5"/>
  <c r="O310" i="5"/>
  <c r="AM310" i="5" s="1"/>
  <c r="O308" i="5"/>
  <c r="O306" i="5"/>
  <c r="AM306" i="5" s="1"/>
  <c r="O294" i="5"/>
  <c r="AM294" i="5" s="1"/>
  <c r="O292" i="5"/>
  <c r="AM292" i="5" s="1"/>
  <c r="O290" i="5"/>
  <c r="O285" i="5"/>
  <c r="AM285" i="5" s="1"/>
  <c r="O283" i="5"/>
  <c r="AM283" i="5" s="1"/>
  <c r="O281" i="5"/>
  <c r="AM281" i="5" s="1"/>
  <c r="O279" i="5"/>
  <c r="AM279" i="5" s="1"/>
  <c r="O277" i="5"/>
  <c r="AM277" i="5" s="1"/>
  <c r="O275" i="5"/>
  <c r="AM275" i="5" s="1"/>
  <c r="O273" i="5"/>
  <c r="AM273" i="5" s="1"/>
  <c r="O268" i="5"/>
  <c r="AM268" i="5" s="1"/>
  <c r="O266" i="5"/>
  <c r="AM266" i="5" s="1"/>
  <c r="O264" i="5"/>
  <c r="AM264" i="5" s="1"/>
  <c r="O259" i="5"/>
  <c r="AM259" i="5" s="1"/>
  <c r="O257" i="5"/>
  <c r="AM257" i="5" s="1"/>
  <c r="O255" i="5"/>
  <c r="AM255" i="5" s="1"/>
  <c r="O253" i="5"/>
  <c r="AM253" i="5" s="1"/>
  <c r="O248" i="5"/>
  <c r="AM248" i="5" s="1"/>
  <c r="O246" i="5"/>
  <c r="AM246" i="5" s="1"/>
  <c r="O244" i="5"/>
  <c r="AM244" i="5" s="1"/>
  <c r="O239" i="5"/>
  <c r="AM239" i="5" s="1"/>
  <c r="O237" i="5"/>
  <c r="AM237" i="5" s="1"/>
  <c r="O235" i="5"/>
  <c r="AM235" i="5" s="1"/>
  <c r="O230" i="5"/>
  <c r="AM230" i="5" s="1"/>
  <c r="O228" i="5"/>
  <c r="AM228" i="5" s="1"/>
  <c r="O226" i="5"/>
  <c r="AM226" i="5" s="1"/>
  <c r="O224" i="5"/>
  <c r="AM224" i="5" s="1"/>
  <c r="O222" i="5"/>
  <c r="AM222" i="5" s="1"/>
  <c r="O216" i="5"/>
  <c r="AM216" i="5" s="1"/>
  <c r="O211" i="5"/>
  <c r="AM211" i="5" s="1"/>
  <c r="O209" i="5"/>
  <c r="AM209" i="5" s="1"/>
  <c r="O204" i="5"/>
  <c r="AM204" i="5" s="1"/>
  <c r="O202" i="5"/>
  <c r="AM202" i="5" s="1"/>
  <c r="O197" i="5"/>
  <c r="AM197" i="5" s="1"/>
  <c r="O195" i="5"/>
  <c r="AM195" i="5" s="1"/>
  <c r="O189" i="5"/>
  <c r="AM189" i="5" s="1"/>
  <c r="O187" i="5"/>
  <c r="AM187" i="5" s="1"/>
  <c r="O185" i="5"/>
  <c r="AM185" i="5" s="1"/>
  <c r="O183" i="5"/>
  <c r="AM183" i="5" s="1"/>
  <c r="O178" i="5"/>
  <c r="AM178" i="5" s="1"/>
  <c r="O176" i="5"/>
  <c r="AM176" i="5" s="1"/>
  <c r="O171" i="5"/>
  <c r="AM171" i="5" s="1"/>
  <c r="O169" i="5"/>
  <c r="AM169" i="5" s="1"/>
  <c r="O164" i="5"/>
  <c r="AM164" i="5" s="1"/>
  <c r="O162" i="5"/>
  <c r="AM162" i="5" s="1"/>
  <c r="O160" i="5"/>
  <c r="AM160" i="5" s="1"/>
  <c r="O158" i="5"/>
  <c r="AM158" i="5" s="1"/>
  <c r="O156" i="5"/>
  <c r="AM156" i="5" s="1"/>
  <c r="O154" i="5"/>
  <c r="AM154" i="5" s="1"/>
  <c r="O147" i="5"/>
  <c r="AM147" i="5" s="1"/>
  <c r="O145" i="5"/>
  <c r="AM145" i="5" s="1"/>
  <c r="O140" i="5"/>
  <c r="AM140" i="5" s="1"/>
  <c r="O138" i="5"/>
  <c r="AM138" i="5" s="1"/>
  <c r="O130" i="5"/>
  <c r="AM130" i="5" s="1"/>
  <c r="O123" i="5"/>
  <c r="AM123" i="5" s="1"/>
  <c r="O105" i="5"/>
  <c r="AM105" i="5" s="1"/>
  <c r="O85" i="5"/>
  <c r="AM85" i="5" s="1"/>
  <c r="O81" i="5"/>
  <c r="AM81" i="5" s="1"/>
  <c r="O42" i="5"/>
  <c r="AM42" i="5" s="1"/>
  <c r="O40" i="5"/>
  <c r="AM40" i="5" s="1"/>
  <c r="O33" i="5"/>
  <c r="AM33" i="5" s="1"/>
  <c r="O31" i="5"/>
  <c r="AM31" i="5" s="1"/>
  <c r="O26" i="5"/>
  <c r="AM26" i="5" s="1"/>
  <c r="O24" i="5"/>
  <c r="AM24" i="5" s="1"/>
  <c r="O18" i="5"/>
  <c r="AM18" i="5" s="1"/>
  <c r="O432" i="6"/>
  <c r="AM432" i="6" s="1"/>
  <c r="O431" i="6"/>
  <c r="AM431" i="6" s="1"/>
  <c r="O430" i="6"/>
  <c r="AM430" i="6" s="1"/>
  <c r="O429" i="6"/>
  <c r="AM429" i="6" s="1"/>
  <c r="O428" i="6"/>
  <c r="O417" i="6"/>
  <c r="AM417" i="6" s="1"/>
  <c r="O416" i="6"/>
  <c r="AM416" i="6" s="1"/>
  <c r="O415" i="6"/>
  <c r="AM415" i="6" s="1"/>
  <c r="O414" i="6"/>
  <c r="AM414" i="6" s="1"/>
  <c r="O374" i="6"/>
  <c r="AM374" i="6" s="1"/>
  <c r="O373" i="6"/>
  <c r="AM373" i="6" s="1"/>
  <c r="O372" i="6"/>
  <c r="AM372" i="6" s="1"/>
  <c r="O371" i="6"/>
  <c r="AM371" i="6" s="1"/>
  <c r="O370" i="6"/>
  <c r="AM370" i="6" s="1"/>
  <c r="O369" i="6"/>
  <c r="AM369" i="6" s="1"/>
  <c r="O366" i="6"/>
  <c r="AM366" i="6" s="1"/>
  <c r="O365" i="6"/>
  <c r="AM365" i="6" s="1"/>
  <c r="O364" i="6"/>
  <c r="AM364" i="6" s="1"/>
  <c r="O363" i="6"/>
  <c r="AM363" i="6" s="1"/>
  <c r="O362" i="6"/>
  <c r="AM362" i="6" s="1"/>
  <c r="O361" i="6"/>
  <c r="AM361" i="6" s="1"/>
  <c r="O342" i="6"/>
  <c r="AM342" i="6" s="1"/>
  <c r="O341" i="6"/>
  <c r="AM341" i="6" s="1"/>
  <c r="O340" i="6"/>
  <c r="AM340" i="6" s="1"/>
  <c r="O339" i="6"/>
  <c r="AM339" i="6" s="1"/>
  <c r="O338" i="6"/>
  <c r="AM338" i="6" s="1"/>
  <c r="O337" i="6"/>
  <c r="AM337" i="6" s="1"/>
  <c r="O326" i="6"/>
  <c r="AM326" i="6" s="1"/>
  <c r="O325" i="6"/>
  <c r="AM325" i="6" s="1"/>
  <c r="O324" i="6"/>
  <c r="AM324" i="6" s="1"/>
  <c r="O323" i="6"/>
  <c r="AM323" i="6" s="1"/>
  <c r="O322" i="6"/>
  <c r="AM322" i="6" s="1"/>
  <c r="O321" i="6"/>
  <c r="O310" i="6"/>
  <c r="AM310" i="6" s="1"/>
  <c r="O309" i="6"/>
  <c r="AM309" i="6" s="1"/>
  <c r="O308" i="6"/>
  <c r="AM308" i="6" s="1"/>
  <c r="O307" i="6"/>
  <c r="AM307" i="6" s="1"/>
  <c r="O306" i="6"/>
  <c r="AM306" i="6" s="1"/>
  <c r="O305" i="6"/>
  <c r="AM305" i="6" s="1"/>
  <c r="O290" i="6"/>
  <c r="AM290" i="6" s="1"/>
  <c r="O286" i="6"/>
  <c r="AM286" i="6" s="1"/>
  <c r="O285" i="6"/>
  <c r="AM285" i="6" s="1"/>
  <c r="O284" i="6"/>
  <c r="AM284" i="6" s="1"/>
  <c r="O283" i="6"/>
  <c r="AM283" i="6" s="1"/>
  <c r="O282" i="6"/>
  <c r="AM282" i="6" s="1"/>
  <c r="O281" i="6"/>
  <c r="AM281" i="6" s="1"/>
  <c r="O280" i="6"/>
  <c r="AM280" i="6" s="1"/>
  <c r="O279" i="6"/>
  <c r="AM279" i="6" s="1"/>
  <c r="O278" i="6"/>
  <c r="AM278" i="6" s="1"/>
  <c r="O277" i="6"/>
  <c r="AM277" i="6" s="1"/>
  <c r="O276" i="6"/>
  <c r="AM276" i="6" s="1"/>
  <c r="O275" i="6"/>
  <c r="AM275" i="6" s="1"/>
  <c r="O274" i="6"/>
  <c r="AM274" i="6" s="1"/>
  <c r="O273" i="6"/>
  <c r="AM273" i="6" s="1"/>
  <c r="O260" i="6"/>
  <c r="AM260" i="6" s="1"/>
  <c r="O259" i="6"/>
  <c r="AM259" i="6" s="1"/>
  <c r="O258" i="6"/>
  <c r="AM258" i="6" s="1"/>
  <c r="O257" i="6"/>
  <c r="AM257" i="6" s="1"/>
  <c r="O256" i="6"/>
  <c r="AM256" i="6" s="1"/>
  <c r="O255" i="6"/>
  <c r="AM255" i="6" s="1"/>
  <c r="O254" i="6"/>
  <c r="AM254" i="6" s="1"/>
  <c r="O253" i="6"/>
  <c r="AM253" i="6" s="1"/>
  <c r="O252" i="6"/>
  <c r="AM252" i="6" s="1"/>
  <c r="O240" i="6"/>
  <c r="AM240" i="6" s="1"/>
  <c r="O238" i="6"/>
  <c r="AM238" i="6" s="1"/>
  <c r="O236" i="6"/>
  <c r="AM236" i="6" s="1"/>
  <c r="O258" i="7"/>
  <c r="AM258" i="7" s="1"/>
  <c r="O254" i="7"/>
  <c r="AM254" i="7" s="1"/>
  <c r="O247" i="7"/>
  <c r="AM247" i="7" s="1"/>
  <c r="O240" i="7"/>
  <c r="AM240" i="7" s="1"/>
  <c r="O236" i="7"/>
  <c r="AM236" i="7" s="1"/>
  <c r="O235" i="7"/>
  <c r="AM235" i="7" s="1"/>
  <c r="O230" i="7"/>
  <c r="AM230" i="7" s="1"/>
  <c r="O228" i="7"/>
  <c r="AM228" i="7" s="1"/>
  <c r="O226" i="7"/>
  <c r="AM226" i="7" s="1"/>
  <c r="O224" i="7"/>
  <c r="AM224" i="7" s="1"/>
  <c r="O222" i="7"/>
  <c r="AM222" i="7" s="1"/>
  <c r="O216" i="7"/>
  <c r="AM216" i="7" s="1"/>
  <c r="O211" i="7"/>
  <c r="AM211" i="7" s="1"/>
  <c r="O209" i="7"/>
  <c r="AM209" i="7" s="1"/>
  <c r="O204" i="7"/>
  <c r="AM204" i="7" s="1"/>
  <c r="O202" i="7"/>
  <c r="AM202" i="7" s="1"/>
  <c r="O197" i="7"/>
  <c r="AM197" i="7" s="1"/>
  <c r="O195" i="7"/>
  <c r="AM195" i="7" s="1"/>
  <c r="O187" i="7"/>
  <c r="AM187" i="7" s="1"/>
  <c r="O185" i="7"/>
  <c r="AM185" i="7" s="1"/>
  <c r="O183" i="7"/>
  <c r="AM183" i="7" s="1"/>
  <c r="O178" i="7"/>
  <c r="AM178" i="7" s="1"/>
  <c r="O176" i="7"/>
  <c r="AM176" i="7" s="1"/>
  <c r="O171" i="7"/>
  <c r="AM171" i="7" s="1"/>
  <c r="O169" i="7"/>
  <c r="AM169" i="7" s="1"/>
  <c r="O164" i="7"/>
  <c r="AM164" i="7" s="1"/>
  <c r="O162" i="7"/>
  <c r="AM162" i="7" s="1"/>
  <c r="O160" i="7"/>
  <c r="AM160" i="7" s="1"/>
  <c r="O158" i="7"/>
  <c r="AM158" i="7" s="1"/>
  <c r="O156" i="7"/>
  <c r="AM156" i="7" s="1"/>
  <c r="O154" i="7"/>
  <c r="AM154" i="7" s="1"/>
  <c r="O147" i="7"/>
  <c r="AM147" i="7" s="1"/>
  <c r="O145" i="7"/>
  <c r="AM145" i="7" s="1"/>
  <c r="O140" i="7"/>
  <c r="AM140" i="7" s="1"/>
  <c r="O138" i="7"/>
  <c r="AM138" i="7" s="1"/>
  <c r="O136" i="7"/>
  <c r="AM136" i="7" s="1"/>
  <c r="O134" i="7"/>
  <c r="AM134" i="7" s="1"/>
  <c r="O132" i="7"/>
  <c r="AM132" i="7" s="1"/>
  <c r="O130" i="7"/>
  <c r="AM130" i="7" s="1"/>
  <c r="O123" i="7"/>
  <c r="AM123" i="7" s="1"/>
  <c r="O105" i="7"/>
  <c r="AM105" i="7" s="1"/>
  <c r="O43" i="7"/>
  <c r="AM43" i="7" s="1"/>
  <c r="V24" i="7"/>
  <c r="AQ24" i="7" s="1"/>
  <c r="V23" i="7"/>
  <c r="AQ23" i="7" s="1"/>
  <c r="O96" i="3"/>
  <c r="AM96" i="3" s="1"/>
  <c r="O94" i="3"/>
  <c r="AM94" i="3" s="1"/>
  <c r="O92" i="3"/>
  <c r="AM92" i="3" s="1"/>
  <c r="O87" i="3"/>
  <c r="AM87" i="3" s="1"/>
  <c r="O85" i="3"/>
  <c r="AM85" i="3" s="1"/>
  <c r="O83" i="3"/>
  <c r="AM83" i="3" s="1"/>
  <c r="O81" i="3"/>
  <c r="AM81" i="3" s="1"/>
  <c r="O79" i="3"/>
  <c r="AM79" i="3" s="1"/>
  <c r="O73" i="3"/>
  <c r="AM73" i="3" s="1"/>
  <c r="O71" i="3"/>
  <c r="AM71" i="3" s="1"/>
  <c r="O69" i="3"/>
  <c r="AM69" i="3" s="1"/>
  <c r="O64" i="3"/>
  <c r="AM64" i="3" s="1"/>
  <c r="O62" i="3"/>
  <c r="AM62" i="3" s="1"/>
  <c r="O60" i="3"/>
  <c r="AM60" i="3" s="1"/>
  <c r="O58" i="3"/>
  <c r="AM58" i="3" s="1"/>
  <c r="O56" i="3"/>
  <c r="AM56" i="3" s="1"/>
  <c r="O54" i="3"/>
  <c r="AM54" i="3" s="1"/>
  <c r="O49" i="3"/>
  <c r="AM49" i="3" s="1"/>
  <c r="H422" i="7"/>
  <c r="AI422" i="7" s="1"/>
  <c r="AB422" i="7"/>
  <c r="AM383" i="7"/>
  <c r="AM377" i="7"/>
  <c r="AK369" i="7"/>
  <c r="AK375" i="7"/>
  <c r="AB445" i="7"/>
  <c r="H445" i="7"/>
  <c r="AI445" i="7" s="1"/>
  <c r="AQ351" i="7"/>
  <c r="V345" i="7"/>
  <c r="AQ345" i="7" s="1"/>
  <c r="AI343" i="7"/>
  <c r="AB337" i="7"/>
  <c r="H337" i="7"/>
  <c r="AI337" i="7" s="1"/>
  <c r="AQ335" i="7"/>
  <c r="V329" i="7"/>
  <c r="AQ329" i="7" s="1"/>
  <c r="AI327" i="7"/>
  <c r="H321" i="7"/>
  <c r="AI321" i="7" s="1"/>
  <c r="AB321" i="7"/>
  <c r="AQ319" i="7"/>
  <c r="V313" i="7"/>
  <c r="AQ313" i="7" s="1"/>
  <c r="AI311" i="7"/>
  <c r="H305" i="7"/>
  <c r="AI305" i="7" s="1"/>
  <c r="AB305" i="7"/>
  <c r="AK290" i="7"/>
  <c r="AK296" i="7"/>
  <c r="AL345" i="7"/>
  <c r="AL351" i="7"/>
  <c r="AL319" i="7"/>
  <c r="AL313" i="7"/>
  <c r="AB284" i="7"/>
  <c r="H284" i="7"/>
  <c r="AI284" i="7" s="1"/>
  <c r="H282" i="7"/>
  <c r="AI282" i="7" s="1"/>
  <c r="AB282" i="7"/>
  <c r="AB280" i="7"/>
  <c r="H280" i="7"/>
  <c r="AI280" i="7" s="1"/>
  <c r="H278" i="7"/>
  <c r="AI278" i="7" s="1"/>
  <c r="AB278" i="7"/>
  <c r="AB276" i="7"/>
  <c r="H276" i="7"/>
  <c r="AI276" i="7" s="1"/>
  <c r="AI250" i="7"/>
  <c r="AB245" i="7"/>
  <c r="H245" i="7"/>
  <c r="AI245" i="7" s="1"/>
  <c r="AB238" i="7"/>
  <c r="H238" i="7"/>
  <c r="AI238" i="7" s="1"/>
  <c r="AB273" i="7"/>
  <c r="H273" i="7"/>
  <c r="AI273" i="7" s="1"/>
  <c r="AB266" i="7"/>
  <c r="H266" i="7"/>
  <c r="AI266" i="7" s="1"/>
  <c r="AB259" i="7"/>
  <c r="H259" i="7"/>
  <c r="AI259" i="7" s="1"/>
  <c r="AB255" i="7"/>
  <c r="H255" i="7"/>
  <c r="AI255" i="7" s="1"/>
  <c r="AB248" i="7"/>
  <c r="H248" i="7"/>
  <c r="AI248" i="7" s="1"/>
  <c r="AM250" i="7"/>
  <c r="O245" i="7"/>
  <c r="AM245" i="7" s="1"/>
  <c r="AM149" i="7"/>
  <c r="O144" i="7"/>
  <c r="AM144" i="7" s="1"/>
  <c r="AB140" i="7"/>
  <c r="H140" i="7"/>
  <c r="AI140" i="7" s="1"/>
  <c r="AB138" i="7"/>
  <c r="H138" i="7"/>
  <c r="AI138" i="7" s="1"/>
  <c r="AB136" i="7"/>
  <c r="H136" i="7"/>
  <c r="AI136" i="7" s="1"/>
  <c r="AB134" i="7"/>
  <c r="H134" i="7"/>
  <c r="AI134" i="7" s="1"/>
  <c r="AB132" i="7"/>
  <c r="H132" i="7"/>
  <c r="AI132" i="7" s="1"/>
  <c r="AB130" i="7"/>
  <c r="H130" i="7"/>
  <c r="AI130" i="7" s="1"/>
  <c r="AB123" i="7"/>
  <c r="H123" i="7"/>
  <c r="AI123" i="7" s="1"/>
  <c r="AB121" i="7"/>
  <c r="AI126" i="7"/>
  <c r="H121" i="7"/>
  <c r="AI121" i="7" s="1"/>
  <c r="AB113" i="7"/>
  <c r="H113" i="7"/>
  <c r="AI113" i="7" s="1"/>
  <c r="H111" i="7"/>
  <c r="AI111" i="7" s="1"/>
  <c r="AB111" i="7"/>
  <c r="AI116" i="7"/>
  <c r="AB105" i="7"/>
  <c r="H105" i="7"/>
  <c r="AI105" i="7" s="1"/>
  <c r="H103" i="7"/>
  <c r="AI103" i="7" s="1"/>
  <c r="AB103" i="7"/>
  <c r="AI108" i="7"/>
  <c r="AB98" i="7"/>
  <c r="H98" i="7"/>
  <c r="AI98" i="7" s="1"/>
  <c r="H96" i="7"/>
  <c r="AI96" i="7" s="1"/>
  <c r="AB96" i="7"/>
  <c r="AB94" i="7"/>
  <c r="H94" i="7"/>
  <c r="AI94" i="7" s="1"/>
  <c r="H92" i="7"/>
  <c r="AI92" i="7" s="1"/>
  <c r="AB92" i="7"/>
  <c r="AB87" i="7"/>
  <c r="H87" i="7"/>
  <c r="AI87" i="7" s="1"/>
  <c r="H85" i="7"/>
  <c r="AI85" i="7" s="1"/>
  <c r="AB85" i="7"/>
  <c r="AB83" i="7"/>
  <c r="H83" i="7"/>
  <c r="AI83" i="7" s="1"/>
  <c r="H81" i="7"/>
  <c r="AI81" i="7" s="1"/>
  <c r="AB81" i="7"/>
  <c r="AB79" i="7"/>
  <c r="H79" i="7"/>
  <c r="AI79" i="7" s="1"/>
  <c r="AB43" i="7"/>
  <c r="H43" i="7"/>
  <c r="AI43" i="7" s="1"/>
  <c r="AQ367" i="6"/>
  <c r="V361" i="6"/>
  <c r="AQ361" i="6" s="1"/>
  <c r="AQ359" i="6"/>
  <c r="V353" i="6"/>
  <c r="AQ353" i="6" s="1"/>
  <c r="V111" i="6"/>
  <c r="AQ111" i="6" s="1"/>
  <c r="AQ116" i="6"/>
  <c r="AQ52" i="6"/>
  <c r="V47" i="6"/>
  <c r="AQ47" i="6" s="1"/>
  <c r="V17" i="6"/>
  <c r="AQ17" i="6" s="1"/>
  <c r="V74" i="6"/>
  <c r="AQ74" i="6" s="1"/>
  <c r="V295" i="6"/>
  <c r="AQ295" i="6" s="1"/>
  <c r="V199" i="6"/>
  <c r="AQ199" i="6" s="1"/>
  <c r="V115" i="6"/>
  <c r="AQ115" i="6" s="1"/>
  <c r="V27" i="6"/>
  <c r="V35" i="6"/>
  <c r="AQ35" i="6" s="1"/>
  <c r="V179" i="6"/>
  <c r="AQ179" i="6" s="1"/>
  <c r="V212" i="6"/>
  <c r="AQ212" i="6" s="1"/>
  <c r="V232" i="6"/>
  <c r="AQ232" i="6" s="1"/>
  <c r="V270" i="6"/>
  <c r="AQ270" i="6" s="1"/>
  <c r="V19" i="6"/>
  <c r="AQ19" i="6" s="1"/>
  <c r="V44" i="6"/>
  <c r="AQ44" i="6" s="1"/>
  <c r="V218" i="6"/>
  <c r="AQ218" i="6" s="1"/>
  <c r="V206" i="6"/>
  <c r="AQ206" i="6" s="1"/>
  <c r="V191" i="6"/>
  <c r="AQ191" i="6" s="1"/>
  <c r="V148" i="6"/>
  <c r="AQ148" i="6" s="1"/>
  <c r="V125" i="6"/>
  <c r="AQ125" i="6" s="1"/>
  <c r="V107" i="6"/>
  <c r="AQ107" i="6" s="1"/>
  <c r="V51" i="6"/>
  <c r="AQ51" i="6" s="1"/>
  <c r="V172" i="6"/>
  <c r="AQ172" i="6" s="1"/>
  <c r="V241" i="6"/>
  <c r="AQ241" i="6" s="1"/>
  <c r="V249" i="6"/>
  <c r="AQ249" i="6" s="1"/>
  <c r="V261" i="6"/>
  <c r="AQ261" i="6" s="1"/>
  <c r="AB439" i="6"/>
  <c r="H439" i="6"/>
  <c r="AI439" i="6" s="1"/>
  <c r="AI440" i="6"/>
  <c r="H438" i="6"/>
  <c r="AI438" i="6" s="1"/>
  <c r="AB438" i="6"/>
  <c r="AB437" i="6"/>
  <c r="H437" i="6"/>
  <c r="AI437" i="6" s="1"/>
  <c r="AB436" i="6"/>
  <c r="H436" i="6"/>
  <c r="AI436" i="6" s="1"/>
  <c r="AB417" i="6"/>
  <c r="H417" i="6"/>
  <c r="AI417" i="6" s="1"/>
  <c r="AB416" i="6"/>
  <c r="H416" i="6"/>
  <c r="AI416" i="6" s="1"/>
  <c r="AB415" i="6"/>
  <c r="H415" i="6"/>
  <c r="AI415" i="6" s="1"/>
  <c r="AB414" i="6"/>
  <c r="H414" i="6"/>
  <c r="AI414" i="6" s="1"/>
  <c r="AB402" i="6"/>
  <c r="H402" i="6"/>
  <c r="AI402" i="6" s="1"/>
  <c r="AB401" i="6"/>
  <c r="H401" i="6"/>
  <c r="AI401" i="6" s="1"/>
  <c r="H400" i="6"/>
  <c r="AI400" i="6" s="1"/>
  <c r="AB400" i="6"/>
  <c r="AB399" i="6"/>
  <c r="H399" i="6"/>
  <c r="AI399" i="6" s="1"/>
  <c r="H398" i="6"/>
  <c r="AI398" i="6" s="1"/>
  <c r="AB398" i="6"/>
  <c r="AB397" i="6"/>
  <c r="H397" i="6"/>
  <c r="AI397" i="6" s="1"/>
  <c r="AB374" i="6"/>
  <c r="H374" i="6"/>
  <c r="AI374" i="6" s="1"/>
  <c r="AB373" i="6"/>
  <c r="H373" i="6"/>
  <c r="AI373" i="6" s="1"/>
  <c r="AB372" i="6"/>
  <c r="H372" i="6"/>
  <c r="AI372" i="6" s="1"/>
  <c r="AB371" i="6"/>
  <c r="H371" i="6"/>
  <c r="AI371" i="6" s="1"/>
  <c r="AB370" i="6"/>
  <c r="H370" i="6"/>
  <c r="AI370" i="6" s="1"/>
  <c r="AB342" i="6"/>
  <c r="H342" i="6"/>
  <c r="AI342" i="6" s="1"/>
  <c r="AB341" i="6"/>
  <c r="H341" i="6"/>
  <c r="AI341" i="6" s="1"/>
  <c r="AB340" i="6"/>
  <c r="H340" i="6"/>
  <c r="AI340" i="6" s="1"/>
  <c r="AB339" i="6"/>
  <c r="H339" i="6"/>
  <c r="AI339" i="6" s="1"/>
  <c r="AB338" i="6"/>
  <c r="H338" i="6"/>
  <c r="AI338" i="6" s="1"/>
  <c r="AI343" i="6"/>
  <c r="AB337" i="6"/>
  <c r="H337" i="6"/>
  <c r="AI337" i="6" s="1"/>
  <c r="AB326" i="6"/>
  <c r="H326" i="6"/>
  <c r="AI326" i="6" s="1"/>
  <c r="AB325" i="6"/>
  <c r="H325" i="6"/>
  <c r="AI325" i="6" s="1"/>
  <c r="AB324" i="6"/>
  <c r="H324" i="6"/>
  <c r="AI324" i="6" s="1"/>
  <c r="AB323" i="6"/>
  <c r="H323" i="6"/>
  <c r="AI323" i="6" s="1"/>
  <c r="AB322" i="6"/>
  <c r="H322" i="6"/>
  <c r="AI322" i="6" s="1"/>
  <c r="AB310" i="6"/>
  <c r="H310" i="6"/>
  <c r="AI310" i="6" s="1"/>
  <c r="AB309" i="6"/>
  <c r="H309" i="6"/>
  <c r="AI309" i="6" s="1"/>
  <c r="AB308" i="6"/>
  <c r="H308" i="6"/>
  <c r="AI308" i="6" s="1"/>
  <c r="AB307" i="6"/>
  <c r="H307" i="6"/>
  <c r="AI307" i="6" s="1"/>
  <c r="AB306" i="6"/>
  <c r="H306" i="6"/>
  <c r="AI306" i="6" s="1"/>
  <c r="AI296" i="6"/>
  <c r="H290" i="6"/>
  <c r="AI290" i="6" s="1"/>
  <c r="AB290" i="6"/>
  <c r="AB286" i="6"/>
  <c r="H286" i="6"/>
  <c r="AI286" i="6" s="1"/>
  <c r="H285" i="6"/>
  <c r="AI285" i="6" s="1"/>
  <c r="AB285" i="6"/>
  <c r="AB284" i="6"/>
  <c r="H284" i="6"/>
  <c r="AI284" i="6" s="1"/>
  <c r="H283" i="6"/>
  <c r="AI283" i="6" s="1"/>
  <c r="AB283" i="6"/>
  <c r="AB282" i="6"/>
  <c r="H282" i="6"/>
  <c r="AI282" i="6" s="1"/>
  <c r="H281" i="6"/>
  <c r="AI281" i="6" s="1"/>
  <c r="AB281" i="6"/>
  <c r="AB280" i="6"/>
  <c r="H280" i="6"/>
  <c r="AI280" i="6" s="1"/>
  <c r="H279" i="6"/>
  <c r="AI279" i="6" s="1"/>
  <c r="AB279" i="6"/>
  <c r="AB278" i="6"/>
  <c r="H278" i="6"/>
  <c r="AI278" i="6" s="1"/>
  <c r="H277" i="6"/>
  <c r="AI277" i="6" s="1"/>
  <c r="AB277" i="6"/>
  <c r="AB276" i="6"/>
  <c r="H276" i="6"/>
  <c r="AI276" i="6" s="1"/>
  <c r="H275" i="6"/>
  <c r="AI275" i="6" s="1"/>
  <c r="AB275" i="6"/>
  <c r="AB274" i="6"/>
  <c r="H274" i="6"/>
  <c r="AI274" i="6" s="1"/>
  <c r="H273" i="6"/>
  <c r="AI273" i="6" s="1"/>
  <c r="AB273" i="6"/>
  <c r="AB260" i="6"/>
  <c r="H260" i="6"/>
  <c r="AI260" i="6" s="1"/>
  <c r="AB259" i="6"/>
  <c r="H259" i="6"/>
  <c r="AI259" i="6" s="1"/>
  <c r="AB258" i="6"/>
  <c r="H258" i="6"/>
  <c r="AI258" i="6" s="1"/>
  <c r="H257" i="6"/>
  <c r="AI257" i="6" s="1"/>
  <c r="AB257" i="6"/>
  <c r="AB256" i="6"/>
  <c r="H256" i="6"/>
  <c r="AI256" i="6" s="1"/>
  <c r="AB255" i="6"/>
  <c r="H255" i="6"/>
  <c r="AI255" i="6" s="1"/>
  <c r="H254" i="6"/>
  <c r="AI254" i="6" s="1"/>
  <c r="AB254" i="6"/>
  <c r="H253" i="6"/>
  <c r="AI253" i="6" s="1"/>
  <c r="AB253" i="6"/>
  <c r="AB252" i="6"/>
  <c r="H252" i="6"/>
  <c r="AI252" i="6" s="1"/>
  <c r="AB240" i="6"/>
  <c r="H240" i="6"/>
  <c r="AI240" i="6" s="1"/>
  <c r="AB239" i="6"/>
  <c r="H239" i="6"/>
  <c r="AI239" i="6" s="1"/>
  <c r="H238" i="6"/>
  <c r="AI238" i="6" s="1"/>
  <c r="AB238" i="6"/>
  <c r="AB237" i="6"/>
  <c r="H237" i="6"/>
  <c r="AI237" i="6" s="1"/>
  <c r="AB236" i="6"/>
  <c r="H236" i="6"/>
  <c r="AI236" i="6" s="1"/>
  <c r="AB235" i="6"/>
  <c r="H235" i="6"/>
  <c r="AI235" i="6" s="1"/>
  <c r="AB211" i="6"/>
  <c r="H211" i="6"/>
  <c r="AI211" i="6" s="1"/>
  <c r="AB210" i="6"/>
  <c r="H210" i="6"/>
  <c r="AI210" i="6" s="1"/>
  <c r="AB209" i="6"/>
  <c r="H209" i="6"/>
  <c r="AI209" i="6" s="1"/>
  <c r="AB198" i="6"/>
  <c r="H198" i="6"/>
  <c r="AI198" i="6" s="1"/>
  <c r="AB197" i="6"/>
  <c r="H197" i="6"/>
  <c r="AI197" i="6" s="1"/>
  <c r="AB196" i="6"/>
  <c r="H196" i="6"/>
  <c r="AI196" i="6" s="1"/>
  <c r="AB195" i="6"/>
  <c r="H195" i="6"/>
  <c r="AI195" i="6" s="1"/>
  <c r="H182" i="6"/>
  <c r="AI182" i="6" s="1"/>
  <c r="AB182" i="6"/>
  <c r="AB178" i="6"/>
  <c r="H178" i="6"/>
  <c r="AI178" i="6" s="1"/>
  <c r="AB177" i="6"/>
  <c r="H177" i="6"/>
  <c r="AI177" i="6" s="1"/>
  <c r="AB176" i="6"/>
  <c r="H176" i="6"/>
  <c r="AI176" i="6" s="1"/>
  <c r="AB175" i="6"/>
  <c r="H175" i="6"/>
  <c r="AI175" i="6" s="1"/>
  <c r="AB147" i="6"/>
  <c r="H147" i="6"/>
  <c r="AI147" i="6" s="1"/>
  <c r="AB146" i="6"/>
  <c r="H146" i="6"/>
  <c r="AI146" i="6" s="1"/>
  <c r="AB145" i="6"/>
  <c r="H145" i="6"/>
  <c r="AI145" i="6" s="1"/>
  <c r="AB144" i="6"/>
  <c r="AI149" i="6"/>
  <c r="H144" i="6"/>
  <c r="AI144" i="6" s="1"/>
  <c r="H114" i="6"/>
  <c r="AI114" i="6" s="1"/>
  <c r="AB114" i="6"/>
  <c r="AB113" i="6"/>
  <c r="H113" i="6"/>
  <c r="AI113" i="6" s="1"/>
  <c r="AB112" i="6"/>
  <c r="H112" i="6"/>
  <c r="AI112" i="6" s="1"/>
  <c r="AB103" i="6"/>
  <c r="AI108" i="6"/>
  <c r="H103" i="6"/>
  <c r="AI103" i="6" s="1"/>
  <c r="AB18" i="6"/>
  <c r="H18" i="6"/>
  <c r="AI18" i="6" s="1"/>
  <c r="AQ296" i="3"/>
  <c r="V290" i="3"/>
  <c r="AQ290" i="3" s="1"/>
  <c r="AK440" i="6"/>
  <c r="AK439" i="6"/>
  <c r="AM428" i="6"/>
  <c r="AL383" i="6"/>
  <c r="AL377" i="6"/>
  <c r="AL359" i="6"/>
  <c r="AL353" i="6"/>
  <c r="AL351" i="6"/>
  <c r="AL345" i="6"/>
  <c r="AL335" i="6"/>
  <c r="AL329" i="6"/>
  <c r="AM321" i="6"/>
  <c r="AL313" i="6"/>
  <c r="AL319" i="6"/>
  <c r="AL428" i="3"/>
  <c r="AL433" i="3"/>
  <c r="AL377" i="3"/>
  <c r="AL383" i="3"/>
  <c r="AL375" i="3"/>
  <c r="AL369" i="3"/>
  <c r="AL361" i="3"/>
  <c r="AL367" i="3"/>
  <c r="AL359" i="3"/>
  <c r="AL353" i="3"/>
  <c r="AL351" i="3"/>
  <c r="AL345" i="3"/>
  <c r="AL337" i="3"/>
  <c r="AL343" i="3"/>
  <c r="AL329" i="3"/>
  <c r="AL335" i="3"/>
  <c r="AL327" i="3"/>
  <c r="AL321" i="3"/>
  <c r="AL319" i="3"/>
  <c r="AL313" i="3"/>
  <c r="AL311" i="3"/>
  <c r="AL305" i="3"/>
  <c r="AB205" i="6"/>
  <c r="H205" i="6"/>
  <c r="AI205" i="6" s="1"/>
  <c r="AB204" i="6"/>
  <c r="H204" i="6"/>
  <c r="AI204" i="6" s="1"/>
  <c r="AB203" i="6"/>
  <c r="H203" i="6"/>
  <c r="AI203" i="6" s="1"/>
  <c r="AB202" i="6"/>
  <c r="H202" i="6"/>
  <c r="AI202" i="6" s="1"/>
  <c r="AB190" i="6"/>
  <c r="H190" i="6"/>
  <c r="AI190" i="6" s="1"/>
  <c r="AB189" i="6"/>
  <c r="H189" i="6"/>
  <c r="AI189" i="6" s="1"/>
  <c r="AB188" i="6"/>
  <c r="H188" i="6"/>
  <c r="AI188" i="6" s="1"/>
  <c r="AB187" i="6"/>
  <c r="H187" i="6"/>
  <c r="AI187" i="6" s="1"/>
  <c r="AB186" i="6"/>
  <c r="H186" i="6"/>
  <c r="AI186" i="6" s="1"/>
  <c r="AB185" i="6"/>
  <c r="H185" i="6"/>
  <c r="AI185" i="6" s="1"/>
  <c r="AB184" i="6"/>
  <c r="H184" i="6"/>
  <c r="AI184" i="6" s="1"/>
  <c r="AB183" i="6"/>
  <c r="H183" i="6"/>
  <c r="AI183" i="6" s="1"/>
  <c r="O140" i="6"/>
  <c r="AM140" i="6" s="1"/>
  <c r="O138" i="6"/>
  <c r="AM138" i="6" s="1"/>
  <c r="O136" i="6"/>
  <c r="AM136" i="6" s="1"/>
  <c r="O134" i="6"/>
  <c r="AM134" i="6" s="1"/>
  <c r="O132" i="6"/>
  <c r="AM132" i="6" s="1"/>
  <c r="O130" i="6"/>
  <c r="AM130" i="6" s="1"/>
  <c r="AB111" i="6"/>
  <c r="AI116" i="6"/>
  <c r="H111" i="6"/>
  <c r="AI111" i="6" s="1"/>
  <c r="AQ116" i="3"/>
  <c r="V111" i="3"/>
  <c r="AQ111" i="3" s="1"/>
  <c r="AQ52" i="3"/>
  <c r="V47" i="3"/>
  <c r="AQ47" i="3" s="1"/>
  <c r="V16" i="3"/>
  <c r="AQ16" i="3" s="1"/>
  <c r="V218" i="3"/>
  <c r="AQ218" i="3" s="1"/>
  <c r="V206" i="3"/>
  <c r="AQ206" i="3" s="1"/>
  <c r="V191" i="3"/>
  <c r="AQ191" i="3" s="1"/>
  <c r="V148" i="3"/>
  <c r="AQ148" i="3" s="1"/>
  <c r="V125" i="3"/>
  <c r="AQ125" i="3" s="1"/>
  <c r="V107" i="3"/>
  <c r="AQ107" i="3" s="1"/>
  <c r="V19" i="3"/>
  <c r="AQ19" i="3" s="1"/>
  <c r="V212" i="3"/>
  <c r="AQ212" i="3" s="1"/>
  <c r="V241" i="3"/>
  <c r="AQ241" i="3" s="1"/>
  <c r="V261" i="3"/>
  <c r="AQ261" i="3" s="1"/>
  <c r="V295" i="3"/>
  <c r="AQ295" i="3" s="1"/>
  <c r="V270" i="3"/>
  <c r="AQ270" i="3" s="1"/>
  <c r="V249" i="3"/>
  <c r="AQ249" i="3" s="1"/>
  <c r="V199" i="3"/>
  <c r="AQ199" i="3" s="1"/>
  <c r="V27" i="3"/>
  <c r="V115" i="3"/>
  <c r="AQ115" i="3" s="1"/>
  <c r="V44" i="3"/>
  <c r="AQ44" i="3" s="1"/>
  <c r="V74" i="3"/>
  <c r="AQ74" i="3" s="1"/>
  <c r="V179" i="3"/>
  <c r="AQ179" i="3" s="1"/>
  <c r="V35" i="3"/>
  <c r="AQ35" i="3" s="1"/>
  <c r="V51" i="3"/>
  <c r="AQ51" i="3" s="1"/>
  <c r="V172" i="3"/>
  <c r="AQ172" i="3" s="1"/>
  <c r="V232" i="3"/>
  <c r="AQ232" i="3" s="1"/>
  <c r="AB452" i="3"/>
  <c r="H452" i="3"/>
  <c r="AI452" i="3" s="1"/>
  <c r="AB451" i="3"/>
  <c r="H451" i="3"/>
  <c r="AI451" i="3" s="1"/>
  <c r="H450" i="3"/>
  <c r="AI450" i="3" s="1"/>
  <c r="AB450" i="3"/>
  <c r="AB449" i="3"/>
  <c r="H449" i="3"/>
  <c r="AI449" i="3" s="1"/>
  <c r="AB448" i="3"/>
  <c r="H448" i="3"/>
  <c r="AI448" i="3" s="1"/>
  <c r="AB447" i="3"/>
  <c r="H447" i="3"/>
  <c r="AI447" i="3" s="1"/>
  <c r="H446" i="3"/>
  <c r="AI446" i="3" s="1"/>
  <c r="AB446" i="3"/>
  <c r="AB445" i="3"/>
  <c r="H445" i="3"/>
  <c r="AI445" i="3" s="1"/>
  <c r="AB444" i="3"/>
  <c r="H444" i="3"/>
  <c r="AI444" i="3" s="1"/>
  <c r="AB443" i="3"/>
  <c r="H443" i="3"/>
  <c r="AI443" i="3" s="1"/>
  <c r="AB442" i="3"/>
  <c r="H442" i="3"/>
  <c r="AI442" i="3" s="1"/>
  <c r="AB436" i="3"/>
  <c r="H436" i="3"/>
  <c r="AI436" i="3" s="1"/>
  <c r="H425" i="3"/>
  <c r="AI425" i="3" s="1"/>
  <c r="AB425" i="3"/>
  <c r="AB424" i="3"/>
  <c r="H424" i="3"/>
  <c r="AI424" i="3" s="1"/>
  <c r="AB423" i="3"/>
  <c r="H423" i="3"/>
  <c r="AI423" i="3" s="1"/>
  <c r="AB422" i="3"/>
  <c r="H422" i="3"/>
  <c r="AI422" i="3" s="1"/>
  <c r="H421" i="3"/>
  <c r="AI421" i="3" s="1"/>
  <c r="AB421" i="3"/>
  <c r="AB420" i="3"/>
  <c r="H420" i="3"/>
  <c r="AI420" i="3" s="1"/>
  <c r="AB416" i="3"/>
  <c r="H416" i="3"/>
  <c r="AI416" i="3" s="1"/>
  <c r="H415" i="3"/>
  <c r="AI415" i="3" s="1"/>
  <c r="AB415" i="3"/>
  <c r="H414" i="3"/>
  <c r="AI414" i="3" s="1"/>
  <c r="AB414" i="3"/>
  <c r="AB411" i="3"/>
  <c r="H411" i="3"/>
  <c r="AI411" i="3" s="1"/>
  <c r="AB410" i="3"/>
  <c r="H410" i="3"/>
  <c r="AI410" i="3" s="1"/>
  <c r="H409" i="3"/>
  <c r="AI409" i="3" s="1"/>
  <c r="AB409" i="3"/>
  <c r="AB408" i="3"/>
  <c r="H408" i="3"/>
  <c r="AI408" i="3" s="1"/>
  <c r="AB407" i="3"/>
  <c r="H407" i="3"/>
  <c r="AI407" i="3" s="1"/>
  <c r="AB403" i="3"/>
  <c r="H403" i="3"/>
  <c r="AI403" i="3" s="1"/>
  <c r="H402" i="3"/>
  <c r="AI402" i="3" s="1"/>
  <c r="AB402" i="3"/>
  <c r="AB401" i="3"/>
  <c r="H401" i="3"/>
  <c r="AI401" i="3" s="1"/>
  <c r="H400" i="3"/>
  <c r="AI400" i="3" s="1"/>
  <c r="AB400" i="3"/>
  <c r="H399" i="3"/>
  <c r="AI399" i="3" s="1"/>
  <c r="AB399" i="3"/>
  <c r="AB398" i="3"/>
  <c r="H398" i="3"/>
  <c r="AI398" i="3" s="1"/>
  <c r="AB397" i="3"/>
  <c r="H397" i="3"/>
  <c r="AI397" i="3" s="1"/>
  <c r="H394" i="3"/>
  <c r="AI394" i="3" s="1"/>
  <c r="AB394" i="3"/>
  <c r="H393" i="3"/>
  <c r="AI393" i="3" s="1"/>
  <c r="AB393" i="3"/>
  <c r="H392" i="3"/>
  <c r="AI392" i="3" s="1"/>
  <c r="AB392" i="3"/>
  <c r="AB391" i="3"/>
  <c r="H391" i="3"/>
  <c r="AI391" i="3" s="1"/>
  <c r="H390" i="3"/>
  <c r="AI390" i="3" s="1"/>
  <c r="AB390" i="3"/>
  <c r="H389" i="3"/>
  <c r="AI389" i="3" s="1"/>
  <c r="AB389" i="3"/>
  <c r="H388" i="3"/>
  <c r="AI388" i="3" s="1"/>
  <c r="AB388" i="3"/>
  <c r="AB387" i="3"/>
  <c r="H387" i="3"/>
  <c r="AI387" i="3" s="1"/>
  <c r="H386" i="3"/>
  <c r="AI386" i="3" s="1"/>
  <c r="AB386" i="3"/>
  <c r="H382" i="3"/>
  <c r="AI382" i="3" s="1"/>
  <c r="AB382" i="3"/>
  <c r="H381" i="3"/>
  <c r="AI381" i="3" s="1"/>
  <c r="AB381" i="3"/>
  <c r="AB380" i="3"/>
  <c r="H380" i="3"/>
  <c r="AI380" i="3" s="1"/>
  <c r="H379" i="3"/>
  <c r="AI379" i="3" s="1"/>
  <c r="AB379" i="3"/>
  <c r="AB378" i="3"/>
  <c r="H378" i="3"/>
  <c r="AI378" i="3" s="1"/>
  <c r="AI375" i="3"/>
  <c r="H369" i="3"/>
  <c r="AI369" i="3" s="1"/>
  <c r="AB369" i="3"/>
  <c r="AB366" i="3"/>
  <c r="H366" i="3"/>
  <c r="AI366" i="3" s="1"/>
  <c r="H365" i="3"/>
  <c r="AI365" i="3" s="1"/>
  <c r="AB365" i="3"/>
  <c r="H364" i="3"/>
  <c r="AI364" i="3" s="1"/>
  <c r="AB364" i="3"/>
  <c r="H363" i="3"/>
  <c r="AI363" i="3" s="1"/>
  <c r="AB363" i="3"/>
  <c r="H362" i="3"/>
  <c r="AI362" i="3" s="1"/>
  <c r="AB362" i="3"/>
  <c r="AB361" i="3"/>
  <c r="H361" i="3"/>
  <c r="AI361" i="3" s="1"/>
  <c r="AI367" i="3"/>
  <c r="AI359" i="3"/>
  <c r="H353" i="3"/>
  <c r="AI353" i="3" s="1"/>
  <c r="AB353" i="3"/>
  <c r="AB350" i="3"/>
  <c r="H350" i="3"/>
  <c r="AI350" i="3" s="1"/>
  <c r="AB349" i="3"/>
  <c r="H349" i="3"/>
  <c r="AI349" i="3" s="1"/>
  <c r="H348" i="3"/>
  <c r="AI348" i="3" s="1"/>
  <c r="AB348" i="3"/>
  <c r="AB347" i="3"/>
  <c r="H347" i="3"/>
  <c r="AI347" i="3" s="1"/>
  <c r="AB346" i="3"/>
  <c r="H346" i="3"/>
  <c r="AI346" i="3" s="1"/>
  <c r="H334" i="3"/>
  <c r="AI334" i="3" s="1"/>
  <c r="AB334" i="3"/>
  <c r="AB333" i="3"/>
  <c r="H333" i="3"/>
  <c r="AI333" i="3" s="1"/>
  <c r="H332" i="3"/>
  <c r="AI332" i="3" s="1"/>
  <c r="AB332" i="3"/>
  <c r="H331" i="3"/>
  <c r="AI331" i="3" s="1"/>
  <c r="AB331" i="3"/>
  <c r="H330" i="3"/>
  <c r="AI330" i="3" s="1"/>
  <c r="AB330" i="3"/>
  <c r="H318" i="3"/>
  <c r="AI318" i="3" s="1"/>
  <c r="AB318" i="3"/>
  <c r="AB317" i="3"/>
  <c r="H317" i="3"/>
  <c r="AI317" i="3" s="1"/>
  <c r="H316" i="3"/>
  <c r="AI316" i="3" s="1"/>
  <c r="AB316" i="3"/>
  <c r="AB315" i="3"/>
  <c r="H315" i="3"/>
  <c r="AI315" i="3" s="1"/>
  <c r="AB314" i="3"/>
  <c r="H314" i="3"/>
  <c r="AI314" i="3" s="1"/>
  <c r="AK311" i="3"/>
  <c r="AK305" i="3"/>
  <c r="V439" i="5"/>
  <c r="AQ439" i="5" s="1"/>
  <c r="AQ440" i="5"/>
  <c r="AK428" i="5"/>
  <c r="AK433" i="5"/>
  <c r="AK383" i="5"/>
  <c r="AK377" i="5"/>
  <c r="AK369" i="5"/>
  <c r="AK375" i="5"/>
  <c r="AK367" i="5"/>
  <c r="AK361" i="5"/>
  <c r="AK359" i="5"/>
  <c r="AK353" i="5"/>
  <c r="AK351" i="5"/>
  <c r="AK345" i="5"/>
  <c r="AK343" i="5"/>
  <c r="AK337" i="5"/>
  <c r="AK335" i="5"/>
  <c r="AK329" i="5"/>
  <c r="AK327" i="5"/>
  <c r="AK321" i="5"/>
  <c r="AK319" i="5"/>
  <c r="AK313" i="5"/>
  <c r="AK305" i="5"/>
  <c r="AK311" i="5"/>
  <c r="AQ296" i="5"/>
  <c r="V290" i="5"/>
  <c r="AQ290" i="5" s="1"/>
  <c r="AB244" i="5"/>
  <c r="H244" i="5"/>
  <c r="AI244" i="5" s="1"/>
  <c r="AB239" i="5"/>
  <c r="H239" i="5"/>
  <c r="AI239" i="5" s="1"/>
  <c r="AB237" i="5"/>
  <c r="H237" i="5"/>
  <c r="AI237" i="5" s="1"/>
  <c r="AB235" i="5"/>
  <c r="H235" i="5"/>
  <c r="AI235" i="5" s="1"/>
  <c r="H230" i="5"/>
  <c r="AI230" i="5" s="1"/>
  <c r="AB230" i="5"/>
  <c r="H228" i="5"/>
  <c r="AI228" i="5" s="1"/>
  <c r="AB228" i="5"/>
  <c r="H226" i="5"/>
  <c r="AI226" i="5" s="1"/>
  <c r="AB226" i="5"/>
  <c r="AB224" i="5"/>
  <c r="H224" i="5"/>
  <c r="AI224" i="5" s="1"/>
  <c r="H222" i="5"/>
  <c r="AI222" i="5" s="1"/>
  <c r="AB222" i="5"/>
  <c r="AB216" i="5"/>
  <c r="H216" i="5"/>
  <c r="AI216" i="5" s="1"/>
  <c r="AB211" i="5"/>
  <c r="H211" i="5"/>
  <c r="AI211" i="5" s="1"/>
  <c r="AB209" i="5"/>
  <c r="H209" i="5"/>
  <c r="AI209" i="5" s="1"/>
  <c r="AB204" i="5"/>
  <c r="H204" i="5"/>
  <c r="AI204" i="5" s="1"/>
  <c r="AB202" i="5"/>
  <c r="H202" i="5"/>
  <c r="AI202" i="5" s="1"/>
  <c r="AB197" i="5"/>
  <c r="H197" i="5"/>
  <c r="AI197" i="5" s="1"/>
  <c r="AB195" i="5"/>
  <c r="H195" i="5"/>
  <c r="AI195" i="5" s="1"/>
  <c r="AB189" i="5"/>
  <c r="H189" i="5"/>
  <c r="AI189" i="5" s="1"/>
  <c r="AB187" i="5"/>
  <c r="H187" i="5"/>
  <c r="AI187" i="5" s="1"/>
  <c r="AB185" i="5"/>
  <c r="H185" i="5"/>
  <c r="AI185" i="5" s="1"/>
  <c r="AB183" i="5"/>
  <c r="H183" i="5"/>
  <c r="AI183" i="5" s="1"/>
  <c r="AB178" i="5"/>
  <c r="H178" i="5"/>
  <c r="AI178" i="5" s="1"/>
  <c r="AB176" i="5"/>
  <c r="H176" i="5"/>
  <c r="AI176" i="5" s="1"/>
  <c r="AB171" i="5"/>
  <c r="H171" i="5"/>
  <c r="AI171" i="5" s="1"/>
  <c r="AB169" i="5"/>
  <c r="H169" i="5"/>
  <c r="AI169" i="5" s="1"/>
  <c r="AB164" i="5"/>
  <c r="H164" i="5"/>
  <c r="AI164" i="5" s="1"/>
  <c r="AB162" i="5"/>
  <c r="H162" i="5"/>
  <c r="AI162" i="5" s="1"/>
  <c r="AB160" i="5"/>
  <c r="H160" i="5"/>
  <c r="AI160" i="5" s="1"/>
  <c r="AB158" i="5"/>
  <c r="H158" i="5"/>
  <c r="AI158" i="5" s="1"/>
  <c r="AB156" i="5"/>
  <c r="H156" i="5"/>
  <c r="AI156" i="5" s="1"/>
  <c r="AB154" i="5"/>
  <c r="H154" i="5"/>
  <c r="AI154" i="5" s="1"/>
  <c r="AB147" i="5"/>
  <c r="H147" i="5"/>
  <c r="AI147" i="5" s="1"/>
  <c r="AB145" i="5"/>
  <c r="H145" i="5"/>
  <c r="AI145" i="5" s="1"/>
  <c r="AB140" i="5"/>
  <c r="H140" i="5"/>
  <c r="AI140" i="5" s="1"/>
  <c r="H132" i="5"/>
  <c r="AI132" i="5" s="1"/>
  <c r="AB132" i="5"/>
  <c r="AB121" i="5"/>
  <c r="AI126" i="5"/>
  <c r="H121" i="5"/>
  <c r="AI121" i="5" s="1"/>
  <c r="AB111" i="5"/>
  <c r="AI116" i="5"/>
  <c r="H111" i="5"/>
  <c r="AI111" i="5" s="1"/>
  <c r="AB103" i="5"/>
  <c r="AI108" i="5"/>
  <c r="H103" i="5"/>
  <c r="AI103" i="5" s="1"/>
  <c r="AB47" i="5"/>
  <c r="AI52" i="5"/>
  <c r="H47" i="5"/>
  <c r="AI47" i="5" s="1"/>
  <c r="H33" i="5"/>
  <c r="AI33" i="5" s="1"/>
  <c r="AB33" i="5"/>
  <c r="AB18" i="5"/>
  <c r="H18" i="5"/>
  <c r="AI18" i="5" s="1"/>
  <c r="AB16" i="5"/>
  <c r="H16" i="5"/>
  <c r="AI16" i="5" s="1"/>
  <c r="AB294" i="3"/>
  <c r="H294" i="3"/>
  <c r="AI294" i="3" s="1"/>
  <c r="AB15" i="6"/>
  <c r="H15" i="6"/>
  <c r="AI15" i="6" s="1"/>
  <c r="AB450" i="7"/>
  <c r="H450" i="7"/>
  <c r="AI450" i="7" s="1"/>
  <c r="AB446" i="7"/>
  <c r="H446" i="7"/>
  <c r="AI446" i="7" s="1"/>
  <c r="H442" i="7"/>
  <c r="AI442" i="7" s="1"/>
  <c r="AB442" i="7"/>
  <c r="AB436" i="7"/>
  <c r="H436" i="7"/>
  <c r="AI436" i="7" s="1"/>
  <c r="H430" i="7"/>
  <c r="AI430" i="7" s="1"/>
  <c r="AB430" i="7"/>
  <c r="AB404" i="7"/>
  <c r="H404" i="7"/>
  <c r="AI404" i="7" s="1"/>
  <c r="AQ383" i="7"/>
  <c r="V377" i="7"/>
  <c r="AQ377" i="7" s="1"/>
  <c r="AQ375" i="7"/>
  <c r="V369" i="7"/>
  <c r="AQ369" i="7" s="1"/>
  <c r="AB451" i="7"/>
  <c r="H451" i="7"/>
  <c r="AI451" i="7" s="1"/>
  <c r="H447" i="7"/>
  <c r="AI447" i="7" s="1"/>
  <c r="AB447" i="7"/>
  <c r="AB443" i="7"/>
  <c r="H443" i="7"/>
  <c r="AI443" i="7" s="1"/>
  <c r="AK428" i="7"/>
  <c r="AK433" i="7"/>
  <c r="AL383" i="7"/>
  <c r="AL377" i="7"/>
  <c r="AK353" i="7"/>
  <c r="AK359" i="7"/>
  <c r="AK345" i="7"/>
  <c r="AK351" i="7"/>
  <c r="AK343" i="7"/>
  <c r="AK337" i="7"/>
  <c r="H334" i="7"/>
  <c r="AI334" i="7" s="1"/>
  <c r="AB334" i="7"/>
  <c r="AK329" i="7"/>
  <c r="AK335" i="7"/>
  <c r="AK321" i="7"/>
  <c r="AK327" i="7"/>
  <c r="AK313" i="7"/>
  <c r="AK319" i="7"/>
  <c r="AK305" i="7"/>
  <c r="AK311" i="7"/>
  <c r="AQ296" i="7"/>
  <c r="V290" i="7"/>
  <c r="AQ290" i="7" s="1"/>
  <c r="AL343" i="7"/>
  <c r="AL337" i="7"/>
  <c r="AL311" i="7"/>
  <c r="AL305" i="7"/>
  <c r="AB285" i="7"/>
  <c r="H285" i="7"/>
  <c r="AI285" i="7" s="1"/>
  <c r="AB283" i="7"/>
  <c r="H283" i="7"/>
  <c r="AI283" i="7" s="1"/>
  <c r="AB281" i="7"/>
  <c r="H281" i="7"/>
  <c r="AI281" i="7" s="1"/>
  <c r="AB279" i="7"/>
  <c r="H279" i="7"/>
  <c r="AI279" i="7" s="1"/>
  <c r="AB277" i="7"/>
  <c r="H277" i="7"/>
  <c r="AI277" i="7" s="1"/>
  <c r="AB275" i="7"/>
  <c r="H275" i="7"/>
  <c r="AI275" i="7" s="1"/>
  <c r="AB269" i="7"/>
  <c r="H269" i="7"/>
  <c r="AI269" i="7" s="1"/>
  <c r="AB265" i="7"/>
  <c r="H265" i="7"/>
  <c r="AI265" i="7" s="1"/>
  <c r="AB258" i="7"/>
  <c r="H258" i="7"/>
  <c r="AI258" i="7" s="1"/>
  <c r="AB254" i="7"/>
  <c r="H254" i="7"/>
  <c r="AI254" i="7" s="1"/>
  <c r="AB247" i="7"/>
  <c r="H247" i="7"/>
  <c r="AI247" i="7" s="1"/>
  <c r="AB268" i="7"/>
  <c r="H268" i="7"/>
  <c r="AI268" i="7" s="1"/>
  <c r="AB264" i="7"/>
  <c r="H264" i="7"/>
  <c r="AI264" i="7" s="1"/>
  <c r="AB257" i="7"/>
  <c r="H257" i="7"/>
  <c r="AI257" i="7" s="1"/>
  <c r="AB253" i="7"/>
  <c r="H253" i="7"/>
  <c r="AI253" i="7" s="1"/>
  <c r="AB246" i="7"/>
  <c r="H246" i="7"/>
  <c r="AI246" i="7" s="1"/>
  <c r="AB239" i="7"/>
  <c r="H239" i="7"/>
  <c r="AI239" i="7" s="1"/>
  <c r="AB231" i="7"/>
  <c r="H231" i="7"/>
  <c r="AI231" i="7" s="1"/>
  <c r="AB229" i="7"/>
  <c r="H229" i="7"/>
  <c r="AI229" i="7" s="1"/>
  <c r="AB227" i="7"/>
  <c r="H227" i="7"/>
  <c r="AI227" i="7" s="1"/>
  <c r="AB225" i="7"/>
  <c r="H225" i="7"/>
  <c r="AI225" i="7" s="1"/>
  <c r="AB223" i="7"/>
  <c r="H223" i="7"/>
  <c r="AI223" i="7" s="1"/>
  <c r="H190" i="7"/>
  <c r="AI190" i="7" s="1"/>
  <c r="AB190" i="7"/>
  <c r="AB189" i="7"/>
  <c r="O189" i="7"/>
  <c r="AM189" i="7" s="1"/>
  <c r="AB188" i="7"/>
  <c r="H188" i="7"/>
  <c r="AI188" i="7" s="1"/>
  <c r="H186" i="7"/>
  <c r="AI186" i="7" s="1"/>
  <c r="AB186" i="7"/>
  <c r="AB184" i="7"/>
  <c r="H184" i="7"/>
  <c r="AI184" i="7" s="1"/>
  <c r="H182" i="7"/>
  <c r="AI182" i="7" s="1"/>
  <c r="AB182" i="7"/>
  <c r="AB177" i="7"/>
  <c r="H177" i="7"/>
  <c r="AI177" i="7" s="1"/>
  <c r="AB175" i="7"/>
  <c r="H175" i="7"/>
  <c r="AI175" i="7" s="1"/>
  <c r="AB170" i="7"/>
  <c r="H170" i="7"/>
  <c r="AI170" i="7" s="1"/>
  <c r="H168" i="7"/>
  <c r="AI168" i="7" s="1"/>
  <c r="AB168" i="7"/>
  <c r="H161" i="7"/>
  <c r="AI161" i="7" s="1"/>
  <c r="AB161" i="7"/>
  <c r="AB159" i="7"/>
  <c r="H159" i="7"/>
  <c r="AI159" i="7" s="1"/>
  <c r="AB157" i="7"/>
  <c r="H157" i="7"/>
  <c r="AI157" i="7" s="1"/>
  <c r="AB155" i="7"/>
  <c r="H155" i="7"/>
  <c r="AI155" i="7" s="1"/>
  <c r="AB153" i="7"/>
  <c r="H153" i="7"/>
  <c r="AI153" i="7" s="1"/>
  <c r="AB146" i="7"/>
  <c r="H146" i="7"/>
  <c r="AI146" i="7" s="1"/>
  <c r="AQ149" i="7"/>
  <c r="V144" i="7"/>
  <c r="AQ144" i="7" s="1"/>
  <c r="AB139" i="7"/>
  <c r="H139" i="7"/>
  <c r="AI139" i="7" s="1"/>
  <c r="AB137" i="7"/>
  <c r="H137" i="7"/>
  <c r="AI137" i="7" s="1"/>
  <c r="AB135" i="7"/>
  <c r="H135" i="7"/>
  <c r="AI135" i="7" s="1"/>
  <c r="AB133" i="7"/>
  <c r="H133" i="7"/>
  <c r="AI133" i="7" s="1"/>
  <c r="AB131" i="7"/>
  <c r="H131" i="7"/>
  <c r="AI131" i="7" s="1"/>
  <c r="H122" i="7"/>
  <c r="AI122" i="7" s="1"/>
  <c r="AB122" i="7"/>
  <c r="O121" i="7"/>
  <c r="AM121" i="7" s="1"/>
  <c r="AM126" i="7"/>
  <c r="AB106" i="7"/>
  <c r="H106" i="7"/>
  <c r="AI106" i="7" s="1"/>
  <c r="AB104" i="7"/>
  <c r="H104" i="7"/>
  <c r="AI104" i="7" s="1"/>
  <c r="AM108" i="7"/>
  <c r="O103" i="7"/>
  <c r="AM103" i="7" s="1"/>
  <c r="AQ52" i="7"/>
  <c r="H74" i="7"/>
  <c r="AI74" i="7" s="1"/>
  <c r="H107" i="7"/>
  <c r="AI107" i="7" s="1"/>
  <c r="H115" i="7"/>
  <c r="AI115" i="7" s="1"/>
  <c r="H172" i="7"/>
  <c r="AI172" i="7" s="1"/>
  <c r="H261" i="7"/>
  <c r="AI261" i="7" s="1"/>
  <c r="H270" i="7"/>
  <c r="AI270" i="7" s="1"/>
  <c r="H179" i="7"/>
  <c r="AI179" i="7" s="1"/>
  <c r="H295" i="7"/>
  <c r="AI295" i="7" s="1"/>
  <c r="H212" i="7"/>
  <c r="AI212" i="7" s="1"/>
  <c r="H218" i="7"/>
  <c r="AI218" i="7" s="1"/>
  <c r="H125" i="7"/>
  <c r="AI125" i="7" s="1"/>
  <c r="H19" i="7"/>
  <c r="AI19" i="7" s="1"/>
  <c r="H241" i="7"/>
  <c r="AI241" i="7" s="1"/>
  <c r="H232" i="7"/>
  <c r="AI232" i="7" s="1"/>
  <c r="H249" i="7"/>
  <c r="AI249" i="7" s="1"/>
  <c r="H199" i="7"/>
  <c r="AI199" i="7" s="1"/>
  <c r="H148" i="7"/>
  <c r="AI148" i="7" s="1"/>
  <c r="AC5" i="7"/>
  <c r="H27" i="7"/>
  <c r="H35" i="7"/>
  <c r="AI35" i="7" s="1"/>
  <c r="H206" i="7"/>
  <c r="AI206" i="7" s="1"/>
  <c r="H191" i="7"/>
  <c r="AI191" i="7" s="1"/>
  <c r="H51" i="7"/>
  <c r="AI51" i="7" s="1"/>
  <c r="H44" i="7"/>
  <c r="AI44" i="7" s="1"/>
  <c r="H41" i="7"/>
  <c r="AI41" i="7" s="1"/>
  <c r="V439" i="6"/>
  <c r="AQ439" i="6" s="1"/>
  <c r="V437" i="6"/>
  <c r="AQ437" i="6" s="1"/>
  <c r="AQ440" i="6"/>
  <c r="V435" i="6"/>
  <c r="AQ435" i="6" s="1"/>
  <c r="V431" i="6"/>
  <c r="AQ431" i="6" s="1"/>
  <c r="V429" i="6"/>
  <c r="AQ429" i="6" s="1"/>
  <c r="V425" i="6"/>
  <c r="AQ425" i="6" s="1"/>
  <c r="V423" i="6"/>
  <c r="AQ423" i="6" s="1"/>
  <c r="V421" i="6"/>
  <c r="AQ421" i="6" s="1"/>
  <c r="V417" i="6"/>
  <c r="AQ417" i="6" s="1"/>
  <c r="V415" i="6"/>
  <c r="AQ415" i="6" s="1"/>
  <c r="V411" i="6"/>
  <c r="AQ411" i="6" s="1"/>
  <c r="V409" i="6"/>
  <c r="AQ409" i="6" s="1"/>
  <c r="V407" i="6"/>
  <c r="AQ407" i="6" s="1"/>
  <c r="V403" i="6"/>
  <c r="AQ403" i="6" s="1"/>
  <c r="V401" i="6"/>
  <c r="AQ401" i="6" s="1"/>
  <c r="V399" i="6"/>
  <c r="AQ399" i="6" s="1"/>
  <c r="V397" i="6"/>
  <c r="AQ397" i="6" s="1"/>
  <c r="V393" i="6"/>
  <c r="AQ393" i="6" s="1"/>
  <c r="V391" i="6"/>
  <c r="AQ391" i="6" s="1"/>
  <c r="V389" i="6"/>
  <c r="AQ389" i="6" s="1"/>
  <c r="V387" i="6"/>
  <c r="AQ387" i="6" s="1"/>
  <c r="V382" i="6"/>
  <c r="AQ382" i="6" s="1"/>
  <c r="V380" i="6"/>
  <c r="AQ380" i="6" s="1"/>
  <c r="V378" i="6"/>
  <c r="AQ378" i="6" s="1"/>
  <c r="V374" i="6"/>
  <c r="AQ374" i="6" s="1"/>
  <c r="V372" i="6"/>
  <c r="AQ372" i="6" s="1"/>
  <c r="V370" i="6"/>
  <c r="AQ370" i="6" s="1"/>
  <c r="V366" i="6"/>
  <c r="AQ366" i="6" s="1"/>
  <c r="V364" i="6"/>
  <c r="AQ364" i="6" s="1"/>
  <c r="V362" i="6"/>
  <c r="AQ362" i="6" s="1"/>
  <c r="V358" i="6"/>
  <c r="AQ358" i="6" s="1"/>
  <c r="V356" i="6"/>
  <c r="AQ356" i="6" s="1"/>
  <c r="V354" i="6"/>
  <c r="AQ354" i="6" s="1"/>
  <c r="V350" i="6"/>
  <c r="AQ350" i="6" s="1"/>
  <c r="V348" i="6"/>
  <c r="AQ348" i="6" s="1"/>
  <c r="V346" i="6"/>
  <c r="AQ346" i="6" s="1"/>
  <c r="V342" i="6"/>
  <c r="AQ342" i="6" s="1"/>
  <c r="V340" i="6"/>
  <c r="AQ340" i="6" s="1"/>
  <c r="V338" i="6"/>
  <c r="AQ338" i="6" s="1"/>
  <c r="V334" i="6"/>
  <c r="AQ334" i="6" s="1"/>
  <c r="V332" i="6"/>
  <c r="AQ332" i="6" s="1"/>
  <c r="V330" i="6"/>
  <c r="AQ330" i="6" s="1"/>
  <c r="V326" i="6"/>
  <c r="AQ326" i="6" s="1"/>
  <c r="V324" i="6"/>
  <c r="AQ324" i="6" s="1"/>
  <c r="V322" i="6"/>
  <c r="AQ322" i="6" s="1"/>
  <c r="V318" i="6"/>
  <c r="AQ318" i="6" s="1"/>
  <c r="V316" i="6"/>
  <c r="AQ316" i="6" s="1"/>
  <c r="V314" i="6"/>
  <c r="AQ314" i="6" s="1"/>
  <c r="V310" i="6"/>
  <c r="AQ310" i="6" s="1"/>
  <c r="V308" i="6"/>
  <c r="AQ308" i="6" s="1"/>
  <c r="V306" i="6"/>
  <c r="AQ306" i="6" s="1"/>
  <c r="V294" i="6"/>
  <c r="AQ294" i="6" s="1"/>
  <c r="V292" i="6"/>
  <c r="AQ292" i="6" s="1"/>
  <c r="O33" i="7"/>
  <c r="AM33" i="7" s="1"/>
  <c r="O26" i="7"/>
  <c r="AM26" i="7" s="1"/>
  <c r="O18" i="7"/>
  <c r="AM18" i="7" s="1"/>
  <c r="AQ149" i="6"/>
  <c r="V144" i="6"/>
  <c r="AQ144" i="6" s="1"/>
  <c r="AL440" i="6"/>
  <c r="AL439" i="6"/>
  <c r="AL433" i="6"/>
  <c r="AL428" i="6"/>
  <c r="O425" i="6"/>
  <c r="AM425" i="6" s="1"/>
  <c r="O424" i="6"/>
  <c r="AM424" i="6" s="1"/>
  <c r="O423" i="6"/>
  <c r="AM423" i="6" s="1"/>
  <c r="O422" i="6"/>
  <c r="AM422" i="6" s="1"/>
  <c r="O421" i="6"/>
  <c r="AM421" i="6" s="1"/>
  <c r="O420" i="6"/>
  <c r="AM420" i="6" s="1"/>
  <c r="O411" i="6"/>
  <c r="AM411" i="6" s="1"/>
  <c r="O410" i="6"/>
  <c r="AM410" i="6" s="1"/>
  <c r="O409" i="6"/>
  <c r="AM409" i="6" s="1"/>
  <c r="O408" i="6"/>
  <c r="AM408" i="6" s="1"/>
  <c r="O407" i="6"/>
  <c r="AM407" i="6" s="1"/>
  <c r="O394" i="6"/>
  <c r="AM394" i="6" s="1"/>
  <c r="O393" i="6"/>
  <c r="AM393" i="6" s="1"/>
  <c r="O392" i="6"/>
  <c r="AM392" i="6" s="1"/>
  <c r="O391" i="6"/>
  <c r="AM391" i="6" s="1"/>
  <c r="O390" i="6"/>
  <c r="AM390" i="6" s="1"/>
  <c r="O389" i="6"/>
  <c r="AM389" i="6" s="1"/>
  <c r="O388" i="6"/>
  <c r="AM388" i="6" s="1"/>
  <c r="O387" i="6"/>
  <c r="AM387" i="6" s="1"/>
  <c r="O386" i="6"/>
  <c r="AM386" i="6" s="1"/>
  <c r="O382" i="6"/>
  <c r="AM382" i="6" s="1"/>
  <c r="O381" i="6"/>
  <c r="AM381" i="6" s="1"/>
  <c r="O380" i="6"/>
  <c r="AM380" i="6" s="1"/>
  <c r="O379" i="6"/>
  <c r="AM379" i="6" s="1"/>
  <c r="O378" i="6"/>
  <c r="AM378" i="6" s="1"/>
  <c r="O377" i="6"/>
  <c r="AL369" i="6"/>
  <c r="AL375" i="6"/>
  <c r="AL361" i="6"/>
  <c r="AL367" i="6"/>
  <c r="O358" i="6"/>
  <c r="AM358" i="6" s="1"/>
  <c r="O357" i="6"/>
  <c r="AM357" i="6" s="1"/>
  <c r="O356" i="6"/>
  <c r="AM356" i="6" s="1"/>
  <c r="O355" i="6"/>
  <c r="AM355" i="6" s="1"/>
  <c r="O354" i="6"/>
  <c r="AM354" i="6" s="1"/>
  <c r="O353" i="6"/>
  <c r="O350" i="6"/>
  <c r="AM350" i="6" s="1"/>
  <c r="O349" i="6"/>
  <c r="AM349" i="6" s="1"/>
  <c r="O348" i="6"/>
  <c r="AM348" i="6" s="1"/>
  <c r="O347" i="6"/>
  <c r="AM347" i="6" s="1"/>
  <c r="O346" i="6"/>
  <c r="AM346" i="6" s="1"/>
  <c r="O345" i="6"/>
  <c r="AL337" i="6"/>
  <c r="AL343" i="6"/>
  <c r="O334" i="6"/>
  <c r="AM334" i="6" s="1"/>
  <c r="O333" i="6"/>
  <c r="AM333" i="6" s="1"/>
  <c r="O332" i="6"/>
  <c r="AM332" i="6" s="1"/>
  <c r="O331" i="6"/>
  <c r="AM331" i="6" s="1"/>
  <c r="O330" i="6"/>
  <c r="AM330" i="6" s="1"/>
  <c r="O329" i="6"/>
  <c r="AL321" i="6"/>
  <c r="AL327" i="6"/>
  <c r="O318" i="6"/>
  <c r="AM318" i="6" s="1"/>
  <c r="O317" i="6"/>
  <c r="AM317" i="6" s="1"/>
  <c r="O316" i="6"/>
  <c r="AM316" i="6" s="1"/>
  <c r="O315" i="6"/>
  <c r="AM315" i="6" s="1"/>
  <c r="O314" i="6"/>
  <c r="AM314" i="6" s="1"/>
  <c r="O313" i="6"/>
  <c r="AL305" i="6"/>
  <c r="AL311" i="6"/>
  <c r="O294" i="6"/>
  <c r="AM294" i="6" s="1"/>
  <c r="O293" i="6"/>
  <c r="AM293" i="6" s="1"/>
  <c r="O292" i="6"/>
  <c r="AM292" i="6" s="1"/>
  <c r="O291" i="6"/>
  <c r="AM291" i="6" s="1"/>
  <c r="O248" i="6"/>
  <c r="AM248" i="6" s="1"/>
  <c r="O247" i="6"/>
  <c r="AM247" i="6" s="1"/>
  <c r="O246" i="6"/>
  <c r="AM246" i="6" s="1"/>
  <c r="AM250" i="6"/>
  <c r="O245" i="6"/>
  <c r="AM245" i="6" s="1"/>
  <c r="O205" i="6"/>
  <c r="AM205" i="6" s="1"/>
  <c r="O204" i="6"/>
  <c r="AM204" i="6" s="1"/>
  <c r="O203" i="6"/>
  <c r="AM203" i="6" s="1"/>
  <c r="O202" i="6"/>
  <c r="AM202" i="6" s="1"/>
  <c r="O190" i="6"/>
  <c r="AM190" i="6" s="1"/>
  <c r="O189" i="6"/>
  <c r="AM189" i="6" s="1"/>
  <c r="O188" i="6"/>
  <c r="AM188" i="6" s="1"/>
  <c r="O187" i="6"/>
  <c r="AM187" i="6" s="1"/>
  <c r="O186" i="6"/>
  <c r="AM186" i="6" s="1"/>
  <c r="O185" i="6"/>
  <c r="AM185" i="6" s="1"/>
  <c r="O184" i="6"/>
  <c r="AM184" i="6" s="1"/>
  <c r="O183" i="6"/>
  <c r="AM183" i="6" s="1"/>
  <c r="O171" i="6"/>
  <c r="AM171" i="6" s="1"/>
  <c r="O170" i="6"/>
  <c r="AM170" i="6" s="1"/>
  <c r="O169" i="6"/>
  <c r="AM169" i="6" s="1"/>
  <c r="O168" i="6"/>
  <c r="AM168" i="6" s="1"/>
  <c r="O164" i="6"/>
  <c r="AM164" i="6" s="1"/>
  <c r="O163" i="6"/>
  <c r="AM163" i="6" s="1"/>
  <c r="O162" i="6"/>
  <c r="AM162" i="6" s="1"/>
  <c r="O161" i="6"/>
  <c r="AM161" i="6" s="1"/>
  <c r="O160" i="6"/>
  <c r="AM160" i="6" s="1"/>
  <c r="O159" i="6"/>
  <c r="AM159" i="6" s="1"/>
  <c r="O158" i="6"/>
  <c r="AM158" i="6" s="1"/>
  <c r="O157" i="6"/>
  <c r="AM157" i="6" s="1"/>
  <c r="O156" i="6"/>
  <c r="AM156" i="6" s="1"/>
  <c r="O155" i="6"/>
  <c r="AM155" i="6" s="1"/>
  <c r="O154" i="6"/>
  <c r="AM154" i="6" s="1"/>
  <c r="O153" i="6"/>
  <c r="AM153" i="6" s="1"/>
  <c r="O124" i="6"/>
  <c r="AM124" i="6" s="1"/>
  <c r="O123" i="6"/>
  <c r="AM123" i="6" s="1"/>
  <c r="O122" i="6"/>
  <c r="AM122" i="6" s="1"/>
  <c r="O106" i="6"/>
  <c r="AM106" i="6" s="1"/>
  <c r="O105" i="6"/>
  <c r="AM105" i="6" s="1"/>
  <c r="O104" i="6"/>
  <c r="AM104" i="6" s="1"/>
  <c r="O23" i="6"/>
  <c r="AM23" i="6" s="1"/>
  <c r="O15" i="6"/>
  <c r="AM15" i="6" s="1"/>
  <c r="V452" i="3"/>
  <c r="AQ452" i="3" s="1"/>
  <c r="V450" i="3"/>
  <c r="AQ450" i="3" s="1"/>
  <c r="V448" i="3"/>
  <c r="AQ448" i="3" s="1"/>
  <c r="V446" i="3"/>
  <c r="AQ446" i="3" s="1"/>
  <c r="V444" i="3"/>
  <c r="AQ444" i="3" s="1"/>
  <c r="V442" i="3"/>
  <c r="AQ442" i="3" s="1"/>
  <c r="V438" i="3"/>
  <c r="AQ438" i="3" s="1"/>
  <c r="V436" i="3"/>
  <c r="AQ436" i="3" s="1"/>
  <c r="V432" i="3"/>
  <c r="AQ432" i="3" s="1"/>
  <c r="V430" i="3"/>
  <c r="AQ430" i="3" s="1"/>
  <c r="AQ433" i="3"/>
  <c r="V428" i="3"/>
  <c r="AQ428" i="3" s="1"/>
  <c r="AQ383" i="3"/>
  <c r="V377" i="3"/>
  <c r="AQ377" i="3" s="1"/>
  <c r="V373" i="3"/>
  <c r="AQ373" i="3" s="1"/>
  <c r="V371" i="3"/>
  <c r="AQ371" i="3" s="1"/>
  <c r="V365" i="3"/>
  <c r="AQ365" i="3" s="1"/>
  <c r="V357" i="3"/>
  <c r="AQ357" i="3" s="1"/>
  <c r="V355" i="3"/>
  <c r="AQ355" i="3" s="1"/>
  <c r="AQ351" i="3"/>
  <c r="V345" i="3"/>
  <c r="AQ345" i="3" s="1"/>
  <c r="V341" i="3"/>
  <c r="AQ341" i="3" s="1"/>
  <c r="V339" i="3"/>
  <c r="AQ339" i="3" s="1"/>
  <c r="AQ343" i="3"/>
  <c r="V337" i="3"/>
  <c r="AQ337" i="3" s="1"/>
  <c r="AQ335" i="3"/>
  <c r="V329" i="3"/>
  <c r="AQ329" i="3" s="1"/>
  <c r="V325" i="3"/>
  <c r="AQ325" i="3" s="1"/>
  <c r="V323" i="3"/>
  <c r="AQ323" i="3" s="1"/>
  <c r="AQ327" i="3"/>
  <c r="V321" i="3"/>
  <c r="AQ321" i="3" s="1"/>
  <c r="AQ319" i="3"/>
  <c r="V313" i="3"/>
  <c r="AQ313" i="3" s="1"/>
  <c r="V309" i="3"/>
  <c r="AQ309" i="3" s="1"/>
  <c r="V307" i="3"/>
  <c r="AQ307" i="3" s="1"/>
  <c r="AQ311" i="3"/>
  <c r="V305" i="3"/>
  <c r="AQ305" i="3" s="1"/>
  <c r="AB452" i="6"/>
  <c r="H452" i="6"/>
  <c r="AI452" i="6" s="1"/>
  <c r="H451" i="6"/>
  <c r="AI451" i="6" s="1"/>
  <c r="AB451" i="6"/>
  <c r="AB450" i="6"/>
  <c r="H450" i="6"/>
  <c r="AI450" i="6" s="1"/>
  <c r="H449" i="6"/>
  <c r="AI449" i="6" s="1"/>
  <c r="AB449" i="6"/>
  <c r="AB448" i="6"/>
  <c r="H448" i="6"/>
  <c r="AI448" i="6" s="1"/>
  <c r="H447" i="6"/>
  <c r="AI447" i="6" s="1"/>
  <c r="AB447" i="6"/>
  <c r="AB446" i="6"/>
  <c r="H446" i="6"/>
  <c r="AI446" i="6" s="1"/>
  <c r="AB445" i="6"/>
  <c r="H445" i="6"/>
  <c r="AI445" i="6" s="1"/>
  <c r="H444" i="6"/>
  <c r="AI444" i="6" s="1"/>
  <c r="AB444" i="6"/>
  <c r="AB443" i="6"/>
  <c r="H443" i="6"/>
  <c r="AI443" i="6" s="1"/>
  <c r="H442" i="6"/>
  <c r="AI442" i="6" s="1"/>
  <c r="AB442" i="6"/>
  <c r="AB435" i="6"/>
  <c r="H435" i="6"/>
  <c r="AI435" i="6" s="1"/>
  <c r="AB425" i="6"/>
  <c r="H425" i="6"/>
  <c r="AI425" i="6" s="1"/>
  <c r="AB424" i="6"/>
  <c r="H424" i="6"/>
  <c r="AI424" i="6" s="1"/>
  <c r="AB423" i="6"/>
  <c r="H423" i="6"/>
  <c r="AI423" i="6" s="1"/>
  <c r="AB422" i="6"/>
  <c r="H422" i="6"/>
  <c r="AI422" i="6" s="1"/>
  <c r="AB421" i="6"/>
  <c r="H421" i="6"/>
  <c r="AI421" i="6" s="1"/>
  <c r="AB420" i="6"/>
  <c r="H420" i="6"/>
  <c r="AI420" i="6" s="1"/>
  <c r="AB411" i="6"/>
  <c r="H411" i="6"/>
  <c r="AI411" i="6" s="1"/>
  <c r="AB410" i="6"/>
  <c r="H410" i="6"/>
  <c r="AI410" i="6" s="1"/>
  <c r="AB409" i="6"/>
  <c r="H409" i="6"/>
  <c r="AI409" i="6" s="1"/>
  <c r="AB408" i="6"/>
  <c r="H408" i="6"/>
  <c r="AI408" i="6" s="1"/>
  <c r="AB407" i="6"/>
  <c r="H407" i="6"/>
  <c r="AI407" i="6" s="1"/>
  <c r="AB403" i="6"/>
  <c r="H403" i="6"/>
  <c r="AI403" i="6" s="1"/>
  <c r="AB394" i="6"/>
  <c r="H394" i="6"/>
  <c r="AI394" i="6" s="1"/>
  <c r="AB393" i="6"/>
  <c r="H393" i="6"/>
  <c r="AI393" i="6" s="1"/>
  <c r="AB392" i="6"/>
  <c r="H392" i="6"/>
  <c r="AI392" i="6" s="1"/>
  <c r="AB391" i="6"/>
  <c r="H391" i="6"/>
  <c r="AI391" i="6" s="1"/>
  <c r="AB390" i="6"/>
  <c r="H390" i="6"/>
  <c r="AI390" i="6" s="1"/>
  <c r="AB389" i="6"/>
  <c r="H389" i="6"/>
  <c r="AI389" i="6" s="1"/>
  <c r="AB388" i="6"/>
  <c r="H388" i="6"/>
  <c r="AI388" i="6" s="1"/>
  <c r="AB387" i="6"/>
  <c r="H387" i="6"/>
  <c r="AI387" i="6" s="1"/>
  <c r="AB386" i="6"/>
  <c r="H386" i="6"/>
  <c r="AI386" i="6" s="1"/>
  <c r="AB382" i="6"/>
  <c r="H382" i="6"/>
  <c r="AI382" i="6" s="1"/>
  <c r="AB381" i="6"/>
  <c r="H381" i="6"/>
  <c r="AI381" i="6" s="1"/>
  <c r="AB380" i="6"/>
  <c r="H380" i="6"/>
  <c r="AI380" i="6" s="1"/>
  <c r="AB379" i="6"/>
  <c r="H379" i="6"/>
  <c r="AI379" i="6" s="1"/>
  <c r="AB378" i="6"/>
  <c r="H378" i="6"/>
  <c r="AI378" i="6" s="1"/>
  <c r="AI383" i="6"/>
  <c r="AB377" i="6"/>
  <c r="H377" i="6"/>
  <c r="AI377" i="6" s="1"/>
  <c r="AB350" i="6"/>
  <c r="H350" i="6"/>
  <c r="AI350" i="6" s="1"/>
  <c r="AB349" i="6"/>
  <c r="H349" i="6"/>
  <c r="AI349" i="6" s="1"/>
  <c r="AB348" i="6"/>
  <c r="H348" i="6"/>
  <c r="AI348" i="6" s="1"/>
  <c r="AB347" i="6"/>
  <c r="H347" i="6"/>
  <c r="AI347" i="6" s="1"/>
  <c r="AB346" i="6"/>
  <c r="H346" i="6"/>
  <c r="AI346" i="6" s="1"/>
  <c r="AI351" i="6"/>
  <c r="AB345" i="6"/>
  <c r="H345" i="6"/>
  <c r="AI345" i="6" s="1"/>
  <c r="AI335" i="6"/>
  <c r="AB329" i="6"/>
  <c r="H329" i="6"/>
  <c r="AI329" i="6" s="1"/>
  <c r="AB318" i="6"/>
  <c r="H318" i="6"/>
  <c r="AI318" i="6" s="1"/>
  <c r="AB317" i="6"/>
  <c r="H317" i="6"/>
  <c r="AI317" i="6" s="1"/>
  <c r="AB316" i="6"/>
  <c r="H316" i="6"/>
  <c r="AI316" i="6" s="1"/>
  <c r="AB315" i="6"/>
  <c r="H315" i="6"/>
  <c r="AI315" i="6" s="1"/>
  <c r="AB314" i="6"/>
  <c r="H314" i="6"/>
  <c r="AI314" i="6" s="1"/>
  <c r="AI319" i="6"/>
  <c r="AB313" i="6"/>
  <c r="H313" i="6"/>
  <c r="AI313" i="6" s="1"/>
  <c r="H244" i="6"/>
  <c r="AI244" i="6" s="1"/>
  <c r="AB244" i="6"/>
  <c r="H231" i="6"/>
  <c r="AI231" i="6" s="1"/>
  <c r="AB231" i="6"/>
  <c r="AB230" i="6"/>
  <c r="H230" i="6"/>
  <c r="AI230" i="6" s="1"/>
  <c r="H229" i="6"/>
  <c r="AI229" i="6" s="1"/>
  <c r="AB229" i="6"/>
  <c r="H228" i="6"/>
  <c r="AI228" i="6" s="1"/>
  <c r="AB228" i="6"/>
  <c r="H227" i="6"/>
  <c r="AI227" i="6" s="1"/>
  <c r="AB227" i="6"/>
  <c r="AB226" i="6"/>
  <c r="H226" i="6"/>
  <c r="AI226" i="6" s="1"/>
  <c r="H225" i="6"/>
  <c r="AI225" i="6" s="1"/>
  <c r="AB225" i="6"/>
  <c r="AB224" i="6"/>
  <c r="H224" i="6"/>
  <c r="AI224" i="6" s="1"/>
  <c r="H223" i="6"/>
  <c r="AI223" i="6" s="1"/>
  <c r="AB223" i="6"/>
  <c r="AB222" i="6"/>
  <c r="H222" i="6"/>
  <c r="AI222" i="6" s="1"/>
  <c r="AB217" i="6"/>
  <c r="H217" i="6"/>
  <c r="AI217" i="6" s="1"/>
  <c r="AB216" i="6"/>
  <c r="H216" i="6"/>
  <c r="AI216" i="6" s="1"/>
  <c r="AB215" i="6"/>
  <c r="H215" i="6"/>
  <c r="AI215" i="6" s="1"/>
  <c r="AB171" i="6"/>
  <c r="H171" i="6"/>
  <c r="AI171" i="6" s="1"/>
  <c r="H170" i="6"/>
  <c r="AI170" i="6" s="1"/>
  <c r="AB170" i="6"/>
  <c r="AB169" i="6"/>
  <c r="H169" i="6"/>
  <c r="AI169" i="6" s="1"/>
  <c r="H168" i="6"/>
  <c r="AI168" i="6" s="1"/>
  <c r="AB168" i="6"/>
  <c r="AB164" i="6"/>
  <c r="H164" i="6"/>
  <c r="AI164" i="6" s="1"/>
  <c r="H163" i="6"/>
  <c r="AI163" i="6" s="1"/>
  <c r="AB163" i="6"/>
  <c r="AB162" i="6"/>
  <c r="H162" i="6"/>
  <c r="AI162" i="6" s="1"/>
  <c r="H161" i="6"/>
  <c r="AI161" i="6" s="1"/>
  <c r="AB161" i="6"/>
  <c r="AB160" i="6"/>
  <c r="H160" i="6"/>
  <c r="AI160" i="6" s="1"/>
  <c r="H159" i="6"/>
  <c r="AI159" i="6" s="1"/>
  <c r="AB159" i="6"/>
  <c r="AB158" i="6"/>
  <c r="H158" i="6"/>
  <c r="AI158" i="6" s="1"/>
  <c r="H157" i="6"/>
  <c r="AI157" i="6" s="1"/>
  <c r="AB157" i="6"/>
  <c r="AB156" i="6"/>
  <c r="H156" i="6"/>
  <c r="AI156" i="6" s="1"/>
  <c r="H155" i="6"/>
  <c r="AI155" i="6" s="1"/>
  <c r="AB155" i="6"/>
  <c r="H154" i="6"/>
  <c r="AI154" i="6" s="1"/>
  <c r="AB154" i="6"/>
  <c r="H153" i="6"/>
  <c r="AI153" i="6" s="1"/>
  <c r="AB153" i="6"/>
  <c r="AM149" i="6"/>
  <c r="O144" i="6"/>
  <c r="AM144" i="6" s="1"/>
  <c r="AM108" i="6"/>
  <c r="O103" i="6"/>
  <c r="AM103" i="6" s="1"/>
  <c r="O50" i="6"/>
  <c r="AM50" i="6" s="1"/>
  <c r="O48" i="6"/>
  <c r="AM48" i="6" s="1"/>
  <c r="O42" i="6"/>
  <c r="AM42" i="6" s="1"/>
  <c r="O40" i="6"/>
  <c r="AM40" i="6" s="1"/>
  <c r="O38" i="6"/>
  <c r="AM38" i="6" s="1"/>
  <c r="H16" i="3"/>
  <c r="AI16" i="3" s="1"/>
  <c r="H44" i="3"/>
  <c r="AI44" i="3" s="1"/>
  <c r="H74" i="3"/>
  <c r="AI74" i="3" s="1"/>
  <c r="H179" i="3"/>
  <c r="AI179" i="3" s="1"/>
  <c r="H35" i="3"/>
  <c r="AI35" i="3" s="1"/>
  <c r="H51" i="3"/>
  <c r="AI51" i="3" s="1"/>
  <c r="H172" i="3"/>
  <c r="AI172" i="3" s="1"/>
  <c r="H232" i="3"/>
  <c r="AI232" i="3" s="1"/>
  <c r="H212" i="3"/>
  <c r="AI212" i="3" s="1"/>
  <c r="H241" i="3"/>
  <c r="AI241" i="3" s="1"/>
  <c r="H295" i="3"/>
  <c r="AI295" i="3" s="1"/>
  <c r="H261" i="3"/>
  <c r="AI261" i="3" s="1"/>
  <c r="H270" i="3"/>
  <c r="AI270" i="3" s="1"/>
  <c r="H191" i="3"/>
  <c r="AI191" i="3" s="1"/>
  <c r="H148" i="3"/>
  <c r="AI148" i="3" s="1"/>
  <c r="H107" i="3"/>
  <c r="AI107" i="3" s="1"/>
  <c r="H18" i="3"/>
  <c r="AI18" i="3" s="1"/>
  <c r="H249" i="3"/>
  <c r="AI249" i="3" s="1"/>
  <c r="H199" i="3"/>
  <c r="AI199" i="3" s="1"/>
  <c r="H115" i="3"/>
  <c r="AI115" i="3" s="1"/>
  <c r="H19" i="3"/>
  <c r="AI19" i="3" s="1"/>
  <c r="H218" i="3"/>
  <c r="AI218" i="3" s="1"/>
  <c r="H206" i="3"/>
  <c r="AI206" i="3" s="1"/>
  <c r="H27" i="3"/>
  <c r="H125" i="3"/>
  <c r="AI125" i="3" s="1"/>
  <c r="AC5" i="3"/>
  <c r="O239" i="6"/>
  <c r="AM239" i="6" s="1"/>
  <c r="O237" i="6"/>
  <c r="AM237" i="6" s="1"/>
  <c r="O235" i="6"/>
  <c r="AM235" i="6" s="1"/>
  <c r="O210" i="6"/>
  <c r="AM210" i="6" s="1"/>
  <c r="O198" i="6"/>
  <c r="AM198" i="6" s="1"/>
  <c r="O196" i="6"/>
  <c r="AM196" i="6" s="1"/>
  <c r="O113" i="6"/>
  <c r="AM113" i="6" s="1"/>
  <c r="AB34" i="6"/>
  <c r="H34" i="6"/>
  <c r="AI34" i="6" s="1"/>
  <c r="H33" i="6"/>
  <c r="AI33" i="6" s="1"/>
  <c r="AB33" i="6"/>
  <c r="AB32" i="6"/>
  <c r="H32" i="6"/>
  <c r="AI32" i="6" s="1"/>
  <c r="H31" i="6"/>
  <c r="AI31" i="6" s="1"/>
  <c r="AB31" i="6"/>
  <c r="AB30" i="6"/>
  <c r="H30" i="6"/>
  <c r="AI30" i="6" s="1"/>
  <c r="AB26" i="6"/>
  <c r="H26" i="6"/>
  <c r="AI26" i="6" s="1"/>
  <c r="AB25" i="6"/>
  <c r="H25" i="6"/>
  <c r="AI25" i="6" s="1"/>
  <c r="AB24" i="6"/>
  <c r="H24" i="6"/>
  <c r="AI24" i="6" s="1"/>
  <c r="AQ250" i="3"/>
  <c r="V245" i="3"/>
  <c r="AQ245" i="3" s="1"/>
  <c r="V240" i="3"/>
  <c r="AQ240" i="3" s="1"/>
  <c r="V238" i="3"/>
  <c r="AQ238" i="3" s="1"/>
  <c r="V236" i="3"/>
  <c r="AQ236" i="3" s="1"/>
  <c r="V231" i="3"/>
  <c r="AQ231" i="3" s="1"/>
  <c r="V229" i="3"/>
  <c r="AQ229" i="3" s="1"/>
  <c r="V227" i="3"/>
  <c r="AQ227" i="3" s="1"/>
  <c r="V225" i="3"/>
  <c r="AQ225" i="3" s="1"/>
  <c r="V223" i="3"/>
  <c r="AQ223" i="3" s="1"/>
  <c r="V217" i="3"/>
  <c r="AQ217" i="3" s="1"/>
  <c r="V215" i="3"/>
  <c r="AQ215" i="3" s="1"/>
  <c r="V210" i="3"/>
  <c r="AQ210" i="3" s="1"/>
  <c r="V205" i="3"/>
  <c r="AQ205" i="3" s="1"/>
  <c r="V203" i="3"/>
  <c r="AQ203" i="3" s="1"/>
  <c r="V198" i="3"/>
  <c r="AQ198" i="3" s="1"/>
  <c r="V196" i="3"/>
  <c r="AQ196" i="3" s="1"/>
  <c r="V190" i="3"/>
  <c r="AQ190" i="3" s="1"/>
  <c r="V188" i="3"/>
  <c r="AQ188" i="3" s="1"/>
  <c r="V186" i="3"/>
  <c r="AQ186" i="3" s="1"/>
  <c r="V184" i="3"/>
  <c r="AQ184" i="3" s="1"/>
  <c r="V182" i="3"/>
  <c r="AQ182" i="3" s="1"/>
  <c r="V177" i="3"/>
  <c r="AQ177" i="3" s="1"/>
  <c r="V175" i="3"/>
  <c r="AQ175" i="3" s="1"/>
  <c r="V170" i="3"/>
  <c r="AQ170" i="3" s="1"/>
  <c r="V168" i="3"/>
  <c r="AQ168" i="3" s="1"/>
  <c r="V163" i="3"/>
  <c r="AQ163" i="3" s="1"/>
  <c r="V161" i="3"/>
  <c r="AQ161" i="3" s="1"/>
  <c r="V159" i="3"/>
  <c r="AQ159" i="3" s="1"/>
  <c r="V157" i="3"/>
  <c r="AQ157" i="3" s="1"/>
  <c r="V155" i="3"/>
  <c r="AQ155" i="3" s="1"/>
  <c r="V153" i="3"/>
  <c r="AQ153" i="3" s="1"/>
  <c r="V146" i="3"/>
  <c r="AQ146" i="3" s="1"/>
  <c r="AQ149" i="3"/>
  <c r="V144" i="3"/>
  <c r="AQ144" i="3" s="1"/>
  <c r="AK440" i="3"/>
  <c r="AK439" i="3"/>
  <c r="AK428" i="3"/>
  <c r="AK433" i="3"/>
  <c r="AK377" i="3"/>
  <c r="AK383" i="3"/>
  <c r="AK375" i="3"/>
  <c r="AK369" i="3"/>
  <c r="AK367" i="3"/>
  <c r="AK361" i="3"/>
  <c r="AK353" i="3"/>
  <c r="AK359" i="3"/>
  <c r="AK345" i="3"/>
  <c r="AK351" i="3"/>
  <c r="AK343" i="3"/>
  <c r="AK337" i="3"/>
  <c r="AK335" i="3"/>
  <c r="AK329" i="3"/>
  <c r="AK321" i="3"/>
  <c r="AK327" i="3"/>
  <c r="AK313" i="3"/>
  <c r="AK319" i="3"/>
  <c r="AK296" i="3"/>
  <c r="AK290" i="3"/>
  <c r="AM126" i="3"/>
  <c r="O121" i="3"/>
  <c r="AM121" i="3" s="1"/>
  <c r="AM116" i="3"/>
  <c r="O111" i="3"/>
  <c r="AM111" i="3" s="1"/>
  <c r="O103" i="3"/>
  <c r="AM103" i="3" s="1"/>
  <c r="AM108" i="3"/>
  <c r="O17" i="3"/>
  <c r="AM17" i="3" s="1"/>
  <c r="O35" i="3"/>
  <c r="AM35" i="3" s="1"/>
  <c r="O249" i="3"/>
  <c r="AM249" i="3" s="1"/>
  <c r="O199" i="3"/>
  <c r="AM199" i="3" s="1"/>
  <c r="O148" i="3"/>
  <c r="AM148" i="3" s="1"/>
  <c r="O125" i="3"/>
  <c r="AM125" i="3" s="1"/>
  <c r="O107" i="3"/>
  <c r="AM107" i="3" s="1"/>
  <c r="O19" i="3"/>
  <c r="AM19" i="3" s="1"/>
  <c r="O74" i="3"/>
  <c r="AM74" i="3" s="1"/>
  <c r="O179" i="3"/>
  <c r="AM179" i="3" s="1"/>
  <c r="O212" i="3"/>
  <c r="AM212" i="3" s="1"/>
  <c r="O241" i="3"/>
  <c r="AM241" i="3" s="1"/>
  <c r="O51" i="3"/>
  <c r="AM51" i="3" s="1"/>
  <c r="O172" i="3"/>
  <c r="AM172" i="3" s="1"/>
  <c r="O218" i="3"/>
  <c r="AM218" i="3" s="1"/>
  <c r="O206" i="3"/>
  <c r="AM206" i="3" s="1"/>
  <c r="O191" i="3"/>
  <c r="AM191" i="3" s="1"/>
  <c r="O27" i="3"/>
  <c r="O115" i="3"/>
  <c r="AM115" i="3" s="1"/>
  <c r="O44" i="3"/>
  <c r="AM44" i="3" s="1"/>
  <c r="O232" i="3"/>
  <c r="AM232" i="3" s="1"/>
  <c r="O270" i="3"/>
  <c r="AM270" i="3" s="1"/>
  <c r="O261" i="3"/>
  <c r="AM261" i="3" s="1"/>
  <c r="O295" i="3"/>
  <c r="AM295" i="3" s="1"/>
  <c r="V34" i="5"/>
  <c r="AQ34" i="5" s="1"/>
  <c r="V27" i="5"/>
  <c r="V51" i="5"/>
  <c r="AQ51" i="5" s="1"/>
  <c r="V172" i="5"/>
  <c r="AQ172" i="5" s="1"/>
  <c r="V218" i="5"/>
  <c r="AQ218" i="5" s="1"/>
  <c r="V206" i="5"/>
  <c r="AQ206" i="5" s="1"/>
  <c r="V148" i="5"/>
  <c r="AQ148" i="5" s="1"/>
  <c r="V125" i="5"/>
  <c r="AQ125" i="5" s="1"/>
  <c r="V107" i="5"/>
  <c r="AQ107" i="5" s="1"/>
  <c r="V179" i="5"/>
  <c r="AQ179" i="5" s="1"/>
  <c r="V19" i="5"/>
  <c r="AQ19" i="5" s="1"/>
  <c r="V35" i="5"/>
  <c r="AQ35" i="5" s="1"/>
  <c r="V199" i="5"/>
  <c r="AQ199" i="5" s="1"/>
  <c r="V191" i="5"/>
  <c r="AQ191" i="5" s="1"/>
  <c r="V115" i="5"/>
  <c r="AQ115" i="5" s="1"/>
  <c r="V44" i="5"/>
  <c r="AQ44" i="5" s="1"/>
  <c r="V74" i="5"/>
  <c r="AQ74" i="5" s="1"/>
  <c r="V212" i="5"/>
  <c r="AQ212" i="5" s="1"/>
  <c r="V241" i="5"/>
  <c r="AQ241" i="5" s="1"/>
  <c r="V249" i="5"/>
  <c r="AQ249" i="5" s="1"/>
  <c r="V270" i="5"/>
  <c r="AQ270" i="5" s="1"/>
  <c r="V261" i="5"/>
  <c r="AQ261" i="5" s="1"/>
  <c r="V232" i="5"/>
  <c r="AQ232" i="5" s="1"/>
  <c r="V295" i="5"/>
  <c r="AQ295" i="5" s="1"/>
  <c r="V452" i="5"/>
  <c r="AQ452" i="5" s="1"/>
  <c r="AB452" i="5"/>
  <c r="H452" i="5"/>
  <c r="AI452" i="5" s="1"/>
  <c r="V450" i="5"/>
  <c r="AQ450" i="5" s="1"/>
  <c r="AB450" i="5"/>
  <c r="H450" i="5"/>
  <c r="AI450" i="5" s="1"/>
  <c r="V448" i="5"/>
  <c r="AQ448" i="5" s="1"/>
  <c r="AB448" i="5"/>
  <c r="H448" i="5"/>
  <c r="AI448" i="5" s="1"/>
  <c r="V446" i="5"/>
  <c r="AQ446" i="5" s="1"/>
  <c r="AB446" i="5"/>
  <c r="H446" i="5"/>
  <c r="AI446" i="5" s="1"/>
  <c r="V444" i="5"/>
  <c r="AQ444" i="5" s="1"/>
  <c r="H444" i="5"/>
  <c r="AI444" i="5" s="1"/>
  <c r="AB444" i="5"/>
  <c r="V442" i="5"/>
  <c r="AQ442" i="5" s="1"/>
  <c r="H442" i="5"/>
  <c r="AI442" i="5" s="1"/>
  <c r="AB442" i="5"/>
  <c r="V438" i="5"/>
  <c r="AQ438" i="5" s="1"/>
  <c r="H438" i="5"/>
  <c r="AI438" i="5" s="1"/>
  <c r="AB438" i="5"/>
  <c r="V436" i="5"/>
  <c r="AQ436" i="5" s="1"/>
  <c r="AB436" i="5"/>
  <c r="H436" i="5"/>
  <c r="AI436" i="5" s="1"/>
  <c r="V432" i="5"/>
  <c r="AQ432" i="5" s="1"/>
  <c r="AB432" i="5"/>
  <c r="H432" i="5"/>
  <c r="AI432" i="5" s="1"/>
  <c r="V430" i="5"/>
  <c r="AQ430" i="5" s="1"/>
  <c r="AB430" i="5"/>
  <c r="H430" i="5"/>
  <c r="AI430" i="5" s="1"/>
  <c r="AQ433" i="5"/>
  <c r="V428" i="5"/>
  <c r="AQ428" i="5" s="1"/>
  <c r="V424" i="5"/>
  <c r="AQ424" i="5" s="1"/>
  <c r="AB424" i="5"/>
  <c r="H424" i="5"/>
  <c r="AI424" i="5" s="1"/>
  <c r="V422" i="5"/>
  <c r="AQ422" i="5" s="1"/>
  <c r="AB422" i="5"/>
  <c r="H422" i="5"/>
  <c r="AI422" i="5" s="1"/>
  <c r="V420" i="5"/>
  <c r="AQ420" i="5" s="1"/>
  <c r="AB420" i="5"/>
  <c r="H420" i="5"/>
  <c r="AI420" i="5" s="1"/>
  <c r="V416" i="5"/>
  <c r="AQ416" i="5" s="1"/>
  <c r="H416" i="5"/>
  <c r="AI416" i="5" s="1"/>
  <c r="AB416" i="5"/>
  <c r="V414" i="5"/>
  <c r="AQ414" i="5" s="1"/>
  <c r="AB414" i="5"/>
  <c r="H414" i="5"/>
  <c r="AI414" i="5" s="1"/>
  <c r="V410" i="5"/>
  <c r="AQ410" i="5" s="1"/>
  <c r="AB410" i="5"/>
  <c r="H410" i="5"/>
  <c r="AI410" i="5" s="1"/>
  <c r="V408" i="5"/>
  <c r="AQ408" i="5" s="1"/>
  <c r="AB408" i="5"/>
  <c r="H408" i="5"/>
  <c r="AI408" i="5" s="1"/>
  <c r="V404" i="5"/>
  <c r="AQ404" i="5" s="1"/>
  <c r="AB404" i="5"/>
  <c r="H404" i="5"/>
  <c r="AI404" i="5" s="1"/>
  <c r="V402" i="5"/>
  <c r="AQ402" i="5" s="1"/>
  <c r="AB402" i="5"/>
  <c r="H402" i="5"/>
  <c r="AI402" i="5" s="1"/>
  <c r="V400" i="5"/>
  <c r="AQ400" i="5" s="1"/>
  <c r="AB400" i="5"/>
  <c r="H400" i="5"/>
  <c r="AI400" i="5" s="1"/>
  <c r="V398" i="5"/>
  <c r="AQ398" i="5" s="1"/>
  <c r="AB398" i="5"/>
  <c r="H398" i="5"/>
  <c r="AI398" i="5" s="1"/>
  <c r="V394" i="5"/>
  <c r="AQ394" i="5" s="1"/>
  <c r="AB394" i="5"/>
  <c r="H394" i="5"/>
  <c r="AI394" i="5" s="1"/>
  <c r="V392" i="5"/>
  <c r="AQ392" i="5" s="1"/>
  <c r="AB392" i="5"/>
  <c r="H392" i="5"/>
  <c r="AI392" i="5" s="1"/>
  <c r="V390" i="5"/>
  <c r="AQ390" i="5" s="1"/>
  <c r="AB390" i="5"/>
  <c r="H390" i="5"/>
  <c r="AI390" i="5" s="1"/>
  <c r="V388" i="5"/>
  <c r="AQ388" i="5" s="1"/>
  <c r="AB388" i="5"/>
  <c r="H388" i="5"/>
  <c r="AI388" i="5" s="1"/>
  <c r="V386" i="5"/>
  <c r="AQ386" i="5" s="1"/>
  <c r="AB386" i="5"/>
  <c r="H386" i="5"/>
  <c r="AI386" i="5" s="1"/>
  <c r="V381" i="5"/>
  <c r="AQ381" i="5" s="1"/>
  <c r="AB381" i="5"/>
  <c r="H381" i="5"/>
  <c r="AI381" i="5" s="1"/>
  <c r="V379" i="5"/>
  <c r="AQ379" i="5" s="1"/>
  <c r="AB379" i="5"/>
  <c r="H379" i="5"/>
  <c r="AI379" i="5" s="1"/>
  <c r="AI383" i="5"/>
  <c r="H377" i="5"/>
  <c r="AI377" i="5" s="1"/>
  <c r="AB377" i="5"/>
  <c r="V371" i="5"/>
  <c r="AQ371" i="5" s="1"/>
  <c r="H371" i="5"/>
  <c r="AI371" i="5" s="1"/>
  <c r="AB371" i="5"/>
  <c r="V369" i="5"/>
  <c r="AQ369" i="5" s="1"/>
  <c r="AQ375" i="5"/>
  <c r="AB369" i="5"/>
  <c r="H369" i="5"/>
  <c r="AI369" i="5" s="1"/>
  <c r="AI375" i="5"/>
  <c r="V365" i="5"/>
  <c r="AQ365" i="5" s="1"/>
  <c r="AB365" i="5"/>
  <c r="H365" i="5"/>
  <c r="AI365" i="5" s="1"/>
  <c r="V363" i="5"/>
  <c r="AQ363" i="5" s="1"/>
  <c r="AB363" i="5"/>
  <c r="H363" i="5"/>
  <c r="AI363" i="5" s="1"/>
  <c r="AQ367" i="5"/>
  <c r="V361" i="5"/>
  <c r="AQ361" i="5" s="1"/>
  <c r="V357" i="5"/>
  <c r="AQ357" i="5" s="1"/>
  <c r="AB357" i="5"/>
  <c r="H357" i="5"/>
  <c r="AI357" i="5" s="1"/>
  <c r="V355" i="5"/>
  <c r="AQ355" i="5" s="1"/>
  <c r="AB355" i="5"/>
  <c r="H355" i="5"/>
  <c r="AI355" i="5" s="1"/>
  <c r="AI359" i="5"/>
  <c r="AB353" i="5"/>
  <c r="H353" i="5"/>
  <c r="AI353" i="5" s="1"/>
  <c r="V349" i="5"/>
  <c r="AQ349" i="5" s="1"/>
  <c r="AB349" i="5"/>
  <c r="H349" i="5"/>
  <c r="AI349" i="5" s="1"/>
  <c r="V347" i="5"/>
  <c r="AQ347" i="5" s="1"/>
  <c r="H347" i="5"/>
  <c r="AI347" i="5" s="1"/>
  <c r="AB347" i="5"/>
  <c r="V341" i="5"/>
  <c r="AQ341" i="5" s="1"/>
  <c r="V339" i="5"/>
  <c r="AQ339" i="5" s="1"/>
  <c r="AB339" i="5"/>
  <c r="H339" i="5"/>
  <c r="AI339" i="5" s="1"/>
  <c r="AB337" i="5"/>
  <c r="H337" i="5"/>
  <c r="AI337" i="5" s="1"/>
  <c r="AI343" i="5"/>
  <c r="V333" i="5"/>
  <c r="AQ333" i="5" s="1"/>
  <c r="AB333" i="5"/>
  <c r="H333" i="5"/>
  <c r="AI333" i="5" s="1"/>
  <c r="V331" i="5"/>
  <c r="AQ331" i="5" s="1"/>
  <c r="AB331" i="5"/>
  <c r="H331" i="5"/>
  <c r="AI331" i="5" s="1"/>
  <c r="AI335" i="5"/>
  <c r="AB329" i="5"/>
  <c r="H329" i="5"/>
  <c r="AI329" i="5" s="1"/>
  <c r="V325" i="5"/>
  <c r="AQ325" i="5" s="1"/>
  <c r="AB325" i="5"/>
  <c r="H325" i="5"/>
  <c r="AI325" i="5" s="1"/>
  <c r="V323" i="5"/>
  <c r="AQ323" i="5" s="1"/>
  <c r="AB323" i="5"/>
  <c r="H323" i="5"/>
  <c r="AI323" i="5" s="1"/>
  <c r="AQ327" i="5"/>
  <c r="V321" i="5"/>
  <c r="AQ321" i="5" s="1"/>
  <c r="V317" i="5"/>
  <c r="AQ317" i="5" s="1"/>
  <c r="AB317" i="5"/>
  <c r="H317" i="5"/>
  <c r="AI317" i="5" s="1"/>
  <c r="V315" i="5"/>
  <c r="AQ315" i="5" s="1"/>
  <c r="AB315" i="5"/>
  <c r="H315" i="5"/>
  <c r="AI315" i="5" s="1"/>
  <c r="AI319" i="5"/>
  <c r="AB313" i="5"/>
  <c r="H313" i="5"/>
  <c r="AI313" i="5" s="1"/>
  <c r="V309" i="5"/>
  <c r="AQ309" i="5" s="1"/>
  <c r="AB309" i="5"/>
  <c r="H309" i="5"/>
  <c r="AI309" i="5" s="1"/>
  <c r="V307" i="5"/>
  <c r="AQ307" i="5" s="1"/>
  <c r="AB307" i="5"/>
  <c r="H307" i="5"/>
  <c r="AI307" i="5" s="1"/>
  <c r="AQ311" i="5"/>
  <c r="V305" i="5"/>
  <c r="AQ305" i="5" s="1"/>
  <c r="V293" i="5"/>
  <c r="AQ293" i="5" s="1"/>
  <c r="H293" i="5"/>
  <c r="AI293" i="5" s="1"/>
  <c r="AB293" i="5"/>
  <c r="V291" i="5"/>
  <c r="AQ291" i="5" s="1"/>
  <c r="H291" i="5"/>
  <c r="AI291" i="5" s="1"/>
  <c r="AB291" i="5"/>
  <c r="V286" i="5"/>
  <c r="AQ286" i="5" s="1"/>
  <c r="H286" i="5"/>
  <c r="AI286" i="5" s="1"/>
  <c r="AB286" i="5"/>
  <c r="V284" i="5"/>
  <c r="AQ284" i="5" s="1"/>
  <c r="H284" i="5"/>
  <c r="AI284" i="5" s="1"/>
  <c r="AB284" i="5"/>
  <c r="V282" i="5"/>
  <c r="AQ282" i="5" s="1"/>
  <c r="H282" i="5"/>
  <c r="AI282" i="5" s="1"/>
  <c r="AB282" i="5"/>
  <c r="V280" i="5"/>
  <c r="AQ280" i="5" s="1"/>
  <c r="H280" i="5"/>
  <c r="AI280" i="5" s="1"/>
  <c r="AB280" i="5"/>
  <c r="V278" i="5"/>
  <c r="AQ278" i="5" s="1"/>
  <c r="H278" i="5"/>
  <c r="AI278" i="5" s="1"/>
  <c r="AB278" i="5"/>
  <c r="V276" i="5"/>
  <c r="AQ276" i="5" s="1"/>
  <c r="H276" i="5"/>
  <c r="AI276" i="5" s="1"/>
  <c r="AB276" i="5"/>
  <c r="V274" i="5"/>
  <c r="AQ274" i="5" s="1"/>
  <c r="H274" i="5"/>
  <c r="AI274" i="5" s="1"/>
  <c r="AB274" i="5"/>
  <c r="V269" i="5"/>
  <c r="AQ269" i="5" s="1"/>
  <c r="H269" i="5"/>
  <c r="AI269" i="5" s="1"/>
  <c r="AB269" i="5"/>
  <c r="V267" i="5"/>
  <c r="AQ267" i="5" s="1"/>
  <c r="AB267" i="5"/>
  <c r="H267" i="5"/>
  <c r="AI267" i="5" s="1"/>
  <c r="V265" i="5"/>
  <c r="AQ265" i="5" s="1"/>
  <c r="H265" i="5"/>
  <c r="AI265" i="5" s="1"/>
  <c r="AB265" i="5"/>
  <c r="V260" i="5"/>
  <c r="AQ260" i="5" s="1"/>
  <c r="V258" i="5"/>
  <c r="AQ258" i="5" s="1"/>
  <c r="AB258" i="5"/>
  <c r="H258" i="5"/>
  <c r="AI258" i="5" s="1"/>
  <c r="V256" i="5"/>
  <c r="AQ256" i="5" s="1"/>
  <c r="AB256" i="5"/>
  <c r="H256" i="5"/>
  <c r="AI256" i="5" s="1"/>
  <c r="V254" i="5"/>
  <c r="AQ254" i="5" s="1"/>
  <c r="AB254" i="5"/>
  <c r="H254" i="5"/>
  <c r="AI254" i="5" s="1"/>
  <c r="V252" i="5"/>
  <c r="AQ252" i="5" s="1"/>
  <c r="AB252" i="5"/>
  <c r="H252" i="5"/>
  <c r="AI252" i="5" s="1"/>
  <c r="V247" i="5"/>
  <c r="AQ247" i="5" s="1"/>
  <c r="H247" i="5"/>
  <c r="AI247" i="5" s="1"/>
  <c r="AB247" i="5"/>
  <c r="AI250" i="5"/>
  <c r="AB245" i="5"/>
  <c r="H245" i="5"/>
  <c r="AI245" i="5" s="1"/>
  <c r="V240" i="5"/>
  <c r="AQ240" i="5" s="1"/>
  <c r="H240" i="5"/>
  <c r="AI240" i="5" s="1"/>
  <c r="AB240" i="5"/>
  <c r="V238" i="5"/>
  <c r="AQ238" i="5" s="1"/>
  <c r="H238" i="5"/>
  <c r="AI238" i="5" s="1"/>
  <c r="AB238" i="5"/>
  <c r="V236" i="5"/>
  <c r="AQ236" i="5" s="1"/>
  <c r="H236" i="5"/>
  <c r="AI236" i="5" s="1"/>
  <c r="AB236" i="5"/>
  <c r="H231" i="5"/>
  <c r="AI231" i="5" s="1"/>
  <c r="AB231" i="5"/>
  <c r="V229" i="5"/>
  <c r="AQ229" i="5" s="1"/>
  <c r="AB229" i="5"/>
  <c r="H229" i="5"/>
  <c r="AI229" i="5" s="1"/>
  <c r="H227" i="5"/>
  <c r="AI227" i="5" s="1"/>
  <c r="AB227" i="5"/>
  <c r="V225" i="5"/>
  <c r="AQ225" i="5" s="1"/>
  <c r="H225" i="5"/>
  <c r="AI225" i="5" s="1"/>
  <c r="AB225" i="5"/>
  <c r="H223" i="5"/>
  <c r="AI223" i="5" s="1"/>
  <c r="AB223" i="5"/>
  <c r="V217" i="5"/>
  <c r="AQ217" i="5" s="1"/>
  <c r="AB217" i="5"/>
  <c r="H217" i="5"/>
  <c r="AI217" i="5" s="1"/>
  <c r="V215" i="5"/>
  <c r="AQ215" i="5" s="1"/>
  <c r="AB215" i="5"/>
  <c r="H215" i="5"/>
  <c r="AI215" i="5" s="1"/>
  <c r="V210" i="5"/>
  <c r="AQ210" i="5" s="1"/>
  <c r="AB210" i="5"/>
  <c r="H210" i="5"/>
  <c r="AI210" i="5" s="1"/>
  <c r="V205" i="5"/>
  <c r="AQ205" i="5" s="1"/>
  <c r="AB205" i="5"/>
  <c r="H205" i="5"/>
  <c r="AI205" i="5" s="1"/>
  <c r="V203" i="5"/>
  <c r="AQ203" i="5" s="1"/>
  <c r="AB203" i="5"/>
  <c r="H203" i="5"/>
  <c r="AI203" i="5" s="1"/>
  <c r="V198" i="5"/>
  <c r="AQ198" i="5" s="1"/>
  <c r="AB198" i="5"/>
  <c r="H198" i="5"/>
  <c r="AI198" i="5" s="1"/>
  <c r="V196" i="5"/>
  <c r="AQ196" i="5" s="1"/>
  <c r="H196" i="5"/>
  <c r="AI196" i="5" s="1"/>
  <c r="AB196" i="5"/>
  <c r="V190" i="5"/>
  <c r="AQ190" i="5" s="1"/>
  <c r="H190" i="5"/>
  <c r="AI190" i="5" s="1"/>
  <c r="AB190" i="5"/>
  <c r="V188" i="5"/>
  <c r="AQ188" i="5" s="1"/>
  <c r="AB188" i="5"/>
  <c r="H188" i="5"/>
  <c r="AI188" i="5" s="1"/>
  <c r="V186" i="5"/>
  <c r="AQ186" i="5" s="1"/>
  <c r="H186" i="5"/>
  <c r="AI186" i="5" s="1"/>
  <c r="AB186" i="5"/>
  <c r="V184" i="5"/>
  <c r="AQ184" i="5" s="1"/>
  <c r="AB184" i="5"/>
  <c r="H184" i="5"/>
  <c r="AI184" i="5" s="1"/>
  <c r="V182" i="5"/>
  <c r="AQ182" i="5" s="1"/>
  <c r="H182" i="5"/>
  <c r="AI182" i="5" s="1"/>
  <c r="AB182" i="5"/>
  <c r="V177" i="5"/>
  <c r="AQ177" i="5" s="1"/>
  <c r="H177" i="5"/>
  <c r="AI177" i="5" s="1"/>
  <c r="AB177" i="5"/>
  <c r="V175" i="5"/>
  <c r="AQ175" i="5" s="1"/>
  <c r="AB175" i="5"/>
  <c r="H175" i="5"/>
  <c r="AI175" i="5" s="1"/>
  <c r="V170" i="5"/>
  <c r="AQ170" i="5" s="1"/>
  <c r="AB170" i="5"/>
  <c r="H170" i="5"/>
  <c r="AI170" i="5" s="1"/>
  <c r="V168" i="5"/>
  <c r="AQ168" i="5" s="1"/>
  <c r="H168" i="5"/>
  <c r="AI168" i="5" s="1"/>
  <c r="AB168" i="5"/>
  <c r="V163" i="5"/>
  <c r="AQ163" i="5" s="1"/>
  <c r="AB163" i="5"/>
  <c r="H163" i="5"/>
  <c r="AI163" i="5" s="1"/>
  <c r="V161" i="5"/>
  <c r="AQ161" i="5" s="1"/>
  <c r="H161" i="5"/>
  <c r="AI161" i="5" s="1"/>
  <c r="AB161" i="5"/>
  <c r="V159" i="5"/>
  <c r="AQ159" i="5" s="1"/>
  <c r="AB159" i="5"/>
  <c r="H159" i="5"/>
  <c r="AI159" i="5" s="1"/>
  <c r="V157" i="5"/>
  <c r="AQ157" i="5" s="1"/>
  <c r="AB157" i="5"/>
  <c r="H157" i="5"/>
  <c r="AI157" i="5" s="1"/>
  <c r="V155" i="5"/>
  <c r="AQ155" i="5" s="1"/>
  <c r="AB155" i="5"/>
  <c r="H155" i="5"/>
  <c r="AI155" i="5" s="1"/>
  <c r="V153" i="5"/>
  <c r="AQ153" i="5" s="1"/>
  <c r="AB153" i="5"/>
  <c r="H153" i="5"/>
  <c r="AI153" i="5" s="1"/>
  <c r="V146" i="5"/>
  <c r="AQ146" i="5" s="1"/>
  <c r="AB146" i="5"/>
  <c r="H146" i="5"/>
  <c r="AI146" i="5" s="1"/>
  <c r="AQ149" i="5"/>
  <c r="V144" i="5"/>
  <c r="AQ144" i="5" s="1"/>
  <c r="V139" i="5"/>
  <c r="AQ139" i="5" s="1"/>
  <c r="V137" i="5"/>
  <c r="AQ137" i="5" s="1"/>
  <c r="AB137" i="5"/>
  <c r="H137" i="5"/>
  <c r="AI137" i="5" s="1"/>
  <c r="V133" i="5"/>
  <c r="AQ133" i="5" s="1"/>
  <c r="H133" i="5"/>
  <c r="AI133" i="5" s="1"/>
  <c r="AB133" i="5"/>
  <c r="V124" i="5"/>
  <c r="AQ124" i="5" s="1"/>
  <c r="AB124" i="5"/>
  <c r="H124" i="5"/>
  <c r="AI124" i="5" s="1"/>
  <c r="V122" i="5"/>
  <c r="AQ122" i="5" s="1"/>
  <c r="H122" i="5"/>
  <c r="AI122" i="5" s="1"/>
  <c r="AB122" i="5"/>
  <c r="AM116" i="5"/>
  <c r="O111" i="5"/>
  <c r="AM111" i="5" s="1"/>
  <c r="V106" i="5"/>
  <c r="AQ106" i="5" s="1"/>
  <c r="AB106" i="5"/>
  <c r="H106" i="5"/>
  <c r="AI106" i="5" s="1"/>
  <c r="V104" i="5"/>
  <c r="AQ104" i="5" s="1"/>
  <c r="H104" i="5"/>
  <c r="AI104" i="5" s="1"/>
  <c r="AB104" i="5"/>
  <c r="H80" i="5"/>
  <c r="AI80" i="5" s="1"/>
  <c r="AB80" i="5"/>
  <c r="V78" i="5"/>
  <c r="AQ78" i="5" s="1"/>
  <c r="H78" i="5"/>
  <c r="AI78" i="5" s="1"/>
  <c r="AB78" i="5"/>
  <c r="AM52" i="5"/>
  <c r="O47" i="5"/>
  <c r="AM47" i="5" s="1"/>
  <c r="V43" i="5"/>
  <c r="AQ43" i="5" s="1"/>
  <c r="AB43" i="5"/>
  <c r="H43" i="5"/>
  <c r="AI43" i="5" s="1"/>
  <c r="V41" i="5"/>
  <c r="AQ41" i="5" s="1"/>
  <c r="AB41" i="5"/>
  <c r="H41" i="5"/>
  <c r="AI41" i="5" s="1"/>
  <c r="V39" i="5"/>
  <c r="AQ39" i="5" s="1"/>
  <c r="AB39" i="5"/>
  <c r="H39" i="5"/>
  <c r="AI39" i="5" s="1"/>
  <c r="AB34" i="5"/>
  <c r="H34" i="5"/>
  <c r="AI34" i="5" s="1"/>
  <c r="AB32" i="5"/>
  <c r="H32" i="5"/>
  <c r="AI32" i="5" s="1"/>
  <c r="V30" i="5"/>
  <c r="AQ30" i="5" s="1"/>
  <c r="V25" i="5"/>
  <c r="AQ25" i="5" s="1"/>
  <c r="AB25" i="5"/>
  <c r="H25" i="5"/>
  <c r="AI25" i="5" s="1"/>
  <c r="V23" i="5"/>
  <c r="AQ23" i="5" s="1"/>
  <c r="AB23" i="5"/>
  <c r="H23" i="5"/>
  <c r="AI23" i="5" s="1"/>
  <c r="V17" i="5"/>
  <c r="AQ17" i="5" s="1"/>
  <c r="AB17" i="5"/>
  <c r="H17" i="5"/>
  <c r="AI17" i="5" s="1"/>
  <c r="V15" i="5"/>
  <c r="AQ15" i="5" s="1"/>
  <c r="AB15" i="5"/>
  <c r="H15" i="5"/>
  <c r="AI15" i="5" s="1"/>
  <c r="H293" i="3"/>
  <c r="AI293" i="3" s="1"/>
  <c r="AB293" i="3"/>
  <c r="AB291" i="3"/>
  <c r="H291" i="3"/>
  <c r="AI291" i="3" s="1"/>
  <c r="H286" i="3"/>
  <c r="AI286" i="3" s="1"/>
  <c r="AB286" i="3"/>
  <c r="H284" i="3"/>
  <c r="AI284" i="3" s="1"/>
  <c r="AB284" i="3"/>
  <c r="H282" i="3"/>
  <c r="AI282" i="3" s="1"/>
  <c r="AB282" i="3"/>
  <c r="H280" i="3"/>
  <c r="AI280" i="3" s="1"/>
  <c r="AB280" i="3"/>
  <c r="H278" i="3"/>
  <c r="AI278" i="3" s="1"/>
  <c r="AB278" i="3"/>
  <c r="H276" i="3"/>
  <c r="AI276" i="3" s="1"/>
  <c r="AB276" i="3"/>
  <c r="H274" i="3"/>
  <c r="AI274" i="3" s="1"/>
  <c r="AB274" i="3"/>
  <c r="AB269" i="3"/>
  <c r="H269" i="3"/>
  <c r="AI269" i="3" s="1"/>
  <c r="AB267" i="3"/>
  <c r="H267" i="3"/>
  <c r="AI267" i="3" s="1"/>
  <c r="AB265" i="3"/>
  <c r="H265" i="3"/>
  <c r="AI265" i="3" s="1"/>
  <c r="AB260" i="3"/>
  <c r="H260" i="3"/>
  <c r="AI260" i="3" s="1"/>
  <c r="AB258" i="3"/>
  <c r="H258" i="3"/>
  <c r="AI258" i="3" s="1"/>
  <c r="AB256" i="3"/>
  <c r="H256" i="3"/>
  <c r="AI256" i="3" s="1"/>
  <c r="AB254" i="3"/>
  <c r="H254" i="3"/>
  <c r="AI254" i="3" s="1"/>
  <c r="AB252" i="3"/>
  <c r="H252" i="3"/>
  <c r="AI252" i="3" s="1"/>
  <c r="AB247" i="3"/>
  <c r="H247" i="3"/>
  <c r="AI247" i="3" s="1"/>
  <c r="H186" i="3"/>
  <c r="AI186" i="3" s="1"/>
  <c r="AB186" i="3"/>
  <c r="AB139" i="3"/>
  <c r="H139" i="3"/>
  <c r="AI139" i="3" s="1"/>
  <c r="AB137" i="3"/>
  <c r="H137" i="3"/>
  <c r="AI137" i="3" s="1"/>
  <c r="AB135" i="3"/>
  <c r="H135" i="3"/>
  <c r="AI135" i="3" s="1"/>
  <c r="AB133" i="3"/>
  <c r="H133" i="3"/>
  <c r="AI133" i="3" s="1"/>
  <c r="AB131" i="3"/>
  <c r="H131" i="3"/>
  <c r="AI131" i="3" s="1"/>
  <c r="H124" i="3"/>
  <c r="AI124" i="3" s="1"/>
  <c r="AB124" i="3"/>
  <c r="H122" i="3"/>
  <c r="AI122" i="3" s="1"/>
  <c r="AB122" i="3"/>
  <c r="H114" i="3"/>
  <c r="AI114" i="3" s="1"/>
  <c r="AB114" i="3"/>
  <c r="AB112" i="3"/>
  <c r="H112" i="3"/>
  <c r="AI112" i="3" s="1"/>
  <c r="H106" i="3"/>
  <c r="AI106" i="3" s="1"/>
  <c r="AB106" i="3"/>
  <c r="H104" i="3"/>
  <c r="AI104" i="3" s="1"/>
  <c r="AB104" i="3"/>
  <c r="H99" i="3"/>
  <c r="AI99" i="3" s="1"/>
  <c r="AB99" i="3"/>
  <c r="H97" i="3"/>
  <c r="AI97" i="3" s="1"/>
  <c r="AB97" i="3"/>
  <c r="H95" i="3"/>
  <c r="AI95" i="3" s="1"/>
  <c r="AB95" i="3"/>
  <c r="H93" i="3"/>
  <c r="AI93" i="3" s="1"/>
  <c r="AB93" i="3"/>
  <c r="H88" i="3"/>
  <c r="AI88" i="3" s="1"/>
  <c r="AB88" i="3"/>
  <c r="H86" i="3"/>
  <c r="AI86" i="3" s="1"/>
  <c r="AB86" i="3"/>
  <c r="H84" i="3"/>
  <c r="AI84" i="3" s="1"/>
  <c r="AB84" i="3"/>
  <c r="H82" i="3"/>
  <c r="AI82" i="3" s="1"/>
  <c r="AB82" i="3"/>
  <c r="H80" i="3"/>
  <c r="AI80" i="3" s="1"/>
  <c r="AB80" i="3"/>
  <c r="H78" i="3"/>
  <c r="AI78" i="3" s="1"/>
  <c r="AB78" i="3"/>
  <c r="H72" i="3"/>
  <c r="AI72" i="3" s="1"/>
  <c r="AB72" i="3"/>
  <c r="H70" i="3"/>
  <c r="AI70" i="3" s="1"/>
  <c r="AB70" i="3"/>
  <c r="H68" i="3"/>
  <c r="AI68" i="3" s="1"/>
  <c r="AB68" i="3"/>
  <c r="H63" i="3"/>
  <c r="AI63" i="3" s="1"/>
  <c r="AB63" i="3"/>
  <c r="H61" i="3"/>
  <c r="AI61" i="3" s="1"/>
  <c r="AB61" i="3"/>
  <c r="H59" i="3"/>
  <c r="AI59" i="3" s="1"/>
  <c r="AB59" i="3"/>
  <c r="H57" i="3"/>
  <c r="AI57" i="3" s="1"/>
  <c r="AB57" i="3"/>
  <c r="H55" i="3"/>
  <c r="AI55" i="3" s="1"/>
  <c r="AB55" i="3"/>
  <c r="H50" i="3"/>
  <c r="AI50" i="3" s="1"/>
  <c r="AB50" i="3"/>
  <c r="AB48" i="3"/>
  <c r="H48" i="3"/>
  <c r="AI48" i="3" s="1"/>
  <c r="AB43" i="3"/>
  <c r="H43" i="3"/>
  <c r="AI43" i="3" s="1"/>
  <c r="AB41" i="3"/>
  <c r="H41" i="3"/>
  <c r="AI41" i="3" s="1"/>
  <c r="AB39" i="3"/>
  <c r="H39" i="3"/>
  <c r="AI39" i="3" s="1"/>
  <c r="H34" i="3"/>
  <c r="AI34" i="3" s="1"/>
  <c r="AB34" i="3"/>
  <c r="AB32" i="3"/>
  <c r="H32" i="3"/>
  <c r="AI32" i="3" s="1"/>
  <c r="H30" i="3"/>
  <c r="AI30" i="3" s="1"/>
  <c r="AB30" i="3"/>
  <c r="AB25" i="3"/>
  <c r="H25" i="3"/>
  <c r="AI25" i="3" s="1"/>
  <c r="O23" i="3"/>
  <c r="AM23" i="3" s="1"/>
  <c r="AB96" i="3"/>
  <c r="H96" i="3"/>
  <c r="AI96" i="3" s="1"/>
  <c r="AB92" i="3"/>
  <c r="H92" i="3"/>
  <c r="AI92" i="3" s="1"/>
  <c r="AB85" i="3"/>
  <c r="H85" i="3"/>
  <c r="AI85" i="3" s="1"/>
  <c r="AB81" i="3"/>
  <c r="H81" i="3"/>
  <c r="AI81" i="3" s="1"/>
  <c r="AB73" i="3"/>
  <c r="H73" i="3"/>
  <c r="AI73" i="3" s="1"/>
  <c r="AB69" i="3"/>
  <c r="H69" i="3"/>
  <c r="AI69" i="3" s="1"/>
  <c r="AB62" i="3"/>
  <c r="H62" i="3"/>
  <c r="AI62" i="3" s="1"/>
  <c r="AB58" i="3"/>
  <c r="H58" i="3"/>
  <c r="AI58" i="3" s="1"/>
  <c r="AB54" i="3"/>
  <c r="H54" i="3"/>
  <c r="AI54" i="3" s="1"/>
  <c r="AL440" i="7"/>
  <c r="AL439" i="7"/>
  <c r="AK439" i="7"/>
  <c r="AK440" i="7"/>
  <c r="AB428" i="7"/>
  <c r="H428" i="7"/>
  <c r="AI428" i="7" s="1"/>
  <c r="AI433" i="7"/>
  <c r="H415" i="7"/>
  <c r="AI415" i="7" s="1"/>
  <c r="AB415" i="7"/>
  <c r="AB411" i="7"/>
  <c r="H411" i="7"/>
  <c r="AI411" i="7" s="1"/>
  <c r="AB409" i="7"/>
  <c r="H409" i="7"/>
  <c r="AI409" i="7" s="1"/>
  <c r="AB407" i="7"/>
  <c r="H407" i="7"/>
  <c r="AI407" i="7" s="1"/>
  <c r="AB403" i="7"/>
  <c r="H403" i="7"/>
  <c r="AI403" i="7" s="1"/>
  <c r="AB401" i="7"/>
  <c r="H401" i="7"/>
  <c r="AI401" i="7" s="1"/>
  <c r="H399" i="7"/>
  <c r="AI399" i="7" s="1"/>
  <c r="AB399" i="7"/>
  <c r="AB397" i="7"/>
  <c r="H397" i="7"/>
  <c r="AI397" i="7" s="1"/>
  <c r="AB393" i="7"/>
  <c r="H393" i="7"/>
  <c r="AI393" i="7" s="1"/>
  <c r="AB391" i="7"/>
  <c r="H391" i="7"/>
  <c r="AI391" i="7" s="1"/>
  <c r="AB389" i="7"/>
  <c r="H389" i="7"/>
  <c r="AI389" i="7" s="1"/>
  <c r="AB387" i="7"/>
  <c r="H387" i="7"/>
  <c r="AI387" i="7" s="1"/>
  <c r="AB382" i="7"/>
  <c r="H382" i="7"/>
  <c r="AI382" i="7" s="1"/>
  <c r="AB380" i="7"/>
  <c r="H380" i="7"/>
  <c r="AI380" i="7" s="1"/>
  <c r="AB378" i="7"/>
  <c r="H378" i="7"/>
  <c r="AI378" i="7" s="1"/>
  <c r="AB374" i="7"/>
  <c r="H374" i="7"/>
  <c r="AI374" i="7" s="1"/>
  <c r="AB372" i="7"/>
  <c r="H372" i="7"/>
  <c r="AI372" i="7" s="1"/>
  <c r="AB370" i="7"/>
  <c r="H370" i="7"/>
  <c r="AI370" i="7" s="1"/>
  <c r="H366" i="7"/>
  <c r="AI366" i="7" s="1"/>
  <c r="AB366" i="7"/>
  <c r="AB364" i="7"/>
  <c r="H364" i="7"/>
  <c r="AI364" i="7" s="1"/>
  <c r="H362" i="7"/>
  <c r="AI362" i="7" s="1"/>
  <c r="AB362" i="7"/>
  <c r="AM367" i="7"/>
  <c r="AM361" i="7"/>
  <c r="AB449" i="7"/>
  <c r="H449" i="7"/>
  <c r="AI449" i="7" s="1"/>
  <c r="AL375" i="7"/>
  <c r="AL369" i="7"/>
  <c r="AI367" i="7"/>
  <c r="H361" i="7"/>
  <c r="AI361" i="7" s="1"/>
  <c r="AB361" i="7"/>
  <c r="V353" i="7"/>
  <c r="AQ353" i="7" s="1"/>
  <c r="AQ359" i="7"/>
  <c r="H452" i="7"/>
  <c r="AI452" i="7" s="1"/>
  <c r="AB452" i="7"/>
  <c r="H448" i="7"/>
  <c r="AI448" i="7" s="1"/>
  <c r="AB448" i="7"/>
  <c r="H444" i="7"/>
  <c r="AI444" i="7" s="1"/>
  <c r="AB444" i="7"/>
  <c r="H438" i="7"/>
  <c r="AI438" i="7" s="1"/>
  <c r="AB438" i="7"/>
  <c r="AB432" i="7"/>
  <c r="H432" i="7"/>
  <c r="AI432" i="7" s="1"/>
  <c r="AK383" i="7"/>
  <c r="AK377" i="7"/>
  <c r="AK367" i="7"/>
  <c r="AK361" i="7"/>
  <c r="H439" i="7"/>
  <c r="AI439" i="7" s="1"/>
  <c r="AI440" i="7"/>
  <c r="AB439" i="7"/>
  <c r="AB435" i="7"/>
  <c r="H435" i="7"/>
  <c r="AI435" i="7" s="1"/>
  <c r="H429" i="7"/>
  <c r="AI429" i="7" s="1"/>
  <c r="AB429" i="7"/>
  <c r="AB423" i="7"/>
  <c r="H423" i="7"/>
  <c r="AI423" i="7" s="1"/>
  <c r="AB417" i="7"/>
  <c r="H417" i="7"/>
  <c r="AI417" i="7" s="1"/>
  <c r="AB357" i="7"/>
  <c r="H357" i="7"/>
  <c r="AI357" i="7" s="1"/>
  <c r="H355" i="7"/>
  <c r="AI355" i="7" s="1"/>
  <c r="AB355" i="7"/>
  <c r="H353" i="7"/>
  <c r="AI353" i="7" s="1"/>
  <c r="AI359" i="7"/>
  <c r="AB353" i="7"/>
  <c r="H349" i="7"/>
  <c r="AI349" i="7" s="1"/>
  <c r="AB349" i="7"/>
  <c r="AB347" i="7"/>
  <c r="H347" i="7"/>
  <c r="AI347" i="7" s="1"/>
  <c r="H345" i="7"/>
  <c r="AI345" i="7" s="1"/>
  <c r="AI351" i="7"/>
  <c r="AB345" i="7"/>
  <c r="AB341" i="7"/>
  <c r="H341" i="7"/>
  <c r="AI341" i="7" s="1"/>
  <c r="H339" i="7"/>
  <c r="AI339" i="7" s="1"/>
  <c r="AB339" i="7"/>
  <c r="AQ343" i="7"/>
  <c r="V337" i="7"/>
  <c r="AQ337" i="7" s="1"/>
  <c r="AB333" i="7"/>
  <c r="H333" i="7"/>
  <c r="AI333" i="7" s="1"/>
  <c r="AB331" i="7"/>
  <c r="H331" i="7"/>
  <c r="AI331" i="7" s="1"/>
  <c r="AI335" i="7"/>
  <c r="H329" i="7"/>
  <c r="AI329" i="7" s="1"/>
  <c r="AB329" i="7"/>
  <c r="H325" i="7"/>
  <c r="AI325" i="7" s="1"/>
  <c r="AB325" i="7"/>
  <c r="AB323" i="7"/>
  <c r="H323" i="7"/>
  <c r="AI323" i="7" s="1"/>
  <c r="AQ327" i="7"/>
  <c r="V321" i="7"/>
  <c r="AQ321" i="7" s="1"/>
  <c r="H317" i="7"/>
  <c r="AI317" i="7" s="1"/>
  <c r="AB317" i="7"/>
  <c r="AB315" i="7"/>
  <c r="H315" i="7"/>
  <c r="AI315" i="7" s="1"/>
  <c r="AI319" i="7"/>
  <c r="H313" i="7"/>
  <c r="AI313" i="7" s="1"/>
  <c r="AB313" i="7"/>
  <c r="H309" i="7"/>
  <c r="AI309" i="7" s="1"/>
  <c r="AB309" i="7"/>
  <c r="AB307" i="7"/>
  <c r="H307" i="7"/>
  <c r="AI307" i="7" s="1"/>
  <c r="AQ311" i="7"/>
  <c r="V305" i="7"/>
  <c r="AQ305" i="7" s="1"/>
  <c r="AB293" i="7"/>
  <c r="H293" i="7"/>
  <c r="AI293" i="7" s="1"/>
  <c r="AB291" i="7"/>
  <c r="H291" i="7"/>
  <c r="AI291" i="7" s="1"/>
  <c r="H286" i="7"/>
  <c r="AI286" i="7" s="1"/>
  <c r="AB286" i="7"/>
  <c r="AL329" i="7"/>
  <c r="AL335" i="7"/>
  <c r="H274" i="7"/>
  <c r="AI274" i="7" s="1"/>
  <c r="AB274" i="7"/>
  <c r="H267" i="7"/>
  <c r="AI267" i="7" s="1"/>
  <c r="AB267" i="7"/>
  <c r="H260" i="7"/>
  <c r="AI260" i="7" s="1"/>
  <c r="AB260" i="7"/>
  <c r="AB256" i="7"/>
  <c r="H256" i="7"/>
  <c r="AI256" i="7" s="1"/>
  <c r="AB252" i="7"/>
  <c r="H252" i="7"/>
  <c r="AI252" i="7" s="1"/>
  <c r="AB244" i="7"/>
  <c r="H244" i="7"/>
  <c r="AI244" i="7" s="1"/>
  <c r="AB237" i="7"/>
  <c r="H237" i="7"/>
  <c r="AI237" i="7" s="1"/>
  <c r="AB235" i="7"/>
  <c r="H235" i="7"/>
  <c r="AI235" i="7" s="1"/>
  <c r="AB230" i="7"/>
  <c r="H230" i="7"/>
  <c r="AI230" i="7" s="1"/>
  <c r="AB228" i="7"/>
  <c r="H228" i="7"/>
  <c r="AI228" i="7" s="1"/>
  <c r="AB226" i="7"/>
  <c r="H226" i="7"/>
  <c r="AI226" i="7" s="1"/>
  <c r="AB224" i="7"/>
  <c r="H224" i="7"/>
  <c r="AI224" i="7" s="1"/>
  <c r="AB222" i="7"/>
  <c r="H222" i="7"/>
  <c r="AI222" i="7" s="1"/>
  <c r="AB217" i="7"/>
  <c r="O217" i="7"/>
  <c r="AM217" i="7" s="1"/>
  <c r="AB216" i="7"/>
  <c r="H216" i="7"/>
  <c r="AI216" i="7" s="1"/>
  <c r="AB215" i="7"/>
  <c r="O215" i="7"/>
  <c r="AM215" i="7" s="1"/>
  <c r="AB211" i="7"/>
  <c r="H211" i="7"/>
  <c r="AI211" i="7" s="1"/>
  <c r="AB210" i="7"/>
  <c r="O210" i="7"/>
  <c r="AM210" i="7" s="1"/>
  <c r="AB209" i="7"/>
  <c r="H209" i="7"/>
  <c r="AI209" i="7" s="1"/>
  <c r="AB205" i="7"/>
  <c r="O205" i="7"/>
  <c r="AM205" i="7" s="1"/>
  <c r="AB204" i="7"/>
  <c r="H204" i="7"/>
  <c r="AI204" i="7" s="1"/>
  <c r="AB203" i="7"/>
  <c r="O203" i="7"/>
  <c r="AM203" i="7" s="1"/>
  <c r="AB202" i="7"/>
  <c r="H202" i="7"/>
  <c r="AI202" i="7" s="1"/>
  <c r="AB198" i="7"/>
  <c r="O198" i="7"/>
  <c r="AM198" i="7" s="1"/>
  <c r="AB197" i="7"/>
  <c r="H197" i="7"/>
  <c r="AI197" i="7" s="1"/>
  <c r="AB196" i="7"/>
  <c r="O196" i="7"/>
  <c r="AM196" i="7" s="1"/>
  <c r="AB195" i="7"/>
  <c r="H195" i="7"/>
  <c r="AI195" i="7" s="1"/>
  <c r="AB187" i="7"/>
  <c r="H187" i="7"/>
  <c r="AI187" i="7" s="1"/>
  <c r="AB185" i="7"/>
  <c r="H185" i="7"/>
  <c r="AI185" i="7" s="1"/>
  <c r="AB183" i="7"/>
  <c r="H183" i="7"/>
  <c r="AI183" i="7" s="1"/>
  <c r="AB178" i="7"/>
  <c r="H178" i="7"/>
  <c r="AI178" i="7" s="1"/>
  <c r="AB176" i="7"/>
  <c r="H176" i="7"/>
  <c r="AI176" i="7" s="1"/>
  <c r="AB171" i="7"/>
  <c r="H171" i="7"/>
  <c r="AI171" i="7" s="1"/>
  <c r="AB169" i="7"/>
  <c r="H169" i="7"/>
  <c r="AI169" i="7" s="1"/>
  <c r="AB164" i="7"/>
  <c r="H164" i="7"/>
  <c r="AI164" i="7" s="1"/>
  <c r="AB162" i="7"/>
  <c r="H162" i="7"/>
  <c r="AI162" i="7" s="1"/>
  <c r="AB160" i="7"/>
  <c r="H160" i="7"/>
  <c r="AI160" i="7" s="1"/>
  <c r="H158" i="7"/>
  <c r="AI158" i="7" s="1"/>
  <c r="AB158" i="7"/>
  <c r="AB156" i="7"/>
  <c r="H156" i="7"/>
  <c r="AI156" i="7" s="1"/>
  <c r="H154" i="7"/>
  <c r="AI154" i="7" s="1"/>
  <c r="AB154" i="7"/>
  <c r="H147" i="7"/>
  <c r="AI147" i="7" s="1"/>
  <c r="AB147" i="7"/>
  <c r="AB145" i="7"/>
  <c r="H145" i="7"/>
  <c r="AI145" i="7" s="1"/>
  <c r="V121" i="7"/>
  <c r="AQ121" i="7" s="1"/>
  <c r="AQ126" i="7"/>
  <c r="AQ116" i="7"/>
  <c r="V111" i="7"/>
  <c r="AQ111" i="7" s="1"/>
  <c r="AQ108" i="7"/>
  <c r="V103" i="7"/>
  <c r="AQ103" i="7" s="1"/>
  <c r="AB72" i="7"/>
  <c r="H72" i="7"/>
  <c r="AI72" i="7" s="1"/>
  <c r="H70" i="7"/>
  <c r="AI70" i="7" s="1"/>
  <c r="AB70" i="7"/>
  <c r="H68" i="7"/>
  <c r="AI68" i="7" s="1"/>
  <c r="AB68" i="7"/>
  <c r="H63" i="7"/>
  <c r="AI63" i="7" s="1"/>
  <c r="AB63" i="7"/>
  <c r="H61" i="7"/>
  <c r="AI61" i="7" s="1"/>
  <c r="AB61" i="7"/>
  <c r="H59" i="7"/>
  <c r="AI59" i="7" s="1"/>
  <c r="AB59" i="7"/>
  <c r="H57" i="7"/>
  <c r="AI57" i="7" s="1"/>
  <c r="AB57" i="7"/>
  <c r="H55" i="7"/>
  <c r="AI55" i="7" s="1"/>
  <c r="AB55" i="7"/>
  <c r="AB50" i="7"/>
  <c r="H50" i="7"/>
  <c r="AI50" i="7" s="1"/>
  <c r="AB48" i="7"/>
  <c r="H48" i="7"/>
  <c r="AI48" i="7" s="1"/>
  <c r="AM52" i="7"/>
  <c r="AB41" i="7"/>
  <c r="AB39" i="7"/>
  <c r="H39" i="7"/>
  <c r="AI39" i="7" s="1"/>
  <c r="AB31" i="7"/>
  <c r="H31" i="7"/>
  <c r="AI31" i="7" s="1"/>
  <c r="AB24" i="7"/>
  <c r="H24" i="7"/>
  <c r="AI24" i="7" s="1"/>
  <c r="AB16" i="7"/>
  <c r="H16" i="7"/>
  <c r="AI16" i="7" s="1"/>
  <c r="V452" i="6"/>
  <c r="AQ452" i="6" s="1"/>
  <c r="V450" i="6"/>
  <c r="AQ450" i="6" s="1"/>
  <c r="V448" i="6"/>
  <c r="AQ448" i="6" s="1"/>
  <c r="V446" i="6"/>
  <c r="AQ446" i="6" s="1"/>
  <c r="V444" i="6"/>
  <c r="AQ444" i="6" s="1"/>
  <c r="V442" i="6"/>
  <c r="AQ442" i="6" s="1"/>
  <c r="V438" i="6"/>
  <c r="AQ438" i="6" s="1"/>
  <c r="V436" i="6"/>
  <c r="AQ436" i="6" s="1"/>
  <c r="V432" i="6"/>
  <c r="AQ432" i="6" s="1"/>
  <c r="V430" i="6"/>
  <c r="AQ430" i="6" s="1"/>
  <c r="AQ433" i="6"/>
  <c r="V428" i="6"/>
  <c r="AQ428" i="6" s="1"/>
  <c r="AQ383" i="6"/>
  <c r="V377" i="6"/>
  <c r="AQ377" i="6" s="1"/>
  <c r="V373" i="6"/>
  <c r="AQ373" i="6" s="1"/>
  <c r="V371" i="6"/>
  <c r="AQ371" i="6" s="1"/>
  <c r="AQ375" i="6"/>
  <c r="V369" i="6"/>
  <c r="AQ369" i="6" s="1"/>
  <c r="V357" i="6"/>
  <c r="AQ357" i="6" s="1"/>
  <c r="V355" i="6"/>
  <c r="AQ355" i="6" s="1"/>
  <c r="AQ351" i="6"/>
  <c r="V345" i="6"/>
  <c r="AQ345" i="6" s="1"/>
  <c r="V341" i="6"/>
  <c r="AQ341" i="6" s="1"/>
  <c r="V339" i="6"/>
  <c r="AQ339" i="6" s="1"/>
  <c r="AQ343" i="6"/>
  <c r="V337" i="6"/>
  <c r="AQ337" i="6" s="1"/>
  <c r="V329" i="6"/>
  <c r="AQ329" i="6" s="1"/>
  <c r="AQ335" i="6"/>
  <c r="V325" i="6"/>
  <c r="AQ325" i="6" s="1"/>
  <c r="V323" i="6"/>
  <c r="AQ323" i="6" s="1"/>
  <c r="AQ327" i="6"/>
  <c r="V321" i="6"/>
  <c r="AQ321" i="6" s="1"/>
  <c r="AQ319" i="6"/>
  <c r="V313" i="6"/>
  <c r="AQ313" i="6" s="1"/>
  <c r="V309" i="6"/>
  <c r="AQ309" i="6" s="1"/>
  <c r="V307" i="6"/>
  <c r="AQ307" i="6" s="1"/>
  <c r="AQ311" i="6"/>
  <c r="V305" i="6"/>
  <c r="AQ305" i="6" s="1"/>
  <c r="AQ250" i="6"/>
  <c r="V245" i="6"/>
  <c r="AQ245" i="6" s="1"/>
  <c r="V240" i="6"/>
  <c r="AQ240" i="6" s="1"/>
  <c r="V238" i="6"/>
  <c r="AQ238" i="6" s="1"/>
  <c r="V236" i="6"/>
  <c r="AQ236" i="6" s="1"/>
  <c r="V231" i="6"/>
  <c r="AQ231" i="6" s="1"/>
  <c r="V229" i="6"/>
  <c r="AQ229" i="6" s="1"/>
  <c r="V227" i="6"/>
  <c r="AQ227" i="6" s="1"/>
  <c r="V225" i="6"/>
  <c r="AQ225" i="6" s="1"/>
  <c r="V223" i="6"/>
  <c r="AQ223" i="6" s="1"/>
  <c r="V217" i="6"/>
  <c r="AQ217" i="6" s="1"/>
  <c r="V215" i="6"/>
  <c r="AQ215" i="6" s="1"/>
  <c r="V210" i="6"/>
  <c r="AQ210" i="6" s="1"/>
  <c r="V205" i="6"/>
  <c r="AQ205" i="6" s="1"/>
  <c r="V203" i="6"/>
  <c r="AQ203" i="6" s="1"/>
  <c r="V198" i="6"/>
  <c r="AQ198" i="6" s="1"/>
  <c r="V196" i="6"/>
  <c r="AQ196" i="6" s="1"/>
  <c r="V190" i="6"/>
  <c r="AQ190" i="6" s="1"/>
  <c r="V188" i="6"/>
  <c r="AQ188" i="6" s="1"/>
  <c r="V186" i="6"/>
  <c r="AQ186" i="6" s="1"/>
  <c r="V184" i="6"/>
  <c r="AQ184" i="6" s="1"/>
  <c r="V182" i="6"/>
  <c r="AQ182" i="6" s="1"/>
  <c r="V177" i="6"/>
  <c r="AQ177" i="6" s="1"/>
  <c r="V175" i="6"/>
  <c r="AQ175" i="6" s="1"/>
  <c r="V170" i="6"/>
  <c r="AQ170" i="6" s="1"/>
  <c r="V168" i="6"/>
  <c r="AQ168" i="6" s="1"/>
  <c r="V163" i="6"/>
  <c r="AQ163" i="6" s="1"/>
  <c r="V161" i="6"/>
  <c r="AQ161" i="6" s="1"/>
  <c r="V159" i="6"/>
  <c r="AQ159" i="6" s="1"/>
  <c r="V157" i="6"/>
  <c r="AQ157" i="6" s="1"/>
  <c r="V155" i="6"/>
  <c r="AQ155" i="6" s="1"/>
  <c r="V153" i="6"/>
  <c r="AQ153" i="6" s="1"/>
  <c r="V146" i="6"/>
  <c r="AQ146" i="6" s="1"/>
  <c r="AB34" i="7"/>
  <c r="H34" i="7"/>
  <c r="AI34" i="7" s="1"/>
  <c r="AB30" i="7"/>
  <c r="H30" i="7"/>
  <c r="AI30" i="7" s="1"/>
  <c r="AB23" i="7"/>
  <c r="H23" i="7"/>
  <c r="AI23" i="7" s="1"/>
  <c r="AB15" i="7"/>
  <c r="H15" i="7"/>
  <c r="AI15" i="7" s="1"/>
  <c r="V121" i="6"/>
  <c r="AQ121" i="6" s="1"/>
  <c r="AQ126" i="6"/>
  <c r="V113" i="6"/>
  <c r="AQ113" i="6" s="1"/>
  <c r="V103" i="6"/>
  <c r="AQ103" i="6" s="1"/>
  <c r="AQ108" i="6"/>
  <c r="V98" i="6"/>
  <c r="AQ98" i="6" s="1"/>
  <c r="V96" i="6"/>
  <c r="AQ96" i="6" s="1"/>
  <c r="V94" i="6"/>
  <c r="AQ94" i="6" s="1"/>
  <c r="V92" i="6"/>
  <c r="AQ92" i="6" s="1"/>
  <c r="V87" i="6"/>
  <c r="AQ87" i="6" s="1"/>
  <c r="V85" i="6"/>
  <c r="AQ85" i="6" s="1"/>
  <c r="V83" i="6"/>
  <c r="AQ83" i="6" s="1"/>
  <c r="V81" i="6"/>
  <c r="AQ81" i="6" s="1"/>
  <c r="V79" i="6"/>
  <c r="AQ79" i="6" s="1"/>
  <c r="V73" i="6"/>
  <c r="AQ73" i="6" s="1"/>
  <c r="V71" i="6"/>
  <c r="AQ71" i="6" s="1"/>
  <c r="V69" i="6"/>
  <c r="AQ69" i="6" s="1"/>
  <c r="V64" i="6"/>
  <c r="AQ64" i="6" s="1"/>
  <c r="V62" i="6"/>
  <c r="AQ62" i="6" s="1"/>
  <c r="V60" i="6"/>
  <c r="AQ60" i="6" s="1"/>
  <c r="V58" i="6"/>
  <c r="AQ58" i="6" s="1"/>
  <c r="V56" i="6"/>
  <c r="AQ56" i="6" s="1"/>
  <c r="V54" i="6"/>
  <c r="AQ54" i="6" s="1"/>
  <c r="V49" i="6"/>
  <c r="AQ49" i="6" s="1"/>
  <c r="V18" i="6"/>
  <c r="AQ18" i="6" s="1"/>
  <c r="V16" i="6"/>
  <c r="AQ16" i="6" s="1"/>
  <c r="AB432" i="6"/>
  <c r="H432" i="6"/>
  <c r="AI432" i="6" s="1"/>
  <c r="H431" i="6"/>
  <c r="AI431" i="6" s="1"/>
  <c r="AB431" i="6"/>
  <c r="AB430" i="6"/>
  <c r="H430" i="6"/>
  <c r="AI430" i="6" s="1"/>
  <c r="H429" i="6"/>
  <c r="AI429" i="6" s="1"/>
  <c r="AB429" i="6"/>
  <c r="AB428" i="6"/>
  <c r="H428" i="6"/>
  <c r="AI428" i="6" s="1"/>
  <c r="AI433" i="6"/>
  <c r="AB404" i="6"/>
  <c r="H404" i="6"/>
  <c r="AI404" i="6" s="1"/>
  <c r="AI375" i="6"/>
  <c r="H369" i="6"/>
  <c r="AI369" i="6" s="1"/>
  <c r="AB369" i="6"/>
  <c r="AB366" i="6"/>
  <c r="H366" i="6"/>
  <c r="AI366" i="6" s="1"/>
  <c r="AB365" i="6"/>
  <c r="H365" i="6"/>
  <c r="AI365" i="6" s="1"/>
  <c r="H364" i="6"/>
  <c r="AI364" i="6" s="1"/>
  <c r="AB364" i="6"/>
  <c r="AB363" i="6"/>
  <c r="H363" i="6"/>
  <c r="AI363" i="6" s="1"/>
  <c r="H362" i="6"/>
  <c r="AI362" i="6" s="1"/>
  <c r="AB362" i="6"/>
  <c r="AB361" i="6"/>
  <c r="H361" i="6"/>
  <c r="AI361" i="6" s="1"/>
  <c r="AI367" i="6"/>
  <c r="H321" i="6"/>
  <c r="AI321" i="6" s="1"/>
  <c r="AB321" i="6"/>
  <c r="AI327" i="6"/>
  <c r="AI311" i="6"/>
  <c r="H305" i="6"/>
  <c r="AI305" i="6" s="1"/>
  <c r="AB305" i="6"/>
  <c r="AB140" i="6"/>
  <c r="H140" i="6"/>
  <c r="AI140" i="6" s="1"/>
  <c r="AB139" i="6"/>
  <c r="H139" i="6"/>
  <c r="AI139" i="6" s="1"/>
  <c r="AB138" i="6"/>
  <c r="H138" i="6"/>
  <c r="AI138" i="6" s="1"/>
  <c r="AB137" i="6"/>
  <c r="H137" i="6"/>
  <c r="AI137" i="6" s="1"/>
  <c r="AB136" i="6"/>
  <c r="H136" i="6"/>
  <c r="AI136" i="6" s="1"/>
  <c r="AB135" i="6"/>
  <c r="H135" i="6"/>
  <c r="AI135" i="6" s="1"/>
  <c r="AB134" i="6"/>
  <c r="H134" i="6"/>
  <c r="AI134" i="6" s="1"/>
  <c r="AB133" i="6"/>
  <c r="H133" i="6"/>
  <c r="AI133" i="6" s="1"/>
  <c r="AB132" i="6"/>
  <c r="H132" i="6"/>
  <c r="AI132" i="6" s="1"/>
  <c r="AB131" i="6"/>
  <c r="H131" i="6"/>
  <c r="AI131" i="6" s="1"/>
  <c r="AB130" i="6"/>
  <c r="H130" i="6"/>
  <c r="AI130" i="6" s="1"/>
  <c r="AB121" i="6"/>
  <c r="AI126" i="6"/>
  <c r="H121" i="6"/>
  <c r="AI121" i="6" s="1"/>
  <c r="H99" i="6"/>
  <c r="AI99" i="6" s="1"/>
  <c r="AB99" i="6"/>
  <c r="AB98" i="6"/>
  <c r="H98" i="6"/>
  <c r="AI98" i="6" s="1"/>
  <c r="AB97" i="6"/>
  <c r="H97" i="6"/>
  <c r="AI97" i="6" s="1"/>
  <c r="AB96" i="6"/>
  <c r="H96" i="6"/>
  <c r="AI96" i="6" s="1"/>
  <c r="H95" i="6"/>
  <c r="AI95" i="6" s="1"/>
  <c r="AB95" i="6"/>
  <c r="AB94" i="6"/>
  <c r="H94" i="6"/>
  <c r="AI94" i="6" s="1"/>
  <c r="AB93" i="6"/>
  <c r="H93" i="6"/>
  <c r="AI93" i="6" s="1"/>
  <c r="AB92" i="6"/>
  <c r="H92" i="6"/>
  <c r="AI92" i="6" s="1"/>
  <c r="H88" i="6"/>
  <c r="AI88" i="6" s="1"/>
  <c r="AB88" i="6"/>
  <c r="AB87" i="6"/>
  <c r="H87" i="6"/>
  <c r="AI87" i="6" s="1"/>
  <c r="AB86" i="6"/>
  <c r="H86" i="6"/>
  <c r="AI86" i="6" s="1"/>
  <c r="AB85" i="6"/>
  <c r="H85" i="6"/>
  <c r="AI85" i="6" s="1"/>
  <c r="H84" i="6"/>
  <c r="AI84" i="6" s="1"/>
  <c r="AB84" i="6"/>
  <c r="AB83" i="6"/>
  <c r="H83" i="6"/>
  <c r="AI83" i="6" s="1"/>
  <c r="AB82" i="6"/>
  <c r="H82" i="6"/>
  <c r="AI82" i="6" s="1"/>
  <c r="AB81" i="6"/>
  <c r="H81" i="6"/>
  <c r="AI81" i="6" s="1"/>
  <c r="H80" i="6"/>
  <c r="AI80" i="6" s="1"/>
  <c r="AB80" i="6"/>
  <c r="AB79" i="6"/>
  <c r="H79" i="6"/>
  <c r="AI79" i="6" s="1"/>
  <c r="AB78" i="6"/>
  <c r="H78" i="6"/>
  <c r="AI78" i="6" s="1"/>
  <c r="AB50" i="6"/>
  <c r="H50" i="6"/>
  <c r="AI50" i="6" s="1"/>
  <c r="H49" i="6"/>
  <c r="AI49" i="6" s="1"/>
  <c r="AB49" i="6"/>
  <c r="AB48" i="6"/>
  <c r="H48" i="6"/>
  <c r="AI48" i="6" s="1"/>
  <c r="AB43" i="6"/>
  <c r="H43" i="6"/>
  <c r="AI43" i="6" s="1"/>
  <c r="AB42" i="6"/>
  <c r="H42" i="6"/>
  <c r="AI42" i="6" s="1"/>
  <c r="AB41" i="6"/>
  <c r="H41" i="6"/>
  <c r="AI41" i="6" s="1"/>
  <c r="AB40" i="6"/>
  <c r="H40" i="6"/>
  <c r="AI40" i="6" s="1"/>
  <c r="AB39" i="6"/>
  <c r="H39" i="6"/>
  <c r="AI39" i="6" s="1"/>
  <c r="AB38" i="6"/>
  <c r="H38" i="6"/>
  <c r="AI38" i="6" s="1"/>
  <c r="AB23" i="6"/>
  <c r="H23" i="6"/>
  <c r="AI23" i="6" s="1"/>
  <c r="AB17" i="6"/>
  <c r="H17" i="6"/>
  <c r="AI17" i="6" s="1"/>
  <c r="O17" i="6"/>
  <c r="AM17" i="6" s="1"/>
  <c r="O19" i="6"/>
  <c r="AM19" i="6" s="1"/>
  <c r="O35" i="6"/>
  <c r="AM35" i="6" s="1"/>
  <c r="O218" i="6"/>
  <c r="AM218" i="6" s="1"/>
  <c r="O206" i="6"/>
  <c r="AM206" i="6" s="1"/>
  <c r="O191" i="6"/>
  <c r="AM191" i="6" s="1"/>
  <c r="O148" i="6"/>
  <c r="AM148" i="6" s="1"/>
  <c r="O125" i="6"/>
  <c r="AM125" i="6" s="1"/>
  <c r="O107" i="6"/>
  <c r="AM107" i="6" s="1"/>
  <c r="O74" i="6"/>
  <c r="AM74" i="6" s="1"/>
  <c r="O232" i="6"/>
  <c r="AM232" i="6" s="1"/>
  <c r="O212" i="6"/>
  <c r="AM212" i="6" s="1"/>
  <c r="O241" i="6"/>
  <c r="AM241" i="6" s="1"/>
  <c r="O270" i="6"/>
  <c r="AM270" i="6" s="1"/>
  <c r="O27" i="6"/>
  <c r="O51" i="6"/>
  <c r="AM51" i="6" s="1"/>
  <c r="O172" i="6"/>
  <c r="AM172" i="6" s="1"/>
  <c r="O295" i="6"/>
  <c r="AM295" i="6" s="1"/>
  <c r="O199" i="6"/>
  <c r="AM199" i="6" s="1"/>
  <c r="O115" i="6"/>
  <c r="AM115" i="6" s="1"/>
  <c r="O44" i="6"/>
  <c r="AM44" i="6" s="1"/>
  <c r="O179" i="6"/>
  <c r="AM179" i="6" s="1"/>
  <c r="O249" i="6"/>
  <c r="AM249" i="6" s="1"/>
  <c r="O261" i="6"/>
  <c r="AM261" i="6" s="1"/>
  <c r="AQ440" i="3"/>
  <c r="V435" i="3"/>
  <c r="AQ435" i="3" s="1"/>
  <c r="O439" i="6"/>
  <c r="O438" i="6"/>
  <c r="AM438" i="6" s="1"/>
  <c r="O437" i="6"/>
  <c r="AM437" i="6" s="1"/>
  <c r="O436" i="6"/>
  <c r="AM436" i="6" s="1"/>
  <c r="AK428" i="6"/>
  <c r="AK433" i="6"/>
  <c r="O404" i="6"/>
  <c r="AM404" i="6" s="1"/>
  <c r="O401" i="6"/>
  <c r="AM401" i="6" s="1"/>
  <c r="O400" i="6"/>
  <c r="AM400" i="6" s="1"/>
  <c r="O399" i="6"/>
  <c r="AM399" i="6" s="1"/>
  <c r="O398" i="6"/>
  <c r="AM398" i="6" s="1"/>
  <c r="O397" i="6"/>
  <c r="AM397" i="6" s="1"/>
  <c r="AK375" i="6"/>
  <c r="AK369" i="6"/>
  <c r="AK367" i="6"/>
  <c r="AK361" i="6"/>
  <c r="AK337" i="6"/>
  <c r="AK343" i="6"/>
  <c r="AK327" i="6"/>
  <c r="AK321" i="6"/>
  <c r="AK311" i="6"/>
  <c r="AK305" i="6"/>
  <c r="AK290" i="6"/>
  <c r="AK296" i="6"/>
  <c r="O211" i="6"/>
  <c r="AM211" i="6" s="1"/>
  <c r="O209" i="6"/>
  <c r="AM209" i="6" s="1"/>
  <c r="O197" i="6"/>
  <c r="AM197" i="6" s="1"/>
  <c r="O195" i="6"/>
  <c r="AM195" i="6" s="1"/>
  <c r="O178" i="6"/>
  <c r="AM178" i="6" s="1"/>
  <c r="O176" i="6"/>
  <c r="AM176" i="6" s="1"/>
  <c r="O147" i="6"/>
  <c r="AM147" i="6" s="1"/>
  <c r="O145" i="6"/>
  <c r="AM145" i="6" s="1"/>
  <c r="H124" i="6"/>
  <c r="AI124" i="6" s="1"/>
  <c r="AB124" i="6"/>
  <c r="AB123" i="6"/>
  <c r="H123" i="6"/>
  <c r="AI123" i="6" s="1"/>
  <c r="AB122" i="6"/>
  <c r="H122" i="6"/>
  <c r="AI122" i="6" s="1"/>
  <c r="O114" i="6"/>
  <c r="AM114" i="6" s="1"/>
  <c r="O112" i="6"/>
  <c r="AM112" i="6" s="1"/>
  <c r="AB73" i="6"/>
  <c r="H73" i="6"/>
  <c r="AI73" i="6" s="1"/>
  <c r="AB72" i="6"/>
  <c r="H72" i="6"/>
  <c r="AI72" i="6" s="1"/>
  <c r="AB71" i="6"/>
  <c r="H71" i="6"/>
  <c r="AI71" i="6" s="1"/>
  <c r="AB70" i="6"/>
  <c r="H70" i="6"/>
  <c r="AI70" i="6" s="1"/>
  <c r="AB69" i="6"/>
  <c r="H69" i="6"/>
  <c r="AI69" i="6" s="1"/>
  <c r="AB68" i="6"/>
  <c r="H68" i="6"/>
  <c r="AI68" i="6" s="1"/>
  <c r="AB64" i="6"/>
  <c r="H64" i="6"/>
  <c r="AI64" i="6" s="1"/>
  <c r="AB63" i="6"/>
  <c r="H63" i="6"/>
  <c r="AI63" i="6" s="1"/>
  <c r="AB62" i="6"/>
  <c r="H62" i="6"/>
  <c r="AI62" i="6" s="1"/>
  <c r="AB61" i="6"/>
  <c r="H61" i="6"/>
  <c r="AI61" i="6" s="1"/>
  <c r="AB60" i="6"/>
  <c r="H60" i="6"/>
  <c r="AI60" i="6" s="1"/>
  <c r="AB59" i="6"/>
  <c r="H59" i="6"/>
  <c r="AI59" i="6" s="1"/>
  <c r="AB58" i="6"/>
  <c r="H58" i="6"/>
  <c r="AI58" i="6" s="1"/>
  <c r="AB57" i="6"/>
  <c r="H57" i="6"/>
  <c r="AI57" i="6" s="1"/>
  <c r="AB56" i="6"/>
  <c r="H56" i="6"/>
  <c r="AI56" i="6" s="1"/>
  <c r="AB55" i="6"/>
  <c r="H55" i="6"/>
  <c r="AI55" i="6" s="1"/>
  <c r="AB54" i="6"/>
  <c r="H54" i="6"/>
  <c r="AI54" i="6" s="1"/>
  <c r="AL440" i="3"/>
  <c r="AL439" i="3"/>
  <c r="AL290" i="3"/>
  <c r="AL296" i="3"/>
  <c r="H106" i="6"/>
  <c r="AI106" i="6" s="1"/>
  <c r="AB106" i="6"/>
  <c r="AB105" i="6"/>
  <c r="H105" i="6"/>
  <c r="AI105" i="6" s="1"/>
  <c r="AB104" i="6"/>
  <c r="H104" i="6"/>
  <c r="AI104" i="6" s="1"/>
  <c r="O99" i="6"/>
  <c r="AM99" i="6" s="1"/>
  <c r="O97" i="6"/>
  <c r="AM97" i="6" s="1"/>
  <c r="O95" i="6"/>
  <c r="AM95" i="6" s="1"/>
  <c r="O93" i="6"/>
  <c r="AM93" i="6" s="1"/>
  <c r="O88" i="6"/>
  <c r="AM88" i="6" s="1"/>
  <c r="O86" i="6"/>
  <c r="AM86" i="6" s="1"/>
  <c r="O84" i="6"/>
  <c r="AM84" i="6" s="1"/>
  <c r="O82" i="6"/>
  <c r="AM82" i="6" s="1"/>
  <c r="O80" i="6"/>
  <c r="AM80" i="6" s="1"/>
  <c r="O78" i="6"/>
  <c r="AM78" i="6" s="1"/>
  <c r="O49" i="6"/>
  <c r="AM49" i="6" s="1"/>
  <c r="O43" i="6"/>
  <c r="AM43" i="6" s="1"/>
  <c r="O41" i="6"/>
  <c r="AM41" i="6" s="1"/>
  <c r="O39" i="6"/>
  <c r="AM39" i="6" s="1"/>
  <c r="AB16" i="6"/>
  <c r="V121" i="3"/>
  <c r="AQ121" i="3" s="1"/>
  <c r="AQ126" i="3"/>
  <c r="V113" i="3"/>
  <c r="AQ113" i="3" s="1"/>
  <c r="V103" i="3"/>
  <c r="AQ103" i="3" s="1"/>
  <c r="AQ108" i="3"/>
  <c r="V98" i="3"/>
  <c r="AQ98" i="3" s="1"/>
  <c r="V96" i="3"/>
  <c r="AQ96" i="3" s="1"/>
  <c r="V94" i="3"/>
  <c r="AQ94" i="3" s="1"/>
  <c r="V92" i="3"/>
  <c r="AQ92" i="3" s="1"/>
  <c r="V87" i="3"/>
  <c r="AQ87" i="3" s="1"/>
  <c r="V85" i="3"/>
  <c r="AQ85" i="3" s="1"/>
  <c r="V83" i="3"/>
  <c r="AQ83" i="3" s="1"/>
  <c r="V81" i="3"/>
  <c r="AQ81" i="3" s="1"/>
  <c r="V79" i="3"/>
  <c r="AQ79" i="3" s="1"/>
  <c r="V73" i="3"/>
  <c r="AQ73" i="3" s="1"/>
  <c r="V71" i="3"/>
  <c r="AQ71" i="3" s="1"/>
  <c r="V69" i="3"/>
  <c r="AQ69" i="3" s="1"/>
  <c r="V64" i="3"/>
  <c r="AQ64" i="3" s="1"/>
  <c r="V62" i="3"/>
  <c r="AQ62" i="3" s="1"/>
  <c r="V60" i="3"/>
  <c r="AQ60" i="3" s="1"/>
  <c r="V58" i="3"/>
  <c r="AQ58" i="3" s="1"/>
  <c r="V56" i="3"/>
  <c r="AQ56" i="3" s="1"/>
  <c r="V54" i="3"/>
  <c r="AQ54" i="3" s="1"/>
  <c r="V49" i="3"/>
  <c r="AQ49" i="3" s="1"/>
  <c r="V18" i="3"/>
  <c r="AQ18" i="3" s="1"/>
  <c r="AB439" i="3"/>
  <c r="AI440" i="3"/>
  <c r="H439" i="3"/>
  <c r="AI439" i="3" s="1"/>
  <c r="H438" i="3"/>
  <c r="AI438" i="3" s="1"/>
  <c r="AB438" i="3"/>
  <c r="AB437" i="3"/>
  <c r="H437" i="3"/>
  <c r="AI437" i="3" s="1"/>
  <c r="AB435" i="3"/>
  <c r="H435" i="3"/>
  <c r="AI435" i="3" s="1"/>
  <c r="H432" i="3"/>
  <c r="AI432" i="3" s="1"/>
  <c r="AB432" i="3"/>
  <c r="H431" i="3"/>
  <c r="AI431" i="3" s="1"/>
  <c r="AB431" i="3"/>
  <c r="AB430" i="3"/>
  <c r="H430" i="3"/>
  <c r="AI430" i="3" s="1"/>
  <c r="H429" i="3"/>
  <c r="AI429" i="3" s="1"/>
  <c r="AB429" i="3"/>
  <c r="AB428" i="3"/>
  <c r="H428" i="3"/>
  <c r="AI428" i="3" s="1"/>
  <c r="AI433" i="3"/>
  <c r="H417" i="3"/>
  <c r="AI417" i="3" s="1"/>
  <c r="AB417" i="3"/>
  <c r="H404" i="3"/>
  <c r="AI404" i="3" s="1"/>
  <c r="AB404" i="3"/>
  <c r="AI383" i="3"/>
  <c r="H377" i="3"/>
  <c r="AI377" i="3" s="1"/>
  <c r="AB377" i="3"/>
  <c r="AB374" i="3"/>
  <c r="H374" i="3"/>
  <c r="AI374" i="3" s="1"/>
  <c r="AB373" i="3"/>
  <c r="H373" i="3"/>
  <c r="AI373" i="3" s="1"/>
  <c r="AB372" i="3"/>
  <c r="H372" i="3"/>
  <c r="AI372" i="3" s="1"/>
  <c r="H371" i="3"/>
  <c r="AI371" i="3" s="1"/>
  <c r="AB371" i="3"/>
  <c r="AB370" i="3"/>
  <c r="H370" i="3"/>
  <c r="AI370" i="3" s="1"/>
  <c r="H358" i="3"/>
  <c r="AI358" i="3" s="1"/>
  <c r="AB358" i="3"/>
  <c r="H357" i="3"/>
  <c r="AI357" i="3" s="1"/>
  <c r="AB357" i="3"/>
  <c r="H356" i="3"/>
  <c r="AI356" i="3" s="1"/>
  <c r="AB356" i="3"/>
  <c r="AB355" i="3"/>
  <c r="H355" i="3"/>
  <c r="AI355" i="3" s="1"/>
  <c r="H354" i="3"/>
  <c r="AI354" i="3" s="1"/>
  <c r="AB354" i="3"/>
  <c r="AI351" i="3"/>
  <c r="AB345" i="3"/>
  <c r="H345" i="3"/>
  <c r="AI345" i="3" s="1"/>
  <c r="AB342" i="3"/>
  <c r="H342" i="3"/>
  <c r="AI342" i="3" s="1"/>
  <c r="AB341" i="3"/>
  <c r="H341" i="3"/>
  <c r="AI341" i="3" s="1"/>
  <c r="H340" i="3"/>
  <c r="AI340" i="3" s="1"/>
  <c r="AB340" i="3"/>
  <c r="AB339" i="3"/>
  <c r="H339" i="3"/>
  <c r="AI339" i="3" s="1"/>
  <c r="H338" i="3"/>
  <c r="AI338" i="3" s="1"/>
  <c r="AB338" i="3"/>
  <c r="AI343" i="3"/>
  <c r="AB337" i="3"/>
  <c r="H337" i="3"/>
  <c r="AI337" i="3" s="1"/>
  <c r="AI335" i="3"/>
  <c r="AB329" i="3"/>
  <c r="H329" i="3"/>
  <c r="AI329" i="3" s="1"/>
  <c r="H326" i="3"/>
  <c r="AI326" i="3" s="1"/>
  <c r="AB326" i="3"/>
  <c r="AB325" i="3"/>
  <c r="H325" i="3"/>
  <c r="AI325" i="3" s="1"/>
  <c r="AB324" i="3"/>
  <c r="H324" i="3"/>
  <c r="AI324" i="3" s="1"/>
  <c r="AB323" i="3"/>
  <c r="H323" i="3"/>
  <c r="AI323" i="3" s="1"/>
  <c r="H322" i="3"/>
  <c r="AI322" i="3" s="1"/>
  <c r="AB322" i="3"/>
  <c r="AI327" i="3"/>
  <c r="H321" i="3"/>
  <c r="AI321" i="3" s="1"/>
  <c r="AB321" i="3"/>
  <c r="AI319" i="3"/>
  <c r="H313" i="3"/>
  <c r="AI313" i="3" s="1"/>
  <c r="AB313" i="3"/>
  <c r="H310" i="3"/>
  <c r="AI310" i="3" s="1"/>
  <c r="AB310" i="3"/>
  <c r="AB309" i="3"/>
  <c r="H309" i="3"/>
  <c r="AI309" i="3" s="1"/>
  <c r="AB308" i="3"/>
  <c r="H308" i="3"/>
  <c r="AI308" i="3" s="1"/>
  <c r="AB307" i="3"/>
  <c r="H307" i="3"/>
  <c r="AI307" i="3" s="1"/>
  <c r="AM305" i="3"/>
  <c r="AM311" i="3"/>
  <c r="AM250" i="3"/>
  <c r="O245" i="3"/>
  <c r="AM245" i="3" s="1"/>
  <c r="AM149" i="3"/>
  <c r="O144" i="3"/>
  <c r="AM144" i="3" s="1"/>
  <c r="AB23" i="3"/>
  <c r="H23" i="3"/>
  <c r="AI23" i="3" s="1"/>
  <c r="AB17" i="3"/>
  <c r="H17" i="3"/>
  <c r="AI17" i="3" s="1"/>
  <c r="AB15" i="3"/>
  <c r="H15" i="3"/>
  <c r="AI15" i="3" s="1"/>
  <c r="H44" i="5"/>
  <c r="AI44" i="5" s="1"/>
  <c r="H172" i="5"/>
  <c r="AI172" i="5" s="1"/>
  <c r="H51" i="5"/>
  <c r="AI51" i="5" s="1"/>
  <c r="H212" i="5"/>
  <c r="AI212" i="5" s="1"/>
  <c r="H241" i="5"/>
  <c r="AI241" i="5" s="1"/>
  <c r="H295" i="5"/>
  <c r="AI295" i="5" s="1"/>
  <c r="H261" i="5"/>
  <c r="AI261" i="5" s="1"/>
  <c r="H74" i="5"/>
  <c r="AI74" i="5" s="1"/>
  <c r="H179" i="5"/>
  <c r="AI179" i="5" s="1"/>
  <c r="H249" i="5"/>
  <c r="AI249" i="5" s="1"/>
  <c r="H232" i="5"/>
  <c r="AI232" i="5" s="1"/>
  <c r="H270" i="5"/>
  <c r="AI270" i="5" s="1"/>
  <c r="H218" i="5"/>
  <c r="AI218" i="5" s="1"/>
  <c r="H206" i="5"/>
  <c r="AI206" i="5" s="1"/>
  <c r="H191" i="5"/>
  <c r="AI191" i="5" s="1"/>
  <c r="H107" i="5"/>
  <c r="AI107" i="5" s="1"/>
  <c r="H199" i="5"/>
  <c r="AI199" i="5" s="1"/>
  <c r="H115" i="5"/>
  <c r="AI115" i="5" s="1"/>
  <c r="AC5" i="5"/>
  <c r="H27" i="5"/>
  <c r="H35" i="5"/>
  <c r="AI35" i="5" s="1"/>
  <c r="H148" i="5"/>
  <c r="AI148" i="5" s="1"/>
  <c r="H125" i="5"/>
  <c r="AI125" i="5" s="1"/>
  <c r="H19" i="5"/>
  <c r="AI19" i="5" s="1"/>
  <c r="AB451" i="5"/>
  <c r="AC451" i="5" s="1"/>
  <c r="AS451" i="5" s="1"/>
  <c r="H451" i="5"/>
  <c r="AI451" i="5" s="1"/>
  <c r="AB449" i="5"/>
  <c r="AC449" i="5" s="1"/>
  <c r="AS449" i="5" s="1"/>
  <c r="H449" i="5"/>
  <c r="AI449" i="5" s="1"/>
  <c r="H447" i="5"/>
  <c r="AI447" i="5" s="1"/>
  <c r="AB447" i="5"/>
  <c r="AB445" i="5"/>
  <c r="AC445" i="5" s="1"/>
  <c r="AS445" i="5" s="1"/>
  <c r="H445" i="5"/>
  <c r="AI445" i="5" s="1"/>
  <c r="AB443" i="5"/>
  <c r="AC443" i="5" s="1"/>
  <c r="AS443" i="5" s="1"/>
  <c r="H443" i="5"/>
  <c r="AI443" i="5" s="1"/>
  <c r="AB439" i="5"/>
  <c r="AC439" i="5" s="1"/>
  <c r="AS439" i="5" s="1"/>
  <c r="H439" i="5"/>
  <c r="AI439" i="5" s="1"/>
  <c r="AI440" i="5"/>
  <c r="AB437" i="5"/>
  <c r="H437" i="5"/>
  <c r="AI437" i="5" s="1"/>
  <c r="H435" i="5"/>
  <c r="AI435" i="5" s="1"/>
  <c r="AB435" i="5"/>
  <c r="AC435" i="5" s="1"/>
  <c r="AS435" i="5" s="1"/>
  <c r="H431" i="5"/>
  <c r="AI431" i="5" s="1"/>
  <c r="AB431" i="5"/>
  <c r="AC431" i="5" s="1"/>
  <c r="AS431" i="5" s="1"/>
  <c r="H429" i="5"/>
  <c r="AI429" i="5" s="1"/>
  <c r="AB429" i="5"/>
  <c r="AC429" i="5" s="1"/>
  <c r="AS429" i="5" s="1"/>
  <c r="AM428" i="5"/>
  <c r="AB425" i="5"/>
  <c r="H425" i="5"/>
  <c r="AI425" i="5" s="1"/>
  <c r="AB423" i="5"/>
  <c r="H423" i="5"/>
  <c r="AI423" i="5" s="1"/>
  <c r="AB421" i="5"/>
  <c r="H421" i="5"/>
  <c r="AI421" i="5" s="1"/>
  <c r="AB417" i="5"/>
  <c r="H417" i="5"/>
  <c r="AI417" i="5" s="1"/>
  <c r="AB415" i="5"/>
  <c r="H415" i="5"/>
  <c r="AI415" i="5" s="1"/>
  <c r="H411" i="5"/>
  <c r="AI411" i="5" s="1"/>
  <c r="AB411" i="5"/>
  <c r="AB409" i="5"/>
  <c r="H409" i="5"/>
  <c r="AI409" i="5" s="1"/>
  <c r="AB407" i="5"/>
  <c r="H407" i="5"/>
  <c r="AI407" i="5" s="1"/>
  <c r="AB403" i="5"/>
  <c r="H403" i="5"/>
  <c r="AI403" i="5" s="1"/>
  <c r="AB401" i="5"/>
  <c r="H401" i="5"/>
  <c r="AI401" i="5" s="1"/>
  <c r="AB399" i="5"/>
  <c r="H399" i="5"/>
  <c r="AI399" i="5" s="1"/>
  <c r="AB397" i="5"/>
  <c r="H397" i="5"/>
  <c r="AI397" i="5" s="1"/>
  <c r="AB393" i="5"/>
  <c r="H393" i="5"/>
  <c r="AI393" i="5" s="1"/>
  <c r="AB391" i="5"/>
  <c r="H391" i="5"/>
  <c r="AI391" i="5" s="1"/>
  <c r="AB389" i="5"/>
  <c r="H389" i="5"/>
  <c r="AI389" i="5" s="1"/>
  <c r="AB387" i="5"/>
  <c r="H387" i="5"/>
  <c r="AI387" i="5" s="1"/>
  <c r="AB382" i="5"/>
  <c r="H382" i="5"/>
  <c r="AI382" i="5" s="1"/>
  <c r="AB380" i="5"/>
  <c r="H380" i="5"/>
  <c r="AI380" i="5" s="1"/>
  <c r="AB378" i="5"/>
  <c r="H378" i="5"/>
  <c r="AI378" i="5" s="1"/>
  <c r="AB374" i="5"/>
  <c r="H374" i="5"/>
  <c r="AI374" i="5" s="1"/>
  <c r="AB372" i="5"/>
  <c r="H372" i="5"/>
  <c r="AI372" i="5" s="1"/>
  <c r="AB370" i="5"/>
  <c r="H370" i="5"/>
  <c r="AI370" i="5" s="1"/>
  <c r="AM369" i="5"/>
  <c r="H366" i="5"/>
  <c r="AI366" i="5" s="1"/>
  <c r="AB366" i="5"/>
  <c r="AB364" i="5"/>
  <c r="H364" i="5"/>
  <c r="AI364" i="5" s="1"/>
  <c r="H362" i="5"/>
  <c r="AI362" i="5" s="1"/>
  <c r="AB362" i="5"/>
  <c r="H358" i="5"/>
  <c r="AI358" i="5" s="1"/>
  <c r="AB358" i="5"/>
  <c r="AC358" i="5" s="1"/>
  <c r="AS358" i="5" s="1"/>
  <c r="H356" i="5"/>
  <c r="AI356" i="5" s="1"/>
  <c r="AB356" i="5"/>
  <c r="AC356" i="5" s="1"/>
  <c r="AS356" i="5" s="1"/>
  <c r="H354" i="5"/>
  <c r="AI354" i="5" s="1"/>
  <c r="AB354" i="5"/>
  <c r="AC354" i="5" s="1"/>
  <c r="AS354" i="5" s="1"/>
  <c r="AM353" i="5"/>
  <c r="AB350" i="5"/>
  <c r="H350" i="5"/>
  <c r="AI350" i="5" s="1"/>
  <c r="AB348" i="5"/>
  <c r="H348" i="5"/>
  <c r="AI348" i="5" s="1"/>
  <c r="AB346" i="5"/>
  <c r="H346" i="5"/>
  <c r="AI346" i="5" s="1"/>
  <c r="AB342" i="5"/>
  <c r="H342" i="5"/>
  <c r="AI342" i="5" s="1"/>
  <c r="H340" i="5"/>
  <c r="AI340" i="5" s="1"/>
  <c r="AB340" i="5"/>
  <c r="AC340" i="5" s="1"/>
  <c r="AS340" i="5" s="1"/>
  <c r="AB338" i="5"/>
  <c r="H338" i="5"/>
  <c r="AI338" i="5" s="1"/>
  <c r="AM337" i="5"/>
  <c r="H334" i="5"/>
  <c r="AI334" i="5" s="1"/>
  <c r="AB334" i="5"/>
  <c r="H332" i="5"/>
  <c r="AI332" i="5" s="1"/>
  <c r="AB332" i="5"/>
  <c r="H330" i="5"/>
  <c r="AI330" i="5" s="1"/>
  <c r="AB330" i="5"/>
  <c r="H326" i="5"/>
  <c r="AI326" i="5" s="1"/>
  <c r="AB326" i="5"/>
  <c r="AC326" i="5" s="1"/>
  <c r="AS326" i="5" s="1"/>
  <c r="H324" i="5"/>
  <c r="AI324" i="5" s="1"/>
  <c r="AB324" i="5"/>
  <c r="AC324" i="5" s="1"/>
  <c r="AS324" i="5" s="1"/>
  <c r="H322" i="5"/>
  <c r="AI322" i="5" s="1"/>
  <c r="AB322" i="5"/>
  <c r="AC322" i="5" s="1"/>
  <c r="AS322" i="5" s="1"/>
  <c r="AM321" i="5"/>
  <c r="H318" i="5"/>
  <c r="AI318" i="5" s="1"/>
  <c r="AB318" i="5"/>
  <c r="AB316" i="5"/>
  <c r="H316" i="5"/>
  <c r="AI316" i="5" s="1"/>
  <c r="H314" i="5"/>
  <c r="AI314" i="5" s="1"/>
  <c r="AB314" i="5"/>
  <c r="AB310" i="5"/>
  <c r="H310" i="5"/>
  <c r="AI310" i="5" s="1"/>
  <c r="H308" i="5"/>
  <c r="AI308" i="5" s="1"/>
  <c r="AB308" i="5"/>
  <c r="AC308" i="5" s="1"/>
  <c r="AS308" i="5" s="1"/>
  <c r="AB306" i="5"/>
  <c r="H306" i="5"/>
  <c r="AI306" i="5" s="1"/>
  <c r="AM305" i="5"/>
  <c r="AB294" i="5"/>
  <c r="H294" i="5"/>
  <c r="AI294" i="5" s="1"/>
  <c r="AB292" i="5"/>
  <c r="H292" i="5"/>
  <c r="AI292" i="5" s="1"/>
  <c r="AI296" i="5"/>
  <c r="H290" i="5"/>
  <c r="AI290" i="5" s="1"/>
  <c r="AB290" i="5"/>
  <c r="AB285" i="5"/>
  <c r="H285" i="5"/>
  <c r="AI285" i="5" s="1"/>
  <c r="AB283" i="5"/>
  <c r="H283" i="5"/>
  <c r="AI283" i="5" s="1"/>
  <c r="AB281" i="5"/>
  <c r="H281" i="5"/>
  <c r="AI281" i="5" s="1"/>
  <c r="AB279" i="5"/>
  <c r="H279" i="5"/>
  <c r="AI279" i="5" s="1"/>
  <c r="AB277" i="5"/>
  <c r="H277" i="5"/>
  <c r="AI277" i="5" s="1"/>
  <c r="AB275" i="5"/>
  <c r="H275" i="5"/>
  <c r="AI275" i="5" s="1"/>
  <c r="AB273" i="5"/>
  <c r="H273" i="5"/>
  <c r="AI273" i="5" s="1"/>
  <c r="AB268" i="5"/>
  <c r="H268" i="5"/>
  <c r="AI268" i="5" s="1"/>
  <c r="AB266" i="5"/>
  <c r="H266" i="5"/>
  <c r="AI266" i="5" s="1"/>
  <c r="AB264" i="5"/>
  <c r="H264" i="5"/>
  <c r="AI264" i="5" s="1"/>
  <c r="H259" i="5"/>
  <c r="AI259" i="5" s="1"/>
  <c r="AB259" i="5"/>
  <c r="AB257" i="5"/>
  <c r="H257" i="5"/>
  <c r="AI257" i="5" s="1"/>
  <c r="H255" i="5"/>
  <c r="AI255" i="5" s="1"/>
  <c r="AB255" i="5"/>
  <c r="H253" i="5"/>
  <c r="AI253" i="5" s="1"/>
  <c r="AB253" i="5"/>
  <c r="AB248" i="5"/>
  <c r="H248" i="5"/>
  <c r="AI248" i="5" s="1"/>
  <c r="AB246" i="5"/>
  <c r="H246" i="5"/>
  <c r="AI246" i="5" s="1"/>
  <c r="AM250" i="5"/>
  <c r="O245" i="5"/>
  <c r="AM245" i="5" s="1"/>
  <c r="AM149" i="5"/>
  <c r="O144" i="5"/>
  <c r="AM144" i="5" s="1"/>
  <c r="H138" i="5"/>
  <c r="AI138" i="5" s="1"/>
  <c r="AB138" i="5"/>
  <c r="AB136" i="5"/>
  <c r="H136" i="5"/>
  <c r="AI136" i="5" s="1"/>
  <c r="H134" i="5"/>
  <c r="AI134" i="5" s="1"/>
  <c r="AB134" i="5"/>
  <c r="H130" i="5"/>
  <c r="AI130" i="5" s="1"/>
  <c r="AB130" i="5"/>
  <c r="AB123" i="5"/>
  <c r="H123" i="5"/>
  <c r="AI123" i="5" s="1"/>
  <c r="V121" i="5"/>
  <c r="AQ121" i="5" s="1"/>
  <c r="AQ126" i="5"/>
  <c r="AB113" i="5"/>
  <c r="H113" i="5"/>
  <c r="AI113" i="5" s="1"/>
  <c r="AQ116" i="5"/>
  <c r="V111" i="5"/>
  <c r="AQ111" i="5" s="1"/>
  <c r="AB105" i="5"/>
  <c r="H105" i="5"/>
  <c r="AI105" i="5" s="1"/>
  <c r="V103" i="5"/>
  <c r="AQ103" i="5" s="1"/>
  <c r="AQ108" i="5"/>
  <c r="AB98" i="5"/>
  <c r="H98" i="5"/>
  <c r="AI98" i="5" s="1"/>
  <c r="AB96" i="5"/>
  <c r="H96" i="5"/>
  <c r="AI96" i="5" s="1"/>
  <c r="AB94" i="5"/>
  <c r="H94" i="5"/>
  <c r="AI94" i="5" s="1"/>
  <c r="AB92" i="5"/>
  <c r="H92" i="5"/>
  <c r="AI92" i="5" s="1"/>
  <c r="H87" i="5"/>
  <c r="AI87" i="5" s="1"/>
  <c r="AB87" i="5"/>
  <c r="AB85" i="5"/>
  <c r="H85" i="5"/>
  <c r="AI85" i="5" s="1"/>
  <c r="AB83" i="5"/>
  <c r="H83" i="5"/>
  <c r="AI83" i="5" s="1"/>
  <c r="AB81" i="5"/>
  <c r="H81" i="5"/>
  <c r="AI81" i="5" s="1"/>
  <c r="AB79" i="5"/>
  <c r="H79" i="5"/>
  <c r="AI79" i="5" s="1"/>
  <c r="AB73" i="5"/>
  <c r="H73" i="5"/>
  <c r="AI73" i="5" s="1"/>
  <c r="AB71" i="5"/>
  <c r="H71" i="5"/>
  <c r="AI71" i="5" s="1"/>
  <c r="AB69" i="5"/>
  <c r="H69" i="5"/>
  <c r="AI69" i="5" s="1"/>
  <c r="AB64" i="5"/>
  <c r="H64" i="5"/>
  <c r="AI64" i="5" s="1"/>
  <c r="AB62" i="5"/>
  <c r="H62" i="5"/>
  <c r="AI62" i="5" s="1"/>
  <c r="AB60" i="5"/>
  <c r="H60" i="5"/>
  <c r="AI60" i="5" s="1"/>
  <c r="AB58" i="5"/>
  <c r="H58" i="5"/>
  <c r="AI58" i="5" s="1"/>
  <c r="AB56" i="5"/>
  <c r="H56" i="5"/>
  <c r="AI56" i="5" s="1"/>
  <c r="AB54" i="5"/>
  <c r="H54" i="5"/>
  <c r="AI54" i="5" s="1"/>
  <c r="AB49" i="5"/>
  <c r="H49" i="5"/>
  <c r="AI49" i="5" s="1"/>
  <c r="AQ52" i="5"/>
  <c r="V47" i="5"/>
  <c r="AQ47" i="5" s="1"/>
  <c r="AB42" i="5"/>
  <c r="H42" i="5"/>
  <c r="AI42" i="5" s="1"/>
  <c r="AB40" i="5"/>
  <c r="H40" i="5"/>
  <c r="AI40" i="5" s="1"/>
  <c r="AB38" i="5"/>
  <c r="H38" i="5"/>
  <c r="AI38" i="5" s="1"/>
  <c r="AB31" i="5"/>
  <c r="H31" i="5"/>
  <c r="AI31" i="5" s="1"/>
  <c r="AB26" i="5"/>
  <c r="H26" i="5"/>
  <c r="AI26" i="5" s="1"/>
  <c r="AB24" i="5"/>
  <c r="H24" i="5"/>
  <c r="AI24" i="5" s="1"/>
  <c r="AI296" i="3"/>
  <c r="H290" i="3"/>
  <c r="AI290" i="3" s="1"/>
  <c r="AB290" i="3"/>
  <c r="AC290" i="3" s="1"/>
  <c r="AS290" i="3" s="1"/>
  <c r="H283" i="3"/>
  <c r="AI283" i="3" s="1"/>
  <c r="AB283" i="3"/>
  <c r="AC283" i="3" s="1"/>
  <c r="AS283" i="3" s="1"/>
  <c r="AB281" i="3"/>
  <c r="H281" i="3"/>
  <c r="AI281" i="3" s="1"/>
  <c r="H279" i="3"/>
  <c r="AI279" i="3" s="1"/>
  <c r="AB279" i="3"/>
  <c r="AC279" i="3" s="1"/>
  <c r="AS279" i="3" s="1"/>
  <c r="AB277" i="3"/>
  <c r="H277" i="3"/>
  <c r="AI277" i="3" s="1"/>
  <c r="AB273" i="3"/>
  <c r="H273" i="3"/>
  <c r="AI273" i="3" s="1"/>
  <c r="AB266" i="3"/>
  <c r="H266" i="3"/>
  <c r="AI266" i="3" s="1"/>
  <c r="AB259" i="3"/>
  <c r="H259" i="3"/>
  <c r="AI259" i="3" s="1"/>
  <c r="AB255" i="3"/>
  <c r="H255" i="3"/>
  <c r="AI255" i="3" s="1"/>
  <c r="AB248" i="3"/>
  <c r="H248" i="3"/>
  <c r="AI248" i="3" s="1"/>
  <c r="AB244" i="3"/>
  <c r="H244" i="3"/>
  <c r="AI244" i="3" s="1"/>
  <c r="H237" i="3"/>
  <c r="AI237" i="3" s="1"/>
  <c r="AB237" i="3"/>
  <c r="AC237" i="3" s="1"/>
  <c r="AS237" i="3" s="1"/>
  <c r="AB230" i="3"/>
  <c r="H230" i="3"/>
  <c r="AI230" i="3" s="1"/>
  <c r="AB226" i="3"/>
  <c r="H226" i="3"/>
  <c r="AI226" i="3" s="1"/>
  <c r="AB222" i="3"/>
  <c r="H222" i="3"/>
  <c r="AI222" i="3" s="1"/>
  <c r="AB211" i="3"/>
  <c r="H211" i="3"/>
  <c r="AI211" i="3" s="1"/>
  <c r="AB204" i="3"/>
  <c r="H204" i="3"/>
  <c r="AI204" i="3" s="1"/>
  <c r="AB197" i="3"/>
  <c r="H197" i="3"/>
  <c r="AI197" i="3" s="1"/>
  <c r="AB189" i="3"/>
  <c r="H189" i="3"/>
  <c r="AI189" i="3" s="1"/>
  <c r="AB185" i="3"/>
  <c r="H185" i="3"/>
  <c r="AI185" i="3" s="1"/>
  <c r="AB178" i="3"/>
  <c r="H178" i="3"/>
  <c r="AI178" i="3" s="1"/>
  <c r="H171" i="3"/>
  <c r="AI171" i="3" s="1"/>
  <c r="AB171" i="3"/>
  <c r="AC171" i="3" s="1"/>
  <c r="AS171" i="3" s="1"/>
  <c r="H164" i="3"/>
  <c r="AI164" i="3" s="1"/>
  <c r="AB164" i="3"/>
  <c r="AC164" i="3" s="1"/>
  <c r="AS164" i="3" s="1"/>
  <c r="H160" i="3"/>
  <c r="AI160" i="3" s="1"/>
  <c r="AB160" i="3"/>
  <c r="AC160" i="3" s="1"/>
  <c r="AS160" i="3" s="1"/>
  <c r="H156" i="3"/>
  <c r="AI156" i="3" s="1"/>
  <c r="AB156" i="3"/>
  <c r="AC156" i="3" s="1"/>
  <c r="AS156" i="3" s="1"/>
  <c r="H147" i="3"/>
  <c r="AI147" i="3" s="1"/>
  <c r="AB147" i="3"/>
  <c r="AC147" i="3" s="1"/>
  <c r="AS147" i="3" s="1"/>
  <c r="H140" i="3"/>
  <c r="AI140" i="3" s="1"/>
  <c r="AB140" i="3"/>
  <c r="AC140" i="3" s="1"/>
  <c r="AS140" i="3" s="1"/>
  <c r="H136" i="3"/>
  <c r="AI136" i="3" s="1"/>
  <c r="AB136" i="3"/>
  <c r="AC136" i="3" s="1"/>
  <c r="AS136" i="3" s="1"/>
  <c r="H132" i="3"/>
  <c r="AI132" i="3" s="1"/>
  <c r="AB132" i="3"/>
  <c r="AC132" i="3" s="1"/>
  <c r="AS132" i="3" s="1"/>
  <c r="AB123" i="3"/>
  <c r="H123" i="3"/>
  <c r="AI123" i="3" s="1"/>
  <c r="AB113" i="3"/>
  <c r="H113" i="3"/>
  <c r="AI113" i="3" s="1"/>
  <c r="AB105" i="3"/>
  <c r="H105" i="3"/>
  <c r="AI105" i="3" s="1"/>
  <c r="AB98" i="3"/>
  <c r="H98" i="3"/>
  <c r="AI98" i="3" s="1"/>
  <c r="AB94" i="3"/>
  <c r="H94" i="3"/>
  <c r="AI94" i="3" s="1"/>
  <c r="AB87" i="3"/>
  <c r="H87" i="3"/>
  <c r="AI87" i="3" s="1"/>
  <c r="AB83" i="3"/>
  <c r="H83" i="3"/>
  <c r="AI83" i="3" s="1"/>
  <c r="AB79" i="3"/>
  <c r="H79" i="3"/>
  <c r="AI79" i="3" s="1"/>
  <c r="AB71" i="3"/>
  <c r="H71" i="3"/>
  <c r="AI71" i="3" s="1"/>
  <c r="AB64" i="3"/>
  <c r="H64" i="3"/>
  <c r="AI64" i="3" s="1"/>
  <c r="AB60" i="3"/>
  <c r="H60" i="3"/>
  <c r="AI60" i="3" s="1"/>
  <c r="AB56" i="3"/>
  <c r="H56" i="3"/>
  <c r="AI56" i="3" s="1"/>
  <c r="H49" i="3"/>
  <c r="AI49" i="3" s="1"/>
  <c r="AB49" i="3"/>
  <c r="AC49" i="3" s="1"/>
  <c r="AS49" i="3" s="1"/>
  <c r="AB42" i="3"/>
  <c r="H42" i="3"/>
  <c r="AI42" i="3" s="1"/>
  <c r="AB38" i="3"/>
  <c r="H38" i="3"/>
  <c r="AI38" i="3" s="1"/>
  <c r="H31" i="3"/>
  <c r="AI31" i="3" s="1"/>
  <c r="AB31" i="3"/>
  <c r="AC31" i="3" s="1"/>
  <c r="AS31" i="3" s="1"/>
  <c r="AL428" i="7"/>
  <c r="AL433" i="7"/>
  <c r="AQ433" i="7"/>
  <c r="V428" i="7"/>
  <c r="AQ428" i="7" s="1"/>
  <c r="H424" i="7"/>
  <c r="AI424" i="7" s="1"/>
  <c r="AB424" i="7"/>
  <c r="AB420" i="7"/>
  <c r="AC420" i="7" s="1"/>
  <c r="AS420" i="7" s="1"/>
  <c r="H420" i="7"/>
  <c r="AI420" i="7" s="1"/>
  <c r="AB416" i="7"/>
  <c r="AC416" i="7" s="1"/>
  <c r="AS416" i="7" s="1"/>
  <c r="H416" i="7"/>
  <c r="AI416" i="7" s="1"/>
  <c r="H414" i="7"/>
  <c r="AI414" i="7" s="1"/>
  <c r="AB414" i="7"/>
  <c r="H410" i="7"/>
  <c r="AI410" i="7" s="1"/>
  <c r="AB410" i="7"/>
  <c r="AB408" i="7"/>
  <c r="AC408" i="7" s="1"/>
  <c r="AS408" i="7" s="1"/>
  <c r="H408" i="7"/>
  <c r="AI408" i="7" s="1"/>
  <c r="H402" i="7"/>
  <c r="AI402" i="7" s="1"/>
  <c r="AB402" i="7"/>
  <c r="AB400" i="7"/>
  <c r="AC400" i="7" s="1"/>
  <c r="AS400" i="7" s="1"/>
  <c r="H400" i="7"/>
  <c r="AI400" i="7" s="1"/>
  <c r="H398" i="7"/>
  <c r="AI398" i="7" s="1"/>
  <c r="AB398" i="7"/>
  <c r="H394" i="7"/>
  <c r="AI394" i="7" s="1"/>
  <c r="AB394" i="7"/>
  <c r="AB392" i="7"/>
  <c r="AC392" i="7" s="1"/>
  <c r="AS392" i="7" s="1"/>
  <c r="H392" i="7"/>
  <c r="AI392" i="7" s="1"/>
  <c r="H390" i="7"/>
  <c r="AI390" i="7" s="1"/>
  <c r="AB390" i="7"/>
  <c r="AB388" i="7"/>
  <c r="AC388" i="7" s="1"/>
  <c r="AS388" i="7" s="1"/>
  <c r="H388" i="7"/>
  <c r="AI388" i="7" s="1"/>
  <c r="H386" i="7"/>
  <c r="AI386" i="7" s="1"/>
  <c r="AB386" i="7"/>
  <c r="AB381" i="7"/>
  <c r="AC381" i="7" s="1"/>
  <c r="AS381" i="7" s="1"/>
  <c r="H381" i="7"/>
  <c r="AI381" i="7" s="1"/>
  <c r="H379" i="7"/>
  <c r="AI379" i="7" s="1"/>
  <c r="AB379" i="7"/>
  <c r="AB377" i="7"/>
  <c r="AC377" i="7" s="1"/>
  <c r="AS377" i="7" s="1"/>
  <c r="AI383" i="7"/>
  <c r="H377" i="7"/>
  <c r="AI377" i="7" s="1"/>
  <c r="AB373" i="7"/>
  <c r="H373" i="7"/>
  <c r="AI373" i="7" s="1"/>
  <c r="H371" i="7"/>
  <c r="AI371" i="7" s="1"/>
  <c r="AB371" i="7"/>
  <c r="AC371" i="7" s="1"/>
  <c r="AS371" i="7" s="1"/>
  <c r="AI375" i="7"/>
  <c r="H369" i="7"/>
  <c r="AI369" i="7" s="1"/>
  <c r="AB369" i="7"/>
  <c r="AB365" i="7"/>
  <c r="AC365" i="7" s="1"/>
  <c r="AS365" i="7" s="1"/>
  <c r="H365" i="7"/>
  <c r="AI365" i="7" s="1"/>
  <c r="AB363" i="7"/>
  <c r="AC363" i="7" s="1"/>
  <c r="AS363" i="7" s="1"/>
  <c r="H363" i="7"/>
  <c r="AI363" i="7" s="1"/>
  <c r="AQ367" i="7"/>
  <c r="V361" i="7"/>
  <c r="AQ361" i="7" s="1"/>
  <c r="AQ440" i="7"/>
  <c r="V439" i="7"/>
  <c r="AQ439" i="7" s="1"/>
  <c r="AB437" i="7"/>
  <c r="AC437" i="7" s="1"/>
  <c r="AS437" i="7" s="1"/>
  <c r="H437" i="7"/>
  <c r="AI437" i="7" s="1"/>
  <c r="H431" i="7"/>
  <c r="AI431" i="7" s="1"/>
  <c r="AB431" i="7"/>
  <c r="AM428" i="7"/>
  <c r="H425" i="7"/>
  <c r="AI425" i="7" s="1"/>
  <c r="AB425" i="7"/>
  <c r="H421" i="7"/>
  <c r="AI421" i="7" s="1"/>
  <c r="AB421" i="7"/>
  <c r="AL361" i="7"/>
  <c r="AL367" i="7"/>
  <c r="AB358" i="7"/>
  <c r="H358" i="7"/>
  <c r="AI358" i="7" s="1"/>
  <c r="AB356" i="7"/>
  <c r="H356" i="7"/>
  <c r="AI356" i="7" s="1"/>
  <c r="AB354" i="7"/>
  <c r="H354" i="7"/>
  <c r="AI354" i="7" s="1"/>
  <c r="AM353" i="7"/>
  <c r="H350" i="7"/>
  <c r="AI350" i="7" s="1"/>
  <c r="AB350" i="7"/>
  <c r="H348" i="7"/>
  <c r="AI348" i="7" s="1"/>
  <c r="AB348" i="7"/>
  <c r="H346" i="7"/>
  <c r="AI346" i="7" s="1"/>
  <c r="AB346" i="7"/>
  <c r="AM345" i="7"/>
  <c r="AM351" i="7"/>
  <c r="H342" i="7"/>
  <c r="AI342" i="7" s="1"/>
  <c r="AB342" i="7"/>
  <c r="H340" i="7"/>
  <c r="AI340" i="7" s="1"/>
  <c r="AB340" i="7"/>
  <c r="H338" i="7"/>
  <c r="AI338" i="7" s="1"/>
  <c r="AB338" i="7"/>
  <c r="AM337" i="7"/>
  <c r="H332" i="7"/>
  <c r="AI332" i="7" s="1"/>
  <c r="AB332" i="7"/>
  <c r="H330" i="7"/>
  <c r="AI330" i="7" s="1"/>
  <c r="AB330" i="7"/>
  <c r="AM329" i="7"/>
  <c r="H326" i="7"/>
  <c r="AI326" i="7" s="1"/>
  <c r="AB326" i="7"/>
  <c r="H324" i="7"/>
  <c r="AI324" i="7" s="1"/>
  <c r="AB324" i="7"/>
  <c r="H322" i="7"/>
  <c r="AI322" i="7" s="1"/>
  <c r="AB322" i="7"/>
  <c r="AM321" i="7"/>
  <c r="H318" i="7"/>
  <c r="AI318" i="7" s="1"/>
  <c r="AB318" i="7"/>
  <c r="H316" i="7"/>
  <c r="AI316" i="7" s="1"/>
  <c r="AB316" i="7"/>
  <c r="H314" i="7"/>
  <c r="AI314" i="7" s="1"/>
  <c r="AB314" i="7"/>
  <c r="AM313" i="7"/>
  <c r="AM319" i="7"/>
  <c r="H310" i="7"/>
  <c r="AI310" i="7" s="1"/>
  <c r="AB310" i="7"/>
  <c r="H308" i="7"/>
  <c r="AI308" i="7" s="1"/>
  <c r="AB308" i="7"/>
  <c r="H306" i="7"/>
  <c r="AI306" i="7" s="1"/>
  <c r="AB306" i="7"/>
  <c r="AM305" i="7"/>
  <c r="AB294" i="7"/>
  <c r="H294" i="7"/>
  <c r="AI294" i="7" s="1"/>
  <c r="H292" i="7"/>
  <c r="AI292" i="7" s="1"/>
  <c r="AB292" i="7"/>
  <c r="AI296" i="7"/>
  <c r="H290" i="7"/>
  <c r="AI290" i="7" s="1"/>
  <c r="AB290" i="7"/>
  <c r="AL359" i="7"/>
  <c r="AL353" i="7"/>
  <c r="AL327" i="7"/>
  <c r="AL321" i="7"/>
  <c r="AL296" i="7"/>
  <c r="AL290" i="7"/>
  <c r="AQ250" i="7"/>
  <c r="V245" i="7"/>
  <c r="AQ245" i="7" s="1"/>
  <c r="AB240" i="7"/>
  <c r="H240" i="7"/>
  <c r="AI240" i="7" s="1"/>
  <c r="AB236" i="7"/>
  <c r="H236" i="7"/>
  <c r="AI236" i="7" s="1"/>
  <c r="H163" i="7"/>
  <c r="AI163" i="7" s="1"/>
  <c r="AB163" i="7"/>
  <c r="AI149" i="7"/>
  <c r="AB144" i="7"/>
  <c r="H144" i="7"/>
  <c r="AI144" i="7" s="1"/>
  <c r="H124" i="7"/>
  <c r="AI124" i="7" s="1"/>
  <c r="AB124" i="7"/>
  <c r="AB114" i="7"/>
  <c r="H114" i="7"/>
  <c r="AI114" i="7" s="1"/>
  <c r="AB112" i="7"/>
  <c r="H112" i="7"/>
  <c r="AI112" i="7" s="1"/>
  <c r="AM116" i="7"/>
  <c r="O111" i="7"/>
  <c r="AM111" i="7" s="1"/>
  <c r="AB99" i="7"/>
  <c r="H99" i="7"/>
  <c r="AI99" i="7" s="1"/>
  <c r="AB97" i="7"/>
  <c r="H97" i="7"/>
  <c r="AI97" i="7" s="1"/>
  <c r="AB95" i="7"/>
  <c r="H95" i="7"/>
  <c r="AI95" i="7" s="1"/>
  <c r="AB93" i="7"/>
  <c r="H93" i="7"/>
  <c r="AI93" i="7" s="1"/>
  <c r="AB88" i="7"/>
  <c r="H88" i="7"/>
  <c r="AI88" i="7" s="1"/>
  <c r="AB86" i="7"/>
  <c r="H86" i="7"/>
  <c r="AI86" i="7" s="1"/>
  <c r="AB84" i="7"/>
  <c r="H84" i="7"/>
  <c r="AI84" i="7" s="1"/>
  <c r="AB82" i="7"/>
  <c r="H82" i="7"/>
  <c r="AI82" i="7" s="1"/>
  <c r="AB80" i="7"/>
  <c r="H80" i="7"/>
  <c r="AI80" i="7" s="1"/>
  <c r="AB78" i="7"/>
  <c r="H78" i="7"/>
  <c r="AI78" i="7" s="1"/>
  <c r="O47" i="7"/>
  <c r="AM47" i="7" s="1"/>
  <c r="O19" i="7"/>
  <c r="AM19" i="7" s="1"/>
  <c r="O44" i="7"/>
  <c r="AM44" i="7" s="1"/>
  <c r="O74" i="7"/>
  <c r="AM74" i="7" s="1"/>
  <c r="O241" i="7"/>
  <c r="AM241" i="7" s="1"/>
  <c r="O232" i="7"/>
  <c r="AM232" i="7" s="1"/>
  <c r="O249" i="7"/>
  <c r="AM249" i="7" s="1"/>
  <c r="O212" i="7"/>
  <c r="AM212" i="7" s="1"/>
  <c r="O199" i="7"/>
  <c r="AM199" i="7" s="1"/>
  <c r="O148" i="7"/>
  <c r="AM148" i="7" s="1"/>
  <c r="O125" i="7"/>
  <c r="AM125" i="7" s="1"/>
  <c r="O51" i="7"/>
  <c r="AM51" i="7" s="1"/>
  <c r="O270" i="7"/>
  <c r="AM270" i="7" s="1"/>
  <c r="O295" i="7"/>
  <c r="AM295" i="7" s="1"/>
  <c r="O35" i="7"/>
  <c r="AM35" i="7" s="1"/>
  <c r="O27" i="7"/>
  <c r="O218" i="7"/>
  <c r="AM218" i="7" s="1"/>
  <c r="O206" i="7"/>
  <c r="AM206" i="7" s="1"/>
  <c r="O191" i="7"/>
  <c r="AM191" i="7" s="1"/>
  <c r="O107" i="7"/>
  <c r="AM107" i="7" s="1"/>
  <c r="O115" i="7"/>
  <c r="AM115" i="7" s="1"/>
  <c r="O172" i="7"/>
  <c r="AM172" i="7" s="1"/>
  <c r="O179" i="7"/>
  <c r="AM179" i="7" s="1"/>
  <c r="O261" i="7"/>
  <c r="AM261" i="7" s="1"/>
  <c r="AB73" i="7"/>
  <c r="H73" i="7"/>
  <c r="AI73" i="7" s="1"/>
  <c r="O72" i="7"/>
  <c r="AM72" i="7" s="1"/>
  <c r="AB71" i="7"/>
  <c r="H71" i="7"/>
  <c r="AI71" i="7" s="1"/>
  <c r="O70" i="7"/>
  <c r="AM70" i="7" s="1"/>
  <c r="AB69" i="7"/>
  <c r="H69" i="7"/>
  <c r="AI69" i="7" s="1"/>
  <c r="O68" i="7"/>
  <c r="AM68" i="7" s="1"/>
  <c r="AB64" i="7"/>
  <c r="H64" i="7"/>
  <c r="AI64" i="7" s="1"/>
  <c r="O63" i="7"/>
  <c r="AM63" i="7" s="1"/>
  <c r="AB62" i="7"/>
  <c r="H62" i="7"/>
  <c r="AI62" i="7" s="1"/>
  <c r="O61" i="7"/>
  <c r="AM61" i="7" s="1"/>
  <c r="AB60" i="7"/>
  <c r="H60" i="7"/>
  <c r="AI60" i="7" s="1"/>
  <c r="O59" i="7"/>
  <c r="AM59" i="7" s="1"/>
  <c r="AB58" i="7"/>
  <c r="H58" i="7"/>
  <c r="AI58" i="7" s="1"/>
  <c r="O57" i="7"/>
  <c r="AM57" i="7" s="1"/>
  <c r="AB56" i="7"/>
  <c r="H56" i="7"/>
  <c r="AI56" i="7" s="1"/>
  <c r="O55" i="7"/>
  <c r="AM55" i="7" s="1"/>
  <c r="AB54" i="7"/>
  <c r="H54" i="7"/>
  <c r="AI54" i="7" s="1"/>
  <c r="O50" i="7"/>
  <c r="AM50" i="7" s="1"/>
  <c r="AB49" i="7"/>
  <c r="H49" i="7"/>
  <c r="AI49" i="7" s="1"/>
  <c r="O48" i="7"/>
  <c r="AM48" i="7" s="1"/>
  <c r="AI52" i="7"/>
  <c r="AB47" i="7"/>
  <c r="H47" i="7"/>
  <c r="AI47" i="7" s="1"/>
  <c r="AB42" i="7"/>
  <c r="H42" i="7"/>
  <c r="AI42" i="7" s="1"/>
  <c r="O41" i="7"/>
  <c r="AM41" i="7" s="1"/>
  <c r="AB40" i="7"/>
  <c r="H40" i="7"/>
  <c r="AI40" i="7" s="1"/>
  <c r="O39" i="7"/>
  <c r="AM39" i="7" s="1"/>
  <c r="AB38" i="7"/>
  <c r="H38" i="7"/>
  <c r="AI38" i="7" s="1"/>
  <c r="O34" i="7"/>
  <c r="AM34" i="7" s="1"/>
  <c r="AB33" i="7"/>
  <c r="H33" i="7"/>
  <c r="AI33" i="7" s="1"/>
  <c r="O30" i="7"/>
  <c r="AM30" i="7" s="1"/>
  <c r="AB26" i="7"/>
  <c r="H26" i="7"/>
  <c r="AI26" i="7" s="1"/>
  <c r="O23" i="7"/>
  <c r="AM23" i="7" s="1"/>
  <c r="AB18" i="7"/>
  <c r="H18" i="7"/>
  <c r="AI18" i="7" s="1"/>
  <c r="O15" i="7"/>
  <c r="AM15" i="7" s="1"/>
  <c r="V451" i="6"/>
  <c r="AQ451" i="6" s="1"/>
  <c r="V449" i="6"/>
  <c r="AQ449" i="6" s="1"/>
  <c r="V447" i="6"/>
  <c r="AQ447" i="6" s="1"/>
  <c r="V445" i="6"/>
  <c r="AQ445" i="6" s="1"/>
  <c r="V443" i="6"/>
  <c r="AQ443" i="6" s="1"/>
  <c r="AQ296" i="6"/>
  <c r="V290" i="6"/>
  <c r="AQ290" i="6" s="1"/>
  <c r="V285" i="6"/>
  <c r="AQ285" i="6" s="1"/>
  <c r="V283" i="6"/>
  <c r="AQ283" i="6" s="1"/>
  <c r="V281" i="6"/>
  <c r="AQ281" i="6" s="1"/>
  <c r="V279" i="6"/>
  <c r="AQ279" i="6" s="1"/>
  <c r="V277" i="6"/>
  <c r="AQ277" i="6" s="1"/>
  <c r="V275" i="6"/>
  <c r="AQ275" i="6" s="1"/>
  <c r="V273" i="6"/>
  <c r="AQ273" i="6" s="1"/>
  <c r="V268" i="6"/>
  <c r="AQ268" i="6" s="1"/>
  <c r="V266" i="6"/>
  <c r="AQ266" i="6" s="1"/>
  <c r="V264" i="6"/>
  <c r="AQ264" i="6" s="1"/>
  <c r="V259" i="6"/>
  <c r="AQ259" i="6" s="1"/>
  <c r="V257" i="6"/>
  <c r="AQ257" i="6" s="1"/>
  <c r="V255" i="6"/>
  <c r="AQ255" i="6" s="1"/>
  <c r="V253" i="6"/>
  <c r="AQ253" i="6" s="1"/>
  <c r="V248" i="6"/>
  <c r="AQ248" i="6" s="1"/>
  <c r="V246" i="6"/>
  <c r="AQ246" i="6" s="1"/>
  <c r="V244" i="6"/>
  <c r="AQ244" i="6" s="1"/>
  <c r="V239" i="6"/>
  <c r="AQ239" i="6" s="1"/>
  <c r="V237" i="6"/>
  <c r="AQ237" i="6" s="1"/>
  <c r="V235" i="6"/>
  <c r="AQ235" i="6" s="1"/>
  <c r="V230" i="6"/>
  <c r="AQ230" i="6" s="1"/>
  <c r="V228" i="6"/>
  <c r="AQ228" i="6" s="1"/>
  <c r="V226" i="6"/>
  <c r="AQ226" i="6" s="1"/>
  <c r="V224" i="6"/>
  <c r="AQ224" i="6" s="1"/>
  <c r="V222" i="6"/>
  <c r="AQ222" i="6" s="1"/>
  <c r="V216" i="6"/>
  <c r="AQ216" i="6" s="1"/>
  <c r="V211" i="6"/>
  <c r="AQ211" i="6" s="1"/>
  <c r="V209" i="6"/>
  <c r="AQ209" i="6" s="1"/>
  <c r="V204" i="6"/>
  <c r="AQ204" i="6" s="1"/>
  <c r="V202" i="6"/>
  <c r="AQ202" i="6" s="1"/>
  <c r="V197" i="6"/>
  <c r="AQ197" i="6" s="1"/>
  <c r="V195" i="6"/>
  <c r="AQ195" i="6" s="1"/>
  <c r="V189" i="6"/>
  <c r="AQ189" i="6" s="1"/>
  <c r="V187" i="6"/>
  <c r="AQ187" i="6" s="1"/>
  <c r="V185" i="6"/>
  <c r="AQ185" i="6" s="1"/>
  <c r="V183" i="6"/>
  <c r="AQ183" i="6" s="1"/>
  <c r="V178" i="6"/>
  <c r="AQ178" i="6" s="1"/>
  <c r="V176" i="6"/>
  <c r="AQ176" i="6" s="1"/>
  <c r="V171" i="6"/>
  <c r="AQ171" i="6" s="1"/>
  <c r="V169" i="6"/>
  <c r="AQ169" i="6" s="1"/>
  <c r="V164" i="6"/>
  <c r="AQ164" i="6" s="1"/>
  <c r="V162" i="6"/>
  <c r="AQ162" i="6" s="1"/>
  <c r="V160" i="6"/>
  <c r="AQ160" i="6" s="1"/>
  <c r="V158" i="6"/>
  <c r="AQ158" i="6" s="1"/>
  <c r="V156" i="6"/>
  <c r="AQ156" i="6" s="1"/>
  <c r="V154" i="6"/>
  <c r="AQ154" i="6" s="1"/>
  <c r="V147" i="6"/>
  <c r="AQ147" i="6" s="1"/>
  <c r="V145" i="6"/>
  <c r="AQ145" i="6" s="1"/>
  <c r="AB32" i="7"/>
  <c r="H32" i="7"/>
  <c r="AI32" i="7" s="1"/>
  <c r="AB25" i="7"/>
  <c r="H25" i="7"/>
  <c r="AI25" i="7" s="1"/>
  <c r="AB17" i="7"/>
  <c r="H17" i="7"/>
  <c r="AI17" i="7" s="1"/>
  <c r="V47" i="7"/>
  <c r="AQ47" i="7" s="1"/>
  <c r="V19" i="7"/>
  <c r="AQ19" i="7" s="1"/>
  <c r="V107" i="7"/>
  <c r="AQ107" i="7" s="1"/>
  <c r="V115" i="7"/>
  <c r="AQ115" i="7" s="1"/>
  <c r="V249" i="7"/>
  <c r="AQ249" i="7" s="1"/>
  <c r="V241" i="7"/>
  <c r="AQ241" i="7" s="1"/>
  <c r="V232" i="7"/>
  <c r="AQ232" i="7" s="1"/>
  <c r="V218" i="7"/>
  <c r="AQ218" i="7" s="1"/>
  <c r="V206" i="7"/>
  <c r="AQ206" i="7" s="1"/>
  <c r="V191" i="7"/>
  <c r="AQ191" i="7" s="1"/>
  <c r="V148" i="7"/>
  <c r="AQ148" i="7" s="1"/>
  <c r="V51" i="7"/>
  <c r="AQ51" i="7" s="1"/>
  <c r="V125" i="7"/>
  <c r="AQ125" i="7" s="1"/>
  <c r="V179" i="7"/>
  <c r="AQ179" i="7" s="1"/>
  <c r="V172" i="7"/>
  <c r="AQ172" i="7" s="1"/>
  <c r="V270" i="7"/>
  <c r="AQ270" i="7" s="1"/>
  <c r="V27" i="7"/>
  <c r="V212" i="7"/>
  <c r="AQ212" i="7" s="1"/>
  <c r="V199" i="7"/>
  <c r="AQ199" i="7" s="1"/>
  <c r="V44" i="7"/>
  <c r="AQ44" i="7" s="1"/>
  <c r="V74" i="7"/>
  <c r="AQ74" i="7" s="1"/>
  <c r="V261" i="7"/>
  <c r="AQ261" i="7" s="1"/>
  <c r="V295" i="7"/>
  <c r="AQ295" i="7" s="1"/>
  <c r="V35" i="7"/>
  <c r="AQ35" i="7" s="1"/>
  <c r="V40" i="7"/>
  <c r="AQ40" i="7" s="1"/>
  <c r="V139" i="6"/>
  <c r="AQ139" i="6" s="1"/>
  <c r="V137" i="6"/>
  <c r="AQ137" i="6" s="1"/>
  <c r="V135" i="6"/>
  <c r="AQ135" i="6" s="1"/>
  <c r="V133" i="6"/>
  <c r="AQ133" i="6" s="1"/>
  <c r="V131" i="6"/>
  <c r="AQ131" i="6" s="1"/>
  <c r="V124" i="6"/>
  <c r="AQ124" i="6" s="1"/>
  <c r="V122" i="6"/>
  <c r="AQ122" i="6" s="1"/>
  <c r="V114" i="6"/>
  <c r="AQ114" i="6" s="1"/>
  <c r="V112" i="6"/>
  <c r="AQ112" i="6" s="1"/>
  <c r="V106" i="6"/>
  <c r="AQ106" i="6" s="1"/>
  <c r="V104" i="6"/>
  <c r="AQ104" i="6" s="1"/>
  <c r="V99" i="6"/>
  <c r="AQ99" i="6" s="1"/>
  <c r="V97" i="6"/>
  <c r="AQ97" i="6" s="1"/>
  <c r="V95" i="6"/>
  <c r="AQ95" i="6" s="1"/>
  <c r="V93" i="6"/>
  <c r="AQ93" i="6" s="1"/>
  <c r="V88" i="6"/>
  <c r="AQ88" i="6" s="1"/>
  <c r="V86" i="6"/>
  <c r="AQ86" i="6" s="1"/>
  <c r="V84" i="6"/>
  <c r="AQ84" i="6" s="1"/>
  <c r="V82" i="6"/>
  <c r="AQ82" i="6" s="1"/>
  <c r="V80" i="6"/>
  <c r="AQ80" i="6" s="1"/>
  <c r="V78" i="6"/>
  <c r="AQ78" i="6" s="1"/>
  <c r="V72" i="6"/>
  <c r="AQ72" i="6" s="1"/>
  <c r="V70" i="6"/>
  <c r="AQ70" i="6" s="1"/>
  <c r="V68" i="6"/>
  <c r="AQ68" i="6" s="1"/>
  <c r="V63" i="6"/>
  <c r="AQ63" i="6" s="1"/>
  <c r="V61" i="6"/>
  <c r="AQ61" i="6" s="1"/>
  <c r="V59" i="6"/>
  <c r="AQ59" i="6" s="1"/>
  <c r="V57" i="6"/>
  <c r="AQ57" i="6" s="1"/>
  <c r="V55" i="6"/>
  <c r="AQ55" i="6" s="1"/>
  <c r="V50" i="6"/>
  <c r="AQ50" i="6" s="1"/>
  <c r="V48" i="6"/>
  <c r="AQ48" i="6" s="1"/>
  <c r="V43" i="6"/>
  <c r="AQ43" i="6" s="1"/>
  <c r="V41" i="6"/>
  <c r="AQ41" i="6" s="1"/>
  <c r="V39" i="6"/>
  <c r="AQ39" i="6" s="1"/>
  <c r="V34" i="6"/>
  <c r="AQ34" i="6" s="1"/>
  <c r="V32" i="6"/>
  <c r="AQ32" i="6" s="1"/>
  <c r="V30" i="6"/>
  <c r="AQ30" i="6" s="1"/>
  <c r="V25" i="6"/>
  <c r="AQ25" i="6" s="1"/>
  <c r="V23" i="6"/>
  <c r="AQ23" i="6" s="1"/>
  <c r="V15" i="6"/>
  <c r="AQ15" i="6" s="1"/>
  <c r="O452" i="6"/>
  <c r="AM452" i="6" s="1"/>
  <c r="O451" i="6"/>
  <c r="AM451" i="6" s="1"/>
  <c r="O450" i="6"/>
  <c r="AM450" i="6" s="1"/>
  <c r="O449" i="6"/>
  <c r="AM449" i="6" s="1"/>
  <c r="O448" i="6"/>
  <c r="AM448" i="6" s="1"/>
  <c r="O447" i="6"/>
  <c r="AM447" i="6" s="1"/>
  <c r="O446" i="6"/>
  <c r="AM446" i="6" s="1"/>
  <c r="O445" i="6"/>
  <c r="AM445" i="6" s="1"/>
  <c r="O444" i="6"/>
  <c r="AM444" i="6" s="1"/>
  <c r="O443" i="6"/>
  <c r="AM443" i="6" s="1"/>
  <c r="O442" i="6"/>
  <c r="AM442" i="6" s="1"/>
  <c r="O435" i="6"/>
  <c r="AM435" i="6" s="1"/>
  <c r="O403" i="6"/>
  <c r="AM403" i="6" s="1"/>
  <c r="O402" i="6"/>
  <c r="AM402" i="6" s="1"/>
  <c r="AK377" i="6"/>
  <c r="AK383" i="6"/>
  <c r="AK353" i="6"/>
  <c r="AK359" i="6"/>
  <c r="AK351" i="6"/>
  <c r="AK345" i="6"/>
  <c r="AK335" i="6"/>
  <c r="AK329" i="6"/>
  <c r="AK319" i="6"/>
  <c r="AK313" i="6"/>
  <c r="AL296" i="6"/>
  <c r="AL290" i="6"/>
  <c r="O269" i="6"/>
  <c r="AM269" i="6" s="1"/>
  <c r="O268" i="6"/>
  <c r="AM268" i="6" s="1"/>
  <c r="O267" i="6"/>
  <c r="AM267" i="6" s="1"/>
  <c r="O266" i="6"/>
  <c r="AM266" i="6" s="1"/>
  <c r="O265" i="6"/>
  <c r="AM265" i="6" s="1"/>
  <c r="O264" i="6"/>
  <c r="AM264" i="6" s="1"/>
  <c r="O244" i="6"/>
  <c r="AM244" i="6" s="1"/>
  <c r="O231" i="6"/>
  <c r="AM231" i="6" s="1"/>
  <c r="O230" i="6"/>
  <c r="AM230" i="6" s="1"/>
  <c r="O229" i="6"/>
  <c r="AM229" i="6" s="1"/>
  <c r="O228" i="6"/>
  <c r="AM228" i="6" s="1"/>
  <c r="O227" i="6"/>
  <c r="AM227" i="6" s="1"/>
  <c r="O226" i="6"/>
  <c r="AM226" i="6" s="1"/>
  <c r="O225" i="6"/>
  <c r="AM225" i="6" s="1"/>
  <c r="O224" i="6"/>
  <c r="AM224" i="6" s="1"/>
  <c r="O223" i="6"/>
  <c r="AM223" i="6" s="1"/>
  <c r="O222" i="6"/>
  <c r="AM222" i="6" s="1"/>
  <c r="O217" i="6"/>
  <c r="AM217" i="6" s="1"/>
  <c r="O216" i="6"/>
  <c r="AM216" i="6" s="1"/>
  <c r="O215" i="6"/>
  <c r="AM215" i="6" s="1"/>
  <c r="O182" i="6"/>
  <c r="AM182" i="6" s="1"/>
  <c r="AM116" i="6"/>
  <c r="O111" i="6"/>
  <c r="AM111" i="6" s="1"/>
  <c r="O73" i="6"/>
  <c r="AM73" i="6" s="1"/>
  <c r="O72" i="6"/>
  <c r="AM72" i="6" s="1"/>
  <c r="O71" i="6"/>
  <c r="AM71" i="6" s="1"/>
  <c r="O70" i="6"/>
  <c r="AM70" i="6" s="1"/>
  <c r="O69" i="6"/>
  <c r="AM69" i="6" s="1"/>
  <c r="O68" i="6"/>
  <c r="AM68" i="6" s="1"/>
  <c r="O64" i="6"/>
  <c r="AM64" i="6" s="1"/>
  <c r="O63" i="6"/>
  <c r="AM63" i="6" s="1"/>
  <c r="O62" i="6"/>
  <c r="AM62" i="6" s="1"/>
  <c r="O61" i="6"/>
  <c r="AM61" i="6" s="1"/>
  <c r="O60" i="6"/>
  <c r="AM60" i="6" s="1"/>
  <c r="O59" i="6"/>
  <c r="AM59" i="6" s="1"/>
  <c r="O58" i="6"/>
  <c r="AM58" i="6" s="1"/>
  <c r="O57" i="6"/>
  <c r="AM57" i="6" s="1"/>
  <c r="O56" i="6"/>
  <c r="AM56" i="6" s="1"/>
  <c r="O55" i="6"/>
  <c r="AM55" i="6" s="1"/>
  <c r="O54" i="6"/>
  <c r="AM54" i="6" s="1"/>
  <c r="O47" i="6"/>
  <c r="AM47" i="6" s="1"/>
  <c r="AM52" i="6"/>
  <c r="O34" i="6"/>
  <c r="AM34" i="6" s="1"/>
  <c r="O33" i="6"/>
  <c r="AM33" i="6" s="1"/>
  <c r="O32" i="6"/>
  <c r="AM32" i="6" s="1"/>
  <c r="O31" i="6"/>
  <c r="AM31" i="6" s="1"/>
  <c r="O30" i="6"/>
  <c r="AM30" i="6" s="1"/>
  <c r="O26" i="6"/>
  <c r="AM26" i="6" s="1"/>
  <c r="O25" i="6"/>
  <c r="AM25" i="6" s="1"/>
  <c r="O24" i="6"/>
  <c r="AM24" i="6" s="1"/>
  <c r="O16" i="6"/>
  <c r="AM16" i="6" s="1"/>
  <c r="V424" i="3"/>
  <c r="AQ424" i="3" s="1"/>
  <c r="V422" i="3"/>
  <c r="AQ422" i="3" s="1"/>
  <c r="V420" i="3"/>
  <c r="AQ420" i="3" s="1"/>
  <c r="V416" i="3"/>
  <c r="AQ416" i="3" s="1"/>
  <c r="V414" i="3"/>
  <c r="AQ414" i="3" s="1"/>
  <c r="V410" i="3"/>
  <c r="AQ410" i="3" s="1"/>
  <c r="V408" i="3"/>
  <c r="AQ408" i="3" s="1"/>
  <c r="V404" i="3"/>
  <c r="AQ404" i="3" s="1"/>
  <c r="V402" i="3"/>
  <c r="AQ402" i="3" s="1"/>
  <c r="V400" i="3"/>
  <c r="AQ400" i="3" s="1"/>
  <c r="V398" i="3"/>
  <c r="AQ398" i="3" s="1"/>
  <c r="V394" i="3"/>
  <c r="AQ394" i="3" s="1"/>
  <c r="V392" i="3"/>
  <c r="AQ392" i="3" s="1"/>
  <c r="V390" i="3"/>
  <c r="AQ390" i="3" s="1"/>
  <c r="V388" i="3"/>
  <c r="AQ388" i="3" s="1"/>
  <c r="V386" i="3"/>
  <c r="AQ386" i="3" s="1"/>
  <c r="V381" i="3"/>
  <c r="AQ381" i="3" s="1"/>
  <c r="V379" i="3"/>
  <c r="AQ379" i="3" s="1"/>
  <c r="AQ375" i="3"/>
  <c r="V369" i="3"/>
  <c r="AQ369" i="3" s="1"/>
  <c r="V363" i="3"/>
  <c r="AQ363" i="3" s="1"/>
  <c r="V361" i="3"/>
  <c r="AQ361" i="3" s="1"/>
  <c r="AQ367" i="3"/>
  <c r="AQ359" i="3"/>
  <c r="V353" i="3"/>
  <c r="AQ353" i="3" s="1"/>
  <c r="V349" i="3"/>
  <c r="AQ349" i="3" s="1"/>
  <c r="V347" i="3"/>
  <c r="AQ347" i="3" s="1"/>
  <c r="V333" i="3"/>
  <c r="AQ333" i="3" s="1"/>
  <c r="V331" i="3"/>
  <c r="AQ331" i="3" s="1"/>
  <c r="V317" i="3"/>
  <c r="AQ317" i="3" s="1"/>
  <c r="V315" i="3"/>
  <c r="AQ315" i="3" s="1"/>
  <c r="V293" i="3"/>
  <c r="AQ293" i="3" s="1"/>
  <c r="V291" i="3"/>
  <c r="AQ291" i="3" s="1"/>
  <c r="V286" i="3"/>
  <c r="AQ286" i="3" s="1"/>
  <c r="V284" i="3"/>
  <c r="AQ284" i="3" s="1"/>
  <c r="AB358" i="6"/>
  <c r="H358" i="6"/>
  <c r="AI358" i="6" s="1"/>
  <c r="AB357" i="6"/>
  <c r="H357" i="6"/>
  <c r="AI357" i="6" s="1"/>
  <c r="H356" i="6"/>
  <c r="AI356" i="6" s="1"/>
  <c r="AB356" i="6"/>
  <c r="AB355" i="6"/>
  <c r="H355" i="6"/>
  <c r="AI355" i="6" s="1"/>
  <c r="AB354" i="6"/>
  <c r="H354" i="6"/>
  <c r="AI354" i="6" s="1"/>
  <c r="AI359" i="6"/>
  <c r="H353" i="6"/>
  <c r="AI353" i="6" s="1"/>
  <c r="AB353" i="6"/>
  <c r="AB334" i="6"/>
  <c r="H334" i="6"/>
  <c r="AI334" i="6" s="1"/>
  <c r="AB333" i="6"/>
  <c r="H333" i="6"/>
  <c r="AI333" i="6" s="1"/>
  <c r="AB332" i="6"/>
  <c r="H332" i="6"/>
  <c r="AI332" i="6" s="1"/>
  <c r="AB331" i="6"/>
  <c r="H331" i="6"/>
  <c r="AI331" i="6" s="1"/>
  <c r="AB330" i="6"/>
  <c r="H330" i="6"/>
  <c r="AI330" i="6" s="1"/>
  <c r="AB294" i="6"/>
  <c r="H294" i="6"/>
  <c r="AI294" i="6" s="1"/>
  <c r="AB293" i="6"/>
  <c r="H293" i="6"/>
  <c r="AI293" i="6" s="1"/>
  <c r="H292" i="6"/>
  <c r="AI292" i="6" s="1"/>
  <c r="AB292" i="6"/>
  <c r="H291" i="6"/>
  <c r="AI291" i="6" s="1"/>
  <c r="AB291" i="6"/>
  <c r="AB269" i="6"/>
  <c r="H269" i="6"/>
  <c r="AI269" i="6" s="1"/>
  <c r="H268" i="6"/>
  <c r="AI268" i="6" s="1"/>
  <c r="AB268" i="6"/>
  <c r="AB267" i="6"/>
  <c r="H267" i="6"/>
  <c r="AI267" i="6" s="1"/>
  <c r="AB266" i="6"/>
  <c r="H266" i="6"/>
  <c r="AI266" i="6" s="1"/>
  <c r="AB265" i="6"/>
  <c r="H265" i="6"/>
  <c r="AI265" i="6" s="1"/>
  <c r="H264" i="6"/>
  <c r="AI264" i="6" s="1"/>
  <c r="AB264" i="6"/>
  <c r="AB248" i="6"/>
  <c r="H248" i="6"/>
  <c r="AI248" i="6" s="1"/>
  <c r="H247" i="6"/>
  <c r="AI247" i="6" s="1"/>
  <c r="AB247" i="6"/>
  <c r="AB246" i="6"/>
  <c r="H246" i="6"/>
  <c r="AI246" i="6" s="1"/>
  <c r="AI250" i="6"/>
  <c r="AB245" i="6"/>
  <c r="H245" i="6"/>
  <c r="AI245" i="6" s="1"/>
  <c r="O139" i="6"/>
  <c r="AM139" i="6" s="1"/>
  <c r="O137" i="6"/>
  <c r="AM137" i="6" s="1"/>
  <c r="O135" i="6"/>
  <c r="AM135" i="6" s="1"/>
  <c r="O133" i="6"/>
  <c r="AM133" i="6" s="1"/>
  <c r="O131" i="6"/>
  <c r="AM131" i="6" s="1"/>
  <c r="O98" i="6"/>
  <c r="AM98" i="6" s="1"/>
  <c r="O96" i="6"/>
  <c r="AM96" i="6" s="1"/>
  <c r="O94" i="6"/>
  <c r="AM94" i="6" s="1"/>
  <c r="O92" i="6"/>
  <c r="AM92" i="6" s="1"/>
  <c r="O87" i="6"/>
  <c r="AM87" i="6" s="1"/>
  <c r="O85" i="6"/>
  <c r="AM85" i="6" s="1"/>
  <c r="O83" i="6"/>
  <c r="AM83" i="6" s="1"/>
  <c r="O81" i="6"/>
  <c r="AM81" i="6" s="1"/>
  <c r="O79" i="6"/>
  <c r="AM79" i="6" s="1"/>
  <c r="AB24" i="3"/>
  <c r="H24" i="3"/>
  <c r="AI24" i="3" s="1"/>
  <c r="O177" i="6"/>
  <c r="AM177" i="6" s="1"/>
  <c r="O175" i="6"/>
  <c r="AM175" i="6" s="1"/>
  <c r="O146" i="6"/>
  <c r="AM146" i="6" s="1"/>
  <c r="AM126" i="6"/>
  <c r="O121" i="6"/>
  <c r="AM121" i="6" s="1"/>
  <c r="AI52" i="6"/>
  <c r="AB47" i="6"/>
  <c r="H47" i="6"/>
  <c r="AI47" i="6" s="1"/>
  <c r="O18" i="6"/>
  <c r="AM18" i="6" s="1"/>
  <c r="H16" i="6"/>
  <c r="AI16" i="6" s="1"/>
  <c r="H51" i="6"/>
  <c r="AI51" i="6" s="1"/>
  <c r="H172" i="6"/>
  <c r="AI172" i="6" s="1"/>
  <c r="H179" i="6"/>
  <c r="AI179" i="6" s="1"/>
  <c r="H249" i="6"/>
  <c r="AI249" i="6" s="1"/>
  <c r="H232" i="6"/>
  <c r="AI232" i="6" s="1"/>
  <c r="H261" i="6"/>
  <c r="AI261" i="6" s="1"/>
  <c r="H27" i="6"/>
  <c r="H35" i="6"/>
  <c r="AI35" i="6" s="1"/>
  <c r="H212" i="6"/>
  <c r="AI212" i="6" s="1"/>
  <c r="H241" i="6"/>
  <c r="AI241" i="6" s="1"/>
  <c r="H270" i="6"/>
  <c r="AI270" i="6" s="1"/>
  <c r="H74" i="6"/>
  <c r="AI74" i="6" s="1"/>
  <c r="H19" i="6"/>
  <c r="AI19" i="6" s="1"/>
  <c r="H199" i="6"/>
  <c r="AI199" i="6" s="1"/>
  <c r="H218" i="6"/>
  <c r="AI218" i="6" s="1"/>
  <c r="H206" i="6"/>
  <c r="AI206" i="6" s="1"/>
  <c r="H191" i="6"/>
  <c r="AI191" i="6" s="1"/>
  <c r="H148" i="6"/>
  <c r="AI148" i="6" s="1"/>
  <c r="H125" i="6"/>
  <c r="AI125" i="6" s="1"/>
  <c r="H107" i="6"/>
  <c r="AI107" i="6" s="1"/>
  <c r="H44" i="6"/>
  <c r="AI44" i="6" s="1"/>
  <c r="H295" i="6"/>
  <c r="AI295" i="6" s="1"/>
  <c r="H115" i="6"/>
  <c r="AI115" i="6" s="1"/>
  <c r="AC5" i="6"/>
  <c r="V282" i="3"/>
  <c r="AQ282" i="3" s="1"/>
  <c r="V280" i="3"/>
  <c r="AQ280" i="3" s="1"/>
  <c r="V278" i="3"/>
  <c r="AQ278" i="3" s="1"/>
  <c r="V276" i="3"/>
  <c r="AQ276" i="3" s="1"/>
  <c r="V274" i="3"/>
  <c r="AQ274" i="3" s="1"/>
  <c r="V269" i="3"/>
  <c r="AQ269" i="3" s="1"/>
  <c r="V267" i="3"/>
  <c r="AQ267" i="3" s="1"/>
  <c r="V265" i="3"/>
  <c r="AQ265" i="3" s="1"/>
  <c r="V260" i="3"/>
  <c r="AQ260" i="3" s="1"/>
  <c r="V258" i="3"/>
  <c r="AQ258" i="3" s="1"/>
  <c r="V256" i="3"/>
  <c r="AQ256" i="3" s="1"/>
  <c r="V254" i="3"/>
  <c r="AQ254" i="3" s="1"/>
  <c r="V252" i="3"/>
  <c r="AQ252" i="3" s="1"/>
  <c r="V247" i="3"/>
  <c r="AQ247" i="3" s="1"/>
  <c r="V139" i="3"/>
  <c r="AQ139" i="3" s="1"/>
  <c r="V137" i="3"/>
  <c r="AQ137" i="3" s="1"/>
  <c r="V135" i="3"/>
  <c r="AQ135" i="3" s="1"/>
  <c r="V133" i="3"/>
  <c r="AQ133" i="3" s="1"/>
  <c r="V131" i="3"/>
  <c r="AQ131" i="3" s="1"/>
  <c r="V124" i="3"/>
  <c r="AQ124" i="3" s="1"/>
  <c r="V122" i="3"/>
  <c r="AQ122" i="3" s="1"/>
  <c r="V114" i="3"/>
  <c r="AQ114" i="3" s="1"/>
  <c r="V112" i="3"/>
  <c r="AQ112" i="3" s="1"/>
  <c r="V106" i="3"/>
  <c r="AQ106" i="3" s="1"/>
  <c r="V104" i="3"/>
  <c r="AQ104" i="3" s="1"/>
  <c r="V99" i="3"/>
  <c r="AQ99" i="3" s="1"/>
  <c r="V97" i="3"/>
  <c r="AQ97" i="3" s="1"/>
  <c r="V95" i="3"/>
  <c r="AQ95" i="3" s="1"/>
  <c r="V93" i="3"/>
  <c r="AQ93" i="3" s="1"/>
  <c r="V88" i="3"/>
  <c r="AQ88" i="3" s="1"/>
  <c r="V86" i="3"/>
  <c r="AQ86" i="3" s="1"/>
  <c r="V84" i="3"/>
  <c r="AQ84" i="3" s="1"/>
  <c r="V82" i="3"/>
  <c r="AQ82" i="3" s="1"/>
  <c r="V80" i="3"/>
  <c r="AQ80" i="3" s="1"/>
  <c r="V78" i="3"/>
  <c r="AQ78" i="3" s="1"/>
  <c r="V72" i="3"/>
  <c r="AQ72" i="3" s="1"/>
  <c r="V70" i="3"/>
  <c r="AQ70" i="3" s="1"/>
  <c r="V68" i="3"/>
  <c r="AQ68" i="3" s="1"/>
  <c r="V63" i="3"/>
  <c r="AQ63" i="3" s="1"/>
  <c r="V61" i="3"/>
  <c r="AQ61" i="3" s="1"/>
  <c r="V59" i="3"/>
  <c r="AQ59" i="3" s="1"/>
  <c r="V57" i="3"/>
  <c r="AQ57" i="3" s="1"/>
  <c r="V55" i="3"/>
  <c r="AQ55" i="3" s="1"/>
  <c r="V50" i="3"/>
  <c r="AQ50" i="3" s="1"/>
  <c r="V48" i="3"/>
  <c r="AQ48" i="3" s="1"/>
  <c r="V43" i="3"/>
  <c r="AQ43" i="3" s="1"/>
  <c r="V41" i="3"/>
  <c r="AQ41" i="3" s="1"/>
  <c r="V39" i="3"/>
  <c r="AQ39" i="3" s="1"/>
  <c r="V34" i="3"/>
  <c r="AQ34" i="3" s="1"/>
  <c r="V32" i="3"/>
  <c r="AQ32" i="3" s="1"/>
  <c r="V30" i="3"/>
  <c r="AQ30" i="3" s="1"/>
  <c r="V25" i="3"/>
  <c r="AQ25" i="3" s="1"/>
  <c r="V23" i="3"/>
  <c r="AQ23" i="3" s="1"/>
  <c r="V17" i="3"/>
  <c r="AQ17" i="3" s="1"/>
  <c r="V15" i="3"/>
  <c r="AQ15" i="3" s="1"/>
  <c r="AM440" i="3"/>
  <c r="AM439" i="3"/>
  <c r="AM428" i="3"/>
  <c r="AM433" i="3"/>
  <c r="AM383" i="3"/>
  <c r="AM377" i="3"/>
  <c r="AM375" i="3"/>
  <c r="AM369" i="3"/>
  <c r="AM361" i="3"/>
  <c r="AM367" i="3"/>
  <c r="AM353" i="3"/>
  <c r="AM359" i="3"/>
  <c r="AM345" i="3"/>
  <c r="AM351" i="3"/>
  <c r="AM337" i="3"/>
  <c r="AM343" i="3"/>
  <c r="AM335" i="3"/>
  <c r="AM329" i="3"/>
  <c r="AM321" i="3"/>
  <c r="AM327" i="3"/>
  <c r="AM319" i="3"/>
  <c r="AM313" i="3"/>
  <c r="AM290" i="3"/>
  <c r="AM296" i="3"/>
  <c r="O47" i="3"/>
  <c r="AM47" i="3" s="1"/>
  <c r="AM52" i="3"/>
  <c r="AB16" i="3"/>
  <c r="AC16" i="3" s="1"/>
  <c r="AS16" i="3" s="1"/>
  <c r="AK440" i="5"/>
  <c r="AK439" i="5"/>
  <c r="AB428" i="5"/>
  <c r="H428" i="5"/>
  <c r="AI428" i="5" s="1"/>
  <c r="AI433" i="5"/>
  <c r="AQ383" i="5"/>
  <c r="V377" i="5"/>
  <c r="AQ377" i="5" s="1"/>
  <c r="V373" i="5"/>
  <c r="AQ373" i="5" s="1"/>
  <c r="AB373" i="5"/>
  <c r="H373" i="5"/>
  <c r="AI373" i="5" s="1"/>
  <c r="AI367" i="5"/>
  <c r="AB361" i="5"/>
  <c r="H361" i="5"/>
  <c r="AI361" i="5" s="1"/>
  <c r="AQ359" i="5"/>
  <c r="V353" i="5"/>
  <c r="AQ353" i="5" s="1"/>
  <c r="AQ351" i="5"/>
  <c r="V345" i="5"/>
  <c r="AQ345" i="5" s="1"/>
  <c r="AI351" i="5"/>
  <c r="AB345" i="5"/>
  <c r="H345" i="5"/>
  <c r="AI345" i="5" s="1"/>
  <c r="H341" i="5"/>
  <c r="AI341" i="5" s="1"/>
  <c r="AB341" i="5"/>
  <c r="V337" i="5"/>
  <c r="AQ337" i="5" s="1"/>
  <c r="AQ343" i="5"/>
  <c r="AQ335" i="5"/>
  <c r="V329" i="5"/>
  <c r="AQ329" i="5" s="1"/>
  <c r="AI327" i="5"/>
  <c r="AB321" i="5"/>
  <c r="H321" i="5"/>
  <c r="AI321" i="5" s="1"/>
  <c r="AQ319" i="5"/>
  <c r="V313" i="5"/>
  <c r="AQ313" i="5" s="1"/>
  <c r="AI311" i="5"/>
  <c r="AB305" i="5"/>
  <c r="H305" i="5"/>
  <c r="AI305" i="5" s="1"/>
  <c r="AK290" i="5"/>
  <c r="AK296" i="5"/>
  <c r="H260" i="5"/>
  <c r="AI260" i="5" s="1"/>
  <c r="AB260" i="5"/>
  <c r="AQ250" i="5"/>
  <c r="V245" i="5"/>
  <c r="AQ245" i="5" s="1"/>
  <c r="V231" i="5"/>
  <c r="AQ231" i="5" s="1"/>
  <c r="V227" i="5"/>
  <c r="AQ227" i="5" s="1"/>
  <c r="V223" i="5"/>
  <c r="AQ223" i="5" s="1"/>
  <c r="AI149" i="5"/>
  <c r="AB144" i="5"/>
  <c r="AC144" i="5" s="1"/>
  <c r="AS144" i="5" s="1"/>
  <c r="H144" i="5"/>
  <c r="AI144" i="5" s="1"/>
  <c r="AB139" i="5"/>
  <c r="AC139" i="5" s="1"/>
  <c r="AS139" i="5" s="1"/>
  <c r="H139" i="5"/>
  <c r="AI139" i="5" s="1"/>
  <c r="V135" i="5"/>
  <c r="AQ135" i="5" s="1"/>
  <c r="AB135" i="5"/>
  <c r="H135" i="5"/>
  <c r="AI135" i="5" s="1"/>
  <c r="V131" i="5"/>
  <c r="AQ131" i="5" s="1"/>
  <c r="AB131" i="5"/>
  <c r="AC131" i="5" s="1"/>
  <c r="AS131" i="5" s="1"/>
  <c r="H131" i="5"/>
  <c r="AI131" i="5" s="1"/>
  <c r="AM126" i="5"/>
  <c r="O121" i="5"/>
  <c r="AM121" i="5" s="1"/>
  <c r="V114" i="5"/>
  <c r="AQ114" i="5" s="1"/>
  <c r="AB114" i="5"/>
  <c r="H114" i="5"/>
  <c r="AI114" i="5" s="1"/>
  <c r="V112" i="5"/>
  <c r="AQ112" i="5" s="1"/>
  <c r="H112" i="5"/>
  <c r="AI112" i="5" s="1"/>
  <c r="AB112" i="5"/>
  <c r="AM108" i="5"/>
  <c r="O103" i="5"/>
  <c r="AM103" i="5" s="1"/>
  <c r="V99" i="5"/>
  <c r="AQ99" i="5" s="1"/>
  <c r="AB99" i="5"/>
  <c r="H99" i="5"/>
  <c r="AI99" i="5" s="1"/>
  <c r="V97" i="5"/>
  <c r="AQ97" i="5" s="1"/>
  <c r="AB97" i="5"/>
  <c r="AC97" i="5" s="1"/>
  <c r="AS97" i="5" s="1"/>
  <c r="H97" i="5"/>
  <c r="AI97" i="5" s="1"/>
  <c r="V95" i="5"/>
  <c r="AQ95" i="5" s="1"/>
  <c r="AB95" i="5"/>
  <c r="H95" i="5"/>
  <c r="AI95" i="5" s="1"/>
  <c r="V93" i="5"/>
  <c r="AQ93" i="5" s="1"/>
  <c r="AB93" i="5"/>
  <c r="AC93" i="5" s="1"/>
  <c r="AS93" i="5" s="1"/>
  <c r="H93" i="5"/>
  <c r="AI93" i="5" s="1"/>
  <c r="AB88" i="5"/>
  <c r="AC88" i="5" s="1"/>
  <c r="AS88" i="5" s="1"/>
  <c r="V88" i="5"/>
  <c r="AQ88" i="5" s="1"/>
  <c r="H88" i="5"/>
  <c r="AI88" i="5" s="1"/>
  <c r="V86" i="5"/>
  <c r="AQ86" i="5" s="1"/>
  <c r="H86" i="5"/>
  <c r="AI86" i="5" s="1"/>
  <c r="AB86" i="5"/>
  <c r="V84" i="5"/>
  <c r="AQ84" i="5" s="1"/>
  <c r="H84" i="5"/>
  <c r="AI84" i="5" s="1"/>
  <c r="AB84" i="5"/>
  <c r="AC84" i="5" s="1"/>
  <c r="AS84" i="5" s="1"/>
  <c r="V82" i="5"/>
  <c r="AQ82" i="5" s="1"/>
  <c r="AB82" i="5"/>
  <c r="AC82" i="5" s="1"/>
  <c r="AS82" i="5" s="1"/>
  <c r="H82" i="5"/>
  <c r="AI82" i="5" s="1"/>
  <c r="V80" i="5"/>
  <c r="AQ80" i="5" s="1"/>
  <c r="V72" i="5"/>
  <c r="AQ72" i="5" s="1"/>
  <c r="AB72" i="5"/>
  <c r="AC72" i="5" s="1"/>
  <c r="AS72" i="5" s="1"/>
  <c r="H72" i="5"/>
  <c r="AI72" i="5" s="1"/>
  <c r="V70" i="5"/>
  <c r="AQ70" i="5" s="1"/>
  <c r="AB70" i="5"/>
  <c r="H70" i="5"/>
  <c r="AI70" i="5" s="1"/>
  <c r="V68" i="5"/>
  <c r="AQ68" i="5" s="1"/>
  <c r="AB68" i="5"/>
  <c r="AC68" i="5" s="1"/>
  <c r="AS68" i="5" s="1"/>
  <c r="H68" i="5"/>
  <c r="AI68" i="5" s="1"/>
  <c r="V63" i="5"/>
  <c r="AQ63" i="5" s="1"/>
  <c r="AB63" i="5"/>
  <c r="H63" i="5"/>
  <c r="AI63" i="5" s="1"/>
  <c r="V61" i="5"/>
  <c r="AQ61" i="5" s="1"/>
  <c r="AB61" i="5"/>
  <c r="AC61" i="5" s="1"/>
  <c r="AS61" i="5" s="1"/>
  <c r="H61" i="5"/>
  <c r="AI61" i="5" s="1"/>
  <c r="V59" i="5"/>
  <c r="AQ59" i="5" s="1"/>
  <c r="AB59" i="5"/>
  <c r="H59" i="5"/>
  <c r="AI59" i="5" s="1"/>
  <c r="V57" i="5"/>
  <c r="AQ57" i="5" s="1"/>
  <c r="AB57" i="5"/>
  <c r="AC57" i="5" s="1"/>
  <c r="AS57" i="5" s="1"/>
  <c r="H57" i="5"/>
  <c r="AI57" i="5" s="1"/>
  <c r="V55" i="5"/>
  <c r="AQ55" i="5" s="1"/>
  <c r="AB55" i="5"/>
  <c r="H55" i="5"/>
  <c r="AI55" i="5" s="1"/>
  <c r="V50" i="5"/>
  <c r="AQ50" i="5" s="1"/>
  <c r="AB50" i="5"/>
  <c r="AC50" i="5" s="1"/>
  <c r="AS50" i="5" s="1"/>
  <c r="H50" i="5"/>
  <c r="AI50" i="5" s="1"/>
  <c r="V48" i="5"/>
  <c r="AQ48" i="5" s="1"/>
  <c r="AB48" i="5"/>
  <c r="H48" i="5"/>
  <c r="AI48" i="5" s="1"/>
  <c r="V32" i="5"/>
  <c r="AQ32" i="5" s="1"/>
  <c r="AB30" i="5"/>
  <c r="AC30" i="5" s="1"/>
  <c r="AS30" i="5" s="1"/>
  <c r="H30" i="5"/>
  <c r="AI30" i="5" s="1"/>
  <c r="AI311" i="3"/>
  <c r="AB305" i="3"/>
  <c r="AC305" i="3" s="1"/>
  <c r="AS305" i="3" s="1"/>
  <c r="H305" i="3"/>
  <c r="AI305" i="3" s="1"/>
  <c r="AB245" i="3"/>
  <c r="AC245" i="3" s="1"/>
  <c r="AS245" i="3" s="1"/>
  <c r="AI250" i="3"/>
  <c r="H245" i="3"/>
  <c r="AI245" i="3" s="1"/>
  <c r="AB240" i="3"/>
  <c r="H240" i="3"/>
  <c r="AI240" i="3" s="1"/>
  <c r="AB238" i="3"/>
  <c r="H238" i="3"/>
  <c r="AI238" i="3" s="1"/>
  <c r="AB236" i="3"/>
  <c r="H236" i="3"/>
  <c r="AI236" i="3" s="1"/>
  <c r="AB231" i="3"/>
  <c r="H231" i="3"/>
  <c r="AI231" i="3" s="1"/>
  <c r="AB229" i="3"/>
  <c r="H229" i="3"/>
  <c r="AI229" i="3" s="1"/>
  <c r="AB227" i="3"/>
  <c r="H227" i="3"/>
  <c r="AI227" i="3" s="1"/>
  <c r="AB225" i="3"/>
  <c r="H225" i="3"/>
  <c r="AI225" i="3" s="1"/>
  <c r="AB223" i="3"/>
  <c r="H223" i="3"/>
  <c r="AI223" i="3" s="1"/>
  <c r="H217" i="3"/>
  <c r="AI217" i="3" s="1"/>
  <c r="AB217" i="3"/>
  <c r="AC217" i="3" s="1"/>
  <c r="AS217" i="3" s="1"/>
  <c r="AB215" i="3"/>
  <c r="H215" i="3"/>
  <c r="AI215" i="3" s="1"/>
  <c r="H210" i="3"/>
  <c r="AI210" i="3" s="1"/>
  <c r="AB210" i="3"/>
  <c r="AC210" i="3" s="1"/>
  <c r="AS210" i="3" s="1"/>
  <c r="H205" i="3"/>
  <c r="AI205" i="3" s="1"/>
  <c r="AB205" i="3"/>
  <c r="AC205" i="3" s="1"/>
  <c r="AS205" i="3" s="1"/>
  <c r="H203" i="3"/>
  <c r="AI203" i="3" s="1"/>
  <c r="AB203" i="3"/>
  <c r="AC203" i="3" s="1"/>
  <c r="AS203" i="3" s="1"/>
  <c r="H198" i="3"/>
  <c r="AI198" i="3" s="1"/>
  <c r="AB198" i="3"/>
  <c r="AC198" i="3" s="1"/>
  <c r="AS198" i="3" s="1"/>
  <c r="H196" i="3"/>
  <c r="AI196" i="3" s="1"/>
  <c r="AB196" i="3"/>
  <c r="AC196" i="3" s="1"/>
  <c r="AS196" i="3" s="1"/>
  <c r="H190" i="3"/>
  <c r="AI190" i="3" s="1"/>
  <c r="AB190" i="3"/>
  <c r="AC190" i="3" s="1"/>
  <c r="AS190" i="3" s="1"/>
  <c r="H188" i="3"/>
  <c r="AI188" i="3" s="1"/>
  <c r="AB188" i="3"/>
  <c r="AC188" i="3" s="1"/>
  <c r="AS188" i="3" s="1"/>
  <c r="H184" i="3"/>
  <c r="AI184" i="3" s="1"/>
  <c r="AB184" i="3"/>
  <c r="AC184" i="3" s="1"/>
  <c r="AS184" i="3" s="1"/>
  <c r="H182" i="3"/>
  <c r="AI182" i="3" s="1"/>
  <c r="AB182" i="3"/>
  <c r="AC182" i="3" s="1"/>
  <c r="AS182" i="3" s="1"/>
  <c r="AB177" i="3"/>
  <c r="H177" i="3"/>
  <c r="AI177" i="3" s="1"/>
  <c r="H175" i="3"/>
  <c r="AI175" i="3" s="1"/>
  <c r="AB175" i="3"/>
  <c r="AC175" i="3" s="1"/>
  <c r="AS175" i="3" s="1"/>
  <c r="H170" i="3"/>
  <c r="AI170" i="3" s="1"/>
  <c r="AB170" i="3"/>
  <c r="AC170" i="3" s="1"/>
  <c r="AS170" i="3" s="1"/>
  <c r="H168" i="3"/>
  <c r="AI168" i="3" s="1"/>
  <c r="AB168" i="3"/>
  <c r="AC168" i="3" s="1"/>
  <c r="AS168" i="3" s="1"/>
  <c r="H163" i="3"/>
  <c r="AI163" i="3" s="1"/>
  <c r="AB163" i="3"/>
  <c r="AC163" i="3" s="1"/>
  <c r="AS163" i="3" s="1"/>
  <c r="H161" i="3"/>
  <c r="AI161" i="3" s="1"/>
  <c r="AB161" i="3"/>
  <c r="AC161" i="3" s="1"/>
  <c r="AS161" i="3" s="1"/>
  <c r="H159" i="3"/>
  <c r="AI159" i="3" s="1"/>
  <c r="AB159" i="3"/>
  <c r="AC159" i="3" s="1"/>
  <c r="AS159" i="3" s="1"/>
  <c r="H157" i="3"/>
  <c r="AI157" i="3" s="1"/>
  <c r="AB157" i="3"/>
  <c r="AC157" i="3" s="1"/>
  <c r="AS157" i="3" s="1"/>
  <c r="H155" i="3"/>
  <c r="AI155" i="3" s="1"/>
  <c r="AB155" i="3"/>
  <c r="AC155" i="3" s="1"/>
  <c r="AS155" i="3" s="1"/>
  <c r="H153" i="3"/>
  <c r="AI153" i="3" s="1"/>
  <c r="AB153" i="3"/>
  <c r="AC153" i="3" s="1"/>
  <c r="AS153" i="3" s="1"/>
  <c r="AB146" i="3"/>
  <c r="H146" i="3"/>
  <c r="AI146" i="3" s="1"/>
  <c r="AB144" i="3"/>
  <c r="AI149" i="3"/>
  <c r="H144" i="3"/>
  <c r="AI144" i="3" s="1"/>
  <c r="O15" i="3"/>
  <c r="AM15" i="3" s="1"/>
  <c r="O34" i="5"/>
  <c r="AM34" i="5" s="1"/>
  <c r="O27" i="5"/>
  <c r="O35" i="5"/>
  <c r="AM35" i="5" s="1"/>
  <c r="O199" i="5"/>
  <c r="AM199" i="5" s="1"/>
  <c r="O148" i="5"/>
  <c r="AM148" i="5" s="1"/>
  <c r="O115" i="5"/>
  <c r="AM115" i="5" s="1"/>
  <c r="O51" i="5"/>
  <c r="AM51" i="5" s="1"/>
  <c r="O19" i="5"/>
  <c r="AM19" i="5" s="1"/>
  <c r="O44" i="5"/>
  <c r="AM44" i="5" s="1"/>
  <c r="O74" i="5"/>
  <c r="AM74" i="5" s="1"/>
  <c r="O179" i="5"/>
  <c r="AM179" i="5" s="1"/>
  <c r="O218" i="5"/>
  <c r="AM218" i="5" s="1"/>
  <c r="O206" i="5"/>
  <c r="AM206" i="5" s="1"/>
  <c r="O125" i="5"/>
  <c r="AM125" i="5" s="1"/>
  <c r="O107" i="5"/>
  <c r="AM107" i="5" s="1"/>
  <c r="O191" i="5"/>
  <c r="AM191" i="5" s="1"/>
  <c r="O172" i="5"/>
  <c r="AM172" i="5" s="1"/>
  <c r="O232" i="5"/>
  <c r="AM232" i="5" s="1"/>
  <c r="O249" i="5"/>
  <c r="AM249" i="5" s="1"/>
  <c r="O212" i="5"/>
  <c r="AM212" i="5" s="1"/>
  <c r="O261" i="5"/>
  <c r="AM261" i="5" s="1"/>
  <c r="O295" i="5"/>
  <c r="AM295" i="5" s="1"/>
  <c r="O270" i="5"/>
  <c r="AM270" i="5" s="1"/>
  <c r="O241" i="5"/>
  <c r="AM241" i="5" s="1"/>
  <c r="H306" i="3"/>
  <c r="AI306" i="3" s="1"/>
  <c r="AB306" i="3"/>
  <c r="AC306" i="3" s="1"/>
  <c r="AS306" i="3" s="1"/>
  <c r="AB292" i="3"/>
  <c r="H292" i="3"/>
  <c r="AI292" i="3" s="1"/>
  <c r="AB285" i="3"/>
  <c r="H285" i="3"/>
  <c r="AI285" i="3" s="1"/>
  <c r="H275" i="3"/>
  <c r="AI275" i="3" s="1"/>
  <c r="AB275" i="3"/>
  <c r="AC275" i="3" s="1"/>
  <c r="AS275" i="3" s="1"/>
  <c r="AB268" i="3"/>
  <c r="H268" i="3"/>
  <c r="AI268" i="3" s="1"/>
  <c r="AB264" i="3"/>
  <c r="H264" i="3"/>
  <c r="AI264" i="3" s="1"/>
  <c r="H257" i="3"/>
  <c r="AI257" i="3" s="1"/>
  <c r="AB257" i="3"/>
  <c r="AC257" i="3" s="1"/>
  <c r="AS257" i="3" s="1"/>
  <c r="AB253" i="3"/>
  <c r="H253" i="3"/>
  <c r="AI253" i="3" s="1"/>
  <c r="H246" i="3"/>
  <c r="AI246" i="3" s="1"/>
  <c r="AB246" i="3"/>
  <c r="AC246" i="3" s="1"/>
  <c r="AS246" i="3" s="1"/>
  <c r="H239" i="3"/>
  <c r="AI239" i="3" s="1"/>
  <c r="AB239" i="3"/>
  <c r="AC239" i="3" s="1"/>
  <c r="AS239" i="3" s="1"/>
  <c r="H235" i="3"/>
  <c r="AI235" i="3" s="1"/>
  <c r="AB235" i="3"/>
  <c r="AC235" i="3" s="1"/>
  <c r="AS235" i="3" s="1"/>
  <c r="H228" i="3"/>
  <c r="AI228" i="3" s="1"/>
  <c r="AB228" i="3"/>
  <c r="AC228" i="3" s="1"/>
  <c r="AS228" i="3" s="1"/>
  <c r="H224" i="3"/>
  <c r="AI224" i="3" s="1"/>
  <c r="AB224" i="3"/>
  <c r="AC224" i="3" s="1"/>
  <c r="AS224" i="3" s="1"/>
  <c r="AB216" i="3"/>
  <c r="H216" i="3"/>
  <c r="AI216" i="3" s="1"/>
  <c r="AB209" i="3"/>
  <c r="H209" i="3"/>
  <c r="AI209" i="3" s="1"/>
  <c r="AB202" i="3"/>
  <c r="H202" i="3"/>
  <c r="AI202" i="3" s="1"/>
  <c r="AB195" i="3"/>
  <c r="H195" i="3"/>
  <c r="AI195" i="3" s="1"/>
  <c r="AB187" i="3"/>
  <c r="H187" i="3"/>
  <c r="AI187" i="3" s="1"/>
  <c r="AB183" i="3"/>
  <c r="H183" i="3"/>
  <c r="AI183" i="3" s="1"/>
  <c r="AB176" i="3"/>
  <c r="H176" i="3"/>
  <c r="AI176" i="3" s="1"/>
  <c r="AB169" i="3"/>
  <c r="H169" i="3"/>
  <c r="AI169" i="3" s="1"/>
  <c r="AB162" i="3"/>
  <c r="H162" i="3"/>
  <c r="AI162" i="3" s="1"/>
  <c r="AB158" i="3"/>
  <c r="H158" i="3"/>
  <c r="AI158" i="3" s="1"/>
  <c r="AB154" i="3"/>
  <c r="H154" i="3"/>
  <c r="AI154" i="3" s="1"/>
  <c r="H145" i="3"/>
  <c r="AI145" i="3" s="1"/>
  <c r="AB145" i="3"/>
  <c r="AC145" i="3" s="1"/>
  <c r="AS145" i="3" s="1"/>
  <c r="H138" i="3"/>
  <c r="AI138" i="3" s="1"/>
  <c r="AB138" i="3"/>
  <c r="AC138" i="3" s="1"/>
  <c r="AS138" i="3" s="1"/>
  <c r="H134" i="3"/>
  <c r="AI134" i="3" s="1"/>
  <c r="AB134" i="3"/>
  <c r="AC134" i="3" s="1"/>
  <c r="AS134" i="3" s="1"/>
  <c r="H130" i="3"/>
  <c r="AI130" i="3" s="1"/>
  <c r="AB130" i="3"/>
  <c r="AC130" i="3" s="1"/>
  <c r="AS130" i="3" s="1"/>
  <c r="AB121" i="3"/>
  <c r="AI126" i="3"/>
  <c r="H121" i="3"/>
  <c r="AI121" i="3" s="1"/>
  <c r="AI116" i="3"/>
  <c r="AB111" i="3"/>
  <c r="H111" i="3"/>
  <c r="AI111" i="3" s="1"/>
  <c r="AB103" i="3"/>
  <c r="AI108" i="3"/>
  <c r="H103" i="3"/>
  <c r="AI103" i="3" s="1"/>
  <c r="AI52" i="3"/>
  <c r="H47" i="3"/>
  <c r="AI47" i="3" s="1"/>
  <c r="AB47" i="3"/>
  <c r="AC47" i="3" s="1"/>
  <c r="AS47" i="3" s="1"/>
  <c r="H40" i="3"/>
  <c r="AI40" i="3" s="1"/>
  <c r="AB40" i="3"/>
  <c r="AC40" i="3" s="1"/>
  <c r="AS40" i="3" s="1"/>
  <c r="H33" i="3"/>
  <c r="AI33" i="3" s="1"/>
  <c r="AB33" i="3"/>
  <c r="AC33" i="3" s="1"/>
  <c r="AS33" i="3" s="1"/>
  <c r="AB26" i="3"/>
  <c r="H26" i="3"/>
  <c r="AI26" i="3" s="1"/>
  <c r="O18" i="3"/>
  <c r="AM18" i="3" s="1"/>
  <c r="AF441" i="2"/>
  <c r="AF434" i="2"/>
  <c r="AF419" i="2"/>
  <c r="AF427" i="2"/>
  <c r="AF435" i="2"/>
  <c r="AF413" i="2"/>
  <c r="AF396" i="2"/>
  <c r="AF385" i="2"/>
  <c r="AF376" i="2"/>
  <c r="AF368" i="2"/>
  <c r="AF360" i="2"/>
  <c r="AF352" i="2"/>
  <c r="AF344" i="2"/>
  <c r="AF336" i="2"/>
  <c r="AF328" i="2"/>
  <c r="AF320" i="2"/>
  <c r="AF312" i="2"/>
  <c r="AF304" i="2"/>
  <c r="AF289" i="2"/>
  <c r="AF272" i="2"/>
  <c r="AF263" i="2"/>
  <c r="AF251" i="2"/>
  <c r="AF243" i="2"/>
  <c r="AF234" i="2"/>
  <c r="AF221" i="2"/>
  <c r="AF214" i="2"/>
  <c r="AF208" i="2"/>
  <c r="AF201" i="2"/>
  <c r="AF194" i="2"/>
  <c r="AF181" i="2"/>
  <c r="AF174" i="2"/>
  <c r="AF167" i="2"/>
  <c r="AF152" i="2"/>
  <c r="AF143" i="2"/>
  <c r="AF129" i="2"/>
  <c r="AF120" i="2"/>
  <c r="AF110" i="2"/>
  <c r="AF102" i="2"/>
  <c r="AF91" i="2"/>
  <c r="AF77" i="2"/>
  <c r="AF67" i="2"/>
  <c r="AF53" i="2"/>
  <c r="AF46" i="2"/>
  <c r="AF37" i="2"/>
  <c r="AF29" i="2"/>
  <c r="AF22" i="2"/>
  <c r="AF14" i="2"/>
  <c r="AF15" i="2"/>
  <c r="AF16" i="2"/>
  <c r="AF17" i="2"/>
  <c r="AF18" i="2"/>
  <c r="AF19" i="2"/>
  <c r="AF23" i="2"/>
  <c r="AF24" i="2"/>
  <c r="AF25" i="2"/>
  <c r="AF26" i="2"/>
  <c r="AF30" i="2"/>
  <c r="AF31" i="2"/>
  <c r="AF32" i="2"/>
  <c r="AF33" i="2"/>
  <c r="AF34" i="2"/>
  <c r="AF35" i="2"/>
  <c r="AF38" i="2"/>
  <c r="AF39" i="2"/>
  <c r="AF40" i="2"/>
  <c r="AF41" i="2"/>
  <c r="AF42" i="2"/>
  <c r="AF43" i="2"/>
  <c r="AF44" i="2"/>
  <c r="AF47" i="2"/>
  <c r="AF48" i="2"/>
  <c r="AF49" i="2"/>
  <c r="AF50" i="2"/>
  <c r="AF51" i="2"/>
  <c r="AF54" i="2"/>
  <c r="AF55" i="2"/>
  <c r="AF56" i="2"/>
  <c r="AF57" i="2"/>
  <c r="AF58" i="2"/>
  <c r="AF59" i="2"/>
  <c r="AF60" i="2"/>
  <c r="AF61" i="2"/>
  <c r="AF62" i="2"/>
  <c r="AF63" i="2"/>
  <c r="AF64" i="2"/>
  <c r="AF65" i="2"/>
  <c r="AG65" i="2"/>
  <c r="AF68" i="2"/>
  <c r="AF69" i="2"/>
  <c r="AF70" i="2"/>
  <c r="AF71" i="2"/>
  <c r="AF72" i="2"/>
  <c r="AF73" i="2"/>
  <c r="AF74" i="2"/>
  <c r="AF78" i="2"/>
  <c r="AF79" i="2"/>
  <c r="AF80" i="2"/>
  <c r="AF81" i="2"/>
  <c r="AF82" i="2"/>
  <c r="AF83" i="2"/>
  <c r="AF84" i="2"/>
  <c r="AF85" i="2"/>
  <c r="AF86" i="2"/>
  <c r="AF87" i="2"/>
  <c r="AF88" i="2"/>
  <c r="AF89" i="2"/>
  <c r="AG89" i="2"/>
  <c r="AF92" i="2"/>
  <c r="AF93" i="2"/>
  <c r="AF94" i="2"/>
  <c r="AF95" i="2"/>
  <c r="AF96" i="2"/>
  <c r="AF97" i="2"/>
  <c r="AF98" i="2"/>
  <c r="AF99" i="2"/>
  <c r="AF100" i="2"/>
  <c r="AG100" i="2"/>
  <c r="AF103" i="2"/>
  <c r="AF104" i="2"/>
  <c r="AF105" i="2"/>
  <c r="AF106" i="2"/>
  <c r="AF107" i="2"/>
  <c r="AF111" i="2"/>
  <c r="AF112" i="2"/>
  <c r="AF113" i="2"/>
  <c r="AF114" i="2"/>
  <c r="AF115" i="2"/>
  <c r="AF121" i="2"/>
  <c r="AF122" i="2"/>
  <c r="AF123" i="2"/>
  <c r="AF124" i="2"/>
  <c r="AF125" i="2"/>
  <c r="AF130" i="2"/>
  <c r="AF131" i="2"/>
  <c r="AF132" i="2"/>
  <c r="AF133" i="2"/>
  <c r="AF134" i="2"/>
  <c r="AF135" i="2"/>
  <c r="AF136" i="2"/>
  <c r="AF137" i="2"/>
  <c r="AF138" i="2"/>
  <c r="AF139" i="2"/>
  <c r="AF140" i="2"/>
  <c r="AF141" i="2"/>
  <c r="AG141" i="2"/>
  <c r="AF144" i="2"/>
  <c r="AF145" i="2"/>
  <c r="AF146" i="2"/>
  <c r="AF147" i="2"/>
  <c r="AF148" i="2"/>
  <c r="AF153" i="2"/>
  <c r="AF154" i="2"/>
  <c r="AF155" i="2"/>
  <c r="AF156" i="2"/>
  <c r="AF157" i="2"/>
  <c r="AF158" i="2"/>
  <c r="AF159" i="2"/>
  <c r="AF160" i="2"/>
  <c r="AF161" i="2"/>
  <c r="AF162" i="2"/>
  <c r="AF163" i="2"/>
  <c r="AF164" i="2"/>
  <c r="AF165" i="2"/>
  <c r="AG165" i="2"/>
  <c r="AF168" i="2"/>
  <c r="AF169" i="2"/>
  <c r="AF170" i="2"/>
  <c r="AF171" i="2"/>
  <c r="AF172" i="2"/>
  <c r="AF175" i="2"/>
  <c r="AF176" i="2"/>
  <c r="AF177" i="2"/>
  <c r="AF178" i="2"/>
  <c r="AF179" i="2"/>
  <c r="AF182" i="2"/>
  <c r="AF183" i="2"/>
  <c r="AF184" i="2"/>
  <c r="AF185" i="2"/>
  <c r="AF186" i="2"/>
  <c r="AF187" i="2"/>
  <c r="AF188" i="2"/>
  <c r="AF189" i="2"/>
  <c r="AF190" i="2"/>
  <c r="AF191" i="2"/>
  <c r="AF195" i="2"/>
  <c r="AF196" i="2"/>
  <c r="AF197" i="2"/>
  <c r="AF198" i="2"/>
  <c r="AF199" i="2"/>
  <c r="AF202" i="2"/>
  <c r="AF203" i="2"/>
  <c r="AF204" i="2"/>
  <c r="AF205" i="2"/>
  <c r="AF206" i="2"/>
  <c r="AF209" i="2"/>
  <c r="AF210" i="2"/>
  <c r="AF211" i="2"/>
  <c r="AF212" i="2"/>
  <c r="AF215" i="2"/>
  <c r="AF216" i="2"/>
  <c r="AF217" i="2"/>
  <c r="AF218" i="2"/>
  <c r="AF222" i="2"/>
  <c r="AF223" i="2"/>
  <c r="AF224" i="2"/>
  <c r="AF225" i="2"/>
  <c r="AF226" i="2"/>
  <c r="AF227" i="2"/>
  <c r="AF228" i="2"/>
  <c r="AF229" i="2"/>
  <c r="AF230" i="2"/>
  <c r="AF231" i="2"/>
  <c r="AF232" i="2"/>
  <c r="AF235" i="2"/>
  <c r="AF236" i="2"/>
  <c r="AF237" i="2"/>
  <c r="AF238" i="2"/>
  <c r="AF239" i="2"/>
  <c r="AF240" i="2"/>
  <c r="AF241" i="2"/>
  <c r="AF244" i="2"/>
  <c r="AF245" i="2"/>
  <c r="AF246" i="2"/>
  <c r="AF247" i="2"/>
  <c r="AF248" i="2"/>
  <c r="AF249" i="2"/>
  <c r="AF252" i="2"/>
  <c r="AF253" i="2"/>
  <c r="AF254" i="2"/>
  <c r="AF255" i="2"/>
  <c r="AF256" i="2"/>
  <c r="AF257" i="2"/>
  <c r="AF258" i="2"/>
  <c r="AF259" i="2"/>
  <c r="AF260" i="2"/>
  <c r="AF261" i="2"/>
  <c r="AF264" i="2"/>
  <c r="AF265" i="2"/>
  <c r="AF266" i="2"/>
  <c r="AF267" i="2"/>
  <c r="AF268" i="2"/>
  <c r="AF269" i="2"/>
  <c r="AF270" i="2"/>
  <c r="AF273" i="2"/>
  <c r="AF274" i="2"/>
  <c r="AF275" i="2"/>
  <c r="AF276" i="2"/>
  <c r="AF277" i="2"/>
  <c r="AF278" i="2"/>
  <c r="AF279" i="2"/>
  <c r="AF280" i="2"/>
  <c r="AF281" i="2"/>
  <c r="AF282" i="2"/>
  <c r="AF283" i="2"/>
  <c r="AF284" i="2"/>
  <c r="AF285" i="2"/>
  <c r="AF286" i="2"/>
  <c r="AF287" i="2"/>
  <c r="AG287" i="2"/>
  <c r="AF290" i="2"/>
  <c r="AF291" i="2"/>
  <c r="AF292" i="2"/>
  <c r="AF293" i="2"/>
  <c r="AF294" i="2"/>
  <c r="AF295" i="2"/>
  <c r="AF305" i="2"/>
  <c r="AF306" i="2"/>
  <c r="AF307" i="2"/>
  <c r="AF308" i="2"/>
  <c r="AF309" i="2"/>
  <c r="AF310" i="2"/>
  <c r="AF313" i="2"/>
  <c r="AF314" i="2"/>
  <c r="AF315" i="2"/>
  <c r="AF316" i="2"/>
  <c r="AF317" i="2"/>
  <c r="AF318" i="2"/>
  <c r="AF321" i="2"/>
  <c r="AF322" i="2"/>
  <c r="AF323" i="2"/>
  <c r="AF324" i="2"/>
  <c r="AF325" i="2"/>
  <c r="AF326" i="2"/>
  <c r="AF329" i="2"/>
  <c r="AF330" i="2"/>
  <c r="AF331" i="2"/>
  <c r="AF332" i="2"/>
  <c r="AF333" i="2"/>
  <c r="AF334" i="2"/>
  <c r="AF337" i="2"/>
  <c r="AF338" i="2"/>
  <c r="AF339" i="2"/>
  <c r="AF340" i="2"/>
  <c r="AF341" i="2"/>
  <c r="AF342" i="2"/>
  <c r="AF345" i="2"/>
  <c r="AF346" i="2"/>
  <c r="AF347" i="2"/>
  <c r="AF348" i="2"/>
  <c r="AF349" i="2"/>
  <c r="AF350" i="2"/>
  <c r="AF351" i="2"/>
  <c r="AF353" i="2"/>
  <c r="AF354" i="2"/>
  <c r="AF355" i="2"/>
  <c r="AF356" i="2"/>
  <c r="AF357" i="2"/>
  <c r="AF358" i="2"/>
  <c r="AF361" i="2"/>
  <c r="AF362" i="2"/>
  <c r="AF363" i="2"/>
  <c r="AF364" i="2"/>
  <c r="AF365" i="2"/>
  <c r="AF366" i="2"/>
  <c r="AF369" i="2"/>
  <c r="AF370" i="2"/>
  <c r="AF371" i="2"/>
  <c r="AF372" i="2"/>
  <c r="AF373" i="2"/>
  <c r="AF374" i="2"/>
  <c r="AF377" i="2"/>
  <c r="AF378" i="2"/>
  <c r="AF379" i="2"/>
  <c r="AF380" i="2"/>
  <c r="AF381" i="2"/>
  <c r="AF382" i="2"/>
  <c r="AF386" i="2"/>
  <c r="AF387" i="2"/>
  <c r="AF388" i="2"/>
  <c r="AF389" i="2"/>
  <c r="AF390" i="2"/>
  <c r="AF391" i="2"/>
  <c r="AF392" i="2"/>
  <c r="AF393" i="2"/>
  <c r="AF394" i="2"/>
  <c r="AF397" i="2"/>
  <c r="AF398" i="2"/>
  <c r="AF399" i="2"/>
  <c r="AF400" i="2"/>
  <c r="AF401" i="2"/>
  <c r="AF402" i="2"/>
  <c r="AF403" i="2"/>
  <c r="AF404" i="2"/>
  <c r="AF407" i="2"/>
  <c r="AF408" i="2"/>
  <c r="AF409" i="2"/>
  <c r="AF410" i="2"/>
  <c r="AF411" i="2"/>
  <c r="AF414" i="2"/>
  <c r="AF415" i="2"/>
  <c r="AF416" i="2"/>
  <c r="AF417" i="2"/>
  <c r="AF420" i="2"/>
  <c r="AF421" i="2"/>
  <c r="AF422" i="2"/>
  <c r="AF423" i="2"/>
  <c r="AF424" i="2"/>
  <c r="AF425" i="2"/>
  <c r="AF428" i="2"/>
  <c r="AF429" i="2"/>
  <c r="AF430" i="2"/>
  <c r="AF431" i="2"/>
  <c r="AF432" i="2"/>
  <c r="AF436" i="2"/>
  <c r="AF437" i="2"/>
  <c r="AF438" i="2"/>
  <c r="AF439" i="2"/>
  <c r="AF442" i="2"/>
  <c r="AF443" i="2"/>
  <c r="AF444" i="2"/>
  <c r="AF445" i="2"/>
  <c r="AF446" i="2"/>
  <c r="AF447" i="2"/>
  <c r="AF448" i="2"/>
  <c r="AF449" i="2"/>
  <c r="AF450" i="2"/>
  <c r="AF451" i="2"/>
  <c r="AF452" i="2"/>
  <c r="AM335" i="7" l="1"/>
  <c r="AM296" i="7"/>
  <c r="AM375" i="7"/>
  <c r="AM325" i="9"/>
  <c r="AM327" i="9"/>
  <c r="AC48" i="5"/>
  <c r="AS48" i="5" s="1"/>
  <c r="AC55" i="5"/>
  <c r="AS55" i="5" s="1"/>
  <c r="AC59" i="5"/>
  <c r="AS59" i="5" s="1"/>
  <c r="AC63" i="5"/>
  <c r="AS63" i="5" s="1"/>
  <c r="AC70" i="5"/>
  <c r="AS70" i="5" s="1"/>
  <c r="AC86" i="5"/>
  <c r="AS86" i="5" s="1"/>
  <c r="AC95" i="5"/>
  <c r="AS95" i="5" s="1"/>
  <c r="AC99" i="5"/>
  <c r="AS99" i="5" s="1"/>
  <c r="AC112" i="5"/>
  <c r="AS112" i="5" s="1"/>
  <c r="AC114" i="5"/>
  <c r="AS114" i="5" s="1"/>
  <c r="AC135" i="5"/>
  <c r="AS135" i="5" s="1"/>
  <c r="AC260" i="5"/>
  <c r="AS260" i="5" s="1"/>
  <c r="AC321" i="5"/>
  <c r="AS321" i="5" s="1"/>
  <c r="AC341" i="5"/>
  <c r="AS341" i="5" s="1"/>
  <c r="AC361" i="5"/>
  <c r="AS361" i="5" s="1"/>
  <c r="AC17" i="7"/>
  <c r="AS17" i="7" s="1"/>
  <c r="AC25" i="7"/>
  <c r="AS25" i="7" s="1"/>
  <c r="AC32" i="7"/>
  <c r="AS32" i="7" s="1"/>
  <c r="AC18" i="7"/>
  <c r="AS18" i="7" s="1"/>
  <c r="AC33" i="7"/>
  <c r="AS33" i="7" s="1"/>
  <c r="AC40" i="7"/>
  <c r="AS40" i="7" s="1"/>
  <c r="AC54" i="7"/>
  <c r="AS54" i="7" s="1"/>
  <c r="AC58" i="7"/>
  <c r="AS58" i="7" s="1"/>
  <c r="AC62" i="7"/>
  <c r="AS62" i="7" s="1"/>
  <c r="AC69" i="7"/>
  <c r="AS69" i="7" s="1"/>
  <c r="AC73" i="7"/>
  <c r="AS73" i="7" s="1"/>
  <c r="AC78" i="7"/>
  <c r="AS78" i="7" s="1"/>
  <c r="AC80" i="7"/>
  <c r="AS80" i="7" s="1"/>
  <c r="AC82" i="7"/>
  <c r="AS82" i="7" s="1"/>
  <c r="AC84" i="7"/>
  <c r="AS84" i="7" s="1"/>
  <c r="AC86" i="7"/>
  <c r="AS86" i="7" s="1"/>
  <c r="AC88" i="7"/>
  <c r="AS88" i="7" s="1"/>
  <c r="AC93" i="7"/>
  <c r="AS93" i="7" s="1"/>
  <c r="AC95" i="7"/>
  <c r="AS95" i="7" s="1"/>
  <c r="AC97" i="7"/>
  <c r="AS97" i="7" s="1"/>
  <c r="AC99" i="7"/>
  <c r="AS99" i="7" s="1"/>
  <c r="AC112" i="7"/>
  <c r="AS112" i="7" s="1"/>
  <c r="AC114" i="7"/>
  <c r="AS114" i="7" s="1"/>
  <c r="AC144" i="7"/>
  <c r="AS144" i="7" s="1"/>
  <c r="AC163" i="7"/>
  <c r="AS163" i="7" s="1"/>
  <c r="AC290" i="7"/>
  <c r="AS290" i="7" s="1"/>
  <c r="AC294" i="7"/>
  <c r="AS294" i="7" s="1"/>
  <c r="AC354" i="7"/>
  <c r="AS354" i="7" s="1"/>
  <c r="AC356" i="7"/>
  <c r="AS356" i="7" s="1"/>
  <c r="AC358" i="7"/>
  <c r="AS358" i="7" s="1"/>
  <c r="AC16" i="7"/>
  <c r="AS16" i="7" s="1"/>
  <c r="AC24" i="7"/>
  <c r="AS24" i="7" s="1"/>
  <c r="AC31" i="7"/>
  <c r="AS31" i="7" s="1"/>
  <c r="AC39" i="7"/>
  <c r="AS39" i="7" s="1"/>
  <c r="AC48" i="7"/>
  <c r="AS48" i="7" s="1"/>
  <c r="AC50" i="7"/>
  <c r="AS50" i="7" s="1"/>
  <c r="AC72" i="7"/>
  <c r="AS72" i="7" s="1"/>
  <c r="AC145" i="7"/>
  <c r="AS145" i="7" s="1"/>
  <c r="AC156" i="7"/>
  <c r="AS156" i="7" s="1"/>
  <c r="AC160" i="7"/>
  <c r="AS160" i="7" s="1"/>
  <c r="AC162" i="7"/>
  <c r="AS162" i="7" s="1"/>
  <c r="AC164" i="7"/>
  <c r="AS164" i="7" s="1"/>
  <c r="AC169" i="7"/>
  <c r="AS169" i="7" s="1"/>
  <c r="AC171" i="7"/>
  <c r="AS171" i="7" s="1"/>
  <c r="AC176" i="7"/>
  <c r="AS176" i="7" s="1"/>
  <c r="AC178" i="7"/>
  <c r="AS178" i="7" s="1"/>
  <c r="AC183" i="7"/>
  <c r="AS183" i="7" s="1"/>
  <c r="AC185" i="7"/>
  <c r="AS185" i="7" s="1"/>
  <c r="AC187" i="7"/>
  <c r="AS187" i="7" s="1"/>
  <c r="AC195" i="7"/>
  <c r="AS195" i="7" s="1"/>
  <c r="AC196" i="7"/>
  <c r="AS196" i="7" s="1"/>
  <c r="AC197" i="7"/>
  <c r="AS197" i="7" s="1"/>
  <c r="AC198" i="7"/>
  <c r="AS198" i="7" s="1"/>
  <c r="AC202" i="7"/>
  <c r="AS202" i="7" s="1"/>
  <c r="AM296" i="9"/>
  <c r="AC203" i="7"/>
  <c r="AS203" i="7" s="1"/>
  <c r="AC204" i="7"/>
  <c r="AS204" i="7" s="1"/>
  <c r="AC205" i="7"/>
  <c r="AS205" i="7" s="1"/>
  <c r="AC209" i="7"/>
  <c r="AS209" i="7" s="1"/>
  <c r="AC210" i="7"/>
  <c r="AS210" i="7" s="1"/>
  <c r="AC211" i="7"/>
  <c r="AS211" i="7" s="1"/>
  <c r="AC215" i="7"/>
  <c r="AS215" i="7" s="1"/>
  <c r="AC216" i="7"/>
  <c r="AS216" i="7" s="1"/>
  <c r="AC217" i="7"/>
  <c r="AS217" i="7" s="1"/>
  <c r="AC222" i="7"/>
  <c r="AS222" i="7" s="1"/>
  <c r="AC224" i="7"/>
  <c r="AS224" i="7" s="1"/>
  <c r="AC226" i="7"/>
  <c r="AS226" i="7" s="1"/>
  <c r="AC228" i="7"/>
  <c r="AS228" i="7" s="1"/>
  <c r="AC230" i="7"/>
  <c r="AS230" i="7" s="1"/>
  <c r="AC235" i="7"/>
  <c r="AS235" i="7" s="1"/>
  <c r="AC237" i="7"/>
  <c r="AS237" i="7" s="1"/>
  <c r="AC244" i="7"/>
  <c r="AS244" i="7" s="1"/>
  <c r="AC252" i="7"/>
  <c r="AS252" i="7" s="1"/>
  <c r="AC256" i="7"/>
  <c r="AS256" i="7" s="1"/>
  <c r="AC291" i="7"/>
  <c r="AS291" i="7" s="1"/>
  <c r="AC293" i="7"/>
  <c r="AS293" i="7" s="1"/>
  <c r="AC307" i="7"/>
  <c r="AS307" i="7" s="1"/>
  <c r="AC317" i="7"/>
  <c r="AS317" i="7" s="1"/>
  <c r="AC325" i="7"/>
  <c r="AS325" i="7" s="1"/>
  <c r="AC329" i="7"/>
  <c r="AS329" i="7" s="1"/>
  <c r="AC331" i="7"/>
  <c r="AS331" i="7" s="1"/>
  <c r="AC333" i="7"/>
  <c r="AS333" i="7" s="1"/>
  <c r="AC341" i="7"/>
  <c r="AS341" i="7" s="1"/>
  <c r="AC349" i="7"/>
  <c r="AS349" i="7" s="1"/>
  <c r="AC353" i="7"/>
  <c r="AS353" i="7" s="1"/>
  <c r="AC357" i="7"/>
  <c r="AS357" i="7" s="1"/>
  <c r="AC417" i="7"/>
  <c r="AS417" i="7" s="1"/>
  <c r="AC423" i="7"/>
  <c r="AS423" i="7" s="1"/>
  <c r="AC435" i="7"/>
  <c r="AS435" i="7" s="1"/>
  <c r="AC438" i="7"/>
  <c r="AS438" i="7" s="1"/>
  <c r="AC444" i="7"/>
  <c r="AS444" i="7" s="1"/>
  <c r="AC448" i="7"/>
  <c r="AS448" i="7" s="1"/>
  <c r="AC452" i="7"/>
  <c r="AS452" i="7" s="1"/>
  <c r="AC361" i="7"/>
  <c r="AS361" i="7" s="1"/>
  <c r="AC449" i="7"/>
  <c r="AS449" i="7" s="1"/>
  <c r="AC364" i="7"/>
  <c r="AS364" i="7" s="1"/>
  <c r="AC370" i="7"/>
  <c r="AS370" i="7" s="1"/>
  <c r="AC372" i="7"/>
  <c r="AS372" i="7" s="1"/>
  <c r="AC374" i="7"/>
  <c r="AS374" i="7" s="1"/>
  <c r="AC378" i="7"/>
  <c r="AS378" i="7" s="1"/>
  <c r="AC380" i="7"/>
  <c r="AS380" i="7" s="1"/>
  <c r="AC382" i="7"/>
  <c r="AS382" i="7" s="1"/>
  <c r="AC387" i="7"/>
  <c r="AS387" i="7" s="1"/>
  <c r="AC389" i="7"/>
  <c r="AS389" i="7" s="1"/>
  <c r="AC391" i="7"/>
  <c r="AS391" i="7" s="1"/>
  <c r="AC393" i="7"/>
  <c r="AS393" i="7" s="1"/>
  <c r="AC397" i="7"/>
  <c r="AS397" i="7" s="1"/>
  <c r="AC401" i="7"/>
  <c r="AS401" i="7" s="1"/>
  <c r="AC403" i="7"/>
  <c r="AS403" i="7" s="1"/>
  <c r="AC407" i="7"/>
  <c r="AS407" i="7" s="1"/>
  <c r="AC409" i="7"/>
  <c r="AS409" i="7" s="1"/>
  <c r="AC411" i="7"/>
  <c r="AS411" i="7" s="1"/>
  <c r="AC48" i="9"/>
  <c r="AS48" i="9" s="1"/>
  <c r="AC49" i="9"/>
  <c r="AS49" i="9" s="1"/>
  <c r="AC50" i="9"/>
  <c r="AS50" i="9" s="1"/>
  <c r="AC54" i="9"/>
  <c r="AS54" i="9" s="1"/>
  <c r="AC55" i="9"/>
  <c r="AS55" i="9" s="1"/>
  <c r="AC56" i="9"/>
  <c r="AS56" i="9" s="1"/>
  <c r="AC57" i="9"/>
  <c r="AS57" i="9" s="1"/>
  <c r="AC58" i="9"/>
  <c r="AS58" i="9" s="1"/>
  <c r="AC59" i="9"/>
  <c r="AS59" i="9" s="1"/>
  <c r="AC60" i="9"/>
  <c r="AS60" i="9" s="1"/>
  <c r="AC61" i="9"/>
  <c r="AS61" i="9" s="1"/>
  <c r="AC62" i="9"/>
  <c r="AS62" i="9" s="1"/>
  <c r="AC63" i="9"/>
  <c r="AS63" i="9" s="1"/>
  <c r="AC64" i="9"/>
  <c r="AS64" i="9" s="1"/>
  <c r="AC68" i="9"/>
  <c r="AS68" i="9" s="1"/>
  <c r="AC69" i="9"/>
  <c r="AS69" i="9" s="1"/>
  <c r="AC70" i="9"/>
  <c r="AS70" i="9" s="1"/>
  <c r="AC71" i="9"/>
  <c r="AS71" i="9" s="1"/>
  <c r="AC72" i="9"/>
  <c r="AS72" i="9" s="1"/>
  <c r="AC73" i="9"/>
  <c r="AS73" i="9" s="1"/>
  <c r="AC111" i="9"/>
  <c r="AS111" i="9" s="1"/>
  <c r="AC124" i="9"/>
  <c r="AS124" i="9" s="1"/>
  <c r="AC104" i="9"/>
  <c r="AS104" i="9" s="1"/>
  <c r="AC105" i="9"/>
  <c r="AS105" i="9" s="1"/>
  <c r="AC106" i="9"/>
  <c r="AS106" i="9" s="1"/>
  <c r="AC122" i="9"/>
  <c r="AS122" i="9" s="1"/>
  <c r="AC123" i="9"/>
  <c r="AS123" i="9" s="1"/>
  <c r="AC130" i="9"/>
  <c r="AS130" i="9" s="1"/>
  <c r="AC131" i="9"/>
  <c r="AS131" i="9" s="1"/>
  <c r="AC132" i="9"/>
  <c r="AS132" i="9" s="1"/>
  <c r="AC133" i="9"/>
  <c r="AS133" i="9" s="1"/>
  <c r="AC134" i="9"/>
  <c r="AS134" i="9" s="1"/>
  <c r="AC135" i="9"/>
  <c r="AS135" i="9" s="1"/>
  <c r="AC136" i="9"/>
  <c r="AS136" i="9" s="1"/>
  <c r="AC137" i="9"/>
  <c r="AS137" i="9" s="1"/>
  <c r="AC138" i="9"/>
  <c r="AS138" i="9" s="1"/>
  <c r="AC139" i="9"/>
  <c r="AS139" i="9" s="1"/>
  <c r="AC140" i="9"/>
  <c r="AS140" i="9" s="1"/>
  <c r="AC196" i="9"/>
  <c r="AS196" i="9" s="1"/>
  <c r="AC198" i="9"/>
  <c r="AS198" i="9" s="1"/>
  <c r="AC182" i="9"/>
  <c r="AS182" i="9" s="1"/>
  <c r="AC184" i="9"/>
  <c r="AS184" i="9" s="1"/>
  <c r="AC186" i="9"/>
  <c r="AS186" i="9" s="1"/>
  <c r="AC188" i="9"/>
  <c r="AS188" i="9" s="1"/>
  <c r="AC190" i="9"/>
  <c r="AS190" i="9" s="1"/>
  <c r="AC203" i="9"/>
  <c r="AS203" i="9" s="1"/>
  <c r="AC205" i="9"/>
  <c r="AS205" i="9" s="1"/>
  <c r="AC215" i="9"/>
  <c r="AS215" i="9" s="1"/>
  <c r="AC217" i="9"/>
  <c r="AS217" i="9" s="1"/>
  <c r="AC222" i="9"/>
  <c r="AS222" i="9" s="1"/>
  <c r="AC15" i="9"/>
  <c r="AS15" i="9" s="1"/>
  <c r="AC38" i="9"/>
  <c r="AS38" i="9" s="1"/>
  <c r="AC39" i="9"/>
  <c r="AS39" i="9" s="1"/>
  <c r="AC40" i="9"/>
  <c r="AS40" i="9" s="1"/>
  <c r="AC41" i="9"/>
  <c r="AS41" i="9" s="1"/>
  <c r="AC42" i="9"/>
  <c r="AS42" i="9" s="1"/>
  <c r="AC43" i="9"/>
  <c r="AS43" i="9" s="1"/>
  <c r="AC78" i="9"/>
  <c r="AS78" i="9" s="1"/>
  <c r="AC79" i="9"/>
  <c r="AS79" i="9" s="1"/>
  <c r="AC80" i="9"/>
  <c r="AS80" i="9" s="1"/>
  <c r="AC81" i="9"/>
  <c r="AS81" i="9" s="1"/>
  <c r="AC82" i="9"/>
  <c r="AS82" i="9" s="1"/>
  <c r="AC83" i="9"/>
  <c r="AS83" i="9" s="1"/>
  <c r="AC84" i="9"/>
  <c r="AS84" i="9" s="1"/>
  <c r="AC85" i="9"/>
  <c r="AS85" i="9" s="1"/>
  <c r="AC86" i="9"/>
  <c r="AS86" i="9" s="1"/>
  <c r="AC87" i="9"/>
  <c r="AS87" i="9" s="1"/>
  <c r="AC88" i="9"/>
  <c r="AS88" i="9" s="1"/>
  <c r="AC92" i="9"/>
  <c r="AS92" i="9" s="1"/>
  <c r="AC93" i="9"/>
  <c r="AS93" i="9" s="1"/>
  <c r="AC94" i="9"/>
  <c r="AS94" i="9" s="1"/>
  <c r="AC95" i="9"/>
  <c r="AS95" i="9" s="1"/>
  <c r="AC96" i="9"/>
  <c r="AS96" i="9" s="1"/>
  <c r="AC97" i="9"/>
  <c r="AS97" i="9" s="1"/>
  <c r="AC98" i="9"/>
  <c r="AS98" i="9" s="1"/>
  <c r="AC99" i="9"/>
  <c r="AS99" i="9" s="1"/>
  <c r="AC103" i="9"/>
  <c r="AS103" i="9" s="1"/>
  <c r="AC144" i="9"/>
  <c r="AS144" i="9" s="1"/>
  <c r="AC145" i="9"/>
  <c r="AS145" i="9" s="1"/>
  <c r="AC146" i="9"/>
  <c r="AS146" i="9" s="1"/>
  <c r="AC147" i="9"/>
  <c r="AS147" i="9" s="1"/>
  <c r="AC175" i="9"/>
  <c r="AS175" i="9" s="1"/>
  <c r="AC176" i="9"/>
  <c r="AS176" i="9" s="1"/>
  <c r="AC177" i="9"/>
  <c r="AS177" i="9" s="1"/>
  <c r="AC178" i="9"/>
  <c r="AS178" i="9" s="1"/>
  <c r="AC195" i="9"/>
  <c r="AS195" i="9" s="1"/>
  <c r="AC197" i="9"/>
  <c r="AS197" i="9" s="1"/>
  <c r="AC153" i="9"/>
  <c r="AS153" i="9" s="1"/>
  <c r="AC154" i="9"/>
  <c r="AS154" i="9" s="1"/>
  <c r="AC155" i="9"/>
  <c r="AS155" i="9" s="1"/>
  <c r="AC156" i="9"/>
  <c r="AS156" i="9" s="1"/>
  <c r="AC157" i="9"/>
  <c r="AS157" i="9" s="1"/>
  <c r="AC158" i="9"/>
  <c r="AS158" i="9" s="1"/>
  <c r="AC159" i="9"/>
  <c r="AS159" i="9" s="1"/>
  <c r="AC160" i="9"/>
  <c r="AS160" i="9" s="1"/>
  <c r="AC161" i="9"/>
  <c r="AS161" i="9" s="1"/>
  <c r="AC162" i="9"/>
  <c r="AS162" i="9" s="1"/>
  <c r="AC163" i="9"/>
  <c r="AS163" i="9" s="1"/>
  <c r="AC164" i="9"/>
  <c r="AS164" i="9" s="1"/>
  <c r="AC168" i="9"/>
  <c r="AS168" i="9" s="1"/>
  <c r="AC169" i="9"/>
  <c r="AS169" i="9" s="1"/>
  <c r="AC170" i="9"/>
  <c r="AS170" i="9" s="1"/>
  <c r="AC171" i="9"/>
  <c r="AS171" i="9" s="1"/>
  <c r="AC183" i="9"/>
  <c r="AS183" i="9" s="1"/>
  <c r="AC185" i="9"/>
  <c r="AS185" i="9" s="1"/>
  <c r="AC187" i="9"/>
  <c r="AS187" i="9" s="1"/>
  <c r="AC189" i="9"/>
  <c r="AS189" i="9" s="1"/>
  <c r="AC202" i="9"/>
  <c r="AS202" i="9" s="1"/>
  <c r="AC204" i="9"/>
  <c r="AS204" i="9" s="1"/>
  <c r="AC216" i="9"/>
  <c r="AS216" i="9" s="1"/>
  <c r="AC223" i="9"/>
  <c r="AS223" i="9" s="1"/>
  <c r="AC224" i="9"/>
  <c r="AS224" i="9" s="1"/>
  <c r="AC226" i="9"/>
  <c r="AS226" i="9" s="1"/>
  <c r="AC228" i="9"/>
  <c r="AS228" i="9" s="1"/>
  <c r="AC230" i="9"/>
  <c r="AS230" i="9" s="1"/>
  <c r="AC244" i="9"/>
  <c r="AS244" i="9" s="1"/>
  <c r="AC245" i="9"/>
  <c r="AS245" i="9" s="1"/>
  <c r="AC246" i="9"/>
  <c r="AS246" i="9" s="1"/>
  <c r="AC252" i="9"/>
  <c r="AS252" i="9" s="1"/>
  <c r="AC254" i="9"/>
  <c r="AS254" i="9" s="1"/>
  <c r="AC255" i="9"/>
  <c r="AS255" i="9" s="1"/>
  <c r="AC256" i="9"/>
  <c r="AS256" i="9" s="1"/>
  <c r="AC258" i="9"/>
  <c r="AS258" i="9" s="1"/>
  <c r="AC260" i="9"/>
  <c r="AS260" i="9" s="1"/>
  <c r="AC273" i="9"/>
  <c r="AS273" i="9" s="1"/>
  <c r="AC274" i="9"/>
  <c r="AS274" i="9" s="1"/>
  <c r="AC276" i="9"/>
  <c r="AS276" i="9" s="1"/>
  <c r="AC277" i="9"/>
  <c r="AS277" i="9" s="1"/>
  <c r="AC278" i="9"/>
  <c r="AS278" i="9" s="1"/>
  <c r="AC280" i="9"/>
  <c r="AS280" i="9" s="1"/>
  <c r="AC281" i="9"/>
  <c r="AS281" i="9" s="1"/>
  <c r="AC282" i="9"/>
  <c r="AS282" i="9" s="1"/>
  <c r="AC284" i="9"/>
  <c r="AS284" i="9" s="1"/>
  <c r="AC285" i="9"/>
  <c r="AS285" i="9" s="1"/>
  <c r="AC286" i="9"/>
  <c r="AS286" i="9" s="1"/>
  <c r="AC290" i="9"/>
  <c r="AS290" i="9" s="1"/>
  <c r="AC294" i="9"/>
  <c r="AS294" i="9" s="1"/>
  <c r="AC210" i="9"/>
  <c r="AS210" i="9" s="1"/>
  <c r="AC235" i="9"/>
  <c r="AS235" i="9" s="1"/>
  <c r="AC237" i="9"/>
  <c r="AS237" i="9" s="1"/>
  <c r="AC239" i="9"/>
  <c r="AS239" i="9" s="1"/>
  <c r="AC248" i="9"/>
  <c r="AS248" i="9" s="1"/>
  <c r="AC264" i="9"/>
  <c r="AS264" i="9" s="1"/>
  <c r="AC266" i="9"/>
  <c r="AS266" i="9" s="1"/>
  <c r="AC268" i="9"/>
  <c r="AS268" i="9" s="1"/>
  <c r="AC305" i="9"/>
  <c r="AS305" i="9" s="1"/>
  <c r="AC309" i="9"/>
  <c r="AS309" i="9" s="1"/>
  <c r="AC321" i="9"/>
  <c r="AS321" i="9" s="1"/>
  <c r="AC326" i="9"/>
  <c r="AS326" i="9" s="1"/>
  <c r="AC329" i="9"/>
  <c r="AS329" i="9" s="1"/>
  <c r="AC331" i="9"/>
  <c r="AS331" i="9" s="1"/>
  <c r="AC333" i="9"/>
  <c r="AS333" i="9" s="1"/>
  <c r="AC353" i="9"/>
  <c r="AS353" i="9" s="1"/>
  <c r="AC354" i="9"/>
  <c r="AS354" i="9" s="1"/>
  <c r="AC317" i="9"/>
  <c r="AS317" i="9" s="1"/>
  <c r="AC337" i="9"/>
  <c r="AS337" i="9" s="1"/>
  <c r="AC338" i="9"/>
  <c r="AS338" i="9" s="1"/>
  <c r="AC339" i="9"/>
  <c r="AS339" i="9" s="1"/>
  <c r="AC340" i="9"/>
  <c r="AS340" i="9" s="1"/>
  <c r="AC341" i="9"/>
  <c r="AS341" i="9" s="1"/>
  <c r="AC342" i="9"/>
  <c r="AS342" i="9" s="1"/>
  <c r="AC355" i="9"/>
  <c r="AS355" i="9" s="1"/>
  <c r="AC356" i="9"/>
  <c r="AS356" i="9" s="1"/>
  <c r="AC357" i="9"/>
  <c r="AS357" i="9" s="1"/>
  <c r="AC358" i="9"/>
  <c r="AS358" i="9" s="1"/>
  <c r="AC362" i="9"/>
  <c r="AS362" i="9" s="1"/>
  <c r="AC369" i="9"/>
  <c r="AS369" i="9" s="1"/>
  <c r="AC361" i="9"/>
  <c r="AS361" i="9" s="1"/>
  <c r="AC363" i="9"/>
  <c r="AS363" i="9" s="1"/>
  <c r="AC364" i="9"/>
  <c r="AS364" i="9" s="1"/>
  <c r="AC366" i="9"/>
  <c r="AS366" i="9" s="1"/>
  <c r="AC377" i="9"/>
  <c r="AS377" i="9" s="1"/>
  <c r="AC381" i="9"/>
  <c r="AS381" i="9" s="1"/>
  <c r="AC388" i="9"/>
  <c r="AS388" i="9" s="1"/>
  <c r="AC392" i="9"/>
  <c r="AS392" i="9" s="1"/>
  <c r="AC400" i="9"/>
  <c r="AS400" i="9" s="1"/>
  <c r="AC402" i="9"/>
  <c r="AS402" i="9" s="1"/>
  <c r="AC407" i="9"/>
  <c r="AS407" i="9" s="1"/>
  <c r="AC409" i="9"/>
  <c r="AS409" i="9" s="1"/>
  <c r="AC411" i="9"/>
  <c r="AS411" i="9" s="1"/>
  <c r="AC428" i="9"/>
  <c r="AS428" i="9" s="1"/>
  <c r="AC429" i="9"/>
  <c r="AS429" i="9" s="1"/>
  <c r="AC430" i="9"/>
  <c r="AS430" i="9" s="1"/>
  <c r="AC403" i="9"/>
  <c r="AS403" i="9" s="1"/>
  <c r="AC415" i="9"/>
  <c r="AS415" i="9" s="1"/>
  <c r="AC420" i="9"/>
  <c r="AS420" i="9" s="1"/>
  <c r="AC421" i="9"/>
  <c r="AS421" i="9" s="1"/>
  <c r="AC422" i="9"/>
  <c r="AS422" i="9" s="1"/>
  <c r="AC423" i="9"/>
  <c r="AS423" i="9" s="1"/>
  <c r="AC424" i="9"/>
  <c r="AS424" i="9" s="1"/>
  <c r="AC425" i="9"/>
  <c r="AS425" i="9" s="1"/>
  <c r="AC432" i="9"/>
  <c r="AS432" i="9" s="1"/>
  <c r="AC437" i="9"/>
  <c r="AS437" i="9" s="1"/>
  <c r="AC438" i="9"/>
  <c r="AS438" i="9" s="1"/>
  <c r="AC443" i="9"/>
  <c r="AS443" i="9" s="1"/>
  <c r="AC446" i="9"/>
  <c r="AS446" i="9" s="1"/>
  <c r="AC225" i="9"/>
  <c r="AS225" i="9" s="1"/>
  <c r="AC227" i="9"/>
  <c r="AS227" i="9" s="1"/>
  <c r="AC229" i="9"/>
  <c r="AS229" i="9" s="1"/>
  <c r="AC231" i="9"/>
  <c r="AS231" i="9" s="1"/>
  <c r="AC253" i="9"/>
  <c r="AS253" i="9" s="1"/>
  <c r="AC257" i="9"/>
  <c r="AS257" i="9" s="1"/>
  <c r="AC259" i="9"/>
  <c r="AS259" i="9" s="1"/>
  <c r="AC275" i="9"/>
  <c r="AS275" i="9" s="1"/>
  <c r="AC279" i="9"/>
  <c r="AS279" i="9" s="1"/>
  <c r="AC283" i="9"/>
  <c r="AS283" i="9" s="1"/>
  <c r="AC291" i="9"/>
  <c r="AS291" i="9" s="1"/>
  <c r="AC292" i="9"/>
  <c r="AS292" i="9" s="1"/>
  <c r="AC293" i="9"/>
  <c r="AS293" i="9" s="1"/>
  <c r="AC306" i="9"/>
  <c r="AS306" i="9" s="1"/>
  <c r="AC308" i="9"/>
  <c r="AS308" i="9" s="1"/>
  <c r="AC310" i="9"/>
  <c r="AS310" i="9" s="1"/>
  <c r="AC322" i="9"/>
  <c r="AS322" i="9" s="1"/>
  <c r="AC324" i="9"/>
  <c r="AS324" i="9" s="1"/>
  <c r="AC330" i="9"/>
  <c r="AS330" i="9" s="1"/>
  <c r="AC332" i="9"/>
  <c r="AS332" i="9" s="1"/>
  <c r="AC334" i="9"/>
  <c r="AS334" i="9" s="1"/>
  <c r="AC209" i="9"/>
  <c r="AS209" i="9" s="1"/>
  <c r="AC211" i="9"/>
  <c r="AS211" i="9" s="1"/>
  <c r="AC236" i="9"/>
  <c r="AS236" i="9" s="1"/>
  <c r="AC238" i="9"/>
  <c r="AS238" i="9" s="1"/>
  <c r="AC240" i="9"/>
  <c r="AS240" i="9" s="1"/>
  <c r="AC247" i="9"/>
  <c r="AS247" i="9" s="1"/>
  <c r="AC265" i="9"/>
  <c r="AS265" i="9" s="1"/>
  <c r="AC267" i="9"/>
  <c r="AS267" i="9" s="1"/>
  <c r="AC269" i="9"/>
  <c r="AS269" i="9" s="1"/>
  <c r="AC307" i="9"/>
  <c r="AS307" i="9" s="1"/>
  <c r="AC323" i="9"/>
  <c r="AS323" i="9" s="1"/>
  <c r="AC345" i="9"/>
  <c r="AS345" i="9" s="1"/>
  <c r="AC346" i="9"/>
  <c r="AS346" i="9" s="1"/>
  <c r="AC347" i="9"/>
  <c r="AS347" i="9" s="1"/>
  <c r="AC348" i="9"/>
  <c r="AS348" i="9" s="1"/>
  <c r="AC349" i="9"/>
  <c r="AS349" i="9" s="1"/>
  <c r="AC350" i="9"/>
  <c r="AS350" i="9" s="1"/>
  <c r="AC313" i="9"/>
  <c r="AS313" i="9" s="1"/>
  <c r="AC314" i="9"/>
  <c r="AS314" i="9" s="1"/>
  <c r="AC315" i="9"/>
  <c r="AS315" i="9" s="1"/>
  <c r="AC316" i="9"/>
  <c r="AS316" i="9" s="1"/>
  <c r="AC318" i="9"/>
  <c r="AS318" i="9" s="1"/>
  <c r="AC325" i="9"/>
  <c r="AS325" i="9" s="1"/>
  <c r="AC370" i="9"/>
  <c r="AS370" i="9" s="1"/>
  <c r="AC371" i="9"/>
  <c r="AS371" i="9" s="1"/>
  <c r="AC372" i="9"/>
  <c r="AS372" i="9" s="1"/>
  <c r="AC373" i="9"/>
  <c r="AS373" i="9" s="1"/>
  <c r="AC374" i="9"/>
  <c r="AS374" i="9" s="1"/>
  <c r="AC397" i="9"/>
  <c r="AS397" i="9" s="1"/>
  <c r="AC398" i="9"/>
  <c r="AS398" i="9" s="1"/>
  <c r="AC365" i="9"/>
  <c r="AS365" i="9" s="1"/>
  <c r="AC378" i="9"/>
  <c r="AS378" i="9" s="1"/>
  <c r="AC379" i="9"/>
  <c r="AS379" i="9" s="1"/>
  <c r="AC380" i="9"/>
  <c r="AS380" i="9" s="1"/>
  <c r="AC382" i="9"/>
  <c r="AS382" i="9" s="1"/>
  <c r="AC386" i="9"/>
  <c r="AS386" i="9" s="1"/>
  <c r="AC387" i="9"/>
  <c r="AS387" i="9" s="1"/>
  <c r="AC389" i="9"/>
  <c r="AS389" i="9" s="1"/>
  <c r="AC390" i="9"/>
  <c r="AS390" i="9" s="1"/>
  <c r="AC391" i="9"/>
  <c r="AS391" i="9" s="1"/>
  <c r="AC393" i="9"/>
  <c r="AS393" i="9" s="1"/>
  <c r="AC394" i="9"/>
  <c r="AS394" i="9" s="1"/>
  <c r="AC399" i="9"/>
  <c r="AS399" i="9" s="1"/>
  <c r="AC401" i="9"/>
  <c r="AS401" i="9" s="1"/>
  <c r="AC408" i="9"/>
  <c r="AS408" i="9" s="1"/>
  <c r="AC410" i="9"/>
  <c r="AS410" i="9" s="1"/>
  <c r="AC404" i="9"/>
  <c r="AS404" i="9" s="1"/>
  <c r="AC414" i="9"/>
  <c r="AS414" i="9" s="1"/>
  <c r="AC416" i="9"/>
  <c r="AS416" i="9" s="1"/>
  <c r="AC417" i="9"/>
  <c r="AS417" i="9" s="1"/>
  <c r="AC431" i="9"/>
  <c r="AS431" i="9" s="1"/>
  <c r="AC439" i="9"/>
  <c r="AS439" i="9" s="1"/>
  <c r="AC435" i="9"/>
  <c r="AS435" i="9" s="1"/>
  <c r="AC436" i="9"/>
  <c r="AS436" i="9" s="1"/>
  <c r="AC442" i="9"/>
  <c r="AS442" i="9" s="1"/>
  <c r="AC444" i="9"/>
  <c r="AS444" i="9" s="1"/>
  <c r="AC445" i="9"/>
  <c r="AS445" i="9" s="1"/>
  <c r="AC447" i="9"/>
  <c r="AS447" i="9" s="1"/>
  <c r="AC448" i="9"/>
  <c r="AS448" i="9" s="1"/>
  <c r="AC449" i="9"/>
  <c r="AS449" i="9" s="1"/>
  <c r="AC450" i="9"/>
  <c r="AS450" i="9" s="1"/>
  <c r="AC451" i="9"/>
  <c r="AS451" i="9" s="1"/>
  <c r="AC452" i="9"/>
  <c r="AS452" i="9" s="1"/>
  <c r="AC232" i="9"/>
  <c r="AS232" i="9" s="1"/>
  <c r="AC125" i="9"/>
  <c r="AS125" i="9" s="1"/>
  <c r="AC107" i="9"/>
  <c r="AS107" i="9" s="1"/>
  <c r="AC74" i="9"/>
  <c r="AS74" i="9" s="1"/>
  <c r="AC44" i="9"/>
  <c r="AS44" i="9" s="1"/>
  <c r="AC35" i="9"/>
  <c r="AS35" i="9" s="1"/>
  <c r="AC19" i="9"/>
  <c r="AS19" i="9" s="1"/>
  <c r="AC206" i="9"/>
  <c r="AS206" i="9" s="1"/>
  <c r="AC249" i="9"/>
  <c r="AS249" i="9" s="1"/>
  <c r="AC383" i="9"/>
  <c r="AC295" i="9"/>
  <c r="AS295" i="9" s="1"/>
  <c r="AC179" i="9"/>
  <c r="AS179" i="9" s="1"/>
  <c r="AC212" i="9"/>
  <c r="AS212" i="9" s="1"/>
  <c r="AC270" i="9"/>
  <c r="AS270" i="9" s="1"/>
  <c r="AC172" i="9"/>
  <c r="AS172" i="9" s="1"/>
  <c r="AC115" i="9"/>
  <c r="AS115" i="9" s="1"/>
  <c r="AC51" i="9"/>
  <c r="AS51" i="9" s="1"/>
  <c r="AC27" i="9"/>
  <c r="AC148" i="9"/>
  <c r="AS148" i="9" s="1"/>
  <c r="AC218" i="9"/>
  <c r="AS218" i="9" s="1"/>
  <c r="AC191" i="9"/>
  <c r="AS191" i="9" s="1"/>
  <c r="AC199" i="9"/>
  <c r="AS199" i="9" s="1"/>
  <c r="AC241" i="9"/>
  <c r="AS241" i="9" s="1"/>
  <c r="AC261" i="9"/>
  <c r="AS261" i="9" s="1"/>
  <c r="AC16" i="8"/>
  <c r="AS16" i="8" s="1"/>
  <c r="AC18" i="8"/>
  <c r="AS18" i="8" s="1"/>
  <c r="AC24" i="8"/>
  <c r="AS24" i="8" s="1"/>
  <c r="AC26" i="8"/>
  <c r="AS26" i="8" s="1"/>
  <c r="AC31" i="8"/>
  <c r="AS31" i="8" s="1"/>
  <c r="AC241" i="8"/>
  <c r="AS241" i="8" s="1"/>
  <c r="AC232" i="8"/>
  <c r="AS232" i="8" s="1"/>
  <c r="AC212" i="8"/>
  <c r="AS212" i="8" s="1"/>
  <c r="AC19" i="8"/>
  <c r="AS19" i="8" s="1"/>
  <c r="AC44" i="8"/>
  <c r="AS44" i="8" s="1"/>
  <c r="AC179" i="8"/>
  <c r="AS179" i="8" s="1"/>
  <c r="AC206" i="8"/>
  <c r="AS206" i="8" s="1"/>
  <c r="AC35" i="8"/>
  <c r="AS35" i="8" s="1"/>
  <c r="AC115" i="8"/>
  <c r="AS115" i="8" s="1"/>
  <c r="AC199" i="8"/>
  <c r="AS199" i="8" s="1"/>
  <c r="AC249" i="8"/>
  <c r="AS249" i="8" s="1"/>
  <c r="AC74" i="8"/>
  <c r="AS74" i="8" s="1"/>
  <c r="AC148" i="8"/>
  <c r="AS148" i="8" s="1"/>
  <c r="AC27" i="8"/>
  <c r="AC51" i="8"/>
  <c r="AS51" i="8" s="1"/>
  <c r="AC107" i="8"/>
  <c r="AS107" i="8" s="1"/>
  <c r="AC125" i="8"/>
  <c r="AS125" i="8" s="1"/>
  <c r="AC172" i="8"/>
  <c r="AS172" i="8" s="1"/>
  <c r="AC383" i="8"/>
  <c r="AC191" i="8"/>
  <c r="AS191" i="8" s="1"/>
  <c r="AC218" i="8"/>
  <c r="AS218" i="8" s="1"/>
  <c r="AC261" i="8"/>
  <c r="AS261" i="8" s="1"/>
  <c r="AC295" i="8"/>
  <c r="AS295" i="8" s="1"/>
  <c r="AC270" i="8"/>
  <c r="AS270" i="8" s="1"/>
  <c r="AC112" i="8"/>
  <c r="AS112" i="8" s="1"/>
  <c r="AC114" i="8"/>
  <c r="AS114" i="8" s="1"/>
  <c r="AC154" i="8"/>
  <c r="AS154" i="8" s="1"/>
  <c r="AC156" i="8"/>
  <c r="AS156" i="8" s="1"/>
  <c r="AC158" i="8"/>
  <c r="AS158" i="8" s="1"/>
  <c r="AC160" i="8"/>
  <c r="AS160" i="8" s="1"/>
  <c r="AC162" i="8"/>
  <c r="AS162" i="8" s="1"/>
  <c r="AC164" i="8"/>
  <c r="AS164" i="8" s="1"/>
  <c r="AC169" i="8"/>
  <c r="AS169" i="8" s="1"/>
  <c r="AC171" i="8"/>
  <c r="AS171" i="8" s="1"/>
  <c r="AC222" i="8"/>
  <c r="AS222" i="8" s="1"/>
  <c r="AC224" i="8"/>
  <c r="AS224" i="8" s="1"/>
  <c r="AC226" i="8"/>
  <c r="AS226" i="8" s="1"/>
  <c r="AC230" i="8"/>
  <c r="AS230" i="8" s="1"/>
  <c r="AC235" i="8"/>
  <c r="AS235" i="8" s="1"/>
  <c r="AC237" i="8"/>
  <c r="AS237" i="8" s="1"/>
  <c r="AC239" i="8"/>
  <c r="AS239" i="8" s="1"/>
  <c r="AC244" i="8"/>
  <c r="AS244" i="8" s="1"/>
  <c r="AC305" i="8"/>
  <c r="AS305" i="8" s="1"/>
  <c r="AC382" i="8"/>
  <c r="AS382" i="8" s="1"/>
  <c r="AC387" i="8"/>
  <c r="AS387" i="8" s="1"/>
  <c r="AC389" i="8"/>
  <c r="AS389" i="8" s="1"/>
  <c r="AC391" i="8"/>
  <c r="AS391" i="8" s="1"/>
  <c r="AC415" i="8"/>
  <c r="AS415" i="8" s="1"/>
  <c r="AC421" i="8"/>
  <c r="AS421" i="8" s="1"/>
  <c r="AC423" i="8"/>
  <c r="AS423" i="8" s="1"/>
  <c r="AC425" i="8"/>
  <c r="AS425" i="8" s="1"/>
  <c r="AC439" i="8"/>
  <c r="AS439" i="8" s="1"/>
  <c r="AC443" i="8"/>
  <c r="AS443" i="8" s="1"/>
  <c r="AC445" i="8"/>
  <c r="AS445" i="8" s="1"/>
  <c r="AC447" i="8"/>
  <c r="AS447" i="8" s="1"/>
  <c r="AC449" i="8"/>
  <c r="AS449" i="8" s="1"/>
  <c r="AC451" i="8"/>
  <c r="AS451" i="8" s="1"/>
  <c r="AC15" i="8"/>
  <c r="AS15" i="8" s="1"/>
  <c r="AC39" i="8"/>
  <c r="AS39" i="8" s="1"/>
  <c r="AC41" i="8"/>
  <c r="AS41" i="8" s="1"/>
  <c r="AC43" i="8"/>
  <c r="AS43" i="8" s="1"/>
  <c r="AC122" i="8"/>
  <c r="AS122" i="8" s="1"/>
  <c r="AC124" i="8"/>
  <c r="AS124" i="8" s="1"/>
  <c r="AC131" i="8"/>
  <c r="AS131" i="8" s="1"/>
  <c r="AC133" i="8"/>
  <c r="AS133" i="8" s="1"/>
  <c r="AC135" i="8"/>
  <c r="AS135" i="8" s="1"/>
  <c r="AC137" i="8"/>
  <c r="AS137" i="8" s="1"/>
  <c r="AC139" i="8"/>
  <c r="AS139" i="8" s="1"/>
  <c r="AC182" i="8"/>
  <c r="AS182" i="8" s="1"/>
  <c r="AC217" i="8"/>
  <c r="AS217" i="8" s="1"/>
  <c r="AC223" i="8"/>
  <c r="AS223" i="8" s="1"/>
  <c r="AC225" i="8"/>
  <c r="AS225" i="8" s="1"/>
  <c r="AC227" i="8"/>
  <c r="AS227" i="8" s="1"/>
  <c r="AC229" i="8"/>
  <c r="AS229" i="8" s="1"/>
  <c r="AC231" i="8"/>
  <c r="AS231" i="8" s="1"/>
  <c r="AC236" i="8"/>
  <c r="AS236" i="8" s="1"/>
  <c r="AC238" i="8"/>
  <c r="AS238" i="8" s="1"/>
  <c r="AC240" i="8"/>
  <c r="AS240" i="8" s="1"/>
  <c r="AC247" i="8"/>
  <c r="AS247" i="8" s="1"/>
  <c r="AC252" i="8"/>
  <c r="AS252" i="8" s="1"/>
  <c r="AC254" i="8"/>
  <c r="AS254" i="8" s="1"/>
  <c r="AC308" i="8"/>
  <c r="AS308" i="8" s="1"/>
  <c r="AC310" i="8"/>
  <c r="AS310" i="8" s="1"/>
  <c r="AC316" i="8"/>
  <c r="AS316" i="8" s="1"/>
  <c r="AC322" i="8"/>
  <c r="AS322" i="8" s="1"/>
  <c r="AC324" i="8"/>
  <c r="AS324" i="8" s="1"/>
  <c r="AC326" i="8"/>
  <c r="AS326" i="8" s="1"/>
  <c r="AC356" i="8"/>
  <c r="AS356" i="8" s="1"/>
  <c r="AC362" i="8"/>
  <c r="AS362" i="8" s="1"/>
  <c r="AC364" i="8"/>
  <c r="AS364" i="8" s="1"/>
  <c r="AC366" i="8"/>
  <c r="AS366" i="8" s="1"/>
  <c r="AM375" i="8"/>
  <c r="AM369" i="8"/>
  <c r="AC370" i="8"/>
  <c r="AS370" i="8" s="1"/>
  <c r="AC372" i="8"/>
  <c r="AS372" i="8" s="1"/>
  <c r="AC374" i="8"/>
  <c r="AS374" i="8" s="1"/>
  <c r="AM383" i="8"/>
  <c r="AM377" i="8"/>
  <c r="AC378" i="8"/>
  <c r="AS378" i="8" s="1"/>
  <c r="AC430" i="8"/>
  <c r="AS430" i="8" s="1"/>
  <c r="AC432" i="8"/>
  <c r="AS432" i="8" s="1"/>
  <c r="AC40" i="8"/>
  <c r="AS40" i="8" s="1"/>
  <c r="AC42" i="8"/>
  <c r="AS42" i="8" s="1"/>
  <c r="AC105" i="8"/>
  <c r="AS105" i="8" s="1"/>
  <c r="AC111" i="8"/>
  <c r="AS111" i="8" s="1"/>
  <c r="AC123" i="8"/>
  <c r="AS123" i="8" s="1"/>
  <c r="AC130" i="8"/>
  <c r="AS130" i="8" s="1"/>
  <c r="AC132" i="8"/>
  <c r="AS132" i="8" s="1"/>
  <c r="AC134" i="8"/>
  <c r="AS134" i="8" s="1"/>
  <c r="AC136" i="8"/>
  <c r="AS136" i="8" s="1"/>
  <c r="AC138" i="8"/>
  <c r="AS138" i="8" s="1"/>
  <c r="AC140" i="8"/>
  <c r="AS140" i="8" s="1"/>
  <c r="AC246" i="8"/>
  <c r="AS246" i="8" s="1"/>
  <c r="AC257" i="8"/>
  <c r="AS257" i="8" s="1"/>
  <c r="AC259" i="8"/>
  <c r="AS259" i="8" s="1"/>
  <c r="AC264" i="8"/>
  <c r="AS264" i="8" s="1"/>
  <c r="AC266" i="8"/>
  <c r="AS266" i="8" s="1"/>
  <c r="AC268" i="8"/>
  <c r="AS268" i="8" s="1"/>
  <c r="AC273" i="8"/>
  <c r="AS273" i="8" s="1"/>
  <c r="AC275" i="8"/>
  <c r="AS275" i="8" s="1"/>
  <c r="AC277" i="8"/>
  <c r="AS277" i="8" s="1"/>
  <c r="AC279" i="8"/>
  <c r="AS279" i="8" s="1"/>
  <c r="AC281" i="8"/>
  <c r="AS281" i="8" s="1"/>
  <c r="AC283" i="8"/>
  <c r="AS283" i="8" s="1"/>
  <c r="AC285" i="8"/>
  <c r="AS285" i="8" s="1"/>
  <c r="AC313" i="8"/>
  <c r="AS313" i="8" s="1"/>
  <c r="AC315" i="8"/>
  <c r="AS315" i="8" s="1"/>
  <c r="AC317" i="8"/>
  <c r="AS317" i="8" s="1"/>
  <c r="AC323" i="8"/>
  <c r="AS323" i="8" s="1"/>
  <c r="AC325" i="8"/>
  <c r="AS325" i="8" s="1"/>
  <c r="AC329" i="8"/>
  <c r="AS329" i="8" s="1"/>
  <c r="AC341" i="8"/>
  <c r="AS341" i="8" s="1"/>
  <c r="AC347" i="8"/>
  <c r="AS347" i="8" s="1"/>
  <c r="AC353" i="8"/>
  <c r="AS353" i="8" s="1"/>
  <c r="AC365" i="8"/>
  <c r="AS365" i="8" s="1"/>
  <c r="AC417" i="8"/>
  <c r="AS417" i="8" s="1"/>
  <c r="AC33" i="8"/>
  <c r="AS33" i="8" s="1"/>
  <c r="AC38" i="8"/>
  <c r="AS38" i="8" s="1"/>
  <c r="AC23" i="8"/>
  <c r="AS23" i="8" s="1"/>
  <c r="AC48" i="8"/>
  <c r="AS48" i="8" s="1"/>
  <c r="AC50" i="8"/>
  <c r="AS50" i="8" s="1"/>
  <c r="AC55" i="8"/>
  <c r="AS55" i="8" s="1"/>
  <c r="AC57" i="8"/>
  <c r="AS57" i="8" s="1"/>
  <c r="AC59" i="8"/>
  <c r="AS59" i="8" s="1"/>
  <c r="AC61" i="8"/>
  <c r="AS61" i="8" s="1"/>
  <c r="AC63" i="8"/>
  <c r="AS63" i="8" s="1"/>
  <c r="AC68" i="8"/>
  <c r="AS68" i="8" s="1"/>
  <c r="AC70" i="8"/>
  <c r="AS70" i="8" s="1"/>
  <c r="AC72" i="8"/>
  <c r="AS72" i="8" s="1"/>
  <c r="AC78" i="8"/>
  <c r="AS78" i="8" s="1"/>
  <c r="AC80" i="8"/>
  <c r="AS80" i="8" s="1"/>
  <c r="AC82" i="8"/>
  <c r="AS82" i="8" s="1"/>
  <c r="AC84" i="8"/>
  <c r="AS84" i="8" s="1"/>
  <c r="AC86" i="8"/>
  <c r="AS86" i="8" s="1"/>
  <c r="AC88" i="8"/>
  <c r="AS88" i="8" s="1"/>
  <c r="AC93" i="8"/>
  <c r="AS93" i="8" s="1"/>
  <c r="AC95" i="8"/>
  <c r="AS95" i="8" s="1"/>
  <c r="AC97" i="8"/>
  <c r="AS97" i="8" s="1"/>
  <c r="AC99" i="8"/>
  <c r="AS99" i="8" s="1"/>
  <c r="AC144" i="8"/>
  <c r="AS144" i="8" s="1"/>
  <c r="AM361" i="8"/>
  <c r="AM367" i="8"/>
  <c r="AC17" i="8"/>
  <c r="AS17" i="8" s="1"/>
  <c r="AC30" i="8"/>
  <c r="AS30" i="8" s="1"/>
  <c r="AC32" i="8"/>
  <c r="AS32" i="8" s="1"/>
  <c r="AC34" i="8"/>
  <c r="AS34" i="8" s="1"/>
  <c r="AC145" i="8"/>
  <c r="AS145" i="8" s="1"/>
  <c r="AC147" i="8"/>
  <c r="AS147" i="8" s="1"/>
  <c r="AC176" i="8"/>
  <c r="AS176" i="8" s="1"/>
  <c r="AC178" i="8"/>
  <c r="AS178" i="8" s="1"/>
  <c r="AC183" i="8"/>
  <c r="AS183" i="8" s="1"/>
  <c r="AC185" i="8"/>
  <c r="AS185" i="8" s="1"/>
  <c r="AC187" i="8"/>
  <c r="AS187" i="8" s="1"/>
  <c r="AC189" i="8"/>
  <c r="AS189" i="8" s="1"/>
  <c r="AC195" i="8"/>
  <c r="AS195" i="8" s="1"/>
  <c r="AC197" i="8"/>
  <c r="AS197" i="8" s="1"/>
  <c r="AC202" i="8"/>
  <c r="AS202" i="8" s="1"/>
  <c r="AC204" i="8"/>
  <c r="AS204" i="8" s="1"/>
  <c r="AC209" i="8"/>
  <c r="AS209" i="8" s="1"/>
  <c r="AC211" i="8"/>
  <c r="AS211" i="8" s="1"/>
  <c r="AC216" i="8"/>
  <c r="AS216" i="8" s="1"/>
  <c r="AC228" i="8"/>
  <c r="AS228" i="8" s="1"/>
  <c r="AC253" i="8"/>
  <c r="AS253" i="8" s="1"/>
  <c r="AC321" i="8"/>
  <c r="AS321" i="8" s="1"/>
  <c r="AC337" i="8"/>
  <c r="AS337" i="8" s="1"/>
  <c r="AC377" i="8"/>
  <c r="AS377" i="8" s="1"/>
  <c r="AC380" i="8"/>
  <c r="AS380" i="8" s="1"/>
  <c r="AC393" i="8"/>
  <c r="AS393" i="8" s="1"/>
  <c r="AC397" i="8"/>
  <c r="AS397" i="8" s="1"/>
  <c r="AC399" i="8"/>
  <c r="AS399" i="8" s="1"/>
  <c r="AC401" i="8"/>
  <c r="AS401" i="8" s="1"/>
  <c r="AC403" i="8"/>
  <c r="AS403" i="8" s="1"/>
  <c r="AC407" i="8"/>
  <c r="AS407" i="8" s="1"/>
  <c r="AC409" i="8"/>
  <c r="AS409" i="8" s="1"/>
  <c r="AC411" i="8"/>
  <c r="AS411" i="8" s="1"/>
  <c r="AC429" i="8"/>
  <c r="AS429" i="8" s="1"/>
  <c r="AC431" i="8"/>
  <c r="AS431" i="8" s="1"/>
  <c r="AC435" i="8"/>
  <c r="AS435" i="8" s="1"/>
  <c r="AC437" i="8"/>
  <c r="AS437" i="8" s="1"/>
  <c r="AC104" i="8"/>
  <c r="AS104" i="8" s="1"/>
  <c r="AC106" i="8"/>
  <c r="AS106" i="8" s="1"/>
  <c r="AC146" i="8"/>
  <c r="AS146" i="8" s="1"/>
  <c r="AC153" i="8"/>
  <c r="AS153" i="8" s="1"/>
  <c r="AC155" i="8"/>
  <c r="AS155" i="8" s="1"/>
  <c r="AC157" i="8"/>
  <c r="AS157" i="8" s="1"/>
  <c r="AC159" i="8"/>
  <c r="AS159" i="8" s="1"/>
  <c r="AC161" i="8"/>
  <c r="AS161" i="8" s="1"/>
  <c r="AC163" i="8"/>
  <c r="AS163" i="8" s="1"/>
  <c r="AC168" i="8"/>
  <c r="AS168" i="8" s="1"/>
  <c r="AC170" i="8"/>
  <c r="AS170" i="8" s="1"/>
  <c r="AC175" i="8"/>
  <c r="AS175" i="8" s="1"/>
  <c r="AC177" i="8"/>
  <c r="AS177" i="8" s="1"/>
  <c r="AC184" i="8"/>
  <c r="AS184" i="8" s="1"/>
  <c r="AC186" i="8"/>
  <c r="AS186" i="8" s="1"/>
  <c r="AC188" i="8"/>
  <c r="AS188" i="8" s="1"/>
  <c r="AC190" i="8"/>
  <c r="AS190" i="8" s="1"/>
  <c r="AC196" i="8"/>
  <c r="AS196" i="8" s="1"/>
  <c r="AC198" i="8"/>
  <c r="AS198" i="8" s="1"/>
  <c r="AC203" i="8"/>
  <c r="AS203" i="8" s="1"/>
  <c r="AC205" i="8"/>
  <c r="AS205" i="8" s="1"/>
  <c r="AC210" i="8"/>
  <c r="AS210" i="8" s="1"/>
  <c r="AC215" i="8"/>
  <c r="AS215" i="8" s="1"/>
  <c r="AC245" i="8"/>
  <c r="AS245" i="8" s="1"/>
  <c r="AC256" i="8"/>
  <c r="AS256" i="8" s="1"/>
  <c r="AC258" i="8"/>
  <c r="AS258" i="8" s="1"/>
  <c r="AC260" i="8"/>
  <c r="AS260" i="8" s="1"/>
  <c r="AC265" i="8"/>
  <c r="AS265" i="8" s="1"/>
  <c r="AC267" i="8"/>
  <c r="AS267" i="8" s="1"/>
  <c r="AC269" i="8"/>
  <c r="AS269" i="8" s="1"/>
  <c r="AC274" i="8"/>
  <c r="AS274" i="8" s="1"/>
  <c r="AC276" i="8"/>
  <c r="AS276" i="8" s="1"/>
  <c r="AC278" i="8"/>
  <c r="AS278" i="8" s="1"/>
  <c r="AC280" i="8"/>
  <c r="AS280" i="8" s="1"/>
  <c r="AC282" i="8"/>
  <c r="AS282" i="8" s="1"/>
  <c r="AC284" i="8"/>
  <c r="AS284" i="8" s="1"/>
  <c r="AC286" i="8"/>
  <c r="AS286" i="8" s="1"/>
  <c r="AM296" i="8"/>
  <c r="AM290" i="8"/>
  <c r="AC291" i="8"/>
  <c r="AS291" i="8" s="1"/>
  <c r="AC293" i="8"/>
  <c r="AS293" i="8" s="1"/>
  <c r="AM305" i="8"/>
  <c r="AM311" i="8"/>
  <c r="AC306" i="8"/>
  <c r="AS306" i="8" s="1"/>
  <c r="AM319" i="8"/>
  <c r="AM313" i="8"/>
  <c r="AC314" i="8"/>
  <c r="AS314" i="8" s="1"/>
  <c r="AC318" i="8"/>
  <c r="AS318" i="8" s="1"/>
  <c r="AM321" i="8"/>
  <c r="AM327" i="8"/>
  <c r="AM329" i="8"/>
  <c r="AM335" i="8"/>
  <c r="AC330" i="8"/>
  <c r="AS330" i="8" s="1"/>
  <c r="AC332" i="8"/>
  <c r="AS332" i="8" s="1"/>
  <c r="AC334" i="8"/>
  <c r="AS334" i="8" s="1"/>
  <c r="AM337" i="8"/>
  <c r="AM343" i="8"/>
  <c r="AC338" i="8"/>
  <c r="AS338" i="8" s="1"/>
  <c r="AC340" i="8"/>
  <c r="AS340" i="8" s="1"/>
  <c r="AC342" i="8"/>
  <c r="AS342" i="8" s="1"/>
  <c r="AM351" i="8"/>
  <c r="AM345" i="8"/>
  <c r="AC346" i="8"/>
  <c r="AS346" i="8" s="1"/>
  <c r="AC348" i="8"/>
  <c r="AS348" i="8" s="1"/>
  <c r="AC350" i="8"/>
  <c r="AS350" i="8" s="1"/>
  <c r="AM359" i="8"/>
  <c r="AM353" i="8"/>
  <c r="AC354" i="8"/>
  <c r="AS354" i="8" s="1"/>
  <c r="AC358" i="8"/>
  <c r="AS358" i="8" s="1"/>
  <c r="AC381" i="8"/>
  <c r="AS381" i="8" s="1"/>
  <c r="AC386" i="8"/>
  <c r="AS386" i="8" s="1"/>
  <c r="AC388" i="8"/>
  <c r="AS388" i="8" s="1"/>
  <c r="AC390" i="8"/>
  <c r="AS390" i="8" s="1"/>
  <c r="AC392" i="8"/>
  <c r="AS392" i="8" s="1"/>
  <c r="AC394" i="8"/>
  <c r="AS394" i="8" s="1"/>
  <c r="AC398" i="8"/>
  <c r="AS398" i="8" s="1"/>
  <c r="AC400" i="8"/>
  <c r="AS400" i="8" s="1"/>
  <c r="AC402" i="8"/>
  <c r="AS402" i="8" s="1"/>
  <c r="AC404" i="8"/>
  <c r="AS404" i="8" s="1"/>
  <c r="AC408" i="8"/>
  <c r="AS408" i="8" s="1"/>
  <c r="AC410" i="8"/>
  <c r="AS410" i="8" s="1"/>
  <c r="AC414" i="8"/>
  <c r="AS414" i="8" s="1"/>
  <c r="AC416" i="8"/>
  <c r="AS416" i="8" s="1"/>
  <c r="AC420" i="8"/>
  <c r="AS420" i="8" s="1"/>
  <c r="AC422" i="8"/>
  <c r="AS422" i="8" s="1"/>
  <c r="AC424" i="8"/>
  <c r="AS424" i="8" s="1"/>
  <c r="AC428" i="8"/>
  <c r="AS428" i="8" s="1"/>
  <c r="AC436" i="8"/>
  <c r="AS436" i="8" s="1"/>
  <c r="AC438" i="8"/>
  <c r="AS438" i="8" s="1"/>
  <c r="AM439" i="8"/>
  <c r="AM440" i="8"/>
  <c r="AC442" i="8"/>
  <c r="AS442" i="8" s="1"/>
  <c r="AC444" i="8"/>
  <c r="AS444" i="8" s="1"/>
  <c r="AC446" i="8"/>
  <c r="AS446" i="8" s="1"/>
  <c r="AC448" i="8"/>
  <c r="AS448" i="8" s="1"/>
  <c r="AC450" i="8"/>
  <c r="AS450" i="8" s="1"/>
  <c r="AC452" i="8"/>
  <c r="AS452" i="8" s="1"/>
  <c r="AC25" i="8"/>
  <c r="AS25" i="8" s="1"/>
  <c r="AC47" i="8"/>
  <c r="AS47" i="8" s="1"/>
  <c r="AC49" i="8"/>
  <c r="AS49" i="8" s="1"/>
  <c r="AC54" i="8"/>
  <c r="AS54" i="8" s="1"/>
  <c r="AC56" i="8"/>
  <c r="AS56" i="8" s="1"/>
  <c r="AC58" i="8"/>
  <c r="AS58" i="8" s="1"/>
  <c r="AC60" i="8"/>
  <c r="AS60" i="8" s="1"/>
  <c r="AC62" i="8"/>
  <c r="AS62" i="8" s="1"/>
  <c r="AC64" i="8"/>
  <c r="AS64" i="8" s="1"/>
  <c r="AC69" i="8"/>
  <c r="AS69" i="8" s="1"/>
  <c r="AC71" i="8"/>
  <c r="AS71" i="8" s="1"/>
  <c r="AC73" i="8"/>
  <c r="AS73" i="8" s="1"/>
  <c r="AC79" i="8"/>
  <c r="AS79" i="8" s="1"/>
  <c r="AC81" i="8"/>
  <c r="AS81" i="8" s="1"/>
  <c r="AC83" i="8"/>
  <c r="AS83" i="8" s="1"/>
  <c r="AC85" i="8"/>
  <c r="AS85" i="8" s="1"/>
  <c r="AC87" i="8"/>
  <c r="AS87" i="8" s="1"/>
  <c r="AC92" i="8"/>
  <c r="AS92" i="8" s="1"/>
  <c r="AC94" i="8"/>
  <c r="AS94" i="8" s="1"/>
  <c r="AC96" i="8"/>
  <c r="AS96" i="8" s="1"/>
  <c r="AC98" i="8"/>
  <c r="AS98" i="8" s="1"/>
  <c r="AC103" i="8"/>
  <c r="AS103" i="8" s="1"/>
  <c r="AC113" i="8"/>
  <c r="AS113" i="8" s="1"/>
  <c r="AC121" i="8"/>
  <c r="AS121" i="8" s="1"/>
  <c r="AC248" i="8"/>
  <c r="AS248" i="8" s="1"/>
  <c r="AC255" i="8"/>
  <c r="AS255" i="8" s="1"/>
  <c r="AC290" i="8"/>
  <c r="AS290" i="8" s="1"/>
  <c r="AC292" i="8"/>
  <c r="AS292" i="8" s="1"/>
  <c r="AC294" i="8"/>
  <c r="AS294" i="8" s="1"/>
  <c r="AC307" i="8"/>
  <c r="AS307" i="8" s="1"/>
  <c r="AC309" i="8"/>
  <c r="AS309" i="8" s="1"/>
  <c r="AC331" i="8"/>
  <c r="AS331" i="8" s="1"/>
  <c r="AC333" i="8"/>
  <c r="AS333" i="8" s="1"/>
  <c r="AC339" i="8"/>
  <c r="AS339" i="8" s="1"/>
  <c r="AC345" i="8"/>
  <c r="AS345" i="8" s="1"/>
  <c r="AC349" i="8"/>
  <c r="AS349" i="8" s="1"/>
  <c r="AC355" i="8"/>
  <c r="AS355" i="8" s="1"/>
  <c r="AC357" i="8"/>
  <c r="AS357" i="8" s="1"/>
  <c r="AC361" i="8"/>
  <c r="AS361" i="8" s="1"/>
  <c r="AC363" i="8"/>
  <c r="AS363" i="8" s="1"/>
  <c r="AC369" i="8"/>
  <c r="AS369" i="8" s="1"/>
  <c r="AC371" i="8"/>
  <c r="AS371" i="8" s="1"/>
  <c r="AC373" i="8"/>
  <c r="AS373" i="8" s="1"/>
  <c r="AC379" i="8"/>
  <c r="AS379" i="8" s="1"/>
  <c r="AC24" i="5"/>
  <c r="AS24" i="5" s="1"/>
  <c r="AC26" i="5"/>
  <c r="AS26" i="5" s="1"/>
  <c r="AC31" i="5"/>
  <c r="AS31" i="5" s="1"/>
  <c r="AC38" i="5"/>
  <c r="AS38" i="5" s="1"/>
  <c r="AC40" i="5"/>
  <c r="AS40" i="5" s="1"/>
  <c r="AC42" i="5"/>
  <c r="AS42" i="5" s="1"/>
  <c r="AC49" i="5"/>
  <c r="AS49" i="5" s="1"/>
  <c r="AC54" i="5"/>
  <c r="AS54" i="5" s="1"/>
  <c r="AC56" i="5"/>
  <c r="AS56" i="5" s="1"/>
  <c r="AC58" i="5"/>
  <c r="AS58" i="5" s="1"/>
  <c r="AC60" i="5"/>
  <c r="AS60" i="5" s="1"/>
  <c r="AC62" i="5"/>
  <c r="AS62" i="5" s="1"/>
  <c r="AC64" i="5"/>
  <c r="AS64" i="5" s="1"/>
  <c r="AC69" i="5"/>
  <c r="AS69" i="5" s="1"/>
  <c r="AC71" i="5"/>
  <c r="AS71" i="5" s="1"/>
  <c r="AC73" i="5"/>
  <c r="AS73" i="5" s="1"/>
  <c r="AC79" i="5"/>
  <c r="AS79" i="5" s="1"/>
  <c r="AC81" i="5"/>
  <c r="AS81" i="5" s="1"/>
  <c r="AC83" i="5"/>
  <c r="AS83" i="5" s="1"/>
  <c r="AC85" i="5"/>
  <c r="AS85" i="5" s="1"/>
  <c r="AC92" i="5"/>
  <c r="AS92" i="5" s="1"/>
  <c r="AC94" i="5"/>
  <c r="AS94" i="5" s="1"/>
  <c r="AC96" i="5"/>
  <c r="AS96" i="5" s="1"/>
  <c r="AC98" i="5"/>
  <c r="AS98" i="5" s="1"/>
  <c r="AC105" i="5"/>
  <c r="AS105" i="5" s="1"/>
  <c r="AC113" i="5"/>
  <c r="AS113" i="5" s="1"/>
  <c r="AC123" i="5"/>
  <c r="AS123" i="5" s="1"/>
  <c r="AC136" i="5"/>
  <c r="AS136" i="5" s="1"/>
  <c r="AC246" i="5"/>
  <c r="AS246" i="5" s="1"/>
  <c r="AC248" i="5"/>
  <c r="AS248" i="5" s="1"/>
  <c r="AC257" i="5"/>
  <c r="AS257" i="5" s="1"/>
  <c r="AC264" i="5"/>
  <c r="AS264" i="5" s="1"/>
  <c r="AC266" i="5"/>
  <c r="AS266" i="5" s="1"/>
  <c r="AC268" i="5"/>
  <c r="AS268" i="5" s="1"/>
  <c r="AC273" i="5"/>
  <c r="AS273" i="5" s="1"/>
  <c r="AC275" i="5"/>
  <c r="AS275" i="5" s="1"/>
  <c r="AC277" i="5"/>
  <c r="AS277" i="5" s="1"/>
  <c r="AC279" i="5"/>
  <c r="AS279" i="5" s="1"/>
  <c r="AC281" i="5"/>
  <c r="AS281" i="5" s="1"/>
  <c r="AC283" i="5"/>
  <c r="AS283" i="5" s="1"/>
  <c r="AC285" i="5"/>
  <c r="AS285" i="5" s="1"/>
  <c r="AC314" i="5"/>
  <c r="AS314" i="5" s="1"/>
  <c r="AC318" i="5"/>
  <c r="AS318" i="5" s="1"/>
  <c r="AM296" i="5"/>
  <c r="AM290" i="5"/>
  <c r="AM308" i="5"/>
  <c r="AM311" i="5"/>
  <c r="AM314" i="5"/>
  <c r="AM319" i="5"/>
  <c r="AM324" i="5"/>
  <c r="AM327" i="5"/>
  <c r="AC26" i="3"/>
  <c r="AS26" i="3" s="1"/>
  <c r="AC103" i="3"/>
  <c r="AS103" i="3" s="1"/>
  <c r="AC111" i="3"/>
  <c r="AS111" i="3" s="1"/>
  <c r="AC121" i="3"/>
  <c r="AS121" i="3" s="1"/>
  <c r="AC154" i="3"/>
  <c r="AS154" i="3" s="1"/>
  <c r="AC158" i="3"/>
  <c r="AS158" i="3" s="1"/>
  <c r="AC162" i="3"/>
  <c r="AS162" i="3" s="1"/>
  <c r="AC169" i="3"/>
  <c r="AS169" i="3" s="1"/>
  <c r="AC176" i="3"/>
  <c r="AS176" i="3" s="1"/>
  <c r="AC183" i="3"/>
  <c r="AS183" i="3" s="1"/>
  <c r="AC187" i="3"/>
  <c r="AS187" i="3" s="1"/>
  <c r="AC195" i="3"/>
  <c r="AS195" i="3" s="1"/>
  <c r="AC202" i="3"/>
  <c r="AS202" i="3" s="1"/>
  <c r="AC209" i="3"/>
  <c r="AS209" i="3" s="1"/>
  <c r="AC216" i="3"/>
  <c r="AS216" i="3" s="1"/>
  <c r="AC253" i="3"/>
  <c r="AS253" i="3" s="1"/>
  <c r="AC264" i="3"/>
  <c r="AS264" i="3" s="1"/>
  <c r="AC268" i="3"/>
  <c r="AS268" i="3" s="1"/>
  <c r="AC285" i="3"/>
  <c r="AS285" i="3" s="1"/>
  <c r="AC292" i="3"/>
  <c r="AS292" i="3" s="1"/>
  <c r="AC144" i="3"/>
  <c r="AS144" i="3" s="1"/>
  <c r="AC146" i="3"/>
  <c r="AS146" i="3" s="1"/>
  <c r="AC177" i="3"/>
  <c r="AS177" i="3" s="1"/>
  <c r="AC215" i="3"/>
  <c r="AS215" i="3" s="1"/>
  <c r="AC223" i="3"/>
  <c r="AS223" i="3" s="1"/>
  <c r="AC225" i="3"/>
  <c r="AS225" i="3" s="1"/>
  <c r="AC227" i="3"/>
  <c r="AS227" i="3" s="1"/>
  <c r="AC229" i="3"/>
  <c r="AS229" i="3" s="1"/>
  <c r="AC231" i="3"/>
  <c r="AS231" i="3" s="1"/>
  <c r="AC236" i="3"/>
  <c r="AS236" i="3" s="1"/>
  <c r="AC238" i="3"/>
  <c r="AS238" i="3" s="1"/>
  <c r="AC240" i="3"/>
  <c r="AS240" i="3" s="1"/>
  <c r="AC15" i="3"/>
  <c r="AS15" i="3" s="1"/>
  <c r="AC17" i="3"/>
  <c r="AS17" i="3" s="1"/>
  <c r="AC23" i="3"/>
  <c r="AS23" i="3" s="1"/>
  <c r="AC307" i="3"/>
  <c r="AS307" i="3" s="1"/>
  <c r="AC308" i="3"/>
  <c r="AS308" i="3" s="1"/>
  <c r="AC309" i="3"/>
  <c r="AS309" i="3" s="1"/>
  <c r="AC321" i="3"/>
  <c r="AS321" i="3" s="1"/>
  <c r="AC323" i="3"/>
  <c r="AS323" i="3" s="1"/>
  <c r="AC324" i="3"/>
  <c r="AS324" i="3" s="1"/>
  <c r="AC325" i="3"/>
  <c r="AS325" i="3" s="1"/>
  <c r="AC329" i="3"/>
  <c r="AS329" i="3" s="1"/>
  <c r="AC339" i="3"/>
  <c r="AS339" i="3" s="1"/>
  <c r="AC341" i="3"/>
  <c r="AS341" i="3" s="1"/>
  <c r="AC342" i="3"/>
  <c r="AS342" i="3" s="1"/>
  <c r="AC345" i="3"/>
  <c r="AS345" i="3" s="1"/>
  <c r="AC354" i="3"/>
  <c r="AS354" i="3" s="1"/>
  <c r="AC356" i="3"/>
  <c r="AS356" i="3" s="1"/>
  <c r="AC357" i="3"/>
  <c r="AS357" i="3" s="1"/>
  <c r="AC358" i="3"/>
  <c r="AS358" i="3" s="1"/>
  <c r="AC371" i="3"/>
  <c r="AS371" i="3" s="1"/>
  <c r="AC377" i="3"/>
  <c r="AS377" i="3" s="1"/>
  <c r="AC429" i="3"/>
  <c r="AS429" i="3" s="1"/>
  <c r="AC431" i="3"/>
  <c r="AS431" i="3" s="1"/>
  <c r="AC432" i="3"/>
  <c r="AS432" i="3" s="1"/>
  <c r="AC438" i="3"/>
  <c r="AS438" i="3" s="1"/>
  <c r="AC439" i="3"/>
  <c r="AS439" i="3" s="1"/>
  <c r="AC54" i="3"/>
  <c r="AS54" i="3" s="1"/>
  <c r="AC58" i="3"/>
  <c r="AS58" i="3" s="1"/>
  <c r="AC62" i="3"/>
  <c r="AS62" i="3" s="1"/>
  <c r="AC69" i="3"/>
  <c r="AS69" i="3" s="1"/>
  <c r="AC73" i="3"/>
  <c r="AS73" i="3" s="1"/>
  <c r="AC81" i="3"/>
  <c r="AS81" i="3" s="1"/>
  <c r="AC85" i="3"/>
  <c r="AS85" i="3" s="1"/>
  <c r="AC92" i="3"/>
  <c r="AS92" i="3" s="1"/>
  <c r="AC96" i="3"/>
  <c r="AS96" i="3" s="1"/>
  <c r="AC30" i="3"/>
  <c r="AS30" i="3" s="1"/>
  <c r="AC34" i="3"/>
  <c r="AS34" i="3" s="1"/>
  <c r="AC50" i="3"/>
  <c r="AS50" i="3" s="1"/>
  <c r="AC55" i="3"/>
  <c r="AS55" i="3" s="1"/>
  <c r="AC57" i="3"/>
  <c r="AS57" i="3" s="1"/>
  <c r="AC59" i="3"/>
  <c r="AS59" i="3" s="1"/>
  <c r="AC61" i="3"/>
  <c r="AS61" i="3" s="1"/>
  <c r="AC63" i="3"/>
  <c r="AS63" i="3" s="1"/>
  <c r="AC68" i="3"/>
  <c r="AS68" i="3" s="1"/>
  <c r="AC70" i="3"/>
  <c r="AS70" i="3" s="1"/>
  <c r="AC72" i="3"/>
  <c r="AS72" i="3" s="1"/>
  <c r="AC78" i="3"/>
  <c r="AS78" i="3" s="1"/>
  <c r="AC80" i="3"/>
  <c r="AS80" i="3" s="1"/>
  <c r="AC82" i="3"/>
  <c r="AS82" i="3" s="1"/>
  <c r="AC84" i="3"/>
  <c r="AS84" i="3" s="1"/>
  <c r="AC86" i="3"/>
  <c r="AS86" i="3" s="1"/>
  <c r="AC88" i="3"/>
  <c r="AS88" i="3" s="1"/>
  <c r="AC93" i="3"/>
  <c r="AS93" i="3" s="1"/>
  <c r="AC95" i="3"/>
  <c r="AS95" i="3" s="1"/>
  <c r="AC97" i="3"/>
  <c r="AS97" i="3" s="1"/>
  <c r="AC99" i="3"/>
  <c r="AS99" i="3" s="1"/>
  <c r="AC104" i="3"/>
  <c r="AS104" i="3" s="1"/>
  <c r="AC106" i="3"/>
  <c r="AS106" i="3" s="1"/>
  <c r="AC114" i="3"/>
  <c r="AS114" i="3" s="1"/>
  <c r="AC122" i="3"/>
  <c r="AS122" i="3" s="1"/>
  <c r="AC124" i="3"/>
  <c r="AS124" i="3" s="1"/>
  <c r="AC186" i="3"/>
  <c r="AS186" i="3" s="1"/>
  <c r="AC274" i="3"/>
  <c r="AS274" i="3" s="1"/>
  <c r="AC276" i="3"/>
  <c r="AS276" i="3" s="1"/>
  <c r="AC278" i="3"/>
  <c r="AS278" i="3" s="1"/>
  <c r="AC280" i="3"/>
  <c r="AS280" i="3" s="1"/>
  <c r="AC282" i="3"/>
  <c r="AS282" i="3" s="1"/>
  <c r="AC284" i="3"/>
  <c r="AS284" i="3" s="1"/>
  <c r="AC286" i="3"/>
  <c r="AS286" i="3" s="1"/>
  <c r="AC293" i="3"/>
  <c r="AS293" i="3" s="1"/>
  <c r="AC305" i="5"/>
  <c r="AS305" i="5" s="1"/>
  <c r="AC345" i="5"/>
  <c r="AS345" i="5" s="1"/>
  <c r="AC373" i="5"/>
  <c r="AS373" i="5" s="1"/>
  <c r="AC428" i="5"/>
  <c r="AS428" i="5" s="1"/>
  <c r="AC24" i="3"/>
  <c r="AS24" i="3" s="1"/>
  <c r="AC38" i="3"/>
  <c r="AS38" i="3" s="1"/>
  <c r="AC42" i="3"/>
  <c r="AS42" i="3" s="1"/>
  <c r="AC56" i="3"/>
  <c r="AS56" i="3" s="1"/>
  <c r="AC60" i="3"/>
  <c r="AS60" i="3" s="1"/>
  <c r="AC64" i="3"/>
  <c r="AS64" i="3" s="1"/>
  <c r="AC71" i="3"/>
  <c r="AS71" i="3" s="1"/>
  <c r="AC79" i="3"/>
  <c r="AS79" i="3" s="1"/>
  <c r="AC83" i="3"/>
  <c r="AS83" i="3" s="1"/>
  <c r="AC87" i="3"/>
  <c r="AS87" i="3" s="1"/>
  <c r="AC94" i="3"/>
  <c r="AS94" i="3" s="1"/>
  <c r="AC98" i="3"/>
  <c r="AS98" i="3" s="1"/>
  <c r="AC105" i="3"/>
  <c r="AS105" i="3" s="1"/>
  <c r="AC113" i="3"/>
  <c r="AS113" i="3" s="1"/>
  <c r="AC123" i="3"/>
  <c r="AS123" i="3" s="1"/>
  <c r="AC178" i="3"/>
  <c r="AS178" i="3" s="1"/>
  <c r="AC185" i="3"/>
  <c r="AS185" i="3" s="1"/>
  <c r="AC189" i="3"/>
  <c r="AS189" i="3" s="1"/>
  <c r="AC197" i="3"/>
  <c r="AS197" i="3" s="1"/>
  <c r="AC204" i="3"/>
  <c r="AS204" i="3" s="1"/>
  <c r="AC211" i="3"/>
  <c r="AS211" i="3" s="1"/>
  <c r="AC222" i="3"/>
  <c r="AS222" i="3" s="1"/>
  <c r="AC226" i="3"/>
  <c r="AS226" i="3" s="1"/>
  <c r="AC230" i="3"/>
  <c r="AS230" i="3" s="1"/>
  <c r="AC244" i="3"/>
  <c r="AS244" i="3" s="1"/>
  <c r="AC248" i="3"/>
  <c r="AS248" i="3" s="1"/>
  <c r="AC255" i="3"/>
  <c r="AS255" i="3" s="1"/>
  <c r="AC259" i="3"/>
  <c r="AS259" i="3" s="1"/>
  <c r="AC266" i="3"/>
  <c r="AS266" i="3" s="1"/>
  <c r="AC273" i="3"/>
  <c r="AS273" i="3" s="1"/>
  <c r="AC277" i="3"/>
  <c r="AS277" i="3" s="1"/>
  <c r="AC281" i="3"/>
  <c r="AS281" i="3" s="1"/>
  <c r="AC330" i="5"/>
  <c r="AS330" i="5" s="1"/>
  <c r="AC332" i="5"/>
  <c r="AS332" i="5" s="1"/>
  <c r="AC334" i="5"/>
  <c r="AS334" i="5" s="1"/>
  <c r="AC362" i="5"/>
  <c r="AS362" i="5" s="1"/>
  <c r="AC366" i="5"/>
  <c r="AS366" i="5" s="1"/>
  <c r="AC411" i="5"/>
  <c r="AS411" i="5" s="1"/>
  <c r="AC310" i="3"/>
  <c r="AS310" i="3" s="1"/>
  <c r="AC313" i="3"/>
  <c r="AS313" i="3" s="1"/>
  <c r="AC322" i="3"/>
  <c r="AS322" i="3" s="1"/>
  <c r="AC326" i="3"/>
  <c r="AS326" i="3" s="1"/>
  <c r="AC337" i="3"/>
  <c r="AS337" i="3" s="1"/>
  <c r="AC338" i="3"/>
  <c r="AS338" i="3" s="1"/>
  <c r="AC340" i="3"/>
  <c r="AS340" i="3" s="1"/>
  <c r="AC355" i="3"/>
  <c r="AS355" i="3" s="1"/>
  <c r="AC370" i="3"/>
  <c r="AS370" i="3" s="1"/>
  <c r="AC372" i="3"/>
  <c r="AS372" i="3" s="1"/>
  <c r="AC373" i="3"/>
  <c r="AS373" i="3" s="1"/>
  <c r="AC374" i="3"/>
  <c r="AS374" i="3" s="1"/>
  <c r="AC404" i="3"/>
  <c r="AS404" i="3" s="1"/>
  <c r="AC417" i="3"/>
  <c r="AS417" i="3" s="1"/>
  <c r="AC428" i="3"/>
  <c r="AS428" i="3" s="1"/>
  <c r="AC430" i="3"/>
  <c r="AS430" i="3" s="1"/>
  <c r="AC437" i="3"/>
  <c r="AS437" i="3" s="1"/>
  <c r="AC25" i="3"/>
  <c r="AS25" i="3" s="1"/>
  <c r="AC32" i="3"/>
  <c r="AS32" i="3" s="1"/>
  <c r="AC39" i="3"/>
  <c r="AS39" i="3" s="1"/>
  <c r="AC41" i="3"/>
  <c r="AS41" i="3" s="1"/>
  <c r="AC43" i="3"/>
  <c r="AS43" i="3" s="1"/>
  <c r="AC48" i="3"/>
  <c r="AS48" i="3" s="1"/>
  <c r="AC112" i="3"/>
  <c r="AS112" i="3" s="1"/>
  <c r="AC131" i="3"/>
  <c r="AS131" i="3" s="1"/>
  <c r="AC133" i="3"/>
  <c r="AS133" i="3" s="1"/>
  <c r="AC135" i="3"/>
  <c r="AS135" i="3" s="1"/>
  <c r="AC137" i="3"/>
  <c r="AS137" i="3" s="1"/>
  <c r="AC139" i="3"/>
  <c r="AS139" i="3" s="1"/>
  <c r="AC247" i="3"/>
  <c r="AS247" i="3" s="1"/>
  <c r="AC252" i="3"/>
  <c r="AS252" i="3" s="1"/>
  <c r="AC254" i="3"/>
  <c r="AS254" i="3" s="1"/>
  <c r="AC256" i="3"/>
  <c r="AS256" i="3" s="1"/>
  <c r="AC258" i="3"/>
  <c r="AS258" i="3" s="1"/>
  <c r="AC260" i="3"/>
  <c r="AS260" i="3" s="1"/>
  <c r="AC265" i="3"/>
  <c r="AS265" i="3" s="1"/>
  <c r="AC267" i="3"/>
  <c r="AS267" i="3" s="1"/>
  <c r="AC269" i="3"/>
  <c r="AS269" i="3" s="1"/>
  <c r="AC291" i="3"/>
  <c r="AS291" i="3" s="1"/>
  <c r="AM343" i="5"/>
  <c r="AM367" i="5"/>
  <c r="AM433" i="5"/>
  <c r="AM440" i="7"/>
  <c r="AM440" i="5"/>
  <c r="AC26" i="7"/>
  <c r="AS26" i="7" s="1"/>
  <c r="AC38" i="7"/>
  <c r="AS38" i="7" s="1"/>
  <c r="AC42" i="7"/>
  <c r="AS42" i="7" s="1"/>
  <c r="AC47" i="7"/>
  <c r="AS47" i="7" s="1"/>
  <c r="AC49" i="7"/>
  <c r="AS49" i="7" s="1"/>
  <c r="AC56" i="7"/>
  <c r="AS56" i="7" s="1"/>
  <c r="AC60" i="7"/>
  <c r="AS60" i="7" s="1"/>
  <c r="AC64" i="7"/>
  <c r="AS64" i="7" s="1"/>
  <c r="AC71" i="7"/>
  <c r="AS71" i="7" s="1"/>
  <c r="AC124" i="7"/>
  <c r="AS124" i="7" s="1"/>
  <c r="AC236" i="7"/>
  <c r="AS236" i="7" s="1"/>
  <c r="AC240" i="7"/>
  <c r="AS240" i="7" s="1"/>
  <c r="AC292" i="7"/>
  <c r="AS292" i="7" s="1"/>
  <c r="AM311" i="7"/>
  <c r="AC306" i="7"/>
  <c r="AS306" i="7" s="1"/>
  <c r="AC308" i="7"/>
  <c r="AS308" i="7" s="1"/>
  <c r="AC310" i="7"/>
  <c r="AS310" i="7" s="1"/>
  <c r="AC314" i="7"/>
  <c r="AS314" i="7" s="1"/>
  <c r="AC316" i="7"/>
  <c r="AS316" i="7" s="1"/>
  <c r="AC318" i="7"/>
  <c r="AS318" i="7" s="1"/>
  <c r="AM327" i="7"/>
  <c r="AC322" i="7"/>
  <c r="AS322" i="7" s="1"/>
  <c r="AC324" i="7"/>
  <c r="AS324" i="7" s="1"/>
  <c r="AC326" i="7"/>
  <c r="AS326" i="7" s="1"/>
  <c r="AC330" i="7"/>
  <c r="AS330" i="7" s="1"/>
  <c r="AC332" i="7"/>
  <c r="AS332" i="7" s="1"/>
  <c r="AM343" i="7"/>
  <c r="AC338" i="7"/>
  <c r="AS338" i="7" s="1"/>
  <c r="AC340" i="7"/>
  <c r="AS340" i="7" s="1"/>
  <c r="AC342" i="7"/>
  <c r="AS342" i="7" s="1"/>
  <c r="AC346" i="7"/>
  <c r="AS346" i="7" s="1"/>
  <c r="AC348" i="7"/>
  <c r="AS348" i="7" s="1"/>
  <c r="AC350" i="7"/>
  <c r="AS350" i="7" s="1"/>
  <c r="AM359" i="7"/>
  <c r="AC421" i="7"/>
  <c r="AS421" i="7" s="1"/>
  <c r="AC425" i="7"/>
  <c r="AS425" i="7" s="1"/>
  <c r="AM433" i="7"/>
  <c r="AC431" i="7"/>
  <c r="AS431" i="7" s="1"/>
  <c r="AC369" i="7"/>
  <c r="AS369" i="7" s="1"/>
  <c r="AC373" i="7"/>
  <c r="AS373" i="7" s="1"/>
  <c r="AC379" i="7"/>
  <c r="AS379" i="7" s="1"/>
  <c r="AC386" i="7"/>
  <c r="AS386" i="7" s="1"/>
  <c r="AC390" i="7"/>
  <c r="AS390" i="7" s="1"/>
  <c r="AC394" i="7"/>
  <c r="AS394" i="7" s="1"/>
  <c r="AC398" i="7"/>
  <c r="AS398" i="7" s="1"/>
  <c r="AC402" i="7"/>
  <c r="AS402" i="7" s="1"/>
  <c r="AC410" i="7"/>
  <c r="AS410" i="7" s="1"/>
  <c r="AC414" i="7"/>
  <c r="AS414" i="7" s="1"/>
  <c r="AC424" i="7"/>
  <c r="AS424" i="7" s="1"/>
  <c r="AM335" i="5"/>
  <c r="AM351" i="5"/>
  <c r="AM359" i="5"/>
  <c r="AM375" i="5"/>
  <c r="AM383" i="5"/>
  <c r="AC15" i="7"/>
  <c r="AS15" i="7" s="1"/>
  <c r="AC23" i="7"/>
  <c r="AS23" i="7" s="1"/>
  <c r="AC30" i="7"/>
  <c r="AS30" i="7" s="1"/>
  <c r="AC34" i="7"/>
  <c r="AS34" i="7" s="1"/>
  <c r="AC41" i="7"/>
  <c r="AS41" i="7" s="1"/>
  <c r="AC55" i="7"/>
  <c r="AS55" i="7" s="1"/>
  <c r="AC57" i="7"/>
  <c r="AS57" i="7" s="1"/>
  <c r="AC59" i="7"/>
  <c r="AS59" i="7" s="1"/>
  <c r="AC61" i="7"/>
  <c r="AS61" i="7" s="1"/>
  <c r="AC63" i="7"/>
  <c r="AS63" i="7" s="1"/>
  <c r="AC68" i="7"/>
  <c r="AS68" i="7" s="1"/>
  <c r="AC70" i="7"/>
  <c r="AS70" i="7" s="1"/>
  <c r="AC147" i="7"/>
  <c r="AS147" i="7" s="1"/>
  <c r="AC154" i="7"/>
  <c r="AS154" i="7" s="1"/>
  <c r="AC158" i="7"/>
  <c r="AS158" i="7" s="1"/>
  <c r="AC260" i="7"/>
  <c r="AS260" i="7" s="1"/>
  <c r="AC267" i="7"/>
  <c r="AS267" i="7" s="1"/>
  <c r="AC274" i="7"/>
  <c r="AS274" i="7" s="1"/>
  <c r="AC286" i="7"/>
  <c r="AS286" i="7" s="1"/>
  <c r="AC309" i="7"/>
  <c r="AS309" i="7" s="1"/>
  <c r="AC313" i="7"/>
  <c r="AS313" i="7" s="1"/>
  <c r="AC315" i="7"/>
  <c r="AS315" i="7" s="1"/>
  <c r="AC323" i="7"/>
  <c r="AS323" i="7" s="1"/>
  <c r="AC339" i="7"/>
  <c r="AS339" i="7" s="1"/>
  <c r="AC345" i="7"/>
  <c r="AS345" i="7" s="1"/>
  <c r="AC347" i="7"/>
  <c r="AS347" i="7" s="1"/>
  <c r="AC355" i="7"/>
  <c r="AS355" i="7" s="1"/>
  <c r="AC429" i="7"/>
  <c r="AS429" i="7" s="1"/>
  <c r="AC439" i="7"/>
  <c r="AS439" i="7" s="1"/>
  <c r="AC432" i="7"/>
  <c r="AS432" i="7" s="1"/>
  <c r="AC362" i="7"/>
  <c r="AS362" i="7" s="1"/>
  <c r="AC366" i="7"/>
  <c r="AS366" i="7" s="1"/>
  <c r="AC399" i="7"/>
  <c r="AS399" i="7" s="1"/>
  <c r="AC415" i="7"/>
  <c r="AS415" i="7" s="1"/>
  <c r="AC428" i="7"/>
  <c r="AS428" i="7" s="1"/>
  <c r="AM311" i="6"/>
  <c r="AM327" i="6"/>
  <c r="AM343" i="6"/>
  <c r="AM367" i="6"/>
  <c r="AM375" i="6"/>
  <c r="AM433" i="6"/>
  <c r="AC87" i="5"/>
  <c r="AS87" i="5" s="1"/>
  <c r="AC130" i="5"/>
  <c r="AS130" i="5" s="1"/>
  <c r="AC134" i="5"/>
  <c r="AS134" i="5" s="1"/>
  <c r="AC138" i="5"/>
  <c r="AS138" i="5" s="1"/>
  <c r="AC253" i="5"/>
  <c r="AS253" i="5" s="1"/>
  <c r="AC255" i="5"/>
  <c r="AS255" i="5" s="1"/>
  <c r="AC259" i="5"/>
  <c r="AS259" i="5" s="1"/>
  <c r="AC290" i="5"/>
  <c r="AS290" i="5" s="1"/>
  <c r="AC292" i="5"/>
  <c r="AS292" i="5" s="1"/>
  <c r="AC294" i="5"/>
  <c r="AS294" i="5" s="1"/>
  <c r="AC306" i="5"/>
  <c r="AS306" i="5" s="1"/>
  <c r="AC310" i="5"/>
  <c r="AS310" i="5" s="1"/>
  <c r="AC316" i="5"/>
  <c r="AS316" i="5" s="1"/>
  <c r="AC338" i="5"/>
  <c r="AS338" i="5" s="1"/>
  <c r="AC342" i="5"/>
  <c r="AS342" i="5" s="1"/>
  <c r="AC346" i="5"/>
  <c r="AS346" i="5" s="1"/>
  <c r="AC348" i="5"/>
  <c r="AS348" i="5" s="1"/>
  <c r="AC350" i="5"/>
  <c r="AS350" i="5" s="1"/>
  <c r="AC364" i="5"/>
  <c r="AS364" i="5" s="1"/>
  <c r="AC370" i="5"/>
  <c r="AS370" i="5" s="1"/>
  <c r="AC372" i="5"/>
  <c r="AS372" i="5" s="1"/>
  <c r="AC374" i="5"/>
  <c r="AS374" i="5" s="1"/>
  <c r="AC378" i="5"/>
  <c r="AS378" i="5" s="1"/>
  <c r="AC380" i="5"/>
  <c r="AS380" i="5" s="1"/>
  <c r="AC382" i="5"/>
  <c r="AS382" i="5" s="1"/>
  <c r="AC387" i="5"/>
  <c r="AS387" i="5" s="1"/>
  <c r="AC389" i="5"/>
  <c r="AS389" i="5" s="1"/>
  <c r="AC391" i="5"/>
  <c r="AS391" i="5" s="1"/>
  <c r="AC393" i="5"/>
  <c r="AS393" i="5" s="1"/>
  <c r="AC397" i="5"/>
  <c r="AS397" i="5" s="1"/>
  <c r="AC399" i="5"/>
  <c r="AS399" i="5" s="1"/>
  <c r="AC401" i="5"/>
  <c r="AS401" i="5" s="1"/>
  <c r="AC403" i="5"/>
  <c r="AS403" i="5" s="1"/>
  <c r="AC407" i="5"/>
  <c r="AS407" i="5" s="1"/>
  <c r="AC409" i="5"/>
  <c r="AS409" i="5" s="1"/>
  <c r="AC415" i="5"/>
  <c r="AS415" i="5" s="1"/>
  <c r="AC417" i="5"/>
  <c r="AS417" i="5" s="1"/>
  <c r="AC421" i="5"/>
  <c r="AS421" i="5" s="1"/>
  <c r="AC423" i="5"/>
  <c r="AS423" i="5" s="1"/>
  <c r="AC425" i="5"/>
  <c r="AS425" i="5" s="1"/>
  <c r="AC437" i="5"/>
  <c r="AS437" i="5" s="1"/>
  <c r="AC447" i="5"/>
  <c r="AS447" i="5" s="1"/>
  <c r="AC449" i="6"/>
  <c r="AS449" i="6" s="1"/>
  <c r="AC19" i="6"/>
  <c r="AS19" i="6" s="1"/>
  <c r="AC44" i="6"/>
  <c r="AS44" i="6" s="1"/>
  <c r="AC179" i="6"/>
  <c r="AS179" i="6" s="1"/>
  <c r="AC249" i="6"/>
  <c r="AS249" i="6" s="1"/>
  <c r="AC261" i="6"/>
  <c r="AS261" i="6" s="1"/>
  <c r="AC107" i="6"/>
  <c r="AS107" i="6" s="1"/>
  <c r="AC199" i="6"/>
  <c r="AS199" i="6" s="1"/>
  <c r="AC212" i="6"/>
  <c r="AS212" i="6" s="1"/>
  <c r="AC206" i="6"/>
  <c r="AS206" i="6" s="1"/>
  <c r="AC232" i="6"/>
  <c r="AS232" i="6" s="1"/>
  <c r="AC115" i="6"/>
  <c r="AS115" i="6" s="1"/>
  <c r="AC241" i="6"/>
  <c r="AS241" i="6" s="1"/>
  <c r="AC383" i="6"/>
  <c r="AC172" i="6"/>
  <c r="AS172" i="6" s="1"/>
  <c r="AC51" i="6"/>
  <c r="AS51" i="6" s="1"/>
  <c r="AC35" i="6"/>
  <c r="AS35" i="6" s="1"/>
  <c r="AC74" i="6"/>
  <c r="AS74" i="6" s="1"/>
  <c r="AC270" i="6"/>
  <c r="AS270" i="6" s="1"/>
  <c r="AC148" i="6"/>
  <c r="AS148" i="6" s="1"/>
  <c r="AC125" i="6"/>
  <c r="AS125" i="6" s="1"/>
  <c r="AC191" i="6"/>
  <c r="AS191" i="6" s="1"/>
  <c r="AC27" i="6"/>
  <c r="AC295" i="6"/>
  <c r="AS295" i="6" s="1"/>
  <c r="AC218" i="6"/>
  <c r="AS218" i="6" s="1"/>
  <c r="AC246" i="6"/>
  <c r="AS246" i="6" s="1"/>
  <c r="AC248" i="6"/>
  <c r="AS248" i="6" s="1"/>
  <c r="AC265" i="6"/>
  <c r="AS265" i="6" s="1"/>
  <c r="AC266" i="6"/>
  <c r="AS266" i="6" s="1"/>
  <c r="AC267" i="6"/>
  <c r="AS267" i="6" s="1"/>
  <c r="AC269" i="6"/>
  <c r="AS269" i="6" s="1"/>
  <c r="AC293" i="6"/>
  <c r="AS293" i="6" s="1"/>
  <c r="AC294" i="6"/>
  <c r="AS294" i="6" s="1"/>
  <c r="AC330" i="6"/>
  <c r="AS330" i="6" s="1"/>
  <c r="AC331" i="6"/>
  <c r="AS331" i="6" s="1"/>
  <c r="AC332" i="6"/>
  <c r="AS332" i="6" s="1"/>
  <c r="AC333" i="6"/>
  <c r="AS333" i="6" s="1"/>
  <c r="AC334" i="6"/>
  <c r="AS334" i="6" s="1"/>
  <c r="AC356" i="6"/>
  <c r="AS356" i="6" s="1"/>
  <c r="AC106" i="6"/>
  <c r="AS106" i="6" s="1"/>
  <c r="AC124" i="6"/>
  <c r="AS124" i="6" s="1"/>
  <c r="AC49" i="6"/>
  <c r="AS49" i="6" s="1"/>
  <c r="AC80" i="6"/>
  <c r="AS80" i="6" s="1"/>
  <c r="AC84" i="6"/>
  <c r="AS84" i="6" s="1"/>
  <c r="AC88" i="6"/>
  <c r="AS88" i="6" s="1"/>
  <c r="AC95" i="6"/>
  <c r="AS95" i="6" s="1"/>
  <c r="AC99" i="6"/>
  <c r="AS99" i="6" s="1"/>
  <c r="AC121" i="6"/>
  <c r="AS121" i="6" s="1"/>
  <c r="AC130" i="6"/>
  <c r="AS130" i="6" s="1"/>
  <c r="AC131" i="6"/>
  <c r="AS131" i="6" s="1"/>
  <c r="AC132" i="6"/>
  <c r="AS132" i="6" s="1"/>
  <c r="AC133" i="6"/>
  <c r="AS133" i="6" s="1"/>
  <c r="AC134" i="6"/>
  <c r="AS134" i="6" s="1"/>
  <c r="AC135" i="6"/>
  <c r="AS135" i="6" s="1"/>
  <c r="AC136" i="6"/>
  <c r="AS136" i="6" s="1"/>
  <c r="AC137" i="6"/>
  <c r="AS137" i="6" s="1"/>
  <c r="AC138" i="6"/>
  <c r="AS138" i="6" s="1"/>
  <c r="AC139" i="6"/>
  <c r="AS139" i="6" s="1"/>
  <c r="AC140" i="6"/>
  <c r="AS140" i="6" s="1"/>
  <c r="AC362" i="6"/>
  <c r="AS362" i="6" s="1"/>
  <c r="AC364" i="6"/>
  <c r="AS364" i="6" s="1"/>
  <c r="AC369" i="6"/>
  <c r="AS369" i="6" s="1"/>
  <c r="AC404" i="6"/>
  <c r="AS404" i="6" s="1"/>
  <c r="AC429" i="6"/>
  <c r="AS429" i="6" s="1"/>
  <c r="AC431" i="6"/>
  <c r="AS431" i="6" s="1"/>
  <c r="AC15" i="5"/>
  <c r="AS15" i="5" s="1"/>
  <c r="AC23" i="5"/>
  <c r="AS23" i="5" s="1"/>
  <c r="AC41" i="5"/>
  <c r="AS41" i="5" s="1"/>
  <c r="AC80" i="5"/>
  <c r="AS80" i="5" s="1"/>
  <c r="AC104" i="5"/>
  <c r="AS104" i="5" s="1"/>
  <c r="AC106" i="5"/>
  <c r="AS106" i="5" s="1"/>
  <c r="AC122" i="5"/>
  <c r="AS122" i="5" s="1"/>
  <c r="AC124" i="5"/>
  <c r="AS124" i="5" s="1"/>
  <c r="AC133" i="5"/>
  <c r="AS133" i="5" s="1"/>
  <c r="AC137" i="5"/>
  <c r="AS137" i="5" s="1"/>
  <c r="AC146" i="5"/>
  <c r="AS146" i="5" s="1"/>
  <c r="AC155" i="5"/>
  <c r="AS155" i="5" s="1"/>
  <c r="AC159" i="5"/>
  <c r="AS159" i="5" s="1"/>
  <c r="AC161" i="5"/>
  <c r="AS161" i="5" s="1"/>
  <c r="AC163" i="5"/>
  <c r="AS163" i="5" s="1"/>
  <c r="AC168" i="5"/>
  <c r="AS168" i="5" s="1"/>
  <c r="AC170" i="5"/>
  <c r="AS170" i="5" s="1"/>
  <c r="AC182" i="5"/>
  <c r="AS182" i="5" s="1"/>
  <c r="AC184" i="5"/>
  <c r="AS184" i="5" s="1"/>
  <c r="AC186" i="5"/>
  <c r="AS186" i="5" s="1"/>
  <c r="AC188" i="5"/>
  <c r="AS188" i="5" s="1"/>
  <c r="AC190" i="5"/>
  <c r="AS190" i="5" s="1"/>
  <c r="AC203" i="5"/>
  <c r="AS203" i="5" s="1"/>
  <c r="AC210" i="5"/>
  <c r="AS210" i="5" s="1"/>
  <c r="AC217" i="5"/>
  <c r="AS217" i="5" s="1"/>
  <c r="AC223" i="5"/>
  <c r="AS223" i="5" s="1"/>
  <c r="AC225" i="5"/>
  <c r="AS225" i="5" s="1"/>
  <c r="AC229" i="5"/>
  <c r="AS229" i="5" s="1"/>
  <c r="AC231" i="5"/>
  <c r="AS231" i="5" s="1"/>
  <c r="AC236" i="5"/>
  <c r="AS236" i="5" s="1"/>
  <c r="AC240" i="5"/>
  <c r="AS240" i="5" s="1"/>
  <c r="AC245" i="5"/>
  <c r="AS245" i="5" s="1"/>
  <c r="AC247" i="5"/>
  <c r="AS247" i="5" s="1"/>
  <c r="AC252" i="5"/>
  <c r="AS252" i="5" s="1"/>
  <c r="AC256" i="5"/>
  <c r="AS256" i="5" s="1"/>
  <c r="AC265" i="5"/>
  <c r="AS265" i="5" s="1"/>
  <c r="AC267" i="5"/>
  <c r="AS267" i="5" s="1"/>
  <c r="AC269" i="5"/>
  <c r="AS269" i="5" s="1"/>
  <c r="AC276" i="5"/>
  <c r="AS276" i="5" s="1"/>
  <c r="AC280" i="5"/>
  <c r="AS280" i="5" s="1"/>
  <c r="AC284" i="5"/>
  <c r="AS284" i="5" s="1"/>
  <c r="AC291" i="5"/>
  <c r="AS291" i="5" s="1"/>
  <c r="AC309" i="5"/>
  <c r="AS309" i="5" s="1"/>
  <c r="AC315" i="5"/>
  <c r="AS315" i="5" s="1"/>
  <c r="AC323" i="5"/>
  <c r="AS323" i="5" s="1"/>
  <c r="AC329" i="5"/>
  <c r="AS329" i="5" s="1"/>
  <c r="AC333" i="5"/>
  <c r="AS333" i="5" s="1"/>
  <c r="AC337" i="5"/>
  <c r="AS337" i="5" s="1"/>
  <c r="AC339" i="5"/>
  <c r="AS339" i="5" s="1"/>
  <c r="AC353" i="5"/>
  <c r="AS353" i="5" s="1"/>
  <c r="AC357" i="5"/>
  <c r="AS357" i="5" s="1"/>
  <c r="AC365" i="5"/>
  <c r="AS365" i="5" s="1"/>
  <c r="AC369" i="5"/>
  <c r="AS369" i="5" s="1"/>
  <c r="AC377" i="5"/>
  <c r="AS377" i="5" s="1"/>
  <c r="AC379" i="5"/>
  <c r="AS379" i="5" s="1"/>
  <c r="AC386" i="5"/>
  <c r="AS386" i="5" s="1"/>
  <c r="AC390" i="5"/>
  <c r="AS390" i="5" s="1"/>
  <c r="AC394" i="5"/>
  <c r="AS394" i="5" s="1"/>
  <c r="AC400" i="5"/>
  <c r="AS400" i="5" s="1"/>
  <c r="AC404" i="5"/>
  <c r="AS404" i="5" s="1"/>
  <c r="AC410" i="5"/>
  <c r="AS410" i="5" s="1"/>
  <c r="AC422" i="5"/>
  <c r="AS422" i="5" s="1"/>
  <c r="AC430" i="5"/>
  <c r="AS430" i="5" s="1"/>
  <c r="AC436" i="5"/>
  <c r="AS436" i="5" s="1"/>
  <c r="AC438" i="5"/>
  <c r="AS438" i="5" s="1"/>
  <c r="AC444" i="5"/>
  <c r="AS444" i="5" s="1"/>
  <c r="AC446" i="5"/>
  <c r="AS446" i="5" s="1"/>
  <c r="AC450" i="5"/>
  <c r="AS450" i="5" s="1"/>
  <c r="AC31" i="6"/>
  <c r="AS31" i="6" s="1"/>
  <c r="AC33" i="6"/>
  <c r="AS33" i="6" s="1"/>
  <c r="AC153" i="6"/>
  <c r="AS153" i="6" s="1"/>
  <c r="AC154" i="6"/>
  <c r="AS154" i="6" s="1"/>
  <c r="AC155" i="6"/>
  <c r="AS155" i="6" s="1"/>
  <c r="AC157" i="6"/>
  <c r="AS157" i="6" s="1"/>
  <c r="AC159" i="6"/>
  <c r="AS159" i="6" s="1"/>
  <c r="AC161" i="6"/>
  <c r="AS161" i="6" s="1"/>
  <c r="AC163" i="6"/>
  <c r="AS163" i="6" s="1"/>
  <c r="AC168" i="6"/>
  <c r="AS168" i="6" s="1"/>
  <c r="AC170" i="6"/>
  <c r="AS170" i="6" s="1"/>
  <c r="AC223" i="6"/>
  <c r="AS223" i="6" s="1"/>
  <c r="AC225" i="6"/>
  <c r="AS225" i="6" s="1"/>
  <c r="AC227" i="6"/>
  <c r="AS227" i="6" s="1"/>
  <c r="AC228" i="6"/>
  <c r="AS228" i="6" s="1"/>
  <c r="AC229" i="6"/>
  <c r="AS229" i="6" s="1"/>
  <c r="AC231" i="6"/>
  <c r="AS231" i="6" s="1"/>
  <c r="AC244" i="6"/>
  <c r="AS244" i="6" s="1"/>
  <c r="AC314" i="6"/>
  <c r="AS314" i="6" s="1"/>
  <c r="AC315" i="6"/>
  <c r="AS315" i="6" s="1"/>
  <c r="AC316" i="6"/>
  <c r="AS316" i="6" s="1"/>
  <c r="AC317" i="6"/>
  <c r="AS317" i="6" s="1"/>
  <c r="AC318" i="6"/>
  <c r="AS318" i="6" s="1"/>
  <c r="AC329" i="6"/>
  <c r="AS329" i="6" s="1"/>
  <c r="AC346" i="6"/>
  <c r="AS346" i="6" s="1"/>
  <c r="AC347" i="6"/>
  <c r="AS347" i="6" s="1"/>
  <c r="AC348" i="6"/>
  <c r="AS348" i="6" s="1"/>
  <c r="AC349" i="6"/>
  <c r="AS349" i="6" s="1"/>
  <c r="AC350" i="6"/>
  <c r="AS350" i="6" s="1"/>
  <c r="AC377" i="6"/>
  <c r="AS377" i="6" s="1"/>
  <c r="AC442" i="6"/>
  <c r="AS442" i="6" s="1"/>
  <c r="AC444" i="6"/>
  <c r="AS444" i="6" s="1"/>
  <c r="AC447" i="6"/>
  <c r="AS447" i="6" s="1"/>
  <c r="AC451" i="6"/>
  <c r="AS451" i="6" s="1"/>
  <c r="AM319" i="6"/>
  <c r="AM313" i="6"/>
  <c r="AM335" i="6"/>
  <c r="AM329" i="6"/>
  <c r="AM351" i="6"/>
  <c r="AM345" i="6"/>
  <c r="AM359" i="6"/>
  <c r="AM353" i="6"/>
  <c r="AM377" i="6"/>
  <c r="AM383" i="6"/>
  <c r="AC74" i="7"/>
  <c r="AS74" i="7" s="1"/>
  <c r="AC212" i="7"/>
  <c r="AS212" i="7" s="1"/>
  <c r="AC19" i="7"/>
  <c r="AS19" i="7" s="1"/>
  <c r="AC35" i="7"/>
  <c r="AS35" i="7" s="1"/>
  <c r="AC51" i="7"/>
  <c r="AS51" i="7" s="1"/>
  <c r="AC148" i="7"/>
  <c r="AS148" i="7" s="1"/>
  <c r="AC261" i="7"/>
  <c r="AS261" i="7" s="1"/>
  <c r="AC44" i="7"/>
  <c r="AS44" i="7" s="1"/>
  <c r="AC115" i="7"/>
  <c r="AS115" i="7" s="1"/>
  <c r="AC172" i="7"/>
  <c r="AS172" i="7" s="1"/>
  <c r="AC191" i="7"/>
  <c r="AS191" i="7" s="1"/>
  <c r="AC206" i="7"/>
  <c r="AS206" i="7" s="1"/>
  <c r="AC218" i="7"/>
  <c r="AS218" i="7" s="1"/>
  <c r="AC295" i="7"/>
  <c r="AS295" i="7" s="1"/>
  <c r="AC249" i="7"/>
  <c r="AS249" i="7" s="1"/>
  <c r="AC107" i="7"/>
  <c r="AS107" i="7" s="1"/>
  <c r="AC125" i="7"/>
  <c r="AS125" i="7" s="1"/>
  <c r="AC179" i="7"/>
  <c r="AS179" i="7" s="1"/>
  <c r="AC199" i="7"/>
  <c r="AS199" i="7" s="1"/>
  <c r="AC232" i="7"/>
  <c r="AS232" i="7" s="1"/>
  <c r="AC27" i="7"/>
  <c r="AC241" i="7"/>
  <c r="AS241" i="7" s="1"/>
  <c r="AC270" i="7"/>
  <c r="AS270" i="7" s="1"/>
  <c r="AC383" i="7"/>
  <c r="AC104" i="7"/>
  <c r="AS104" i="7" s="1"/>
  <c r="AC106" i="7"/>
  <c r="AS106" i="7" s="1"/>
  <c r="AC131" i="7"/>
  <c r="AS131" i="7" s="1"/>
  <c r="AC133" i="7"/>
  <c r="AS133" i="7" s="1"/>
  <c r="AC135" i="7"/>
  <c r="AS135" i="7" s="1"/>
  <c r="AC137" i="7"/>
  <c r="AS137" i="7" s="1"/>
  <c r="AC139" i="7"/>
  <c r="AS139" i="7" s="1"/>
  <c r="AC146" i="7"/>
  <c r="AS146" i="7" s="1"/>
  <c r="AC153" i="7"/>
  <c r="AS153" i="7" s="1"/>
  <c r="AC155" i="7"/>
  <c r="AS155" i="7" s="1"/>
  <c r="AC157" i="7"/>
  <c r="AS157" i="7" s="1"/>
  <c r="AC159" i="7"/>
  <c r="AS159" i="7" s="1"/>
  <c r="AC170" i="7"/>
  <c r="AS170" i="7" s="1"/>
  <c r="AC175" i="7"/>
  <c r="AS175" i="7" s="1"/>
  <c r="AC177" i="7"/>
  <c r="AS177" i="7" s="1"/>
  <c r="AC184" i="7"/>
  <c r="AS184" i="7" s="1"/>
  <c r="AC188" i="7"/>
  <c r="AS188" i="7" s="1"/>
  <c r="AC189" i="7"/>
  <c r="AS189" i="7" s="1"/>
  <c r="AC223" i="7"/>
  <c r="AS223" i="7" s="1"/>
  <c r="AC225" i="7"/>
  <c r="AS225" i="7" s="1"/>
  <c r="AC227" i="7"/>
  <c r="AS227" i="7" s="1"/>
  <c r="AC229" i="7"/>
  <c r="AS229" i="7" s="1"/>
  <c r="AC231" i="7"/>
  <c r="AS231" i="7" s="1"/>
  <c r="AC239" i="7"/>
  <c r="AS239" i="7" s="1"/>
  <c r="AC246" i="7"/>
  <c r="AS246" i="7" s="1"/>
  <c r="AC253" i="7"/>
  <c r="AS253" i="7" s="1"/>
  <c r="AC257" i="7"/>
  <c r="AS257" i="7" s="1"/>
  <c r="AC264" i="7"/>
  <c r="AS264" i="7" s="1"/>
  <c r="AC268" i="7"/>
  <c r="AS268" i="7" s="1"/>
  <c r="AC247" i="7"/>
  <c r="AS247" i="7" s="1"/>
  <c r="AC254" i="7"/>
  <c r="AS254" i="7" s="1"/>
  <c r="AC258" i="7"/>
  <c r="AS258" i="7" s="1"/>
  <c r="AC265" i="7"/>
  <c r="AS265" i="7" s="1"/>
  <c r="AC269" i="7"/>
  <c r="AS269" i="7" s="1"/>
  <c r="AC275" i="7"/>
  <c r="AS275" i="7" s="1"/>
  <c r="AC277" i="7"/>
  <c r="AS277" i="7" s="1"/>
  <c r="AC279" i="7"/>
  <c r="AS279" i="7" s="1"/>
  <c r="AC281" i="7"/>
  <c r="AS281" i="7" s="1"/>
  <c r="AC283" i="7"/>
  <c r="AS283" i="7" s="1"/>
  <c r="AC285" i="7"/>
  <c r="AS285" i="7" s="1"/>
  <c r="AC443" i="7"/>
  <c r="AS443" i="7" s="1"/>
  <c r="AC451" i="7"/>
  <c r="AS451" i="7" s="1"/>
  <c r="AC404" i="7"/>
  <c r="AS404" i="7" s="1"/>
  <c r="AC436" i="7"/>
  <c r="AS436" i="7" s="1"/>
  <c r="AC446" i="7"/>
  <c r="AS446" i="7" s="1"/>
  <c r="AC450" i="7"/>
  <c r="AS450" i="7" s="1"/>
  <c r="AC15" i="6"/>
  <c r="AS15" i="6" s="1"/>
  <c r="AC294" i="3"/>
  <c r="AS294" i="3" s="1"/>
  <c r="AC16" i="5"/>
  <c r="AS16" i="5" s="1"/>
  <c r="AC18" i="5"/>
  <c r="AS18" i="5" s="1"/>
  <c r="AC103" i="5"/>
  <c r="AS103" i="5" s="1"/>
  <c r="AC121" i="5"/>
  <c r="AS121" i="5" s="1"/>
  <c r="AC140" i="5"/>
  <c r="AS140" i="5" s="1"/>
  <c r="AC145" i="5"/>
  <c r="AS145" i="5" s="1"/>
  <c r="AC147" i="5"/>
  <c r="AS147" i="5" s="1"/>
  <c r="AC154" i="5"/>
  <c r="AS154" i="5" s="1"/>
  <c r="AC156" i="5"/>
  <c r="AS156" i="5" s="1"/>
  <c r="AC158" i="5"/>
  <c r="AS158" i="5" s="1"/>
  <c r="AC160" i="5"/>
  <c r="AS160" i="5" s="1"/>
  <c r="AC162" i="5"/>
  <c r="AS162" i="5" s="1"/>
  <c r="AC164" i="5"/>
  <c r="AS164" i="5" s="1"/>
  <c r="AC169" i="5"/>
  <c r="AS169" i="5" s="1"/>
  <c r="AC171" i="5"/>
  <c r="AS171" i="5" s="1"/>
  <c r="AC176" i="5"/>
  <c r="AS176" i="5" s="1"/>
  <c r="AC178" i="5"/>
  <c r="AS178" i="5" s="1"/>
  <c r="AC183" i="5"/>
  <c r="AS183" i="5" s="1"/>
  <c r="AC185" i="5"/>
  <c r="AS185" i="5" s="1"/>
  <c r="AC187" i="5"/>
  <c r="AS187" i="5" s="1"/>
  <c r="AC189" i="5"/>
  <c r="AS189" i="5" s="1"/>
  <c r="AC195" i="5"/>
  <c r="AS195" i="5" s="1"/>
  <c r="AC197" i="5"/>
  <c r="AS197" i="5" s="1"/>
  <c r="AC202" i="5"/>
  <c r="AS202" i="5" s="1"/>
  <c r="AC204" i="5"/>
  <c r="AS204" i="5" s="1"/>
  <c r="AC209" i="5"/>
  <c r="AS209" i="5" s="1"/>
  <c r="AC211" i="5"/>
  <c r="AS211" i="5" s="1"/>
  <c r="AC216" i="5"/>
  <c r="AS216" i="5" s="1"/>
  <c r="AC224" i="5"/>
  <c r="AS224" i="5" s="1"/>
  <c r="AC235" i="5"/>
  <c r="AS235" i="5" s="1"/>
  <c r="AC237" i="5"/>
  <c r="AS237" i="5" s="1"/>
  <c r="AC239" i="5"/>
  <c r="AS239" i="5" s="1"/>
  <c r="AC244" i="5"/>
  <c r="AS244" i="5" s="1"/>
  <c r="AC314" i="3"/>
  <c r="AS314" i="3" s="1"/>
  <c r="AC315" i="3"/>
  <c r="AS315" i="3" s="1"/>
  <c r="AC317" i="3"/>
  <c r="AS317" i="3" s="1"/>
  <c r="AC333" i="3"/>
  <c r="AS333" i="3" s="1"/>
  <c r="AC346" i="3"/>
  <c r="AS346" i="3" s="1"/>
  <c r="AC347" i="3"/>
  <c r="AS347" i="3" s="1"/>
  <c r="AC349" i="3"/>
  <c r="AS349" i="3" s="1"/>
  <c r="AC350" i="3"/>
  <c r="AS350" i="3" s="1"/>
  <c r="AC361" i="3"/>
  <c r="AS361" i="3" s="1"/>
  <c r="AC366" i="3"/>
  <c r="AS366" i="3" s="1"/>
  <c r="AC379" i="3"/>
  <c r="AS379" i="3" s="1"/>
  <c r="AC381" i="3"/>
  <c r="AS381" i="3" s="1"/>
  <c r="AC382" i="3"/>
  <c r="AS382" i="3" s="1"/>
  <c r="AC386" i="3"/>
  <c r="AS386" i="3" s="1"/>
  <c r="AC388" i="3"/>
  <c r="AS388" i="3" s="1"/>
  <c r="AC389" i="3"/>
  <c r="AS389" i="3" s="1"/>
  <c r="AC390" i="3"/>
  <c r="AS390" i="3" s="1"/>
  <c r="AC392" i="3"/>
  <c r="AS392" i="3" s="1"/>
  <c r="AC393" i="3"/>
  <c r="AS393" i="3" s="1"/>
  <c r="AC394" i="3"/>
  <c r="AS394" i="3" s="1"/>
  <c r="AC399" i="3"/>
  <c r="AS399" i="3" s="1"/>
  <c r="AC400" i="3"/>
  <c r="AS400" i="3" s="1"/>
  <c r="AC402" i="3"/>
  <c r="AS402" i="3" s="1"/>
  <c r="AC409" i="3"/>
  <c r="AS409" i="3" s="1"/>
  <c r="AC414" i="3"/>
  <c r="AS414" i="3" s="1"/>
  <c r="AC415" i="3"/>
  <c r="AS415" i="3" s="1"/>
  <c r="AC421" i="3"/>
  <c r="AS421" i="3" s="1"/>
  <c r="AC425" i="3"/>
  <c r="AS425" i="3" s="1"/>
  <c r="AC446" i="3"/>
  <c r="AS446" i="3" s="1"/>
  <c r="AC450" i="3"/>
  <c r="AS450" i="3" s="1"/>
  <c r="AC111" i="6"/>
  <c r="AS111" i="6" s="1"/>
  <c r="AC183" i="6"/>
  <c r="AS183" i="6" s="1"/>
  <c r="AC184" i="6"/>
  <c r="AS184" i="6" s="1"/>
  <c r="AC185" i="6"/>
  <c r="AS185" i="6" s="1"/>
  <c r="AC186" i="6"/>
  <c r="AS186" i="6" s="1"/>
  <c r="AC187" i="6"/>
  <c r="AS187" i="6" s="1"/>
  <c r="AC188" i="6"/>
  <c r="AS188" i="6" s="1"/>
  <c r="AC189" i="6"/>
  <c r="AS189" i="6" s="1"/>
  <c r="AC190" i="6"/>
  <c r="AS190" i="6" s="1"/>
  <c r="AC202" i="6"/>
  <c r="AS202" i="6" s="1"/>
  <c r="AC203" i="6"/>
  <c r="AS203" i="6" s="1"/>
  <c r="AC204" i="6"/>
  <c r="AS204" i="6" s="1"/>
  <c r="AC205" i="6"/>
  <c r="AS205" i="6" s="1"/>
  <c r="AM296" i="6"/>
  <c r="AC18" i="6"/>
  <c r="AS18" i="6" s="1"/>
  <c r="AC114" i="6"/>
  <c r="AS114" i="6" s="1"/>
  <c r="AC144" i="6"/>
  <c r="AS144" i="6" s="1"/>
  <c r="AC145" i="6"/>
  <c r="AS145" i="6" s="1"/>
  <c r="AC146" i="6"/>
  <c r="AS146" i="6" s="1"/>
  <c r="AC147" i="6"/>
  <c r="AS147" i="6" s="1"/>
  <c r="AC175" i="6"/>
  <c r="AS175" i="6" s="1"/>
  <c r="AC176" i="6"/>
  <c r="AS176" i="6" s="1"/>
  <c r="AC177" i="6"/>
  <c r="AS177" i="6" s="1"/>
  <c r="AC178" i="6"/>
  <c r="AS178" i="6" s="1"/>
  <c r="AC195" i="6"/>
  <c r="AS195" i="6" s="1"/>
  <c r="AC196" i="6"/>
  <c r="AS196" i="6" s="1"/>
  <c r="AC197" i="6"/>
  <c r="AS197" i="6" s="1"/>
  <c r="AC198" i="6"/>
  <c r="AS198" i="6" s="1"/>
  <c r="AC209" i="6"/>
  <c r="AS209" i="6" s="1"/>
  <c r="AC210" i="6"/>
  <c r="AS210" i="6" s="1"/>
  <c r="AC211" i="6"/>
  <c r="AS211" i="6" s="1"/>
  <c r="AC235" i="6"/>
  <c r="AS235" i="6" s="1"/>
  <c r="AC236" i="6"/>
  <c r="AS236" i="6" s="1"/>
  <c r="AC237" i="6"/>
  <c r="AS237" i="6" s="1"/>
  <c r="AC239" i="6"/>
  <c r="AS239" i="6" s="1"/>
  <c r="AC240" i="6"/>
  <c r="AS240" i="6" s="1"/>
  <c r="AC252" i="6"/>
  <c r="AS252" i="6" s="1"/>
  <c r="AC255" i="6"/>
  <c r="AS255" i="6" s="1"/>
  <c r="AC256" i="6"/>
  <c r="AS256" i="6" s="1"/>
  <c r="AC258" i="6"/>
  <c r="AS258" i="6" s="1"/>
  <c r="AC259" i="6"/>
  <c r="AS259" i="6" s="1"/>
  <c r="AC260" i="6"/>
  <c r="AS260" i="6" s="1"/>
  <c r="AC274" i="6"/>
  <c r="AS274" i="6" s="1"/>
  <c r="AC276" i="6"/>
  <c r="AS276" i="6" s="1"/>
  <c r="AC278" i="6"/>
  <c r="AS278" i="6" s="1"/>
  <c r="AC280" i="6"/>
  <c r="AS280" i="6" s="1"/>
  <c r="AC282" i="6"/>
  <c r="AS282" i="6" s="1"/>
  <c r="AC284" i="6"/>
  <c r="AS284" i="6" s="1"/>
  <c r="AC286" i="6"/>
  <c r="AS286" i="6" s="1"/>
  <c r="AC338" i="6"/>
  <c r="AS338" i="6" s="1"/>
  <c r="AC339" i="6"/>
  <c r="AS339" i="6" s="1"/>
  <c r="AC340" i="6"/>
  <c r="AS340" i="6" s="1"/>
  <c r="AC341" i="6"/>
  <c r="AS341" i="6" s="1"/>
  <c r="AC342" i="6"/>
  <c r="AS342" i="6" s="1"/>
  <c r="AC370" i="6"/>
  <c r="AS370" i="6" s="1"/>
  <c r="AC371" i="6"/>
  <c r="AS371" i="6" s="1"/>
  <c r="AC372" i="6"/>
  <c r="AS372" i="6" s="1"/>
  <c r="AC373" i="6"/>
  <c r="AS373" i="6" s="1"/>
  <c r="AC374" i="6"/>
  <c r="AS374" i="6" s="1"/>
  <c r="AC397" i="6"/>
  <c r="AS397" i="6" s="1"/>
  <c r="AC399" i="6"/>
  <c r="AS399" i="6" s="1"/>
  <c r="AC401" i="6"/>
  <c r="AS401" i="6" s="1"/>
  <c r="AC402" i="6"/>
  <c r="AS402" i="6" s="1"/>
  <c r="AC414" i="6"/>
  <c r="AS414" i="6" s="1"/>
  <c r="AC415" i="6"/>
  <c r="AS415" i="6" s="1"/>
  <c r="AC416" i="6"/>
  <c r="AS416" i="6" s="1"/>
  <c r="AC417" i="6"/>
  <c r="AS417" i="6" s="1"/>
  <c r="AC436" i="6"/>
  <c r="AS436" i="6" s="1"/>
  <c r="AC437" i="6"/>
  <c r="AS437" i="6" s="1"/>
  <c r="AC81" i="7"/>
  <c r="AS81" i="7" s="1"/>
  <c r="AC85" i="7"/>
  <c r="AS85" i="7" s="1"/>
  <c r="AC92" i="7"/>
  <c r="AS92" i="7" s="1"/>
  <c r="AC96" i="7"/>
  <c r="AS96" i="7" s="1"/>
  <c r="AC105" i="7"/>
  <c r="AS105" i="7" s="1"/>
  <c r="AC111" i="7"/>
  <c r="AS111" i="7" s="1"/>
  <c r="AC121" i="7"/>
  <c r="AS121" i="7" s="1"/>
  <c r="AC123" i="7"/>
  <c r="AS123" i="7" s="1"/>
  <c r="AC130" i="7"/>
  <c r="AS130" i="7" s="1"/>
  <c r="AC132" i="7"/>
  <c r="AS132" i="7" s="1"/>
  <c r="AC134" i="7"/>
  <c r="AS134" i="7" s="1"/>
  <c r="AC136" i="7"/>
  <c r="AS136" i="7" s="1"/>
  <c r="AC138" i="7"/>
  <c r="AS138" i="7" s="1"/>
  <c r="AC140" i="7"/>
  <c r="AS140" i="7" s="1"/>
  <c r="AC248" i="7"/>
  <c r="AS248" i="7" s="1"/>
  <c r="AC255" i="7"/>
  <c r="AS255" i="7" s="1"/>
  <c r="AC259" i="7"/>
  <c r="AS259" i="7" s="1"/>
  <c r="AC266" i="7"/>
  <c r="AS266" i="7" s="1"/>
  <c r="AC273" i="7"/>
  <c r="AS273" i="7" s="1"/>
  <c r="AC238" i="7"/>
  <c r="AS238" i="7" s="1"/>
  <c r="AC245" i="7"/>
  <c r="AS245" i="7" s="1"/>
  <c r="AC278" i="7"/>
  <c r="AS278" i="7" s="1"/>
  <c r="AC282" i="7"/>
  <c r="AS282" i="7" s="1"/>
  <c r="AC305" i="7"/>
  <c r="AS305" i="7" s="1"/>
  <c r="AC445" i="7"/>
  <c r="AS445" i="7" s="1"/>
  <c r="AC47" i="6"/>
  <c r="AS47" i="6" s="1"/>
  <c r="AC245" i="6"/>
  <c r="AS245" i="6" s="1"/>
  <c r="AC247" i="6"/>
  <c r="AS247" i="6" s="1"/>
  <c r="AC264" i="6"/>
  <c r="AS264" i="6" s="1"/>
  <c r="AC268" i="6"/>
  <c r="AS268" i="6" s="1"/>
  <c r="AC291" i="6"/>
  <c r="AS291" i="6" s="1"/>
  <c r="AC292" i="6"/>
  <c r="AS292" i="6" s="1"/>
  <c r="AC353" i="6"/>
  <c r="AS353" i="6" s="1"/>
  <c r="AC354" i="6"/>
  <c r="AS354" i="6" s="1"/>
  <c r="AC355" i="6"/>
  <c r="AS355" i="6" s="1"/>
  <c r="AC357" i="6"/>
  <c r="AS357" i="6" s="1"/>
  <c r="AC358" i="6"/>
  <c r="AS358" i="6" s="1"/>
  <c r="AC35" i="5"/>
  <c r="AS35" i="5" s="1"/>
  <c r="AC295" i="5"/>
  <c r="AS295" i="5" s="1"/>
  <c r="AC249" i="5"/>
  <c r="AS249" i="5" s="1"/>
  <c r="AC191" i="5"/>
  <c r="AS191" i="5" s="1"/>
  <c r="AC27" i="5"/>
  <c r="AC148" i="5"/>
  <c r="AS148" i="5" s="1"/>
  <c r="AC199" i="5"/>
  <c r="AS199" i="5" s="1"/>
  <c r="AC212" i="5"/>
  <c r="AS212" i="5" s="1"/>
  <c r="AC241" i="5"/>
  <c r="AS241" i="5" s="1"/>
  <c r="AC218" i="5"/>
  <c r="AS218" i="5" s="1"/>
  <c r="AC115" i="5"/>
  <c r="AS115" i="5" s="1"/>
  <c r="AC172" i="5"/>
  <c r="AS172" i="5" s="1"/>
  <c r="AC44" i="5"/>
  <c r="AS44" i="5" s="1"/>
  <c r="AC206" i="5"/>
  <c r="AS206" i="5" s="1"/>
  <c r="AC232" i="5"/>
  <c r="AS232" i="5" s="1"/>
  <c r="AC261" i="5"/>
  <c r="AS261" i="5" s="1"/>
  <c r="AC51" i="5"/>
  <c r="AS51" i="5" s="1"/>
  <c r="AC107" i="5"/>
  <c r="AS107" i="5" s="1"/>
  <c r="AC74" i="5"/>
  <c r="AS74" i="5" s="1"/>
  <c r="AC270" i="5"/>
  <c r="AS270" i="5" s="1"/>
  <c r="AC125" i="5"/>
  <c r="AS125" i="5" s="1"/>
  <c r="AC383" i="5"/>
  <c r="AC19" i="5"/>
  <c r="AS19" i="5" s="1"/>
  <c r="AC179" i="5"/>
  <c r="AS179" i="5" s="1"/>
  <c r="AC16" i="6"/>
  <c r="AS16" i="6" s="1"/>
  <c r="AC104" i="6"/>
  <c r="AS104" i="6" s="1"/>
  <c r="AC105" i="6"/>
  <c r="AS105" i="6" s="1"/>
  <c r="AC54" i="6"/>
  <c r="AS54" i="6" s="1"/>
  <c r="AC55" i="6"/>
  <c r="AS55" i="6" s="1"/>
  <c r="AC56" i="6"/>
  <c r="AS56" i="6" s="1"/>
  <c r="AC57" i="6"/>
  <c r="AS57" i="6" s="1"/>
  <c r="AC58" i="6"/>
  <c r="AS58" i="6" s="1"/>
  <c r="AC59" i="6"/>
  <c r="AS59" i="6" s="1"/>
  <c r="AC60" i="6"/>
  <c r="AS60" i="6" s="1"/>
  <c r="AC61" i="6"/>
  <c r="AS61" i="6" s="1"/>
  <c r="AC62" i="6"/>
  <c r="AS62" i="6" s="1"/>
  <c r="AC63" i="6"/>
  <c r="AS63" i="6" s="1"/>
  <c r="AC64" i="6"/>
  <c r="AS64" i="6" s="1"/>
  <c r="AC68" i="6"/>
  <c r="AS68" i="6" s="1"/>
  <c r="AC69" i="6"/>
  <c r="AS69" i="6" s="1"/>
  <c r="AC70" i="6"/>
  <c r="AS70" i="6" s="1"/>
  <c r="AC71" i="6"/>
  <c r="AS71" i="6" s="1"/>
  <c r="AC72" i="6"/>
  <c r="AS72" i="6" s="1"/>
  <c r="AC73" i="6"/>
  <c r="AS73" i="6" s="1"/>
  <c r="AC122" i="6"/>
  <c r="AS122" i="6" s="1"/>
  <c r="AC123" i="6"/>
  <c r="AS123" i="6" s="1"/>
  <c r="AM440" i="6"/>
  <c r="AM439" i="6"/>
  <c r="AC17" i="6"/>
  <c r="AS17" i="6" s="1"/>
  <c r="AC23" i="6"/>
  <c r="AS23" i="6" s="1"/>
  <c r="AC38" i="6"/>
  <c r="AS38" i="6" s="1"/>
  <c r="AC39" i="6"/>
  <c r="AS39" i="6" s="1"/>
  <c r="AC40" i="6"/>
  <c r="AS40" i="6" s="1"/>
  <c r="AC41" i="6"/>
  <c r="AS41" i="6" s="1"/>
  <c r="AC42" i="6"/>
  <c r="AS42" i="6" s="1"/>
  <c r="AC43" i="6"/>
  <c r="AS43" i="6" s="1"/>
  <c r="AC48" i="6"/>
  <c r="AS48" i="6" s="1"/>
  <c r="AC50" i="6"/>
  <c r="AS50" i="6" s="1"/>
  <c r="AC78" i="6"/>
  <c r="AS78" i="6" s="1"/>
  <c r="AC79" i="6"/>
  <c r="AS79" i="6" s="1"/>
  <c r="AC81" i="6"/>
  <c r="AS81" i="6" s="1"/>
  <c r="AC82" i="6"/>
  <c r="AS82" i="6" s="1"/>
  <c r="AC83" i="6"/>
  <c r="AS83" i="6" s="1"/>
  <c r="AC85" i="6"/>
  <c r="AS85" i="6" s="1"/>
  <c r="AC86" i="6"/>
  <c r="AS86" i="6" s="1"/>
  <c r="AC87" i="6"/>
  <c r="AS87" i="6" s="1"/>
  <c r="AC92" i="6"/>
  <c r="AS92" i="6" s="1"/>
  <c r="AC93" i="6"/>
  <c r="AS93" i="6" s="1"/>
  <c r="AC94" i="6"/>
  <c r="AS94" i="6" s="1"/>
  <c r="AC96" i="6"/>
  <c r="AS96" i="6" s="1"/>
  <c r="AC97" i="6"/>
  <c r="AS97" i="6" s="1"/>
  <c r="AC98" i="6"/>
  <c r="AS98" i="6" s="1"/>
  <c r="AC305" i="6"/>
  <c r="AS305" i="6" s="1"/>
  <c r="AC321" i="6"/>
  <c r="AS321" i="6" s="1"/>
  <c r="AC361" i="6"/>
  <c r="AS361" i="6" s="1"/>
  <c r="AC363" i="6"/>
  <c r="AS363" i="6" s="1"/>
  <c r="AC365" i="6"/>
  <c r="AS365" i="6" s="1"/>
  <c r="AC366" i="6"/>
  <c r="AS366" i="6" s="1"/>
  <c r="AC428" i="6"/>
  <c r="AS428" i="6" s="1"/>
  <c r="AC430" i="6"/>
  <c r="AS430" i="6" s="1"/>
  <c r="AC432" i="6"/>
  <c r="AS432" i="6" s="1"/>
  <c r="AC17" i="5"/>
  <c r="AS17" i="5" s="1"/>
  <c r="AC25" i="5"/>
  <c r="AS25" i="5" s="1"/>
  <c r="AC32" i="5"/>
  <c r="AS32" i="5" s="1"/>
  <c r="AC34" i="5"/>
  <c r="AS34" i="5" s="1"/>
  <c r="AC39" i="5"/>
  <c r="AS39" i="5" s="1"/>
  <c r="AC43" i="5"/>
  <c r="AS43" i="5" s="1"/>
  <c r="AC78" i="5"/>
  <c r="AS78" i="5" s="1"/>
  <c r="AC153" i="5"/>
  <c r="AS153" i="5" s="1"/>
  <c r="AC157" i="5"/>
  <c r="AS157" i="5" s="1"/>
  <c r="AC175" i="5"/>
  <c r="AS175" i="5" s="1"/>
  <c r="AC177" i="5"/>
  <c r="AS177" i="5" s="1"/>
  <c r="AC196" i="5"/>
  <c r="AS196" i="5" s="1"/>
  <c r="AC198" i="5"/>
  <c r="AS198" i="5" s="1"/>
  <c r="AC205" i="5"/>
  <c r="AS205" i="5" s="1"/>
  <c r="AC215" i="5"/>
  <c r="AS215" i="5" s="1"/>
  <c r="AC227" i="5"/>
  <c r="AS227" i="5" s="1"/>
  <c r="AC238" i="5"/>
  <c r="AS238" i="5" s="1"/>
  <c r="AC254" i="5"/>
  <c r="AS254" i="5" s="1"/>
  <c r="AC258" i="5"/>
  <c r="AS258" i="5" s="1"/>
  <c r="AC274" i="5"/>
  <c r="AS274" i="5" s="1"/>
  <c r="AC278" i="5"/>
  <c r="AS278" i="5" s="1"/>
  <c r="AC282" i="5"/>
  <c r="AS282" i="5" s="1"/>
  <c r="AC286" i="5"/>
  <c r="AS286" i="5" s="1"/>
  <c r="AC293" i="5"/>
  <c r="AS293" i="5" s="1"/>
  <c r="AC307" i="5"/>
  <c r="AS307" i="5" s="1"/>
  <c r="AC313" i="5"/>
  <c r="AS313" i="5" s="1"/>
  <c r="AC317" i="5"/>
  <c r="AS317" i="5" s="1"/>
  <c r="AC325" i="5"/>
  <c r="AS325" i="5" s="1"/>
  <c r="AC331" i="5"/>
  <c r="AS331" i="5" s="1"/>
  <c r="AC347" i="5"/>
  <c r="AS347" i="5" s="1"/>
  <c r="AC349" i="5"/>
  <c r="AS349" i="5" s="1"/>
  <c r="AC355" i="5"/>
  <c r="AS355" i="5" s="1"/>
  <c r="AC363" i="5"/>
  <c r="AS363" i="5" s="1"/>
  <c r="AC371" i="5"/>
  <c r="AS371" i="5" s="1"/>
  <c r="AC381" i="5"/>
  <c r="AS381" i="5" s="1"/>
  <c r="AC388" i="5"/>
  <c r="AS388" i="5" s="1"/>
  <c r="AC392" i="5"/>
  <c r="AS392" i="5" s="1"/>
  <c r="AC398" i="5"/>
  <c r="AS398" i="5" s="1"/>
  <c r="AC402" i="5"/>
  <c r="AS402" i="5" s="1"/>
  <c r="AC408" i="5"/>
  <c r="AS408" i="5" s="1"/>
  <c r="AC414" i="5"/>
  <c r="AS414" i="5" s="1"/>
  <c r="AC416" i="5"/>
  <c r="AS416" i="5" s="1"/>
  <c r="AC420" i="5"/>
  <c r="AS420" i="5" s="1"/>
  <c r="AC424" i="5"/>
  <c r="AS424" i="5" s="1"/>
  <c r="AC432" i="5"/>
  <c r="AS432" i="5" s="1"/>
  <c r="AC442" i="5"/>
  <c r="AS442" i="5" s="1"/>
  <c r="AC448" i="5"/>
  <c r="AS448" i="5" s="1"/>
  <c r="AC452" i="5"/>
  <c r="AS452" i="5" s="1"/>
  <c r="AC24" i="6"/>
  <c r="AS24" i="6" s="1"/>
  <c r="AC25" i="6"/>
  <c r="AS25" i="6" s="1"/>
  <c r="AC26" i="6"/>
  <c r="AS26" i="6" s="1"/>
  <c r="AC30" i="6"/>
  <c r="AS30" i="6" s="1"/>
  <c r="AC32" i="6"/>
  <c r="AS32" i="6" s="1"/>
  <c r="AC34" i="6"/>
  <c r="AS34" i="6" s="1"/>
  <c r="AC435" i="3"/>
  <c r="AS435" i="3" s="1"/>
  <c r="AC241" i="3"/>
  <c r="AS241" i="3" s="1"/>
  <c r="AC19" i="3"/>
  <c r="AS19" i="3" s="1"/>
  <c r="AC115" i="3"/>
  <c r="AS115" i="3" s="1"/>
  <c r="AC249" i="3"/>
  <c r="AS249" i="3" s="1"/>
  <c r="AC383" i="3"/>
  <c r="AC27" i="3"/>
  <c r="AC125" i="3"/>
  <c r="AS125" i="3" s="1"/>
  <c r="AC191" i="3"/>
  <c r="AS191" i="3" s="1"/>
  <c r="AC218" i="3"/>
  <c r="AS218" i="3" s="1"/>
  <c r="AC51" i="3"/>
  <c r="AS51" i="3" s="1"/>
  <c r="AC295" i="3"/>
  <c r="AS295" i="3" s="1"/>
  <c r="AC44" i="3"/>
  <c r="AS44" i="3" s="1"/>
  <c r="AC179" i="3"/>
  <c r="AS179" i="3" s="1"/>
  <c r="AC232" i="3"/>
  <c r="AS232" i="3" s="1"/>
  <c r="AC35" i="3"/>
  <c r="AS35" i="3" s="1"/>
  <c r="AC199" i="3"/>
  <c r="AS199" i="3" s="1"/>
  <c r="AC206" i="3"/>
  <c r="AS206" i="3" s="1"/>
  <c r="AC261" i="3"/>
  <c r="AS261" i="3" s="1"/>
  <c r="AC270" i="3"/>
  <c r="AS270" i="3" s="1"/>
  <c r="AC212" i="3"/>
  <c r="AS212" i="3" s="1"/>
  <c r="AC172" i="3"/>
  <c r="AS172" i="3" s="1"/>
  <c r="AC148" i="3"/>
  <c r="AS148" i="3" s="1"/>
  <c r="AC107" i="3"/>
  <c r="AS107" i="3" s="1"/>
  <c r="AC74" i="3"/>
  <c r="AS74" i="3" s="1"/>
  <c r="AC156" i="6"/>
  <c r="AS156" i="6" s="1"/>
  <c r="AC158" i="6"/>
  <c r="AS158" i="6" s="1"/>
  <c r="AC160" i="6"/>
  <c r="AS160" i="6" s="1"/>
  <c r="AC162" i="6"/>
  <c r="AS162" i="6" s="1"/>
  <c r="AC164" i="6"/>
  <c r="AS164" i="6" s="1"/>
  <c r="AC169" i="6"/>
  <c r="AS169" i="6" s="1"/>
  <c r="AC171" i="6"/>
  <c r="AS171" i="6" s="1"/>
  <c r="AC215" i="6"/>
  <c r="AS215" i="6" s="1"/>
  <c r="AC216" i="6"/>
  <c r="AS216" i="6" s="1"/>
  <c r="AC217" i="6"/>
  <c r="AS217" i="6" s="1"/>
  <c r="AC222" i="6"/>
  <c r="AS222" i="6" s="1"/>
  <c r="AC224" i="6"/>
  <c r="AS224" i="6" s="1"/>
  <c r="AC226" i="6"/>
  <c r="AS226" i="6" s="1"/>
  <c r="AC230" i="6"/>
  <c r="AS230" i="6" s="1"/>
  <c r="AC313" i="6"/>
  <c r="AS313" i="6" s="1"/>
  <c r="AC345" i="6"/>
  <c r="AS345" i="6" s="1"/>
  <c r="AC378" i="6"/>
  <c r="AS378" i="6" s="1"/>
  <c r="AC379" i="6"/>
  <c r="AS379" i="6" s="1"/>
  <c r="AC380" i="6"/>
  <c r="AS380" i="6" s="1"/>
  <c r="AC381" i="6"/>
  <c r="AS381" i="6" s="1"/>
  <c r="AC382" i="6"/>
  <c r="AS382" i="6" s="1"/>
  <c r="AC386" i="6"/>
  <c r="AS386" i="6" s="1"/>
  <c r="AC387" i="6"/>
  <c r="AS387" i="6" s="1"/>
  <c r="AC388" i="6"/>
  <c r="AS388" i="6" s="1"/>
  <c r="AC389" i="6"/>
  <c r="AS389" i="6" s="1"/>
  <c r="AC390" i="6"/>
  <c r="AS390" i="6" s="1"/>
  <c r="AC391" i="6"/>
  <c r="AS391" i="6" s="1"/>
  <c r="AC392" i="6"/>
  <c r="AS392" i="6" s="1"/>
  <c r="AC393" i="6"/>
  <c r="AS393" i="6" s="1"/>
  <c r="AC394" i="6"/>
  <c r="AS394" i="6" s="1"/>
  <c r="AC403" i="6"/>
  <c r="AS403" i="6" s="1"/>
  <c r="AC407" i="6"/>
  <c r="AS407" i="6" s="1"/>
  <c r="AC408" i="6"/>
  <c r="AS408" i="6" s="1"/>
  <c r="AC409" i="6"/>
  <c r="AS409" i="6" s="1"/>
  <c r="AC410" i="6"/>
  <c r="AS410" i="6" s="1"/>
  <c r="AC411" i="6"/>
  <c r="AS411" i="6" s="1"/>
  <c r="AC420" i="6"/>
  <c r="AS420" i="6" s="1"/>
  <c r="AC421" i="6"/>
  <c r="AS421" i="6" s="1"/>
  <c r="AC422" i="6"/>
  <c r="AS422" i="6" s="1"/>
  <c r="AC423" i="6"/>
  <c r="AS423" i="6" s="1"/>
  <c r="AC424" i="6"/>
  <c r="AS424" i="6" s="1"/>
  <c r="AC425" i="6"/>
  <c r="AS425" i="6" s="1"/>
  <c r="AC435" i="6"/>
  <c r="AS435" i="6" s="1"/>
  <c r="AC443" i="6"/>
  <c r="AS443" i="6" s="1"/>
  <c r="AC445" i="6"/>
  <c r="AS445" i="6" s="1"/>
  <c r="AC446" i="6"/>
  <c r="AS446" i="6" s="1"/>
  <c r="AC448" i="6"/>
  <c r="AS448" i="6" s="1"/>
  <c r="AC450" i="6"/>
  <c r="AS450" i="6" s="1"/>
  <c r="AC452" i="6"/>
  <c r="AS452" i="6" s="1"/>
  <c r="AC122" i="7"/>
  <c r="AS122" i="7" s="1"/>
  <c r="AC161" i="7"/>
  <c r="AS161" i="7" s="1"/>
  <c r="AC168" i="7"/>
  <c r="AS168" i="7" s="1"/>
  <c r="AC182" i="7"/>
  <c r="AS182" i="7" s="1"/>
  <c r="AC186" i="7"/>
  <c r="AS186" i="7" s="1"/>
  <c r="AC190" i="7"/>
  <c r="AS190" i="7" s="1"/>
  <c r="AC334" i="7"/>
  <c r="AS334" i="7" s="1"/>
  <c r="AC447" i="7"/>
  <c r="AS447" i="7" s="1"/>
  <c r="AC430" i="7"/>
  <c r="AS430" i="7" s="1"/>
  <c r="AC442" i="7"/>
  <c r="AS442" i="7" s="1"/>
  <c r="AC33" i="5"/>
  <c r="AS33" i="5" s="1"/>
  <c r="AC47" i="5"/>
  <c r="AS47" i="5" s="1"/>
  <c r="AC111" i="5"/>
  <c r="AS111" i="5" s="1"/>
  <c r="AC132" i="5"/>
  <c r="AS132" i="5" s="1"/>
  <c r="AC222" i="5"/>
  <c r="AS222" i="5" s="1"/>
  <c r="AC226" i="5"/>
  <c r="AS226" i="5" s="1"/>
  <c r="AC228" i="5"/>
  <c r="AS228" i="5" s="1"/>
  <c r="AC230" i="5"/>
  <c r="AS230" i="5" s="1"/>
  <c r="AC316" i="3"/>
  <c r="AS316" i="3" s="1"/>
  <c r="AC318" i="3"/>
  <c r="AS318" i="3" s="1"/>
  <c r="AC330" i="3"/>
  <c r="AS330" i="3" s="1"/>
  <c r="AC331" i="3"/>
  <c r="AS331" i="3" s="1"/>
  <c r="AC332" i="3"/>
  <c r="AS332" i="3" s="1"/>
  <c r="AC334" i="3"/>
  <c r="AS334" i="3" s="1"/>
  <c r="AC348" i="3"/>
  <c r="AS348" i="3" s="1"/>
  <c r="AC353" i="3"/>
  <c r="AS353" i="3" s="1"/>
  <c r="AC362" i="3"/>
  <c r="AS362" i="3" s="1"/>
  <c r="AC363" i="3"/>
  <c r="AS363" i="3" s="1"/>
  <c r="AC364" i="3"/>
  <c r="AS364" i="3" s="1"/>
  <c r="AC365" i="3"/>
  <c r="AS365" i="3" s="1"/>
  <c r="AC369" i="3"/>
  <c r="AS369" i="3" s="1"/>
  <c r="AC378" i="3"/>
  <c r="AS378" i="3" s="1"/>
  <c r="AC380" i="3"/>
  <c r="AS380" i="3" s="1"/>
  <c r="AC387" i="3"/>
  <c r="AS387" i="3" s="1"/>
  <c r="AC391" i="3"/>
  <c r="AS391" i="3" s="1"/>
  <c r="AC397" i="3"/>
  <c r="AS397" i="3" s="1"/>
  <c r="AC398" i="3"/>
  <c r="AS398" i="3" s="1"/>
  <c r="AC401" i="3"/>
  <c r="AS401" i="3" s="1"/>
  <c r="AC403" i="3"/>
  <c r="AS403" i="3" s="1"/>
  <c r="AC407" i="3"/>
  <c r="AS407" i="3" s="1"/>
  <c r="AC408" i="3"/>
  <c r="AS408" i="3" s="1"/>
  <c r="AC410" i="3"/>
  <c r="AS410" i="3" s="1"/>
  <c r="AC411" i="3"/>
  <c r="AS411" i="3" s="1"/>
  <c r="AC416" i="3"/>
  <c r="AS416" i="3" s="1"/>
  <c r="AC420" i="3"/>
  <c r="AS420" i="3" s="1"/>
  <c r="AC422" i="3"/>
  <c r="AS422" i="3" s="1"/>
  <c r="AC423" i="3"/>
  <c r="AS423" i="3" s="1"/>
  <c r="AC424" i="3"/>
  <c r="AS424" i="3" s="1"/>
  <c r="AC436" i="3"/>
  <c r="AS436" i="3" s="1"/>
  <c r="AC442" i="3"/>
  <c r="AS442" i="3" s="1"/>
  <c r="AC443" i="3"/>
  <c r="AS443" i="3" s="1"/>
  <c r="AC444" i="3"/>
  <c r="AS444" i="3" s="1"/>
  <c r="AC445" i="3"/>
  <c r="AS445" i="3" s="1"/>
  <c r="AC447" i="3"/>
  <c r="AS447" i="3" s="1"/>
  <c r="AC448" i="3"/>
  <c r="AS448" i="3" s="1"/>
  <c r="AC449" i="3"/>
  <c r="AS449" i="3" s="1"/>
  <c r="AC451" i="3"/>
  <c r="AS451" i="3" s="1"/>
  <c r="AC452" i="3"/>
  <c r="AS452" i="3" s="1"/>
  <c r="AC103" i="6"/>
  <c r="AS103" i="6" s="1"/>
  <c r="AC112" i="6"/>
  <c r="AS112" i="6" s="1"/>
  <c r="AC113" i="6"/>
  <c r="AS113" i="6" s="1"/>
  <c r="AC182" i="6"/>
  <c r="AS182" i="6" s="1"/>
  <c r="AC238" i="6"/>
  <c r="AS238" i="6" s="1"/>
  <c r="AC253" i="6"/>
  <c r="AS253" i="6" s="1"/>
  <c r="AC254" i="6"/>
  <c r="AS254" i="6" s="1"/>
  <c r="AC257" i="6"/>
  <c r="AS257" i="6" s="1"/>
  <c r="AC273" i="6"/>
  <c r="AS273" i="6" s="1"/>
  <c r="AC275" i="6"/>
  <c r="AS275" i="6" s="1"/>
  <c r="AC277" i="6"/>
  <c r="AS277" i="6" s="1"/>
  <c r="AC279" i="6"/>
  <c r="AS279" i="6" s="1"/>
  <c r="AC281" i="6"/>
  <c r="AS281" i="6" s="1"/>
  <c r="AC283" i="6"/>
  <c r="AS283" i="6" s="1"/>
  <c r="AC285" i="6"/>
  <c r="AS285" i="6" s="1"/>
  <c r="AC290" i="6"/>
  <c r="AS290" i="6" s="1"/>
  <c r="AC306" i="6"/>
  <c r="AS306" i="6" s="1"/>
  <c r="AC307" i="6"/>
  <c r="AS307" i="6" s="1"/>
  <c r="AC308" i="6"/>
  <c r="AS308" i="6" s="1"/>
  <c r="AC309" i="6"/>
  <c r="AS309" i="6" s="1"/>
  <c r="AC310" i="6"/>
  <c r="AS310" i="6" s="1"/>
  <c r="AC322" i="6"/>
  <c r="AS322" i="6" s="1"/>
  <c r="AC323" i="6"/>
  <c r="AS323" i="6" s="1"/>
  <c r="AC324" i="6"/>
  <c r="AS324" i="6" s="1"/>
  <c r="AC325" i="6"/>
  <c r="AS325" i="6" s="1"/>
  <c r="AC326" i="6"/>
  <c r="AS326" i="6" s="1"/>
  <c r="AC337" i="6"/>
  <c r="AS337" i="6" s="1"/>
  <c r="AC398" i="6"/>
  <c r="AS398" i="6" s="1"/>
  <c r="AC400" i="6"/>
  <c r="AS400" i="6" s="1"/>
  <c r="AC438" i="6"/>
  <c r="AS438" i="6" s="1"/>
  <c r="AC439" i="6"/>
  <c r="AS439" i="6" s="1"/>
  <c r="AC43" i="7"/>
  <c r="AS43" i="7" s="1"/>
  <c r="AC79" i="7"/>
  <c r="AS79" i="7" s="1"/>
  <c r="AC83" i="7"/>
  <c r="AS83" i="7" s="1"/>
  <c r="AC87" i="7"/>
  <c r="AS87" i="7" s="1"/>
  <c r="AC94" i="7"/>
  <c r="AS94" i="7" s="1"/>
  <c r="AC98" i="7"/>
  <c r="AS98" i="7" s="1"/>
  <c r="AC103" i="7"/>
  <c r="AS103" i="7" s="1"/>
  <c r="AC113" i="7"/>
  <c r="AS113" i="7" s="1"/>
  <c r="AC276" i="7"/>
  <c r="AS276" i="7" s="1"/>
  <c r="AC280" i="7"/>
  <c r="AS280" i="7" s="1"/>
  <c r="AC284" i="7"/>
  <c r="AS284" i="7" s="1"/>
  <c r="AC321" i="7"/>
  <c r="AS321" i="7" s="1"/>
  <c r="AC337" i="7"/>
  <c r="AS337" i="7" s="1"/>
  <c r="AC422" i="7"/>
  <c r="AS422" i="7" s="1"/>
  <c r="AC18" i="3"/>
  <c r="AS18" i="3" s="1"/>
  <c r="AH319" i="2"/>
  <c r="N318" i="2" l="1"/>
  <c r="AG319" i="2"/>
  <c r="G318" i="2"/>
  <c r="U318" i="2"/>
  <c r="AO319" i="2"/>
  <c r="AP319" i="2"/>
  <c r="N315" i="2"/>
  <c r="G314" i="2"/>
  <c r="G315" i="2"/>
  <c r="U315" i="2"/>
  <c r="N316" i="2"/>
  <c r="U317" i="2"/>
  <c r="U314" i="2"/>
  <c r="U316" i="2"/>
  <c r="N314" i="2"/>
  <c r="G316" i="2"/>
  <c r="G313" i="2"/>
  <c r="N313" i="2"/>
  <c r="U313" i="2"/>
  <c r="G317" i="2"/>
  <c r="N317" i="2"/>
  <c r="AG433" i="2"/>
  <c r="AG383" i="2"/>
  <c r="AG375" i="2"/>
  <c r="AG367" i="2"/>
  <c r="AG359" i="2"/>
  <c r="AG351" i="2"/>
  <c r="AG343" i="2"/>
  <c r="AG335" i="2"/>
  <c r="AG327" i="2"/>
  <c r="AG311" i="2"/>
  <c r="AG296" i="2"/>
  <c r="AG149" i="2"/>
  <c r="AG126" i="2"/>
  <c r="AG116" i="2"/>
  <c r="AG108" i="2"/>
  <c r="X15" i="2"/>
  <c r="Q313" i="2"/>
  <c r="AG52" i="2" l="1"/>
  <c r="AB318" i="2"/>
  <c r="AB316" i="2"/>
  <c r="AB314" i="2"/>
  <c r="AB315" i="2"/>
  <c r="AG250" i="2"/>
  <c r="Q353" i="2"/>
  <c r="AK353" i="2" s="1"/>
  <c r="AG440" i="2"/>
  <c r="AK313" i="2"/>
  <c r="AQ319" i="2"/>
  <c r="AI319" i="2"/>
  <c r="L317" i="2"/>
  <c r="AH317" i="2" s="1"/>
  <c r="L316" i="2"/>
  <c r="AH316" i="2" s="1"/>
  <c r="L313" i="2"/>
  <c r="AH313" i="2" s="1"/>
  <c r="L318" i="2"/>
  <c r="AH318" i="2" s="1"/>
  <c r="L315" i="2"/>
  <c r="AH315" i="2" s="1"/>
  <c r="L314" i="2"/>
  <c r="AH314" i="2" s="1"/>
  <c r="J318" i="2"/>
  <c r="AG318" i="2" s="1"/>
  <c r="J315" i="2"/>
  <c r="AG315" i="2" s="1"/>
  <c r="J316" i="2"/>
  <c r="AG316" i="2" s="1"/>
  <c r="X318" i="2"/>
  <c r="AO318" i="2" s="1"/>
  <c r="X317" i="2"/>
  <c r="AO317" i="2" s="1"/>
  <c r="X315" i="2"/>
  <c r="AO315" i="2" s="1"/>
  <c r="X316" i="2"/>
  <c r="AO316" i="2" s="1"/>
  <c r="S318" i="2"/>
  <c r="AL318" i="2" s="1"/>
  <c r="S316" i="2"/>
  <c r="AL316" i="2" s="1"/>
  <c r="S315" i="2"/>
  <c r="AL315" i="2" s="1"/>
  <c r="S317" i="2"/>
  <c r="AL317" i="2" s="1"/>
  <c r="S314" i="2"/>
  <c r="AL314" i="2" s="1"/>
  <c r="S313" i="2"/>
  <c r="J317" i="2"/>
  <c r="AG317" i="2" s="1"/>
  <c r="Q316" i="2"/>
  <c r="AK316" i="2" s="1"/>
  <c r="X314" i="2"/>
  <c r="AO314" i="2" s="1"/>
  <c r="J314" i="2"/>
  <c r="AG314" i="2" s="1"/>
  <c r="Q314" i="2"/>
  <c r="AK314" i="2" s="1"/>
  <c r="Q318" i="2"/>
  <c r="AK318" i="2" s="1"/>
  <c r="Q315" i="2"/>
  <c r="AK315" i="2" s="1"/>
  <c r="Z316" i="2"/>
  <c r="AP316" i="2" s="1"/>
  <c r="Z313" i="2"/>
  <c r="AP313" i="2" s="1"/>
  <c r="Z318" i="2"/>
  <c r="AP318" i="2" s="1"/>
  <c r="Z317" i="2"/>
  <c r="AP317" i="2" s="1"/>
  <c r="Z315" i="2"/>
  <c r="AP315" i="2" s="1"/>
  <c r="Z314" i="2"/>
  <c r="AP314" i="2" s="1"/>
  <c r="Q317" i="2"/>
  <c r="AK317" i="2" s="1"/>
  <c r="X313" i="2"/>
  <c r="AO313" i="2" s="1"/>
  <c r="J313" i="2"/>
  <c r="AG313" i="2" s="1"/>
  <c r="AB317" i="2"/>
  <c r="AB313" i="2"/>
  <c r="N417" i="2"/>
  <c r="N416" i="2"/>
  <c r="N415" i="2"/>
  <c r="N286" i="2"/>
  <c r="U285" i="2"/>
  <c r="N285" i="2"/>
  <c r="U286" i="2"/>
  <c r="U284" i="2"/>
  <c r="N284" i="2"/>
  <c r="U283" i="2"/>
  <c r="N283" i="2"/>
  <c r="U282" i="2"/>
  <c r="N282" i="2"/>
  <c r="U281" i="2"/>
  <c r="N281" i="2"/>
  <c r="N280" i="2"/>
  <c r="N279" i="2"/>
  <c r="N278" i="2"/>
  <c r="N277" i="2"/>
  <c r="U275" i="2"/>
  <c r="U231" i="2"/>
  <c r="U230" i="2"/>
  <c r="U229" i="2"/>
  <c r="U228" i="2"/>
  <c r="U226" i="2"/>
  <c r="N215" i="2"/>
  <c r="U209" i="2"/>
  <c r="U210" i="2"/>
  <c r="U390" i="2"/>
  <c r="N390" i="2"/>
  <c r="N389" i="2"/>
  <c r="U388" i="2"/>
  <c r="N388" i="2"/>
  <c r="U394" i="2"/>
  <c r="N394" i="2"/>
  <c r="U393" i="2"/>
  <c r="N393" i="2"/>
  <c r="U392" i="2"/>
  <c r="N392" i="2"/>
  <c r="U391" i="2"/>
  <c r="U389" i="2"/>
  <c r="U260" i="2"/>
  <c r="N260" i="2"/>
  <c r="U259" i="2"/>
  <c r="N259" i="2"/>
  <c r="U258" i="2"/>
  <c r="N258" i="2"/>
  <c r="U257" i="2"/>
  <c r="N257" i="2"/>
  <c r="U256" i="2"/>
  <c r="U255" i="2"/>
  <c r="N255" i="2"/>
  <c r="U254" i="2"/>
  <c r="U253" i="2"/>
  <c r="N253" i="2"/>
  <c r="U252" i="2"/>
  <c r="U190" i="2"/>
  <c r="N190" i="2"/>
  <c r="U189" i="2"/>
  <c r="N189" i="2"/>
  <c r="U188" i="2"/>
  <c r="N188" i="2"/>
  <c r="U187" i="2"/>
  <c r="N187" i="2"/>
  <c r="U186" i="2"/>
  <c r="N186" i="2"/>
  <c r="U185" i="2"/>
  <c r="N185" i="2"/>
  <c r="U184" i="2"/>
  <c r="N184" i="2"/>
  <c r="N182" i="2"/>
  <c r="U164" i="2"/>
  <c r="N164" i="2"/>
  <c r="U157" i="2"/>
  <c r="U155" i="2"/>
  <c r="U163" i="2"/>
  <c r="N163" i="2"/>
  <c r="U162" i="2"/>
  <c r="N162" i="2"/>
  <c r="U161" i="2"/>
  <c r="N161" i="2"/>
  <c r="U160" i="2"/>
  <c r="N160" i="2"/>
  <c r="U159" i="2"/>
  <c r="N159" i="2"/>
  <c r="U158" i="2"/>
  <c r="N158" i="2"/>
  <c r="N157" i="2"/>
  <c r="U402" i="2"/>
  <c r="U401" i="2"/>
  <c r="U404" i="2"/>
  <c r="N404" i="2"/>
  <c r="U403" i="2"/>
  <c r="N403" i="2"/>
  <c r="N402" i="2"/>
  <c r="N400" i="2"/>
  <c r="U99" i="2"/>
  <c r="N99" i="2"/>
  <c r="U98" i="2"/>
  <c r="N98" i="2"/>
  <c r="U97" i="2"/>
  <c r="N97" i="2"/>
  <c r="U96" i="2"/>
  <c r="N96" i="2"/>
  <c r="U95" i="2"/>
  <c r="N95" i="2"/>
  <c r="U94" i="2"/>
  <c r="N94" i="2"/>
  <c r="U93" i="2"/>
  <c r="N93" i="2"/>
  <c r="U92" i="2"/>
  <c r="N92" i="2"/>
  <c r="AO100" i="2"/>
  <c r="AQ100" i="2"/>
  <c r="AL100" i="2"/>
  <c r="AK100" i="2"/>
  <c r="AM100" i="2"/>
  <c r="AH100" i="2"/>
  <c r="U85" i="2"/>
  <c r="U83" i="2"/>
  <c r="U80" i="2"/>
  <c r="U452" i="2"/>
  <c r="N452" i="2"/>
  <c r="U451" i="2"/>
  <c r="N451" i="2"/>
  <c r="U450" i="2"/>
  <c r="N450" i="2"/>
  <c r="U449" i="2"/>
  <c r="N449" i="2"/>
  <c r="U448" i="2"/>
  <c r="N448" i="2"/>
  <c r="U447" i="2"/>
  <c r="N447" i="2"/>
  <c r="U446" i="2"/>
  <c r="N446" i="2"/>
  <c r="U445" i="2"/>
  <c r="N445" i="2"/>
  <c r="U444" i="2"/>
  <c r="N444" i="2"/>
  <c r="U443" i="2"/>
  <c r="N443" i="2"/>
  <c r="U442" i="2"/>
  <c r="N442" i="2"/>
  <c r="U140" i="2"/>
  <c r="N140" i="2"/>
  <c r="U139" i="2"/>
  <c r="N139" i="2"/>
  <c r="U138" i="2"/>
  <c r="N138" i="2"/>
  <c r="U137" i="2"/>
  <c r="N137" i="2"/>
  <c r="U136" i="2"/>
  <c r="N136" i="2"/>
  <c r="U135" i="2"/>
  <c r="N135" i="2"/>
  <c r="U134" i="2"/>
  <c r="N134" i="2"/>
  <c r="U133" i="2"/>
  <c r="N133" i="2"/>
  <c r="U132" i="2"/>
  <c r="N132" i="2"/>
  <c r="U131" i="2"/>
  <c r="N131" i="2"/>
  <c r="U130" i="2"/>
  <c r="N130" i="2"/>
  <c r="U88" i="2"/>
  <c r="N88" i="2"/>
  <c r="U87" i="2"/>
  <c r="U86" i="2"/>
  <c r="U84" i="2"/>
  <c r="U82" i="2"/>
  <c r="N59" i="2"/>
  <c r="U58" i="2"/>
  <c r="U57" i="2"/>
  <c r="U59" i="2"/>
  <c r="U55" i="2"/>
  <c r="U238" i="2"/>
  <c r="U237" i="2"/>
  <c r="U236" i="2"/>
  <c r="U235" i="2"/>
  <c r="U73" i="2"/>
  <c r="U72" i="2"/>
  <c r="N71" i="2"/>
  <c r="U425" i="2"/>
  <c r="N425" i="2"/>
  <c r="U424" i="2"/>
  <c r="N424" i="2"/>
  <c r="U423" i="2"/>
  <c r="N423" i="2"/>
  <c r="U422" i="2"/>
  <c r="N422" i="2"/>
  <c r="U421" i="2"/>
  <c r="N421" i="2"/>
  <c r="U420" i="2"/>
  <c r="N420" i="2"/>
  <c r="U382" i="2"/>
  <c r="N382" i="2"/>
  <c r="U381" i="2"/>
  <c r="N381" i="2"/>
  <c r="U380" i="2"/>
  <c r="N380" i="2"/>
  <c r="U379" i="2"/>
  <c r="N379" i="2"/>
  <c r="U378" i="2"/>
  <c r="N378" i="2"/>
  <c r="U377" i="2"/>
  <c r="AQ383" i="2" s="1"/>
  <c r="N377" i="2"/>
  <c r="U374" i="2"/>
  <c r="N374" i="2"/>
  <c r="U373" i="2"/>
  <c r="N373" i="2"/>
  <c r="U372" i="2"/>
  <c r="N372" i="2"/>
  <c r="U371" i="2"/>
  <c r="N371" i="2"/>
  <c r="U370" i="2"/>
  <c r="N370" i="2"/>
  <c r="U369" i="2"/>
  <c r="AQ375" i="2" s="1"/>
  <c r="N369" i="2"/>
  <c r="U366" i="2"/>
  <c r="N366" i="2"/>
  <c r="U365" i="2"/>
  <c r="N365" i="2"/>
  <c r="U364" i="2"/>
  <c r="N364" i="2"/>
  <c r="U363" i="2"/>
  <c r="N363" i="2"/>
  <c r="U362" i="2"/>
  <c r="N362" i="2"/>
  <c r="U361" i="2"/>
  <c r="AQ367" i="2" s="1"/>
  <c r="N361" i="2"/>
  <c r="U358" i="2"/>
  <c r="N358" i="2"/>
  <c r="U357" i="2"/>
  <c r="N357" i="2"/>
  <c r="U356" i="2"/>
  <c r="N356" i="2"/>
  <c r="U355" i="2"/>
  <c r="N355" i="2"/>
  <c r="U354" i="2"/>
  <c r="N354" i="2"/>
  <c r="U353" i="2"/>
  <c r="AQ359" i="2" s="1"/>
  <c r="N353" i="2"/>
  <c r="U350" i="2"/>
  <c r="N350" i="2"/>
  <c r="U349" i="2"/>
  <c r="N349" i="2"/>
  <c r="U348" i="2"/>
  <c r="N348" i="2"/>
  <c r="N346" i="2"/>
  <c r="U342" i="2"/>
  <c r="N342" i="2"/>
  <c r="U341" i="2"/>
  <c r="N341" i="2"/>
  <c r="U340" i="2"/>
  <c r="N340" i="2"/>
  <c r="U339" i="2"/>
  <c r="N339" i="2"/>
  <c r="U338" i="2"/>
  <c r="U337" i="2"/>
  <c r="N337" i="2"/>
  <c r="U334" i="2"/>
  <c r="N334" i="2"/>
  <c r="U333" i="2"/>
  <c r="N333" i="2"/>
  <c r="U332" i="2"/>
  <c r="N332" i="2"/>
  <c r="U331" i="2"/>
  <c r="N331" i="2"/>
  <c r="U330" i="2"/>
  <c r="N330" i="2"/>
  <c r="U329" i="2"/>
  <c r="AQ335" i="2" s="1"/>
  <c r="N329" i="2"/>
  <c r="U326" i="2"/>
  <c r="N326" i="2"/>
  <c r="U325" i="2"/>
  <c r="N325" i="2"/>
  <c r="U324" i="2"/>
  <c r="N324" i="2"/>
  <c r="U323" i="2"/>
  <c r="N323" i="2"/>
  <c r="U322" i="2"/>
  <c r="N322" i="2"/>
  <c r="U321" i="2"/>
  <c r="N321" i="2"/>
  <c r="U310" i="2"/>
  <c r="N310" i="2"/>
  <c r="U309" i="2"/>
  <c r="N309" i="2"/>
  <c r="U308" i="2"/>
  <c r="U307" i="2"/>
  <c r="N307" i="2"/>
  <c r="U306" i="2"/>
  <c r="U305" i="2"/>
  <c r="N305" i="2"/>
  <c r="U269" i="2"/>
  <c r="N269" i="2"/>
  <c r="U268" i="2"/>
  <c r="N268" i="2"/>
  <c r="U267" i="2"/>
  <c r="N267" i="2"/>
  <c r="U266" i="2"/>
  <c r="N266" i="2"/>
  <c r="U265" i="2"/>
  <c r="N265" i="2"/>
  <c r="U264" i="2"/>
  <c r="N264" i="2"/>
  <c r="U240" i="2"/>
  <c r="N240" i="2"/>
  <c r="U239" i="2"/>
  <c r="N239" i="2"/>
  <c r="N238" i="2"/>
  <c r="N237" i="2"/>
  <c r="N236" i="2"/>
  <c r="N235" i="2"/>
  <c r="N40" i="2"/>
  <c r="N42" i="2"/>
  <c r="N38" i="2"/>
  <c r="AL250" i="2"/>
  <c r="N34" i="2"/>
  <c r="U439" i="2"/>
  <c r="N439" i="2"/>
  <c r="U438" i="2"/>
  <c r="N438" i="2"/>
  <c r="U437" i="2"/>
  <c r="N437" i="2"/>
  <c r="U436" i="2"/>
  <c r="N436" i="2"/>
  <c r="U435" i="2"/>
  <c r="N435" i="2"/>
  <c r="U432" i="2"/>
  <c r="N432" i="2"/>
  <c r="U431" i="2"/>
  <c r="N431" i="2"/>
  <c r="U430" i="2"/>
  <c r="N430" i="2"/>
  <c r="U429" i="2"/>
  <c r="N429" i="2"/>
  <c r="U428" i="2"/>
  <c r="N428" i="2"/>
  <c r="U411" i="2"/>
  <c r="N411" i="2"/>
  <c r="U410" i="2"/>
  <c r="N410" i="2"/>
  <c r="U409" i="2"/>
  <c r="N409" i="2"/>
  <c r="U408" i="2"/>
  <c r="N408" i="2"/>
  <c r="U407" i="2"/>
  <c r="N407" i="2"/>
  <c r="G407" i="2"/>
  <c r="U294" i="2"/>
  <c r="U293" i="2"/>
  <c r="U292" i="2"/>
  <c r="U291" i="2"/>
  <c r="U290" i="2"/>
  <c r="U248" i="2"/>
  <c r="U247" i="2"/>
  <c r="U246" i="2"/>
  <c r="U245" i="2"/>
  <c r="U244" i="2"/>
  <c r="AL149" i="2"/>
  <c r="AK149" i="2"/>
  <c r="AK126" i="2"/>
  <c r="AH126" i="2"/>
  <c r="AK116" i="2"/>
  <c r="AK108" i="2"/>
  <c r="U48" i="2"/>
  <c r="AP52" i="2"/>
  <c r="AO52" i="2"/>
  <c r="AL52" i="2"/>
  <c r="AK52" i="2"/>
  <c r="G25" i="2"/>
  <c r="N24" i="2"/>
  <c r="U205" i="2"/>
  <c r="N205" i="2"/>
  <c r="U204" i="2"/>
  <c r="N204" i="2"/>
  <c r="U203" i="2"/>
  <c r="N203" i="2"/>
  <c r="U202" i="2"/>
  <c r="N202" i="2"/>
  <c r="U198" i="2"/>
  <c r="U196" i="2"/>
  <c r="U178" i="2"/>
  <c r="U176" i="2"/>
  <c r="U171" i="2"/>
  <c r="N169" i="2"/>
  <c r="N146" i="2"/>
  <c r="N144" i="2"/>
  <c r="N123" i="2"/>
  <c r="N113" i="2"/>
  <c r="N105" i="2"/>
  <c r="S423" i="2"/>
  <c r="AL423" i="2" s="1"/>
  <c r="Q18" i="2"/>
  <c r="Q17" i="2"/>
  <c r="AK17" i="2" s="1"/>
  <c r="Q16" i="2"/>
  <c r="AC6" i="2"/>
  <c r="L17" i="2"/>
  <c r="AH17" i="2" s="1"/>
  <c r="G15" i="2"/>
  <c r="J19" i="2"/>
  <c r="AG19" i="2" s="1"/>
  <c r="J17" i="2"/>
  <c r="AG17" i="2" s="1"/>
  <c r="Z452" i="2"/>
  <c r="AP452" i="2" s="1"/>
  <c r="G452" i="2"/>
  <c r="G451" i="2"/>
  <c r="Z450" i="2"/>
  <c r="AP450" i="2" s="1"/>
  <c r="G450" i="2"/>
  <c r="G449" i="2"/>
  <c r="Z448" i="2"/>
  <c r="AP448" i="2" s="1"/>
  <c r="G448" i="2"/>
  <c r="G447" i="2"/>
  <c r="Z446" i="2"/>
  <c r="AP446" i="2" s="1"/>
  <c r="G446" i="2"/>
  <c r="G445" i="2"/>
  <c r="Z444" i="2"/>
  <c r="AP444" i="2" s="1"/>
  <c r="G444" i="2"/>
  <c r="G443" i="2"/>
  <c r="Z442" i="2"/>
  <c r="AP442" i="2" s="1"/>
  <c r="AP440" i="2"/>
  <c r="AH440" i="2"/>
  <c r="G438" i="2"/>
  <c r="Z437" i="2"/>
  <c r="AP437" i="2" s="1"/>
  <c r="G437" i="2"/>
  <c r="G436" i="2"/>
  <c r="Z435" i="2"/>
  <c r="AP435" i="2" s="1"/>
  <c r="AP433" i="2"/>
  <c r="AH433" i="2"/>
  <c r="Z432" i="2"/>
  <c r="AP432" i="2" s="1"/>
  <c r="G432" i="2"/>
  <c r="G431" i="2"/>
  <c r="Z430" i="2"/>
  <c r="AP430" i="2" s="1"/>
  <c r="G430" i="2"/>
  <c r="G429" i="2"/>
  <c r="Z428" i="2"/>
  <c r="AP428" i="2" s="1"/>
  <c r="AQ433" i="2"/>
  <c r="G425" i="2"/>
  <c r="Z424" i="2"/>
  <c r="AP424" i="2" s="1"/>
  <c r="G424" i="2"/>
  <c r="G423" i="2"/>
  <c r="Z422" i="2"/>
  <c r="AP422" i="2" s="1"/>
  <c r="G422" i="2"/>
  <c r="G421" i="2"/>
  <c r="Z420" i="2"/>
  <c r="AP420" i="2" s="1"/>
  <c r="G420" i="2"/>
  <c r="G417" i="2"/>
  <c r="Z416" i="2"/>
  <c r="AP416" i="2" s="1"/>
  <c r="G416" i="2"/>
  <c r="G415" i="2"/>
  <c r="Z414" i="2"/>
  <c r="AP414" i="2" s="1"/>
  <c r="G414" i="2"/>
  <c r="G411" i="2"/>
  <c r="Z410" i="2"/>
  <c r="AP410" i="2" s="1"/>
  <c r="G410" i="2"/>
  <c r="G409" i="2"/>
  <c r="Z408" i="2"/>
  <c r="AP408" i="2" s="1"/>
  <c r="G408" i="2"/>
  <c r="Z404" i="2"/>
  <c r="AP404" i="2" s="1"/>
  <c r="G404" i="2"/>
  <c r="G403" i="2"/>
  <c r="Z402" i="2"/>
  <c r="AP402" i="2" s="1"/>
  <c r="G402" i="2"/>
  <c r="G401" i="2"/>
  <c r="Z400" i="2"/>
  <c r="AP400" i="2" s="1"/>
  <c r="G400" i="2"/>
  <c r="G399" i="2"/>
  <c r="Z398" i="2"/>
  <c r="AP398" i="2" s="1"/>
  <c r="Z397" i="2"/>
  <c r="AP397" i="2" s="1"/>
  <c r="Z394" i="2"/>
  <c r="AP394" i="2" s="1"/>
  <c r="G394" i="2"/>
  <c r="G393" i="2"/>
  <c r="Z392" i="2"/>
  <c r="AP392" i="2" s="1"/>
  <c r="G392" i="2"/>
  <c r="G391" i="2"/>
  <c r="Z390" i="2"/>
  <c r="AP390" i="2" s="1"/>
  <c r="G390" i="2"/>
  <c r="G389" i="2"/>
  <c r="Z388" i="2"/>
  <c r="AP388" i="2" s="1"/>
  <c r="G388" i="2"/>
  <c r="G387" i="2"/>
  <c r="Z386" i="2"/>
  <c r="AP386" i="2" s="1"/>
  <c r="AP383" i="2"/>
  <c r="AO383" i="2"/>
  <c r="AH383" i="2"/>
  <c r="AB383" i="2"/>
  <c r="G382" i="2"/>
  <c r="Z381" i="2"/>
  <c r="AP381" i="2" s="1"/>
  <c r="G381" i="2"/>
  <c r="G380" i="2"/>
  <c r="Z379" i="2"/>
  <c r="AP379" i="2" s="1"/>
  <c r="G379" i="2"/>
  <c r="G378" i="2"/>
  <c r="Z377" i="2"/>
  <c r="AP377" i="2" s="1"/>
  <c r="G377" i="2"/>
  <c r="AP375" i="2"/>
  <c r="AO375" i="2"/>
  <c r="AH375" i="2"/>
  <c r="Z374" i="2"/>
  <c r="AP374" i="2" s="1"/>
  <c r="G374" i="2"/>
  <c r="G373" i="2"/>
  <c r="Z372" i="2"/>
  <c r="AP372" i="2" s="1"/>
  <c r="G372" i="2"/>
  <c r="G371" i="2"/>
  <c r="Z370" i="2"/>
  <c r="AP370" i="2" s="1"/>
  <c r="G370" i="2"/>
  <c r="G369" i="2"/>
  <c r="AP367" i="2"/>
  <c r="AO367" i="2"/>
  <c r="AH367" i="2"/>
  <c r="G366" i="2"/>
  <c r="Z365" i="2"/>
  <c r="AP365" i="2" s="1"/>
  <c r="G365" i="2"/>
  <c r="G364" i="2"/>
  <c r="Z363" i="2"/>
  <c r="AP363" i="2" s="1"/>
  <c r="G363" i="2"/>
  <c r="G362" i="2"/>
  <c r="Z361" i="2"/>
  <c r="AP361" i="2" s="1"/>
  <c r="G361" i="2"/>
  <c r="AP359" i="2"/>
  <c r="AO359" i="2"/>
  <c r="AH359" i="2"/>
  <c r="Z358" i="2"/>
  <c r="AP358" i="2" s="1"/>
  <c r="G358" i="2"/>
  <c r="G357" i="2"/>
  <c r="Z356" i="2"/>
  <c r="AP356" i="2" s="1"/>
  <c r="G356" i="2"/>
  <c r="G355" i="2"/>
  <c r="Z354" i="2"/>
  <c r="AP354" i="2" s="1"/>
  <c r="G354" i="2"/>
  <c r="G353" i="2"/>
  <c r="AP351" i="2"/>
  <c r="AO351" i="2"/>
  <c r="G350" i="2"/>
  <c r="Z349" i="2"/>
  <c r="AP349" i="2" s="1"/>
  <c r="G349" i="2"/>
  <c r="G347" i="2"/>
  <c r="Z346" i="2"/>
  <c r="AP346" i="2" s="1"/>
  <c r="G345" i="2"/>
  <c r="AP343" i="2"/>
  <c r="AO343" i="2"/>
  <c r="G342" i="2"/>
  <c r="Z341" i="2"/>
  <c r="AP341" i="2" s="1"/>
  <c r="G341" i="2"/>
  <c r="G340" i="2"/>
  <c r="Z339" i="2"/>
  <c r="AP339" i="2" s="1"/>
  <c r="G339" i="2"/>
  <c r="G338" i="2"/>
  <c r="Z337" i="2"/>
  <c r="AP337" i="2" s="1"/>
  <c r="G337" i="2"/>
  <c r="AP335" i="2"/>
  <c r="AO335" i="2"/>
  <c r="AH335" i="2"/>
  <c r="Z334" i="2"/>
  <c r="AP334" i="2" s="1"/>
  <c r="G334" i="2"/>
  <c r="G333" i="2"/>
  <c r="Z332" i="2"/>
  <c r="AP332" i="2" s="1"/>
  <c r="G332" i="2"/>
  <c r="G331" i="2"/>
  <c r="Z330" i="2"/>
  <c r="AP330" i="2" s="1"/>
  <c r="G330" i="2"/>
  <c r="G329" i="2"/>
  <c r="AP327" i="2"/>
  <c r="AO327" i="2"/>
  <c r="AH327" i="2"/>
  <c r="G326" i="2"/>
  <c r="Z325" i="2"/>
  <c r="AP325" i="2" s="1"/>
  <c r="G325" i="2"/>
  <c r="G324" i="2"/>
  <c r="Z323" i="2"/>
  <c r="AP323" i="2" s="1"/>
  <c r="G323" i="2"/>
  <c r="G322" i="2"/>
  <c r="Z321" i="2"/>
  <c r="AP321" i="2" s="1"/>
  <c r="G321" i="2"/>
  <c r="AP311" i="2"/>
  <c r="AO311" i="2"/>
  <c r="AH311" i="2"/>
  <c r="G310" i="2"/>
  <c r="Z309" i="2"/>
  <c r="AP309" i="2" s="1"/>
  <c r="G308" i="2"/>
  <c r="Z307" i="2"/>
  <c r="AP307" i="2" s="1"/>
  <c r="G307" i="2"/>
  <c r="AP296" i="2"/>
  <c r="AH296" i="2"/>
  <c r="Z295" i="2"/>
  <c r="AP295" i="2" s="1"/>
  <c r="U295" i="2"/>
  <c r="S295" i="2"/>
  <c r="AL295" i="2" s="1"/>
  <c r="Q295" i="2"/>
  <c r="AK295" i="2" s="1"/>
  <c r="N295" i="2"/>
  <c r="G295" i="2"/>
  <c r="G294" i="2"/>
  <c r="Z293" i="2"/>
  <c r="AP293" i="2" s="1"/>
  <c r="G293" i="2"/>
  <c r="G292" i="2"/>
  <c r="Z291" i="2"/>
  <c r="AP291" i="2" s="1"/>
  <c r="G291" i="2"/>
  <c r="AS287" i="2"/>
  <c r="AQ287" i="2"/>
  <c r="AP287" i="2"/>
  <c r="AO287" i="2"/>
  <c r="AM287" i="2"/>
  <c r="AL287" i="2"/>
  <c r="AK287" i="2"/>
  <c r="AI287" i="2"/>
  <c r="AH287" i="2"/>
  <c r="Z286" i="2"/>
  <c r="AP286" i="2" s="1"/>
  <c r="G286" i="2"/>
  <c r="G285" i="2"/>
  <c r="Z284" i="2"/>
  <c r="AP284" i="2" s="1"/>
  <c r="G284" i="2"/>
  <c r="G283" i="2"/>
  <c r="Z282" i="2"/>
  <c r="AP282" i="2" s="1"/>
  <c r="G282" i="2"/>
  <c r="G281" i="2"/>
  <c r="Z280" i="2"/>
  <c r="AP280" i="2" s="1"/>
  <c r="G280" i="2"/>
  <c r="Z279" i="2"/>
  <c r="AP279" i="2" s="1"/>
  <c r="G279" i="2"/>
  <c r="Z278" i="2"/>
  <c r="AP278" i="2" s="1"/>
  <c r="G278" i="2"/>
  <c r="Z277" i="2"/>
  <c r="AP277" i="2" s="1"/>
  <c r="G277" i="2"/>
  <c r="Z276" i="2"/>
  <c r="AP276" i="2" s="1"/>
  <c r="G276" i="2"/>
  <c r="Z275" i="2"/>
  <c r="AP275" i="2" s="1"/>
  <c r="G275" i="2"/>
  <c r="Z274" i="2"/>
  <c r="AP274" i="2" s="1"/>
  <c r="G274" i="2"/>
  <c r="Z273" i="2"/>
  <c r="AP273" i="2" s="1"/>
  <c r="Z270" i="2"/>
  <c r="AP270" i="2" s="1"/>
  <c r="U270" i="2"/>
  <c r="S270" i="2"/>
  <c r="AL270" i="2" s="1"/>
  <c r="N270" i="2"/>
  <c r="G270" i="2"/>
  <c r="Z269" i="2"/>
  <c r="AP269" i="2" s="1"/>
  <c r="G269" i="2"/>
  <c r="Z268" i="2"/>
  <c r="AP268" i="2" s="1"/>
  <c r="G268" i="2"/>
  <c r="Z267" i="2"/>
  <c r="AP267" i="2" s="1"/>
  <c r="G267" i="2"/>
  <c r="Z266" i="2"/>
  <c r="AP266" i="2" s="1"/>
  <c r="G266" i="2"/>
  <c r="Z265" i="2"/>
  <c r="AP265" i="2" s="1"/>
  <c r="G265" i="2"/>
  <c r="Z264" i="2"/>
  <c r="AP264" i="2" s="1"/>
  <c r="Z261" i="2"/>
  <c r="AP261" i="2" s="1"/>
  <c r="U261" i="2"/>
  <c r="S261" i="2"/>
  <c r="AL261" i="2" s="1"/>
  <c r="N261" i="2"/>
  <c r="G261" i="2"/>
  <c r="Z260" i="2"/>
  <c r="AP260" i="2" s="1"/>
  <c r="G260" i="2"/>
  <c r="Z259" i="2"/>
  <c r="AP259" i="2" s="1"/>
  <c r="G259" i="2"/>
  <c r="Z258" i="2"/>
  <c r="AP258" i="2" s="1"/>
  <c r="G258" i="2"/>
  <c r="Z257" i="2"/>
  <c r="AP257" i="2" s="1"/>
  <c r="G257" i="2"/>
  <c r="Z256" i="2"/>
  <c r="AP256" i="2" s="1"/>
  <c r="Z255" i="2"/>
  <c r="AP255" i="2" s="1"/>
  <c r="Z254" i="2"/>
  <c r="AP254" i="2" s="1"/>
  <c r="G254" i="2"/>
  <c r="Z253" i="2"/>
  <c r="AP253" i="2" s="1"/>
  <c r="G253" i="2"/>
  <c r="Z252" i="2"/>
  <c r="AP252" i="2" s="1"/>
  <c r="AP250" i="2"/>
  <c r="AO250" i="2"/>
  <c r="Z249" i="2"/>
  <c r="AP249" i="2" s="1"/>
  <c r="U249" i="2"/>
  <c r="S249" i="2"/>
  <c r="AL249" i="2" s="1"/>
  <c r="N249" i="2"/>
  <c r="G249" i="2"/>
  <c r="Z248" i="2"/>
  <c r="AP248" i="2" s="1"/>
  <c r="G248" i="2"/>
  <c r="Z247" i="2"/>
  <c r="AP247" i="2" s="1"/>
  <c r="G247" i="2"/>
  <c r="Z246" i="2"/>
  <c r="AP246" i="2" s="1"/>
  <c r="G246" i="2"/>
  <c r="Z245" i="2"/>
  <c r="AP245" i="2" s="1"/>
  <c r="G245" i="2"/>
  <c r="Z244" i="2"/>
  <c r="AP244" i="2" s="1"/>
  <c r="Z241" i="2"/>
  <c r="AP241" i="2" s="1"/>
  <c r="U241" i="2"/>
  <c r="S241" i="2"/>
  <c r="AL241" i="2" s="1"/>
  <c r="N241" i="2"/>
  <c r="G241" i="2"/>
  <c r="Z240" i="2"/>
  <c r="AP240" i="2" s="1"/>
  <c r="G240" i="2"/>
  <c r="Z239" i="2"/>
  <c r="AP239" i="2" s="1"/>
  <c r="G239" i="2"/>
  <c r="Z238" i="2"/>
  <c r="AP238" i="2" s="1"/>
  <c r="G238" i="2"/>
  <c r="Z237" i="2"/>
  <c r="AP237" i="2" s="1"/>
  <c r="G237" i="2"/>
  <c r="Z236" i="2"/>
  <c r="AP236" i="2" s="1"/>
  <c r="G236" i="2"/>
  <c r="Z235" i="2"/>
  <c r="AP235" i="2" s="1"/>
  <c r="G235" i="2"/>
  <c r="Z232" i="2"/>
  <c r="AP232" i="2" s="1"/>
  <c r="U232" i="2"/>
  <c r="S232" i="2"/>
  <c r="AL232" i="2" s="1"/>
  <c r="N232" i="2"/>
  <c r="G232" i="2"/>
  <c r="Z231" i="2"/>
  <c r="AP231" i="2" s="1"/>
  <c r="G231" i="2"/>
  <c r="Z230" i="2"/>
  <c r="AP230" i="2" s="1"/>
  <c r="G230" i="2"/>
  <c r="Z229" i="2"/>
  <c r="AP229" i="2" s="1"/>
  <c r="G229" i="2"/>
  <c r="Z228" i="2"/>
  <c r="AP228" i="2" s="1"/>
  <c r="G228" i="2"/>
  <c r="Z227" i="2"/>
  <c r="AP227" i="2" s="1"/>
  <c r="Z226" i="2"/>
  <c r="AP226" i="2" s="1"/>
  <c r="G226" i="2"/>
  <c r="Z225" i="2"/>
  <c r="AP225" i="2" s="1"/>
  <c r="Z224" i="2"/>
  <c r="AP224" i="2" s="1"/>
  <c r="G224" i="2"/>
  <c r="Z223" i="2"/>
  <c r="AP223" i="2" s="1"/>
  <c r="Z222" i="2"/>
  <c r="AP222" i="2" s="1"/>
  <c r="G222" i="2"/>
  <c r="AC219" i="2"/>
  <c r="Z218" i="2"/>
  <c r="AP218" i="2" s="1"/>
  <c r="X218" i="2"/>
  <c r="AO218" i="2" s="1"/>
  <c r="U218" i="2"/>
  <c r="S218" i="2"/>
  <c r="AL218" i="2" s="1"/>
  <c r="N218" i="2"/>
  <c r="G218" i="2"/>
  <c r="Z217" i="2"/>
  <c r="AP217" i="2" s="1"/>
  <c r="G217" i="2"/>
  <c r="Z216" i="2"/>
  <c r="AP216" i="2" s="1"/>
  <c r="Z215" i="2"/>
  <c r="AP215" i="2" s="1"/>
  <c r="G215" i="2"/>
  <c r="Z212" i="2"/>
  <c r="AP212" i="2" s="1"/>
  <c r="U212" i="2"/>
  <c r="S212" i="2"/>
  <c r="AL212" i="2" s="1"/>
  <c r="N212" i="2"/>
  <c r="G212" i="2"/>
  <c r="Z211" i="2"/>
  <c r="AP211" i="2" s="1"/>
  <c r="G211" i="2"/>
  <c r="Z210" i="2"/>
  <c r="AP210" i="2" s="1"/>
  <c r="G210" i="2"/>
  <c r="Z209" i="2"/>
  <c r="AP209" i="2" s="1"/>
  <c r="Z206" i="2"/>
  <c r="AP206" i="2" s="1"/>
  <c r="U206" i="2"/>
  <c r="S206" i="2"/>
  <c r="AL206" i="2" s="1"/>
  <c r="N206" i="2"/>
  <c r="G206" i="2"/>
  <c r="Z205" i="2"/>
  <c r="AP205" i="2" s="1"/>
  <c r="G205" i="2"/>
  <c r="Z204" i="2"/>
  <c r="AP204" i="2" s="1"/>
  <c r="G204" i="2"/>
  <c r="Z203" i="2"/>
  <c r="AP203" i="2" s="1"/>
  <c r="G203" i="2"/>
  <c r="Z202" i="2"/>
  <c r="AP202" i="2" s="1"/>
  <c r="G202" i="2"/>
  <c r="Z199" i="2"/>
  <c r="AP199" i="2" s="1"/>
  <c r="U199" i="2"/>
  <c r="S199" i="2"/>
  <c r="AL199" i="2" s="1"/>
  <c r="N199" i="2"/>
  <c r="G199" i="2"/>
  <c r="Z198" i="2"/>
  <c r="AP198" i="2" s="1"/>
  <c r="G197" i="2"/>
  <c r="Z196" i="2"/>
  <c r="AP196" i="2" s="1"/>
  <c r="G195" i="2"/>
  <c r="Z191" i="2"/>
  <c r="AP191" i="2" s="1"/>
  <c r="U191" i="2"/>
  <c r="S191" i="2"/>
  <c r="AL191" i="2" s="1"/>
  <c r="N191" i="2"/>
  <c r="G191" i="2"/>
  <c r="Z190" i="2"/>
  <c r="AP190" i="2" s="1"/>
  <c r="G190" i="2"/>
  <c r="Z189" i="2"/>
  <c r="AP189" i="2" s="1"/>
  <c r="G189" i="2"/>
  <c r="Z188" i="2"/>
  <c r="AP188" i="2" s="1"/>
  <c r="G188" i="2"/>
  <c r="Z187" i="2"/>
  <c r="AP187" i="2" s="1"/>
  <c r="G187" i="2"/>
  <c r="Z186" i="2"/>
  <c r="AP186" i="2" s="1"/>
  <c r="G186" i="2"/>
  <c r="Z185" i="2"/>
  <c r="AP185" i="2" s="1"/>
  <c r="G185" i="2"/>
  <c r="Z184" i="2"/>
  <c r="AP184" i="2" s="1"/>
  <c r="G184" i="2"/>
  <c r="Z183" i="2"/>
  <c r="AP183" i="2" s="1"/>
  <c r="Z182" i="2"/>
  <c r="AP182" i="2" s="1"/>
  <c r="Z179" i="2"/>
  <c r="AP179" i="2" s="1"/>
  <c r="U179" i="2"/>
  <c r="S179" i="2"/>
  <c r="AL179" i="2" s="1"/>
  <c r="N179" i="2"/>
  <c r="G179" i="2"/>
  <c r="Z172" i="2"/>
  <c r="AP172" i="2" s="1"/>
  <c r="U172" i="2"/>
  <c r="S172" i="2"/>
  <c r="AL172" i="2" s="1"/>
  <c r="N172" i="2"/>
  <c r="G172" i="2"/>
  <c r="G171" i="2"/>
  <c r="Z170" i="2"/>
  <c r="AP170" i="2" s="1"/>
  <c r="G169" i="2"/>
  <c r="AS165" i="2"/>
  <c r="AQ165" i="2"/>
  <c r="AP165" i="2"/>
  <c r="AO165" i="2"/>
  <c r="AM165" i="2"/>
  <c r="AL165" i="2"/>
  <c r="AK165" i="2"/>
  <c r="AI165" i="2"/>
  <c r="AH165" i="2"/>
  <c r="Z164" i="2"/>
  <c r="AP164" i="2" s="1"/>
  <c r="G164" i="2"/>
  <c r="Z163" i="2"/>
  <c r="AP163" i="2" s="1"/>
  <c r="G163" i="2"/>
  <c r="Z162" i="2"/>
  <c r="AP162" i="2" s="1"/>
  <c r="G162" i="2"/>
  <c r="Z161" i="2"/>
  <c r="AP161" i="2" s="1"/>
  <c r="G161" i="2"/>
  <c r="Z160" i="2"/>
  <c r="AP160" i="2" s="1"/>
  <c r="G160" i="2"/>
  <c r="Z159" i="2"/>
  <c r="AP159" i="2" s="1"/>
  <c r="G159" i="2"/>
  <c r="Z158" i="2"/>
  <c r="AP158" i="2" s="1"/>
  <c r="G158" i="2"/>
  <c r="Z157" i="2"/>
  <c r="AP157" i="2" s="1"/>
  <c r="G157" i="2"/>
  <c r="Z156" i="2"/>
  <c r="AP156" i="2" s="1"/>
  <c r="G156" i="2"/>
  <c r="Z155" i="2"/>
  <c r="AP155" i="2" s="1"/>
  <c r="Z154" i="2"/>
  <c r="AP154" i="2" s="1"/>
  <c r="G154" i="2"/>
  <c r="Z153" i="2"/>
  <c r="AP153" i="2" s="1"/>
  <c r="AO149" i="2"/>
  <c r="Z148" i="2"/>
  <c r="AP148" i="2" s="1"/>
  <c r="U148" i="2"/>
  <c r="S148" i="2"/>
  <c r="AL148" i="2" s="1"/>
  <c r="N148" i="2"/>
  <c r="G148" i="2"/>
  <c r="Z147" i="2"/>
  <c r="AP147" i="2" s="1"/>
  <c r="G146" i="2"/>
  <c r="Z145" i="2"/>
  <c r="AP145" i="2" s="1"/>
  <c r="AS141" i="2"/>
  <c r="AQ141" i="2"/>
  <c r="AP141" i="2"/>
  <c r="AO141" i="2"/>
  <c r="AM141" i="2"/>
  <c r="AL141" i="2"/>
  <c r="AK141" i="2"/>
  <c r="AI141" i="2"/>
  <c r="AH141" i="2"/>
  <c r="Z140" i="2"/>
  <c r="AP140" i="2" s="1"/>
  <c r="G140" i="2"/>
  <c r="Z139" i="2"/>
  <c r="AP139" i="2" s="1"/>
  <c r="G139" i="2"/>
  <c r="Z138" i="2"/>
  <c r="AP138" i="2" s="1"/>
  <c r="G138" i="2"/>
  <c r="Z137" i="2"/>
  <c r="AP137" i="2" s="1"/>
  <c r="G137" i="2"/>
  <c r="Z136" i="2"/>
  <c r="AP136" i="2" s="1"/>
  <c r="G136" i="2"/>
  <c r="Z135" i="2"/>
  <c r="AP135" i="2" s="1"/>
  <c r="G135" i="2"/>
  <c r="Z134" i="2"/>
  <c r="AP134" i="2" s="1"/>
  <c r="G134" i="2"/>
  <c r="Z133" i="2"/>
  <c r="AP133" i="2" s="1"/>
  <c r="G133" i="2"/>
  <c r="Z132" i="2"/>
  <c r="AP132" i="2" s="1"/>
  <c r="G132" i="2"/>
  <c r="Z131" i="2"/>
  <c r="AP131" i="2" s="1"/>
  <c r="G131" i="2"/>
  <c r="Z130" i="2"/>
  <c r="AP130" i="2" s="1"/>
  <c r="AO126" i="2"/>
  <c r="Z125" i="2"/>
  <c r="AP125" i="2" s="1"/>
  <c r="U125" i="2"/>
  <c r="S125" i="2"/>
  <c r="AL125" i="2" s="1"/>
  <c r="N125" i="2"/>
  <c r="G125" i="2"/>
  <c r="G121" i="2"/>
  <c r="AS116" i="2"/>
  <c r="AP116" i="2"/>
  <c r="AO116" i="2"/>
  <c r="AH116" i="2"/>
  <c r="Z115" i="2"/>
  <c r="AP115" i="2" s="1"/>
  <c r="U115" i="2"/>
  <c r="S115" i="2"/>
  <c r="AL115" i="2" s="1"/>
  <c r="N115" i="2"/>
  <c r="G115" i="2"/>
  <c r="AS108" i="2"/>
  <c r="AO108" i="2"/>
  <c r="Z107" i="2"/>
  <c r="AP107" i="2" s="1"/>
  <c r="U107" i="2"/>
  <c r="S107" i="2"/>
  <c r="AL107" i="2" s="1"/>
  <c r="N107" i="2"/>
  <c r="G107" i="2"/>
  <c r="G106" i="2"/>
  <c r="Z105" i="2"/>
  <c r="AP105" i="2" s="1"/>
  <c r="G104" i="2"/>
  <c r="Z103" i="2"/>
  <c r="AP103" i="2" s="1"/>
  <c r="AS100" i="2"/>
  <c r="AP100" i="2"/>
  <c r="AI100" i="2"/>
  <c r="Z99" i="2"/>
  <c r="AP99" i="2" s="1"/>
  <c r="G99" i="2"/>
  <c r="Z98" i="2"/>
  <c r="AP98" i="2" s="1"/>
  <c r="G98" i="2"/>
  <c r="Z97" i="2"/>
  <c r="AP97" i="2" s="1"/>
  <c r="G97" i="2"/>
  <c r="Z96" i="2"/>
  <c r="AP96" i="2" s="1"/>
  <c r="G96" i="2"/>
  <c r="Z95" i="2"/>
  <c r="AP95" i="2" s="1"/>
  <c r="G95" i="2"/>
  <c r="Z94" i="2"/>
  <c r="AP94" i="2" s="1"/>
  <c r="G94" i="2"/>
  <c r="Z93" i="2"/>
  <c r="AP93" i="2" s="1"/>
  <c r="G93" i="2"/>
  <c r="Z92" i="2"/>
  <c r="AP92" i="2" s="1"/>
  <c r="G92" i="2"/>
  <c r="AS89" i="2"/>
  <c r="AQ89" i="2"/>
  <c r="AP89" i="2"/>
  <c r="AO89" i="2"/>
  <c r="AM89" i="2"/>
  <c r="AL89" i="2"/>
  <c r="AK89" i="2"/>
  <c r="AI89" i="2"/>
  <c r="AH89" i="2"/>
  <c r="Z88" i="2"/>
  <c r="AP88" i="2" s="1"/>
  <c r="G88" i="2"/>
  <c r="Z87" i="2"/>
  <c r="AP87" i="2" s="1"/>
  <c r="G87" i="2"/>
  <c r="Z86" i="2"/>
  <c r="AP86" i="2" s="1"/>
  <c r="G86" i="2"/>
  <c r="Z85" i="2"/>
  <c r="AP85" i="2" s="1"/>
  <c r="G85" i="2"/>
  <c r="Z84" i="2"/>
  <c r="AP84" i="2" s="1"/>
  <c r="G84" i="2"/>
  <c r="Z83" i="2"/>
  <c r="AP83" i="2" s="1"/>
  <c r="G83" i="2"/>
  <c r="Z82" i="2"/>
  <c r="AP82" i="2" s="1"/>
  <c r="G82" i="2"/>
  <c r="Z81" i="2"/>
  <c r="AP81" i="2" s="1"/>
  <c r="G81" i="2"/>
  <c r="Z80" i="2"/>
  <c r="AP80" i="2" s="1"/>
  <c r="G80" i="2"/>
  <c r="Z79" i="2"/>
  <c r="AP79" i="2" s="1"/>
  <c r="G79" i="2"/>
  <c r="Z78" i="2"/>
  <c r="AP78" i="2" s="1"/>
  <c r="Z74" i="2"/>
  <c r="AP74" i="2" s="1"/>
  <c r="U74" i="2"/>
  <c r="S74" i="2"/>
  <c r="AL74" i="2" s="1"/>
  <c r="N74" i="2"/>
  <c r="L74" i="2"/>
  <c r="AH74" i="2" s="1"/>
  <c r="G74" i="2"/>
  <c r="Z73" i="2"/>
  <c r="AP73" i="2" s="1"/>
  <c r="G73" i="2"/>
  <c r="Z72" i="2"/>
  <c r="AP72" i="2" s="1"/>
  <c r="G72" i="2"/>
  <c r="Z71" i="2"/>
  <c r="AP71" i="2" s="1"/>
  <c r="G71" i="2"/>
  <c r="Z70" i="2"/>
  <c r="AP70" i="2" s="1"/>
  <c r="G70" i="2"/>
  <c r="Z69" i="2"/>
  <c r="AP69" i="2" s="1"/>
  <c r="G69" i="2"/>
  <c r="Z68" i="2"/>
  <c r="AP68" i="2" s="1"/>
  <c r="G68" i="2"/>
  <c r="AS65" i="2"/>
  <c r="AQ65" i="2"/>
  <c r="AP65" i="2"/>
  <c r="AO65" i="2"/>
  <c r="AM65" i="2"/>
  <c r="AL65" i="2"/>
  <c r="AK65" i="2"/>
  <c r="AI65" i="2"/>
  <c r="AH65" i="2"/>
  <c r="G64" i="2"/>
  <c r="Z62" i="2"/>
  <c r="AP62" i="2" s="1"/>
  <c r="G62" i="2"/>
  <c r="Z61" i="2"/>
  <c r="AP61" i="2" s="1"/>
  <c r="G61" i="2"/>
  <c r="Z60" i="2"/>
  <c r="AP60" i="2" s="1"/>
  <c r="G60" i="2"/>
  <c r="Z59" i="2"/>
  <c r="AP59" i="2" s="1"/>
  <c r="G59" i="2"/>
  <c r="Z58" i="2"/>
  <c r="AP58" i="2" s="1"/>
  <c r="G58" i="2"/>
  <c r="Z57" i="2"/>
  <c r="AP57" i="2" s="1"/>
  <c r="G57" i="2"/>
  <c r="Z56" i="2"/>
  <c r="AP56" i="2" s="1"/>
  <c r="G56" i="2"/>
  <c r="Z55" i="2"/>
  <c r="AP55" i="2" s="1"/>
  <c r="G55" i="2"/>
  <c r="Z54" i="2"/>
  <c r="AP54" i="2" s="1"/>
  <c r="G54" i="2"/>
  <c r="Z51" i="2"/>
  <c r="AP51" i="2" s="1"/>
  <c r="U51" i="2"/>
  <c r="S51" i="2"/>
  <c r="AL51" i="2" s="1"/>
  <c r="N51" i="2"/>
  <c r="G51" i="2"/>
  <c r="G50" i="2"/>
  <c r="Z49" i="2"/>
  <c r="AP49" i="2" s="1"/>
  <c r="G48" i="2"/>
  <c r="Z47" i="2"/>
  <c r="AP47" i="2" s="1"/>
  <c r="Z44" i="2"/>
  <c r="AP44" i="2" s="1"/>
  <c r="U44" i="2"/>
  <c r="S44" i="2"/>
  <c r="AL44" i="2" s="1"/>
  <c r="N44" i="2"/>
  <c r="G44" i="2"/>
  <c r="Z43" i="2"/>
  <c r="AP43" i="2" s="1"/>
  <c r="G43" i="2"/>
  <c r="Z42" i="2"/>
  <c r="AP42" i="2" s="1"/>
  <c r="G42" i="2"/>
  <c r="Z41" i="2"/>
  <c r="AP41" i="2" s="1"/>
  <c r="G41" i="2"/>
  <c r="Z40" i="2"/>
  <c r="AP40" i="2" s="1"/>
  <c r="Z39" i="2"/>
  <c r="AP39" i="2" s="1"/>
  <c r="G39" i="2"/>
  <c r="Z38" i="2"/>
  <c r="AP38" i="2" s="1"/>
  <c r="G38" i="2"/>
  <c r="Z35" i="2"/>
  <c r="AP35" i="2" s="1"/>
  <c r="U35" i="2"/>
  <c r="S35" i="2"/>
  <c r="AL35" i="2" s="1"/>
  <c r="N35" i="2"/>
  <c r="G35" i="2"/>
  <c r="Z34" i="2"/>
  <c r="AP34" i="2" s="1"/>
  <c r="G34" i="2"/>
  <c r="Z33" i="2"/>
  <c r="AP33" i="2" s="1"/>
  <c r="G33" i="2"/>
  <c r="Z32" i="2"/>
  <c r="AP32" i="2" s="1"/>
  <c r="G32" i="2"/>
  <c r="Z31" i="2"/>
  <c r="AP31" i="2" s="1"/>
  <c r="G31" i="2"/>
  <c r="Z30" i="2"/>
  <c r="AP30" i="2" s="1"/>
  <c r="G30" i="2"/>
  <c r="Z27" i="2"/>
  <c r="U27" i="2"/>
  <c r="S27" i="2"/>
  <c r="Q27" i="2"/>
  <c r="N27" i="2"/>
  <c r="G27" i="2"/>
  <c r="G23" i="2"/>
  <c r="Z19" i="2"/>
  <c r="AP19" i="2" s="1"/>
  <c r="S19" i="2"/>
  <c r="AL19" i="2" s="1"/>
  <c r="L19" i="2"/>
  <c r="AH19" i="2" s="1"/>
  <c r="Z18" i="2"/>
  <c r="AP18" i="2" s="1"/>
  <c r="S18" i="2"/>
  <c r="AL18" i="2" s="1"/>
  <c r="N18" i="2"/>
  <c r="Z17" i="2"/>
  <c r="AP17" i="2" s="1"/>
  <c r="S17" i="2"/>
  <c r="AL17" i="2" s="1"/>
  <c r="Z16" i="2"/>
  <c r="AP16" i="2" s="1"/>
  <c r="U16" i="2"/>
  <c r="S16" i="2"/>
  <c r="AL16" i="2" s="1"/>
  <c r="N16" i="2"/>
  <c r="N15" i="2"/>
  <c r="AQ343" i="2" l="1"/>
  <c r="AK319" i="2"/>
  <c r="AL313" i="2"/>
  <c r="AL319" i="2"/>
  <c r="L179" i="2"/>
  <c r="AH179" i="2" s="1"/>
  <c r="J5" i="2"/>
  <c r="Z64" i="2"/>
  <c r="AP64" i="2" s="1"/>
  <c r="Z451" i="2"/>
  <c r="AP451" i="2" s="1"/>
  <c r="Z449" i="2"/>
  <c r="AP449" i="2" s="1"/>
  <c r="Z447" i="2"/>
  <c r="AP447" i="2" s="1"/>
  <c r="Z445" i="2"/>
  <c r="AP445" i="2" s="1"/>
  <c r="Z443" i="2"/>
  <c r="AP443" i="2" s="1"/>
  <c r="Z438" i="2"/>
  <c r="AP438" i="2" s="1"/>
  <c r="Z436" i="2"/>
  <c r="AP436" i="2" s="1"/>
  <c r="Z431" i="2"/>
  <c r="AP431" i="2" s="1"/>
  <c r="Z429" i="2"/>
  <c r="AP429" i="2" s="1"/>
  <c r="Z425" i="2"/>
  <c r="AP425" i="2" s="1"/>
  <c r="Z423" i="2"/>
  <c r="AP423" i="2" s="1"/>
  <c r="Z421" i="2"/>
  <c r="AP421" i="2" s="1"/>
  <c r="Z417" i="2"/>
  <c r="AP417" i="2" s="1"/>
  <c r="Z415" i="2"/>
  <c r="AP415" i="2" s="1"/>
  <c r="Z411" i="2"/>
  <c r="AP411" i="2" s="1"/>
  <c r="Z409" i="2"/>
  <c r="AP409" i="2" s="1"/>
  <c r="Z403" i="2"/>
  <c r="AP403" i="2" s="1"/>
  <c r="Z401" i="2"/>
  <c r="AP401" i="2" s="1"/>
  <c r="Z399" i="2"/>
  <c r="AP399" i="2" s="1"/>
  <c r="Z393" i="2"/>
  <c r="AP393" i="2" s="1"/>
  <c r="Z391" i="2"/>
  <c r="AP391" i="2" s="1"/>
  <c r="Z389" i="2"/>
  <c r="AP389" i="2" s="1"/>
  <c r="Z387" i="2"/>
  <c r="AP387" i="2" s="1"/>
  <c r="Z382" i="2"/>
  <c r="AP382" i="2" s="1"/>
  <c r="Z380" i="2"/>
  <c r="AP380" i="2" s="1"/>
  <c r="Z378" i="2"/>
  <c r="AP378" i="2" s="1"/>
  <c r="Z373" i="2"/>
  <c r="AP373" i="2" s="1"/>
  <c r="Z371" i="2"/>
  <c r="AP371" i="2" s="1"/>
  <c r="Z369" i="2"/>
  <c r="AP369" i="2" s="1"/>
  <c r="Z366" i="2"/>
  <c r="AP366" i="2" s="1"/>
  <c r="Z364" i="2"/>
  <c r="AP364" i="2" s="1"/>
  <c r="Z362" i="2"/>
  <c r="AP362" i="2" s="1"/>
  <c r="Z357" i="2"/>
  <c r="AP357" i="2" s="1"/>
  <c r="Z355" i="2"/>
  <c r="AP355" i="2" s="1"/>
  <c r="Z353" i="2"/>
  <c r="AP353" i="2" s="1"/>
  <c r="Z350" i="2"/>
  <c r="AP350" i="2" s="1"/>
  <c r="Z348" i="2"/>
  <c r="AP348" i="2" s="1"/>
  <c r="Z347" i="2"/>
  <c r="AP347" i="2" s="1"/>
  <c r="Z342" i="2"/>
  <c r="AP342" i="2" s="1"/>
  <c r="Z340" i="2"/>
  <c r="AP340" i="2" s="1"/>
  <c r="Z338" i="2"/>
  <c r="AP338" i="2" s="1"/>
  <c r="Z333" i="2"/>
  <c r="AP333" i="2" s="1"/>
  <c r="Z331" i="2"/>
  <c r="AP331" i="2" s="1"/>
  <c r="Z329" i="2"/>
  <c r="AP329" i="2" s="1"/>
  <c r="Z326" i="2"/>
  <c r="AP326" i="2" s="1"/>
  <c r="Z324" i="2"/>
  <c r="AP324" i="2" s="1"/>
  <c r="Z322" i="2"/>
  <c r="AP322" i="2" s="1"/>
  <c r="Z310" i="2"/>
  <c r="AP310" i="2" s="1"/>
  <c r="Z306" i="2"/>
  <c r="AP306" i="2" s="1"/>
  <c r="Z294" i="2"/>
  <c r="AP294" i="2" s="1"/>
  <c r="Z292" i="2"/>
  <c r="AP292" i="2" s="1"/>
  <c r="Z290" i="2"/>
  <c r="AP290" i="2" s="1"/>
  <c r="Z285" i="2"/>
  <c r="AP285" i="2" s="1"/>
  <c r="Z283" i="2"/>
  <c r="AP283" i="2" s="1"/>
  <c r="Z281" i="2"/>
  <c r="AP281" i="2" s="1"/>
  <c r="N103" i="2"/>
  <c r="AL108" i="2"/>
  <c r="N111" i="2"/>
  <c r="AL116" i="2"/>
  <c r="N121" i="2"/>
  <c r="AL126" i="2"/>
  <c r="N391" i="2"/>
  <c r="S15" i="2"/>
  <c r="AL15" i="2" s="1"/>
  <c r="Q38" i="2"/>
  <c r="AK38" i="2" s="1"/>
  <c r="Q5" i="2"/>
  <c r="X172" i="2"/>
  <c r="AO172" i="2" s="1"/>
  <c r="X5" i="2"/>
  <c r="V163" i="2" s="1"/>
  <c r="AQ163" i="2" s="1"/>
  <c r="U17" i="2"/>
  <c r="U32" i="2"/>
  <c r="V32" i="2" s="1"/>
  <c r="AQ32" i="2" s="1"/>
  <c r="N244" i="2"/>
  <c r="N245" i="2"/>
  <c r="AK250" i="2"/>
  <c r="N246" i="2"/>
  <c r="N247" i="2"/>
  <c r="AB247" i="2" s="1"/>
  <c r="N248" i="2"/>
  <c r="AB248" i="2" s="1"/>
  <c r="N290" i="2"/>
  <c r="N291" i="2"/>
  <c r="N292" i="2"/>
  <c r="N293" i="2"/>
  <c r="O293" i="2" s="1"/>
  <c r="AM293" i="2" s="1"/>
  <c r="N294" i="2"/>
  <c r="AB294" i="2" s="1"/>
  <c r="N62" i="2"/>
  <c r="U79" i="2"/>
  <c r="U81" i="2"/>
  <c r="N83" i="2"/>
  <c r="AB83" i="2" s="1"/>
  <c r="N84" i="2"/>
  <c r="AB84" i="2" s="1"/>
  <c r="N85" i="2"/>
  <c r="AB85" i="2" s="1"/>
  <c r="N86" i="2"/>
  <c r="N87" i="2"/>
  <c r="AB87" i="2" s="1"/>
  <c r="Q19" i="2"/>
  <c r="AK19" i="2" s="1"/>
  <c r="N17" i="2"/>
  <c r="X35" i="2"/>
  <c r="AO35" i="2" s="1"/>
  <c r="Q44" i="2"/>
  <c r="AK44" i="2" s="1"/>
  <c r="Q148" i="2"/>
  <c r="AK148" i="2" s="1"/>
  <c r="Q199" i="2"/>
  <c r="AK199" i="2" s="1"/>
  <c r="Q241" i="2"/>
  <c r="AK241" i="2" s="1"/>
  <c r="U43" i="2"/>
  <c r="N70" i="2"/>
  <c r="N72" i="2"/>
  <c r="AB72" i="2" s="1"/>
  <c r="N73" i="2"/>
  <c r="AB73" i="2" s="1"/>
  <c r="N399" i="2"/>
  <c r="N401" i="2"/>
  <c r="AB401" i="2" s="1"/>
  <c r="U153" i="2"/>
  <c r="U156" i="2"/>
  <c r="U417" i="2"/>
  <c r="L27" i="2"/>
  <c r="L125" i="2"/>
  <c r="AH125" i="2" s="1"/>
  <c r="G16" i="2"/>
  <c r="AB16" i="2" s="1"/>
  <c r="L18" i="2"/>
  <c r="AH18" i="2" s="1"/>
  <c r="U31" i="2"/>
  <c r="U33" i="2"/>
  <c r="U34" i="2"/>
  <c r="AB34" i="2" s="1"/>
  <c r="N41" i="2"/>
  <c r="U42" i="2"/>
  <c r="AB42" i="2" s="1"/>
  <c r="N43" i="2"/>
  <c r="AB43" i="2" s="1"/>
  <c r="U414" i="2"/>
  <c r="U415" i="2"/>
  <c r="AB415" i="2" s="1"/>
  <c r="U416" i="2"/>
  <c r="AB416" i="2" s="1"/>
  <c r="U54" i="2"/>
  <c r="U56" i="2"/>
  <c r="U224" i="2"/>
  <c r="U227" i="2"/>
  <c r="N229" i="2"/>
  <c r="N230" i="2"/>
  <c r="AB230" i="2" s="1"/>
  <c r="N231" i="2"/>
  <c r="N274" i="2"/>
  <c r="U276" i="2"/>
  <c r="U277" i="2"/>
  <c r="AB277" i="2" s="1"/>
  <c r="U278" i="2"/>
  <c r="U279" i="2"/>
  <c r="AB279" i="2" s="1"/>
  <c r="U280" i="2"/>
  <c r="N23" i="2"/>
  <c r="U23" i="2"/>
  <c r="S24" i="2"/>
  <c r="AL24" i="2" s="1"/>
  <c r="U24" i="2"/>
  <c r="N25" i="2"/>
  <c r="U25" i="2"/>
  <c r="N26" i="2"/>
  <c r="U26" i="2"/>
  <c r="N48" i="2"/>
  <c r="AB48" i="2" s="1"/>
  <c r="G49" i="2"/>
  <c r="U49" i="2"/>
  <c r="N50" i="2"/>
  <c r="N104" i="2"/>
  <c r="G105" i="2"/>
  <c r="U105" i="2"/>
  <c r="N106" i="2"/>
  <c r="G111" i="2"/>
  <c r="U111" i="2"/>
  <c r="G112" i="2"/>
  <c r="N112" i="2"/>
  <c r="G113" i="2"/>
  <c r="U113" i="2"/>
  <c r="G114" i="2"/>
  <c r="N114" i="2"/>
  <c r="G122" i="2"/>
  <c r="N122" i="2"/>
  <c r="G123" i="2"/>
  <c r="U123" i="2"/>
  <c r="G124" i="2"/>
  <c r="N124" i="2"/>
  <c r="G145" i="2"/>
  <c r="N145" i="2"/>
  <c r="U145" i="2"/>
  <c r="G147" i="2"/>
  <c r="N147" i="2"/>
  <c r="U147" i="2"/>
  <c r="G170" i="2"/>
  <c r="U170" i="2"/>
  <c r="N171" i="2"/>
  <c r="AB171" i="2" s="1"/>
  <c r="G175" i="2"/>
  <c r="N175" i="2"/>
  <c r="U175" i="2"/>
  <c r="G176" i="2"/>
  <c r="N176" i="2"/>
  <c r="G177" i="2"/>
  <c r="N177" i="2"/>
  <c r="U177" i="2"/>
  <c r="G178" i="2"/>
  <c r="N178" i="2"/>
  <c r="N195" i="2"/>
  <c r="G196" i="2"/>
  <c r="N196" i="2"/>
  <c r="N197" i="2"/>
  <c r="G198" i="2"/>
  <c r="N198" i="2"/>
  <c r="N397" i="2"/>
  <c r="U399" i="2"/>
  <c r="U400" i="2"/>
  <c r="N154" i="2"/>
  <c r="U154" i="2"/>
  <c r="N155" i="2"/>
  <c r="N156" i="2"/>
  <c r="N222" i="2"/>
  <c r="U273" i="2"/>
  <c r="U274" i="2"/>
  <c r="N275" i="2"/>
  <c r="N276" i="2"/>
  <c r="N414" i="2"/>
  <c r="N19" i="2"/>
  <c r="Q35" i="2"/>
  <c r="AK35" i="2" s="1"/>
  <c r="Q74" i="2"/>
  <c r="AK74" i="2" s="1"/>
  <c r="Q107" i="2"/>
  <c r="AK107" i="2" s="1"/>
  <c r="X115" i="2"/>
  <c r="AO115" i="2" s="1"/>
  <c r="Q125" i="2"/>
  <c r="AK125" i="2" s="1"/>
  <c r="Q179" i="2"/>
  <c r="AK179" i="2" s="1"/>
  <c r="Q191" i="2"/>
  <c r="AK191" i="2" s="1"/>
  <c r="Q212" i="2"/>
  <c r="AK212" i="2" s="1"/>
  <c r="Q232" i="2"/>
  <c r="AK232" i="2" s="1"/>
  <c r="Q249" i="2"/>
  <c r="AK249" i="2" s="1"/>
  <c r="Q261" i="2"/>
  <c r="AK261" i="2" s="1"/>
  <c r="Q270" i="2"/>
  <c r="AK270" i="2" s="1"/>
  <c r="S39" i="2"/>
  <c r="AL39" i="2" s="1"/>
  <c r="N55" i="2"/>
  <c r="N56" i="2"/>
  <c r="N57" i="2"/>
  <c r="N58" i="2"/>
  <c r="N224" i="2"/>
  <c r="N226" i="2"/>
  <c r="AB226" i="2" s="1"/>
  <c r="N227" i="2"/>
  <c r="N228" i="2"/>
  <c r="AB228" i="2" s="1"/>
  <c r="Z48" i="2"/>
  <c r="AP48" i="2" s="1"/>
  <c r="Z171" i="2"/>
  <c r="AP171" i="2" s="1"/>
  <c r="Z176" i="2"/>
  <c r="AP176" i="2" s="1"/>
  <c r="Z178" i="2"/>
  <c r="AP178" i="2" s="1"/>
  <c r="Z195" i="2"/>
  <c r="AP195" i="2" s="1"/>
  <c r="Z197" i="2"/>
  <c r="AP197" i="2" s="1"/>
  <c r="Q39" i="2"/>
  <c r="AK39" i="2" s="1"/>
  <c r="N78" i="2"/>
  <c r="N80" i="2"/>
  <c r="N81" i="2"/>
  <c r="N82" i="2"/>
  <c r="G130" i="2"/>
  <c r="AB130" i="2" s="1"/>
  <c r="J16" i="2"/>
  <c r="AG16" i="2" s="1"/>
  <c r="L15" i="2"/>
  <c r="AH15" i="2" s="1"/>
  <c r="X295" i="2"/>
  <c r="AO295" i="2" s="1"/>
  <c r="X270" i="2"/>
  <c r="AO270" i="2" s="1"/>
  <c r="X261" i="2"/>
  <c r="AO261" i="2" s="1"/>
  <c r="X249" i="2"/>
  <c r="AO249" i="2" s="1"/>
  <c r="X241" i="2"/>
  <c r="AO241" i="2" s="1"/>
  <c r="X232" i="2"/>
  <c r="AO232" i="2" s="1"/>
  <c r="X212" i="2"/>
  <c r="AO212" i="2" s="1"/>
  <c r="X199" i="2"/>
  <c r="AO199" i="2" s="1"/>
  <c r="X191" i="2"/>
  <c r="AO191" i="2" s="1"/>
  <c r="X179" i="2"/>
  <c r="AO179" i="2" s="1"/>
  <c r="X148" i="2"/>
  <c r="AO148" i="2" s="1"/>
  <c r="X125" i="2"/>
  <c r="AO125" i="2" s="1"/>
  <c r="X107" i="2"/>
  <c r="AO107" i="2" s="1"/>
  <c r="X74" i="2"/>
  <c r="AO74" i="2" s="1"/>
  <c r="X44" i="2"/>
  <c r="AO44" i="2" s="1"/>
  <c r="U50" i="2"/>
  <c r="Z50" i="2"/>
  <c r="AP50" i="2" s="1"/>
  <c r="U104" i="2"/>
  <c r="Z104" i="2"/>
  <c r="AP104" i="2" s="1"/>
  <c r="U106" i="2"/>
  <c r="Z106" i="2"/>
  <c r="AP106" i="2" s="1"/>
  <c r="U112" i="2"/>
  <c r="Z112" i="2"/>
  <c r="AP112" i="2" s="1"/>
  <c r="U114" i="2"/>
  <c r="Z114" i="2"/>
  <c r="AP114" i="2" s="1"/>
  <c r="U122" i="2"/>
  <c r="Z122" i="2"/>
  <c r="AP122" i="2" s="1"/>
  <c r="U124" i="2"/>
  <c r="Z124" i="2"/>
  <c r="AP124" i="2" s="1"/>
  <c r="X16" i="2"/>
  <c r="AO16" i="2" s="1"/>
  <c r="X18" i="2"/>
  <c r="AO18" i="2" s="1"/>
  <c r="L24" i="2"/>
  <c r="AH24" i="2" s="1"/>
  <c r="J18" i="2"/>
  <c r="AG18" i="2" s="1"/>
  <c r="L422" i="2"/>
  <c r="AH422" i="2" s="1"/>
  <c r="L218" i="2"/>
  <c r="AH218" i="2" s="1"/>
  <c r="L206" i="2"/>
  <c r="AH206" i="2" s="1"/>
  <c r="L115" i="2"/>
  <c r="AH115" i="2" s="1"/>
  <c r="L51" i="2"/>
  <c r="AH51" i="2" s="1"/>
  <c r="AH108" i="2"/>
  <c r="G103" i="2"/>
  <c r="U103" i="2"/>
  <c r="AP108" i="2"/>
  <c r="U121" i="2"/>
  <c r="AP126" i="2"/>
  <c r="AH149" i="2"/>
  <c r="G144" i="2"/>
  <c r="U144" i="2"/>
  <c r="AP149" i="2"/>
  <c r="Z144" i="2"/>
  <c r="AP144" i="2" s="1"/>
  <c r="U146" i="2"/>
  <c r="Z146" i="2"/>
  <c r="AP146" i="2" s="1"/>
  <c r="U169" i="2"/>
  <c r="Z169" i="2"/>
  <c r="AP169" i="2" s="1"/>
  <c r="Q218" i="2"/>
  <c r="AK218" i="2" s="1"/>
  <c r="Q206" i="2"/>
  <c r="AK206" i="2" s="1"/>
  <c r="Q172" i="2"/>
  <c r="AK172" i="2" s="1"/>
  <c r="Q115" i="2"/>
  <c r="AK115" i="2" s="1"/>
  <c r="Q51" i="2"/>
  <c r="AK51" i="2" s="1"/>
  <c r="Q15" i="2"/>
  <c r="AK15" i="2" s="1"/>
  <c r="AO15" i="2"/>
  <c r="X17" i="2"/>
  <c r="AO17" i="2" s="1"/>
  <c r="X19" i="2"/>
  <c r="AO19" i="2" s="1"/>
  <c r="AC7" i="2"/>
  <c r="L16" i="2"/>
  <c r="AH16" i="2" s="1"/>
  <c r="G17" i="2"/>
  <c r="G18" i="2"/>
  <c r="U18" i="2"/>
  <c r="U19" i="2"/>
  <c r="Z23" i="2"/>
  <c r="AP23" i="2" s="1"/>
  <c r="Z25" i="2"/>
  <c r="AP25" i="2" s="1"/>
  <c r="Z26" i="2"/>
  <c r="AP26" i="2" s="1"/>
  <c r="X27" i="2"/>
  <c r="L35" i="2"/>
  <c r="AH35" i="2" s="1"/>
  <c r="L44" i="2"/>
  <c r="AH44" i="2" s="1"/>
  <c r="X51" i="2"/>
  <c r="AO51" i="2" s="1"/>
  <c r="L107" i="2"/>
  <c r="AH107" i="2" s="1"/>
  <c r="Z111" i="2"/>
  <c r="AP111" i="2" s="1"/>
  <c r="Z113" i="2"/>
  <c r="AP113" i="2" s="1"/>
  <c r="Z121" i="2"/>
  <c r="AP121" i="2" s="1"/>
  <c r="Z123" i="2"/>
  <c r="AP123" i="2" s="1"/>
  <c r="L148" i="2"/>
  <c r="AH148" i="2" s="1"/>
  <c r="Z175" i="2"/>
  <c r="AP175" i="2" s="1"/>
  <c r="Z177" i="2"/>
  <c r="AP177" i="2" s="1"/>
  <c r="L191" i="2"/>
  <c r="AH191" i="2" s="1"/>
  <c r="X206" i="2"/>
  <c r="AO206" i="2" s="1"/>
  <c r="L212" i="2"/>
  <c r="AH212" i="2" s="1"/>
  <c r="U195" i="2"/>
  <c r="U197" i="2"/>
  <c r="U60" i="2"/>
  <c r="X60" i="2"/>
  <c r="AO60" i="2" s="1"/>
  <c r="G397" i="2"/>
  <c r="J397" i="2"/>
  <c r="AG397" i="2" s="1"/>
  <c r="N398" i="2"/>
  <c r="Q398" i="2"/>
  <c r="AK398" i="2" s="1"/>
  <c r="N209" i="2"/>
  <c r="Q209" i="2"/>
  <c r="AK209" i="2" s="1"/>
  <c r="N211" i="2"/>
  <c r="Q211" i="2"/>
  <c r="AK211" i="2" s="1"/>
  <c r="U215" i="2"/>
  <c r="X215" i="2"/>
  <c r="AO215" i="2" s="1"/>
  <c r="U217" i="2"/>
  <c r="X217" i="2"/>
  <c r="AO217" i="2" s="1"/>
  <c r="J30" i="2"/>
  <c r="AG30" i="2" s="1"/>
  <c r="Q30" i="2"/>
  <c r="AK30" i="2" s="1"/>
  <c r="X30" i="2"/>
  <c r="AO30" i="2" s="1"/>
  <c r="J31" i="2"/>
  <c r="AG31" i="2" s="1"/>
  <c r="Q31" i="2"/>
  <c r="AK31" i="2" s="1"/>
  <c r="X31" i="2"/>
  <c r="AO31" i="2" s="1"/>
  <c r="J32" i="2"/>
  <c r="AG32" i="2" s="1"/>
  <c r="Q32" i="2"/>
  <c r="AK32" i="2" s="1"/>
  <c r="X32" i="2"/>
  <c r="AO32" i="2" s="1"/>
  <c r="J33" i="2"/>
  <c r="AG33" i="2" s="1"/>
  <c r="Q33" i="2"/>
  <c r="AK33" i="2" s="1"/>
  <c r="X33" i="2"/>
  <c r="AO33" i="2" s="1"/>
  <c r="J34" i="2"/>
  <c r="AG34" i="2" s="1"/>
  <c r="Q34" i="2"/>
  <c r="AK34" i="2" s="1"/>
  <c r="X34" i="2"/>
  <c r="AO34" i="2" s="1"/>
  <c r="J244" i="2"/>
  <c r="AG244" i="2" s="1"/>
  <c r="Q244" i="2"/>
  <c r="AK244" i="2" s="1"/>
  <c r="X244" i="2"/>
  <c r="AO244" i="2" s="1"/>
  <c r="J245" i="2"/>
  <c r="AG245" i="2" s="1"/>
  <c r="Q245" i="2"/>
  <c r="AK245" i="2" s="1"/>
  <c r="X245" i="2"/>
  <c r="AO245" i="2" s="1"/>
  <c r="J246" i="2"/>
  <c r="AG246" i="2" s="1"/>
  <c r="Q246" i="2"/>
  <c r="AK246" i="2" s="1"/>
  <c r="X246" i="2"/>
  <c r="AO246" i="2" s="1"/>
  <c r="J247" i="2"/>
  <c r="AG247" i="2" s="1"/>
  <c r="Q247" i="2"/>
  <c r="AK247" i="2" s="1"/>
  <c r="X247" i="2"/>
  <c r="AO247" i="2" s="1"/>
  <c r="J248" i="2"/>
  <c r="AG248" i="2" s="1"/>
  <c r="Q248" i="2"/>
  <c r="AK248" i="2" s="1"/>
  <c r="X248" i="2"/>
  <c r="AO248" i="2" s="1"/>
  <c r="J290" i="2"/>
  <c r="AG290" i="2" s="1"/>
  <c r="Q290" i="2"/>
  <c r="AK290" i="2" s="1"/>
  <c r="X290" i="2"/>
  <c r="AO290" i="2" s="1"/>
  <c r="J291" i="2"/>
  <c r="AG291" i="2" s="1"/>
  <c r="Q291" i="2"/>
  <c r="AK291" i="2" s="1"/>
  <c r="X291" i="2"/>
  <c r="AO291" i="2" s="1"/>
  <c r="J292" i="2"/>
  <c r="AG292" i="2" s="1"/>
  <c r="Q292" i="2"/>
  <c r="AK292" i="2" s="1"/>
  <c r="X292" i="2"/>
  <c r="AO292" i="2" s="1"/>
  <c r="J293" i="2"/>
  <c r="AG293" i="2" s="1"/>
  <c r="Q293" i="2"/>
  <c r="AK293" i="2" s="1"/>
  <c r="X293" i="2"/>
  <c r="AO293" i="2" s="1"/>
  <c r="J294" i="2"/>
  <c r="AG294" i="2" s="1"/>
  <c r="Q294" i="2"/>
  <c r="AK294" i="2" s="1"/>
  <c r="X294" i="2"/>
  <c r="AO294" i="2" s="1"/>
  <c r="J407" i="2"/>
  <c r="AG407" i="2" s="1"/>
  <c r="Q407" i="2"/>
  <c r="AK407" i="2" s="1"/>
  <c r="X407" i="2"/>
  <c r="AO407" i="2" s="1"/>
  <c r="J408" i="2"/>
  <c r="AG408" i="2" s="1"/>
  <c r="Q408" i="2"/>
  <c r="AK408" i="2" s="1"/>
  <c r="X408" i="2"/>
  <c r="AO408" i="2" s="1"/>
  <c r="J409" i="2"/>
  <c r="AG409" i="2" s="1"/>
  <c r="Q409" i="2"/>
  <c r="AK409" i="2" s="1"/>
  <c r="X409" i="2"/>
  <c r="AO409" i="2" s="1"/>
  <c r="J410" i="2"/>
  <c r="AG410" i="2" s="1"/>
  <c r="Q410" i="2"/>
  <c r="AK410" i="2" s="1"/>
  <c r="X410" i="2"/>
  <c r="AO410" i="2" s="1"/>
  <c r="J411" i="2"/>
  <c r="AG411" i="2" s="1"/>
  <c r="Q411" i="2"/>
  <c r="AK411" i="2" s="1"/>
  <c r="X411" i="2"/>
  <c r="AO411" i="2" s="1"/>
  <c r="J428" i="2"/>
  <c r="AG428" i="2" s="1"/>
  <c r="Q428" i="2"/>
  <c r="AK428" i="2" s="1"/>
  <c r="X428" i="2"/>
  <c r="AO428" i="2" s="1"/>
  <c r="J429" i="2"/>
  <c r="AG429" i="2" s="1"/>
  <c r="Q429" i="2"/>
  <c r="AK429" i="2" s="1"/>
  <c r="X429" i="2"/>
  <c r="AO429" i="2" s="1"/>
  <c r="J430" i="2"/>
  <c r="AG430" i="2" s="1"/>
  <c r="Q430" i="2"/>
  <c r="AK430" i="2" s="1"/>
  <c r="X430" i="2"/>
  <c r="AO430" i="2" s="1"/>
  <c r="J431" i="2"/>
  <c r="AG431" i="2" s="1"/>
  <c r="Q431" i="2"/>
  <c r="AK431" i="2" s="1"/>
  <c r="X431" i="2"/>
  <c r="AO431" i="2" s="1"/>
  <c r="J432" i="2"/>
  <c r="AG432" i="2" s="1"/>
  <c r="Q432" i="2"/>
  <c r="AK432" i="2" s="1"/>
  <c r="X432" i="2"/>
  <c r="AO432" i="2" s="1"/>
  <c r="J435" i="2"/>
  <c r="AG435" i="2" s="1"/>
  <c r="Q435" i="2"/>
  <c r="AK435" i="2" s="1"/>
  <c r="X435" i="2"/>
  <c r="AO435" i="2" s="1"/>
  <c r="J436" i="2"/>
  <c r="AG436" i="2" s="1"/>
  <c r="Q436" i="2"/>
  <c r="AK436" i="2" s="1"/>
  <c r="X436" i="2"/>
  <c r="AO436" i="2" s="1"/>
  <c r="J437" i="2"/>
  <c r="AG437" i="2" s="1"/>
  <c r="Q437" i="2"/>
  <c r="AK437" i="2" s="1"/>
  <c r="X437" i="2"/>
  <c r="AO437" i="2" s="1"/>
  <c r="J438" i="2"/>
  <c r="AG438" i="2" s="1"/>
  <c r="Q438" i="2"/>
  <c r="AK438" i="2" s="1"/>
  <c r="X438" i="2"/>
  <c r="AO438" i="2" s="1"/>
  <c r="J439" i="2"/>
  <c r="AG439" i="2" s="1"/>
  <c r="Q439" i="2"/>
  <c r="X439" i="2"/>
  <c r="AO439" i="2" s="1"/>
  <c r="J38" i="2"/>
  <c r="AG38" i="2" s="1"/>
  <c r="X38" i="2"/>
  <c r="AO38" i="2" s="1"/>
  <c r="J39" i="2"/>
  <c r="AG39" i="2" s="1"/>
  <c r="X39" i="2"/>
  <c r="AO39" i="2" s="1"/>
  <c r="J40" i="2"/>
  <c r="AG40" i="2" s="1"/>
  <c r="Q40" i="2"/>
  <c r="AK40" i="2" s="1"/>
  <c r="X40" i="2"/>
  <c r="AO40" i="2" s="1"/>
  <c r="J41" i="2"/>
  <c r="AG41" i="2" s="1"/>
  <c r="Q41" i="2"/>
  <c r="AK41" i="2" s="1"/>
  <c r="X41" i="2"/>
  <c r="AO41" i="2" s="1"/>
  <c r="J42" i="2"/>
  <c r="AG42" i="2" s="1"/>
  <c r="Q42" i="2"/>
  <c r="AK42" i="2" s="1"/>
  <c r="X42" i="2"/>
  <c r="AO42" i="2" s="1"/>
  <c r="J68" i="2"/>
  <c r="AG68" i="2" s="1"/>
  <c r="Q68" i="2"/>
  <c r="AK68" i="2" s="1"/>
  <c r="X68" i="2"/>
  <c r="AO68" i="2" s="1"/>
  <c r="J69" i="2"/>
  <c r="AG69" i="2" s="1"/>
  <c r="Q69" i="2"/>
  <c r="AK69" i="2" s="1"/>
  <c r="X69" i="2"/>
  <c r="AO69" i="2" s="1"/>
  <c r="J70" i="2"/>
  <c r="AG70" i="2" s="1"/>
  <c r="Q70" i="2"/>
  <c r="AK70" i="2" s="1"/>
  <c r="X70" i="2"/>
  <c r="AO70" i="2" s="1"/>
  <c r="J71" i="2"/>
  <c r="AG71" i="2" s="1"/>
  <c r="Q71" i="2"/>
  <c r="AK71" i="2" s="1"/>
  <c r="X71" i="2"/>
  <c r="AO71" i="2" s="1"/>
  <c r="J72" i="2"/>
  <c r="AG72" i="2" s="1"/>
  <c r="Q72" i="2"/>
  <c r="AK72" i="2" s="1"/>
  <c r="X72" i="2"/>
  <c r="AO72" i="2" s="1"/>
  <c r="J73" i="2"/>
  <c r="AG73" i="2" s="1"/>
  <c r="Q73" i="2"/>
  <c r="AK73" i="2" s="1"/>
  <c r="X73" i="2"/>
  <c r="AO73" i="2" s="1"/>
  <c r="J235" i="2"/>
  <c r="AG235" i="2" s="1"/>
  <c r="Q235" i="2"/>
  <c r="AK235" i="2" s="1"/>
  <c r="X235" i="2"/>
  <c r="AO235" i="2" s="1"/>
  <c r="J236" i="2"/>
  <c r="AG236" i="2" s="1"/>
  <c r="Q236" i="2"/>
  <c r="AK236" i="2" s="1"/>
  <c r="X236" i="2"/>
  <c r="AO236" i="2" s="1"/>
  <c r="J237" i="2"/>
  <c r="AG237" i="2" s="1"/>
  <c r="Q237" i="2"/>
  <c r="AK237" i="2" s="1"/>
  <c r="X237" i="2"/>
  <c r="AO237" i="2" s="1"/>
  <c r="J238" i="2"/>
  <c r="AG238" i="2" s="1"/>
  <c r="Q238" i="2"/>
  <c r="AK238" i="2" s="1"/>
  <c r="X238" i="2"/>
  <c r="AO238" i="2" s="1"/>
  <c r="J239" i="2"/>
  <c r="AG239" i="2" s="1"/>
  <c r="Q239" i="2"/>
  <c r="AK239" i="2" s="1"/>
  <c r="X239" i="2"/>
  <c r="AO239" i="2" s="1"/>
  <c r="J240" i="2"/>
  <c r="AG240" i="2" s="1"/>
  <c r="Q240" i="2"/>
  <c r="X240" i="2"/>
  <c r="AO240" i="2" s="1"/>
  <c r="J264" i="2"/>
  <c r="AG264" i="2" s="1"/>
  <c r="Q264" i="2"/>
  <c r="AK264" i="2" s="1"/>
  <c r="X264" i="2"/>
  <c r="J265" i="2"/>
  <c r="AG265" i="2" s="1"/>
  <c r="Q265" i="2"/>
  <c r="AK265" i="2" s="1"/>
  <c r="X265" i="2"/>
  <c r="AO265" i="2" s="1"/>
  <c r="J266" i="2"/>
  <c r="AG266" i="2" s="1"/>
  <c r="Q266" i="2"/>
  <c r="AK266" i="2" s="1"/>
  <c r="X266" i="2"/>
  <c r="AO266" i="2" s="1"/>
  <c r="J267" i="2"/>
  <c r="AG267" i="2" s="1"/>
  <c r="Q267" i="2"/>
  <c r="X267" i="2"/>
  <c r="AO267" i="2" s="1"/>
  <c r="J268" i="2"/>
  <c r="AG268" i="2" s="1"/>
  <c r="Q268" i="2"/>
  <c r="AK268" i="2" s="1"/>
  <c r="X268" i="2"/>
  <c r="J269" i="2"/>
  <c r="AG269" i="2" s="1"/>
  <c r="Q269" i="2"/>
  <c r="AK269" i="2" s="1"/>
  <c r="X269" i="2"/>
  <c r="AO269" i="2" s="1"/>
  <c r="J305" i="2"/>
  <c r="AG305" i="2" s="1"/>
  <c r="Q305" i="2"/>
  <c r="AK305" i="2" s="1"/>
  <c r="X305" i="2"/>
  <c r="AO305" i="2" s="1"/>
  <c r="J306" i="2"/>
  <c r="AG306" i="2" s="1"/>
  <c r="Q306" i="2"/>
  <c r="AK306" i="2" s="1"/>
  <c r="X306" i="2"/>
  <c r="AO306" i="2" s="1"/>
  <c r="J307" i="2"/>
  <c r="AG307" i="2" s="1"/>
  <c r="Q307" i="2"/>
  <c r="AK307" i="2" s="1"/>
  <c r="X307" i="2"/>
  <c r="J308" i="2"/>
  <c r="AG308" i="2" s="1"/>
  <c r="Q308" i="2"/>
  <c r="AK308" i="2" s="1"/>
  <c r="X308" i="2"/>
  <c r="AO308" i="2" s="1"/>
  <c r="J309" i="2"/>
  <c r="AG309" i="2" s="1"/>
  <c r="Q309" i="2"/>
  <c r="AK309" i="2" s="1"/>
  <c r="X309" i="2"/>
  <c r="AO309" i="2" s="1"/>
  <c r="J310" i="2"/>
  <c r="AG310" i="2" s="1"/>
  <c r="Q310" i="2"/>
  <c r="X310" i="2"/>
  <c r="AO310" i="2" s="1"/>
  <c r="J321" i="2"/>
  <c r="AG321" i="2" s="1"/>
  <c r="Q321" i="2"/>
  <c r="AK321" i="2" s="1"/>
  <c r="X321" i="2"/>
  <c r="J322" i="2"/>
  <c r="AG322" i="2" s="1"/>
  <c r="Q322" i="2"/>
  <c r="AK322" i="2" s="1"/>
  <c r="X322" i="2"/>
  <c r="AO322" i="2" s="1"/>
  <c r="J323" i="2"/>
  <c r="AG323" i="2" s="1"/>
  <c r="Q323" i="2"/>
  <c r="AK323" i="2" s="1"/>
  <c r="X323" i="2"/>
  <c r="AO323" i="2" s="1"/>
  <c r="J324" i="2"/>
  <c r="AG324" i="2" s="1"/>
  <c r="Q324" i="2"/>
  <c r="AK324" i="2" s="1"/>
  <c r="X324" i="2"/>
  <c r="AO324" i="2" s="1"/>
  <c r="J325" i="2"/>
  <c r="AG325" i="2" s="1"/>
  <c r="Q325" i="2"/>
  <c r="AK325" i="2" s="1"/>
  <c r="X325" i="2"/>
  <c r="AO325" i="2" s="1"/>
  <c r="J326" i="2"/>
  <c r="AG326" i="2" s="1"/>
  <c r="Q326" i="2"/>
  <c r="AK326" i="2" s="1"/>
  <c r="X326" i="2"/>
  <c r="AO326" i="2" s="1"/>
  <c r="J329" i="2"/>
  <c r="AG329" i="2" s="1"/>
  <c r="Q329" i="2"/>
  <c r="AK329" i="2" s="1"/>
  <c r="X329" i="2"/>
  <c r="AO329" i="2" s="1"/>
  <c r="J330" i="2"/>
  <c r="AG330" i="2" s="1"/>
  <c r="Q330" i="2"/>
  <c r="AK330" i="2" s="1"/>
  <c r="X330" i="2"/>
  <c r="AO330" i="2" s="1"/>
  <c r="J331" i="2"/>
  <c r="AG331" i="2" s="1"/>
  <c r="Q331" i="2"/>
  <c r="AK331" i="2" s="1"/>
  <c r="X331" i="2"/>
  <c r="AO331" i="2" s="1"/>
  <c r="J332" i="2"/>
  <c r="AG332" i="2" s="1"/>
  <c r="Q332" i="2"/>
  <c r="AK332" i="2" s="1"/>
  <c r="X332" i="2"/>
  <c r="AO332" i="2" s="1"/>
  <c r="J333" i="2"/>
  <c r="AG333" i="2" s="1"/>
  <c r="Q333" i="2"/>
  <c r="AK333" i="2" s="1"/>
  <c r="X333" i="2"/>
  <c r="AO333" i="2" s="1"/>
  <c r="J334" i="2"/>
  <c r="AG334" i="2" s="1"/>
  <c r="Q334" i="2"/>
  <c r="AK334" i="2" s="1"/>
  <c r="X334" i="2"/>
  <c r="AO334" i="2" s="1"/>
  <c r="J337" i="2"/>
  <c r="AG337" i="2" s="1"/>
  <c r="Q337" i="2"/>
  <c r="X337" i="2"/>
  <c r="AO337" i="2" s="1"/>
  <c r="J338" i="2"/>
  <c r="AG338" i="2" s="1"/>
  <c r="Q338" i="2"/>
  <c r="AK338" i="2" s="1"/>
  <c r="X338" i="2"/>
  <c r="AO338" i="2" s="1"/>
  <c r="J339" i="2"/>
  <c r="AG339" i="2" s="1"/>
  <c r="Q339" i="2"/>
  <c r="AK339" i="2" s="1"/>
  <c r="X339" i="2"/>
  <c r="AO339" i="2" s="1"/>
  <c r="J340" i="2"/>
  <c r="AG340" i="2" s="1"/>
  <c r="Q340" i="2"/>
  <c r="AK340" i="2" s="1"/>
  <c r="X340" i="2"/>
  <c r="AO340" i="2" s="1"/>
  <c r="J341" i="2"/>
  <c r="AG341" i="2" s="1"/>
  <c r="Q341" i="2"/>
  <c r="AK341" i="2" s="1"/>
  <c r="X341" i="2"/>
  <c r="AO341" i="2" s="1"/>
  <c r="J342" i="2"/>
  <c r="AG342" i="2" s="1"/>
  <c r="Q342" i="2"/>
  <c r="AK342" i="2" s="1"/>
  <c r="X342" i="2"/>
  <c r="AO342" i="2" s="1"/>
  <c r="J345" i="2"/>
  <c r="AG345" i="2" s="1"/>
  <c r="Q345" i="2"/>
  <c r="X345" i="2"/>
  <c r="AO345" i="2" s="1"/>
  <c r="J346" i="2"/>
  <c r="AG346" i="2" s="1"/>
  <c r="Q346" i="2"/>
  <c r="AK346" i="2" s="1"/>
  <c r="X346" i="2"/>
  <c r="AO346" i="2" s="1"/>
  <c r="J347" i="2"/>
  <c r="AG347" i="2" s="1"/>
  <c r="Q347" i="2"/>
  <c r="AK347" i="2" s="1"/>
  <c r="X347" i="2"/>
  <c r="J348" i="2"/>
  <c r="AG348" i="2" s="1"/>
  <c r="Q348" i="2"/>
  <c r="AK348" i="2" s="1"/>
  <c r="X348" i="2"/>
  <c r="AO348" i="2" s="1"/>
  <c r="J349" i="2"/>
  <c r="AG349" i="2" s="1"/>
  <c r="Q349" i="2"/>
  <c r="AK349" i="2" s="1"/>
  <c r="X349" i="2"/>
  <c r="AO349" i="2" s="1"/>
  <c r="J350" i="2"/>
  <c r="AG350" i="2" s="1"/>
  <c r="Q350" i="2"/>
  <c r="AK350" i="2" s="1"/>
  <c r="X350" i="2"/>
  <c r="AO350" i="2" s="1"/>
  <c r="J353" i="2"/>
  <c r="AG353" i="2" s="1"/>
  <c r="X353" i="2"/>
  <c r="AO353" i="2" s="1"/>
  <c r="J354" i="2"/>
  <c r="AG354" i="2" s="1"/>
  <c r="Q354" i="2"/>
  <c r="X354" i="2"/>
  <c r="AO354" i="2" s="1"/>
  <c r="J355" i="2"/>
  <c r="AG355" i="2" s="1"/>
  <c r="Q355" i="2"/>
  <c r="AK355" i="2" s="1"/>
  <c r="X355" i="2"/>
  <c r="AO355" i="2" s="1"/>
  <c r="J356" i="2"/>
  <c r="AG356" i="2" s="1"/>
  <c r="Q356" i="2"/>
  <c r="AK356" i="2" s="1"/>
  <c r="X356" i="2"/>
  <c r="AO356" i="2" s="1"/>
  <c r="J357" i="2"/>
  <c r="AG357" i="2" s="1"/>
  <c r="Q357" i="2"/>
  <c r="AK357" i="2" s="1"/>
  <c r="X357" i="2"/>
  <c r="AO357" i="2" s="1"/>
  <c r="J358" i="2"/>
  <c r="AG358" i="2" s="1"/>
  <c r="Q358" i="2"/>
  <c r="AK358" i="2" s="1"/>
  <c r="X358" i="2"/>
  <c r="AO358" i="2" s="1"/>
  <c r="J361" i="2"/>
  <c r="AG361" i="2" s="1"/>
  <c r="Q361" i="2"/>
  <c r="AK361" i="2" s="1"/>
  <c r="X361" i="2"/>
  <c r="AO361" i="2" s="1"/>
  <c r="J362" i="2"/>
  <c r="AG362" i="2" s="1"/>
  <c r="Q362" i="2"/>
  <c r="AK362" i="2" s="1"/>
  <c r="X362" i="2"/>
  <c r="AO362" i="2" s="1"/>
  <c r="J363" i="2"/>
  <c r="AG363" i="2" s="1"/>
  <c r="Q363" i="2"/>
  <c r="AK363" i="2" s="1"/>
  <c r="X363" i="2"/>
  <c r="AO363" i="2" s="1"/>
  <c r="J364" i="2"/>
  <c r="AG364" i="2" s="1"/>
  <c r="Q364" i="2"/>
  <c r="AK364" i="2" s="1"/>
  <c r="X364" i="2"/>
  <c r="AO364" i="2" s="1"/>
  <c r="J365" i="2"/>
  <c r="AG365" i="2" s="1"/>
  <c r="Q365" i="2"/>
  <c r="AK365" i="2" s="1"/>
  <c r="X365" i="2"/>
  <c r="AO365" i="2" s="1"/>
  <c r="J366" i="2"/>
  <c r="AG366" i="2" s="1"/>
  <c r="Q366" i="2"/>
  <c r="AK366" i="2" s="1"/>
  <c r="X366" i="2"/>
  <c r="AO366" i="2" s="1"/>
  <c r="J369" i="2"/>
  <c r="AG369" i="2" s="1"/>
  <c r="Q369" i="2"/>
  <c r="X369" i="2"/>
  <c r="AO369" i="2" s="1"/>
  <c r="J370" i="2"/>
  <c r="AG370" i="2" s="1"/>
  <c r="Q370" i="2"/>
  <c r="AK370" i="2" s="1"/>
  <c r="X370" i="2"/>
  <c r="AO370" i="2" s="1"/>
  <c r="J371" i="2"/>
  <c r="AG371" i="2" s="1"/>
  <c r="Q371" i="2"/>
  <c r="AK371" i="2" s="1"/>
  <c r="X371" i="2"/>
  <c r="AO371" i="2" s="1"/>
  <c r="J372" i="2"/>
  <c r="AG372" i="2" s="1"/>
  <c r="Q372" i="2"/>
  <c r="AK372" i="2" s="1"/>
  <c r="X372" i="2"/>
  <c r="AO372" i="2" s="1"/>
  <c r="J373" i="2"/>
  <c r="AG373" i="2" s="1"/>
  <c r="Q373" i="2"/>
  <c r="AK373" i="2" s="1"/>
  <c r="X373" i="2"/>
  <c r="AO373" i="2" s="1"/>
  <c r="J374" i="2"/>
  <c r="AG374" i="2" s="1"/>
  <c r="Q374" i="2"/>
  <c r="AK374" i="2" s="1"/>
  <c r="X374" i="2"/>
  <c r="AO374" i="2" s="1"/>
  <c r="J377" i="2"/>
  <c r="AG377" i="2" s="1"/>
  <c r="Q377" i="2"/>
  <c r="AK377" i="2" s="1"/>
  <c r="X377" i="2"/>
  <c r="AO377" i="2" s="1"/>
  <c r="J378" i="2"/>
  <c r="AG378" i="2" s="1"/>
  <c r="Q378" i="2"/>
  <c r="AK378" i="2" s="1"/>
  <c r="X378" i="2"/>
  <c r="AO378" i="2" s="1"/>
  <c r="J379" i="2"/>
  <c r="AG379" i="2" s="1"/>
  <c r="Q379" i="2"/>
  <c r="AK379" i="2" s="1"/>
  <c r="X379" i="2"/>
  <c r="AO379" i="2" s="1"/>
  <c r="J380" i="2"/>
  <c r="AG380" i="2" s="1"/>
  <c r="Q380" i="2"/>
  <c r="AK380" i="2" s="1"/>
  <c r="X380" i="2"/>
  <c r="AO380" i="2" s="1"/>
  <c r="J381" i="2"/>
  <c r="AG381" i="2" s="1"/>
  <c r="Q381" i="2"/>
  <c r="X381" i="2"/>
  <c r="AO381" i="2" s="1"/>
  <c r="J382" i="2"/>
  <c r="AG382" i="2" s="1"/>
  <c r="Q382" i="2"/>
  <c r="AK382" i="2" s="1"/>
  <c r="X382" i="2"/>
  <c r="AO382" i="2" s="1"/>
  <c r="J420" i="2"/>
  <c r="AG420" i="2" s="1"/>
  <c r="Q420" i="2"/>
  <c r="AK420" i="2" s="1"/>
  <c r="X420" i="2"/>
  <c r="AO420" i="2" s="1"/>
  <c r="J421" i="2"/>
  <c r="AG421" i="2" s="1"/>
  <c r="Q421" i="2"/>
  <c r="AK421" i="2" s="1"/>
  <c r="X421" i="2"/>
  <c r="AO421" i="2" s="1"/>
  <c r="J422" i="2"/>
  <c r="AG422" i="2" s="1"/>
  <c r="Q422" i="2"/>
  <c r="AK422" i="2" s="1"/>
  <c r="X422" i="2"/>
  <c r="AO422" i="2" s="1"/>
  <c r="J423" i="2"/>
  <c r="AG423" i="2" s="1"/>
  <c r="Q423" i="2"/>
  <c r="AK423" i="2" s="1"/>
  <c r="X423" i="2"/>
  <c r="AO423" i="2" s="1"/>
  <c r="J424" i="2"/>
  <c r="AG424" i="2" s="1"/>
  <c r="Q424" i="2"/>
  <c r="AK424" i="2" s="1"/>
  <c r="X424" i="2"/>
  <c r="AO424" i="2" s="1"/>
  <c r="J425" i="2"/>
  <c r="AG425" i="2" s="1"/>
  <c r="Q425" i="2"/>
  <c r="AK425" i="2" s="1"/>
  <c r="X425" i="2"/>
  <c r="AO425" i="2" s="1"/>
  <c r="J60" i="2"/>
  <c r="AG60" i="2" s="1"/>
  <c r="Q60" i="2"/>
  <c r="AK60" i="2" s="1"/>
  <c r="J61" i="2"/>
  <c r="AG61" i="2" s="1"/>
  <c r="Q61" i="2"/>
  <c r="AK61" i="2" s="1"/>
  <c r="X61" i="2"/>
  <c r="AO61" i="2" s="1"/>
  <c r="J62" i="2"/>
  <c r="AG62" i="2" s="1"/>
  <c r="Q62" i="2"/>
  <c r="AK62" i="2" s="1"/>
  <c r="X62" i="2"/>
  <c r="AO62" i="2" s="1"/>
  <c r="J63" i="2"/>
  <c r="AG63" i="2" s="1"/>
  <c r="Q63" i="2"/>
  <c r="AK63" i="2" s="1"/>
  <c r="X63" i="2"/>
  <c r="AO63" i="2" s="1"/>
  <c r="J64" i="2"/>
  <c r="AG64" i="2" s="1"/>
  <c r="Q64" i="2"/>
  <c r="AK64" i="2" s="1"/>
  <c r="X64" i="2"/>
  <c r="AO64" i="2" s="1"/>
  <c r="Q397" i="2"/>
  <c r="AK397" i="2" s="1"/>
  <c r="X397" i="2"/>
  <c r="AO397" i="2" s="1"/>
  <c r="J398" i="2"/>
  <c r="AG398" i="2" s="1"/>
  <c r="X398" i="2"/>
  <c r="AO398" i="2" s="1"/>
  <c r="J399" i="2"/>
  <c r="AG399" i="2" s="1"/>
  <c r="Q399" i="2"/>
  <c r="AK399" i="2" s="1"/>
  <c r="X399" i="2"/>
  <c r="AO399" i="2" s="1"/>
  <c r="J400" i="2"/>
  <c r="AG400" i="2" s="1"/>
  <c r="Q400" i="2"/>
  <c r="AK400" i="2" s="1"/>
  <c r="X400" i="2"/>
  <c r="AO400" i="2" s="1"/>
  <c r="J401" i="2"/>
  <c r="AG401" i="2" s="1"/>
  <c r="Q401" i="2"/>
  <c r="AK401" i="2" s="1"/>
  <c r="X401" i="2"/>
  <c r="AO401" i="2" s="1"/>
  <c r="J402" i="2"/>
  <c r="AG402" i="2" s="1"/>
  <c r="Q402" i="2"/>
  <c r="AK402" i="2" s="1"/>
  <c r="X402" i="2"/>
  <c r="AO402" i="2" s="1"/>
  <c r="J403" i="2"/>
  <c r="AG403" i="2" s="1"/>
  <c r="Q403" i="2"/>
  <c r="AK403" i="2" s="1"/>
  <c r="X403" i="2"/>
  <c r="AO403" i="2" s="1"/>
  <c r="J404" i="2"/>
  <c r="AG404" i="2" s="1"/>
  <c r="Q404" i="2"/>
  <c r="AK404" i="2" s="1"/>
  <c r="X404" i="2"/>
  <c r="AO404" i="2" s="1"/>
  <c r="J92" i="2"/>
  <c r="AG92" i="2" s="1"/>
  <c r="Q92" i="2"/>
  <c r="AK92" i="2" s="1"/>
  <c r="X92" i="2"/>
  <c r="AO92" i="2" s="1"/>
  <c r="J93" i="2"/>
  <c r="AG93" i="2" s="1"/>
  <c r="Q93" i="2"/>
  <c r="AK93" i="2" s="1"/>
  <c r="X93" i="2"/>
  <c r="AO93" i="2" s="1"/>
  <c r="J94" i="2"/>
  <c r="AG94" i="2" s="1"/>
  <c r="Q94" i="2"/>
  <c r="AK94" i="2" s="1"/>
  <c r="X94" i="2"/>
  <c r="AO94" i="2" s="1"/>
  <c r="J95" i="2"/>
  <c r="AG95" i="2" s="1"/>
  <c r="Q95" i="2"/>
  <c r="AK95" i="2" s="1"/>
  <c r="X95" i="2"/>
  <c r="AO95" i="2" s="1"/>
  <c r="J96" i="2"/>
  <c r="AG96" i="2" s="1"/>
  <c r="Q96" i="2"/>
  <c r="AK96" i="2" s="1"/>
  <c r="X96" i="2"/>
  <c r="AO96" i="2" s="1"/>
  <c r="J97" i="2"/>
  <c r="AG97" i="2" s="1"/>
  <c r="Q97" i="2"/>
  <c r="AK97" i="2" s="1"/>
  <c r="X97" i="2"/>
  <c r="AO97" i="2" s="1"/>
  <c r="J98" i="2"/>
  <c r="AG98" i="2" s="1"/>
  <c r="Q98" i="2"/>
  <c r="AK98" i="2" s="1"/>
  <c r="X98" i="2"/>
  <c r="AO98" i="2" s="1"/>
  <c r="J99" i="2"/>
  <c r="AG99" i="2" s="1"/>
  <c r="Q99" i="2"/>
  <c r="AK99" i="2" s="1"/>
  <c r="X99" i="2"/>
  <c r="AO99" i="2" s="1"/>
  <c r="J386" i="2"/>
  <c r="AG386" i="2" s="1"/>
  <c r="Q386" i="2"/>
  <c r="AK386" i="2" s="1"/>
  <c r="X386" i="2"/>
  <c r="AO386" i="2" s="1"/>
  <c r="J387" i="2"/>
  <c r="AG387" i="2" s="1"/>
  <c r="Q387" i="2"/>
  <c r="AK387" i="2" s="1"/>
  <c r="X387" i="2"/>
  <c r="AO387" i="2" s="1"/>
  <c r="J388" i="2"/>
  <c r="AG388" i="2" s="1"/>
  <c r="Q388" i="2"/>
  <c r="AK388" i="2" s="1"/>
  <c r="X388" i="2"/>
  <c r="AO388" i="2" s="1"/>
  <c r="J389" i="2"/>
  <c r="AG389" i="2" s="1"/>
  <c r="Q389" i="2"/>
  <c r="AK389" i="2" s="1"/>
  <c r="X389" i="2"/>
  <c r="AO389" i="2" s="1"/>
  <c r="J390" i="2"/>
  <c r="AG390" i="2" s="1"/>
  <c r="Q390" i="2"/>
  <c r="AK390" i="2" s="1"/>
  <c r="X390" i="2"/>
  <c r="AO390" i="2" s="1"/>
  <c r="J391" i="2"/>
  <c r="AG391" i="2" s="1"/>
  <c r="Q391" i="2"/>
  <c r="AK391" i="2" s="1"/>
  <c r="X391" i="2"/>
  <c r="AO391" i="2" s="1"/>
  <c r="J392" i="2"/>
  <c r="AG392" i="2" s="1"/>
  <c r="Q392" i="2"/>
  <c r="AK392" i="2" s="1"/>
  <c r="X392" i="2"/>
  <c r="AO392" i="2" s="1"/>
  <c r="J393" i="2"/>
  <c r="AG393" i="2" s="1"/>
  <c r="Q393" i="2"/>
  <c r="AK393" i="2" s="1"/>
  <c r="X393" i="2"/>
  <c r="AO393" i="2" s="1"/>
  <c r="J394" i="2"/>
  <c r="AG394" i="2" s="1"/>
  <c r="Q394" i="2"/>
  <c r="AK394" i="2" s="1"/>
  <c r="X394" i="2"/>
  <c r="AO394" i="2" s="1"/>
  <c r="J252" i="2"/>
  <c r="AG252" i="2" s="1"/>
  <c r="Q252" i="2"/>
  <c r="AK252" i="2" s="1"/>
  <c r="X252" i="2"/>
  <c r="AO252" i="2" s="1"/>
  <c r="J253" i="2"/>
  <c r="AG253" i="2" s="1"/>
  <c r="Q253" i="2"/>
  <c r="AK253" i="2" s="1"/>
  <c r="X253" i="2"/>
  <c r="AO253" i="2" s="1"/>
  <c r="J254" i="2"/>
  <c r="AG254" i="2" s="1"/>
  <c r="Q254" i="2"/>
  <c r="AK254" i="2" s="1"/>
  <c r="X254" i="2"/>
  <c r="AO254" i="2" s="1"/>
  <c r="J255" i="2"/>
  <c r="AG255" i="2" s="1"/>
  <c r="Q255" i="2"/>
  <c r="AK255" i="2" s="1"/>
  <c r="X255" i="2"/>
  <c r="AO255" i="2" s="1"/>
  <c r="J256" i="2"/>
  <c r="AG256" i="2" s="1"/>
  <c r="Q256" i="2"/>
  <c r="AK256" i="2" s="1"/>
  <c r="X256" i="2"/>
  <c r="AO256" i="2" s="1"/>
  <c r="J257" i="2"/>
  <c r="AG257" i="2" s="1"/>
  <c r="Q257" i="2"/>
  <c r="AK257" i="2" s="1"/>
  <c r="X257" i="2"/>
  <c r="AO257" i="2" s="1"/>
  <c r="J258" i="2"/>
  <c r="AG258" i="2" s="1"/>
  <c r="Q258" i="2"/>
  <c r="AK258" i="2" s="1"/>
  <c r="X258" i="2"/>
  <c r="AO258" i="2" s="1"/>
  <c r="J259" i="2"/>
  <c r="AG259" i="2" s="1"/>
  <c r="Q259" i="2"/>
  <c r="AK259" i="2" s="1"/>
  <c r="X259" i="2"/>
  <c r="AO259" i="2" s="1"/>
  <c r="J260" i="2"/>
  <c r="AG260" i="2" s="1"/>
  <c r="Q260" i="2"/>
  <c r="AK260" i="2" s="1"/>
  <c r="X260" i="2"/>
  <c r="AO260" i="2" s="1"/>
  <c r="J182" i="2"/>
  <c r="AG182" i="2" s="1"/>
  <c r="Q182" i="2"/>
  <c r="AK182" i="2" s="1"/>
  <c r="X182" i="2"/>
  <c r="AO182" i="2" s="1"/>
  <c r="J183" i="2"/>
  <c r="AG183" i="2" s="1"/>
  <c r="Q183" i="2"/>
  <c r="AK183" i="2" s="1"/>
  <c r="X183" i="2"/>
  <c r="AO183" i="2" s="1"/>
  <c r="J184" i="2"/>
  <c r="AG184" i="2" s="1"/>
  <c r="Q184" i="2"/>
  <c r="AK184" i="2" s="1"/>
  <c r="X184" i="2"/>
  <c r="AO184" i="2" s="1"/>
  <c r="J185" i="2"/>
  <c r="AG185" i="2" s="1"/>
  <c r="Q185" i="2"/>
  <c r="AK185" i="2" s="1"/>
  <c r="X185" i="2"/>
  <c r="AO185" i="2" s="1"/>
  <c r="J186" i="2"/>
  <c r="AG186" i="2" s="1"/>
  <c r="Q186" i="2"/>
  <c r="AK186" i="2" s="1"/>
  <c r="X186" i="2"/>
  <c r="AO186" i="2" s="1"/>
  <c r="J187" i="2"/>
  <c r="AG187" i="2" s="1"/>
  <c r="Q187" i="2"/>
  <c r="AK187" i="2" s="1"/>
  <c r="X187" i="2"/>
  <c r="AO187" i="2" s="1"/>
  <c r="J188" i="2"/>
  <c r="AG188" i="2" s="1"/>
  <c r="Q188" i="2"/>
  <c r="AK188" i="2" s="1"/>
  <c r="X188" i="2"/>
  <c r="AO188" i="2" s="1"/>
  <c r="J189" i="2"/>
  <c r="AG189" i="2" s="1"/>
  <c r="Q189" i="2"/>
  <c r="AK189" i="2" s="1"/>
  <c r="X189" i="2"/>
  <c r="AO189" i="2" s="1"/>
  <c r="J190" i="2"/>
  <c r="AG190" i="2" s="1"/>
  <c r="Q190" i="2"/>
  <c r="AK190" i="2" s="1"/>
  <c r="X190" i="2"/>
  <c r="AO190" i="2" s="1"/>
  <c r="J209" i="2"/>
  <c r="AG209" i="2" s="1"/>
  <c r="X209" i="2"/>
  <c r="AO209" i="2" s="1"/>
  <c r="J210" i="2"/>
  <c r="AG210" i="2" s="1"/>
  <c r="Q210" i="2"/>
  <c r="AK210" i="2" s="1"/>
  <c r="X210" i="2"/>
  <c r="AO210" i="2" s="1"/>
  <c r="J211" i="2"/>
  <c r="AG211" i="2" s="1"/>
  <c r="X211" i="2"/>
  <c r="AO211" i="2" s="1"/>
  <c r="J215" i="2"/>
  <c r="AG215" i="2" s="1"/>
  <c r="Q215" i="2"/>
  <c r="AK215" i="2" s="1"/>
  <c r="J216" i="2"/>
  <c r="AG216" i="2" s="1"/>
  <c r="Q216" i="2"/>
  <c r="AK216" i="2" s="1"/>
  <c r="X216" i="2"/>
  <c r="AO216" i="2" s="1"/>
  <c r="J217" i="2"/>
  <c r="AG217" i="2" s="1"/>
  <c r="Q217" i="2"/>
  <c r="AK217" i="2" s="1"/>
  <c r="J295" i="2"/>
  <c r="AG295" i="2" s="1"/>
  <c r="J270" i="2"/>
  <c r="AG270" i="2" s="1"/>
  <c r="J232" i="2"/>
  <c r="AG232" i="2" s="1"/>
  <c r="J199" i="2"/>
  <c r="AG199" i="2" s="1"/>
  <c r="J172" i="2"/>
  <c r="AG172" i="2" s="1"/>
  <c r="J261" i="2"/>
  <c r="AG261" i="2" s="1"/>
  <c r="J241" i="2"/>
  <c r="AG241" i="2" s="1"/>
  <c r="J191" i="2"/>
  <c r="AG191" i="2" s="1"/>
  <c r="J115" i="2"/>
  <c r="AG115" i="2" s="1"/>
  <c r="J44" i="2"/>
  <c r="AG44" i="2" s="1"/>
  <c r="J249" i="2"/>
  <c r="AG249" i="2" s="1"/>
  <c r="J218" i="2"/>
  <c r="AG218" i="2" s="1"/>
  <c r="J212" i="2"/>
  <c r="AG212" i="2" s="1"/>
  <c r="J206" i="2"/>
  <c r="AG206" i="2" s="1"/>
  <c r="J179" i="2"/>
  <c r="AG179" i="2" s="1"/>
  <c r="J148" i="2"/>
  <c r="AG148" i="2" s="1"/>
  <c r="J125" i="2"/>
  <c r="AG125" i="2" s="1"/>
  <c r="J107" i="2"/>
  <c r="AG107" i="2" s="1"/>
  <c r="J74" i="2"/>
  <c r="AG74" i="2" s="1"/>
  <c r="J51" i="2"/>
  <c r="AG51" i="2" s="1"/>
  <c r="J35" i="2"/>
  <c r="AG35" i="2" s="1"/>
  <c r="J27" i="2"/>
  <c r="U222" i="2"/>
  <c r="X222" i="2"/>
  <c r="AO222" i="2" s="1"/>
  <c r="AB58" i="2"/>
  <c r="Z15" i="2"/>
  <c r="AP15" i="2" s="1"/>
  <c r="J23" i="2"/>
  <c r="AG23" i="2" s="1"/>
  <c r="Q23" i="2"/>
  <c r="AK23" i="2" s="1"/>
  <c r="X23" i="2"/>
  <c r="AO23" i="2" s="1"/>
  <c r="J24" i="2"/>
  <c r="AG24" i="2" s="1"/>
  <c r="Q24" i="2"/>
  <c r="AK24" i="2" s="1"/>
  <c r="X24" i="2"/>
  <c r="AO24" i="2" s="1"/>
  <c r="J25" i="2"/>
  <c r="AG25" i="2" s="1"/>
  <c r="Q25" i="2"/>
  <c r="AK25" i="2" s="1"/>
  <c r="X25" i="2"/>
  <c r="AO25" i="2" s="1"/>
  <c r="J26" i="2"/>
  <c r="AG26" i="2" s="1"/>
  <c r="Q26" i="2"/>
  <c r="AK26" i="2" s="1"/>
  <c r="X26" i="2"/>
  <c r="AO26" i="2" s="1"/>
  <c r="J47" i="2"/>
  <c r="AG47" i="2" s="1"/>
  <c r="Q47" i="2"/>
  <c r="AK47" i="2" s="1"/>
  <c r="X47" i="2"/>
  <c r="AO47" i="2" s="1"/>
  <c r="J48" i="2"/>
  <c r="AG48" i="2" s="1"/>
  <c r="Q48" i="2"/>
  <c r="AK48" i="2" s="1"/>
  <c r="X48" i="2"/>
  <c r="AO48" i="2" s="1"/>
  <c r="J49" i="2"/>
  <c r="AG49" i="2" s="1"/>
  <c r="Q49" i="2"/>
  <c r="AK49" i="2" s="1"/>
  <c r="X49" i="2"/>
  <c r="AO49" i="2" s="1"/>
  <c r="J50" i="2"/>
  <c r="AG50" i="2" s="1"/>
  <c r="Q50" i="2"/>
  <c r="AK50" i="2" s="1"/>
  <c r="X50" i="2"/>
  <c r="AO50" i="2" s="1"/>
  <c r="J103" i="2"/>
  <c r="AG103" i="2" s="1"/>
  <c r="Q103" i="2"/>
  <c r="AK103" i="2" s="1"/>
  <c r="X103" i="2"/>
  <c r="AO103" i="2" s="1"/>
  <c r="J104" i="2"/>
  <c r="AG104" i="2" s="1"/>
  <c r="Q104" i="2"/>
  <c r="AK104" i="2" s="1"/>
  <c r="X104" i="2"/>
  <c r="AO104" i="2" s="1"/>
  <c r="J105" i="2"/>
  <c r="AG105" i="2" s="1"/>
  <c r="Q105" i="2"/>
  <c r="AK105" i="2" s="1"/>
  <c r="X105" i="2"/>
  <c r="AO105" i="2" s="1"/>
  <c r="J106" i="2"/>
  <c r="AG106" i="2" s="1"/>
  <c r="Q106" i="2"/>
  <c r="AK106" i="2" s="1"/>
  <c r="X106" i="2"/>
  <c r="AO106" i="2" s="1"/>
  <c r="J111" i="2"/>
  <c r="AG111" i="2" s="1"/>
  <c r="Q111" i="2"/>
  <c r="AK111" i="2" s="1"/>
  <c r="X111" i="2"/>
  <c r="AO111" i="2" s="1"/>
  <c r="J112" i="2"/>
  <c r="AG112" i="2" s="1"/>
  <c r="Q112" i="2"/>
  <c r="AK112" i="2" s="1"/>
  <c r="X112" i="2"/>
  <c r="AO112" i="2" s="1"/>
  <c r="J113" i="2"/>
  <c r="AG113" i="2" s="1"/>
  <c r="Q113" i="2"/>
  <c r="AK113" i="2" s="1"/>
  <c r="X113" i="2"/>
  <c r="AO113" i="2" s="1"/>
  <c r="J114" i="2"/>
  <c r="AG114" i="2" s="1"/>
  <c r="Q114" i="2"/>
  <c r="AK114" i="2" s="1"/>
  <c r="X114" i="2"/>
  <c r="AO114" i="2" s="1"/>
  <c r="J121" i="2"/>
  <c r="AG121" i="2" s="1"/>
  <c r="Q121" i="2"/>
  <c r="AK121" i="2" s="1"/>
  <c r="X121" i="2"/>
  <c r="AO121" i="2" s="1"/>
  <c r="J122" i="2"/>
  <c r="AG122" i="2" s="1"/>
  <c r="Q122" i="2"/>
  <c r="AK122" i="2" s="1"/>
  <c r="X122" i="2"/>
  <c r="AO122" i="2" s="1"/>
  <c r="J123" i="2"/>
  <c r="AG123" i="2" s="1"/>
  <c r="Q123" i="2"/>
  <c r="AK123" i="2" s="1"/>
  <c r="X123" i="2"/>
  <c r="AO123" i="2" s="1"/>
  <c r="J124" i="2"/>
  <c r="AG124" i="2" s="1"/>
  <c r="Q124" i="2"/>
  <c r="AK124" i="2" s="1"/>
  <c r="X124" i="2"/>
  <c r="AO124" i="2" s="1"/>
  <c r="J144" i="2"/>
  <c r="AG144" i="2" s="1"/>
  <c r="Q144" i="2"/>
  <c r="AK144" i="2" s="1"/>
  <c r="X144" i="2"/>
  <c r="AO144" i="2" s="1"/>
  <c r="J145" i="2"/>
  <c r="AG145" i="2" s="1"/>
  <c r="Q145" i="2"/>
  <c r="AK145" i="2" s="1"/>
  <c r="X145" i="2"/>
  <c r="AO145" i="2" s="1"/>
  <c r="J146" i="2"/>
  <c r="AG146" i="2" s="1"/>
  <c r="Q146" i="2"/>
  <c r="AK146" i="2" s="1"/>
  <c r="X146" i="2"/>
  <c r="AO146" i="2" s="1"/>
  <c r="J147" i="2"/>
  <c r="AG147" i="2" s="1"/>
  <c r="Q147" i="2"/>
  <c r="AK147" i="2" s="1"/>
  <c r="X147" i="2"/>
  <c r="AO147" i="2" s="1"/>
  <c r="J168" i="2"/>
  <c r="AG168" i="2" s="1"/>
  <c r="Q168" i="2"/>
  <c r="AK168" i="2" s="1"/>
  <c r="X168" i="2"/>
  <c r="AO168" i="2" s="1"/>
  <c r="J169" i="2"/>
  <c r="AG169" i="2" s="1"/>
  <c r="Q169" i="2"/>
  <c r="AK169" i="2" s="1"/>
  <c r="X169" i="2"/>
  <c r="AO169" i="2" s="1"/>
  <c r="J170" i="2"/>
  <c r="AG170" i="2" s="1"/>
  <c r="Q170" i="2"/>
  <c r="AK170" i="2" s="1"/>
  <c r="X170" i="2"/>
  <c r="AO170" i="2" s="1"/>
  <c r="J171" i="2"/>
  <c r="AG171" i="2" s="1"/>
  <c r="Q171" i="2"/>
  <c r="AK171" i="2" s="1"/>
  <c r="X171" i="2"/>
  <c r="AO171" i="2" s="1"/>
  <c r="J175" i="2"/>
  <c r="AG175" i="2" s="1"/>
  <c r="Q175" i="2"/>
  <c r="AK175" i="2" s="1"/>
  <c r="X175" i="2"/>
  <c r="AO175" i="2" s="1"/>
  <c r="J176" i="2"/>
  <c r="AG176" i="2" s="1"/>
  <c r="Q176" i="2"/>
  <c r="AK176" i="2" s="1"/>
  <c r="X176" i="2"/>
  <c r="AO176" i="2" s="1"/>
  <c r="J177" i="2"/>
  <c r="AG177" i="2" s="1"/>
  <c r="Q177" i="2"/>
  <c r="AK177" i="2" s="1"/>
  <c r="X177" i="2"/>
  <c r="AO177" i="2" s="1"/>
  <c r="J178" i="2"/>
  <c r="AG178" i="2" s="1"/>
  <c r="Q178" i="2"/>
  <c r="AK178" i="2" s="1"/>
  <c r="X178" i="2"/>
  <c r="AO178" i="2" s="1"/>
  <c r="J195" i="2"/>
  <c r="AG195" i="2" s="1"/>
  <c r="Q195" i="2"/>
  <c r="AK195" i="2" s="1"/>
  <c r="X195" i="2"/>
  <c r="AO195" i="2" s="1"/>
  <c r="J196" i="2"/>
  <c r="AG196" i="2" s="1"/>
  <c r="Q196" i="2"/>
  <c r="AK196" i="2" s="1"/>
  <c r="X196" i="2"/>
  <c r="AO196" i="2" s="1"/>
  <c r="J197" i="2"/>
  <c r="AG197" i="2" s="1"/>
  <c r="Q197" i="2"/>
  <c r="AK197" i="2" s="1"/>
  <c r="X197" i="2"/>
  <c r="AO197" i="2" s="1"/>
  <c r="J198" i="2"/>
  <c r="AG198" i="2" s="1"/>
  <c r="Q198" i="2"/>
  <c r="AK198" i="2" s="1"/>
  <c r="X198" i="2"/>
  <c r="AO198" i="2" s="1"/>
  <c r="J202" i="2"/>
  <c r="AG202" i="2" s="1"/>
  <c r="Q202" i="2"/>
  <c r="AK202" i="2" s="1"/>
  <c r="X202" i="2"/>
  <c r="AO202" i="2" s="1"/>
  <c r="J203" i="2"/>
  <c r="AG203" i="2" s="1"/>
  <c r="Q203" i="2"/>
  <c r="AK203" i="2" s="1"/>
  <c r="X203" i="2"/>
  <c r="AO203" i="2" s="1"/>
  <c r="J204" i="2"/>
  <c r="AG204" i="2" s="1"/>
  <c r="Q204" i="2"/>
  <c r="AK204" i="2" s="1"/>
  <c r="X204" i="2"/>
  <c r="AO204" i="2" s="1"/>
  <c r="J205" i="2"/>
  <c r="AG205" i="2" s="1"/>
  <c r="Q205" i="2"/>
  <c r="AK205" i="2" s="1"/>
  <c r="X205" i="2"/>
  <c r="AO205" i="2" s="1"/>
  <c r="N30" i="2"/>
  <c r="N32" i="2"/>
  <c r="N33" i="2"/>
  <c r="L30" i="2"/>
  <c r="AH30" i="2" s="1"/>
  <c r="U30" i="2"/>
  <c r="S31" i="2"/>
  <c r="AL31" i="2" s="1"/>
  <c r="U39" i="2"/>
  <c r="U40" i="2"/>
  <c r="U41" i="2"/>
  <c r="L38" i="2"/>
  <c r="AH38" i="2" s="1"/>
  <c r="U38" i="2"/>
  <c r="AB38" i="2" s="1"/>
  <c r="J43" i="2"/>
  <c r="AG43" i="2" s="1"/>
  <c r="Q43" i="2"/>
  <c r="AK43" i="2" s="1"/>
  <c r="X43" i="2"/>
  <c r="AO43" i="2" s="1"/>
  <c r="U69" i="2"/>
  <c r="U70" i="2"/>
  <c r="U71" i="2"/>
  <c r="N68" i="2"/>
  <c r="U68" i="2"/>
  <c r="G306" i="2"/>
  <c r="N345" i="2"/>
  <c r="U345" i="2"/>
  <c r="U346" i="2"/>
  <c r="N347" i="2"/>
  <c r="U347" i="2"/>
  <c r="J54" i="2"/>
  <c r="AG54" i="2" s="1"/>
  <c r="Q54" i="2"/>
  <c r="AK54" i="2" s="1"/>
  <c r="X54" i="2"/>
  <c r="AO54" i="2" s="1"/>
  <c r="J55" i="2"/>
  <c r="AG55" i="2" s="1"/>
  <c r="Q55" i="2"/>
  <c r="AK55" i="2" s="1"/>
  <c r="X55" i="2"/>
  <c r="AO55" i="2" s="1"/>
  <c r="J56" i="2"/>
  <c r="AG56" i="2" s="1"/>
  <c r="Q56" i="2"/>
  <c r="AK56" i="2" s="1"/>
  <c r="X56" i="2"/>
  <c r="AO56" i="2" s="1"/>
  <c r="J57" i="2"/>
  <c r="AG57" i="2" s="1"/>
  <c r="Q57" i="2"/>
  <c r="AK57" i="2" s="1"/>
  <c r="X57" i="2"/>
  <c r="AO57" i="2" s="1"/>
  <c r="J58" i="2"/>
  <c r="AG58" i="2" s="1"/>
  <c r="Q58" i="2"/>
  <c r="AK58" i="2" s="1"/>
  <c r="X58" i="2"/>
  <c r="AO58" i="2" s="1"/>
  <c r="J59" i="2"/>
  <c r="AG59" i="2" s="1"/>
  <c r="Q59" i="2"/>
  <c r="AK59" i="2" s="1"/>
  <c r="X59" i="2"/>
  <c r="AO59" i="2" s="1"/>
  <c r="U62" i="2"/>
  <c r="N60" i="2"/>
  <c r="N64" i="2"/>
  <c r="U64" i="2"/>
  <c r="J78" i="2"/>
  <c r="AG78" i="2" s="1"/>
  <c r="Q78" i="2"/>
  <c r="AK78" i="2" s="1"/>
  <c r="X78" i="2"/>
  <c r="AO78" i="2" s="1"/>
  <c r="J79" i="2"/>
  <c r="AG79" i="2" s="1"/>
  <c r="Q79" i="2"/>
  <c r="AK79" i="2" s="1"/>
  <c r="X79" i="2"/>
  <c r="AO79" i="2" s="1"/>
  <c r="J80" i="2"/>
  <c r="AG80" i="2" s="1"/>
  <c r="Q80" i="2"/>
  <c r="AK80" i="2" s="1"/>
  <c r="X80" i="2"/>
  <c r="AO80" i="2" s="1"/>
  <c r="J81" i="2"/>
  <c r="AG81" i="2" s="1"/>
  <c r="Q81" i="2"/>
  <c r="AK81" i="2" s="1"/>
  <c r="X81" i="2"/>
  <c r="AO81" i="2" s="1"/>
  <c r="J82" i="2"/>
  <c r="AG82" i="2" s="1"/>
  <c r="Q82" i="2"/>
  <c r="AK82" i="2" s="1"/>
  <c r="X82" i="2"/>
  <c r="AO82" i="2" s="1"/>
  <c r="J83" i="2"/>
  <c r="AG83" i="2" s="1"/>
  <c r="Q83" i="2"/>
  <c r="AK83" i="2" s="1"/>
  <c r="X83" i="2"/>
  <c r="AO83" i="2" s="1"/>
  <c r="J84" i="2"/>
  <c r="AG84" i="2" s="1"/>
  <c r="Q84" i="2"/>
  <c r="AK84" i="2" s="1"/>
  <c r="X84" i="2"/>
  <c r="AO84" i="2" s="1"/>
  <c r="J85" i="2"/>
  <c r="AG85" i="2" s="1"/>
  <c r="Q85" i="2"/>
  <c r="AK85" i="2" s="1"/>
  <c r="X85" i="2"/>
  <c r="AO85" i="2" s="1"/>
  <c r="J86" i="2"/>
  <c r="AG86" i="2" s="1"/>
  <c r="Q86" i="2"/>
  <c r="AK86" i="2" s="1"/>
  <c r="X86" i="2"/>
  <c r="AO86" i="2" s="1"/>
  <c r="J87" i="2"/>
  <c r="AG87" i="2" s="1"/>
  <c r="Q87" i="2"/>
  <c r="AK87" i="2" s="1"/>
  <c r="X87" i="2"/>
  <c r="AO87" i="2" s="1"/>
  <c r="J88" i="2"/>
  <c r="AG88" i="2" s="1"/>
  <c r="Q88" i="2"/>
  <c r="AK88" i="2" s="1"/>
  <c r="X88" i="2"/>
  <c r="AO88" i="2" s="1"/>
  <c r="J130" i="2"/>
  <c r="AG130" i="2" s="1"/>
  <c r="Q130" i="2"/>
  <c r="AK130" i="2" s="1"/>
  <c r="X130" i="2"/>
  <c r="AO130" i="2" s="1"/>
  <c r="J131" i="2"/>
  <c r="AG131" i="2" s="1"/>
  <c r="Q131" i="2"/>
  <c r="AK131" i="2" s="1"/>
  <c r="X131" i="2"/>
  <c r="AO131" i="2" s="1"/>
  <c r="J132" i="2"/>
  <c r="AG132" i="2" s="1"/>
  <c r="Q132" i="2"/>
  <c r="AK132" i="2" s="1"/>
  <c r="X132" i="2"/>
  <c r="AO132" i="2" s="1"/>
  <c r="J133" i="2"/>
  <c r="AG133" i="2" s="1"/>
  <c r="Q133" i="2"/>
  <c r="AK133" i="2" s="1"/>
  <c r="X133" i="2"/>
  <c r="AO133" i="2" s="1"/>
  <c r="J134" i="2"/>
  <c r="AG134" i="2" s="1"/>
  <c r="Q134" i="2"/>
  <c r="AK134" i="2" s="1"/>
  <c r="X134" i="2"/>
  <c r="AO134" i="2" s="1"/>
  <c r="J135" i="2"/>
  <c r="AG135" i="2" s="1"/>
  <c r="Q135" i="2"/>
  <c r="AK135" i="2" s="1"/>
  <c r="X135" i="2"/>
  <c r="AO135" i="2" s="1"/>
  <c r="J136" i="2"/>
  <c r="AG136" i="2" s="1"/>
  <c r="Q136" i="2"/>
  <c r="AK136" i="2" s="1"/>
  <c r="X136" i="2"/>
  <c r="AO136" i="2" s="1"/>
  <c r="J137" i="2"/>
  <c r="AG137" i="2" s="1"/>
  <c r="Q137" i="2"/>
  <c r="AK137" i="2" s="1"/>
  <c r="X137" i="2"/>
  <c r="AO137" i="2" s="1"/>
  <c r="J138" i="2"/>
  <c r="AG138" i="2" s="1"/>
  <c r="Q138" i="2"/>
  <c r="AK138" i="2" s="1"/>
  <c r="X138" i="2"/>
  <c r="AO138" i="2" s="1"/>
  <c r="J139" i="2"/>
  <c r="AG139" i="2" s="1"/>
  <c r="Q139" i="2"/>
  <c r="AK139" i="2" s="1"/>
  <c r="X139" i="2"/>
  <c r="AO139" i="2" s="1"/>
  <c r="J140" i="2"/>
  <c r="AG140" i="2" s="1"/>
  <c r="Q140" i="2"/>
  <c r="AK140" i="2" s="1"/>
  <c r="X140" i="2"/>
  <c r="AO140" i="2" s="1"/>
  <c r="J442" i="2"/>
  <c r="AG442" i="2" s="1"/>
  <c r="Q442" i="2"/>
  <c r="AK442" i="2" s="1"/>
  <c r="X442" i="2"/>
  <c r="AO442" i="2" s="1"/>
  <c r="J443" i="2"/>
  <c r="AG443" i="2" s="1"/>
  <c r="Q443" i="2"/>
  <c r="AK443" i="2" s="1"/>
  <c r="X443" i="2"/>
  <c r="AO443" i="2" s="1"/>
  <c r="J444" i="2"/>
  <c r="AG444" i="2" s="1"/>
  <c r="Q444" i="2"/>
  <c r="AK444" i="2" s="1"/>
  <c r="X444" i="2"/>
  <c r="AO444" i="2" s="1"/>
  <c r="J445" i="2"/>
  <c r="AG445" i="2" s="1"/>
  <c r="Q445" i="2"/>
  <c r="AK445" i="2" s="1"/>
  <c r="X445" i="2"/>
  <c r="AO445" i="2" s="1"/>
  <c r="J446" i="2"/>
  <c r="AG446" i="2" s="1"/>
  <c r="Q446" i="2"/>
  <c r="AK446" i="2" s="1"/>
  <c r="X446" i="2"/>
  <c r="AO446" i="2" s="1"/>
  <c r="J447" i="2"/>
  <c r="AG447" i="2" s="1"/>
  <c r="Q447" i="2"/>
  <c r="AK447" i="2" s="1"/>
  <c r="X447" i="2"/>
  <c r="AO447" i="2" s="1"/>
  <c r="J448" i="2"/>
  <c r="AG448" i="2" s="1"/>
  <c r="Q448" i="2"/>
  <c r="AK448" i="2" s="1"/>
  <c r="X448" i="2"/>
  <c r="AO448" i="2" s="1"/>
  <c r="J449" i="2"/>
  <c r="AG449" i="2" s="1"/>
  <c r="Q449" i="2"/>
  <c r="AK449" i="2" s="1"/>
  <c r="X449" i="2"/>
  <c r="AO449" i="2" s="1"/>
  <c r="J450" i="2"/>
  <c r="AG450" i="2" s="1"/>
  <c r="Q450" i="2"/>
  <c r="AK450" i="2" s="1"/>
  <c r="X450" i="2"/>
  <c r="AO450" i="2" s="1"/>
  <c r="J451" i="2"/>
  <c r="AG451" i="2" s="1"/>
  <c r="Q451" i="2"/>
  <c r="AK451" i="2" s="1"/>
  <c r="X451" i="2"/>
  <c r="AO451" i="2" s="1"/>
  <c r="J452" i="2"/>
  <c r="AG452" i="2" s="1"/>
  <c r="Q452" i="2"/>
  <c r="AK452" i="2" s="1"/>
  <c r="X452" i="2"/>
  <c r="AO452" i="2" s="1"/>
  <c r="U397" i="2"/>
  <c r="J153" i="2"/>
  <c r="AG153" i="2" s="1"/>
  <c r="Q153" i="2"/>
  <c r="AK153" i="2" s="1"/>
  <c r="X153" i="2"/>
  <c r="AO153" i="2" s="1"/>
  <c r="J154" i="2"/>
  <c r="AG154" i="2" s="1"/>
  <c r="Q154" i="2"/>
  <c r="AK154" i="2" s="1"/>
  <c r="X154" i="2"/>
  <c r="AO154" i="2" s="1"/>
  <c r="J155" i="2"/>
  <c r="AG155" i="2" s="1"/>
  <c r="Q155" i="2"/>
  <c r="AK155" i="2" s="1"/>
  <c r="X155" i="2"/>
  <c r="AO155" i="2" s="1"/>
  <c r="J156" i="2"/>
  <c r="AG156" i="2" s="1"/>
  <c r="Q156" i="2"/>
  <c r="AK156" i="2" s="1"/>
  <c r="X156" i="2"/>
  <c r="AO156" i="2" s="1"/>
  <c r="J157" i="2"/>
  <c r="AG157" i="2" s="1"/>
  <c r="Q157" i="2"/>
  <c r="AK157" i="2" s="1"/>
  <c r="X157" i="2"/>
  <c r="AO157" i="2" s="1"/>
  <c r="J158" i="2"/>
  <c r="AG158" i="2" s="1"/>
  <c r="Q158" i="2"/>
  <c r="AK158" i="2" s="1"/>
  <c r="X158" i="2"/>
  <c r="AO158" i="2" s="1"/>
  <c r="J159" i="2"/>
  <c r="AG159" i="2" s="1"/>
  <c r="Q159" i="2"/>
  <c r="AK159" i="2" s="1"/>
  <c r="X159" i="2"/>
  <c r="AO159" i="2" s="1"/>
  <c r="J160" i="2"/>
  <c r="AG160" i="2" s="1"/>
  <c r="Q160" i="2"/>
  <c r="AK160" i="2" s="1"/>
  <c r="X160" i="2"/>
  <c r="AO160" i="2" s="1"/>
  <c r="J161" i="2"/>
  <c r="AG161" i="2" s="1"/>
  <c r="Q161" i="2"/>
  <c r="AK161" i="2" s="1"/>
  <c r="X161" i="2"/>
  <c r="AO161" i="2" s="1"/>
  <c r="J162" i="2"/>
  <c r="AG162" i="2" s="1"/>
  <c r="Q162" i="2"/>
  <c r="AK162" i="2" s="1"/>
  <c r="X162" i="2"/>
  <c r="AO162" i="2" s="1"/>
  <c r="J163" i="2"/>
  <c r="AG163" i="2" s="1"/>
  <c r="Q163" i="2"/>
  <c r="AK163" i="2" s="1"/>
  <c r="X163" i="2"/>
  <c r="AO163" i="2" s="1"/>
  <c r="J164" i="2"/>
  <c r="AG164" i="2" s="1"/>
  <c r="Q164" i="2"/>
  <c r="AK164" i="2" s="1"/>
  <c r="X164" i="2"/>
  <c r="AO164" i="2" s="1"/>
  <c r="N386" i="2"/>
  <c r="U386" i="2"/>
  <c r="N387" i="2"/>
  <c r="U387" i="2"/>
  <c r="N217" i="2"/>
  <c r="N210" i="2"/>
  <c r="U211" i="2"/>
  <c r="J222" i="2"/>
  <c r="AG222" i="2" s="1"/>
  <c r="Q222" i="2"/>
  <c r="AK222" i="2" s="1"/>
  <c r="J223" i="2"/>
  <c r="AG223" i="2" s="1"/>
  <c r="Q223" i="2"/>
  <c r="AK223" i="2" s="1"/>
  <c r="X223" i="2"/>
  <c r="AO223" i="2" s="1"/>
  <c r="J224" i="2"/>
  <c r="AG224" i="2" s="1"/>
  <c r="Q224" i="2"/>
  <c r="AK224" i="2" s="1"/>
  <c r="X224" i="2"/>
  <c r="AO224" i="2" s="1"/>
  <c r="J225" i="2"/>
  <c r="AG225" i="2" s="1"/>
  <c r="Q225" i="2"/>
  <c r="AK225" i="2" s="1"/>
  <c r="X225" i="2"/>
  <c r="AO225" i="2" s="1"/>
  <c r="J226" i="2"/>
  <c r="AG226" i="2" s="1"/>
  <c r="Q226" i="2"/>
  <c r="AK226" i="2" s="1"/>
  <c r="X226" i="2"/>
  <c r="AO226" i="2" s="1"/>
  <c r="J227" i="2"/>
  <c r="AG227" i="2" s="1"/>
  <c r="Q227" i="2"/>
  <c r="AK227" i="2" s="1"/>
  <c r="X227" i="2"/>
  <c r="AO227" i="2" s="1"/>
  <c r="J228" i="2"/>
  <c r="AG228" i="2" s="1"/>
  <c r="Q228" i="2"/>
  <c r="AK228" i="2" s="1"/>
  <c r="X228" i="2"/>
  <c r="AO228" i="2" s="1"/>
  <c r="J229" i="2"/>
  <c r="AG229" i="2" s="1"/>
  <c r="Q229" i="2"/>
  <c r="AK229" i="2" s="1"/>
  <c r="X229" i="2"/>
  <c r="AO229" i="2" s="1"/>
  <c r="J230" i="2"/>
  <c r="AG230" i="2" s="1"/>
  <c r="Q230" i="2"/>
  <c r="AK230" i="2" s="1"/>
  <c r="X230" i="2"/>
  <c r="AO230" i="2" s="1"/>
  <c r="J231" i="2"/>
  <c r="AG231" i="2" s="1"/>
  <c r="Q231" i="2"/>
  <c r="AK231" i="2" s="1"/>
  <c r="X231" i="2"/>
  <c r="AO231" i="2" s="1"/>
  <c r="J273" i="2"/>
  <c r="AG273" i="2" s="1"/>
  <c r="Q273" i="2"/>
  <c r="AK273" i="2" s="1"/>
  <c r="X273" i="2"/>
  <c r="AO273" i="2" s="1"/>
  <c r="J274" i="2"/>
  <c r="AG274" i="2" s="1"/>
  <c r="Q274" i="2"/>
  <c r="AK274" i="2" s="1"/>
  <c r="X274" i="2"/>
  <c r="AO274" i="2" s="1"/>
  <c r="J275" i="2"/>
  <c r="AG275" i="2" s="1"/>
  <c r="Q275" i="2"/>
  <c r="AK275" i="2" s="1"/>
  <c r="X275" i="2"/>
  <c r="AO275" i="2" s="1"/>
  <c r="J276" i="2"/>
  <c r="AG276" i="2" s="1"/>
  <c r="Q276" i="2"/>
  <c r="AK276" i="2" s="1"/>
  <c r="X276" i="2"/>
  <c r="AO276" i="2" s="1"/>
  <c r="J277" i="2"/>
  <c r="AG277" i="2" s="1"/>
  <c r="Q277" i="2"/>
  <c r="AK277" i="2" s="1"/>
  <c r="X277" i="2"/>
  <c r="AO277" i="2" s="1"/>
  <c r="J278" i="2"/>
  <c r="AG278" i="2" s="1"/>
  <c r="Q278" i="2"/>
  <c r="AK278" i="2" s="1"/>
  <c r="X278" i="2"/>
  <c r="AO278" i="2" s="1"/>
  <c r="J279" i="2"/>
  <c r="AG279" i="2" s="1"/>
  <c r="Q279" i="2"/>
  <c r="AK279" i="2" s="1"/>
  <c r="X279" i="2"/>
  <c r="AO279" i="2" s="1"/>
  <c r="J280" i="2"/>
  <c r="AG280" i="2" s="1"/>
  <c r="Q280" i="2"/>
  <c r="AK280" i="2" s="1"/>
  <c r="X280" i="2"/>
  <c r="AO280" i="2" s="1"/>
  <c r="J281" i="2"/>
  <c r="AG281" i="2" s="1"/>
  <c r="Q281" i="2"/>
  <c r="AK281" i="2" s="1"/>
  <c r="X281" i="2"/>
  <c r="AO281" i="2" s="1"/>
  <c r="J282" i="2"/>
  <c r="AG282" i="2" s="1"/>
  <c r="Q282" i="2"/>
  <c r="AK282" i="2" s="1"/>
  <c r="X282" i="2"/>
  <c r="AO282" i="2" s="1"/>
  <c r="J283" i="2"/>
  <c r="AG283" i="2" s="1"/>
  <c r="Q283" i="2"/>
  <c r="AK283" i="2" s="1"/>
  <c r="X283" i="2"/>
  <c r="AO283" i="2" s="1"/>
  <c r="J284" i="2"/>
  <c r="AG284" i="2" s="1"/>
  <c r="Q284" i="2"/>
  <c r="AK284" i="2" s="1"/>
  <c r="X284" i="2"/>
  <c r="AO284" i="2" s="1"/>
  <c r="J285" i="2"/>
  <c r="AG285" i="2" s="1"/>
  <c r="Q285" i="2"/>
  <c r="AK285" i="2" s="1"/>
  <c r="X285" i="2"/>
  <c r="AO285" i="2" s="1"/>
  <c r="J286" i="2"/>
  <c r="AG286" i="2" s="1"/>
  <c r="Q286" i="2"/>
  <c r="AK286" i="2" s="1"/>
  <c r="X286" i="2"/>
  <c r="AO286" i="2" s="1"/>
  <c r="J414" i="2"/>
  <c r="AG414" i="2" s="1"/>
  <c r="Q414" i="2"/>
  <c r="AK414" i="2" s="1"/>
  <c r="X414" i="2"/>
  <c r="AO414" i="2" s="1"/>
  <c r="J415" i="2"/>
  <c r="AG415" i="2" s="1"/>
  <c r="Q415" i="2"/>
  <c r="AK415" i="2" s="1"/>
  <c r="X415" i="2"/>
  <c r="AO415" i="2" s="1"/>
  <c r="J416" i="2"/>
  <c r="AG416" i="2" s="1"/>
  <c r="Q416" i="2"/>
  <c r="AK416" i="2" s="1"/>
  <c r="X416" i="2"/>
  <c r="AO416" i="2" s="1"/>
  <c r="J417" i="2"/>
  <c r="AG417" i="2" s="1"/>
  <c r="Q417" i="2"/>
  <c r="AK417" i="2" s="1"/>
  <c r="X417" i="2"/>
  <c r="AO417" i="2" s="1"/>
  <c r="J15" i="2"/>
  <c r="AG15" i="2" s="1"/>
  <c r="AI327" i="2"/>
  <c r="AK381" i="2"/>
  <c r="AK240" i="2"/>
  <c r="L295" i="2"/>
  <c r="AH295" i="2" s="1"/>
  <c r="AI335" i="2"/>
  <c r="AI359" i="2"/>
  <c r="AI375" i="2"/>
  <c r="AI383" i="2"/>
  <c r="AK16" i="2"/>
  <c r="AK18" i="2"/>
  <c r="L26" i="2"/>
  <c r="AH26" i="2" s="1"/>
  <c r="L49" i="2"/>
  <c r="AH49" i="2" s="1"/>
  <c r="S49" i="2"/>
  <c r="AL49" i="2" s="1"/>
  <c r="L50" i="2"/>
  <c r="AH50" i="2" s="1"/>
  <c r="S103" i="2"/>
  <c r="AL103" i="2" s="1"/>
  <c r="L104" i="2"/>
  <c r="AH104" i="2" s="1"/>
  <c r="S105" i="2"/>
  <c r="AL105" i="2" s="1"/>
  <c r="L106" i="2"/>
  <c r="AH106" i="2" s="1"/>
  <c r="S111" i="2"/>
  <c r="AL111" i="2" s="1"/>
  <c r="L112" i="2"/>
  <c r="AH112" i="2" s="1"/>
  <c r="S113" i="2"/>
  <c r="AL113" i="2" s="1"/>
  <c r="L114" i="2"/>
  <c r="AH114" i="2" s="1"/>
  <c r="S121" i="2"/>
  <c r="AL121" i="2" s="1"/>
  <c r="L122" i="2"/>
  <c r="AH122" i="2" s="1"/>
  <c r="S123" i="2"/>
  <c r="AL123" i="2" s="1"/>
  <c r="L124" i="2"/>
  <c r="AH124" i="2" s="1"/>
  <c r="L144" i="2"/>
  <c r="AH144" i="2" s="1"/>
  <c r="S144" i="2"/>
  <c r="AL144" i="2" s="1"/>
  <c r="S145" i="2"/>
  <c r="AL145" i="2" s="1"/>
  <c r="L146" i="2"/>
  <c r="AH146" i="2" s="1"/>
  <c r="S146" i="2"/>
  <c r="AL146" i="2" s="1"/>
  <c r="S147" i="2"/>
  <c r="AL147" i="2" s="1"/>
  <c r="L168" i="2"/>
  <c r="AH168" i="2" s="1"/>
  <c r="S168" i="2"/>
  <c r="AL168" i="2" s="1"/>
  <c r="Z168" i="2"/>
  <c r="AP168" i="2" s="1"/>
  <c r="L169" i="2"/>
  <c r="AH169" i="2" s="1"/>
  <c r="L175" i="2"/>
  <c r="AH175" i="2" s="1"/>
  <c r="S175" i="2"/>
  <c r="AL175" i="2" s="1"/>
  <c r="S176" i="2"/>
  <c r="AL176" i="2" s="1"/>
  <c r="L177" i="2"/>
  <c r="AH177" i="2" s="1"/>
  <c r="S177" i="2"/>
  <c r="AL177" i="2" s="1"/>
  <c r="S178" i="2"/>
  <c r="AL178" i="2" s="1"/>
  <c r="L196" i="2"/>
  <c r="AH196" i="2" s="1"/>
  <c r="L198" i="2"/>
  <c r="AH198" i="2" s="1"/>
  <c r="S202" i="2"/>
  <c r="AL202" i="2" s="1"/>
  <c r="L203" i="2"/>
  <c r="AH203" i="2" s="1"/>
  <c r="S204" i="2"/>
  <c r="AL204" i="2" s="1"/>
  <c r="L205" i="2"/>
  <c r="AH205" i="2" s="1"/>
  <c r="N31" i="2"/>
  <c r="L32" i="2"/>
  <c r="AH32" i="2" s="1"/>
  <c r="S33" i="2"/>
  <c r="AL33" i="2" s="1"/>
  <c r="L34" i="2"/>
  <c r="AH34" i="2" s="1"/>
  <c r="S244" i="2"/>
  <c r="AL244" i="2" s="1"/>
  <c r="L245" i="2"/>
  <c r="AH245" i="2" s="1"/>
  <c r="S246" i="2"/>
  <c r="AL246" i="2" s="1"/>
  <c r="L247" i="2"/>
  <c r="AH247" i="2" s="1"/>
  <c r="S248" i="2"/>
  <c r="AL248" i="2" s="1"/>
  <c r="L290" i="2"/>
  <c r="AH290" i="2" s="1"/>
  <c r="S292" i="2"/>
  <c r="AL292" i="2" s="1"/>
  <c r="L293" i="2"/>
  <c r="AH293" i="2" s="1"/>
  <c r="L294" i="2"/>
  <c r="AH294" i="2" s="1"/>
  <c r="S407" i="2"/>
  <c r="AL407" i="2" s="1"/>
  <c r="S408" i="2"/>
  <c r="AL408" i="2" s="1"/>
  <c r="L409" i="2"/>
  <c r="AH409" i="2" s="1"/>
  <c r="S410" i="2"/>
  <c r="AL410" i="2" s="1"/>
  <c r="L411" i="2"/>
  <c r="AH411" i="2" s="1"/>
  <c r="S428" i="2"/>
  <c r="AL428" i="2" s="1"/>
  <c r="L429" i="2"/>
  <c r="AH429" i="2" s="1"/>
  <c r="S429" i="2"/>
  <c r="AL429" i="2" s="1"/>
  <c r="S430" i="2"/>
  <c r="AL430" i="2" s="1"/>
  <c r="L431" i="2"/>
  <c r="AH431" i="2" s="1"/>
  <c r="S431" i="2"/>
  <c r="AL431" i="2" s="1"/>
  <c r="L432" i="2"/>
  <c r="AH432" i="2" s="1"/>
  <c r="L436" i="2"/>
  <c r="AH436" i="2" s="1"/>
  <c r="S436" i="2"/>
  <c r="L438" i="2"/>
  <c r="AH438" i="2" s="1"/>
  <c r="S438" i="2"/>
  <c r="AL438" i="2" s="1"/>
  <c r="S439" i="2"/>
  <c r="AL439" i="2" s="1"/>
  <c r="N39" i="2"/>
  <c r="L40" i="2"/>
  <c r="AH40" i="2" s="1"/>
  <c r="S41" i="2"/>
  <c r="AL41" i="2" s="1"/>
  <c r="L42" i="2"/>
  <c r="AH42" i="2" s="1"/>
  <c r="L43" i="2"/>
  <c r="AH43" i="2" s="1"/>
  <c r="S73" i="2"/>
  <c r="AL73" i="2" s="1"/>
  <c r="L237" i="2"/>
  <c r="AH237" i="2" s="1"/>
  <c r="S238" i="2"/>
  <c r="AL238" i="2" s="1"/>
  <c r="L265" i="2"/>
  <c r="AH265" i="2" s="1"/>
  <c r="S266" i="2"/>
  <c r="AL266" i="2" s="1"/>
  <c r="L269" i="2"/>
  <c r="AH269" i="2" s="1"/>
  <c r="L308" i="2"/>
  <c r="AH308" i="2" s="1"/>
  <c r="L322" i="2"/>
  <c r="AH322" i="2" s="1"/>
  <c r="S324" i="2"/>
  <c r="AL324" i="2" s="1"/>
  <c r="S325" i="2"/>
  <c r="AL325" i="2" s="1"/>
  <c r="L329" i="2"/>
  <c r="AH329" i="2" s="1"/>
  <c r="S330" i="2"/>
  <c r="AL330" i="2" s="1"/>
  <c r="S331" i="2"/>
  <c r="AL331" i="2" s="1"/>
  <c r="L333" i="2"/>
  <c r="AH333" i="2" s="1"/>
  <c r="S334" i="2"/>
  <c r="AL334" i="2" s="1"/>
  <c r="S339" i="2"/>
  <c r="L342" i="2"/>
  <c r="AH342" i="2" s="1"/>
  <c r="S346" i="2"/>
  <c r="AL346" i="2" s="1"/>
  <c r="L349" i="2"/>
  <c r="AH349" i="2" s="1"/>
  <c r="S350" i="2"/>
  <c r="AL350" i="2" s="1"/>
  <c r="L355" i="2"/>
  <c r="AH355" i="2" s="1"/>
  <c r="S356" i="2"/>
  <c r="AL356" i="2" s="1"/>
  <c r="L361" i="2"/>
  <c r="AH361" i="2" s="1"/>
  <c r="S362" i="2"/>
  <c r="L365" i="2"/>
  <c r="AH365" i="2" s="1"/>
  <c r="S366" i="2"/>
  <c r="AL366" i="2" s="1"/>
  <c r="S369" i="2"/>
  <c r="AL369" i="2" s="1"/>
  <c r="L371" i="2"/>
  <c r="AH371" i="2" s="1"/>
  <c r="S372" i="2"/>
  <c r="AL372" i="2" s="1"/>
  <c r="S373" i="2"/>
  <c r="AL373" i="2" s="1"/>
  <c r="L377" i="2"/>
  <c r="AH377" i="2" s="1"/>
  <c r="S378" i="2"/>
  <c r="AL378" i="2" s="1"/>
  <c r="S379" i="2"/>
  <c r="AL379" i="2" s="1"/>
  <c r="L381" i="2"/>
  <c r="AH381" i="2" s="1"/>
  <c r="S382" i="2"/>
  <c r="AL382" i="2" s="1"/>
  <c r="S54" i="2"/>
  <c r="AL54" i="2" s="1"/>
  <c r="L55" i="2"/>
  <c r="AH55" i="2" s="1"/>
  <c r="S79" i="2"/>
  <c r="AL79" i="2" s="1"/>
  <c r="L417" i="2"/>
  <c r="AH417" i="2" s="1"/>
  <c r="L415" i="2"/>
  <c r="AH415" i="2" s="1"/>
  <c r="L282" i="2"/>
  <c r="AH282" i="2" s="1"/>
  <c r="L280" i="2"/>
  <c r="AH280" i="2" s="1"/>
  <c r="L278" i="2"/>
  <c r="AH278" i="2" s="1"/>
  <c r="L276" i="2"/>
  <c r="AH276" i="2" s="1"/>
  <c r="L230" i="2"/>
  <c r="AH230" i="2" s="1"/>
  <c r="L228" i="2"/>
  <c r="AH228" i="2" s="1"/>
  <c r="L226" i="2"/>
  <c r="AH226" i="2" s="1"/>
  <c r="L224" i="2"/>
  <c r="AH224" i="2" s="1"/>
  <c r="L222" i="2"/>
  <c r="AH222" i="2" s="1"/>
  <c r="L210" i="2"/>
  <c r="AH210" i="2" s="1"/>
  <c r="L217" i="2"/>
  <c r="AH217" i="2" s="1"/>
  <c r="L393" i="2"/>
  <c r="AH393" i="2" s="1"/>
  <c r="L391" i="2"/>
  <c r="AH391" i="2" s="1"/>
  <c r="L389" i="2"/>
  <c r="AH389" i="2" s="1"/>
  <c r="L387" i="2"/>
  <c r="AH387" i="2" s="1"/>
  <c r="L259" i="2"/>
  <c r="AH259" i="2" s="1"/>
  <c r="L256" i="2"/>
  <c r="AH256" i="2" s="1"/>
  <c r="L255" i="2"/>
  <c r="AH255" i="2" s="1"/>
  <c r="L252" i="2"/>
  <c r="AH252" i="2" s="1"/>
  <c r="L190" i="2"/>
  <c r="AH190" i="2" s="1"/>
  <c r="L188" i="2"/>
  <c r="AH188" i="2" s="1"/>
  <c r="L186" i="2"/>
  <c r="AH186" i="2" s="1"/>
  <c r="L183" i="2"/>
  <c r="AH183" i="2" s="1"/>
  <c r="L182" i="2"/>
  <c r="AH182" i="2" s="1"/>
  <c r="L416" i="2"/>
  <c r="AH416" i="2" s="1"/>
  <c r="L414" i="2"/>
  <c r="AH414" i="2" s="1"/>
  <c r="L285" i="2"/>
  <c r="AH285" i="2" s="1"/>
  <c r="L286" i="2"/>
  <c r="AH286" i="2" s="1"/>
  <c r="L284" i="2"/>
  <c r="AH284" i="2" s="1"/>
  <c r="L283" i="2"/>
  <c r="AH283" i="2" s="1"/>
  <c r="L281" i="2"/>
  <c r="AH281" i="2" s="1"/>
  <c r="L279" i="2"/>
  <c r="AH279" i="2" s="1"/>
  <c r="L277" i="2"/>
  <c r="AH277" i="2" s="1"/>
  <c r="L275" i="2"/>
  <c r="AH275" i="2" s="1"/>
  <c r="L273" i="2"/>
  <c r="AH273" i="2" s="1"/>
  <c r="L231" i="2"/>
  <c r="AH231" i="2" s="1"/>
  <c r="L229" i="2"/>
  <c r="AH229" i="2" s="1"/>
  <c r="L227" i="2"/>
  <c r="AH227" i="2" s="1"/>
  <c r="L225" i="2"/>
  <c r="AH225" i="2" s="1"/>
  <c r="L223" i="2"/>
  <c r="AH223" i="2" s="1"/>
  <c r="L211" i="2"/>
  <c r="AH211" i="2" s="1"/>
  <c r="L209" i="2"/>
  <c r="AH209" i="2" s="1"/>
  <c r="L216" i="2"/>
  <c r="AH216" i="2" s="1"/>
  <c r="L215" i="2"/>
  <c r="AH215" i="2" s="1"/>
  <c r="L394" i="2"/>
  <c r="AH394" i="2" s="1"/>
  <c r="L392" i="2"/>
  <c r="AH392" i="2" s="1"/>
  <c r="L390" i="2"/>
  <c r="AH390" i="2" s="1"/>
  <c r="L260" i="2"/>
  <c r="AH260" i="2" s="1"/>
  <c r="L258" i="2"/>
  <c r="AH258" i="2" s="1"/>
  <c r="L257" i="2"/>
  <c r="AH257" i="2" s="1"/>
  <c r="L254" i="2"/>
  <c r="AH254" i="2" s="1"/>
  <c r="L253" i="2"/>
  <c r="AH253" i="2" s="1"/>
  <c r="L189" i="2"/>
  <c r="AH189" i="2" s="1"/>
  <c r="L187" i="2"/>
  <c r="AH187" i="2" s="1"/>
  <c r="L185" i="2"/>
  <c r="AH185" i="2" s="1"/>
  <c r="L184" i="2"/>
  <c r="AH184" i="2" s="1"/>
  <c r="L164" i="2"/>
  <c r="AH164" i="2" s="1"/>
  <c r="L162" i="2"/>
  <c r="AH162" i="2" s="1"/>
  <c r="L160" i="2"/>
  <c r="AH160" i="2" s="1"/>
  <c r="L158" i="2"/>
  <c r="AH158" i="2" s="1"/>
  <c r="L156" i="2"/>
  <c r="AH156" i="2" s="1"/>
  <c r="L154" i="2"/>
  <c r="AH154" i="2" s="1"/>
  <c r="L163" i="2"/>
  <c r="AH163" i="2" s="1"/>
  <c r="L159" i="2"/>
  <c r="AH159" i="2" s="1"/>
  <c r="L155" i="2"/>
  <c r="AH155" i="2" s="1"/>
  <c r="L404" i="2"/>
  <c r="AH404" i="2" s="1"/>
  <c r="L402" i="2"/>
  <c r="AH402" i="2" s="1"/>
  <c r="L400" i="2"/>
  <c r="AH400" i="2" s="1"/>
  <c r="L99" i="2"/>
  <c r="AH99" i="2" s="1"/>
  <c r="L97" i="2"/>
  <c r="AH97" i="2" s="1"/>
  <c r="L95" i="2"/>
  <c r="AH95" i="2" s="1"/>
  <c r="L93" i="2"/>
  <c r="AH93" i="2" s="1"/>
  <c r="L452" i="2"/>
  <c r="AH452" i="2" s="1"/>
  <c r="L450" i="2"/>
  <c r="AH450" i="2" s="1"/>
  <c r="L448" i="2"/>
  <c r="AH448" i="2" s="1"/>
  <c r="L446" i="2"/>
  <c r="AH446" i="2" s="1"/>
  <c r="L444" i="2"/>
  <c r="AH444" i="2" s="1"/>
  <c r="L442" i="2"/>
  <c r="AH442" i="2" s="1"/>
  <c r="L140" i="2"/>
  <c r="AH140" i="2" s="1"/>
  <c r="L138" i="2"/>
  <c r="AH138" i="2" s="1"/>
  <c r="L136" i="2"/>
  <c r="AH136" i="2" s="1"/>
  <c r="L134" i="2"/>
  <c r="AH134" i="2" s="1"/>
  <c r="L132" i="2"/>
  <c r="AH132" i="2" s="1"/>
  <c r="L87" i="2"/>
  <c r="AH87" i="2" s="1"/>
  <c r="L85" i="2"/>
  <c r="AH85" i="2" s="1"/>
  <c r="L83" i="2"/>
  <c r="AH83" i="2" s="1"/>
  <c r="L81" i="2"/>
  <c r="AH81" i="2" s="1"/>
  <c r="L60" i="2"/>
  <c r="AH60" i="2" s="1"/>
  <c r="L61" i="2"/>
  <c r="AH61" i="2" s="1"/>
  <c r="L62" i="2"/>
  <c r="AH62" i="2" s="1"/>
  <c r="L59" i="2"/>
  <c r="AH59" i="2" s="1"/>
  <c r="L57" i="2"/>
  <c r="AH57" i="2" s="1"/>
  <c r="L425" i="2"/>
  <c r="AH425" i="2" s="1"/>
  <c r="L423" i="2"/>
  <c r="AH423" i="2" s="1"/>
  <c r="L421" i="2"/>
  <c r="AH421" i="2" s="1"/>
  <c r="L382" i="2"/>
  <c r="AH382" i="2" s="1"/>
  <c r="L380" i="2"/>
  <c r="AH380" i="2" s="1"/>
  <c r="L378" i="2"/>
  <c r="AH378" i="2" s="1"/>
  <c r="L374" i="2"/>
  <c r="AH374" i="2" s="1"/>
  <c r="L372" i="2"/>
  <c r="AH372" i="2" s="1"/>
  <c r="L370" i="2"/>
  <c r="AH370" i="2" s="1"/>
  <c r="L366" i="2"/>
  <c r="AH366" i="2" s="1"/>
  <c r="L364" i="2"/>
  <c r="AH364" i="2" s="1"/>
  <c r="L362" i="2"/>
  <c r="AH362" i="2" s="1"/>
  <c r="L358" i="2"/>
  <c r="AH358" i="2" s="1"/>
  <c r="L356" i="2"/>
  <c r="AH356" i="2" s="1"/>
  <c r="L354" i="2"/>
  <c r="AH354" i="2" s="1"/>
  <c r="L350" i="2"/>
  <c r="AH350" i="2" s="1"/>
  <c r="L347" i="2"/>
  <c r="AH347" i="2" s="1"/>
  <c r="L345" i="2"/>
  <c r="AH345" i="2" s="1"/>
  <c r="L341" i="2"/>
  <c r="AH341" i="2" s="1"/>
  <c r="L339" i="2"/>
  <c r="AH339" i="2" s="1"/>
  <c r="L338" i="2"/>
  <c r="AH338" i="2" s="1"/>
  <c r="L334" i="2"/>
  <c r="AH334" i="2" s="1"/>
  <c r="L332" i="2"/>
  <c r="AH332" i="2" s="1"/>
  <c r="L330" i="2"/>
  <c r="AH330" i="2" s="1"/>
  <c r="L326" i="2"/>
  <c r="AH326" i="2" s="1"/>
  <c r="L324" i="2"/>
  <c r="AH324" i="2" s="1"/>
  <c r="L323" i="2"/>
  <c r="AH323" i="2" s="1"/>
  <c r="L321" i="2"/>
  <c r="AH321" i="2" s="1"/>
  <c r="L268" i="2"/>
  <c r="AH268" i="2" s="1"/>
  <c r="L266" i="2"/>
  <c r="AH266" i="2" s="1"/>
  <c r="L240" i="2"/>
  <c r="AH240" i="2" s="1"/>
  <c r="L238" i="2"/>
  <c r="AH238" i="2" s="1"/>
  <c r="L236" i="2"/>
  <c r="AH236" i="2" s="1"/>
  <c r="L73" i="2"/>
  <c r="AH73" i="2" s="1"/>
  <c r="L72" i="2"/>
  <c r="AH72" i="2" s="1"/>
  <c r="L161" i="2"/>
  <c r="AH161" i="2" s="1"/>
  <c r="L157" i="2"/>
  <c r="AH157" i="2" s="1"/>
  <c r="L153" i="2"/>
  <c r="AH153" i="2" s="1"/>
  <c r="L403" i="2"/>
  <c r="AH403" i="2" s="1"/>
  <c r="L401" i="2"/>
  <c r="AH401" i="2" s="1"/>
  <c r="L399" i="2"/>
  <c r="AH399" i="2" s="1"/>
  <c r="L398" i="2"/>
  <c r="AH398" i="2" s="1"/>
  <c r="L397" i="2"/>
  <c r="AH397" i="2" s="1"/>
  <c r="L98" i="2"/>
  <c r="AH98" i="2" s="1"/>
  <c r="L96" i="2"/>
  <c r="AH96" i="2" s="1"/>
  <c r="L94" i="2"/>
  <c r="AH94" i="2" s="1"/>
  <c r="L92" i="2"/>
  <c r="AH92" i="2" s="1"/>
  <c r="L451" i="2"/>
  <c r="AH451" i="2" s="1"/>
  <c r="L449" i="2"/>
  <c r="AH449" i="2" s="1"/>
  <c r="L447" i="2"/>
  <c r="AH447" i="2" s="1"/>
  <c r="L445" i="2"/>
  <c r="AH445" i="2" s="1"/>
  <c r="L443" i="2"/>
  <c r="AH443" i="2" s="1"/>
  <c r="L139" i="2"/>
  <c r="AH139" i="2" s="1"/>
  <c r="L137" i="2"/>
  <c r="AH137" i="2" s="1"/>
  <c r="L135" i="2"/>
  <c r="AH135" i="2" s="1"/>
  <c r="L133" i="2"/>
  <c r="AH133" i="2" s="1"/>
  <c r="L131" i="2"/>
  <c r="AH131" i="2" s="1"/>
  <c r="L88" i="2"/>
  <c r="AH88" i="2" s="1"/>
  <c r="L86" i="2"/>
  <c r="AH86" i="2" s="1"/>
  <c r="L84" i="2"/>
  <c r="AH84" i="2" s="1"/>
  <c r="L82" i="2"/>
  <c r="AH82" i="2" s="1"/>
  <c r="L80" i="2"/>
  <c r="AH80" i="2" s="1"/>
  <c r="L79" i="2"/>
  <c r="AH79" i="2" s="1"/>
  <c r="L78" i="2"/>
  <c r="AH78" i="2" s="1"/>
  <c r="L64" i="2"/>
  <c r="AH64" i="2" s="1"/>
  <c r="L58" i="2"/>
  <c r="AH58" i="2" s="1"/>
  <c r="L56" i="2"/>
  <c r="AH56" i="2" s="1"/>
  <c r="L54" i="2"/>
  <c r="AH54" i="2" s="1"/>
  <c r="S416" i="2"/>
  <c r="AL416" i="2" s="1"/>
  <c r="S414" i="2"/>
  <c r="AL414" i="2" s="1"/>
  <c r="S286" i="2"/>
  <c r="AL286" i="2" s="1"/>
  <c r="S284" i="2"/>
  <c r="AL284" i="2" s="1"/>
  <c r="S283" i="2"/>
  <c r="AL283" i="2" s="1"/>
  <c r="S282" i="2"/>
  <c r="AL282" i="2" s="1"/>
  <c r="S281" i="2"/>
  <c r="AL281" i="2" s="1"/>
  <c r="S279" i="2"/>
  <c r="AL279" i="2" s="1"/>
  <c r="S277" i="2"/>
  <c r="AL277" i="2" s="1"/>
  <c r="S275" i="2"/>
  <c r="AL275" i="2" s="1"/>
  <c r="S231" i="2"/>
  <c r="AL231" i="2" s="1"/>
  <c r="S229" i="2"/>
  <c r="AL229" i="2" s="1"/>
  <c r="S227" i="2"/>
  <c r="AL227" i="2" s="1"/>
  <c r="S211" i="2"/>
  <c r="AL211" i="2" s="1"/>
  <c r="S210" i="2"/>
  <c r="AL210" i="2" s="1"/>
  <c r="S209" i="2"/>
  <c r="AL209" i="2" s="1"/>
  <c r="S217" i="2"/>
  <c r="AL217" i="2" s="1"/>
  <c r="S216" i="2"/>
  <c r="AL216" i="2" s="1"/>
  <c r="S394" i="2"/>
  <c r="AL394" i="2" s="1"/>
  <c r="S393" i="2"/>
  <c r="AL393" i="2" s="1"/>
  <c r="S392" i="2"/>
  <c r="AL392" i="2" s="1"/>
  <c r="S391" i="2"/>
  <c r="AL391" i="2" s="1"/>
  <c r="S390" i="2"/>
  <c r="AL390" i="2" s="1"/>
  <c r="S389" i="2"/>
  <c r="AL389" i="2" s="1"/>
  <c r="S388" i="2"/>
  <c r="AL388" i="2" s="1"/>
  <c r="S387" i="2"/>
  <c r="AL387" i="2" s="1"/>
  <c r="S386" i="2"/>
  <c r="AL386" i="2" s="1"/>
  <c r="S260" i="2"/>
  <c r="AL260" i="2" s="1"/>
  <c r="S258" i="2"/>
  <c r="AL258" i="2" s="1"/>
  <c r="S257" i="2"/>
  <c r="AL257" i="2" s="1"/>
  <c r="S256" i="2"/>
  <c r="AL256" i="2" s="1"/>
  <c r="S253" i="2"/>
  <c r="AL253" i="2" s="1"/>
  <c r="S252" i="2"/>
  <c r="AL252" i="2" s="1"/>
  <c r="S182" i="2"/>
  <c r="AL182" i="2" s="1"/>
  <c r="S417" i="2"/>
  <c r="AL417" i="2" s="1"/>
  <c r="S415" i="2"/>
  <c r="AL415" i="2" s="1"/>
  <c r="S285" i="2"/>
  <c r="AL285" i="2" s="1"/>
  <c r="S280" i="2"/>
  <c r="AL280" i="2" s="1"/>
  <c r="S278" i="2"/>
  <c r="AL278" i="2" s="1"/>
  <c r="S276" i="2"/>
  <c r="AL276" i="2" s="1"/>
  <c r="S274" i="2"/>
  <c r="AL274" i="2" s="1"/>
  <c r="S230" i="2"/>
  <c r="AL230" i="2" s="1"/>
  <c r="S228" i="2"/>
  <c r="AL228" i="2" s="1"/>
  <c r="S226" i="2"/>
  <c r="AL226" i="2" s="1"/>
  <c r="S225" i="2"/>
  <c r="AL225" i="2" s="1"/>
  <c r="S224" i="2"/>
  <c r="AL224" i="2" s="1"/>
  <c r="S223" i="2"/>
  <c r="AL223" i="2" s="1"/>
  <c r="S222" i="2"/>
  <c r="AL222" i="2" s="1"/>
  <c r="S215" i="2"/>
  <c r="AL215" i="2" s="1"/>
  <c r="S259" i="2"/>
  <c r="AL259" i="2" s="1"/>
  <c r="S255" i="2"/>
  <c r="AL255" i="2" s="1"/>
  <c r="S254" i="2"/>
  <c r="AL254" i="2" s="1"/>
  <c r="S190" i="2"/>
  <c r="AL190" i="2" s="1"/>
  <c r="S189" i="2"/>
  <c r="AL189" i="2" s="1"/>
  <c r="S188" i="2"/>
  <c r="AL188" i="2" s="1"/>
  <c r="S187" i="2"/>
  <c r="AL187" i="2" s="1"/>
  <c r="S186" i="2"/>
  <c r="AL186" i="2" s="1"/>
  <c r="S185" i="2"/>
  <c r="AL185" i="2" s="1"/>
  <c r="S184" i="2"/>
  <c r="AL184" i="2" s="1"/>
  <c r="S183" i="2"/>
  <c r="AL183" i="2" s="1"/>
  <c r="S164" i="2"/>
  <c r="AL164" i="2" s="1"/>
  <c r="S163" i="2"/>
  <c r="AL163" i="2" s="1"/>
  <c r="S161" i="2"/>
  <c r="AL161" i="2" s="1"/>
  <c r="S159" i="2"/>
  <c r="AL159" i="2" s="1"/>
  <c r="S157" i="2"/>
  <c r="AL157" i="2" s="1"/>
  <c r="S155" i="2"/>
  <c r="AL155" i="2" s="1"/>
  <c r="S160" i="2"/>
  <c r="AL160" i="2" s="1"/>
  <c r="S156" i="2"/>
  <c r="AL156" i="2" s="1"/>
  <c r="S403" i="2"/>
  <c r="AL403" i="2" s="1"/>
  <c r="S401" i="2"/>
  <c r="AL401" i="2" s="1"/>
  <c r="S399" i="2"/>
  <c r="AL399" i="2" s="1"/>
  <c r="S397" i="2"/>
  <c r="AL397" i="2" s="1"/>
  <c r="S98" i="2"/>
  <c r="AL98" i="2" s="1"/>
  <c r="S96" i="2"/>
  <c r="AL96" i="2" s="1"/>
  <c r="S94" i="2"/>
  <c r="AL94" i="2" s="1"/>
  <c r="S92" i="2"/>
  <c r="AL92" i="2" s="1"/>
  <c r="S451" i="2"/>
  <c r="AL451" i="2" s="1"/>
  <c r="S449" i="2"/>
  <c r="AL449" i="2" s="1"/>
  <c r="S447" i="2"/>
  <c r="AL447" i="2" s="1"/>
  <c r="S445" i="2"/>
  <c r="AL445" i="2" s="1"/>
  <c r="S443" i="2"/>
  <c r="AL443" i="2" s="1"/>
  <c r="S139" i="2"/>
  <c r="AL139" i="2" s="1"/>
  <c r="S137" i="2"/>
  <c r="AL137" i="2" s="1"/>
  <c r="S135" i="2"/>
  <c r="AL135" i="2" s="1"/>
  <c r="S133" i="2"/>
  <c r="AL133" i="2" s="1"/>
  <c r="S131" i="2"/>
  <c r="AL131" i="2" s="1"/>
  <c r="S88" i="2"/>
  <c r="AL88" i="2" s="1"/>
  <c r="S87" i="2"/>
  <c r="AL87" i="2" s="1"/>
  <c r="S86" i="2"/>
  <c r="AL86" i="2" s="1"/>
  <c r="S85" i="2"/>
  <c r="AL85" i="2" s="1"/>
  <c r="S84" i="2"/>
  <c r="AL84" i="2" s="1"/>
  <c r="S83" i="2"/>
  <c r="AL83" i="2" s="1"/>
  <c r="S82" i="2"/>
  <c r="AL82" i="2" s="1"/>
  <c r="S81" i="2"/>
  <c r="AL81" i="2" s="1"/>
  <c r="S80" i="2"/>
  <c r="AL80" i="2" s="1"/>
  <c r="S61" i="2"/>
  <c r="AL61" i="2" s="1"/>
  <c r="S58" i="2"/>
  <c r="AL58" i="2" s="1"/>
  <c r="S56" i="2"/>
  <c r="AL56" i="2" s="1"/>
  <c r="S424" i="2"/>
  <c r="AL424" i="2" s="1"/>
  <c r="S422" i="2"/>
  <c r="AL422" i="2" s="1"/>
  <c r="S420" i="2"/>
  <c r="AL420" i="2" s="1"/>
  <c r="S365" i="2"/>
  <c r="AL365" i="2" s="1"/>
  <c r="S363" i="2"/>
  <c r="AL363" i="2" s="1"/>
  <c r="S361" i="2"/>
  <c r="AL361" i="2" s="1"/>
  <c r="S357" i="2"/>
  <c r="AL357" i="2" s="1"/>
  <c r="S355" i="2"/>
  <c r="AL355" i="2" s="1"/>
  <c r="S353" i="2"/>
  <c r="AL353" i="2" s="1"/>
  <c r="S347" i="2"/>
  <c r="AL347" i="2" s="1"/>
  <c r="S345" i="2"/>
  <c r="AL345" i="2" s="1"/>
  <c r="S342" i="2"/>
  <c r="AL342" i="2" s="1"/>
  <c r="S340" i="2"/>
  <c r="AL340" i="2" s="1"/>
  <c r="S338" i="2"/>
  <c r="AL338" i="2" s="1"/>
  <c r="S337" i="2"/>
  <c r="AL337" i="2" s="1"/>
  <c r="S323" i="2"/>
  <c r="AL323" i="2" s="1"/>
  <c r="S322" i="2"/>
  <c r="AL322" i="2" s="1"/>
  <c r="S310" i="2"/>
  <c r="AL310" i="2" s="1"/>
  <c r="S269" i="2"/>
  <c r="AL269" i="2" s="1"/>
  <c r="S267" i="2"/>
  <c r="AL267" i="2" s="1"/>
  <c r="S265" i="2"/>
  <c r="AL265" i="2" s="1"/>
  <c r="S239" i="2"/>
  <c r="AL239" i="2" s="1"/>
  <c r="S237" i="2"/>
  <c r="AL237" i="2" s="1"/>
  <c r="S235" i="2"/>
  <c r="AL235" i="2" s="1"/>
  <c r="S71" i="2"/>
  <c r="AL71" i="2" s="1"/>
  <c r="S162" i="2"/>
  <c r="AL162" i="2" s="1"/>
  <c r="S158" i="2"/>
  <c r="AL158" i="2" s="1"/>
  <c r="S154" i="2"/>
  <c r="AL154" i="2" s="1"/>
  <c r="S153" i="2"/>
  <c r="AL153" i="2" s="1"/>
  <c r="S404" i="2"/>
  <c r="AL404" i="2" s="1"/>
  <c r="S402" i="2"/>
  <c r="AL402" i="2" s="1"/>
  <c r="S400" i="2"/>
  <c r="AL400" i="2" s="1"/>
  <c r="S398" i="2"/>
  <c r="AL398" i="2" s="1"/>
  <c r="S99" i="2"/>
  <c r="AL99" i="2" s="1"/>
  <c r="S97" i="2"/>
  <c r="AL97" i="2" s="1"/>
  <c r="S95" i="2"/>
  <c r="AL95" i="2" s="1"/>
  <c r="S93" i="2"/>
  <c r="AL93" i="2" s="1"/>
  <c r="S452" i="2"/>
  <c r="AL452" i="2" s="1"/>
  <c r="S450" i="2"/>
  <c r="AL450" i="2" s="1"/>
  <c r="S448" i="2"/>
  <c r="AL448" i="2" s="1"/>
  <c r="S446" i="2"/>
  <c r="AL446" i="2" s="1"/>
  <c r="S444" i="2"/>
  <c r="AL444" i="2" s="1"/>
  <c r="S442" i="2"/>
  <c r="AL442" i="2" s="1"/>
  <c r="S140" i="2"/>
  <c r="AL140" i="2" s="1"/>
  <c r="S138" i="2"/>
  <c r="AL138" i="2" s="1"/>
  <c r="S136" i="2"/>
  <c r="AL136" i="2" s="1"/>
  <c r="S134" i="2"/>
  <c r="AL134" i="2" s="1"/>
  <c r="S132" i="2"/>
  <c r="AL132" i="2" s="1"/>
  <c r="S130" i="2"/>
  <c r="AL130" i="2" s="1"/>
  <c r="S78" i="2"/>
  <c r="AL78" i="2" s="1"/>
  <c r="S64" i="2"/>
  <c r="AL64" i="2" s="1"/>
  <c r="S60" i="2"/>
  <c r="AL60" i="2" s="1"/>
  <c r="S62" i="2"/>
  <c r="AL62" i="2" s="1"/>
  <c r="S59" i="2"/>
  <c r="AL59" i="2" s="1"/>
  <c r="S57" i="2"/>
  <c r="AL57" i="2" s="1"/>
  <c r="S55" i="2"/>
  <c r="AL55" i="2" s="1"/>
  <c r="S69" i="2"/>
  <c r="AL69" i="2" s="1"/>
  <c r="N69" i="2"/>
  <c r="L23" i="2"/>
  <c r="AH23" i="2" s="1"/>
  <c r="S23" i="2"/>
  <c r="AL23" i="2" s="1"/>
  <c r="Z24" i="2"/>
  <c r="AP24" i="2" s="1"/>
  <c r="L25" i="2"/>
  <c r="AH25" i="2" s="1"/>
  <c r="S25" i="2"/>
  <c r="AL25" i="2" s="1"/>
  <c r="S26" i="2"/>
  <c r="AL26" i="2" s="1"/>
  <c r="L47" i="2"/>
  <c r="AH47" i="2" s="1"/>
  <c r="S47" i="2"/>
  <c r="AL47" i="2" s="1"/>
  <c r="L48" i="2"/>
  <c r="AH48" i="2" s="1"/>
  <c r="S48" i="2"/>
  <c r="AL48" i="2" s="1"/>
  <c r="S50" i="2"/>
  <c r="AL50" i="2" s="1"/>
  <c r="L103" i="2"/>
  <c r="AH103" i="2" s="1"/>
  <c r="S104" i="2"/>
  <c r="AL104" i="2" s="1"/>
  <c r="L105" i="2"/>
  <c r="AH105" i="2" s="1"/>
  <c r="S106" i="2"/>
  <c r="AL106" i="2" s="1"/>
  <c r="L111" i="2"/>
  <c r="AH111" i="2" s="1"/>
  <c r="S112" i="2"/>
  <c r="AL112" i="2" s="1"/>
  <c r="L113" i="2"/>
  <c r="AH113" i="2" s="1"/>
  <c r="S114" i="2"/>
  <c r="AL114" i="2" s="1"/>
  <c r="L121" i="2"/>
  <c r="AH121" i="2" s="1"/>
  <c r="S122" i="2"/>
  <c r="AL122" i="2" s="1"/>
  <c r="L123" i="2"/>
  <c r="AH123" i="2" s="1"/>
  <c r="S124" i="2"/>
  <c r="AL124" i="2" s="1"/>
  <c r="L145" i="2"/>
  <c r="AH145" i="2" s="1"/>
  <c r="L147" i="2"/>
  <c r="AH147" i="2" s="1"/>
  <c r="S169" i="2"/>
  <c r="AL169" i="2" s="1"/>
  <c r="L170" i="2"/>
  <c r="AH170" i="2" s="1"/>
  <c r="S170" i="2"/>
  <c r="AL170" i="2" s="1"/>
  <c r="L171" i="2"/>
  <c r="AH171" i="2" s="1"/>
  <c r="S171" i="2"/>
  <c r="AL171" i="2" s="1"/>
  <c r="L176" i="2"/>
  <c r="AH176" i="2" s="1"/>
  <c r="L178" i="2"/>
  <c r="AH178" i="2" s="1"/>
  <c r="L195" i="2"/>
  <c r="AH195" i="2" s="1"/>
  <c r="S195" i="2"/>
  <c r="AL195" i="2" s="1"/>
  <c r="S196" i="2"/>
  <c r="AL196" i="2" s="1"/>
  <c r="L197" i="2"/>
  <c r="AH197" i="2" s="1"/>
  <c r="S197" i="2"/>
  <c r="AL197" i="2" s="1"/>
  <c r="S198" i="2"/>
  <c r="AL198" i="2" s="1"/>
  <c r="L202" i="2"/>
  <c r="AH202" i="2" s="1"/>
  <c r="S203" i="2"/>
  <c r="AL203" i="2" s="1"/>
  <c r="L204" i="2"/>
  <c r="AH204" i="2" s="1"/>
  <c r="S205" i="2"/>
  <c r="AL205" i="2" s="1"/>
  <c r="S30" i="2"/>
  <c r="AL30" i="2" s="1"/>
  <c r="L31" i="2"/>
  <c r="AH31" i="2" s="1"/>
  <c r="S32" i="2"/>
  <c r="AL32" i="2" s="1"/>
  <c r="L33" i="2"/>
  <c r="AH33" i="2" s="1"/>
  <c r="S34" i="2"/>
  <c r="AL34" i="2" s="1"/>
  <c r="L244" i="2"/>
  <c r="AH244" i="2" s="1"/>
  <c r="S245" i="2"/>
  <c r="AL245" i="2" s="1"/>
  <c r="L246" i="2"/>
  <c r="AH246" i="2" s="1"/>
  <c r="S247" i="2"/>
  <c r="AL247" i="2" s="1"/>
  <c r="L248" i="2"/>
  <c r="AH248" i="2" s="1"/>
  <c r="S290" i="2"/>
  <c r="AL290" i="2" s="1"/>
  <c r="L291" i="2"/>
  <c r="AH291" i="2" s="1"/>
  <c r="S291" i="2"/>
  <c r="AL291" i="2" s="1"/>
  <c r="L292" i="2"/>
  <c r="AH292" i="2" s="1"/>
  <c r="S293" i="2"/>
  <c r="S294" i="2"/>
  <c r="AL294" i="2" s="1"/>
  <c r="L407" i="2"/>
  <c r="AH407" i="2" s="1"/>
  <c r="Z407" i="2"/>
  <c r="AP407" i="2" s="1"/>
  <c r="L408" i="2"/>
  <c r="AH408" i="2" s="1"/>
  <c r="S409" i="2"/>
  <c r="AL409" i="2" s="1"/>
  <c r="L410" i="2"/>
  <c r="AH410" i="2" s="1"/>
  <c r="S411" i="2"/>
  <c r="AL411" i="2" s="1"/>
  <c r="L428" i="2"/>
  <c r="AH428" i="2" s="1"/>
  <c r="L430" i="2"/>
  <c r="AH430" i="2" s="1"/>
  <c r="S432" i="2"/>
  <c r="AL432" i="2" s="1"/>
  <c r="L435" i="2"/>
  <c r="AH435" i="2" s="1"/>
  <c r="S435" i="2"/>
  <c r="AL435" i="2" s="1"/>
  <c r="L437" i="2"/>
  <c r="AH437" i="2" s="1"/>
  <c r="S437" i="2"/>
  <c r="AL437" i="2" s="1"/>
  <c r="L439" i="2"/>
  <c r="AH439" i="2" s="1"/>
  <c r="Z439" i="2"/>
  <c r="AP439" i="2" s="1"/>
  <c r="S38" i="2"/>
  <c r="AL38" i="2" s="1"/>
  <c r="L39" i="2"/>
  <c r="AH39" i="2" s="1"/>
  <c r="S40" i="2"/>
  <c r="AL40" i="2" s="1"/>
  <c r="L41" i="2"/>
  <c r="AH41" i="2" s="1"/>
  <c r="S42" i="2"/>
  <c r="AL42" i="2" s="1"/>
  <c r="S43" i="2"/>
  <c r="AL43" i="2" s="1"/>
  <c r="L68" i="2"/>
  <c r="AH68" i="2" s="1"/>
  <c r="S68" i="2"/>
  <c r="AL68" i="2" s="1"/>
  <c r="L69" i="2"/>
  <c r="AH69" i="2" s="1"/>
  <c r="L71" i="2"/>
  <c r="AH71" i="2" s="1"/>
  <c r="S72" i="2"/>
  <c r="AL72" i="2" s="1"/>
  <c r="L235" i="2"/>
  <c r="AH235" i="2" s="1"/>
  <c r="S236" i="2"/>
  <c r="AL236" i="2" s="1"/>
  <c r="L239" i="2"/>
  <c r="AH239" i="2" s="1"/>
  <c r="S240" i="2"/>
  <c r="AL240" i="2" s="1"/>
  <c r="S264" i="2"/>
  <c r="AL264" i="2" s="1"/>
  <c r="AO264" i="2"/>
  <c r="L267" i="2"/>
  <c r="AH267" i="2" s="1"/>
  <c r="AK267" i="2"/>
  <c r="S268" i="2"/>
  <c r="AL268" i="2" s="1"/>
  <c r="AO268" i="2"/>
  <c r="L306" i="2"/>
  <c r="AH306" i="2" s="1"/>
  <c r="AO307" i="2"/>
  <c r="L310" i="2"/>
  <c r="AH310" i="2" s="1"/>
  <c r="AK310" i="2"/>
  <c r="S321" i="2"/>
  <c r="AO321" i="2"/>
  <c r="L325" i="2"/>
  <c r="AH325" i="2" s="1"/>
  <c r="S326" i="2"/>
  <c r="AL326" i="2" s="1"/>
  <c r="S329" i="2"/>
  <c r="AL329" i="2" s="1"/>
  <c r="L331" i="2"/>
  <c r="AH331" i="2" s="1"/>
  <c r="S332" i="2"/>
  <c r="S333" i="2"/>
  <c r="AL333" i="2" s="1"/>
  <c r="L337" i="2"/>
  <c r="AH337" i="2" s="1"/>
  <c r="L340" i="2"/>
  <c r="AH340" i="2" s="1"/>
  <c r="S341" i="2"/>
  <c r="AL341" i="2" s="1"/>
  <c r="AO347" i="2"/>
  <c r="S348" i="2"/>
  <c r="AL348" i="2" s="1"/>
  <c r="S349" i="2"/>
  <c r="AL349" i="2" s="1"/>
  <c r="L353" i="2"/>
  <c r="AH353" i="2" s="1"/>
  <c r="S354" i="2"/>
  <c r="AL354" i="2" s="1"/>
  <c r="L357" i="2"/>
  <c r="AH357" i="2" s="1"/>
  <c r="S358" i="2"/>
  <c r="AL358" i="2" s="1"/>
  <c r="L363" i="2"/>
  <c r="AH363" i="2" s="1"/>
  <c r="S364" i="2"/>
  <c r="AL364" i="2" s="1"/>
  <c r="L369" i="2"/>
  <c r="AH369" i="2" s="1"/>
  <c r="S370" i="2"/>
  <c r="S371" i="2"/>
  <c r="AL371" i="2" s="1"/>
  <c r="L373" i="2"/>
  <c r="AH373" i="2" s="1"/>
  <c r="S374" i="2"/>
  <c r="AL374" i="2" s="1"/>
  <c r="S377" i="2"/>
  <c r="AL377" i="2" s="1"/>
  <c r="L379" i="2"/>
  <c r="AH379" i="2" s="1"/>
  <c r="S380" i="2"/>
  <c r="S381" i="2"/>
  <c r="AL381" i="2" s="1"/>
  <c r="L420" i="2"/>
  <c r="AH420" i="2" s="1"/>
  <c r="S421" i="2"/>
  <c r="AL421" i="2" s="1"/>
  <c r="L424" i="2"/>
  <c r="AH424" i="2" s="1"/>
  <c r="S425" i="2"/>
  <c r="AL425" i="2" s="1"/>
  <c r="L70" i="2"/>
  <c r="AH70" i="2" s="1"/>
  <c r="S70" i="2"/>
  <c r="AL70" i="2" s="1"/>
  <c r="L264" i="2"/>
  <c r="AH264" i="2" s="1"/>
  <c r="L305" i="2"/>
  <c r="AH305" i="2" s="1"/>
  <c r="S305" i="2"/>
  <c r="AL305" i="2" s="1"/>
  <c r="Z305" i="2"/>
  <c r="AP305" i="2" s="1"/>
  <c r="S306" i="2"/>
  <c r="AL306" i="2" s="1"/>
  <c r="L307" i="2"/>
  <c r="AH307" i="2" s="1"/>
  <c r="S307" i="2"/>
  <c r="AL307" i="2" s="1"/>
  <c r="S308" i="2"/>
  <c r="Z308" i="2"/>
  <c r="AP308" i="2" s="1"/>
  <c r="L309" i="2"/>
  <c r="AH309" i="2" s="1"/>
  <c r="S309" i="2"/>
  <c r="AL309" i="2" s="1"/>
  <c r="L346" i="2"/>
  <c r="AH346" i="2" s="1"/>
  <c r="L348" i="2"/>
  <c r="AH348" i="2" s="1"/>
  <c r="S273" i="2"/>
  <c r="AL273" i="2" s="1"/>
  <c r="L274" i="2"/>
  <c r="AH274" i="2" s="1"/>
  <c r="N54" i="2"/>
  <c r="L63" i="2"/>
  <c r="AH63" i="2" s="1"/>
  <c r="S63" i="2"/>
  <c r="AL63" i="2" s="1"/>
  <c r="Z63" i="2"/>
  <c r="AP63" i="2" s="1"/>
  <c r="G78" i="2"/>
  <c r="U78" i="2"/>
  <c r="L388" i="2"/>
  <c r="AH388" i="2" s="1"/>
  <c r="N252" i="2"/>
  <c r="N254" i="2"/>
  <c r="AB254" i="2" s="1"/>
  <c r="G255" i="2"/>
  <c r="AB255" i="2" s="1"/>
  <c r="N256" i="2"/>
  <c r="U182" i="2"/>
  <c r="L386" i="2"/>
  <c r="AH386" i="2" s="1"/>
  <c r="N273" i="2"/>
  <c r="G273" i="2"/>
  <c r="N223" i="2"/>
  <c r="U223" i="2"/>
  <c r="N225" i="2"/>
  <c r="U225" i="2"/>
  <c r="G223" i="2"/>
  <c r="G225" i="2"/>
  <c r="G227" i="2"/>
  <c r="G216" i="2"/>
  <c r="N216" i="2"/>
  <c r="U216" i="2"/>
  <c r="G209" i="2"/>
  <c r="G183" i="2"/>
  <c r="N183" i="2"/>
  <c r="U183" i="2"/>
  <c r="G256" i="2"/>
  <c r="G386" i="2"/>
  <c r="G252" i="2"/>
  <c r="G182" i="2"/>
  <c r="N153" i="2"/>
  <c r="G153" i="2"/>
  <c r="G155" i="2"/>
  <c r="U398" i="2"/>
  <c r="G398" i="2"/>
  <c r="L130" i="2"/>
  <c r="AH130" i="2" s="1"/>
  <c r="AB139" i="2"/>
  <c r="N79" i="2"/>
  <c r="G442" i="2"/>
  <c r="AB442" i="2" s="1"/>
  <c r="G63" i="2"/>
  <c r="U63" i="2"/>
  <c r="N63" i="2"/>
  <c r="N61" i="2"/>
  <c r="U61" i="2"/>
  <c r="G348" i="2"/>
  <c r="AB348" i="2" s="1"/>
  <c r="AH351" i="2"/>
  <c r="Z345" i="2"/>
  <c r="AP345" i="2" s="1"/>
  <c r="G346" i="2"/>
  <c r="G305" i="2"/>
  <c r="AB305" i="2" s="1"/>
  <c r="AQ311" i="2"/>
  <c r="G309" i="2"/>
  <c r="AB309" i="2" s="1"/>
  <c r="N306" i="2"/>
  <c r="N308" i="2"/>
  <c r="AB308" i="2" s="1"/>
  <c r="G264" i="2"/>
  <c r="AB264" i="2" s="1"/>
  <c r="AI367" i="2"/>
  <c r="N338" i="2"/>
  <c r="AI343" i="2"/>
  <c r="AH343" i="2"/>
  <c r="G40" i="2"/>
  <c r="G435" i="2"/>
  <c r="AB435" i="2" s="1"/>
  <c r="G439" i="2"/>
  <c r="AB439" i="2" s="1"/>
  <c r="AO440" i="2"/>
  <c r="AB437" i="2"/>
  <c r="G428" i="2"/>
  <c r="AB428" i="2" s="1"/>
  <c r="AO433" i="2"/>
  <c r="G290" i="2"/>
  <c r="AO296" i="2"/>
  <c r="G244" i="2"/>
  <c r="AI250" i="2" s="1"/>
  <c r="AH250" i="2"/>
  <c r="N168" i="2"/>
  <c r="U168" i="2"/>
  <c r="N170" i="2"/>
  <c r="G168" i="2"/>
  <c r="N47" i="2"/>
  <c r="U47" i="2"/>
  <c r="N49" i="2"/>
  <c r="G47" i="2"/>
  <c r="AH52" i="2"/>
  <c r="G24" i="2"/>
  <c r="G26" i="2"/>
  <c r="U15" i="2"/>
  <c r="L172" i="2"/>
  <c r="AH172" i="2" s="1"/>
  <c r="L199" i="2"/>
  <c r="AH199" i="2" s="1"/>
  <c r="L232" i="2"/>
  <c r="AH232" i="2" s="1"/>
  <c r="L241" i="2"/>
  <c r="AH241" i="2" s="1"/>
  <c r="L249" i="2"/>
  <c r="AH249" i="2" s="1"/>
  <c r="L261" i="2"/>
  <c r="AH261" i="2" s="1"/>
  <c r="L270" i="2"/>
  <c r="AH270" i="2" s="1"/>
  <c r="AQ327" i="2"/>
  <c r="AB19" i="2"/>
  <c r="AB35" i="2"/>
  <c r="AB59" i="2"/>
  <c r="AB92" i="2"/>
  <c r="AB94" i="2"/>
  <c r="AB96" i="2"/>
  <c r="AB98" i="2"/>
  <c r="AB232" i="2"/>
  <c r="AB235" i="2"/>
  <c r="AB236" i="2"/>
  <c r="AB237" i="2"/>
  <c r="AB238" i="2"/>
  <c r="AB239" i="2"/>
  <c r="AB240" i="2"/>
  <c r="AB295" i="2"/>
  <c r="AB322" i="2"/>
  <c r="AB324" i="2"/>
  <c r="AB326" i="2"/>
  <c r="AB331" i="2"/>
  <c r="AB333" i="2"/>
  <c r="AB444" i="2"/>
  <c r="AB446" i="2"/>
  <c r="AB447" i="2"/>
  <c r="AB448" i="2"/>
  <c r="AB449" i="2"/>
  <c r="AB452" i="2"/>
  <c r="AB51" i="2"/>
  <c r="AB74" i="2"/>
  <c r="AB125" i="2"/>
  <c r="AB131" i="2"/>
  <c r="AB132" i="2"/>
  <c r="AB133" i="2"/>
  <c r="AB134" i="2"/>
  <c r="AB135" i="2"/>
  <c r="AB136" i="2"/>
  <c r="AB137" i="2"/>
  <c r="AB138" i="2"/>
  <c r="AB169" i="2"/>
  <c r="AB179" i="2"/>
  <c r="AB185" i="2"/>
  <c r="AB187" i="2"/>
  <c r="AB189" i="2"/>
  <c r="AB191" i="2"/>
  <c r="AB202" i="2"/>
  <c r="AB204" i="2"/>
  <c r="AB206" i="2"/>
  <c r="AB212" i="2"/>
  <c r="AB257" i="2"/>
  <c r="AB259" i="2"/>
  <c r="AB261" i="2"/>
  <c r="AB265" i="2"/>
  <c r="AB267" i="2"/>
  <c r="AB268" i="2"/>
  <c r="AB355" i="2"/>
  <c r="AB357" i="2"/>
  <c r="AB362" i="2"/>
  <c r="AB363" i="2"/>
  <c r="AB364" i="2"/>
  <c r="AB365" i="2"/>
  <c r="AB366" i="2"/>
  <c r="AB370" i="2"/>
  <c r="AB371" i="2"/>
  <c r="AB373" i="2"/>
  <c r="AB374" i="2"/>
  <c r="AB379" i="2"/>
  <c r="AB381" i="2"/>
  <c r="AB402" i="2"/>
  <c r="AB404" i="2"/>
  <c r="AB408" i="2"/>
  <c r="AB410" i="2"/>
  <c r="AB411" i="2"/>
  <c r="AB420" i="2"/>
  <c r="AB421" i="2"/>
  <c r="AB422" i="2"/>
  <c r="AB423" i="2"/>
  <c r="AB424" i="2"/>
  <c r="AB430" i="2"/>
  <c r="AB432" i="2"/>
  <c r="AB450" i="2"/>
  <c r="AB44" i="2"/>
  <c r="AB115" i="2"/>
  <c r="AB157" i="2"/>
  <c r="AB159" i="2"/>
  <c r="AB161" i="2"/>
  <c r="AB163" i="2"/>
  <c r="AB253" i="2"/>
  <c r="AB339" i="2"/>
  <c r="AB340" i="2"/>
  <c r="AB342" i="2"/>
  <c r="AB349" i="2"/>
  <c r="AB389" i="2"/>
  <c r="AB391" i="2"/>
  <c r="AB393" i="2"/>
  <c r="AB88" i="2"/>
  <c r="AB140" i="2"/>
  <c r="AB218" i="2"/>
  <c r="AB269" i="2"/>
  <c r="AB281" i="2"/>
  <c r="AB283" i="2"/>
  <c r="AB285" i="2"/>
  <c r="AB307" i="2"/>
  <c r="AB451" i="2"/>
  <c r="AB27" i="2"/>
  <c r="AB30" i="2"/>
  <c r="AB93" i="2"/>
  <c r="AB95" i="2"/>
  <c r="AB97" i="2"/>
  <c r="AB99" i="2"/>
  <c r="AB107" i="2"/>
  <c r="AB146" i="2"/>
  <c r="AB148" i="2"/>
  <c r="AB158" i="2"/>
  <c r="AB160" i="2"/>
  <c r="AB162" i="2"/>
  <c r="AB164" i="2"/>
  <c r="AB172" i="2"/>
  <c r="AB184" i="2"/>
  <c r="AB186" i="2"/>
  <c r="AB188" i="2"/>
  <c r="AB190" i="2"/>
  <c r="AB199" i="2"/>
  <c r="AB203" i="2"/>
  <c r="AB205" i="2"/>
  <c r="AB241" i="2"/>
  <c r="AB249" i="2"/>
  <c r="AQ250" i="2"/>
  <c r="AB258" i="2"/>
  <c r="AB260" i="2"/>
  <c r="AB266" i="2"/>
  <c r="AB270" i="2"/>
  <c r="AB282" i="2"/>
  <c r="AB284" i="2"/>
  <c r="AB286" i="2"/>
  <c r="AB292" i="2"/>
  <c r="AQ296" i="2"/>
  <c r="AB310" i="2"/>
  <c r="AB321" i="2"/>
  <c r="AB323" i="2"/>
  <c r="AB325" i="2"/>
  <c r="AB330" i="2"/>
  <c r="AB332" i="2"/>
  <c r="AB334" i="2"/>
  <c r="AB337" i="2"/>
  <c r="AB341" i="2"/>
  <c r="AB350" i="2"/>
  <c r="AB354" i="2"/>
  <c r="AB356" i="2"/>
  <c r="AB358" i="2"/>
  <c r="AB361" i="2"/>
  <c r="AB372" i="2"/>
  <c r="AB329" i="2"/>
  <c r="AB353" i="2"/>
  <c r="AB369" i="2"/>
  <c r="AK369" i="2"/>
  <c r="AB378" i="2"/>
  <c r="AB380" i="2"/>
  <c r="AB382" i="2"/>
  <c r="AB388" i="2"/>
  <c r="AB390" i="2"/>
  <c r="AB392" i="2"/>
  <c r="AB394" i="2"/>
  <c r="AB377" i="2"/>
  <c r="AB403" i="2"/>
  <c r="AB407" i="2"/>
  <c r="AB409" i="2"/>
  <c r="AB425" i="2"/>
  <c r="AB429" i="2"/>
  <c r="AB431" i="2"/>
  <c r="AB436" i="2"/>
  <c r="AB438" i="2"/>
  <c r="AQ440" i="2"/>
  <c r="AB443" i="2"/>
  <c r="AB445" i="2"/>
  <c r="AB79" i="2" l="1"/>
  <c r="AB56" i="2"/>
  <c r="AB222" i="2"/>
  <c r="AB197" i="2"/>
  <c r="AI116" i="2"/>
  <c r="AB104" i="2"/>
  <c r="AB274" i="2"/>
  <c r="O139" i="2"/>
  <c r="AM139" i="2" s="1"/>
  <c r="O38" i="2"/>
  <c r="AM38" i="2" s="1"/>
  <c r="AB70" i="2"/>
  <c r="V40" i="2"/>
  <c r="AQ40" i="2" s="1"/>
  <c r="O398" i="2"/>
  <c r="AM398" i="2" s="1"/>
  <c r="V60" i="2"/>
  <c r="AQ60" i="2" s="1"/>
  <c r="V195" i="2"/>
  <c r="AQ195" i="2" s="1"/>
  <c r="V144" i="2"/>
  <c r="AQ144" i="2" s="1"/>
  <c r="V121" i="2"/>
  <c r="AQ121" i="2" s="1"/>
  <c r="O227" i="2"/>
  <c r="AM227" i="2" s="1"/>
  <c r="O414" i="2"/>
  <c r="AM414" i="2" s="1"/>
  <c r="O275" i="2"/>
  <c r="AM275" i="2" s="1"/>
  <c r="V273" i="2"/>
  <c r="AQ273" i="2" s="1"/>
  <c r="O156" i="2"/>
  <c r="AM156" i="2" s="1"/>
  <c r="V154" i="2"/>
  <c r="AQ154" i="2" s="1"/>
  <c r="O397" i="2"/>
  <c r="AM397" i="2" s="1"/>
  <c r="H198" i="2"/>
  <c r="AI198" i="2" s="1"/>
  <c r="O177" i="2"/>
  <c r="AM177" i="2" s="1"/>
  <c r="V175" i="2"/>
  <c r="AQ175" i="2" s="1"/>
  <c r="H175" i="2"/>
  <c r="AI175" i="2" s="1"/>
  <c r="V147" i="2"/>
  <c r="AQ147" i="2" s="1"/>
  <c r="O145" i="2"/>
  <c r="AM145" i="2" s="1"/>
  <c r="O122" i="2"/>
  <c r="AM122" i="2" s="1"/>
  <c r="O114" i="2"/>
  <c r="AM114" i="2" s="1"/>
  <c r="H105" i="2"/>
  <c r="AI105" i="2" s="1"/>
  <c r="H49" i="2"/>
  <c r="AI49" i="2" s="1"/>
  <c r="V26" i="2"/>
  <c r="AQ26" i="2" s="1"/>
  <c r="V25" i="2"/>
  <c r="AQ25" i="2" s="1"/>
  <c r="V24" i="2"/>
  <c r="AQ24" i="2" s="1"/>
  <c r="V278" i="2"/>
  <c r="AQ278" i="2" s="1"/>
  <c r="V276" i="2"/>
  <c r="AQ276" i="2" s="1"/>
  <c r="O231" i="2"/>
  <c r="AM231" i="2" s="1"/>
  <c r="O229" i="2"/>
  <c r="AM229" i="2" s="1"/>
  <c r="V224" i="2"/>
  <c r="AQ224" i="2" s="1"/>
  <c r="V54" i="2"/>
  <c r="AQ54" i="2" s="1"/>
  <c r="V417" i="2"/>
  <c r="AQ417" i="2" s="1"/>
  <c r="V153" i="2"/>
  <c r="AQ153" i="2" s="1"/>
  <c r="O399" i="2"/>
  <c r="AM399" i="2" s="1"/>
  <c r="V43" i="2"/>
  <c r="AQ43" i="2" s="1"/>
  <c r="H27" i="2"/>
  <c r="H19" i="2"/>
  <c r="AI19" i="2" s="1"/>
  <c r="H273" i="2"/>
  <c r="AI273" i="2" s="1"/>
  <c r="O353" i="2"/>
  <c r="AM353" i="2" s="1"/>
  <c r="V139" i="2"/>
  <c r="AQ139" i="2" s="1"/>
  <c r="O339" i="2"/>
  <c r="AM339" i="2" s="1"/>
  <c r="V323" i="2"/>
  <c r="AQ323" i="2" s="1"/>
  <c r="O393" i="2"/>
  <c r="AM393" i="2" s="1"/>
  <c r="O210" i="2"/>
  <c r="AM210" i="2" s="1"/>
  <c r="V387" i="2"/>
  <c r="AQ387" i="2" s="1"/>
  <c r="V397" i="2"/>
  <c r="AQ397" i="2" s="1"/>
  <c r="O60" i="2"/>
  <c r="AM60" i="2" s="1"/>
  <c r="V347" i="2"/>
  <c r="AQ347" i="2" s="1"/>
  <c r="AI311" i="2"/>
  <c r="AB290" i="2"/>
  <c r="AB306" i="2"/>
  <c r="AB155" i="2"/>
  <c r="AB31" i="2"/>
  <c r="AB17" i="2"/>
  <c r="AB178" i="2"/>
  <c r="AB111" i="2"/>
  <c r="H257" i="2"/>
  <c r="AI257" i="2" s="1"/>
  <c r="AB225" i="2"/>
  <c r="AB39" i="2"/>
  <c r="AB64" i="2"/>
  <c r="AB345" i="2"/>
  <c r="AK440" i="2"/>
  <c r="H450" i="2"/>
  <c r="AI450" i="2" s="1"/>
  <c r="H445" i="2"/>
  <c r="AI445" i="2" s="1"/>
  <c r="AB121" i="2"/>
  <c r="H80" i="2"/>
  <c r="AI80" i="2" s="1"/>
  <c r="H436" i="2"/>
  <c r="AI436" i="2" s="1"/>
  <c r="H394" i="2"/>
  <c r="AI394" i="2" s="1"/>
  <c r="AB276" i="2"/>
  <c r="H269" i="2"/>
  <c r="AI269" i="2" s="1"/>
  <c r="V148" i="2"/>
  <c r="AQ148" i="2" s="1"/>
  <c r="H78" i="2"/>
  <c r="AI78" i="2" s="1"/>
  <c r="AB168" i="2"/>
  <c r="AB252" i="2"/>
  <c r="AI433" i="2"/>
  <c r="AL433" i="2"/>
  <c r="H422" i="2"/>
  <c r="AI422" i="2" s="1"/>
  <c r="V261" i="2"/>
  <c r="AQ261" i="2" s="1"/>
  <c r="H191" i="2"/>
  <c r="AI191" i="2" s="1"/>
  <c r="H189" i="2"/>
  <c r="AI189" i="2" s="1"/>
  <c r="H187" i="2"/>
  <c r="AI187" i="2" s="1"/>
  <c r="H185" i="2"/>
  <c r="AI185" i="2" s="1"/>
  <c r="H183" i="2"/>
  <c r="AI183" i="2" s="1"/>
  <c r="H241" i="2"/>
  <c r="AI241" i="2" s="1"/>
  <c r="H215" i="2"/>
  <c r="AI215" i="2" s="1"/>
  <c r="H42" i="2"/>
  <c r="AI42" i="2" s="1"/>
  <c r="V107" i="2"/>
  <c r="AQ107" i="2" s="1"/>
  <c r="V17" i="2"/>
  <c r="AQ17" i="2" s="1"/>
  <c r="O44" i="2"/>
  <c r="AM44" i="2" s="1"/>
  <c r="AB244" i="2"/>
  <c r="AI351" i="2"/>
  <c r="H63" i="2"/>
  <c r="AI63" i="2" s="1"/>
  <c r="AB182" i="2"/>
  <c r="H225" i="2"/>
  <c r="AI225" i="2" s="1"/>
  <c r="AB223" i="2"/>
  <c r="V415" i="2"/>
  <c r="AQ415" i="2" s="1"/>
  <c r="AB78" i="2"/>
  <c r="AI440" i="2"/>
  <c r="H400" i="2"/>
  <c r="AI400" i="2" s="1"/>
  <c r="H342" i="2"/>
  <c r="AI342" i="2" s="1"/>
  <c r="H340" i="2"/>
  <c r="AI340" i="2" s="1"/>
  <c r="H329" i="2"/>
  <c r="AI329" i="2" s="1"/>
  <c r="H282" i="2"/>
  <c r="AI282" i="2" s="1"/>
  <c r="H248" i="2"/>
  <c r="AI248" i="2" s="1"/>
  <c r="H246" i="2"/>
  <c r="AI246" i="2" s="1"/>
  <c r="H236" i="2"/>
  <c r="AI236" i="2" s="1"/>
  <c r="H218" i="2"/>
  <c r="AI218" i="2" s="1"/>
  <c r="H179" i="2"/>
  <c r="AI179" i="2" s="1"/>
  <c r="H140" i="2"/>
  <c r="AI140" i="2" s="1"/>
  <c r="H115" i="2"/>
  <c r="AI115" i="2" s="1"/>
  <c r="H391" i="2"/>
  <c r="AI391" i="2" s="1"/>
  <c r="H33" i="2"/>
  <c r="AI33" i="2" s="1"/>
  <c r="AB210" i="2"/>
  <c r="AB198" i="2"/>
  <c r="AB293" i="2"/>
  <c r="V279" i="2"/>
  <c r="AQ279" i="2" s="1"/>
  <c r="O159" i="2"/>
  <c r="AM159" i="2" s="1"/>
  <c r="V161" i="2"/>
  <c r="AQ161" i="2" s="1"/>
  <c r="O401" i="2"/>
  <c r="AM401" i="2" s="1"/>
  <c r="V236" i="2"/>
  <c r="AQ236" i="2" s="1"/>
  <c r="AB81" i="2"/>
  <c r="AB62" i="2"/>
  <c r="AB183" i="2"/>
  <c r="V68" i="2"/>
  <c r="AQ68" i="2" s="1"/>
  <c r="AB68" i="2"/>
  <c r="AB397" i="2"/>
  <c r="AB18" i="2"/>
  <c r="V18" i="2"/>
  <c r="AQ18" i="2" s="1"/>
  <c r="O124" i="2"/>
  <c r="AM124" i="2" s="1"/>
  <c r="AB124" i="2"/>
  <c r="AB113" i="2"/>
  <c r="V113" i="2"/>
  <c r="AQ113" i="2" s="1"/>
  <c r="AB280" i="2"/>
  <c r="V280" i="2"/>
  <c r="AQ280" i="2" s="1"/>
  <c r="V197" i="2"/>
  <c r="AQ197" i="2" s="1"/>
  <c r="V306" i="2"/>
  <c r="AQ306" i="2" s="1"/>
  <c r="V310" i="2"/>
  <c r="AQ310" i="2" s="1"/>
  <c r="V340" i="2"/>
  <c r="AQ340" i="2" s="1"/>
  <c r="V204" i="2"/>
  <c r="AQ204" i="2" s="1"/>
  <c r="V39" i="2"/>
  <c r="AQ39" i="2" s="1"/>
  <c r="V70" i="2"/>
  <c r="AQ70" i="2" s="1"/>
  <c r="V131" i="2"/>
  <c r="AQ131" i="2" s="1"/>
  <c r="V401" i="2"/>
  <c r="AQ401" i="2" s="1"/>
  <c r="V334" i="2"/>
  <c r="AQ334" i="2" s="1"/>
  <c r="V448" i="2"/>
  <c r="AQ448" i="2" s="1"/>
  <c r="V95" i="2"/>
  <c r="AQ95" i="2" s="1"/>
  <c r="V164" i="2"/>
  <c r="AQ164" i="2" s="1"/>
  <c r="V226" i="2"/>
  <c r="AQ226" i="2" s="1"/>
  <c r="V19" i="2"/>
  <c r="AQ19" i="2" s="1"/>
  <c r="V51" i="2"/>
  <c r="AQ51" i="2" s="1"/>
  <c r="V74" i="2"/>
  <c r="AQ74" i="2" s="1"/>
  <c r="O30" i="2"/>
  <c r="AM30" i="2" s="1"/>
  <c r="O73" i="2"/>
  <c r="AM73" i="2" s="1"/>
  <c r="O366" i="2"/>
  <c r="AM366" i="2" s="1"/>
  <c r="O448" i="2"/>
  <c r="AM448" i="2" s="1"/>
  <c r="O267" i="2"/>
  <c r="AM267" i="2" s="1"/>
  <c r="O363" i="2"/>
  <c r="AM363" i="2" s="1"/>
  <c r="O131" i="2"/>
  <c r="AM131" i="2" s="1"/>
  <c r="O190" i="2"/>
  <c r="AM190" i="2" s="1"/>
  <c r="O230" i="2"/>
  <c r="AM230" i="2" s="1"/>
  <c r="O390" i="2"/>
  <c r="AM390" i="2" s="1"/>
  <c r="H16" i="2"/>
  <c r="AI16" i="2" s="1"/>
  <c r="H31" i="2"/>
  <c r="AI31" i="2" s="1"/>
  <c r="H449" i="2"/>
  <c r="AI449" i="2" s="1"/>
  <c r="H428" i="2"/>
  <c r="AI428" i="2" s="1"/>
  <c r="H365" i="2"/>
  <c r="AI365" i="2" s="1"/>
  <c r="H307" i="2"/>
  <c r="AI307" i="2" s="1"/>
  <c r="H237" i="2"/>
  <c r="AI237" i="2" s="1"/>
  <c r="H131" i="2"/>
  <c r="AI131" i="2" s="1"/>
  <c r="H72" i="2"/>
  <c r="AI72" i="2" s="1"/>
  <c r="H54" i="2"/>
  <c r="AI54" i="2" s="1"/>
  <c r="H43" i="2"/>
  <c r="AI43" i="2" s="1"/>
  <c r="H446" i="2"/>
  <c r="AI446" i="2" s="1"/>
  <c r="H444" i="2"/>
  <c r="AI444" i="2" s="1"/>
  <c r="H442" i="2"/>
  <c r="AI442" i="2" s="1"/>
  <c r="H443" i="2"/>
  <c r="AI443" i="2" s="1"/>
  <c r="AK433" i="2"/>
  <c r="AB417" i="2"/>
  <c r="H410" i="2"/>
  <c r="AI410" i="2" s="1"/>
  <c r="H408" i="2"/>
  <c r="AI408" i="2" s="1"/>
  <c r="H404" i="2"/>
  <c r="AI404" i="2" s="1"/>
  <c r="H402" i="2"/>
  <c r="AI402" i="2" s="1"/>
  <c r="AK383" i="2"/>
  <c r="H378" i="2"/>
  <c r="AI378" i="2" s="1"/>
  <c r="H366" i="2"/>
  <c r="AI366" i="2" s="1"/>
  <c r="AK327" i="2"/>
  <c r="H295" i="2"/>
  <c r="AI295" i="2" s="1"/>
  <c r="H293" i="2"/>
  <c r="AI293" i="2" s="1"/>
  <c r="H291" i="2"/>
  <c r="AI291" i="2" s="1"/>
  <c r="H285" i="2"/>
  <c r="AI285" i="2" s="1"/>
  <c r="H283" i="2"/>
  <c r="AI283" i="2" s="1"/>
  <c r="H281" i="2"/>
  <c r="AI281" i="2" s="1"/>
  <c r="O295" i="2"/>
  <c r="AM295" i="2" s="1"/>
  <c r="H274" i="2"/>
  <c r="AI274" i="2" s="1"/>
  <c r="H310" i="2"/>
  <c r="AI310" i="2" s="1"/>
  <c r="AB229" i="2"/>
  <c r="H210" i="2"/>
  <c r="AI210" i="2" s="1"/>
  <c r="H171" i="2"/>
  <c r="AI171" i="2" s="1"/>
  <c r="AB154" i="2"/>
  <c r="AB144" i="2"/>
  <c r="V218" i="2"/>
  <c r="AQ218" i="2" s="1"/>
  <c r="V172" i="2"/>
  <c r="AQ172" i="2" s="1"/>
  <c r="H132" i="2"/>
  <c r="AI132" i="2" s="1"/>
  <c r="AB105" i="2"/>
  <c r="H55" i="2"/>
  <c r="AI55" i="2" s="1"/>
  <c r="H93" i="2"/>
  <c r="AI93" i="2" s="1"/>
  <c r="H62" i="2"/>
  <c r="AI62" i="2" s="1"/>
  <c r="H139" i="2"/>
  <c r="AI139" i="2" s="1"/>
  <c r="H337" i="2"/>
  <c r="AI337" i="2" s="1"/>
  <c r="H435" i="2"/>
  <c r="AI435" i="2" s="1"/>
  <c r="H81" i="2"/>
  <c r="AI81" i="2" s="1"/>
  <c r="AB25" i="2"/>
  <c r="AB399" i="2"/>
  <c r="AB387" i="2"/>
  <c r="AB347" i="2"/>
  <c r="V254" i="2"/>
  <c r="AQ254" i="2" s="1"/>
  <c r="V260" i="2"/>
  <c r="AQ260" i="2" s="1"/>
  <c r="V380" i="2"/>
  <c r="AQ380" i="2" s="1"/>
  <c r="V309" i="2"/>
  <c r="AQ309" i="2" s="1"/>
  <c r="O95" i="2"/>
  <c r="AM95" i="2" s="1"/>
  <c r="O62" i="2"/>
  <c r="AM62" i="2" s="1"/>
  <c r="V64" i="2"/>
  <c r="AQ64" i="2" s="1"/>
  <c r="O247" i="2"/>
  <c r="AM247" i="2" s="1"/>
  <c r="O338" i="2"/>
  <c r="AM338" i="2" s="1"/>
  <c r="AL370" i="2"/>
  <c r="AL375" i="2"/>
  <c r="AL339" i="2"/>
  <c r="AL343" i="2"/>
  <c r="V386" i="2"/>
  <c r="AQ386" i="2" s="1"/>
  <c r="AB386" i="2"/>
  <c r="AQ351" i="2"/>
  <c r="V71" i="2"/>
  <c r="AQ71" i="2" s="1"/>
  <c r="AB71" i="2"/>
  <c r="V69" i="2"/>
  <c r="AQ69" i="2" s="1"/>
  <c r="AB69" i="2"/>
  <c r="O32" i="2"/>
  <c r="AM32" i="2" s="1"/>
  <c r="AB32" i="2"/>
  <c r="AK375" i="2"/>
  <c r="AK354" i="2"/>
  <c r="AK359" i="2"/>
  <c r="AK351" i="2"/>
  <c r="AK345" i="2"/>
  <c r="AK343" i="2"/>
  <c r="AK311" i="2"/>
  <c r="V217" i="2"/>
  <c r="AQ217" i="2" s="1"/>
  <c r="AB217" i="2"/>
  <c r="AB215" i="2"/>
  <c r="V215" i="2"/>
  <c r="AQ215" i="2" s="1"/>
  <c r="O211" i="2"/>
  <c r="AM211" i="2" s="1"/>
  <c r="AB211" i="2"/>
  <c r="O209" i="2"/>
  <c r="AM209" i="2" s="1"/>
  <c r="AB209" i="2"/>
  <c r="V103" i="2"/>
  <c r="AQ103" i="2" s="1"/>
  <c r="AQ108" i="2"/>
  <c r="O82" i="2"/>
  <c r="AM82" i="2" s="1"/>
  <c r="AB82" i="2"/>
  <c r="AB80" i="2"/>
  <c r="O80" i="2"/>
  <c r="AM80" i="2" s="1"/>
  <c r="O224" i="2"/>
  <c r="AM224" i="2" s="1"/>
  <c r="AB224" i="2"/>
  <c r="O57" i="2"/>
  <c r="AM57" i="2" s="1"/>
  <c r="AB57" i="2"/>
  <c r="O55" i="2"/>
  <c r="AM55" i="2" s="1"/>
  <c r="AB55" i="2"/>
  <c r="V400" i="2"/>
  <c r="AQ400" i="2" s="1"/>
  <c r="AB400" i="2"/>
  <c r="O196" i="2"/>
  <c r="AM196" i="2" s="1"/>
  <c r="AB196" i="2"/>
  <c r="O195" i="2"/>
  <c r="AM195" i="2" s="1"/>
  <c r="AB195" i="2"/>
  <c r="O176" i="2"/>
  <c r="AM176" i="2" s="1"/>
  <c r="AB176" i="2"/>
  <c r="AB175" i="2"/>
  <c r="V170" i="2"/>
  <c r="AQ170" i="2" s="1"/>
  <c r="AB170" i="2"/>
  <c r="AI149" i="2"/>
  <c r="AB147" i="2"/>
  <c r="H147" i="2"/>
  <c r="AI147" i="2" s="1"/>
  <c r="V123" i="2"/>
  <c r="AQ123" i="2" s="1"/>
  <c r="AB123" i="2"/>
  <c r="O112" i="2"/>
  <c r="AM112" i="2" s="1"/>
  <c r="AB112" i="2"/>
  <c r="V111" i="2"/>
  <c r="AQ111" i="2" s="1"/>
  <c r="AQ116" i="2"/>
  <c r="O106" i="2"/>
  <c r="AM106" i="2" s="1"/>
  <c r="AB106" i="2"/>
  <c r="AB50" i="2"/>
  <c r="O50" i="2"/>
  <c r="AM50" i="2" s="1"/>
  <c r="V23" i="2"/>
  <c r="AQ23" i="2" s="1"/>
  <c r="AB23" i="2"/>
  <c r="O41" i="2"/>
  <c r="AM41" i="2" s="1"/>
  <c r="AB41" i="2"/>
  <c r="V33" i="2"/>
  <c r="AQ33" i="2" s="1"/>
  <c r="AB33" i="2"/>
  <c r="O86" i="2"/>
  <c r="AM86" i="2" s="1"/>
  <c r="AB86" i="2"/>
  <c r="AB291" i="2"/>
  <c r="O291" i="2"/>
  <c r="AM291" i="2" s="1"/>
  <c r="O246" i="2"/>
  <c r="AM246" i="2" s="1"/>
  <c r="AB246" i="2"/>
  <c r="O245" i="2"/>
  <c r="AM245" i="2" s="1"/>
  <c r="AB245" i="2"/>
  <c r="V393" i="2"/>
  <c r="AQ393" i="2" s="1"/>
  <c r="V389" i="2"/>
  <c r="AQ389" i="2" s="1"/>
  <c r="V377" i="2"/>
  <c r="AQ377" i="2" s="1"/>
  <c r="V349" i="2"/>
  <c r="AQ349" i="2" s="1"/>
  <c r="V329" i="2"/>
  <c r="AQ329" i="2" s="1"/>
  <c r="V293" i="2"/>
  <c r="AQ293" i="2" s="1"/>
  <c r="V48" i="2"/>
  <c r="AQ48" i="2" s="1"/>
  <c r="V379" i="2"/>
  <c r="AQ379" i="2" s="1"/>
  <c r="V369" i="2"/>
  <c r="AQ369" i="2" s="1"/>
  <c r="V325" i="2"/>
  <c r="AQ325" i="2" s="1"/>
  <c r="V429" i="2"/>
  <c r="AQ429" i="2" s="1"/>
  <c r="V438" i="2"/>
  <c r="AQ438" i="2" s="1"/>
  <c r="V391" i="2"/>
  <c r="AQ391" i="2" s="1"/>
  <c r="V371" i="2"/>
  <c r="AQ371" i="2" s="1"/>
  <c r="V72" i="2"/>
  <c r="AQ72" i="2" s="1"/>
  <c r="V171" i="2"/>
  <c r="AQ171" i="2" s="1"/>
  <c r="V373" i="2"/>
  <c r="AQ373" i="2" s="1"/>
  <c r="V38" i="2"/>
  <c r="AQ38" i="2" s="1"/>
  <c r="V50" i="2"/>
  <c r="AQ50" i="2" s="1"/>
  <c r="V104" i="2"/>
  <c r="AQ104" i="2" s="1"/>
  <c r="V106" i="2"/>
  <c r="AQ106" i="2" s="1"/>
  <c r="V112" i="2"/>
  <c r="AQ112" i="2" s="1"/>
  <c r="V114" i="2"/>
  <c r="AQ114" i="2" s="1"/>
  <c r="V122" i="2"/>
  <c r="AQ122" i="2" s="1"/>
  <c r="V124" i="2"/>
  <c r="AQ124" i="2" s="1"/>
  <c r="V169" i="2"/>
  <c r="AQ169" i="2" s="1"/>
  <c r="V198" i="2"/>
  <c r="AQ198" i="2" s="1"/>
  <c r="V203" i="2"/>
  <c r="AQ203" i="2" s="1"/>
  <c r="V205" i="2"/>
  <c r="AQ205" i="2" s="1"/>
  <c r="V34" i="2"/>
  <c r="AQ34" i="2" s="1"/>
  <c r="V245" i="2"/>
  <c r="AQ245" i="2" s="1"/>
  <c r="V247" i="2"/>
  <c r="AQ247" i="2" s="1"/>
  <c r="V294" i="2"/>
  <c r="AQ294" i="2" s="1"/>
  <c r="V42" i="2"/>
  <c r="AQ42" i="2" s="1"/>
  <c r="V235" i="2"/>
  <c r="AQ235" i="2" s="1"/>
  <c r="V239" i="2"/>
  <c r="AQ239" i="2" s="1"/>
  <c r="V337" i="2"/>
  <c r="AQ337" i="2" s="1"/>
  <c r="V353" i="2"/>
  <c r="AQ353" i="2" s="1"/>
  <c r="V357" i="2"/>
  <c r="AQ357" i="2" s="1"/>
  <c r="V420" i="2"/>
  <c r="AQ420" i="2" s="1"/>
  <c r="V424" i="2"/>
  <c r="AQ424" i="2" s="1"/>
  <c r="V79" i="2"/>
  <c r="AQ79" i="2" s="1"/>
  <c r="V83" i="2"/>
  <c r="AQ83" i="2" s="1"/>
  <c r="V87" i="2"/>
  <c r="AQ87" i="2" s="1"/>
  <c r="V178" i="2"/>
  <c r="AQ178" i="2" s="1"/>
  <c r="V35" i="2"/>
  <c r="AQ35" i="2" s="1"/>
  <c r="V333" i="2"/>
  <c r="AQ333" i="2" s="1"/>
  <c r="V177" i="2"/>
  <c r="AQ177" i="2" s="1"/>
  <c r="V146" i="2"/>
  <c r="AQ146" i="2" s="1"/>
  <c r="V291" i="2"/>
  <c r="AQ291" i="2" s="1"/>
  <c r="V411" i="2"/>
  <c r="AQ411" i="2" s="1"/>
  <c r="V432" i="2"/>
  <c r="AQ432" i="2" s="1"/>
  <c r="V437" i="2"/>
  <c r="AQ437" i="2" s="1"/>
  <c r="V267" i="2"/>
  <c r="AQ267" i="2" s="1"/>
  <c r="V85" i="2"/>
  <c r="AQ85" i="2" s="1"/>
  <c r="V202" i="2"/>
  <c r="AQ202" i="2" s="1"/>
  <c r="V31" i="2"/>
  <c r="AQ31" i="2" s="1"/>
  <c r="V244" i="2"/>
  <c r="AQ244" i="2" s="1"/>
  <c r="V246" i="2"/>
  <c r="AQ246" i="2" s="1"/>
  <c r="V248" i="2"/>
  <c r="AQ248" i="2" s="1"/>
  <c r="V428" i="2"/>
  <c r="AQ428" i="2" s="1"/>
  <c r="V439" i="2"/>
  <c r="AQ439" i="2" s="1"/>
  <c r="V237" i="2"/>
  <c r="AQ237" i="2" s="1"/>
  <c r="V265" i="2"/>
  <c r="AQ265" i="2" s="1"/>
  <c r="V269" i="2"/>
  <c r="AQ269" i="2" s="1"/>
  <c r="V308" i="2"/>
  <c r="AQ308" i="2" s="1"/>
  <c r="V338" i="2"/>
  <c r="AQ338" i="2" s="1"/>
  <c r="V342" i="2"/>
  <c r="AQ342" i="2" s="1"/>
  <c r="V355" i="2"/>
  <c r="AQ355" i="2" s="1"/>
  <c r="V361" i="2"/>
  <c r="AQ361" i="2" s="1"/>
  <c r="V365" i="2"/>
  <c r="AQ365" i="2" s="1"/>
  <c r="V82" i="2"/>
  <c r="AQ82" i="2" s="1"/>
  <c r="V86" i="2"/>
  <c r="AQ86" i="2" s="1"/>
  <c r="V443" i="2"/>
  <c r="AQ443" i="2" s="1"/>
  <c r="V445" i="2"/>
  <c r="AQ445" i="2" s="1"/>
  <c r="V447" i="2"/>
  <c r="AQ447" i="2" s="1"/>
  <c r="V449" i="2"/>
  <c r="AQ449" i="2" s="1"/>
  <c r="V451" i="2"/>
  <c r="AQ451" i="2" s="1"/>
  <c r="V92" i="2"/>
  <c r="AQ92" i="2" s="1"/>
  <c r="V94" i="2"/>
  <c r="AQ94" i="2" s="1"/>
  <c r="V96" i="2"/>
  <c r="AQ96" i="2" s="1"/>
  <c r="V98" i="2"/>
  <c r="AQ98" i="2" s="1"/>
  <c r="V282" i="2"/>
  <c r="AQ282" i="2" s="1"/>
  <c r="V284" i="2"/>
  <c r="AQ284" i="2" s="1"/>
  <c r="V264" i="2"/>
  <c r="AQ264" i="2" s="1"/>
  <c r="V266" i="2"/>
  <c r="AQ266" i="2" s="1"/>
  <c r="V268" i="2"/>
  <c r="AQ268" i="2" s="1"/>
  <c r="V326" i="2"/>
  <c r="AQ326" i="2" s="1"/>
  <c r="V332" i="2"/>
  <c r="AQ332" i="2" s="1"/>
  <c r="V350" i="2"/>
  <c r="AQ350" i="2" s="1"/>
  <c r="V354" i="2"/>
  <c r="AQ354" i="2" s="1"/>
  <c r="V356" i="2"/>
  <c r="AQ356" i="2" s="1"/>
  <c r="V358" i="2"/>
  <c r="AQ358" i="2" s="1"/>
  <c r="V362" i="2"/>
  <c r="AQ362" i="2" s="1"/>
  <c r="V364" i="2"/>
  <c r="AQ364" i="2" s="1"/>
  <c r="V366" i="2"/>
  <c r="AQ366" i="2" s="1"/>
  <c r="V372" i="2"/>
  <c r="AQ372" i="2" s="1"/>
  <c r="V378" i="2"/>
  <c r="AQ378" i="2" s="1"/>
  <c r="V382" i="2"/>
  <c r="AQ382" i="2" s="1"/>
  <c r="V421" i="2"/>
  <c r="AQ421" i="2" s="1"/>
  <c r="V423" i="2"/>
  <c r="AQ423" i="2" s="1"/>
  <c r="V425" i="2"/>
  <c r="AQ425" i="2" s="1"/>
  <c r="V55" i="2"/>
  <c r="AQ55" i="2" s="1"/>
  <c r="V57" i="2"/>
  <c r="AQ57" i="2" s="1"/>
  <c r="V59" i="2"/>
  <c r="AQ59" i="2" s="1"/>
  <c r="V130" i="2"/>
  <c r="AQ130" i="2" s="1"/>
  <c r="V132" i="2"/>
  <c r="AQ132" i="2" s="1"/>
  <c r="V134" i="2"/>
  <c r="AQ134" i="2" s="1"/>
  <c r="V136" i="2"/>
  <c r="AQ136" i="2" s="1"/>
  <c r="V138" i="2"/>
  <c r="AQ138" i="2" s="1"/>
  <c r="V140" i="2"/>
  <c r="AQ140" i="2" s="1"/>
  <c r="V402" i="2"/>
  <c r="AQ402" i="2" s="1"/>
  <c r="V404" i="2"/>
  <c r="AQ404" i="2" s="1"/>
  <c r="V187" i="2"/>
  <c r="AQ187" i="2" s="1"/>
  <c r="V222" i="2"/>
  <c r="AQ222" i="2" s="1"/>
  <c r="V156" i="2"/>
  <c r="AQ156" i="2" s="1"/>
  <c r="V158" i="2"/>
  <c r="AQ158" i="2" s="1"/>
  <c r="V160" i="2"/>
  <c r="AQ160" i="2" s="1"/>
  <c r="V162" i="2"/>
  <c r="AQ162" i="2" s="1"/>
  <c r="V252" i="2"/>
  <c r="AQ252" i="2" s="1"/>
  <c r="V257" i="2"/>
  <c r="AQ257" i="2" s="1"/>
  <c r="V388" i="2"/>
  <c r="AQ388" i="2" s="1"/>
  <c r="V392" i="2"/>
  <c r="AQ392" i="2" s="1"/>
  <c r="V211" i="2"/>
  <c r="AQ211" i="2" s="1"/>
  <c r="V227" i="2"/>
  <c r="AQ227" i="2" s="1"/>
  <c r="V229" i="2"/>
  <c r="AQ229" i="2" s="1"/>
  <c r="V231" i="2"/>
  <c r="AQ231" i="2" s="1"/>
  <c r="V286" i="2"/>
  <c r="AQ286" i="2" s="1"/>
  <c r="V184" i="2"/>
  <c r="AQ184" i="2" s="1"/>
  <c r="V188" i="2"/>
  <c r="AQ188" i="2" s="1"/>
  <c r="V255" i="2"/>
  <c r="AQ255" i="2" s="1"/>
  <c r="V285" i="2"/>
  <c r="AQ285" i="2" s="1"/>
  <c r="V381" i="2"/>
  <c r="AQ381" i="2" s="1"/>
  <c r="V331" i="2"/>
  <c r="AQ331" i="2" s="1"/>
  <c r="V436" i="2"/>
  <c r="AQ436" i="2" s="1"/>
  <c r="V196" i="2"/>
  <c r="AQ196" i="2" s="1"/>
  <c r="V105" i="2"/>
  <c r="AQ105" i="2" s="1"/>
  <c r="V145" i="2"/>
  <c r="AQ145" i="2" s="1"/>
  <c r="V176" i="2"/>
  <c r="AQ176" i="2" s="1"/>
  <c r="V292" i="2"/>
  <c r="AQ292" i="2" s="1"/>
  <c r="V407" i="2"/>
  <c r="AQ407" i="2" s="1"/>
  <c r="V408" i="2"/>
  <c r="AQ408" i="2" s="1"/>
  <c r="V431" i="2"/>
  <c r="AQ431" i="2" s="1"/>
  <c r="V41" i="2"/>
  <c r="AQ41" i="2" s="1"/>
  <c r="V322" i="2"/>
  <c r="AQ322" i="2" s="1"/>
  <c r="V58" i="2"/>
  <c r="AQ58" i="2" s="1"/>
  <c r="V80" i="2"/>
  <c r="AQ80" i="2" s="1"/>
  <c r="V88" i="2"/>
  <c r="AQ88" i="2" s="1"/>
  <c r="V133" i="2"/>
  <c r="AQ133" i="2" s="1"/>
  <c r="V137" i="2"/>
  <c r="AQ137" i="2" s="1"/>
  <c r="V399" i="2"/>
  <c r="AQ399" i="2" s="1"/>
  <c r="V403" i="2"/>
  <c r="AQ403" i="2" s="1"/>
  <c r="V159" i="2"/>
  <c r="AQ159" i="2" s="1"/>
  <c r="V283" i="2"/>
  <c r="AQ283" i="2" s="1"/>
  <c r="V73" i="2"/>
  <c r="AQ73" i="2" s="1"/>
  <c r="V238" i="2"/>
  <c r="AQ238" i="2" s="1"/>
  <c r="V307" i="2"/>
  <c r="AQ307" i="2" s="1"/>
  <c r="V321" i="2"/>
  <c r="AQ321" i="2" s="1"/>
  <c r="V330" i="2"/>
  <c r="AQ330" i="2" s="1"/>
  <c r="V339" i="2"/>
  <c r="AQ339" i="2" s="1"/>
  <c r="V348" i="2"/>
  <c r="AQ348" i="2" s="1"/>
  <c r="V374" i="2"/>
  <c r="AQ374" i="2" s="1"/>
  <c r="V62" i="2"/>
  <c r="AQ62" i="2" s="1"/>
  <c r="V442" i="2"/>
  <c r="AQ442" i="2" s="1"/>
  <c r="V446" i="2"/>
  <c r="AQ446" i="2" s="1"/>
  <c r="V450" i="2"/>
  <c r="AQ450" i="2" s="1"/>
  <c r="V93" i="2"/>
  <c r="AQ93" i="2" s="1"/>
  <c r="V97" i="2"/>
  <c r="AQ97" i="2" s="1"/>
  <c r="V157" i="2"/>
  <c r="AQ157" i="2" s="1"/>
  <c r="V185" i="2"/>
  <c r="AQ185" i="2" s="1"/>
  <c r="V253" i="2"/>
  <c r="AQ253" i="2" s="1"/>
  <c r="V258" i="2"/>
  <c r="AQ258" i="2" s="1"/>
  <c r="V390" i="2"/>
  <c r="AQ390" i="2" s="1"/>
  <c r="V209" i="2"/>
  <c r="AQ209" i="2" s="1"/>
  <c r="V277" i="2"/>
  <c r="AQ277" i="2" s="1"/>
  <c r="V281" i="2"/>
  <c r="AQ281" i="2" s="1"/>
  <c r="V416" i="2"/>
  <c r="AQ416" i="2" s="1"/>
  <c r="V190" i="2"/>
  <c r="AQ190" i="2" s="1"/>
  <c r="V228" i="2"/>
  <c r="AQ228" i="2" s="1"/>
  <c r="V16" i="2"/>
  <c r="AQ16" i="2" s="1"/>
  <c r="V115" i="2"/>
  <c r="AQ115" i="2" s="1"/>
  <c r="V44" i="2"/>
  <c r="AQ44" i="2" s="1"/>
  <c r="V179" i="2"/>
  <c r="AQ179" i="2" s="1"/>
  <c r="V191" i="2"/>
  <c r="AQ191" i="2" s="1"/>
  <c r="V199" i="2"/>
  <c r="AQ199" i="2" s="1"/>
  <c r="V206" i="2"/>
  <c r="AQ206" i="2" s="1"/>
  <c r="V212" i="2"/>
  <c r="AQ212" i="2" s="1"/>
  <c r="V241" i="2"/>
  <c r="AQ241" i="2" s="1"/>
  <c r="V249" i="2"/>
  <c r="AQ249" i="2" s="1"/>
  <c r="V295" i="2"/>
  <c r="AQ295" i="2" s="1"/>
  <c r="O15" i="2"/>
  <c r="AM15" i="2" s="1"/>
  <c r="O391" i="2"/>
  <c r="AM391" i="2" s="1"/>
  <c r="O379" i="2"/>
  <c r="AM379" i="2" s="1"/>
  <c r="O369" i="2"/>
  <c r="O325" i="2"/>
  <c r="AM325" i="2" s="1"/>
  <c r="O197" i="2"/>
  <c r="AM197" i="2" s="1"/>
  <c r="O171" i="2"/>
  <c r="AM171" i="2" s="1"/>
  <c r="O25" i="2"/>
  <c r="AM25" i="2" s="1"/>
  <c r="O377" i="2"/>
  <c r="AM377" i="2" s="1"/>
  <c r="O349" i="2"/>
  <c r="AM349" i="2" s="1"/>
  <c r="O329" i="2"/>
  <c r="AM329" i="2" s="1"/>
  <c r="O144" i="2"/>
  <c r="AM144" i="2" s="1"/>
  <c r="O23" i="2"/>
  <c r="AM23" i="2" s="1"/>
  <c r="O429" i="2"/>
  <c r="AM429" i="2" s="1"/>
  <c r="O436" i="2"/>
  <c r="AM436" i="2" s="1"/>
  <c r="O175" i="2"/>
  <c r="AM175" i="2" s="1"/>
  <c r="O389" i="2"/>
  <c r="AM389" i="2" s="1"/>
  <c r="O331" i="2"/>
  <c r="AM331" i="2" s="1"/>
  <c r="O381" i="2"/>
  <c r="AM381" i="2" s="1"/>
  <c r="O333" i="2"/>
  <c r="AM333" i="2" s="1"/>
  <c r="O146" i="2"/>
  <c r="AM146" i="2" s="1"/>
  <c r="O438" i="2"/>
  <c r="AM438" i="2" s="1"/>
  <c r="O147" i="2"/>
  <c r="AM147" i="2" s="1"/>
  <c r="O178" i="2"/>
  <c r="AM178" i="2" s="1"/>
  <c r="O292" i="2"/>
  <c r="AM292" i="2" s="1"/>
  <c r="O408" i="2"/>
  <c r="AM408" i="2" s="1"/>
  <c r="O410" i="2"/>
  <c r="AM410" i="2" s="1"/>
  <c r="O428" i="2"/>
  <c r="O435" i="2"/>
  <c r="AM435" i="2" s="1"/>
  <c r="O437" i="2"/>
  <c r="AM437" i="2" s="1"/>
  <c r="O439" i="2"/>
  <c r="AM439" i="2" s="1"/>
  <c r="O264" i="2"/>
  <c r="AM264" i="2" s="1"/>
  <c r="O268" i="2"/>
  <c r="AM268" i="2" s="1"/>
  <c r="O321" i="2"/>
  <c r="AM321" i="2" s="1"/>
  <c r="O332" i="2"/>
  <c r="AM332" i="2" s="1"/>
  <c r="O341" i="2"/>
  <c r="AM341" i="2" s="1"/>
  <c r="O348" i="2"/>
  <c r="AM348" i="2" s="1"/>
  <c r="O364" i="2"/>
  <c r="AM364" i="2" s="1"/>
  <c r="O370" i="2"/>
  <c r="AM370" i="2" s="1"/>
  <c r="O380" i="2"/>
  <c r="AM380" i="2" s="1"/>
  <c r="O24" i="2"/>
  <c r="AM24" i="2" s="1"/>
  <c r="O104" i="2"/>
  <c r="AM104" i="2" s="1"/>
  <c r="O198" i="2"/>
  <c r="AM198" i="2" s="1"/>
  <c r="O203" i="2"/>
  <c r="AM203" i="2" s="1"/>
  <c r="O373" i="2"/>
  <c r="AM373" i="2" s="1"/>
  <c r="O48" i="2"/>
  <c r="AM48" i="2" s="1"/>
  <c r="O103" i="2"/>
  <c r="AM103" i="2" s="1"/>
  <c r="O111" i="2"/>
  <c r="AM111" i="2" s="1"/>
  <c r="O121" i="2"/>
  <c r="AM121" i="2" s="1"/>
  <c r="O204" i="2"/>
  <c r="AM204" i="2" s="1"/>
  <c r="O33" i="2"/>
  <c r="AM33" i="2" s="1"/>
  <c r="O407" i="2"/>
  <c r="AM407" i="2" s="1"/>
  <c r="O430" i="2"/>
  <c r="AM430" i="2" s="1"/>
  <c r="O236" i="2"/>
  <c r="AM236" i="2" s="1"/>
  <c r="O326" i="2"/>
  <c r="AM326" i="2" s="1"/>
  <c r="O354" i="2"/>
  <c r="AM354" i="2" s="1"/>
  <c r="O425" i="2"/>
  <c r="AM425" i="2" s="1"/>
  <c r="O26" i="2"/>
  <c r="AM26" i="2" s="1"/>
  <c r="O205" i="2"/>
  <c r="AM205" i="2" s="1"/>
  <c r="O294" i="2"/>
  <c r="AM294" i="2" s="1"/>
  <c r="O409" i="2"/>
  <c r="AM409" i="2" s="1"/>
  <c r="O411" i="2"/>
  <c r="AM411" i="2" s="1"/>
  <c r="O432" i="2"/>
  <c r="AM432" i="2" s="1"/>
  <c r="O40" i="2"/>
  <c r="AM40" i="2" s="1"/>
  <c r="O42" i="2"/>
  <c r="AM42" i="2" s="1"/>
  <c r="O70" i="2"/>
  <c r="AM70" i="2" s="1"/>
  <c r="O323" i="2"/>
  <c r="AM323" i="2" s="1"/>
  <c r="O324" i="2"/>
  <c r="AM324" i="2" s="1"/>
  <c r="O334" i="2"/>
  <c r="AM334" i="2" s="1"/>
  <c r="O350" i="2"/>
  <c r="AM350" i="2" s="1"/>
  <c r="O372" i="2"/>
  <c r="AM372" i="2" s="1"/>
  <c r="O382" i="2"/>
  <c r="AM382" i="2" s="1"/>
  <c r="O423" i="2"/>
  <c r="AM423" i="2" s="1"/>
  <c r="O64" i="2"/>
  <c r="AM64" i="2" s="1"/>
  <c r="O81" i="2"/>
  <c r="AM81" i="2" s="1"/>
  <c r="O85" i="2"/>
  <c r="AM85" i="2" s="1"/>
  <c r="O347" i="2"/>
  <c r="AM347" i="2" s="1"/>
  <c r="O59" i="2"/>
  <c r="AM59" i="2" s="1"/>
  <c r="O130" i="2"/>
  <c r="AM130" i="2" s="1"/>
  <c r="O132" i="2"/>
  <c r="AM132" i="2" s="1"/>
  <c r="O134" i="2"/>
  <c r="AM134" i="2" s="1"/>
  <c r="O136" i="2"/>
  <c r="AM136" i="2" s="1"/>
  <c r="O138" i="2"/>
  <c r="AM138" i="2" s="1"/>
  <c r="O140" i="2"/>
  <c r="AM140" i="2" s="1"/>
  <c r="O400" i="2"/>
  <c r="AM400" i="2" s="1"/>
  <c r="O402" i="2"/>
  <c r="AM402" i="2" s="1"/>
  <c r="O404" i="2"/>
  <c r="AM404" i="2" s="1"/>
  <c r="O160" i="2"/>
  <c r="AM160" i="2" s="1"/>
  <c r="O185" i="2"/>
  <c r="AM185" i="2" s="1"/>
  <c r="O189" i="2"/>
  <c r="AM189" i="2" s="1"/>
  <c r="O71" i="2"/>
  <c r="AM71" i="2" s="1"/>
  <c r="O235" i="2"/>
  <c r="AM235" i="2" s="1"/>
  <c r="O237" i="2"/>
  <c r="AM237" i="2" s="1"/>
  <c r="O239" i="2"/>
  <c r="AM239" i="2" s="1"/>
  <c r="O305" i="2"/>
  <c r="AM305" i="2" s="1"/>
  <c r="O307" i="2"/>
  <c r="AM307" i="2" s="1"/>
  <c r="O309" i="2"/>
  <c r="AM309" i="2" s="1"/>
  <c r="O310" i="2"/>
  <c r="AM310" i="2" s="1"/>
  <c r="O322" i="2"/>
  <c r="AM322" i="2" s="1"/>
  <c r="O337" i="2"/>
  <c r="AM337" i="2" s="1"/>
  <c r="O340" i="2"/>
  <c r="AM340" i="2" s="1"/>
  <c r="O342" i="2"/>
  <c r="AM342" i="2" s="1"/>
  <c r="O443" i="2"/>
  <c r="AM443" i="2" s="1"/>
  <c r="O445" i="2"/>
  <c r="AM445" i="2" s="1"/>
  <c r="O447" i="2"/>
  <c r="AM447" i="2" s="1"/>
  <c r="O449" i="2"/>
  <c r="AM449" i="2" s="1"/>
  <c r="O451" i="2"/>
  <c r="AM451" i="2" s="1"/>
  <c r="O92" i="2"/>
  <c r="AM92" i="2" s="1"/>
  <c r="O94" i="2"/>
  <c r="AM94" i="2" s="1"/>
  <c r="O96" i="2"/>
  <c r="AM96" i="2" s="1"/>
  <c r="O98" i="2"/>
  <c r="AM98" i="2" s="1"/>
  <c r="O154" i="2"/>
  <c r="AM154" i="2" s="1"/>
  <c r="O158" i="2"/>
  <c r="AM158" i="2" s="1"/>
  <c r="O162" i="2"/>
  <c r="AM162" i="2" s="1"/>
  <c r="O182" i="2"/>
  <c r="AM182" i="2" s="1"/>
  <c r="O188" i="2"/>
  <c r="AM188" i="2" s="1"/>
  <c r="O255" i="2"/>
  <c r="AM255" i="2" s="1"/>
  <c r="O259" i="2"/>
  <c r="AM259" i="2" s="1"/>
  <c r="O217" i="2"/>
  <c r="AM217" i="2" s="1"/>
  <c r="O274" i="2"/>
  <c r="AM274" i="2" s="1"/>
  <c r="O276" i="2"/>
  <c r="AM276" i="2" s="1"/>
  <c r="O278" i="2"/>
  <c r="AM278" i="2" s="1"/>
  <c r="O280" i="2"/>
  <c r="AM280" i="2" s="1"/>
  <c r="O415" i="2"/>
  <c r="AM415" i="2" s="1"/>
  <c r="O417" i="2"/>
  <c r="AM417" i="2" s="1"/>
  <c r="O164" i="2"/>
  <c r="AM164" i="2" s="1"/>
  <c r="O253" i="2"/>
  <c r="AM253" i="2" s="1"/>
  <c r="O258" i="2"/>
  <c r="AM258" i="2" s="1"/>
  <c r="O260" i="2"/>
  <c r="AM260" i="2" s="1"/>
  <c r="O388" i="2"/>
  <c r="AM388" i="2" s="1"/>
  <c r="O392" i="2"/>
  <c r="AM392" i="2" s="1"/>
  <c r="O277" i="2"/>
  <c r="AM277" i="2" s="1"/>
  <c r="O279" i="2"/>
  <c r="AM279" i="2" s="1"/>
  <c r="O281" i="2"/>
  <c r="AM281" i="2" s="1"/>
  <c r="O284" i="2"/>
  <c r="AM284" i="2" s="1"/>
  <c r="O416" i="2"/>
  <c r="AM416" i="2" s="1"/>
  <c r="O105" i="2"/>
  <c r="AM105" i="2" s="1"/>
  <c r="O123" i="2"/>
  <c r="AM123" i="2" s="1"/>
  <c r="O202" i="2"/>
  <c r="AM202" i="2" s="1"/>
  <c r="O244" i="2"/>
  <c r="AM244" i="2" s="1"/>
  <c r="O240" i="2"/>
  <c r="AM240" i="2" s="1"/>
  <c r="O78" i="2"/>
  <c r="AM78" i="2" s="1"/>
  <c r="O169" i="2"/>
  <c r="AM169" i="2" s="1"/>
  <c r="O290" i="2"/>
  <c r="O238" i="2"/>
  <c r="AM238" i="2" s="1"/>
  <c r="O330" i="2"/>
  <c r="AM330" i="2" s="1"/>
  <c r="O346" i="2"/>
  <c r="AM346" i="2" s="1"/>
  <c r="O362" i="2"/>
  <c r="AM362" i="2" s="1"/>
  <c r="O378" i="2"/>
  <c r="AM378" i="2" s="1"/>
  <c r="O83" i="2"/>
  <c r="AM83" i="2" s="1"/>
  <c r="O442" i="2"/>
  <c r="AM442" i="2" s="1"/>
  <c r="O446" i="2"/>
  <c r="AM446" i="2" s="1"/>
  <c r="O450" i="2"/>
  <c r="AM450" i="2" s="1"/>
  <c r="O93" i="2"/>
  <c r="AM93" i="2" s="1"/>
  <c r="O97" i="2"/>
  <c r="AM97" i="2" s="1"/>
  <c r="O187" i="2"/>
  <c r="AM187" i="2" s="1"/>
  <c r="O265" i="2"/>
  <c r="AM265" i="2" s="1"/>
  <c r="O269" i="2"/>
  <c r="AM269" i="2" s="1"/>
  <c r="O355" i="2"/>
  <c r="AM355" i="2" s="1"/>
  <c r="O361" i="2"/>
  <c r="O365" i="2"/>
  <c r="AM365" i="2" s="1"/>
  <c r="O420" i="2"/>
  <c r="AM420" i="2" s="1"/>
  <c r="O424" i="2"/>
  <c r="AM424" i="2" s="1"/>
  <c r="O56" i="2"/>
  <c r="AM56" i="2" s="1"/>
  <c r="O88" i="2"/>
  <c r="AM88" i="2" s="1"/>
  <c r="O133" i="2"/>
  <c r="AM133" i="2" s="1"/>
  <c r="O137" i="2"/>
  <c r="AM137" i="2" s="1"/>
  <c r="O403" i="2"/>
  <c r="AM403" i="2" s="1"/>
  <c r="O387" i="2"/>
  <c r="AM387" i="2" s="1"/>
  <c r="O282" i="2"/>
  <c r="AM282" i="2" s="1"/>
  <c r="O157" i="2"/>
  <c r="AM157" i="2" s="1"/>
  <c r="O161" i="2"/>
  <c r="AM161" i="2" s="1"/>
  <c r="O186" i="2"/>
  <c r="AM186" i="2" s="1"/>
  <c r="O222" i="2"/>
  <c r="AM222" i="2" s="1"/>
  <c r="O228" i="2"/>
  <c r="AM228" i="2" s="1"/>
  <c r="O184" i="2"/>
  <c r="AM184" i="2" s="1"/>
  <c r="O257" i="2"/>
  <c r="AM257" i="2" s="1"/>
  <c r="O386" i="2"/>
  <c r="AM386" i="2" s="1"/>
  <c r="O394" i="2"/>
  <c r="AM394" i="2" s="1"/>
  <c r="O215" i="2"/>
  <c r="AM215" i="2" s="1"/>
  <c r="O283" i="2"/>
  <c r="AM283" i="2" s="1"/>
  <c r="O285" i="2"/>
  <c r="AM285" i="2" s="1"/>
  <c r="O18" i="2"/>
  <c r="AM18" i="2" s="1"/>
  <c r="O27" i="2"/>
  <c r="O125" i="2"/>
  <c r="AM125" i="2" s="1"/>
  <c r="O115" i="2"/>
  <c r="AM115" i="2" s="1"/>
  <c r="O74" i="2"/>
  <c r="AM74" i="2" s="1"/>
  <c r="O17" i="2"/>
  <c r="AM17" i="2" s="1"/>
  <c r="O19" i="2"/>
  <c r="AM19" i="2" s="1"/>
  <c r="O51" i="2"/>
  <c r="AM51" i="2" s="1"/>
  <c r="O107" i="2"/>
  <c r="AM107" i="2" s="1"/>
  <c r="O232" i="2"/>
  <c r="AM232" i="2" s="1"/>
  <c r="O179" i="2"/>
  <c r="AM179" i="2" s="1"/>
  <c r="O191" i="2"/>
  <c r="AM191" i="2" s="1"/>
  <c r="O199" i="2"/>
  <c r="AM199" i="2" s="1"/>
  <c r="O212" i="2"/>
  <c r="AM212" i="2" s="1"/>
  <c r="O218" i="2"/>
  <c r="AM218" i="2" s="1"/>
  <c r="O261" i="2"/>
  <c r="AM261" i="2" s="1"/>
  <c r="H35" i="2"/>
  <c r="AI35" i="2" s="1"/>
  <c r="H18" i="2"/>
  <c r="AI18" i="2" s="1"/>
  <c r="H25" i="2"/>
  <c r="AI25" i="2" s="1"/>
  <c r="H30" i="2"/>
  <c r="AI30" i="2" s="1"/>
  <c r="H34" i="2"/>
  <c r="AI34" i="2" s="1"/>
  <c r="H26" i="2"/>
  <c r="AI26" i="2" s="1"/>
  <c r="H79" i="2"/>
  <c r="AI79" i="2" s="1"/>
  <c r="H83" i="2"/>
  <c r="AI83" i="2" s="1"/>
  <c r="H87" i="2"/>
  <c r="AI87" i="2" s="1"/>
  <c r="H107" i="2"/>
  <c r="AI107" i="2" s="1"/>
  <c r="H451" i="2"/>
  <c r="AI451" i="2" s="1"/>
  <c r="H447" i="2"/>
  <c r="AI447" i="2" s="1"/>
  <c r="H437" i="2"/>
  <c r="AI437" i="2" s="1"/>
  <c r="H423" i="2"/>
  <c r="AI423" i="2" s="1"/>
  <c r="H411" i="2"/>
  <c r="AI411" i="2" s="1"/>
  <c r="H399" i="2"/>
  <c r="AI399" i="2" s="1"/>
  <c r="H393" i="2"/>
  <c r="AI393" i="2" s="1"/>
  <c r="H381" i="2"/>
  <c r="AI381" i="2" s="1"/>
  <c r="H370" i="2"/>
  <c r="AI370" i="2" s="1"/>
  <c r="H363" i="2"/>
  <c r="AI363" i="2" s="1"/>
  <c r="H339" i="2"/>
  <c r="AI339" i="2" s="1"/>
  <c r="H373" i="2"/>
  <c r="AI373" i="2" s="1"/>
  <c r="H309" i="2"/>
  <c r="AI309" i="2" s="1"/>
  <c r="H305" i="2"/>
  <c r="AI305" i="2" s="1"/>
  <c r="H275" i="2"/>
  <c r="AI275" i="2" s="1"/>
  <c r="H255" i="2"/>
  <c r="AI255" i="2" s="1"/>
  <c r="H239" i="2"/>
  <c r="AI239" i="2" s="1"/>
  <c r="H235" i="2"/>
  <c r="AI235" i="2" s="1"/>
  <c r="H211" i="2"/>
  <c r="AI211" i="2" s="1"/>
  <c r="H137" i="2"/>
  <c r="AI137" i="2" s="1"/>
  <c r="H133" i="2"/>
  <c r="AI133" i="2" s="1"/>
  <c r="H125" i="2"/>
  <c r="AI125" i="2" s="1"/>
  <c r="H121" i="2"/>
  <c r="AI121" i="2" s="1"/>
  <c r="H113" i="2"/>
  <c r="AI113" i="2" s="1"/>
  <c r="H74" i="2"/>
  <c r="AI74" i="2" s="1"/>
  <c r="H70" i="2"/>
  <c r="AI70" i="2" s="1"/>
  <c r="H64" i="2"/>
  <c r="AI64" i="2" s="1"/>
  <c r="H60" i="2"/>
  <c r="AI60" i="2" s="1"/>
  <c r="H56" i="2"/>
  <c r="AI56" i="2" s="1"/>
  <c r="H50" i="2"/>
  <c r="AI50" i="2" s="1"/>
  <c r="H44" i="2"/>
  <c r="AI44" i="2" s="1"/>
  <c r="H40" i="2"/>
  <c r="AI40" i="2" s="1"/>
  <c r="H39" i="2"/>
  <c r="AI39" i="2" s="1"/>
  <c r="H95" i="2"/>
  <c r="AI95" i="2" s="1"/>
  <c r="H99" i="2"/>
  <c r="AI99" i="2" s="1"/>
  <c r="H41" i="2"/>
  <c r="AI41" i="2" s="1"/>
  <c r="H47" i="2"/>
  <c r="AI47" i="2" s="1"/>
  <c r="H51" i="2"/>
  <c r="AI51" i="2" s="1"/>
  <c r="H57" i="2"/>
  <c r="AI57" i="2" s="1"/>
  <c r="H61" i="2"/>
  <c r="AI61" i="2" s="1"/>
  <c r="H69" i="2"/>
  <c r="AI69" i="2" s="1"/>
  <c r="H73" i="2"/>
  <c r="AI73" i="2" s="1"/>
  <c r="H86" i="2"/>
  <c r="AI86" i="2" s="1"/>
  <c r="H88" i="2"/>
  <c r="AI88" i="2" s="1"/>
  <c r="H104" i="2"/>
  <c r="AI104" i="2" s="1"/>
  <c r="H106" i="2"/>
  <c r="AI106" i="2" s="1"/>
  <c r="H112" i="2"/>
  <c r="AI112" i="2" s="1"/>
  <c r="H122" i="2"/>
  <c r="AI122" i="2" s="1"/>
  <c r="H130" i="2"/>
  <c r="AI130" i="2" s="1"/>
  <c r="H134" i="2"/>
  <c r="AI134" i="2" s="1"/>
  <c r="H138" i="2"/>
  <c r="AI138" i="2" s="1"/>
  <c r="H144" i="2"/>
  <c r="AI144" i="2" s="1"/>
  <c r="H168" i="2"/>
  <c r="AI168" i="2" s="1"/>
  <c r="H170" i="2"/>
  <c r="AI170" i="2" s="1"/>
  <c r="H172" i="2"/>
  <c r="AI172" i="2" s="1"/>
  <c r="H111" i="2"/>
  <c r="AI111" i="2" s="1"/>
  <c r="H146" i="2"/>
  <c r="AI146" i="2" s="1"/>
  <c r="H148" i="2"/>
  <c r="AI148" i="2" s="1"/>
  <c r="H227" i="2"/>
  <c r="AI227" i="2" s="1"/>
  <c r="H229" i="2"/>
  <c r="AI229" i="2" s="1"/>
  <c r="H231" i="2"/>
  <c r="AI231" i="2" s="1"/>
  <c r="H247" i="2"/>
  <c r="AI247" i="2" s="1"/>
  <c r="H145" i="2"/>
  <c r="AI145" i="2" s="1"/>
  <c r="H153" i="2"/>
  <c r="AI153" i="2" s="1"/>
  <c r="H155" i="2"/>
  <c r="AI155" i="2" s="1"/>
  <c r="H157" i="2"/>
  <c r="AI157" i="2" s="1"/>
  <c r="H159" i="2"/>
  <c r="AI159" i="2" s="1"/>
  <c r="H161" i="2"/>
  <c r="AI161" i="2" s="1"/>
  <c r="H163" i="2"/>
  <c r="AI163" i="2" s="1"/>
  <c r="H212" i="2"/>
  <c r="AI212" i="2" s="1"/>
  <c r="H216" i="2"/>
  <c r="AI216" i="2" s="1"/>
  <c r="H222" i="2"/>
  <c r="AI222" i="2" s="1"/>
  <c r="H224" i="2"/>
  <c r="AI224" i="2" s="1"/>
  <c r="H226" i="2"/>
  <c r="AI226" i="2" s="1"/>
  <c r="H228" i="2"/>
  <c r="AI228" i="2" s="1"/>
  <c r="H230" i="2"/>
  <c r="AI230" i="2" s="1"/>
  <c r="H232" i="2"/>
  <c r="AI232" i="2" s="1"/>
  <c r="H238" i="2"/>
  <c r="AI238" i="2" s="1"/>
  <c r="H252" i="2"/>
  <c r="AI252" i="2" s="1"/>
  <c r="H256" i="2"/>
  <c r="AI256" i="2" s="1"/>
  <c r="H292" i="2"/>
  <c r="AI292" i="2" s="1"/>
  <c r="H308" i="2"/>
  <c r="AI308" i="2" s="1"/>
  <c r="H258" i="2"/>
  <c r="AI258" i="2" s="1"/>
  <c r="H266" i="2"/>
  <c r="AI266" i="2" s="1"/>
  <c r="H270" i="2"/>
  <c r="AI270" i="2" s="1"/>
  <c r="H276" i="2"/>
  <c r="AI276" i="2" s="1"/>
  <c r="H280" i="2"/>
  <c r="AI280" i="2" s="1"/>
  <c r="H284" i="2"/>
  <c r="AI284" i="2" s="1"/>
  <c r="H259" i="2"/>
  <c r="AI259" i="2" s="1"/>
  <c r="H261" i="2"/>
  <c r="AI261" i="2" s="1"/>
  <c r="H265" i="2"/>
  <c r="AI265" i="2" s="1"/>
  <c r="H267" i="2"/>
  <c r="AI267" i="2" s="1"/>
  <c r="H277" i="2"/>
  <c r="AI277" i="2" s="1"/>
  <c r="H323" i="2"/>
  <c r="AI323" i="2" s="1"/>
  <c r="H325" i="2"/>
  <c r="AI325" i="2" s="1"/>
  <c r="H330" i="2"/>
  <c r="AI330" i="2" s="1"/>
  <c r="H332" i="2"/>
  <c r="AI332" i="2" s="1"/>
  <c r="H334" i="2"/>
  <c r="AI334" i="2" s="1"/>
  <c r="H341" i="2"/>
  <c r="AI341" i="2" s="1"/>
  <c r="H354" i="2"/>
  <c r="AI354" i="2" s="1"/>
  <c r="H356" i="2"/>
  <c r="AI356" i="2" s="1"/>
  <c r="H358" i="2"/>
  <c r="AI358" i="2" s="1"/>
  <c r="H372" i="2"/>
  <c r="AI372" i="2" s="1"/>
  <c r="H322" i="2"/>
  <c r="AI322" i="2" s="1"/>
  <c r="H324" i="2"/>
  <c r="AI324" i="2" s="1"/>
  <c r="H326" i="2"/>
  <c r="AI326" i="2" s="1"/>
  <c r="H338" i="2"/>
  <c r="AI338" i="2" s="1"/>
  <c r="H353" i="2"/>
  <c r="AI353" i="2" s="1"/>
  <c r="H355" i="2"/>
  <c r="AI355" i="2" s="1"/>
  <c r="H357" i="2"/>
  <c r="AI357" i="2" s="1"/>
  <c r="H364" i="2"/>
  <c r="AI364" i="2" s="1"/>
  <c r="H371" i="2"/>
  <c r="AI371" i="2" s="1"/>
  <c r="H386" i="2"/>
  <c r="AI386" i="2" s="1"/>
  <c r="H388" i="2"/>
  <c r="AI388" i="2" s="1"/>
  <c r="H392" i="2"/>
  <c r="AI392" i="2" s="1"/>
  <c r="H398" i="2"/>
  <c r="AI398" i="2" s="1"/>
  <c r="H380" i="2"/>
  <c r="AI380" i="2" s="1"/>
  <c r="H374" i="2"/>
  <c r="AI374" i="2" s="1"/>
  <c r="H452" i="2"/>
  <c r="AI452" i="2" s="1"/>
  <c r="H448" i="2"/>
  <c r="AI448" i="2" s="1"/>
  <c r="AK439" i="2"/>
  <c r="H432" i="2"/>
  <c r="AI432" i="2" s="1"/>
  <c r="H430" i="2"/>
  <c r="AI430" i="2" s="1"/>
  <c r="H438" i="2"/>
  <c r="AI438" i="2" s="1"/>
  <c r="H431" i="2"/>
  <c r="AI431" i="2" s="1"/>
  <c r="H429" i="2"/>
  <c r="AI429" i="2" s="1"/>
  <c r="H424" i="2"/>
  <c r="AI424" i="2" s="1"/>
  <c r="H420" i="2"/>
  <c r="AI420" i="2" s="1"/>
  <c r="H416" i="2"/>
  <c r="AI416" i="2" s="1"/>
  <c r="H414" i="2"/>
  <c r="AI414" i="2" s="1"/>
  <c r="H425" i="2"/>
  <c r="AI425" i="2" s="1"/>
  <c r="H417" i="2"/>
  <c r="AI417" i="2" s="1"/>
  <c r="H415" i="2"/>
  <c r="AI415" i="2" s="1"/>
  <c r="H409" i="2"/>
  <c r="AI409" i="2" s="1"/>
  <c r="H407" i="2"/>
  <c r="AI407" i="2" s="1"/>
  <c r="H403" i="2"/>
  <c r="AI403" i="2" s="1"/>
  <c r="H401" i="2"/>
  <c r="AI401" i="2" s="1"/>
  <c r="AB398" i="2"/>
  <c r="H389" i="2"/>
  <c r="AI389" i="2" s="1"/>
  <c r="H387" i="2"/>
  <c r="AI387" i="2" s="1"/>
  <c r="H377" i="2"/>
  <c r="AI377" i="2" s="1"/>
  <c r="H382" i="2"/>
  <c r="AI382" i="2" s="1"/>
  <c r="H390" i="2"/>
  <c r="AI390" i="2" s="1"/>
  <c r="H369" i="2"/>
  <c r="AI369" i="2" s="1"/>
  <c r="H362" i="2"/>
  <c r="AI362" i="2" s="1"/>
  <c r="H349" i="2"/>
  <c r="AI349" i="2" s="1"/>
  <c r="H347" i="2"/>
  <c r="AI347" i="2" s="1"/>
  <c r="H345" i="2"/>
  <c r="AI345" i="2" s="1"/>
  <c r="AK337" i="2"/>
  <c r="AK335" i="2"/>
  <c r="H333" i="2"/>
  <c r="AI333" i="2" s="1"/>
  <c r="H331" i="2"/>
  <c r="AI331" i="2" s="1"/>
  <c r="H321" i="2"/>
  <c r="AI321" i="2" s="1"/>
  <c r="H350" i="2"/>
  <c r="AI350" i="2" s="1"/>
  <c r="H348" i="2"/>
  <c r="AI348" i="2" s="1"/>
  <c r="H346" i="2"/>
  <c r="AI346" i="2" s="1"/>
  <c r="AB278" i="2"/>
  <c r="H286" i="2"/>
  <c r="AI286" i="2" s="1"/>
  <c r="H278" i="2"/>
  <c r="AI278" i="2" s="1"/>
  <c r="V270" i="2"/>
  <c r="AQ270" i="2" s="1"/>
  <c r="H260" i="2"/>
  <c r="AI260" i="2" s="1"/>
  <c r="H245" i="2"/>
  <c r="AI245" i="2" s="1"/>
  <c r="H306" i="2"/>
  <c r="AI306" i="2" s="1"/>
  <c r="H294" i="2"/>
  <c r="AI294" i="2" s="1"/>
  <c r="O270" i="2"/>
  <c r="AM270" i="2" s="1"/>
  <c r="H254" i="2"/>
  <c r="AI254" i="2" s="1"/>
  <c r="H244" i="2"/>
  <c r="AI244" i="2" s="1"/>
  <c r="H240" i="2"/>
  <c r="AI240" i="2" s="1"/>
  <c r="AB231" i="2"/>
  <c r="AB227" i="2"/>
  <c r="H206" i="2"/>
  <c r="AI206" i="2" s="1"/>
  <c r="H204" i="2"/>
  <c r="AI204" i="2" s="1"/>
  <c r="H202" i="2"/>
  <c r="AI202" i="2" s="1"/>
  <c r="H196" i="2"/>
  <c r="AI196" i="2" s="1"/>
  <c r="H177" i="2"/>
  <c r="AI177" i="2" s="1"/>
  <c r="H169" i="2"/>
  <c r="AI169" i="2" s="1"/>
  <c r="AB156" i="2"/>
  <c r="H249" i="2"/>
  <c r="AI249" i="2" s="1"/>
  <c r="V232" i="2"/>
  <c r="AQ232" i="2" s="1"/>
  <c r="H223" i="2"/>
  <c r="AI223" i="2" s="1"/>
  <c r="O206" i="2"/>
  <c r="AM206" i="2" s="1"/>
  <c r="O172" i="2"/>
  <c r="AM172" i="2" s="1"/>
  <c r="H164" i="2"/>
  <c r="AI164" i="2" s="1"/>
  <c r="H162" i="2"/>
  <c r="AI162" i="2" s="1"/>
  <c r="H160" i="2"/>
  <c r="AI160" i="2" s="1"/>
  <c r="H158" i="2"/>
  <c r="AI158" i="2" s="1"/>
  <c r="H156" i="2"/>
  <c r="AI156" i="2" s="1"/>
  <c r="H154" i="2"/>
  <c r="AI154" i="2" s="1"/>
  <c r="H103" i="2"/>
  <c r="AI103" i="2" s="1"/>
  <c r="O249" i="2"/>
  <c r="AM249" i="2" s="1"/>
  <c r="O241" i="2"/>
  <c r="AM241" i="2" s="1"/>
  <c r="H209" i="2"/>
  <c r="AI209" i="2" s="1"/>
  <c r="H205" i="2"/>
  <c r="AI205" i="2" s="1"/>
  <c r="H203" i="2"/>
  <c r="AI203" i="2" s="1"/>
  <c r="H199" i="2"/>
  <c r="AI199" i="2" s="1"/>
  <c r="H197" i="2"/>
  <c r="AI197" i="2" s="1"/>
  <c r="H195" i="2"/>
  <c r="AI195" i="2" s="1"/>
  <c r="H190" i="2"/>
  <c r="AI190" i="2" s="1"/>
  <c r="H188" i="2"/>
  <c r="AI188" i="2" s="1"/>
  <c r="H186" i="2"/>
  <c r="AI186" i="2" s="1"/>
  <c r="H184" i="2"/>
  <c r="AI184" i="2" s="1"/>
  <c r="H182" i="2"/>
  <c r="AI182" i="2" s="1"/>
  <c r="H178" i="2"/>
  <c r="AI178" i="2" s="1"/>
  <c r="H176" i="2"/>
  <c r="AI176" i="2" s="1"/>
  <c r="O148" i="2"/>
  <c r="AM148" i="2" s="1"/>
  <c r="H136" i="2"/>
  <c r="AI136" i="2" s="1"/>
  <c r="H124" i="2"/>
  <c r="AI124" i="2" s="1"/>
  <c r="H114" i="2"/>
  <c r="AI114" i="2" s="1"/>
  <c r="AB103" i="2"/>
  <c r="H98" i="2"/>
  <c r="AI98" i="2" s="1"/>
  <c r="H96" i="2"/>
  <c r="AI96" i="2" s="1"/>
  <c r="H94" i="2"/>
  <c r="AI94" i="2" s="1"/>
  <c r="H92" i="2"/>
  <c r="AI92" i="2" s="1"/>
  <c r="H84" i="2"/>
  <c r="AI84" i="2" s="1"/>
  <c r="H82" i="2"/>
  <c r="AI82" i="2" s="1"/>
  <c r="H71" i="2"/>
  <c r="AI71" i="2" s="1"/>
  <c r="H59" i="2"/>
  <c r="AI59" i="2" s="1"/>
  <c r="H97" i="2"/>
  <c r="AI97" i="2" s="1"/>
  <c r="H38" i="2"/>
  <c r="AI38" i="2" s="1"/>
  <c r="V125" i="2"/>
  <c r="AQ125" i="2" s="1"/>
  <c r="H48" i="2"/>
  <c r="AI48" i="2" s="1"/>
  <c r="H58" i="2"/>
  <c r="AI58" i="2" s="1"/>
  <c r="H68" i="2"/>
  <c r="AI68" i="2" s="1"/>
  <c r="H85" i="2"/>
  <c r="AI85" i="2" s="1"/>
  <c r="H123" i="2"/>
  <c r="AI123" i="2" s="1"/>
  <c r="H135" i="2"/>
  <c r="AI135" i="2" s="1"/>
  <c r="H217" i="2"/>
  <c r="AI217" i="2" s="1"/>
  <c r="H253" i="2"/>
  <c r="AI253" i="2" s="1"/>
  <c r="H279" i="2"/>
  <c r="AI279" i="2" s="1"/>
  <c r="H268" i="2"/>
  <c r="AI268" i="2" s="1"/>
  <c r="H361" i="2"/>
  <c r="AI361" i="2" s="1"/>
  <c r="H379" i="2"/>
  <c r="AI379" i="2" s="1"/>
  <c r="H397" i="2"/>
  <c r="AI397" i="2" s="1"/>
  <c r="H421" i="2"/>
  <c r="AI421" i="2" s="1"/>
  <c r="H439" i="2"/>
  <c r="AI439" i="2" s="1"/>
  <c r="O35" i="2"/>
  <c r="AM35" i="2" s="1"/>
  <c r="H24" i="2"/>
  <c r="AI24" i="2" s="1"/>
  <c r="H17" i="2"/>
  <c r="AI17" i="2" s="1"/>
  <c r="AC5" i="2"/>
  <c r="AC449" i="2" s="1"/>
  <c r="AS449" i="2" s="1"/>
  <c r="H32" i="2"/>
  <c r="AI32" i="2" s="1"/>
  <c r="H23" i="2"/>
  <c r="AI23" i="2" s="1"/>
  <c r="O16" i="2"/>
  <c r="AM16" i="2" s="1"/>
  <c r="AK367" i="2"/>
  <c r="V27" i="2"/>
  <c r="AB275" i="2"/>
  <c r="AC275" i="2" s="1"/>
  <c r="AS275" i="2" s="1"/>
  <c r="AB114" i="2"/>
  <c r="AB60" i="2"/>
  <c r="AC60" i="2" s="1"/>
  <c r="AS60" i="2" s="1"/>
  <c r="AB414" i="2"/>
  <c r="AC370" i="2"/>
  <c r="AS370" i="2" s="1"/>
  <c r="AB177" i="2"/>
  <c r="AB122" i="2"/>
  <c r="AB145" i="2"/>
  <c r="H264" i="2"/>
  <c r="AI264" i="2" s="1"/>
  <c r="O306" i="2"/>
  <c r="AM306" i="2" s="1"/>
  <c r="AB346" i="2"/>
  <c r="V345" i="2"/>
  <c r="AQ345" i="2" s="1"/>
  <c r="O286" i="2"/>
  <c r="AM286" i="2" s="1"/>
  <c r="V230" i="2"/>
  <c r="AQ230" i="2" s="1"/>
  <c r="V259" i="2"/>
  <c r="AQ259" i="2" s="1"/>
  <c r="V186" i="2"/>
  <c r="AQ186" i="2" s="1"/>
  <c r="V414" i="2"/>
  <c r="AQ414" i="2" s="1"/>
  <c r="V275" i="2"/>
  <c r="AQ275" i="2" s="1"/>
  <c r="O226" i="2"/>
  <c r="AM226" i="2" s="1"/>
  <c r="O256" i="2"/>
  <c r="AM256" i="2" s="1"/>
  <c r="V394" i="2"/>
  <c r="AQ394" i="2" s="1"/>
  <c r="V256" i="2"/>
  <c r="AQ256" i="2" s="1"/>
  <c r="O163" i="2"/>
  <c r="AM163" i="2" s="1"/>
  <c r="O155" i="2"/>
  <c r="AM155" i="2" s="1"/>
  <c r="V189" i="2"/>
  <c r="AQ189" i="2" s="1"/>
  <c r="V99" i="2"/>
  <c r="AQ99" i="2" s="1"/>
  <c r="V452" i="2"/>
  <c r="AQ452" i="2" s="1"/>
  <c r="V444" i="2"/>
  <c r="AQ444" i="2" s="1"/>
  <c r="O135" i="2"/>
  <c r="AM135" i="2" s="1"/>
  <c r="O84" i="2"/>
  <c r="AM84" i="2" s="1"/>
  <c r="O58" i="2"/>
  <c r="AM58" i="2" s="1"/>
  <c r="O422" i="2"/>
  <c r="AM422" i="2" s="1"/>
  <c r="V370" i="2"/>
  <c r="AQ370" i="2" s="1"/>
  <c r="O357" i="2"/>
  <c r="AM357" i="2" s="1"/>
  <c r="V341" i="2"/>
  <c r="AQ341" i="2" s="1"/>
  <c r="V324" i="2"/>
  <c r="AQ324" i="2" s="1"/>
  <c r="V305" i="2"/>
  <c r="AQ305" i="2" s="1"/>
  <c r="V240" i="2"/>
  <c r="AQ240" i="2" s="1"/>
  <c r="V274" i="2"/>
  <c r="AQ274" i="2" s="1"/>
  <c r="V210" i="2"/>
  <c r="AQ210" i="2" s="1"/>
  <c r="V155" i="2"/>
  <c r="AQ155" i="2" s="1"/>
  <c r="O99" i="2"/>
  <c r="AM99" i="2" s="1"/>
  <c r="O452" i="2"/>
  <c r="AM452" i="2" s="1"/>
  <c r="O444" i="2"/>
  <c r="AM444" i="2" s="1"/>
  <c r="V135" i="2"/>
  <c r="AQ135" i="2" s="1"/>
  <c r="V84" i="2"/>
  <c r="AQ84" i="2" s="1"/>
  <c r="V56" i="2"/>
  <c r="AQ56" i="2" s="1"/>
  <c r="V346" i="2"/>
  <c r="AQ346" i="2" s="1"/>
  <c r="O345" i="2"/>
  <c r="AM345" i="2" s="1"/>
  <c r="AL308" i="2"/>
  <c r="AL311" i="2"/>
  <c r="O87" i="2"/>
  <c r="AM87" i="2" s="1"/>
  <c r="V422" i="2"/>
  <c r="AQ422" i="2" s="1"/>
  <c r="O356" i="2"/>
  <c r="AM356" i="2" s="1"/>
  <c r="O266" i="2"/>
  <c r="AM266" i="2" s="1"/>
  <c r="V430" i="2"/>
  <c r="AQ430" i="2" s="1"/>
  <c r="V410" i="2"/>
  <c r="AQ410" i="2" s="1"/>
  <c r="AL293" i="2"/>
  <c r="AL296" i="2"/>
  <c r="O34" i="2"/>
  <c r="AM34" i="2" s="1"/>
  <c r="V49" i="2"/>
  <c r="AQ49" i="2" s="1"/>
  <c r="V81" i="2"/>
  <c r="AQ81" i="2" s="1"/>
  <c r="O421" i="2"/>
  <c r="AM421" i="2" s="1"/>
  <c r="O374" i="2"/>
  <c r="AM374" i="2" s="1"/>
  <c r="V363" i="2"/>
  <c r="AQ363" i="2" s="1"/>
  <c r="AL362" i="2"/>
  <c r="AL367" i="2"/>
  <c r="O358" i="2"/>
  <c r="AM358" i="2" s="1"/>
  <c r="O72" i="2"/>
  <c r="AM72" i="2" s="1"/>
  <c r="O43" i="2"/>
  <c r="AM43" i="2" s="1"/>
  <c r="AL436" i="2"/>
  <c r="AL440" i="2"/>
  <c r="V435" i="2"/>
  <c r="AQ435" i="2" s="1"/>
  <c r="V409" i="2"/>
  <c r="AQ409" i="2" s="1"/>
  <c r="V290" i="2"/>
  <c r="AQ290" i="2" s="1"/>
  <c r="O248" i="2"/>
  <c r="AM248" i="2" s="1"/>
  <c r="O113" i="2"/>
  <c r="AM113" i="2" s="1"/>
  <c r="O431" i="2"/>
  <c r="AM431" i="2" s="1"/>
  <c r="O371" i="2"/>
  <c r="AM371" i="2" s="1"/>
  <c r="AB24" i="2"/>
  <c r="AI52" i="2"/>
  <c r="AB47" i="2"/>
  <c r="V168" i="2"/>
  <c r="AQ168" i="2" s="1"/>
  <c r="AB40" i="2"/>
  <c r="O63" i="2"/>
  <c r="AM63" i="2" s="1"/>
  <c r="O153" i="2"/>
  <c r="AM153" i="2" s="1"/>
  <c r="AB256" i="2"/>
  <c r="O183" i="2"/>
  <c r="AM183" i="2" s="1"/>
  <c r="O225" i="2"/>
  <c r="AM225" i="2" s="1"/>
  <c r="O223" i="2"/>
  <c r="AM223" i="2" s="1"/>
  <c r="O69" i="2"/>
  <c r="AM69" i="2" s="1"/>
  <c r="V15" i="2"/>
  <c r="AQ15" i="2" s="1"/>
  <c r="AB26" i="2"/>
  <c r="O49" i="2"/>
  <c r="AM49" i="2" s="1"/>
  <c r="O170" i="2"/>
  <c r="AM170" i="2" s="1"/>
  <c r="O168" i="2"/>
  <c r="AM168" i="2" s="1"/>
  <c r="H290" i="2"/>
  <c r="AI290" i="2" s="1"/>
  <c r="O308" i="2"/>
  <c r="AM308" i="2" s="1"/>
  <c r="O61" i="2"/>
  <c r="AM61" i="2" s="1"/>
  <c r="V63" i="2"/>
  <c r="AQ63" i="2" s="1"/>
  <c r="O79" i="2"/>
  <c r="AM79" i="2" s="1"/>
  <c r="V398" i="2"/>
  <c r="AQ398" i="2" s="1"/>
  <c r="V183" i="2"/>
  <c r="AQ183" i="2" s="1"/>
  <c r="V216" i="2"/>
  <c r="AQ216" i="2" s="1"/>
  <c r="V225" i="2"/>
  <c r="AQ225" i="2" s="1"/>
  <c r="V223" i="2"/>
  <c r="AQ223" i="2" s="1"/>
  <c r="V182" i="2"/>
  <c r="AQ182" i="2" s="1"/>
  <c r="O254" i="2"/>
  <c r="AM254" i="2" s="1"/>
  <c r="O252" i="2"/>
  <c r="AM252" i="2" s="1"/>
  <c r="V78" i="2"/>
  <c r="AQ78" i="2" s="1"/>
  <c r="O39" i="2"/>
  <c r="AM39" i="2" s="1"/>
  <c r="O31" i="2"/>
  <c r="AM31" i="2" s="1"/>
  <c r="O68" i="2"/>
  <c r="AM68" i="2" s="1"/>
  <c r="V30" i="2"/>
  <c r="AQ30" i="2" s="1"/>
  <c r="V61" i="2"/>
  <c r="AQ61" i="2" s="1"/>
  <c r="AB61" i="2"/>
  <c r="O216" i="2"/>
  <c r="AM216" i="2" s="1"/>
  <c r="AB216" i="2"/>
  <c r="O273" i="2"/>
  <c r="AM273" i="2" s="1"/>
  <c r="AB273" i="2"/>
  <c r="O54" i="2"/>
  <c r="AM54" i="2" s="1"/>
  <c r="AB54" i="2"/>
  <c r="AL380" i="2"/>
  <c r="AL383" i="2"/>
  <c r="AL332" i="2"/>
  <c r="AL335" i="2"/>
  <c r="AL321" i="2"/>
  <c r="AL327" i="2"/>
  <c r="AB153" i="2"/>
  <c r="AB63" i="2"/>
  <c r="AL351" i="2"/>
  <c r="AL359" i="2"/>
  <c r="AI108" i="2"/>
  <c r="V317" i="2"/>
  <c r="AQ317" i="2" s="1"/>
  <c r="V315" i="2"/>
  <c r="AQ315" i="2" s="1"/>
  <c r="V316" i="2"/>
  <c r="AQ316" i="2" s="1"/>
  <c r="V318" i="2"/>
  <c r="AQ318" i="2" s="1"/>
  <c r="V314" i="2"/>
  <c r="AQ314" i="2" s="1"/>
  <c r="V313" i="2"/>
  <c r="AQ313" i="2" s="1"/>
  <c r="O315" i="2"/>
  <c r="AM315" i="2" s="1"/>
  <c r="O316" i="2"/>
  <c r="AM316" i="2" s="1"/>
  <c r="O318" i="2"/>
  <c r="AM318" i="2" s="1"/>
  <c r="O317" i="2"/>
  <c r="AM317" i="2" s="1"/>
  <c r="O313" i="2"/>
  <c r="O314" i="2"/>
  <c r="AM314" i="2" s="1"/>
  <c r="H315" i="2"/>
  <c r="AI315" i="2" s="1"/>
  <c r="H316" i="2"/>
  <c r="AI316" i="2" s="1"/>
  <c r="H314" i="2"/>
  <c r="AI314" i="2" s="1"/>
  <c r="H318" i="2"/>
  <c r="AI318" i="2" s="1"/>
  <c r="H317" i="2"/>
  <c r="AI317" i="2" s="1"/>
  <c r="H313" i="2"/>
  <c r="AI313" i="2" s="1"/>
  <c r="AB49" i="2"/>
  <c r="AI126" i="2"/>
  <c r="AM149" i="2"/>
  <c r="O47" i="2"/>
  <c r="AM47" i="2" s="1"/>
  <c r="AM52" i="2"/>
  <c r="AM250" i="2"/>
  <c r="AM126" i="2"/>
  <c r="AM116" i="2"/>
  <c r="AM108" i="2"/>
  <c r="AQ149" i="2"/>
  <c r="AQ126" i="2"/>
  <c r="AC48" i="2"/>
  <c r="AS48" i="2" s="1"/>
  <c r="H15" i="2"/>
  <c r="AI15" i="2" s="1"/>
  <c r="AB15" i="2"/>
  <c r="AK296" i="2"/>
  <c r="AB338" i="2"/>
  <c r="AI296" i="2"/>
  <c r="V47" i="2"/>
  <c r="AQ47" i="2" s="1"/>
  <c r="AQ52" i="2"/>
  <c r="AC112" i="2" l="1"/>
  <c r="AS112" i="2" s="1"/>
  <c r="AC186" i="2"/>
  <c r="AS186" i="2" s="1"/>
  <c r="AC123" i="2"/>
  <c r="AS123" i="2" s="1"/>
  <c r="AM359" i="2"/>
  <c r="AM383" i="2"/>
  <c r="AC16" i="2"/>
  <c r="AS16" i="2" s="1"/>
  <c r="AC140" i="2"/>
  <c r="AS140" i="2" s="1"/>
  <c r="AC313" i="2"/>
  <c r="AS313" i="2" s="1"/>
  <c r="AC49" i="2"/>
  <c r="AS49" i="2" s="1"/>
  <c r="AC294" i="2"/>
  <c r="AS294" i="2" s="1"/>
  <c r="AC33" i="2"/>
  <c r="AS33" i="2" s="1"/>
  <c r="AC41" i="2"/>
  <c r="AS41" i="2" s="1"/>
  <c r="AC62" i="2"/>
  <c r="AS62" i="2" s="1"/>
  <c r="AC389" i="2"/>
  <c r="AS389" i="2" s="1"/>
  <c r="AC58" i="2"/>
  <c r="AS58" i="2" s="1"/>
  <c r="AC104" i="2"/>
  <c r="AS104" i="2" s="1"/>
  <c r="AC93" i="2"/>
  <c r="AS93" i="2" s="1"/>
  <c r="AC247" i="2"/>
  <c r="AS247" i="2" s="1"/>
  <c r="AC348" i="2"/>
  <c r="AS348" i="2" s="1"/>
  <c r="AC23" i="2"/>
  <c r="AS23" i="2" s="1"/>
  <c r="AC55" i="2"/>
  <c r="AS55" i="2" s="1"/>
  <c r="AC124" i="2"/>
  <c r="AS124" i="2" s="1"/>
  <c r="AC35" i="2"/>
  <c r="AS35" i="2" s="1"/>
  <c r="AC342" i="2"/>
  <c r="AS342" i="2" s="1"/>
  <c r="AC373" i="2"/>
  <c r="AS373" i="2" s="1"/>
  <c r="AC30" i="2"/>
  <c r="AS30" i="2" s="1"/>
  <c r="AC135" i="2"/>
  <c r="AS135" i="2" s="1"/>
  <c r="AC27" i="2"/>
  <c r="AC92" i="2"/>
  <c r="AS92" i="2" s="1"/>
  <c r="AC64" i="2"/>
  <c r="AS64" i="2" s="1"/>
  <c r="AC132" i="2"/>
  <c r="AS132" i="2" s="1"/>
  <c r="AC315" i="2"/>
  <c r="AS315" i="2" s="1"/>
  <c r="AC168" i="2"/>
  <c r="AS168" i="2" s="1"/>
  <c r="AC199" i="2"/>
  <c r="AS199" i="2" s="1"/>
  <c r="AC282" i="2"/>
  <c r="AS282" i="2" s="1"/>
  <c r="AC332" i="2"/>
  <c r="AS332" i="2" s="1"/>
  <c r="AC382" i="2"/>
  <c r="AS382" i="2" s="1"/>
  <c r="AC19" i="2"/>
  <c r="AS19" i="2" s="1"/>
  <c r="AC17" i="2"/>
  <c r="AS17" i="2" s="1"/>
  <c r="AC338" i="2"/>
  <c r="AS338" i="2" s="1"/>
  <c r="AC15" i="2"/>
  <c r="AS15" i="2" s="1"/>
  <c r="AC277" i="2"/>
  <c r="AS277" i="2" s="1"/>
  <c r="AC424" i="2"/>
  <c r="AS424" i="2" s="1"/>
  <c r="AC253" i="2"/>
  <c r="AS253" i="2" s="1"/>
  <c r="AC285" i="2"/>
  <c r="AS285" i="2" s="1"/>
  <c r="AC34" i="2"/>
  <c r="AS34" i="2" s="1"/>
  <c r="AC88" i="2"/>
  <c r="AS88" i="2" s="1"/>
  <c r="AC131" i="2"/>
  <c r="AS131" i="2" s="1"/>
  <c r="AC139" i="2"/>
  <c r="AS139" i="2" s="1"/>
  <c r="AC43" i="2"/>
  <c r="AS43" i="2" s="1"/>
  <c r="AC71" i="2"/>
  <c r="AS71" i="2" s="1"/>
  <c r="AC96" i="2"/>
  <c r="AS96" i="2" s="1"/>
  <c r="AC115" i="2"/>
  <c r="AS115" i="2" s="1"/>
  <c r="AC84" i="2"/>
  <c r="AS84" i="2" s="1"/>
  <c r="AC136" i="2"/>
  <c r="AS136" i="2" s="1"/>
  <c r="AC316" i="2"/>
  <c r="AS316" i="2" s="1"/>
  <c r="AC153" i="2"/>
  <c r="AS153" i="2" s="1"/>
  <c r="AC26" i="2"/>
  <c r="AS26" i="2" s="1"/>
  <c r="AC256" i="2"/>
  <c r="AS256" i="2" s="1"/>
  <c r="AC79" i="2"/>
  <c r="AS79" i="2" s="1"/>
  <c r="AC97" i="2"/>
  <c r="AS97" i="2" s="1"/>
  <c r="AC182" i="2"/>
  <c r="AS182" i="2" s="1"/>
  <c r="AC190" i="2"/>
  <c r="AS190" i="2" s="1"/>
  <c r="AC205" i="2"/>
  <c r="AS205" i="2" s="1"/>
  <c r="AC270" i="2"/>
  <c r="AS270" i="2" s="1"/>
  <c r="AC286" i="2"/>
  <c r="AS286" i="2" s="1"/>
  <c r="AC305" i="2"/>
  <c r="AS305" i="2" s="1"/>
  <c r="AC337" i="2"/>
  <c r="AS337" i="2" s="1"/>
  <c r="AC369" i="2"/>
  <c r="AS369" i="2" s="1"/>
  <c r="AC390" i="2"/>
  <c r="AS390" i="2" s="1"/>
  <c r="AC346" i="2"/>
  <c r="AS346" i="2" s="1"/>
  <c r="AC226" i="2"/>
  <c r="AS226" i="2" s="1"/>
  <c r="AC122" i="2"/>
  <c r="AS122" i="2" s="1"/>
  <c r="AC265" i="2"/>
  <c r="AS265" i="2" s="1"/>
  <c r="AM335" i="2"/>
  <c r="AC50" i="2"/>
  <c r="AS50" i="2" s="1"/>
  <c r="AC80" i="2"/>
  <c r="AS80" i="2" s="1"/>
  <c r="AC293" i="2"/>
  <c r="AS293" i="2" s="1"/>
  <c r="AM367" i="2"/>
  <c r="AM296" i="2"/>
  <c r="AM343" i="2"/>
  <c r="AM433" i="2"/>
  <c r="AC57" i="2"/>
  <c r="AS57" i="2" s="1"/>
  <c r="AC82" i="2"/>
  <c r="AS82" i="2" s="1"/>
  <c r="AC25" i="2"/>
  <c r="AS25" i="2" s="1"/>
  <c r="AC105" i="2"/>
  <c r="AS105" i="2" s="1"/>
  <c r="AC235" i="2"/>
  <c r="AS235" i="2" s="1"/>
  <c r="AC357" i="2"/>
  <c r="AS357" i="2" s="1"/>
  <c r="AC175" i="2"/>
  <c r="AS175" i="2" s="1"/>
  <c r="AC164" i="2"/>
  <c r="AS164" i="2" s="1"/>
  <c r="AC266" i="2"/>
  <c r="AS266" i="2" s="1"/>
  <c r="AC306" i="2"/>
  <c r="AS306" i="2" s="1"/>
  <c r="AC403" i="2"/>
  <c r="AS403" i="2" s="1"/>
  <c r="AM327" i="2"/>
  <c r="AM375" i="2"/>
  <c r="AC245" i="2"/>
  <c r="AS245" i="2" s="1"/>
  <c r="AC246" i="2"/>
  <c r="AS246" i="2" s="1"/>
  <c r="AC81" i="2"/>
  <c r="AS81" i="2" s="1"/>
  <c r="AC324" i="2"/>
  <c r="AS324" i="2" s="1"/>
  <c r="AC399" i="2"/>
  <c r="AS399" i="2" s="1"/>
  <c r="AC121" i="2"/>
  <c r="AS121" i="2" s="1"/>
  <c r="AC158" i="2"/>
  <c r="AS158" i="2" s="1"/>
  <c r="AC258" i="2"/>
  <c r="AS258" i="2" s="1"/>
  <c r="AC323" i="2"/>
  <c r="AS323" i="2" s="1"/>
  <c r="AC380" i="2"/>
  <c r="AS380" i="2" s="1"/>
  <c r="AC425" i="2"/>
  <c r="AS425" i="2" s="1"/>
  <c r="AC436" i="2"/>
  <c r="AS436" i="2" s="1"/>
  <c r="AC38" i="2"/>
  <c r="AS38" i="2" s="1"/>
  <c r="AM361" i="2"/>
  <c r="AM311" i="2"/>
  <c r="AM290" i="2"/>
  <c r="AC31" i="2"/>
  <c r="AS31" i="2" s="1"/>
  <c r="AM428" i="2"/>
  <c r="AM369" i="2"/>
  <c r="AC210" i="2"/>
  <c r="AS210" i="2" s="1"/>
  <c r="AC248" i="2"/>
  <c r="AS248" i="2" s="1"/>
  <c r="AC54" i="2"/>
  <c r="AS54" i="2" s="1"/>
  <c r="AC273" i="2"/>
  <c r="AS273" i="2" s="1"/>
  <c r="AC281" i="2"/>
  <c r="AS281" i="2" s="1"/>
  <c r="AC420" i="2"/>
  <c r="AS420" i="2" s="1"/>
  <c r="AC44" i="2"/>
  <c r="AS44" i="2" s="1"/>
  <c r="AC114" i="2"/>
  <c r="AS114" i="2" s="1"/>
  <c r="AC345" i="2"/>
  <c r="AS345" i="2" s="1"/>
  <c r="AC218" i="2"/>
  <c r="AS218" i="2" s="1"/>
  <c r="AC451" i="2"/>
  <c r="AS451" i="2" s="1"/>
  <c r="AC32" i="2"/>
  <c r="AS32" i="2" s="1"/>
  <c r="AC42" i="2"/>
  <c r="AS42" i="2" s="1"/>
  <c r="AC51" i="2"/>
  <c r="AS51" i="2" s="1"/>
  <c r="AC59" i="2"/>
  <c r="AS59" i="2" s="1"/>
  <c r="AC86" i="2"/>
  <c r="AS86" i="2" s="1"/>
  <c r="AC130" i="2"/>
  <c r="AS130" i="2" s="1"/>
  <c r="AC134" i="2"/>
  <c r="AS134" i="2" s="1"/>
  <c r="AC138" i="2"/>
  <c r="AS138" i="2" s="1"/>
  <c r="AC56" i="2"/>
  <c r="AS56" i="2" s="1"/>
  <c r="AC18" i="2"/>
  <c r="AS18" i="2" s="1"/>
  <c r="AC39" i="2"/>
  <c r="AS39" i="2" s="1"/>
  <c r="AC68" i="2"/>
  <c r="AS68" i="2" s="1"/>
  <c r="AC72" i="2"/>
  <c r="AS72" i="2" s="1"/>
  <c r="AC94" i="2"/>
  <c r="AS94" i="2" s="1"/>
  <c r="AC98" i="2"/>
  <c r="AS98" i="2" s="1"/>
  <c r="AC113" i="2"/>
  <c r="AS113" i="2" s="1"/>
  <c r="AC63" i="2"/>
  <c r="AS63" i="2" s="1"/>
  <c r="AC78" i="2"/>
  <c r="AS78" i="2" s="1"/>
  <c r="AC85" i="2"/>
  <c r="AS85" i="2" s="1"/>
  <c r="AC106" i="2"/>
  <c r="AS106" i="2" s="1"/>
  <c r="AC125" i="2"/>
  <c r="AS125" i="2" s="1"/>
  <c r="AC133" i="2"/>
  <c r="AS133" i="2" s="1"/>
  <c r="AC137" i="2"/>
  <c r="AS137" i="2" s="1"/>
  <c r="AC318" i="2"/>
  <c r="AS318" i="2" s="1"/>
  <c r="AC314" i="2"/>
  <c r="AS314" i="2" s="1"/>
  <c r="AC40" i="2"/>
  <c r="AS40" i="2" s="1"/>
  <c r="AC216" i="2"/>
  <c r="AS216" i="2" s="1"/>
  <c r="AC61" i="2"/>
  <c r="AS61" i="2" s="1"/>
  <c r="AC47" i="2"/>
  <c r="AS47" i="2" s="1"/>
  <c r="AC24" i="2"/>
  <c r="AS24" i="2" s="1"/>
  <c r="AC83" i="2"/>
  <c r="AS83" i="2" s="1"/>
  <c r="AC95" i="2"/>
  <c r="AS95" i="2" s="1"/>
  <c r="AC99" i="2"/>
  <c r="AS99" i="2" s="1"/>
  <c r="AC172" i="2"/>
  <c r="AS172" i="2" s="1"/>
  <c r="AC184" i="2"/>
  <c r="AS184" i="2" s="1"/>
  <c r="AC188" i="2"/>
  <c r="AS188" i="2" s="1"/>
  <c r="AC197" i="2"/>
  <c r="AS197" i="2" s="1"/>
  <c r="AC203" i="2"/>
  <c r="AS203" i="2" s="1"/>
  <c r="AC241" i="2"/>
  <c r="AS241" i="2" s="1"/>
  <c r="AC249" i="2"/>
  <c r="AS249" i="2" s="1"/>
  <c r="AC274" i="2"/>
  <c r="AS274" i="2" s="1"/>
  <c r="AC284" i="2"/>
  <c r="AS284" i="2" s="1"/>
  <c r="AC292" i="2"/>
  <c r="AS292" i="2" s="1"/>
  <c r="AC308" i="2"/>
  <c r="AS308" i="2" s="1"/>
  <c r="AC330" i="2"/>
  <c r="AS330" i="2" s="1"/>
  <c r="AC334" i="2"/>
  <c r="AS334" i="2" s="1"/>
  <c r="AC341" i="2"/>
  <c r="AS341" i="2" s="1"/>
  <c r="AC350" i="2"/>
  <c r="AS350" i="2" s="1"/>
  <c r="AC378" i="2"/>
  <c r="AS378" i="2" s="1"/>
  <c r="AC388" i="2"/>
  <c r="AS388" i="2" s="1"/>
  <c r="AC394" i="2"/>
  <c r="AS394" i="2" s="1"/>
  <c r="AC145" i="2"/>
  <c r="AS145" i="2" s="1"/>
  <c r="AC230" i="2"/>
  <c r="AS230" i="2" s="1"/>
  <c r="AC239" i="2"/>
  <c r="AS239" i="2" s="1"/>
  <c r="AC177" i="2"/>
  <c r="AS177" i="2" s="1"/>
  <c r="AC268" i="2"/>
  <c r="AS268" i="2" s="1"/>
  <c r="AC363" i="2"/>
  <c r="AS363" i="2" s="1"/>
  <c r="AC414" i="2"/>
  <c r="AS414" i="2" s="1"/>
  <c r="AC103" i="2"/>
  <c r="AS103" i="2" s="1"/>
  <c r="AC156" i="2"/>
  <c r="AS156" i="2" s="1"/>
  <c r="AC227" i="2"/>
  <c r="AS227" i="2" s="1"/>
  <c r="AC321" i="2"/>
  <c r="AS321" i="2" s="1"/>
  <c r="AC361" i="2"/>
  <c r="AS361" i="2" s="1"/>
  <c r="AC392" i="2"/>
  <c r="AS392" i="2" s="1"/>
  <c r="AC409" i="2"/>
  <c r="AS409" i="2" s="1"/>
  <c r="AC438" i="2"/>
  <c r="AS438" i="2" s="1"/>
  <c r="AC443" i="2"/>
  <c r="AS443" i="2" s="1"/>
  <c r="AC176" i="2"/>
  <c r="AS176" i="2" s="1"/>
  <c r="AC178" i="2"/>
  <c r="AS178" i="2" s="1"/>
  <c r="AC215" i="2"/>
  <c r="AS215" i="2" s="1"/>
  <c r="AC69" i="2"/>
  <c r="AS69" i="2" s="1"/>
  <c r="AC171" i="2"/>
  <c r="AS171" i="2" s="1"/>
  <c r="AC146" i="2"/>
  <c r="AS146" i="2" s="1"/>
  <c r="AC225" i="2"/>
  <c r="AS225" i="2" s="1"/>
  <c r="AC276" i="2"/>
  <c r="AS276" i="2" s="1"/>
  <c r="AC358" i="2"/>
  <c r="AS358" i="2" s="1"/>
  <c r="AC415" i="2"/>
  <c r="AS415" i="2" s="1"/>
  <c r="AC429" i="2"/>
  <c r="AS429" i="2" s="1"/>
  <c r="AM440" i="2"/>
  <c r="AM351" i="2"/>
  <c r="AC317" i="2"/>
  <c r="AS317" i="2" s="1"/>
  <c r="AC169" i="2"/>
  <c r="AS169" i="2" s="1"/>
  <c r="AC228" i="2"/>
  <c r="AS228" i="2" s="1"/>
  <c r="AC232" i="2"/>
  <c r="AS232" i="2" s="1"/>
  <c r="AC238" i="2"/>
  <c r="AS238" i="2" s="1"/>
  <c r="AC261" i="2"/>
  <c r="AS261" i="2" s="1"/>
  <c r="AC267" i="2"/>
  <c r="AS267" i="2" s="1"/>
  <c r="AC269" i="2"/>
  <c r="AS269" i="2" s="1"/>
  <c r="AC322" i="2"/>
  <c r="AS322" i="2" s="1"/>
  <c r="AC326" i="2"/>
  <c r="AS326" i="2" s="1"/>
  <c r="AC333" i="2"/>
  <c r="AS333" i="2" s="1"/>
  <c r="AC340" i="2"/>
  <c r="AS340" i="2" s="1"/>
  <c r="AC355" i="2"/>
  <c r="AS355" i="2" s="1"/>
  <c r="AC362" i="2"/>
  <c r="AS362" i="2" s="1"/>
  <c r="AC366" i="2"/>
  <c r="AS366" i="2" s="1"/>
  <c r="AC371" i="2"/>
  <c r="AS371" i="2" s="1"/>
  <c r="AC393" i="2"/>
  <c r="AS393" i="2" s="1"/>
  <c r="AC381" i="2"/>
  <c r="AS381" i="2" s="1"/>
  <c r="AC421" i="2"/>
  <c r="AS421" i="2" s="1"/>
  <c r="AC212" i="2"/>
  <c r="AS212" i="2" s="1"/>
  <c r="AC237" i="2"/>
  <c r="AS237" i="2" s="1"/>
  <c r="AC240" i="2"/>
  <c r="AS240" i="2" s="1"/>
  <c r="AC244" i="2"/>
  <c r="AS244" i="2" s="1"/>
  <c r="AC254" i="2"/>
  <c r="AS254" i="2" s="1"/>
  <c r="AC257" i="2"/>
  <c r="AS257" i="2" s="1"/>
  <c r="AC283" i="2"/>
  <c r="AS283" i="2" s="1"/>
  <c r="AC365" i="2"/>
  <c r="AS365" i="2" s="1"/>
  <c r="AC374" i="2"/>
  <c r="AS374" i="2" s="1"/>
  <c r="AC379" i="2"/>
  <c r="AS379" i="2" s="1"/>
  <c r="AC411" i="2"/>
  <c r="AS411" i="2" s="1"/>
  <c r="AC422" i="2"/>
  <c r="AS422" i="2" s="1"/>
  <c r="AC430" i="2"/>
  <c r="AS430" i="2" s="1"/>
  <c r="AC432" i="2"/>
  <c r="AS432" i="2" s="1"/>
  <c r="AC435" i="2"/>
  <c r="AS435" i="2" s="1"/>
  <c r="AC439" i="2"/>
  <c r="AS439" i="2" s="1"/>
  <c r="AC448" i="2"/>
  <c r="AS448" i="2" s="1"/>
  <c r="AC70" i="2"/>
  <c r="AS70" i="2" s="1"/>
  <c r="AC74" i="2"/>
  <c r="AS74" i="2" s="1"/>
  <c r="AC179" i="2"/>
  <c r="AS179" i="2" s="1"/>
  <c r="AC183" i="2"/>
  <c r="AS183" i="2" s="1"/>
  <c r="AC185" i="2"/>
  <c r="AS185" i="2" s="1"/>
  <c r="AC187" i="2"/>
  <c r="AS187" i="2" s="1"/>
  <c r="AC189" i="2"/>
  <c r="AS189" i="2" s="1"/>
  <c r="AC191" i="2"/>
  <c r="AS191" i="2" s="1"/>
  <c r="AC198" i="2"/>
  <c r="AS198" i="2" s="1"/>
  <c r="AC202" i="2"/>
  <c r="AS202" i="2" s="1"/>
  <c r="AC204" i="2"/>
  <c r="AS204" i="2" s="1"/>
  <c r="AC206" i="2"/>
  <c r="AS206" i="2" s="1"/>
  <c r="AC155" i="2"/>
  <c r="AS155" i="2" s="1"/>
  <c r="AC157" i="2"/>
  <c r="AS157" i="2" s="1"/>
  <c r="AC159" i="2"/>
  <c r="AS159" i="2" s="1"/>
  <c r="AC161" i="2"/>
  <c r="AS161" i="2" s="1"/>
  <c r="AC163" i="2"/>
  <c r="AS163" i="2" s="1"/>
  <c r="AC222" i="2"/>
  <c r="AS222" i="2" s="1"/>
  <c r="AC236" i="2"/>
  <c r="AS236" i="2" s="1"/>
  <c r="AC252" i="2"/>
  <c r="AS252" i="2" s="1"/>
  <c r="AC255" i="2"/>
  <c r="AS255" i="2" s="1"/>
  <c r="AC295" i="2"/>
  <c r="AS295" i="2" s="1"/>
  <c r="AC307" i="2"/>
  <c r="AS307" i="2" s="1"/>
  <c r="AC259" i="2"/>
  <c r="AS259" i="2" s="1"/>
  <c r="AC279" i="2"/>
  <c r="AS279" i="2" s="1"/>
  <c r="AC339" i="2"/>
  <c r="AS339" i="2" s="1"/>
  <c r="AC347" i="2"/>
  <c r="AS347" i="2" s="1"/>
  <c r="AC349" i="2"/>
  <c r="AS349" i="2" s="1"/>
  <c r="AC364" i="2"/>
  <c r="AS364" i="2" s="1"/>
  <c r="AC391" i="2"/>
  <c r="AS391" i="2" s="1"/>
  <c r="AC383" i="2"/>
  <c r="AC402" i="2"/>
  <c r="AS402" i="2" s="1"/>
  <c r="AC404" i="2"/>
  <c r="AS404" i="2" s="1"/>
  <c r="AC408" i="2"/>
  <c r="AS408" i="2" s="1"/>
  <c r="AC410" i="2"/>
  <c r="AS410" i="2" s="1"/>
  <c r="AC416" i="2"/>
  <c r="AS416" i="2" s="1"/>
  <c r="AC423" i="2"/>
  <c r="AS423" i="2" s="1"/>
  <c r="AC437" i="2"/>
  <c r="AS437" i="2" s="1"/>
  <c r="AC442" i="2"/>
  <c r="AS442" i="2" s="1"/>
  <c r="AC444" i="2"/>
  <c r="AS444" i="2" s="1"/>
  <c r="AC446" i="2"/>
  <c r="AS446" i="2" s="1"/>
  <c r="AC447" i="2"/>
  <c r="AS447" i="2" s="1"/>
  <c r="AC450" i="2"/>
  <c r="AS450" i="2" s="1"/>
  <c r="AC452" i="2"/>
  <c r="AS452" i="2" s="1"/>
  <c r="AC107" i="2"/>
  <c r="AS107" i="2" s="1"/>
  <c r="AC148" i="2"/>
  <c r="AS148" i="2" s="1"/>
  <c r="AC160" i="2"/>
  <c r="AS160" i="2" s="1"/>
  <c r="AC223" i="2"/>
  <c r="AS223" i="2" s="1"/>
  <c r="AC231" i="2"/>
  <c r="AS231" i="2" s="1"/>
  <c r="AC260" i="2"/>
  <c r="AS260" i="2" s="1"/>
  <c r="AC278" i="2"/>
  <c r="AS278" i="2" s="1"/>
  <c r="AC310" i="2"/>
  <c r="AS310" i="2" s="1"/>
  <c r="AC325" i="2"/>
  <c r="AS325" i="2" s="1"/>
  <c r="AC356" i="2"/>
  <c r="AS356" i="2" s="1"/>
  <c r="AC372" i="2"/>
  <c r="AS372" i="2" s="1"/>
  <c r="AC329" i="2"/>
  <c r="AS329" i="2" s="1"/>
  <c r="AC398" i="2"/>
  <c r="AS398" i="2" s="1"/>
  <c r="AC401" i="2"/>
  <c r="AS401" i="2" s="1"/>
  <c r="AC407" i="2"/>
  <c r="AS407" i="2" s="1"/>
  <c r="AC445" i="2"/>
  <c r="AS445" i="2" s="1"/>
  <c r="AC291" i="2"/>
  <c r="AS291" i="2" s="1"/>
  <c r="AC280" i="2"/>
  <c r="AS280" i="2" s="1"/>
  <c r="AC147" i="2"/>
  <c r="AS147" i="2" s="1"/>
  <c r="AC170" i="2"/>
  <c r="AS170" i="2" s="1"/>
  <c r="AC195" i="2"/>
  <c r="AS195" i="2" s="1"/>
  <c r="AC196" i="2"/>
  <c r="AS196" i="2" s="1"/>
  <c r="AC400" i="2"/>
  <c r="AS400" i="2" s="1"/>
  <c r="AC224" i="2"/>
  <c r="AS224" i="2" s="1"/>
  <c r="AC209" i="2"/>
  <c r="AS209" i="2" s="1"/>
  <c r="AC211" i="2"/>
  <c r="AS211" i="2" s="1"/>
  <c r="AC217" i="2"/>
  <c r="AS217" i="2" s="1"/>
  <c r="AC386" i="2"/>
  <c r="AS386" i="2" s="1"/>
  <c r="AC309" i="2"/>
  <c r="AS309" i="2" s="1"/>
  <c r="AC331" i="2"/>
  <c r="AS331" i="2" s="1"/>
  <c r="AC387" i="2"/>
  <c r="AS387" i="2" s="1"/>
  <c r="AC87" i="2"/>
  <c r="AS87" i="2" s="1"/>
  <c r="AC111" i="2"/>
  <c r="AS111" i="2" s="1"/>
  <c r="AC144" i="2"/>
  <c r="AS144" i="2" s="1"/>
  <c r="AC154" i="2"/>
  <c r="AS154" i="2" s="1"/>
  <c r="AC162" i="2"/>
  <c r="AS162" i="2" s="1"/>
  <c r="AC229" i="2"/>
  <c r="AS229" i="2" s="1"/>
  <c r="AC264" i="2"/>
  <c r="AS264" i="2" s="1"/>
  <c r="AC290" i="2"/>
  <c r="AS290" i="2" s="1"/>
  <c r="AC354" i="2"/>
  <c r="AS354" i="2" s="1"/>
  <c r="AC353" i="2"/>
  <c r="AS353" i="2" s="1"/>
  <c r="AC377" i="2"/>
  <c r="AS377" i="2" s="1"/>
  <c r="AC417" i="2"/>
  <c r="AS417" i="2" s="1"/>
  <c r="AC428" i="2"/>
  <c r="AS428" i="2" s="1"/>
  <c r="AC431" i="2"/>
  <c r="AS431" i="2" s="1"/>
  <c r="AC397" i="2"/>
  <c r="AS397" i="2" s="1"/>
  <c r="AC73" i="2"/>
  <c r="AS73" i="2" s="1"/>
  <c r="AM313" i="2"/>
  <c r="AM319" i="2"/>
</calcChain>
</file>

<file path=xl/sharedStrings.xml><?xml version="1.0" encoding="utf-8"?>
<sst xmlns="http://schemas.openxmlformats.org/spreadsheetml/2006/main" count="30260" uniqueCount="2064">
  <si>
    <t>24 Alguna vez pensé en ser sacerdote o hermana religiosa</t>
  </si>
  <si>
    <t>20 Voy a Misa</t>
  </si>
  <si>
    <t>19 La oración en mi vida</t>
  </si>
  <si>
    <t>a) Masculino</t>
  </si>
  <si>
    <t>b) Suficiente</t>
  </si>
  <si>
    <t>b) Casa Urbana</t>
  </si>
  <si>
    <t>f) No aplica</t>
  </si>
  <si>
    <t>Alumnos</t>
  </si>
  <si>
    <t>TOTAL</t>
  </si>
  <si>
    <t xml:space="preserve">    Total</t>
  </si>
  <si>
    <t xml:space="preserve">    Masc.</t>
  </si>
  <si>
    <t xml:space="preserve">     Fem.</t>
  </si>
  <si>
    <t>Nº</t>
  </si>
  <si>
    <t>%</t>
  </si>
  <si>
    <t>Todos</t>
  </si>
  <si>
    <t>03</t>
  </si>
  <si>
    <t>En que etapa educativa solicitaste ingreso al colegio?</t>
  </si>
  <si>
    <t>a)</t>
  </si>
  <si>
    <t>b)</t>
  </si>
  <si>
    <t>Primaria</t>
  </si>
  <si>
    <t>c)</t>
  </si>
  <si>
    <t>d)</t>
  </si>
  <si>
    <t>e)</t>
  </si>
  <si>
    <t>S/R</t>
  </si>
  <si>
    <t>Sin Respuesta</t>
  </si>
  <si>
    <t>05</t>
  </si>
  <si>
    <t>Indique la religión a la cual pertenece</t>
  </si>
  <si>
    <t>Católica</t>
  </si>
  <si>
    <t>Evangélica</t>
  </si>
  <si>
    <t>Musulmana</t>
  </si>
  <si>
    <t>Otra</t>
  </si>
  <si>
    <t>06</t>
  </si>
  <si>
    <t>¿Con que personas convives actualmente? (V/R)</t>
  </si>
  <si>
    <t>Mamá</t>
  </si>
  <si>
    <t>Papá</t>
  </si>
  <si>
    <t>Hermanos</t>
  </si>
  <si>
    <t>Abuelos</t>
  </si>
  <si>
    <t>Otros familiares</t>
  </si>
  <si>
    <t>07</t>
  </si>
  <si>
    <t>Tipo de vivienda que ocupas con tu grupo familiar es:</t>
  </si>
  <si>
    <t>Quinta</t>
  </si>
  <si>
    <t>Casa urbana</t>
  </si>
  <si>
    <t>Apartamento</t>
  </si>
  <si>
    <t>Casa rural</t>
  </si>
  <si>
    <t>Rancho</t>
  </si>
  <si>
    <t>f)</t>
  </si>
  <si>
    <t>Otro</t>
  </si>
  <si>
    <t>08</t>
  </si>
  <si>
    <t>¿En términos generales consideras que eres feliz?</t>
  </si>
  <si>
    <t>Si</t>
  </si>
  <si>
    <t>No</t>
  </si>
  <si>
    <t>Algo</t>
  </si>
  <si>
    <t>No sé</t>
  </si>
  <si>
    <t>09</t>
  </si>
  <si>
    <t>Bienes en perfecto funcionamiento: (V/R)</t>
  </si>
  <si>
    <t>Videojuegos consola</t>
  </si>
  <si>
    <t>Lavadora</t>
  </si>
  <si>
    <t>Microondas</t>
  </si>
  <si>
    <t>Televisión plana</t>
  </si>
  <si>
    <t>Moto</t>
  </si>
  <si>
    <t>MP3</t>
  </si>
  <si>
    <t>g)</t>
  </si>
  <si>
    <t>MP4</t>
  </si>
  <si>
    <t>h)</t>
  </si>
  <si>
    <t>Carro</t>
  </si>
  <si>
    <t>i)</t>
  </si>
  <si>
    <t>Computadora</t>
  </si>
  <si>
    <t>j)</t>
  </si>
  <si>
    <t>Cámara digital</t>
  </si>
  <si>
    <t>k)</t>
  </si>
  <si>
    <t>Aire acondicionado</t>
  </si>
  <si>
    <t>En tu hogar, personas con empleo actualmente:</t>
  </si>
  <si>
    <t>Ninguna</t>
  </si>
  <si>
    <t>Una</t>
  </si>
  <si>
    <t>Dos</t>
  </si>
  <si>
    <t>Tres</t>
  </si>
  <si>
    <t>Cuatro</t>
  </si>
  <si>
    <t>Más de cuatro</t>
  </si>
  <si>
    <t>11</t>
  </si>
  <si>
    <t>Señala las tres opciones que más valoras en tu vida</t>
  </si>
  <si>
    <t>La familia</t>
  </si>
  <si>
    <t>Los amigos</t>
  </si>
  <si>
    <t>Los estudios</t>
  </si>
  <si>
    <t>El cuidado de mi cuerpo</t>
  </si>
  <si>
    <t>Disponer de dinero</t>
  </si>
  <si>
    <t>Mi fe y vida cristiana</t>
  </si>
  <si>
    <t>La felicidad</t>
  </si>
  <si>
    <t>La sexualidad</t>
  </si>
  <si>
    <t>La música</t>
  </si>
  <si>
    <t>El deporte</t>
  </si>
  <si>
    <t>Internet</t>
  </si>
  <si>
    <t>12</t>
  </si>
  <si>
    <t>Lo que mas me preocupa en mi vida es:</t>
  </si>
  <si>
    <t>Seguridad personal  (la violencia y la delincuencia)</t>
  </si>
  <si>
    <t>El futuro</t>
  </si>
  <si>
    <t>Yo mismo</t>
  </si>
  <si>
    <t>Los problemas familiares</t>
  </si>
  <si>
    <t>La situación económica</t>
  </si>
  <si>
    <t>La situación política del país</t>
  </si>
  <si>
    <t>Mis estudios</t>
  </si>
  <si>
    <t>13</t>
  </si>
  <si>
    <t>¿En que medida dialogas con tus padres?:</t>
  </si>
  <si>
    <t>Mucho</t>
  </si>
  <si>
    <t>Suficiente</t>
  </si>
  <si>
    <t>Poco</t>
  </si>
  <si>
    <t>Nada</t>
  </si>
  <si>
    <t>14</t>
  </si>
  <si>
    <t>En que medida contribuyes en los oficios de tu casa?:</t>
  </si>
  <si>
    <t>El ambiente religioso que percibo en mi casa es:</t>
  </si>
  <si>
    <r>
      <t xml:space="preserve">Los </t>
    </r>
    <r>
      <rPr>
        <b/>
        <sz val="9"/>
        <rFont val="Comic Sans MS"/>
        <family val="4"/>
      </rPr>
      <t>tres</t>
    </r>
    <r>
      <rPr>
        <sz val="9"/>
        <rFont val="Comic Sans MS"/>
        <family val="4"/>
      </rPr>
      <t xml:space="preserve"> aspectos de mi vida por los que más se preocupan mis padres son</t>
    </r>
  </si>
  <si>
    <t>Mi fe y mi vida cristiana</t>
  </si>
  <si>
    <t>Siento que existe un Dios que me ama:</t>
  </si>
  <si>
    <t>18</t>
  </si>
  <si>
    <t>Señala aquellas opciones donde sientes a Dios (V/R)</t>
  </si>
  <si>
    <t>La iglesia</t>
  </si>
  <si>
    <t>La naturaleza</t>
  </si>
  <si>
    <t>El salón de clase</t>
  </si>
  <si>
    <t>Las convivencias</t>
  </si>
  <si>
    <t>Todas las personas</t>
  </si>
  <si>
    <t>Mi familia</t>
  </si>
  <si>
    <t>Algunas personas cercanas a dios</t>
  </si>
  <si>
    <t>Los necesitados</t>
  </si>
  <si>
    <t>Todas partes</t>
  </si>
  <si>
    <t>Oración</t>
  </si>
  <si>
    <t>l)</t>
  </si>
  <si>
    <t>Sacramentos</t>
  </si>
  <si>
    <t>La oración en mi vida:</t>
  </si>
  <si>
    <t>Suelo rezar por convicción o porque me gusta</t>
  </si>
  <si>
    <t>Rezo por costumbre</t>
  </si>
  <si>
    <t>Rezo solo en situación de dificultad</t>
  </si>
  <si>
    <t>No rezo nunca</t>
  </si>
  <si>
    <t>Voy a misa:</t>
  </si>
  <si>
    <t>Todos los domingos</t>
  </si>
  <si>
    <t>Algunos domingos</t>
  </si>
  <si>
    <t>Sólo en fechas especiales</t>
  </si>
  <si>
    <t>Nunca</t>
  </si>
  <si>
    <t>Expreso mi fe de las siguientes maneras: (V/R)</t>
  </si>
  <si>
    <t>Suelo llevar una cruz o algún objeto religioso</t>
  </si>
  <si>
    <t>Suelo bendecir los alimentos antes de comer</t>
  </si>
  <si>
    <t>Suelo ir los domingos y otras fechas especiales a la iglesia</t>
  </si>
  <si>
    <t>Suelo orar todos los días</t>
  </si>
  <si>
    <t>Voy a misa en las fechas de mis familiares difuntos</t>
  </si>
  <si>
    <t>En alguna ocasión he rezado el rosario</t>
  </si>
  <si>
    <t>En ocasiones, en mi casa tenemos una oración familiar</t>
  </si>
  <si>
    <t>En Semana Santa asisto a las procesiones</t>
  </si>
  <si>
    <t>Tengo en mi cuarto alguna imagen religiosa</t>
  </si>
  <si>
    <t>Soy miembro de alguno de los siguientes grupos:</t>
  </si>
  <si>
    <t>Deportivo</t>
  </si>
  <si>
    <t>Cultural (folklórico, musicales, danzas, scout, banda marcial...)</t>
  </si>
  <si>
    <t>Religioso o parroquial</t>
  </si>
  <si>
    <t>No pertenezco a ninguno.</t>
  </si>
  <si>
    <t>Los grupos juveniles cristianos son para mi:</t>
  </si>
  <si>
    <t>Un grupo donde profundizo mi fe</t>
  </si>
  <si>
    <t>Un lugar donde comparto con mis compañeros</t>
  </si>
  <si>
    <t>Un lugar donde me lo paso bien</t>
  </si>
  <si>
    <t>No pertenezco a grupos juveniles cristianos</t>
  </si>
  <si>
    <t>Alguna vez pensé en ser sacerdote o hermana religiosa</t>
  </si>
  <si>
    <t>Actualmente considero la posibilidad de ser sacerdote o hermana religiosa:</t>
  </si>
  <si>
    <t>Sin respuesta</t>
  </si>
  <si>
    <t>De las siguientes profesiones u oficios señala las dos que valoras más:</t>
  </si>
  <si>
    <t>Medicina</t>
  </si>
  <si>
    <t>Docencia</t>
  </si>
  <si>
    <t>Sacerdocio o hermana religiosa</t>
  </si>
  <si>
    <t>Ingeniería</t>
  </si>
  <si>
    <t>Derecho</t>
  </si>
  <si>
    <t>Ciencias policiales o artes militares</t>
  </si>
  <si>
    <t>Artista</t>
  </si>
  <si>
    <t>Ciencias Políticas</t>
  </si>
  <si>
    <t>Comerciante</t>
  </si>
  <si>
    <t>Trabajador calificado</t>
  </si>
  <si>
    <t>Estudio para llegar en un futuro a:</t>
  </si>
  <si>
    <t>Ganar mucho dinero</t>
  </si>
  <si>
    <t>Tener una buena posición social, ser importante</t>
  </si>
  <si>
    <t>Ser un excelente profesional</t>
  </si>
  <si>
    <t>Desarrollarme personalmente</t>
  </si>
  <si>
    <t>Servir a los demás</t>
  </si>
  <si>
    <t>Ejecutar una tarea conforme a mi fe</t>
  </si>
  <si>
    <t>Las clases de formación religiosa son interesantes:</t>
  </si>
  <si>
    <t>No, en absoluto</t>
  </si>
  <si>
    <t>Bastante</t>
  </si>
  <si>
    <t>Mucho o muchísimo</t>
  </si>
  <si>
    <t>Lo que más me gusta del colegio es:(señala dos opciones)</t>
  </si>
  <si>
    <t>Los deportes y diversiones</t>
  </si>
  <si>
    <t>El ambiente de estudio y de trabajo</t>
  </si>
  <si>
    <t>Las instalaciones del colegio</t>
  </si>
  <si>
    <t>Los grupos juveniles cristianos</t>
  </si>
  <si>
    <t>La mayor posibilidad de vivir mi fe</t>
  </si>
  <si>
    <t>La igualdad de trato que se da a todos</t>
  </si>
  <si>
    <t>La relación con los docentes</t>
  </si>
  <si>
    <t>Las actividades extraescolares</t>
  </si>
  <si>
    <t>No me gusta nada</t>
  </si>
  <si>
    <t>En la semana dedico a mis estudios un aproximado de:</t>
  </si>
  <si>
    <t>De 0 a 2 horas</t>
  </si>
  <si>
    <t>De 3 a 4 horas</t>
  </si>
  <si>
    <t>De 5 a 6 horas</t>
  </si>
  <si>
    <t>De 7 a 8 horas</t>
  </si>
  <si>
    <t>De 9 a 10 horas</t>
  </si>
  <si>
    <t>Mas de 11 horas</t>
  </si>
  <si>
    <r>
      <t xml:space="preserve">En mi tiempo libre (señala hasta </t>
    </r>
    <r>
      <rPr>
        <b/>
        <sz val="9"/>
        <rFont val="Comic Sans MS"/>
        <family val="4"/>
      </rPr>
      <t>tres</t>
    </r>
    <r>
      <rPr>
        <sz val="9"/>
        <rFont val="Comic Sans MS"/>
        <family val="4"/>
      </rPr>
      <t xml:space="preserve"> opciones):</t>
    </r>
  </si>
  <si>
    <t>Me divierto con juegos para computadoras</t>
  </si>
  <si>
    <t>Navego en Internet</t>
  </si>
  <si>
    <t>Suelo ir a centros de video (máquinas de juegos)</t>
  </si>
  <si>
    <t>Estoy la mayor parte del tiempo en la casa sin hacer nada</t>
  </si>
  <si>
    <t>Suelo ir a algún parque</t>
  </si>
  <si>
    <t>Toco un instrumento musical</t>
  </si>
  <si>
    <t>Suelo ir a discotecas o fiestas</t>
  </si>
  <si>
    <t>Suelo ir al cine</t>
  </si>
  <si>
    <t>Leo revistas o libros</t>
  </si>
  <si>
    <t>Estoy en algún grupo juvenil</t>
  </si>
  <si>
    <t>Practico algún deporte</t>
  </si>
  <si>
    <t>Escuho música y/o veo videos musicales</t>
  </si>
  <si>
    <t>m)</t>
  </si>
  <si>
    <t>Veo televisión y/o películas</t>
  </si>
  <si>
    <t>n)</t>
  </si>
  <si>
    <t>Estoy conversando con los amigos/as</t>
  </si>
  <si>
    <t>El control disciplinario que ejercen mis docentes en clase es:</t>
  </si>
  <si>
    <t>Muy bueno</t>
  </si>
  <si>
    <t>Bueno</t>
  </si>
  <si>
    <t>Regular</t>
  </si>
  <si>
    <t>Deficiente</t>
  </si>
  <si>
    <t>Muy deficiente</t>
  </si>
  <si>
    <t>Evalúa la calidad de los siguientes servicios que ofrece el colegio:</t>
  </si>
  <si>
    <t>Marca la opción en la hoja de respuestas según tu criterio:</t>
  </si>
  <si>
    <t>a) Muy buena(s)</t>
  </si>
  <si>
    <t>c) regular</t>
  </si>
  <si>
    <t>e) Muy mala(s)</t>
  </si>
  <si>
    <t>b) buena</t>
  </si>
  <si>
    <t>d) mala</t>
  </si>
  <si>
    <t>Orientación y Psicopedagogía</t>
  </si>
  <si>
    <t>Muy buena</t>
  </si>
  <si>
    <t>Buena</t>
  </si>
  <si>
    <t>Mala</t>
  </si>
  <si>
    <t>Muy mala</t>
  </si>
  <si>
    <t>No aplica</t>
  </si>
  <si>
    <t>Evaluación</t>
  </si>
  <si>
    <t>Biblioteca</t>
  </si>
  <si>
    <t>Coordinación</t>
  </si>
  <si>
    <t>Actividades deportivas</t>
  </si>
  <si>
    <t>Pastoral</t>
  </si>
  <si>
    <t>Las celebraciones religiosas</t>
  </si>
  <si>
    <t>El ambiente del colegio</t>
  </si>
  <si>
    <t>De estos aspectos, en el que más se INSISTE EN EL COLEGIO  es</t>
  </si>
  <si>
    <t>El compañerismo</t>
  </si>
  <si>
    <t>El estudio</t>
  </si>
  <si>
    <t>La formacion del carácter</t>
  </si>
  <si>
    <t>La disciplina y el orden</t>
  </si>
  <si>
    <t>La pràctica religiosa</t>
  </si>
  <si>
    <t>En nada</t>
  </si>
  <si>
    <t>LA PREOCUPACION fundamental que manifiesta el colegio ante mi porvenir es:</t>
  </si>
  <si>
    <t>Que sea un buen profesional</t>
  </si>
  <si>
    <t>Darme una buena ocupaciòn</t>
  </si>
  <si>
    <t>Que me preocupe de los demàs</t>
  </si>
  <si>
    <t>Que ayude econòmicamente a la familia</t>
  </si>
  <si>
    <t>Que sea cristiano responsable</t>
  </si>
  <si>
    <t>Que tenga honradez en la vida</t>
  </si>
  <si>
    <t>No tienen una preocupaciòn especial</t>
  </si>
  <si>
    <t>No sè</t>
  </si>
  <si>
    <t>Creo que la FE, en la vida de una persona es:</t>
  </si>
  <si>
    <t>Innecesaria</t>
  </si>
  <si>
    <t>Indiferente</t>
  </si>
  <si>
    <t>Conveniente</t>
  </si>
  <si>
    <t>Bastante necesaria</t>
  </si>
  <si>
    <t>Absolutamente necesaria</t>
  </si>
  <si>
    <t>Con Respecto al ALCOHOL</t>
  </si>
  <si>
    <t>No acostumbro a tomarlo nunca</t>
  </si>
  <si>
    <t>Las veces que bebo, es con moderaciòn</t>
  </si>
  <si>
    <t>Alguna vez he bebido màs de la cuenta</t>
  </si>
  <si>
    <t>Con frecuencia (fines de semana u otros momentos) suelo beber màs de la cuenta.</t>
  </si>
  <si>
    <t>Los PROFESORES que me dan clase son, en general</t>
  </si>
  <si>
    <t>Personas a las que tengo que aguantar</t>
  </si>
  <si>
    <t>Profesionales que no se preocupan de nosotros</t>
  </si>
  <si>
    <t>Profesionales que hacen lo que pueden</t>
  </si>
  <si>
    <t>Buenos profesionales de la educaciòn</t>
  </si>
  <si>
    <t>Educadores que se preocupan de nosotros</t>
  </si>
  <si>
    <t>Educadores que ademàs me han abierto caminos</t>
  </si>
  <si>
    <t>Las CLASES EN GENERAL, me parecen interesantes:</t>
  </si>
  <si>
    <t>Mucho o muchìsimo</t>
  </si>
  <si>
    <t>Los ESCOLAPIOS QUE CONOZCO, en general:</t>
  </si>
  <si>
    <t>No me gustan en absoluto</t>
  </si>
  <si>
    <t>Hay de todo tipo, pero predomina lo negativo</t>
  </si>
  <si>
    <t>Son personas normales y corrientes</t>
  </si>
  <si>
    <t>Hay de todo tipo, pero predomina lo positivo</t>
  </si>
  <si>
    <t>Son personas que me gustan y admiro</t>
  </si>
  <si>
    <t>Tegno CONFIANZA PARA HABLAR de las cosas importantes de mi vida con (V/R)</t>
  </si>
  <si>
    <t>Mi padre</t>
  </si>
  <si>
    <t>Mi madre</t>
  </si>
  <si>
    <t>Un hermano/a</t>
  </si>
  <si>
    <t>Un escolapio, religioso o religiosa</t>
  </si>
  <si>
    <t>Una, una docente</t>
  </si>
  <si>
    <t>La orientadora</t>
  </si>
  <si>
    <t>Un amigo</t>
  </si>
  <si>
    <t>Una amiga</t>
  </si>
  <si>
    <t>Un, una catequista o responsable de grupo</t>
  </si>
  <si>
    <t>Nadie</t>
  </si>
  <si>
    <t>No tengo problemas personales</t>
  </si>
  <si>
    <t>e) Muy mala</t>
  </si>
  <si>
    <t>d) Mucho o muchísimo</t>
  </si>
  <si>
    <t>c) Profesionales que hacen lo que pueden</t>
  </si>
  <si>
    <t>c) Alguna vez he bebido más de la cuenta</t>
  </si>
  <si>
    <t>a) Innecesaria</t>
  </si>
  <si>
    <t>a) Que sea un buen profesional</t>
  </si>
  <si>
    <t>a) El compañerismo</t>
  </si>
  <si>
    <t>a) Muy buena</t>
  </si>
  <si>
    <t>b) Buena</t>
  </si>
  <si>
    <t>c) Regular</t>
  </si>
  <si>
    <t>d) Mala</t>
  </si>
  <si>
    <t>a) Muy bueno</t>
  </si>
  <si>
    <t>c) Bastante</t>
  </si>
  <si>
    <t>c) Ser un excelente profesional</t>
  </si>
  <si>
    <t>a) Sí</t>
  </si>
  <si>
    <t>a) Un grupo donde profundizo mi fe</t>
  </si>
  <si>
    <t>b) Algunos domingos</t>
  </si>
  <si>
    <t>b) Rezo por costumbre</t>
  </si>
  <si>
    <t>c) Poco</t>
  </si>
  <si>
    <t>b) El futuro</t>
  </si>
  <si>
    <t>c) Dos</t>
  </si>
  <si>
    <t>b) No</t>
  </si>
  <si>
    <t>a) Católica</t>
  </si>
  <si>
    <t>Psicología</t>
  </si>
  <si>
    <t>e) Son personas que me gustan y admiro</t>
  </si>
  <si>
    <t>a) No acostumbro a tomarlo nunca</t>
  </si>
  <si>
    <t>d) Bastante necesaria</t>
  </si>
  <si>
    <t>e) La disciplina y el orden</t>
  </si>
  <si>
    <t>b) Bueno</t>
  </si>
  <si>
    <t>b) Poco</t>
  </si>
  <si>
    <t>d) No pertenezco a ninguno</t>
  </si>
  <si>
    <t>c) Rezo solo en situación de dificultad</t>
  </si>
  <si>
    <t>a) Mucho</t>
  </si>
  <si>
    <t>b) Una</t>
  </si>
  <si>
    <t>i) Computadora</t>
  </si>
  <si>
    <t>b) Femenino</t>
  </si>
  <si>
    <t>b) Primaria</t>
  </si>
  <si>
    <t>h) Una amiga</t>
  </si>
  <si>
    <t>a) Personas a las que tengo que aguantar</t>
  </si>
  <si>
    <t>b) Indiferente</t>
  </si>
  <si>
    <t>h) No sé</t>
  </si>
  <si>
    <t>d) Desarrollarme personalmente</t>
  </si>
  <si>
    <t>c) Un lugar donde me lo paso bien</t>
  </si>
  <si>
    <t>a) Deportivo</t>
  </si>
  <si>
    <t>e) Voy a misa en las fechas de mis familiares difuntos</t>
  </si>
  <si>
    <t>a) Mamá</t>
  </si>
  <si>
    <t>c) Son personas normales y corrientes</t>
  </si>
  <si>
    <t>b) Las veces que bebo, es con moderación</t>
  </si>
  <si>
    <t>b) La orientación cristiana</t>
  </si>
  <si>
    <t>c) Las instalaciones del Colegio</t>
  </si>
  <si>
    <t>c) Algo</t>
  </si>
  <si>
    <t>b) Un lugar donde comparto con mis compañeros</t>
  </si>
  <si>
    <t>a) Todos los domingos</t>
  </si>
  <si>
    <t>g) Mis estudios</t>
  </si>
  <si>
    <t>d) Casa Rural</t>
  </si>
  <si>
    <t>b) Darme una buena educación</t>
  </si>
  <si>
    <t>e) No sé</t>
  </si>
  <si>
    <t>d) No pertenezco a grupos juveniles cristianos</t>
  </si>
  <si>
    <t>a) Seguridad personal (la violencia y la delincuencia)</t>
  </si>
  <si>
    <t>d) Tres</t>
  </si>
  <si>
    <t>e) Absolutamente necesaria</t>
  </si>
  <si>
    <t>j) Nadie</t>
  </si>
  <si>
    <t>i) No me gusta nada</t>
  </si>
  <si>
    <t>b) Tener una buena posición social, ser importante</t>
  </si>
  <si>
    <t>a) Ninguna</t>
  </si>
  <si>
    <t>c) Conveniente</t>
  </si>
  <si>
    <t>b) El ambiente de estudio y de trabajo</t>
  </si>
  <si>
    <t>i) Tengo en mi cuarto alguna imagen religiosa</t>
  </si>
  <si>
    <t>f) La situación política del país</t>
  </si>
  <si>
    <t>e) Educadores que se preocupan de nosotros</t>
  </si>
  <si>
    <t>g) La orientación profesional futura</t>
  </si>
  <si>
    <t>a) Suelo rezar por convicción o porque me gusta</t>
  </si>
  <si>
    <t>d) Los problemas familiares</t>
  </si>
  <si>
    <t>f) Más de cuatro</t>
  </si>
  <si>
    <t>e) Muy deficiente</t>
  </si>
  <si>
    <t>c) Religioso o parroquial</t>
  </si>
  <si>
    <t>a) Suelo llevar una cruz o algún objeto religioso</t>
  </si>
  <si>
    <t>d) Otra</t>
  </si>
  <si>
    <t>d) Nunca</t>
  </si>
  <si>
    <t>d) Nada</t>
  </si>
  <si>
    <t>a) No me gustan en absoluto</t>
  </si>
  <si>
    <t>e) Servir a los demás</t>
  </si>
  <si>
    <t>c) Yo mismo</t>
  </si>
  <si>
    <t>h) La responsabilidad social y el servicio a los demás</t>
  </si>
  <si>
    <t>f) En alguna ocasión he rezado el rosario</t>
  </si>
  <si>
    <t>d) No rezo nunca</t>
  </si>
  <si>
    <t>a) No, en absoluto</t>
  </si>
  <si>
    <t>d) Suelo orar todos los días</t>
  </si>
  <si>
    <t>b) Evangélica</t>
  </si>
  <si>
    <t>e) Cuatro</t>
  </si>
  <si>
    <t>b) Mi madre</t>
  </si>
  <si>
    <t>c) Suelo ir los domingos y otras fechas especiales a la Iglesia</t>
  </si>
  <si>
    <t>b) La naturaleza</t>
  </si>
  <si>
    <t>a) Los deportes y diversiones</t>
  </si>
  <si>
    <t>a) Ganar mucho dinero</t>
  </si>
  <si>
    <t>c) Apartamento</t>
  </si>
  <si>
    <t>c) El estudio</t>
  </si>
  <si>
    <t>b) Profesionales que no se preocupan de nosotros</t>
  </si>
  <si>
    <t>f) Ejecutar una tarea conforme a mi fe</t>
  </si>
  <si>
    <t>a) La Iglesia</t>
  </si>
  <si>
    <t>a) Medicina</t>
  </si>
  <si>
    <t>a) La familia</t>
  </si>
  <si>
    <t>g) Mi familia</t>
  </si>
  <si>
    <t>e) Que sea cristiano responsable</t>
  </si>
  <si>
    <t>c) Los estudios</t>
  </si>
  <si>
    <t>d) Deficiente</t>
  </si>
  <si>
    <t>h) Las actividades extraescolares</t>
  </si>
  <si>
    <t>a) Mi padre, b) Mi madre</t>
  </si>
  <si>
    <t>b) Navego en Internet, l) Escucho música y/o veo videos musicales, m) Veo televisión y/o películas</t>
  </si>
  <si>
    <t>e) Voy a misa en las fechas de mis familiares difuntos, i) Tengo en mi cuarto alguna imagen religiosa</t>
  </si>
  <si>
    <t>b) Los amigos, c) Los estudios, g) La felicidad</t>
  </si>
  <si>
    <t>a) La familia, c) Los estudios, f) Mi fe y vida cristiana</t>
  </si>
  <si>
    <t>a) Mamá, b) Papá, c) Hermanos</t>
  </si>
  <si>
    <t>a) Medicina, e) Derecho</t>
  </si>
  <si>
    <t>a) La familia, g) La felicidad, i) La música</t>
  </si>
  <si>
    <t>a) Medicina, d) Ingeniería</t>
  </si>
  <si>
    <t>a) La familia, c) Los estudios, g) La felicidad</t>
  </si>
  <si>
    <t>a) Mamá, b) Papá, c) Hermanos, d) Abuelos</t>
  </si>
  <si>
    <t>g) Un amigo, h) Una amiga</t>
  </si>
  <si>
    <t>a) Los deportes y diversiones, b) El ambiente de estudio y de trabajo</t>
  </si>
  <si>
    <t>e) Voy a misa en las fechas de mis familiares difuntos, f) En alguna ocasión he rezado el rosario, i) Tengo en mi cuarto alguna imagen religiosa</t>
  </si>
  <si>
    <t>a) La Iglesia, d) Las convivencias, k) La oración, l) Los sacramentos</t>
  </si>
  <si>
    <t>a) La familia, c) Los estudios, d) El cuidado de mi cuerpo</t>
  </si>
  <si>
    <t>a) Mi padre, b) Mi madre, c) Un hermano/a, g) Un amigo, h) Una amiga</t>
  </si>
  <si>
    <t>a) Deportivo, c) Religioso o parroquial</t>
  </si>
  <si>
    <t>l) Escucho música y/o veo videos musicales, m) Veo televisión y/o películas, n) Estoy conversando con los amigos/as</t>
  </si>
  <si>
    <t>a) La familia, c) Los estudios, e) Disponer de dinero</t>
  </si>
  <si>
    <t>a) La familia, d) El cuidado de mi cuerpo, g) La felicidad</t>
  </si>
  <si>
    <t>a) Mamá, c) Hermanos</t>
  </si>
  <si>
    <t>d) Ingeniería, f) Ciencias policiales o artes militares</t>
  </si>
  <si>
    <t>c) Un hermano/a, h) Una amiga</t>
  </si>
  <si>
    <t>a) Los deportes y diversiones, c) Las instalaciones del Colegio</t>
  </si>
  <si>
    <t>a) La familia, b) Los amigos, g) La felicidad</t>
  </si>
  <si>
    <t>c) Suelo ir los domingos y otras fechas especiales a la Iglesia, e) Voy a misa en las fechas de mis familiares difuntos</t>
  </si>
  <si>
    <t>a) La familia, c) Los estudios, j) El deporte</t>
  </si>
  <si>
    <t>a) Mamá, c) Hermanos, d) Abuelos</t>
  </si>
  <si>
    <t>a) Los deportes y diversiones, d) Los grupos juveniles cristianos</t>
  </si>
  <si>
    <t>d) Ingeniería, g) Artista</t>
  </si>
  <si>
    <t>a) La Iglesia, k) La oración</t>
  </si>
  <si>
    <t>a) La familia, g) La felicidad, j) El deporte</t>
  </si>
  <si>
    <t>a) Mamá, b) Papá</t>
  </si>
  <si>
    <t>a) Mi padre, b) Mi madre, c) Un hermano/a, h) Una amiga</t>
  </si>
  <si>
    <t>d) Suelo orar todos los días, i) Tengo en mi cuarto alguna imagen religiosa</t>
  </si>
  <si>
    <t>b) La naturaleza, e) Los amigos, g) Mi familia</t>
  </si>
  <si>
    <t>a) La familia, b) Los amigos, i) La música</t>
  </si>
  <si>
    <t>a) Cónsola videojuegos, b) Lavadora, c) Microondas, d) TV pantalla plana, g) MP4, h) Carro, i) Computadora, j) Cámara digital, k) Aire acondicionado</t>
  </si>
  <si>
    <t>b) Mi madre, c) Un hermano/a, h) Una amiga</t>
  </si>
  <si>
    <t>a) Medicina, j) Trabajador calificado</t>
  </si>
  <si>
    <t>k) Practico algún deporte, m) Veo televisión y/o películas, n) Estoy conversando con los amigos/as</t>
  </si>
  <si>
    <t>c) Las instalaciones del Colegio, g) La relación con los docentes</t>
  </si>
  <si>
    <t>a) Cónsola videojuegos, b) Lavadora, c) Microondas, d) TV pantalla plana, f) MP3, g) MP4, i) Computadora, j) Cámara digital, k) Aire acondicionado</t>
  </si>
  <si>
    <t>a) Mamá, b) Papá, c) Hermanos, d) Abuelos, e) Otros familiares</t>
  </si>
  <si>
    <t>b) Mi madre, c) Un hermano/a</t>
  </si>
  <si>
    <t>a) Los deportes y diversiones, h) Las actividades extraescolares</t>
  </si>
  <si>
    <t>a) Mi padre, b) Mi madre, g) Un amigo, h) Una amiga</t>
  </si>
  <si>
    <t>a) La familia, b) Los amigos, c) Los estudios</t>
  </si>
  <si>
    <t>a) Mamá, b) Papá, c) Hermanos, e) Otros familiares</t>
  </si>
  <si>
    <t>c) Un hermano/a, g) Un amigo</t>
  </si>
  <si>
    <t>a) Suelo llevar una cruz o algún objeto religioso, e) Voy a misa en las fechas de mis familiares difuntos</t>
  </si>
  <si>
    <t>a) Cónsola videojuegos, b) Lavadora, c) Microondas, d) TV pantalla plana, f) MP3, g) MP4, h) Carro, i) Computadora, j) Cámara digital, k) Aire acondicionado</t>
  </si>
  <si>
    <t>b) Navego en Internet, d) Estoy la mayor parte del tiempo en la casa sin hacer nada, n) Estoy conversando con los amigos/as</t>
  </si>
  <si>
    <t>b) Mi madre, g) Un amigo, h) Una amiga</t>
  </si>
  <si>
    <t>a) Cónsola videojuegos, b) Lavadora, c) Microondas, d) TV pantalla plana, e) Moto, h) Carro, i) Computadora, j) Cámara digital, k) Aire acondicionado</t>
  </si>
  <si>
    <t>a) Cónsola videojuegos, b) Lavadora, c) Microondas, d) TV pantalla plana, f) MP3, h) Carro, i) Computadora, j) Cámara digital</t>
  </si>
  <si>
    <t>d) Ingeniería, e) Derecho</t>
  </si>
  <si>
    <t>a) La Iglesia, b) La naturaleza, k) La oración</t>
  </si>
  <si>
    <t>d) Estoy la mayor parte del tiempo en la casa sin hacer nada, m) Veo televisión y/o películas, n) Estoy conversando con los amigos/as</t>
  </si>
  <si>
    <t>b) El ambiente de estudio y de trabajo, c) Las instalaciones del Colegio</t>
  </si>
  <si>
    <t>a) La familia, c) Los estudios, i) La música</t>
  </si>
  <si>
    <t>a) Medicina, f) Ciencias policiales o artes militares</t>
  </si>
  <si>
    <t>a) La Iglesia, g) Mi familia, k) La oración</t>
  </si>
  <si>
    <t>a) Me divierto con juegos para computadoras, b) Navego en Internet, n) Estoy conversando con los amigos/as</t>
  </si>
  <si>
    <t>a) Los deportes y diversiones, g) La relación con los docentes</t>
  </si>
  <si>
    <t>c) Los estudios, e) Disponer de dinero, g) La felicidad</t>
  </si>
  <si>
    <t>a) La Iglesia, b) La naturaleza</t>
  </si>
  <si>
    <t>a) La Iglesia, b) La naturaleza, g) Mi familia, h) Algunas personas cercanas a Dios, k) La oración, l) Los sacramentos</t>
  </si>
  <si>
    <t>b) Los amigos, c) Los estudios, d) El cuidado de mi cuerpo</t>
  </si>
  <si>
    <t>a) Medicina, g) Artista</t>
  </si>
  <si>
    <t>b) Lavadora, i) Computadora</t>
  </si>
  <si>
    <t>a) Los deportes y diversiones, f) La igualdad de trato que se da a todos</t>
  </si>
  <si>
    <t>a) La familia, b) Los amigos, j) El deporte</t>
  </si>
  <si>
    <t>a) Me divierto con juegos para computadoras, b) Navego en Internet, m) Veo televisión y/o películas</t>
  </si>
  <si>
    <t>b) El ambiente de estudio y de trabajo, d) Los grupos juveniles cristianos</t>
  </si>
  <si>
    <t>g) Artista, i) Comerciante</t>
  </si>
  <si>
    <t>b) Lavadora, c) Microondas, d) TV pantalla plana, h) Carro, i) Computadora, j) Cámara digital, k) Aire acondicionado</t>
  </si>
  <si>
    <t>a) Mi padre, b) Mi madre, c) Un hermano/a, g) Un amigo</t>
  </si>
  <si>
    <t>d) Ingeniería, h) Ciencias políticas</t>
  </si>
  <si>
    <t>a) Mi padre, b) Mi madre, c) Un hermano/a</t>
  </si>
  <si>
    <t>a) La Iglesia, k) La oración, l) Los sacramentos</t>
  </si>
  <si>
    <t>a) Mi padre, b) Mi madre, g) Un amigo</t>
  </si>
  <si>
    <t>c) Suelo ir los domingos y otras fechas especiales a la Iglesia, f) En alguna ocasión he rezado el rosario</t>
  </si>
  <si>
    <t>a) Deportivo, d) No pertenezco a ninguno</t>
  </si>
  <si>
    <t>a) Mamá, d) Abuelos</t>
  </si>
  <si>
    <t>b) Navego en Internet, m) Veo televisión y/o películas, n) Estoy conversando con los amigos/as</t>
  </si>
  <si>
    <t>f) Que tenga honradez en la vida</t>
  </si>
  <si>
    <t>a) Medicina, b) Docencia</t>
  </si>
  <si>
    <t>b) Mi madre, h) Una amiga</t>
  </si>
  <si>
    <t>k) Practico algún deporte, l) Escucho música y/o veo videos musicales, n) Estoy conversando con los amigos/as</t>
  </si>
  <si>
    <t>a) Mamá, c) Hermanos, d) Abuelos, e) Otros familiares</t>
  </si>
  <si>
    <t>d) No sé</t>
  </si>
  <si>
    <t>a) Suelo llevar una cruz o algún objeto religioso, c) Suelo ir los domingos y otras fechas especiales a la Iglesia, e) Voy a misa en las fechas de mis familiares difuntos, f) En alguna ocasión he rezado el rosario, h) En Semana Santa asisto a las procesiones, i) Tengo en mi cuarto alguna imagen religiosa</t>
  </si>
  <si>
    <t>b) Docencia, d) Ingeniería</t>
  </si>
  <si>
    <t>a) Mamá, b) Papá, d) Abuelos, e) Otros familiares</t>
  </si>
  <si>
    <t>h) En Semana Santa asisto a las procesiones, i) Tengo en mi cuarto alguna imagen religiosa</t>
  </si>
  <si>
    <t>a) Mi padre, b) Mi madre, h) Una amiga</t>
  </si>
  <si>
    <t>a) La Iglesia, b) La naturaleza, c) El salón de clase, d) Las convivencias, e) Los amigos, f) Todas las personas, g) Mi familia, h) Algunas personas cercanas a Dios, i) Los necesitados, j) Todas partes, k) La oración, l) Los sacramentos</t>
  </si>
  <si>
    <t>1er año</t>
  </si>
  <si>
    <t>3er año</t>
  </si>
  <si>
    <t>5to año</t>
  </si>
  <si>
    <t>1er año Varones</t>
  </si>
  <si>
    <t>1er año Hembras</t>
  </si>
  <si>
    <t>3er año Varones</t>
  </si>
  <si>
    <t>3er año Hembras</t>
  </si>
  <si>
    <t>5to año Varones</t>
  </si>
  <si>
    <t>5to año Hembras</t>
  </si>
  <si>
    <t>La orientación cristiana</t>
  </si>
  <si>
    <t>La responsabilidad social y servicio a los demás</t>
  </si>
  <si>
    <t>La Orientación profesional futura</t>
  </si>
  <si>
    <t>35 Evalúa la calidad del servicio de Evaluación</t>
  </si>
  <si>
    <t>38 Evalúa la calidad de las Actividades Deportivas</t>
  </si>
  <si>
    <t>40 Evalúa la calidad de las Convivencias</t>
  </si>
  <si>
    <t>41 Evalúa la calidad de las Celebraciones Religiosas</t>
  </si>
  <si>
    <t>42 Evalúa la calidad del ambiente del Colegio</t>
  </si>
  <si>
    <t>46 Con respecto al ALCOHOL</t>
  </si>
  <si>
    <t xml:space="preserve">  1er Año</t>
  </si>
  <si>
    <t xml:space="preserve">  5to Año</t>
  </si>
  <si>
    <t xml:space="preserve">  3er año</t>
  </si>
  <si>
    <t xml:space="preserve">  1º  3º  5º</t>
  </si>
  <si>
    <t>Varones</t>
  </si>
  <si>
    <t>Hembras</t>
  </si>
  <si>
    <t>Educación Inicial</t>
  </si>
  <si>
    <t>Entre Primero y Tercer año</t>
  </si>
  <si>
    <t>En  Cuarto año o posterior</t>
  </si>
  <si>
    <t>a) Calasanz de Caracas</t>
  </si>
  <si>
    <t>a) Educación Inicial</t>
  </si>
  <si>
    <t>c) Solo en fechas especiales</t>
  </si>
  <si>
    <t>g) Artista</t>
  </si>
  <si>
    <t>a) 0 a 2 horas</t>
  </si>
  <si>
    <t>f) 11 o más horas</t>
  </si>
  <si>
    <t>d) Hay de todo tipo, pero predomina lo positivo</t>
  </si>
  <si>
    <t>b) 3 a 4 horas</t>
  </si>
  <si>
    <t>d) Buenos profesionales de la educación</t>
  </si>
  <si>
    <t>a) Cónsola videojuegos, b) Lavadora, c) Microondas, d) TV pantalla plana, e) Moto, g) MP4, h) Carro, i) Computadora, j) Cámara digital, k) Aire acondicionado</t>
  </si>
  <si>
    <t>e) Derecho</t>
  </si>
  <si>
    <t>c) 5 a 6 horas</t>
  </si>
  <si>
    <t>c) Que me preocupe de los demás</t>
  </si>
  <si>
    <t>f) la práctica religiosa</t>
  </si>
  <si>
    <t>e) 9 a 10 horas</t>
  </si>
  <si>
    <t>f) En alguna ocasión he rezado el rosario, g) En ocasiones, en mi casa tenemos una oración familiar</t>
  </si>
  <si>
    <t>a) Cónsola videojuegos, b) Lavadora, c) Microondas, d) TV pantalla plana, h) Carro, i) Computadora, j) Cámara digital, k) Aire acondicionado</t>
  </si>
  <si>
    <t>d) 7 a 8 horas</t>
  </si>
  <si>
    <t>a) La familia, d) El cuidado de mi cuerpo, i) La música</t>
  </si>
  <si>
    <t>f) Educadores que, además, me han abierto caminos</t>
  </si>
  <si>
    <t>a) La familia, c) Los estudios, d) El cuidado de mi cuerpo, g) La felicidad</t>
  </si>
  <si>
    <t>b) Hay de todo tipo, pero predomina lo negativo</t>
  </si>
  <si>
    <t>b) Cultural (folklórico, musicales, danzas, scout, banda marcial,...) , c) Religioso o parroquial</t>
  </si>
  <si>
    <t>d) Suelo orar todos los días, e) Voy a misa en las fechas de mis familiares difuntos</t>
  </si>
  <si>
    <t>a) Primer año</t>
  </si>
  <si>
    <t>b) Suelo bendedir los alimentos antes de comer</t>
  </si>
  <si>
    <t>a) La familia, c) Los estudios, g) La felicidad, j) El deporte</t>
  </si>
  <si>
    <t>c) Los estudios, d) El cuidado de mi cuerpo, j) El deporte</t>
  </si>
  <si>
    <t>g) En ocasiones, en mi casa tenemos una oración familiar</t>
  </si>
  <si>
    <t>b) Lavadora, c) Microondas, d) TV pantalla plana, h) Carro, i) Computadora, k) Aire acondicionado</t>
  </si>
  <si>
    <t>i) En nada</t>
  </si>
  <si>
    <t>a) Cónsola videojuegos, b) Lavadora, c) Microondas, d) TV pantalla plana, f) MP3, g) MP4, h) Carro, i) Computadora, j) Cámara digital</t>
  </si>
  <si>
    <t>c) Entre Primero y Tercer año</t>
  </si>
  <si>
    <t>a) Mamá, b) Papá, d) Abuelos</t>
  </si>
  <si>
    <t>h) Los amigos</t>
  </si>
  <si>
    <t>g) No tienen una preocupación especial</t>
  </si>
  <si>
    <t>a) Quinta</t>
  </si>
  <si>
    <t>a) Cónsola videojuegos, b) Lavadora, c) Microondas, d) TV pantalla plana, e) Moto, f) MP3, g) MP4, h) Carro, i) Computadora, j) Cámara digital, k) Aire acondicionado</t>
  </si>
  <si>
    <t>a) La familia, e) Disponer de dinero, g) La felicidad</t>
  </si>
  <si>
    <t>a) Cónsola videojuegos, b) Lavadora, c) Microondas, d) TV pantalla plana, h) Carro, i) Computadora, j) Cámara digital</t>
  </si>
  <si>
    <t>a) Cónsola videojuegos, b) Lavadora, c) Microondas, d) TV pantalla plana, i) Computadora, j) Cámara digital</t>
  </si>
  <si>
    <t>a) Cónsola videojuegos, b) Lavadora, c) Microondas, d) TV pantalla plana, f) MP3, g) MP4, i) Computadora, j) Cámara digital</t>
  </si>
  <si>
    <t>b) Suelo bendedir los alimentos antes de comer, c) Suelo ir los domingos y otras fechas especiales a la Iglesia, d) Suelo orar todos los días, g) En ocasiones, en mi casa tenemos una oración familiar</t>
  </si>
  <si>
    <t>a) Deportivo, b) Cultural (folklórico, musicales, danzas, scout, banda marcial,...) , c) Religioso o parroquial</t>
  </si>
  <si>
    <t>a) La familia, f) Mi fe y vida cristiana, j) El deporte</t>
  </si>
  <si>
    <t>a) Mi padre, b) Mi madre, c) Un hermano/a, e) Un, una docente, g) Un amigo, h) Una amiga</t>
  </si>
  <si>
    <t>e) Derecho, g) Artista</t>
  </si>
  <si>
    <t>b) Lavadora, c) Microondas, d) TV pantalla plana, g) MP4, h) Carro, i) Computadora, j) Cámara digital, k) Aire acondicionado</t>
  </si>
  <si>
    <t>b) La naturaleza, g) Mi familia, j) Todas partes</t>
  </si>
  <si>
    <t>a) La familia, b) Los amigos, d) El cuidado de mi cuerpo</t>
  </si>
  <si>
    <t>b) Navego en Internet, d) Estoy la mayor parte del tiempo en la casa sin hacer nada, m) Veo televisión y/o películas</t>
  </si>
  <si>
    <t>a) La familia, f) Mi fe y mi vida cristiana, g) La felicidad</t>
  </si>
  <si>
    <t>b) Tercer año</t>
  </si>
  <si>
    <t>g) Artista, h) Ciencias políticas</t>
  </si>
  <si>
    <t>a) Suelo llevar una cruz o algún objeto religioso, f) En alguna ocasión he rezado el rosario, i) Tengo en mi cuarto alguna imagen religiosa</t>
  </si>
  <si>
    <t>i) Leo revistas o libros, m) Veo televisión y/o películas, n) Estoy conversando con los amigos/as</t>
  </si>
  <si>
    <t>b) Los amigos, c) Los estudios, e) Disponer de dinero</t>
  </si>
  <si>
    <t>e) Voy a misa en las fechas de mis familiares difuntos, f) En alguna ocasión he rezado el rosario, g) En ocasiones, en mi casa tenemos una oración familiar, i) Tengo en mi cuarto alguna imagen religiosa</t>
  </si>
  <si>
    <t>a) Mi padre, b) Mi madre, c) Un hermano/a, d) Un escolapio, religioso o religiosa</t>
  </si>
  <si>
    <t>a) La familia, b) Los amigos, h) La sexualidad</t>
  </si>
  <si>
    <t>a) Medicina, h) Ciencias políticas</t>
  </si>
  <si>
    <t>k) Practico algún deporte, l) Escucho música y/o veo videos musicales</t>
  </si>
  <si>
    <t>e) Derecho, i) Comerciante</t>
  </si>
  <si>
    <t>a) Cónsola videojuegos, b) Lavadora, c) Microondas, d) TV pantalla plana, h) Carro, i) Computadora</t>
  </si>
  <si>
    <t>a) La Iglesia, b) La naturaleza, k) La oración, l) Los sacramentos</t>
  </si>
  <si>
    <t>i) Leo revistas o libros, k) Practico algún deporte, l) Escucho música y/o veo videos musicales</t>
  </si>
  <si>
    <t>a) La familia, b) Los amigos, e) Disponer de dinero</t>
  </si>
  <si>
    <t>a) La Iglesia, h) Algunas personas cercanas a Dios</t>
  </si>
  <si>
    <t>e) Derecho, h) Ciencias políticas</t>
  </si>
  <si>
    <t>g) La felicidad</t>
  </si>
  <si>
    <t>a) La familia, b) Los amigos, k) El internet</t>
  </si>
  <si>
    <t>a) Los deportes y diversiones, i) No me gusta nada</t>
  </si>
  <si>
    <t>a) La Iglesia, h) Algunas personas cercanas a Dios, i) Los necesitados, k) La oración</t>
  </si>
  <si>
    <t>b) La naturaleza, g) Mi familia, k) La oración</t>
  </si>
  <si>
    <t>a) La familia, e) Disponer de dinero, h) La sexualidad</t>
  </si>
  <si>
    <t>c) Las instalaciones del Colegio, e) La mayor posibilidad de vivir mi fe</t>
  </si>
  <si>
    <t>b) El ambiente de estudio y de trabajo, f) La igualdad de trato que se da a todos</t>
  </si>
  <si>
    <t>g) La relación con los docentes</t>
  </si>
  <si>
    <t>e) Voy a misa en las fechas de mis familiares difuntos, f) En alguna ocasión he rezado el rosario, h) En Semana Santa asisto a las procesiones</t>
  </si>
  <si>
    <t>c) Las instalaciones del Colegio, i) No me gusta nada</t>
  </si>
  <si>
    <t>b) La naturaleza, e) Los amigos, g) Mi familia, i) Los necesitados</t>
  </si>
  <si>
    <t>a) Me divierto con juegos para computadoras, b) Navego en Internet, f) Toco un instrumento musical</t>
  </si>
  <si>
    <t>4to año</t>
  </si>
  <si>
    <t xml:space="preserve">  4to Año</t>
  </si>
  <si>
    <t xml:space="preserve">  1º  3º  4º</t>
  </si>
  <si>
    <t>4to año Varones</t>
  </si>
  <si>
    <t>4to año Hembras</t>
  </si>
  <si>
    <t>b) Lavadora, d) TV pantalla plana, h) Carro, i) Computadora, j) Cámara digital</t>
  </si>
  <si>
    <t>b) Suelo bendedir los alimentos antes de comer, c) Suelo ir los domingos y otras fechas especiales a la Iglesia, e) Voy a misa en las fechas de mis familiares difuntos</t>
  </si>
  <si>
    <t>c) Los estudios, g) La felicidad, i) La música</t>
  </si>
  <si>
    <t>d) Las convivencias</t>
  </si>
  <si>
    <t>a) La Iglesia, b) La naturaleza, e) Los amigos, g) Mi familia</t>
  </si>
  <si>
    <t>b) Navego en Internet, i) Leo revistas o libros, l) Escucho música y/o veo videos musicales</t>
  </si>
  <si>
    <t>g) En ocasiones, en mi casa tenemos una oración familiar, i) Tengo en mi cuarto alguna imagen religiosa</t>
  </si>
  <si>
    <t>c) Los estudios, d) El cuidado de mi cuerpo</t>
  </si>
  <si>
    <t>a) Cónsola videojuegos, b) Lavadora, c) Microondas, d) TV pantalla plana, g) MP4, h) Carro, i) Computadora, j) Cámara digital</t>
  </si>
  <si>
    <t>a) La Iglesia, g) Mi familia, k) La oración, l) Los sacramentos</t>
  </si>
  <si>
    <t>a) La familia, c) Los estudios, d) El cuidado de mi cuerpo, e) Disponer de dinero</t>
  </si>
  <si>
    <t>h) Suelo ir al cine, i) Leo revistas o libros, l) Escucho música y/o veo videos musicales</t>
  </si>
  <si>
    <t>a) Medicina, b) Docencia, e) Derecho</t>
  </si>
  <si>
    <t>d) Estoy la mayor parte del tiempo en la casa sin hacer nada, e) Suelo ir a algún parque, l) Escucho música y/o veo videos musicales</t>
  </si>
  <si>
    <t>a) Mi padre, b) Mi madre, c) Un hermano/a, g) Un amigo, h) Una amiga, k) No tengo problemas personales</t>
  </si>
  <si>
    <t>e) Otros familiares</t>
  </si>
  <si>
    <t>a) Me divierto con juegos para computadoras</t>
  </si>
  <si>
    <t>e) Voy a misa en las fechas de mis familiares difuntos, h) En Semana Santa asisto a las procesiones, i) Tengo en mi cuarto alguna imagen religiosa</t>
  </si>
  <si>
    <t>a) Suelo llevar una cruz o algún objeto religioso, c) Suelo ir los domingos y otras fechas especiales a la Iglesia, f) En alguna ocasión he rezado el rosario, i) Tengo en mi cuarto alguna imagen religiosa</t>
  </si>
  <si>
    <t>b) Lavadora, c) Microondas, d) TV pantalla plana, h) Carro, i) Computadora, j) Cámara digital</t>
  </si>
  <si>
    <t>k) Practico algún deporte</t>
  </si>
  <si>
    <t>c) Los estudios, g) La felicidad, h) La sexualidad</t>
  </si>
  <si>
    <t>a) Cónsola videojuegos, b) Lavadora, d) TV pantalla plana, h) Carro, i) Computadora, j) Cámara digital</t>
  </si>
  <si>
    <t>a) La Iglesia, b) La naturaleza, c) El salón de clase</t>
  </si>
  <si>
    <t>c) Los estudios, j) El deporte</t>
  </si>
  <si>
    <t>b) Suelo bendedir los alimentos antes de comer, d) Suelo orar todos los días, i) Tengo en mi cuarto alguna imagen religiosa</t>
  </si>
  <si>
    <t>a) Mamá, d) Abuelos, e) Otros familiares</t>
  </si>
  <si>
    <t>c) Las instalaciones del Colegio, h) Las actividades extraescolares</t>
  </si>
  <si>
    <t>a) Mi padre, c) Un hermano/a, g) Un amigo</t>
  </si>
  <si>
    <t>b) Mi madre, c) Un hermano/a, g) Un amigo, h) Una amiga</t>
  </si>
  <si>
    <t>c) Suelo ir los domingos y otras fechas especiales a la Iglesia, d) Suelo orar todos los días</t>
  </si>
  <si>
    <t>e) Derecho, f) Ciencias policiales o artes militares</t>
  </si>
  <si>
    <t>g) La relación con los docentes, h) Las actividades extraescolares</t>
  </si>
  <si>
    <t>g) Suelo ir a discotecas o a fiestas, h) Suelo ir al cine, n) Estoy conversando con los amigos/as</t>
  </si>
  <si>
    <t>c) Un hermano/a, g) Un amigo, h) Una amiga</t>
  </si>
  <si>
    <t>b) Docencia, e) Derecho</t>
  </si>
  <si>
    <t>e) La situación económica</t>
  </si>
  <si>
    <t>c) Los estudios, d) El cuidado de mi cuerpo, g) La felicidad</t>
  </si>
  <si>
    <t>d) Ingeniería, j) Trabajador calificado</t>
  </si>
  <si>
    <t>k) No tengo problemas personales</t>
  </si>
  <si>
    <t>a) Mamá, c) Hermanos, e) Otros familiares</t>
  </si>
  <si>
    <t>h) Algunas personas cercanas a Dios</t>
  </si>
  <si>
    <t>a) La familia, b) Los amigos, f) Mi fe y vida cristiana</t>
  </si>
  <si>
    <t>a) La Iglesia, h) Algunas personas cercanas a Dios, k) La oración</t>
  </si>
  <si>
    <t>d) Suelo orar todos los días, f) En alguna ocasión he rezado el rosario, i) Tengo en mi cuarto alguna imagen religiosa</t>
  </si>
  <si>
    <t>d) Con frecuencia (fines de semana u otros momentos) suelo beber más de la cuenta</t>
  </si>
  <si>
    <t>a) Me divierto con juegos para computadoras, e) Suelo ir a algún parque, k) Practico algún deporte</t>
  </si>
  <si>
    <t>a) La Iglesia, i) Los necesitados, k) La oración</t>
  </si>
  <si>
    <t>a) La Iglesia, d) Las convivencias, g) Mi familia, h) Algunas personas cercanas a Dios, k) La oración, l) Los sacramentos</t>
  </si>
  <si>
    <t>b) Suelo bendedir los alimentos antes de comer, d) Suelo orar todos los días</t>
  </si>
  <si>
    <t>a) La Iglesia, j) Todas partes, k) La oración</t>
  </si>
  <si>
    <t>f) Ciencias policiales o artes militares</t>
  </si>
  <si>
    <t>a) La familia, d) El cuidado de mi cuerpo, j) El deporte</t>
  </si>
  <si>
    <t>b) La naturaleza, d) Las convivencias, g) Mi familia</t>
  </si>
  <si>
    <t>b) Navego en Internet, k) Practico algún deporte, m) Veo televisión y/o películas</t>
  </si>
  <si>
    <t>a) La familia, c) Los estudios, f) Mi fe y mi vida cristiana</t>
  </si>
  <si>
    <t>a) La Iglesia, b) La naturaleza, i) Los necesitados, k) La oración</t>
  </si>
  <si>
    <t>f) En alguna ocasión he rezado el rosario, h) En Semana Santa asisto a las procesiones, i) Tengo en mi cuarto alguna imagen religiosa</t>
  </si>
  <si>
    <t>d) La formación del carácter</t>
  </si>
  <si>
    <t>c) Los estudios, f) Mi fe y mi vida cristiana, j) El deporte</t>
  </si>
  <si>
    <t>b) El ambiente de estudio y de trabajo, g) La relación con los docentes</t>
  </si>
  <si>
    <t>a) Me divierto con juegos para computadoras, e) Suelo ir a algún parque, h) Suelo ir al cine</t>
  </si>
  <si>
    <t>j) Todas partes</t>
  </si>
  <si>
    <t>d) Ingeniería</t>
  </si>
  <si>
    <t>e) Rancho</t>
  </si>
  <si>
    <t>b) Navego en Internet, d) Estoy la mayor parte del tiempo en la casa sin hacer nada, l) Escucho música y/o veo videos musicales</t>
  </si>
  <si>
    <t>h) En Semana Santa asisto a las procesiones</t>
  </si>
  <si>
    <t>b) Navego en Internet</t>
  </si>
  <si>
    <t>b) Mi madre, g) Un amigo</t>
  </si>
  <si>
    <t>b) Mi madre, c) Un hermano/a, e) Un, una docente, g) Un amigo, h) Una amiga</t>
  </si>
  <si>
    <t>a) Medicina, i) Comerciante</t>
  </si>
  <si>
    <t>d) Abuelos</t>
  </si>
  <si>
    <t>a) La Iglesia, d) Las convivencias, g) Mi familia</t>
  </si>
  <si>
    <t>a) La Iglesia, b) La naturaleza, e) Los amigos, g) Mi familia, k) La oración</t>
  </si>
  <si>
    <t>b) Calasanz de Valencia</t>
  </si>
  <si>
    <t>c) Los estudios, d) El cuidado de mi cuerpo, f) Mi fe y mi vida cristiana</t>
  </si>
  <si>
    <t>g) Artista, j) Trabajador calificado</t>
  </si>
  <si>
    <t>b) Lavadora</t>
  </si>
  <si>
    <t>a) Cónsola videojuegos, b) Lavadora, c) Microondas, d) TV pantalla plana, e) Moto, h) Carro, i) Computadora, k) Aire acondicionado</t>
  </si>
  <si>
    <t>a) Los deportes y diversiones, e) La mayor posibilidad de vivir mi fe</t>
  </si>
  <si>
    <t>a) Cónsola videojuegos, b) Lavadora, c) Microondas, d) TV pantalla plana, h) Carro, i) Computadora, k) Aire acondicionado</t>
  </si>
  <si>
    <t>b) Los amigos, c) Los estudios, j) El deporte</t>
  </si>
  <si>
    <t>b) La naturaleza, j) Todas partes</t>
  </si>
  <si>
    <t>b) Navego en Internet, g) Suelo ir a discotecas o a fiestas, k) Practico algún deporte</t>
  </si>
  <si>
    <t>a) Cónsola videojuegos, b) Lavadora, c) Microondas, d) TV pantalla plana, f) MP3, h) Carro, i) Computadora, j) Cámara digital, k) Aire acondicionado</t>
  </si>
  <si>
    <t>d) En Cuarto año o posterior</t>
  </si>
  <si>
    <t>a) Cónsola videojuegos, b) Lavadora, c) Microondas, d) TV pantalla plana, g) MP4, i) Computadora, j) Cámara digital, k) Aire acondicionado</t>
  </si>
  <si>
    <t>a) La familia, f) Mi fe y vida cristiana, g) La felicidad</t>
  </si>
  <si>
    <t>c) Suelo ir los domingos y otras fechas especiales a la Iglesia, f) En alguna ocasión he rezado el rosario, g) En ocasiones, en mi casa tenemos una oración familiar, h) En Semana Santa asisto a las procesiones, i) Tengo en mi cuarto alguna imagen religiosa</t>
  </si>
  <si>
    <t>a) La familia, e) Disponer de dinero, i) La música</t>
  </si>
  <si>
    <t>d) Ingeniería, i) Comerciante</t>
  </si>
  <si>
    <t>a) Me divierto con juegos para computadoras, b) Navego en Internet, k) Practico algún deporte</t>
  </si>
  <si>
    <t>b) Los amigos, c) Los estudios, h) La sexualidad</t>
  </si>
  <si>
    <t>a) Cónsola videojuegos, b) Lavadora, c) Microondas, d) TV pantalla plana, i) Computadora, k) Aire acondicionado</t>
  </si>
  <si>
    <t>b) Los amigos, c) Los estudios, k) Internet</t>
  </si>
  <si>
    <t>b) Mi madre, c) Un hermano/a, g) Un amigo</t>
  </si>
  <si>
    <t>b) Navego en Internet, g) Suelo ir a discotecas o a fiestas, n) Estoy conversando con los amigos/as</t>
  </si>
  <si>
    <t>a) La Iglesia, d) Las convivencias, k) La oración</t>
  </si>
  <si>
    <t>g) Suelo ir a discotecas o a fiestas, l) Escucho música y/o veo videos musicales, m) Veo televisión y/o películas</t>
  </si>
  <si>
    <t>a) La Iglesia, d) Las convivencias, g) Mi familia, k) La oración</t>
  </si>
  <si>
    <t>a) La Iglesia, b) La naturaleza, d) Las convivencias, g) Mi familia, k) La oración, l) Los sacramentos</t>
  </si>
  <si>
    <t>k) Practico algún deporte, l) Escucho música y/o veo videos musicales, m) Veo televisión y/o películas</t>
  </si>
  <si>
    <t>a) Mi padre</t>
  </si>
  <si>
    <t>b) Lavadora, c) Microondas, d) TV pantalla plana, f) MP3, i) Computadora, j) Cámara digital, k) Aire acondicionado</t>
  </si>
  <si>
    <t>a) La familia, f) Mi fe y vida cristiana, i) La música</t>
  </si>
  <si>
    <t>a) La Iglesia, d) Las convivencias, h) Algunas personas cercanas a Dios, k) La oración, l) Los sacramentos</t>
  </si>
  <si>
    <t>a) Cónsola videojuegos, b) Lavadora, d) TV pantalla plana, i) Computadora, k) Aire acondicionado</t>
  </si>
  <si>
    <t>a) Mamá, b) Papá, e) Otros familiares</t>
  </si>
  <si>
    <t>a) Medicina, b) Docencia, c) Sacerdocio o hermana religiosa</t>
  </si>
  <si>
    <t>a) Cónsola videojuegos, b) Lavadora, c) Microondas, d) TV pantalla plana, e) Moto, f) MP3, h) Carro, i) Computadora, j) Cámara digital, k) Aire acondicionado</t>
  </si>
  <si>
    <t>g) Suelo ir a discotecas o a fiestas, k) Practico algún deporte, l) Escucho música y/o veo videos musicales</t>
  </si>
  <si>
    <t>a) Mi padre, b) Mi madre, c) Un hermano/a, d) Un escolapio, religioso o religiosa, e) Un, una docente, f) La orientadora, g) Un amigo, h) Una amiga, i) Un, una catequista o responsable de grupo</t>
  </si>
  <si>
    <t>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t>
  </si>
  <si>
    <t>g) Suelo ir a discotecas o a fiestas, k) Practico algún deporte, n) Estoy conversando con los amigos/as</t>
  </si>
  <si>
    <t>d) Que ayude económicamente a la familia</t>
  </si>
  <si>
    <t>a) Me divierto con juegos para computadoras, b) Navego en Internet, d) Estoy la mayor parte del tiempo en la casa sin hacer nada</t>
  </si>
  <si>
    <t>a) La familia, b) Los amigos, c) Los estudios, g) La felicidad</t>
  </si>
  <si>
    <t>a) Medicina, c) Sacerdocio o hermana religiosa</t>
  </si>
  <si>
    <t>d) Suelo orar todos los días, e) Voy a misa en las fechas de mis familiares difuntos, f) En alguna ocasión he rezado el rosario, i) Tengo en mi cuarto alguna imagen religiosa</t>
  </si>
  <si>
    <t>a) La familia, c) Los estudios, d) El cuidado de mi cuerpo, f) Mi fe y mi vida cristiana, g) La felicidad</t>
  </si>
  <si>
    <t>b) Suelo bendedir los alimentos antes de comer, c) Suelo ir los domingos y otras fechas especiales a la Iglesia, e) Voy a misa en las fechas de mis familiares difuntos, f) En alguna ocasión he rezado el rosario, g) En ocasiones, en mi casa tenemos una oración familiar, i) Tengo en mi cuarto alguna imagen religiosa</t>
  </si>
  <si>
    <t>b) Lavadora, d) TV pantalla plana, h) Carro, k) Aire acondicionado</t>
  </si>
  <si>
    <t>a) Cónsola videojuegos, b) Lavadora, d) TV pantalla plana, h) Carro, i) Computadora, j) Cámara digital, k) Aire acondicionado</t>
  </si>
  <si>
    <t>b) Navego en Internet, h) Suelo ir al cine, k) Practico algún deporte</t>
  </si>
  <si>
    <t>a) Suelo llevar una cruz o algún objeto religioso, e) Voy a misa en las fechas de mis familiares difuntos, f) En alguna ocasión he rezado el rosario, h) En Semana Santa asisto a las procesiones, i) Tengo en mi cuarto alguna imagen religiosa</t>
  </si>
  <si>
    <t>d) Estoy la mayor parte del tiempo en la casa sin hacer nada, l) Escucho música y/o veo videos musicales, n) Estoy conversando con los amigos/as</t>
  </si>
  <si>
    <t>c) Suelo ir los domingos y otras fechas especiales a la Iglesia, f) En alguna ocasión he rezado el rosario, h) En Semana Santa asisto a las procesiones, i) Tengo en mi cuarto alguna imagen religiosa</t>
  </si>
  <si>
    <t>g) Mi familia, k) La oración</t>
  </si>
  <si>
    <t>f) La igualdad de trato que se da a todos, g) La relación con los docentes</t>
  </si>
  <si>
    <t>a) La Iglesia, g) Mi familia</t>
  </si>
  <si>
    <t>a) Me divierto con juegos para computadoras, g) Suelo ir a discotecas o a fiestas, k) Practico algún deporte</t>
  </si>
  <si>
    <t>a) La Iglesia, b) La naturaleza, g) Mi familia, k) La oración, l) Los sacramentos</t>
  </si>
  <si>
    <t>b) Suelo bendedir los alimentos antes de comer, c) Suelo ir los domingos y otras fechas especiales a la Iglesia, g) En ocasiones, en mi casa tenemos una oración familiar</t>
  </si>
  <si>
    <t>a) Cónsola videojuegos, b) Lavadora, c) Microondas, d) TV pantalla plana, h) Carro, k) Aire acondicionado</t>
  </si>
  <si>
    <t>a) La familia, c) Los estudios, e) Disponer de dinero, g) La felicidad</t>
  </si>
  <si>
    <t>Marca temporal</t>
  </si>
  <si>
    <t>01 Indica el Colegio al que perteneces</t>
  </si>
  <si>
    <t>02 ¿Qué año cursas actualmente?</t>
  </si>
  <si>
    <t>03 ¿En qué etapa educativa solicitaste tu ingreso al Colegio?</t>
  </si>
  <si>
    <t>04 ¿Cuál es tu sexo?</t>
  </si>
  <si>
    <t>05 Indica la religión a la cual perteneces</t>
  </si>
  <si>
    <t>06 Señala las personas con las que convives actualmente: (varias respuestas)</t>
  </si>
  <si>
    <t>07 El tipo de vivienda que ocupas con tu grupo familiar es:</t>
  </si>
  <si>
    <t>08 En términos generales, ¿consideras que eres feliz?</t>
  </si>
  <si>
    <t>09 Señala aquellos bienes que tienes en tu casa en perfecto funcionamiento: (varias respuestas)</t>
  </si>
  <si>
    <t>10 En tu hogar, ¿cuántas personas gozan actualmente de empleo?</t>
  </si>
  <si>
    <t>11 Lo que más valoro en mi vida es: (elige 3 respuestas)</t>
  </si>
  <si>
    <t>12 Lo que más me preocupa en mi vida es:</t>
  </si>
  <si>
    <t>13 ¿En qué medida dialogas con tus padres?</t>
  </si>
  <si>
    <t>14 ¿En qué medida contribuyes a los oficios de tu casa?</t>
  </si>
  <si>
    <t>15 El ambiente religioso que percibo en mi casa es:</t>
  </si>
  <si>
    <t>16 Los tres aspectos de mi vida por lo que más se preocupan mis padres son:</t>
  </si>
  <si>
    <t>17 Siento que existe un Dios que me ama:</t>
  </si>
  <si>
    <t>18 Señala aquellas opciones donde sientes a Dios (varias respuestas)</t>
  </si>
  <si>
    <t>21 Expreso mi fe de las siguientes maneras: (varias respuestas)</t>
  </si>
  <si>
    <t>22 Soy miembro de alguno de los siguientes grupos (varias opciones)</t>
  </si>
  <si>
    <t>23 Los grupos juveniles cristianos son para mí:</t>
  </si>
  <si>
    <t>25 Actualmente considero la posibilidad de ser sacerdote o hermana religiosa</t>
  </si>
  <si>
    <t>26 De las siguientes profesiones u oficios, señala los dos que valoras más</t>
  </si>
  <si>
    <t>27 Estudio para llegar en un futuro a:</t>
  </si>
  <si>
    <t>28 Las clases de formación religiosa son interesantes:</t>
  </si>
  <si>
    <t>29 Lo que más me gusta del Colegio es: (señala dos opciones)</t>
  </si>
  <si>
    <t>30 En la semana dedico a mis estudios un aproximado de:</t>
  </si>
  <si>
    <t>32 El control disciplinario que ejercen mis docentes en clase es:</t>
  </si>
  <si>
    <t>33 Evalúa la calidad del servicio de Orientación y Psicopedagogía</t>
  </si>
  <si>
    <t>34 Evalúa la calidad del servicio de Psicología</t>
  </si>
  <si>
    <t>36 Evalúa la calidad del servicio de Biblioteca/Internet/Librería</t>
  </si>
  <si>
    <t>37 Evalúa la calidad de la Coordinación Académica</t>
  </si>
  <si>
    <t>39 Evalúa la calidad de las Actividades Pastorales</t>
  </si>
  <si>
    <t>43 De estos aspectos, en el que más se INSISTE EN EL COLEGIO es:</t>
  </si>
  <si>
    <t>44 LA PREOCUPACIÓN fundamental que manifiesta el colegio ante mi porvenir es:</t>
  </si>
  <si>
    <t>45 Creo que la FE, en la vida de una persona es:</t>
  </si>
  <si>
    <t>47 Los PROFESORES que me dan clase son, en general:</t>
  </si>
  <si>
    <t>48 Las CLASES, EN GENERAL, me parecen interesantes.</t>
  </si>
  <si>
    <t>49 Los ESCOLAPIOS QUE CONOZCO, en general:</t>
  </si>
  <si>
    <t>50 Tengo CONFIANZA PARA HABLAR de las cosas importantes de mi vida con (varias respuestas)</t>
  </si>
  <si>
    <t>a) La familia, c) Los estudios</t>
  </si>
  <si>
    <t>g) Suelo ir a discotecas o a fiestas, l) Escucho música y/o veo videos musicales, n) Estoy conversando con los amigos/as</t>
  </si>
  <si>
    <t>a) La familia, d) El cuidado de mi cuerpo, e) Disponer de dinero</t>
  </si>
  <si>
    <t>b) Papá, c) Hermanos</t>
  </si>
  <si>
    <t>a) Medicina, d) Ingeniería, i) Comerciante</t>
  </si>
  <si>
    <t>a) La Iglesia, c) El salón de clase, g) Mi familia</t>
  </si>
  <si>
    <t>b) Suelo bendedir los alimentos antes de comer, c) Suelo ir los domingos y otras fechas especiales a la Iglesia, i) Tengo en mi cuarto alguna imagen religiosa</t>
  </si>
  <si>
    <t>a) La Iglesia, d) Las convivencias, h) Algunas personas cercanas a Dios, i) Los necesitados, k) La oración, l) Los sacramentos</t>
  </si>
  <si>
    <t>c) Cuarto año</t>
  </si>
  <si>
    <t>f) Toco un instrumento musical, i) Leo revistas o libros, l) Escucho música y/o veo videos musicales</t>
  </si>
  <si>
    <t>a) La familia, g) La felicidad</t>
  </si>
  <si>
    <t>b) Navego en Internet, d) Estoy la mayor parte del tiempo en la casa sin hacer nada, i) Leo revistas o libros</t>
  </si>
  <si>
    <t>i) Comerciante</t>
  </si>
  <si>
    <t>b) La naturaleza, i) Los necesitados</t>
  </si>
  <si>
    <t>a) Me divierto con juegos para computadoras, k) Practico algún deporte, l) Escucho música y/o veo videos musicales</t>
  </si>
  <si>
    <t>b) El ambiente de estudio y de trabajo, e) La mayor posibilidad de vivir mi fe</t>
  </si>
  <si>
    <t>k) La oración</t>
  </si>
  <si>
    <t>d) Estoy la mayor parte del tiempo en la casa sin hacer nada, g) Suelo ir a discotecas o a fiestas, l) Escucho música y/o veo videos musicales</t>
  </si>
  <si>
    <t>e) Voy a misa en las fechas de mis familiares difuntos, f) En alguna ocasión he rezado el rosario, h) En Semana Santa asisto a las procesiones, i) Tengo en mi cuarto alguna imagen religiosa</t>
  </si>
  <si>
    <t>d) Suelo orar todos los días, e) Voy a misa en las fechas de mis familiares difuntos, f) En alguna ocasión he rezado el rosario, h) En Semana Santa asisto a las procesiones, i) Tengo en mi cuarto alguna imagen religiosa</t>
  </si>
  <si>
    <t>c) Los estudios, e) Disponer de dinero, f) Mi fe y mi vida cristiana</t>
  </si>
  <si>
    <t>a) Suelo llevar una cruz o algún objeto religioso, c) Suelo ir los domingos y otras fechas especiales a la Iglesia, e) Voy a misa en las fechas de mis familiares difuntos, f) En alguna ocasión he rezado el rosario, i) Tengo en mi cuarto alguna imagen religiosa</t>
  </si>
  <si>
    <t>c) Suelo ir los domingos y otras fechas especiales a la Iglesia, d) Suelo orar todos los días, e) Voy a misa en las fechas de mis familiares difuntos, f) En alguna ocasión he rezado el rosario, i) Tengo en mi cuarto alguna imagen religiosa</t>
  </si>
  <si>
    <t>i) Leo revistas o libros, l) Escucho música y/o veo videos musicales, n) Estoy conversando con los amigos/as</t>
  </si>
  <si>
    <t>g) Suelo ir a discotecas o a fiestas, m) Veo televisión y/o películas, n) Estoy conversando con los amigos/as</t>
  </si>
  <si>
    <t>31 En mi tiempo libre... (señala hasta tres opciones)</t>
  </si>
  <si>
    <t>Untitled Question</t>
  </si>
  <si>
    <t>b) Lavadora, c) Microondas, h) Carro, i) Computadora</t>
  </si>
  <si>
    <t>b) Mi madre, d) Un escolapio, religioso o religiosa, e) Un, una docente, g) Un amigo, h) Una amiga</t>
  </si>
  <si>
    <t>a) La Iglesia, b) La naturaleza, d) Las convivencias, e) Los amigos, g) Mi familia, h) Algunas personas cercanas a Dios, i) Los necesitados, k) La oración</t>
  </si>
  <si>
    <t>a) Mi padre, c) Un hermano/a, g) Un amigo, h) Una amiga</t>
  </si>
  <si>
    <t>a) La Iglesia, g) Mi familia, j) Todas partes, k) La oración</t>
  </si>
  <si>
    <t>f) Otro</t>
  </si>
  <si>
    <t>b) Suelo bendedir los alimentos antes de comer, i) Tengo en mi cuarto alguna imagen religiosa</t>
  </si>
  <si>
    <t>j) Estoy en algún grupo juvenil, l) Escucho música y/o veo videos musicales, n) Estoy conversando con los amigos/as</t>
  </si>
  <si>
    <t>b) Suelo bendedir los alimentos antes de comer, g) En ocasiones, en mi casa tenemos una oración familiar</t>
  </si>
  <si>
    <t>b) Lavadora, d) TV pantalla plana, i) Computadora</t>
  </si>
  <si>
    <t>b) Suelo bendedir los alimentos antes de comer, d) Suelo orar todos los días, g) En ocasiones, en mi casa tenemos una oración familiar</t>
  </si>
  <si>
    <t>j) Trabajador calificado</t>
  </si>
  <si>
    <t>a) Me divierto con juegos para computadoras, h) Suelo ir al cine, i) Leo revistas o libros</t>
  </si>
  <si>
    <t>a) Cónsola videojuegos</t>
  </si>
  <si>
    <t>c) Sacerdocio o hermana religiosa</t>
  </si>
  <si>
    <t>e) Moto</t>
  </si>
  <si>
    <t>b) Los amigos</t>
  </si>
  <si>
    <t>b) Navego en Internet, h) Suelo ir al cine, m) Veo televisión y/o películas</t>
  </si>
  <si>
    <t>d) TV pantalla plana</t>
  </si>
  <si>
    <t>a) Mi padre, b) Mi madre, e) Un, una docente</t>
  </si>
  <si>
    <t>a) Cónsola videojuegos, b) Lavadora, c) Microondas, h) Carro, i) Computadora, j) Cámara digital, k) Aire acondicionado</t>
  </si>
  <si>
    <t>a) Suelo llevar una cruz o algún objeto religioso, e) Voy a misa en las fechas de mis familiares difuntos, f) En alguna ocasión he rezado el rosario, i) Tengo en mi cuarto alguna imagen religiosa</t>
  </si>
  <si>
    <t>b) Navego en Internet, f) Toco un instrumento musical</t>
  </si>
  <si>
    <t>b) Lavadora, c) Microondas, f) MP3, i) Computadora, j) Cámara digital</t>
  </si>
  <si>
    <t>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t>
  </si>
  <si>
    <t>a) Mi padre, b) Mi madre, d) Un escolapio, religioso o religiosa, e) Un, una docente, f) La orientadora, g) Un amigo, h) Una amiga, i) Un, una catequista o responsable de grupo</t>
  </si>
  <si>
    <t>a) Me divierto con juegos para computadoras, i) Leo revistas o libros, m) Veo televisión y/o películas</t>
  </si>
  <si>
    <t>a) La familia, d) El cuidado de mi cuerpo, f) Mi fe y mi vida cristiana</t>
  </si>
  <si>
    <t>a) Los deportes y diversiones, b) El ambiente de estudio y de trabajo, c) Las instalaciones del Colegio</t>
  </si>
  <si>
    <t>a) Cónsola videojuegos, b) Lavadora, c) Microondas, i) Computadora</t>
  </si>
  <si>
    <t>e) Suelo ir a algún parque, i) Leo revistas o libros, m) Veo televisión y/o películas</t>
  </si>
  <si>
    <t>a) La Iglesia, b) La naturaleza, g) Mi familia, i) Los necesitados, k) La oración, l) Los sacramentos</t>
  </si>
  <si>
    <t>b) Docencia, c) Sacerdocio o hermana religiosa</t>
  </si>
  <si>
    <t>a) Mi padre, b) Mi madre, e) Un, una docente, g) Un amigo, h) Una amiga</t>
  </si>
  <si>
    <t>a) La Iglesia, b) La naturaleza, d) Las convivencias, h) Algunas personas cercanas a Dios, k) La oración</t>
  </si>
  <si>
    <t>f) En alguna ocasión he rezado el rosario, i) Tengo en mi cuarto alguna imagen religiosa</t>
  </si>
  <si>
    <t>b) Mi madre, e) Un, una docente, g) Un amigo, h) Una amiga</t>
  </si>
  <si>
    <t>c) Los estudios, e) Disponer de dinero, h) La sexualidad</t>
  </si>
  <si>
    <t>a) Mi padre, b) Mi madre, c) Un hermano/a, d) Un escolapio, religioso o religiosa, h) Una amiga</t>
  </si>
  <si>
    <t>a) Cónsola videojuegos, b) Lavadora, d) TV pantalla plana, i) Computadora, j) Cámara digital</t>
  </si>
  <si>
    <t>c) Sacerdocio o hermana religiosa, g) Artista</t>
  </si>
  <si>
    <t>b) Lavadora, c) Microondas, i) Computadora, j) Cámara digital</t>
  </si>
  <si>
    <t>a) Medicina, b) Docencia, g) Artista</t>
  </si>
  <si>
    <t>a) Me divierto con juegos para computadoras, c) Suelo ir a centros de video (máquinas de juegos), g) Suelo ir a discotecas o a fiestas</t>
  </si>
  <si>
    <t>a) La Iglesia, d) Las convivencias, e) Los amigos, g) Mi familia, h) Algunas personas cercanas a Dios, i) Los necesitados, k) La oración, l) Los sacramentos</t>
  </si>
  <si>
    <t>d) Suelo orar todos los días, e) Voy a misa en las fechas de mis familiares difuntos, f) En alguna ocasión he rezado el rosario</t>
  </si>
  <si>
    <t>b) Lavadora, c) Microondas, d) TV pantalla plana, f) MP3, g) MP4, i) Computadora</t>
  </si>
  <si>
    <t>b) Suelo bendedir los alimentos antes de comer, e) Voy a misa en las fechas de mis familiares difuntos, f) En alguna ocasión he rezado el rosario, g) En ocasiones, en mi casa tenemos una oración familiar</t>
  </si>
  <si>
    <t>b) Navego en Internet, h) Suelo ir al cine, l) Escucho música y/o veo videos musicales, m) Veo televisión y/o películas</t>
  </si>
  <si>
    <t>b) Suelo bendedir los alimentos antes de comer, e) Voy a misa en las fechas de mis familiares difuntos, g) En ocasiones, en mi casa tenemos una oración familiar, i) Tengo en mi cuarto alguna imagen religiosa</t>
  </si>
  <si>
    <t>a) La familia, i) La música, j) El deporte</t>
  </si>
  <si>
    <t>h) Las actividades extraescolares, i) No me gusta nada</t>
  </si>
  <si>
    <t>a) La Iglesia, b) La naturaleza, h) Algunas personas cercanas a Dios, k) La oración, l) Los sacramentos</t>
  </si>
  <si>
    <t>g) Un amigo, h) Una amiga, j) Nadie</t>
  </si>
  <si>
    <t>a) La Iglesia, b) La naturaleza, d) Las convivencias, e) Los amigos, f) Todas las personas, g) Mi familia, k) La oración</t>
  </si>
  <si>
    <t>b) Mi madre, c) Un hermano/a, e) Un, una docente, f) La orientadora, h) Una amiga</t>
  </si>
  <si>
    <t>b) Los amigos, c) Los estudios, i) La música</t>
  </si>
  <si>
    <t>a) La Iglesia, g) Mi familia, h) Algunas personas cercanas a Dios, i) Los necesitados, k) La oración</t>
  </si>
  <si>
    <t>b) Navego en Internet, k) Practico algún deporte, n) Estoy conversando con los amigos/as</t>
  </si>
  <si>
    <t>a) Cónsola videojuegos, b) Lavadora, c) Microondas, d) TV pantalla plana, e) Moto, i) Computadora, j) Cámara digital, k) Aire acondicionado</t>
  </si>
  <si>
    <t>a) La familia, g) La felicidad, i) La música, j) El deporte</t>
  </si>
  <si>
    <t>a) La Iglesia, b) La naturaleza, c) El salón de clase, d) Las convivencias, g) Mi familia, h) Algunas personas cercanas a Dios, i) Los necesitados, k) La oración, l) Los sacramentos</t>
  </si>
  <si>
    <t>a) La familia, b) Los amigos, c) Los estudios, f) Mi fe y vida cristiana</t>
  </si>
  <si>
    <t>a) La Iglesia, b) La naturaleza, g) Mi familia, j) Todas partes, k) La oración</t>
  </si>
  <si>
    <t>a) La Iglesia, b) La naturaleza, j) Todas partes</t>
  </si>
  <si>
    <t>a) La familia, b) Los amigos, c) Los estudios, d) El cuidado de mi cuerpo, g) La felicidad, k) El internet</t>
  </si>
  <si>
    <t>a) Mi padre, b) Mi madre, c) Un hermano/a, f) La orientadora, g) Un amigo, h) Una amiga</t>
  </si>
  <si>
    <t>c) Los estudios, d) El cuidado de mi cuerpo, e) Disponer de dinero</t>
  </si>
  <si>
    <t>f) Ciencias policiales o artes militares, h) Ciencias políticas</t>
  </si>
  <si>
    <t>d) Estoy la mayor parte del tiempo en la casa sin hacer nada, i) Leo revistas o libros, n) Estoy conversando con los amigos/as</t>
  </si>
  <si>
    <t>a) La familia, d) El cuidado de mi cuerpo, h) La sexualidad</t>
  </si>
  <si>
    <t>a) Suelo llevar una cruz o algún objeto religioso, e) Voy a misa en las fechas de mis familiares difuntos, i) Tengo en mi cuarto alguna imagen religiosa</t>
  </si>
  <si>
    <t>c) Un hermano/a</t>
  </si>
  <si>
    <t>f) En alguna ocasión he rezado el rosario, g) En ocasiones, en mi casa tenemos una oración familiar, h) En Semana Santa asisto a las procesiones, i) Tengo en mi cuarto alguna imagen religiosa</t>
  </si>
  <si>
    <t>a) La Iglesia, d) Las convivencias, h) Algunas personas cercanas a Dios</t>
  </si>
  <si>
    <t>a) La Iglesia, d) Las convivencias, e) Los amigos</t>
  </si>
  <si>
    <t>b) Papá</t>
  </si>
  <si>
    <t>a) La Iglesia, d) Las convivencias, h) Algunas personas cercanas a Dios, k) La oración</t>
  </si>
  <si>
    <t>a) Cónsola videojuegos, b) Lavadora, d) TV pantalla plana, e) Moto, h) Carro, i) Computadora, j) Cámara digital, k) Aire acondicionado</t>
  </si>
  <si>
    <t>b) Lavadora, f) MP3, i) Computadora, j) Cámara digital, k) Aire acondicionado</t>
  </si>
  <si>
    <t>a) La Iglesia, b) La naturaleza, g) Mi familia, k) La oración</t>
  </si>
  <si>
    <t>b) Papá, d) Abuelos, e) Otros familiares</t>
  </si>
  <si>
    <t>b) La naturaleza, g) Mi familia</t>
  </si>
  <si>
    <t>a) Me divierto con juegos para computadoras, b) Navego en Internet, c) Suelo ir a centros de video (máquinas de juegos)</t>
  </si>
  <si>
    <t>b) Navego en Internet, i) Leo revistas o libros, l) Escucho música y/o veo videos musicales, m) Veo televisión y/o películas, n) Estoy conversando con los amigos/as</t>
  </si>
  <si>
    <t>a) La familia, e) Disponer de dinero, j) El deporte</t>
  </si>
  <si>
    <t>b) Mi madre, c) Un hermano/a, e) Un, una docente, h) Una amiga</t>
  </si>
  <si>
    <t>b) Suelo bendedir los alimentos antes de comer, c) Suelo ir los domingos y otras fechas especiales a la Iglesia, e) Voy a misa en las fechas de mis familiares difuntos, f) En alguna ocasión he rezado el rosario, i) Tengo en mi cuarto alguna imagen religiosa</t>
  </si>
  <si>
    <t>a) La familia, d) El cuidado de mi cuerpo, k) El internet</t>
  </si>
  <si>
    <t>b) La naturaleza, g) Mi familia, i) Los necesitados</t>
  </si>
  <si>
    <t>b) Navego en Internet, f) Toco un instrumento musical, h) Suelo ir al cine</t>
  </si>
  <si>
    <t>f) En alguna ocasión he rezado el rosario, g) En ocasiones, en mi casa tenemos una oración familiar, i) Tengo en mi cuarto alguna imagen religiosa</t>
  </si>
  <si>
    <t>f) Ciencias policiales o artes militares, i) Comerciante</t>
  </si>
  <si>
    <t>c) Suelo ir los domingos y otras fechas especiales a la Iglesia, d) Suelo orar todos los días, i) Tengo en mi cuarto alguna imagen religiosa</t>
  </si>
  <si>
    <t>a) La Iglesia, b) La naturaleza, g) Mi familia, h) Algunas personas cercanas a Dios, i) Los necesitados, k) La oración</t>
  </si>
  <si>
    <t>b) Navego en Internet, k) Practico algún deporte, m) Veo televisión y/o películas, n) Estoy conversando con los amigos/as</t>
  </si>
  <si>
    <t>b) Lavadora, d) TV pantalla plana, h) Carro, j) Cámara digital</t>
  </si>
  <si>
    <t>d) Estoy la mayor parte del tiempo en la casa sin hacer nada, i) Leo revistas o libros, l) Escucho música y/o veo videos musicales, m) Veo televisión y/o películas, n) Estoy conversando con los amigos/as</t>
  </si>
  <si>
    <t>b) Lavadora, c) Microondas, d) TV pantalla plana, i) Computadora, j) Cámara digital</t>
  </si>
  <si>
    <t>d) Las convivencias, e) Los amigos, g) Mi familia</t>
  </si>
  <si>
    <t>c) Hermanos</t>
  </si>
  <si>
    <t>c) Musulmana</t>
  </si>
  <si>
    <t>a) Los deportes y diversiones, b) El ambiente de estudio y de trabajo, c) Las instalaciones del Colegio, d) Los grupos juveniles cristianos, e) La mayor posibilidad de vivir mi fe, f) La igualdad de trato que se da a todos, g) La relación con los docentes, h) Las actividades extraescolares</t>
  </si>
  <si>
    <t>a) Me divierto con juegos para computadoras, i) Leo revistas o libros, k) Practico algún deporte</t>
  </si>
  <si>
    <t>a) La Iglesia, b) La naturaleza, c) El salón de clase, d) Las convivencias, e) Los amigos, g) Mi familia, h) Algunas personas cercanas a Dios, i) Los necesitados, j) Todas partes, k) La oración, l) Los sacramentos</t>
  </si>
  <si>
    <t>a) Los deportes y diversiones, b) El ambiente de estudio y de trabajo, d) Los grupos juveniles cristianos</t>
  </si>
  <si>
    <t>a) Mamá, e) Otros familiares</t>
  </si>
  <si>
    <t>c) Suelo ir los domingos y otras fechas especiales a la Iglesia, e) Voy a misa en las fechas de mis familiares difuntos, f) En alguna ocasión he rezado el rosario, g) En ocasiones, en mi casa tenemos una oración familiar, h) En Semana Santa asisto a las procesiones</t>
  </si>
  <si>
    <t>a) La Iglesia, b) La naturaleza, d) Las convivencias, g) Mi familia, i) Los necesitados, k) La oración, l) Los sacramentos</t>
  </si>
  <si>
    <t>a) La familia, b) Los amigos, c) Los estudios, g) La felicidad, j) El deporte</t>
  </si>
  <si>
    <t>b) Suelo bendedir los alimentos antes de comer, f) En alguna ocasión he rezado el rosario, h) En Semana Santa asisto a las procesiones</t>
  </si>
  <si>
    <t>c) Suelo ir los domingos y otras fechas especiales a la Iglesia, d) Suelo orar todos los días, e) Voy a misa en las fechas de mis familiares difuntos, f) En alguna ocasión he rezado el rosario, h) En Semana Santa asisto a las procesiones</t>
  </si>
  <si>
    <t>e) Suelo ir a algún parque, k) Practico algún deporte</t>
  </si>
  <si>
    <t>a) La Iglesia, g) Mi familia, h) Algunas personas cercanas a Dios, k) La oración, l) Los sacramentos</t>
  </si>
  <si>
    <t>f) Toco un instrumento musical</t>
  </si>
  <si>
    <t>a) La Iglesia, b) La naturaleza, h) Algunas personas cercanas a Dios, i) Los necesitados, k) La oración, l) Los sacramentos</t>
  </si>
  <si>
    <t>d) TV pantalla plana, k) Aire acondicionado</t>
  </si>
  <si>
    <t>e) Suelo ir a algún parque, h) Suelo ir al cine, m) Veo televisión y/o películas</t>
  </si>
  <si>
    <t>d) Suelo orar todos los días, f) En alguna ocasión he rezado el rosario</t>
  </si>
  <si>
    <t>a) La familia, b) Los amigos, c) Los estudios, d) El cuidado de mi cuerpo, g) La felicidad, i) La música, k) El internet</t>
  </si>
  <si>
    <t>a) La familia, b) Los amigos, c) Los estudios, d) El cuidado de mi cuerpo, f) Mi fe y vida cristiana, g) La felicidad, i) La música</t>
  </si>
  <si>
    <t>i) Leo revistas o libros, j) Estoy en algún grupo juvenil, m) Veo televisión y/o películas</t>
  </si>
  <si>
    <t>b) Mi madre, e) Un, una docente, h) Una amiga</t>
  </si>
  <si>
    <t>a) Los deportes y diversiones, b) El ambiente de estudio y de trabajo, c) Las instalaciones del Colegio, e) La mayor posibilidad de vivir mi fe, g) La relación con los docentes</t>
  </si>
  <si>
    <t>b) Navego en Internet, e) Suelo ir a algún parque, g) Suelo ir a discotecas o a fiestas</t>
  </si>
  <si>
    <t>c) Los estudios, g) La felicidad, j) El deporte</t>
  </si>
  <si>
    <t>a) La Iglesia, h) Algunas personas cercanas a Dios, k) La oración, l) Los sacramentos</t>
  </si>
  <si>
    <t>a) Me divierto con juegos para computadoras, k) Practico algún deporte, m) Veo televisión y/o películas</t>
  </si>
  <si>
    <t>a) Me divierto con juegos para computadoras, b) Navego en Internet, e) Suelo ir a algún parque</t>
  </si>
  <si>
    <t>b) Lavadora, c) Microondas, d) TV pantalla plana, f) MP3, g) MP4, h) Carro, i) Computadora, j) Cámara digital, k) Aire acondicionado</t>
  </si>
  <si>
    <t>a) La Iglesia, b) La naturaleza, g) Mi familia, j) Todas partes, k) La oración, l) Los sacramentos</t>
  </si>
  <si>
    <t>a) Suelo llevar una cruz o algún objeto religioso, d) Suelo orar todos los días, f) En alguna ocasión he rezado el rosario, i) Tengo en mi cuarto alguna imagen religiosa</t>
  </si>
  <si>
    <t>a) La familia, c) Los estudios, f) Mi fe y mi vida cristiana, g) La felicidad</t>
  </si>
  <si>
    <t>a) La familia, b) Los amigos, c) Los estudios, f) Mi fe y vida cristiana, g) La felicidad, i) La música, k) El internet</t>
  </si>
  <si>
    <t>i) Los necesitados</t>
  </si>
  <si>
    <t>f) Toco un instrumento musical, k) Practico algún deporte, l) Escucho música y/o veo videos musicales</t>
  </si>
  <si>
    <t>h) Suelo ir al cine, k) Practico algún deporte, l) Escucho música y/o veo videos musicales</t>
  </si>
  <si>
    <t>b) Lavadora, c) Microondas, d) TV pantalla plana, f) MP3, h) Carro, i) Computadora, j) Cámara digital, k) Aire acondicionado</t>
  </si>
  <si>
    <t>a) Cónsola videojuegos, c) Microondas, i) Computadora</t>
  </si>
  <si>
    <t>b) Lavadora, c) Microondas, d) TV pantalla plana, f) MP3, h) Carro, i) Computadora, k) Aire acondicionado</t>
  </si>
  <si>
    <t>f) Todas las personas</t>
  </si>
  <si>
    <t>d) Suelo orar todos los días, e) Voy a misa en las fechas de mis familiares difuntos, f) En alguna ocasión he rezado el rosario, h) En Semana Santa asisto a las procesiones</t>
  </si>
  <si>
    <t>b) Mi madre, e) Un, una docente, g) Un amigo</t>
  </si>
  <si>
    <t>a) Medicina, d) Ingeniería, e) Derecho, h) Ciencias políticas</t>
  </si>
  <si>
    <t>a) Me divierto con juegos para computadoras, h) Suelo ir al cine, k) Practico algún deporte, m) Veo televisión y/o películas</t>
  </si>
  <si>
    <t>d) Estoy la mayor parte del tiempo en la casa sin hacer nada, i) Leo revistas o libros, m) Veo televisión y/o películas</t>
  </si>
  <si>
    <t>a) La Iglesia, b) La naturaleza, g) Mi familia, h) Algunas personas cercanas a Dios, k) La oración</t>
  </si>
  <si>
    <t>a) Cónsola videojuegos, b) Lavadora, c) Microondas, d) TV pantalla plana, h) Carro, j) Cámara digital, k) Aire acondicionado</t>
  </si>
  <si>
    <t>a) Suelo llevar una cruz o algún objeto religioso, e) Voy a misa en las fechas de mis familiares difuntos, f) En alguna ocasión he rezado el rosario</t>
  </si>
  <si>
    <t>a) Los deportes y diversiones, b) El ambiente de estudio y de trabajo, h) Las actividades extraescolares</t>
  </si>
  <si>
    <t>i) Comerciante, j) Trabajador calificado</t>
  </si>
  <si>
    <t>a) Suelo llevar una cruz o algún objeto religioso, d) Suelo orar todos los días, e) Voy a misa en las fechas de mis familiares difuntos, i) Tengo en mi cuarto alguna imagen religiosa</t>
  </si>
  <si>
    <t>b) Lavadora, i) Computadora, k) Aire acondicionado</t>
  </si>
  <si>
    <t>h) Ciencias políticas, j) Trabajador calificado</t>
  </si>
  <si>
    <t>b) El ambiente de estudio y de trabajo, c) Las instalaciones del Colegio, g) La relación con los docentes</t>
  </si>
  <si>
    <t>b) Suelo bendedir los alimentos antes de comer, c) Suelo ir los domingos y otras fechas especiales a la Iglesia, d) Suelo orar todos los días, e) Voy a misa en las fechas de mis familiares difuntos, f) En alguna ocasión he rezado el rosario, i) Tengo en mi cuarto alguna imagen religiosa</t>
  </si>
  <si>
    <t>h) Suelo ir al cine, k) Practico algún deporte, n) Estoy conversando con los amigos/as</t>
  </si>
  <si>
    <t>a) La Iglesia, b) La naturaleza, e) Los amigos, g) Mi familia, j) Todas partes, k) La oración</t>
  </si>
  <si>
    <t>a) Me divierto con juegos para computadoras, n) Estoy conversando con los amigos/as</t>
  </si>
  <si>
    <t>e) Suelo ir a algún parque, g) Suelo ir a discotecas o a fiestas, h) Suelo ir al cine</t>
  </si>
  <si>
    <t>a) La Iglesia, b) La naturaleza, g) Mi familia</t>
  </si>
  <si>
    <t>a) La familia, b) Los amigos, c) Los estudios, g) La felicidad, i) La música</t>
  </si>
  <si>
    <t>a) La Iglesia, d) Las convivencias, i) Los necesitados, j) Todas partes, k) La oración, l) Los sacramentos</t>
  </si>
  <si>
    <t>b) Docencia, f) Ciencias policiales o artes militares</t>
  </si>
  <si>
    <t>a) Mi padre, b) Mi madre, e) Un, una docente, f) La orientadora, h) Una amiga</t>
  </si>
  <si>
    <t>a) La Iglesia, d) Las convivencias, g) Mi familia, i) Los necesitados, k) La oración, l) Los sacramentos</t>
  </si>
  <si>
    <t>a) Suelo llevar una cruz o algún objeto religioso, d) Suelo orar todos los días, h) En Semana Santa asisto a las procesiones, i) Tengo en mi cuarto alguna imagen religiosa</t>
  </si>
  <si>
    <t>f) En alguna ocasión he rezado el rosario, g) En ocasiones, en mi casa tenemos una oración familiar, h) En Semana Santa asisto a las procesiones</t>
  </si>
  <si>
    <t>a) Los deportes y diversiones, g) La relación con los docentes, h) Las actividades extraescolares</t>
  </si>
  <si>
    <t>g) Suelo ir a discotecas o a fiestas, n) Estoy conversando con los amigos/as</t>
  </si>
  <si>
    <t>a) La Iglesia, b) La naturaleza, d) Las convivencias, g) Mi familia, h) Algunas personas cercanas a Dios, i) Los necesitados, k) La oración, l) Los sacramentos</t>
  </si>
  <si>
    <t>a) Cónsola videojuegos, b) Lavadora, h) Carro, i) Computadora, k) Aire acondicionado</t>
  </si>
  <si>
    <t>e) Suelo ir a algún parque, h) Suelo ir al cine, l) Escucho música y/o veo videos musicales</t>
  </si>
  <si>
    <t>b) Lavadora, c) Microondas, h) Carro, i) Computadora, k) Aire acondicionado</t>
  </si>
  <si>
    <t>a) Suelo llevar una cruz o algún objeto religioso, h) En Semana Santa asisto a las procesiones</t>
  </si>
  <si>
    <t>d) TV pantalla plana, i) Computadora</t>
  </si>
  <si>
    <t>h) Suelo ir al cine, i) Leo revistas o libros, l) Escucho música y/o veo videos musicales, m) Veo televisión y/o películas, n) Estoy conversando con los amigos/as</t>
  </si>
  <si>
    <t>a) Medicina, d) Ingeniería, j) Trabajador calificado</t>
  </si>
  <si>
    <t>b) Los amigos, g) La felicidad, j) El deporte</t>
  </si>
  <si>
    <t>b) Suelo bendedir los alimentos antes de comer, d) Suelo orar todos los días, g) En ocasiones, en mi casa tenemos una oración familiar, h) En Semana Santa asisto a las procesiones, i) Tengo en mi cuarto alguna imagen religiosa</t>
  </si>
  <si>
    <t>a) La Iglesia, h) Algunas personas cercanas a Dios, l) Los sacramentos</t>
  </si>
  <si>
    <t>a) Mi padre, g) Un amigo, h) Una amiga</t>
  </si>
  <si>
    <t>a) La Iglesia, b) La naturaleza, c) El salón de clase, d) Las convivencias, e) Los amigos, f) Todas las personas, g) Mi familia, i) Los necesitados, j) Todas partes, k) La oración, l) Los sacramentos</t>
  </si>
  <si>
    <t>a) Los deportes y diversiones, c) Las instalaciones del Colegio, e) La mayor posibilidad de vivir mi fe</t>
  </si>
  <si>
    <t>d) Suelo orar todos los días, h) En Semana Santa asisto a las procesiones, i) Tengo en mi cuarto alguna imagen religiosa</t>
  </si>
  <si>
    <t>e) La mayor posibilidad de vivir mi fe, h) Las actividades extraescolares</t>
  </si>
  <si>
    <t>a) Mi padre, b) Mi madre, c) Un hermano/a, d) Un escolapio, religioso o religiosa, e) Un, una docente, h) Una amiga</t>
  </si>
  <si>
    <t>c) Los estudios, f) Mi fe y mi vida cristiana, g) La felicidad</t>
  </si>
  <si>
    <t>b) El ambiente de estudio y de trabajo, h) Las actividades extraescolares</t>
  </si>
  <si>
    <t>a) La Iglesia, b) La naturaleza, c) El salón de clase, g) Mi familia, k) La oración</t>
  </si>
  <si>
    <t>b) Suelo bendedir los alimentos antes de comer, c) Suelo ir los domingos y otras fechas especiales a la Iglesia, d) Suelo orar todos los días</t>
  </si>
  <si>
    <t>h) Suelo ir al cine, l) Escucho música y/o veo videos musicales, n) Estoy conversando con los amigos/as</t>
  </si>
  <si>
    <t>b) Lavadora, h) Carro, i) Computadora, k) Aire acondicionado</t>
  </si>
  <si>
    <t>b) Suelo bendedir los alimentos antes de comer, c) Suelo ir los domingos y otras fechas especiales a la Iglesia</t>
  </si>
  <si>
    <t>b) Navego en Internet, l) Escucho música y/o veo videos musicales</t>
  </si>
  <si>
    <t>a) Suelo llevar una cruz o algún objeto religioso, c) Suelo ir los domingos y otras fechas especiales a la Iglesia, e) Voy a misa en las fechas de mis familiares difuntos</t>
  </si>
  <si>
    <t>b) Suelo bendedir los alimentos antes de comer, c) Suelo ir los domingos y otras fechas especiales a la Iglesia, e) Voy a misa en las fechas de mis familiares difuntos, h) En Semana Santa asisto a las procesiones, i) Tengo en mi cuarto alguna imagen religiosa</t>
  </si>
  <si>
    <t>a) Mi padre, b) Mi madre, c) Un hermano/a, d) Un escolapio, religioso o religiosa, e) Un, una docente, g) Un amigo, h) Una amiga</t>
  </si>
  <si>
    <t>b) Lavadora, d) TV pantalla plana, i) Computadora, j) Cámara digital, k) Aire acondicionado</t>
  </si>
  <si>
    <t>c) Los estudios, g) La felicidad</t>
  </si>
  <si>
    <t>b) La naturaleza, f) Todas las personas, j) Todas partes, k) La oración</t>
  </si>
  <si>
    <t>f) Todas las personas, g) Mi familia, j) Todas partes, k) La oración</t>
  </si>
  <si>
    <t>a) Cónsola videojuegos, b) Lavadora, i) Computadora, j) Cámara digital, k) Aire acondicionado</t>
  </si>
  <si>
    <t>a) Me divierto con juegos para computadoras, d) Estoy la mayor parte del tiempo en la casa sin hacer nada, k) Practico algún deporte</t>
  </si>
  <si>
    <t>c) Suelo ir los domingos y otras fechas especiales a la Iglesia, e) Voy a misa en las fechas de mis familiares difuntos, i) Tengo en mi cuarto alguna imagen religiosa</t>
  </si>
  <si>
    <t>b) Los amigos, h) La sexualidad, k) Internet</t>
  </si>
  <si>
    <t>e) Un, una docente, h) Una amiga</t>
  </si>
  <si>
    <t>b) Docencia, g) Artista</t>
  </si>
  <si>
    <t>m) Veo televisión y/o películas, n) Estoy conversando con los amigos/as</t>
  </si>
  <si>
    <t>b) Mi madre, c) Un hermano/a, g) Un amigo, h) Una amiga, i) Un, una catequista o responsable de grupo</t>
  </si>
  <si>
    <t>b) Navego en Internet, f) Toco un instrumento musical, m) Veo televisión y/o películas</t>
  </si>
  <si>
    <t>b) Navego en Internet, f) Toco un instrumento musical, i) Leo revistas o libros</t>
  </si>
  <si>
    <t>g) Un amigo</t>
  </si>
  <si>
    <t>e) Derecho, f) Ciencias policiales o artes militares, h) Ciencias políticas</t>
  </si>
  <si>
    <t>d) Estoy la mayor parte del tiempo en la casa sin hacer nada, g) Suelo ir a discotecas o a fiestas, k) Practico algún deporte</t>
  </si>
  <si>
    <t>a) Mi padre, b) Mi madre, e) Un, una docente, g) Un amigo</t>
  </si>
  <si>
    <t>a) Cónsola videojuegos, b) Lavadora, c) Microondas, d) TV pantalla plana, g) MP4, h) Carro, i) Computadora, k) Aire acondicionado</t>
  </si>
  <si>
    <t>a) Suelo llevar una cruz o algún objeto religioso, i) Tengo en mi cuarto alguna imagen religiosa</t>
  </si>
  <si>
    <t>a) La Iglesia, b) La naturaleza, h) Algunas personas cercanas a Dios</t>
  </si>
  <si>
    <t>f) Ciencias policiales o artes militares, j) Trabajador calificado</t>
  </si>
  <si>
    <t>a) La familia, d) El cuidado de mi cuerpo</t>
  </si>
  <si>
    <t>e) Voy a misa en las fechas de mis familiares difuntos, f) En alguna ocasión he rezado el rosario</t>
  </si>
  <si>
    <t>a) Suelo llevar una cruz o algún objeto religioso, c) Suelo ir los domingos y otras fechas especiales a la Iglesia</t>
  </si>
  <si>
    <t>c) Las instalaciones del Colegio, e) La mayor posibilidad de vivir mi fe, h) Las actividades extraescolares</t>
  </si>
  <si>
    <t>b) Navego en Internet, m) Veo televisión y/o películas</t>
  </si>
  <si>
    <t>f) La orientadora, g) Un amigo, h) Una amiga</t>
  </si>
  <si>
    <t>g) La relación con los docentes, i) No me gusta nada</t>
  </si>
  <si>
    <t>a) Cónsola videojuegos, b) Lavadora, c) Microondas, d) TV pantalla plana, f) MP3, i) Computadora, j) Cámara digital, k) Aire acondicionado</t>
  </si>
  <si>
    <t>a) Mi padre, b) Mi madre, d) Un escolapio, religioso o religiosa, e) Un, una docente, g) Un amigo, h) Una amiga</t>
  </si>
  <si>
    <t>a) La Iglesia, b) La naturaleza, d) Las convivencias, g) Mi familia, k) La oración</t>
  </si>
  <si>
    <t>a) Suelo llevar una cruz o algún objeto religioso, h) En Semana Santa asisto a las procesiones, i) Tengo en mi cuarto alguna imagen religiosa</t>
  </si>
  <si>
    <t>c) Obra Social San José de Calasanz de Valencia</t>
  </si>
  <si>
    <t>b) El ambiente de estudio y de trabajo, c) Las instalaciones del Colegio, g) La relación con los docentes, h) Las actividades extraescolares</t>
  </si>
  <si>
    <t>a) Mi padre, c) Un hermano/a, h) Una amiga</t>
  </si>
  <si>
    <t>a) La Iglesia, b) La naturaleza, e) Los amigos, g) Mi familia, i) Los necesitados, k) La oración</t>
  </si>
  <si>
    <t>a) La Iglesia, b) La naturaleza, d) Las convivencias, e) Los amigos, g) Mi familia, k) La oración</t>
  </si>
  <si>
    <t>c) Suelo ir los domingos y otras fechas especiales a la Iglesia, e) Voy a misa en las fechas de mis familiares difuntos, h) En Semana Santa asisto a las procesiones</t>
  </si>
  <si>
    <t>c) Suelo ir los domingos y otras fechas especiales a la Iglesia, d) Suelo orar todos los días, e) Voy a misa en las fechas de mis familiares difuntos, g) En ocasiones, en mi casa tenemos una oración familiar, i) Tengo en mi cuarto alguna imagen religiosa</t>
  </si>
  <si>
    <t>c) Suelo ir los domingos y otras fechas especiales a la Iglesia, h) En Semana Santa asisto a las procesiones</t>
  </si>
  <si>
    <t>c) Suelo ir los domingos y otras fechas especiales a la Iglesia, g) En ocasiones, en mi casa tenemos una oración familiar</t>
  </si>
  <si>
    <t>a) Mi padre, b) Mi madre, d) Un escolapio, religioso o religiosa, h) Una amiga</t>
  </si>
  <si>
    <t>b) Lavadora, h) Carro, i) Computadora</t>
  </si>
  <si>
    <t>a) La familia, c) Los estudios, d) El cuidado de mi cuerpo, g) La felicidad, j) El deporte</t>
  </si>
  <si>
    <t>c) Sacerdocio o hermana religiosa, e) Derecho</t>
  </si>
  <si>
    <t>d) Los grupos juveniles cristianos, e) La mayor posibilidad de vivir mi fe</t>
  </si>
  <si>
    <t>b) Lavadora, i) Computadora, j) Cámara digital, k) Aire acondicionado</t>
  </si>
  <si>
    <t>a) Me divierto con juegos para computadoras, d) Estoy la mayor parte del tiempo en la casa sin hacer nada, l) Escucho música y/o veo videos musicales</t>
  </si>
  <si>
    <t>b) Lavadora, c) Microondas, j) Cámara digital, k) Aire acondicionado</t>
  </si>
  <si>
    <t>b) Suelo bendedir los alimentos antes de comer, e) Voy a misa en las fechas de mis familiares difuntos, g) En ocasiones, en mi casa tenemos una oración familiar</t>
  </si>
  <si>
    <t>b) Navego en Internet, g) Suelo ir a discotecas o a fiestas, h) Suelo ir al cine</t>
  </si>
  <si>
    <t>a) Mi padre, b) Mi madre, c) Un hermano/a, d) Un escolapio, religioso o religiosa, e) Un, una docente, g) Un amigo</t>
  </si>
  <si>
    <t>a) La Iglesia, b) La naturaleza, d) Las convivencias, g) Mi familia, h) Algunas personas cercanas a Dios, i) Los necesitados, k) La oración</t>
  </si>
  <si>
    <t>d) Estoy la mayor parte del tiempo en la casa sin hacer nada, i) Leo revistas o libros, j) Estoy en algún grupo juvenil</t>
  </si>
  <si>
    <t>b) Lavadora, c) Microondas, f) MP3, h) Carro, i) Computadora, k) Aire acondicionado</t>
  </si>
  <si>
    <t>a) Me divierto con juegos para computadoras, l) Escucho música y/o veo videos musicales, m) Veo televisión y/o películas</t>
  </si>
  <si>
    <t>a) Mi padre, b) Mi madre, c) Un hermano/a, e) Un, una docente, f) La orientadora, h) Una amiga</t>
  </si>
  <si>
    <t>a) Me divierto con juegos para computadoras, e) Suelo ir a algún parque, m) Veo televisión y/o películas</t>
  </si>
  <si>
    <t>a) Mi padre, b) Mi madre, c) Un hermano/a, d) Un escolapio, religioso o religiosa, g) Un amigo</t>
  </si>
  <si>
    <t>d) Abuelos, e) Otros familiares</t>
  </si>
  <si>
    <t>b) Lavadora, c) Microondas, d) TV pantalla plana, i) Computadora, k) Aire acondicionado</t>
  </si>
  <si>
    <t>c) Suelo ir los domingos y otras fechas especiales a la Iglesia, e) Voy a misa en las fechas de mis familiares difuntos, f) En alguna ocasión he rezado el rosario, h) En Semana Santa asisto a las procesiones, i) Tengo en mi cuarto alguna imagen religiosa</t>
  </si>
  <si>
    <t>d) Los grupos juveniles cristianos, h) Las actividades extraescolares</t>
  </si>
  <si>
    <t>e) Un, una docente, g) Un amigo, h) Una amiga</t>
  </si>
  <si>
    <t>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t>
  </si>
  <si>
    <t>b) Lavadora, c) Microondas, i) Computadora</t>
  </si>
  <si>
    <t>c) Un hermano/a, e) Un, una docente, g) Un amigo, h) Una amiga</t>
  </si>
  <si>
    <t>b) Lavadora, c) Microondas, k) Aire acondicionado</t>
  </si>
  <si>
    <t>c) Suelo ir los domingos y otras fechas especiales a la Iglesia, f) En alguna ocasión he rezado el rosario, i) Tengo en mi cuarto alguna imagen religiosa</t>
  </si>
  <si>
    <t>a) Mi padre, c) Un hermano/a</t>
  </si>
  <si>
    <t>a) La Iglesia, e) Los amigos, g) Mi familia, i) Los necesitados, k) La oración</t>
  </si>
  <si>
    <t>a) La familia, b) Los amigos, c) Los estudios, d) El cuidado de mi cuerpo, g) La felicidad, j) El deporte</t>
  </si>
  <si>
    <t>g) Mi familia, h) Algunas personas cercanas a Dios, k) La oración</t>
  </si>
  <si>
    <t>d) Estoy la mayor parte del tiempo en la casa sin hacer nada, k) Practico algún deporte, m) Veo televisión y/o películas</t>
  </si>
  <si>
    <t>c) Las instalaciones del Colegio, f) La igualdad de trato que se da a todos</t>
  </si>
  <si>
    <t>e) Voy a misa en las fechas de mis familiares difuntos, h) En Semana Santa asisto a las procesiones</t>
  </si>
  <si>
    <t>a) Cónsola videojuegos, b) Lavadora, c) Microondas, d) TV pantalla plana, e) Moto, f) MP3, i) Computadora, j) Cámara digital, k) Aire acondicionado</t>
  </si>
  <si>
    <t>a) La Iglesia, b) La naturaleza, d) Las convivencias, g) Mi familia, h) Algunas personas cercanas a Dios, k) La oración</t>
  </si>
  <si>
    <t>b) Mi madre, f) La orientadora, g) Un amigo</t>
  </si>
  <si>
    <t>a) La familia, h) La sexualidad, j) El deporte</t>
  </si>
  <si>
    <t>b) Lavadora, c) Microondas, d) TV pantalla plana, h) Carro, k) Aire acondicionado</t>
  </si>
  <si>
    <t>a) La familia, c) Los estudios, h) La sexualidad</t>
  </si>
  <si>
    <t>c) Suelo ir los domingos y otras fechas especiales a la Iglesia, d) Suelo orar todos los días, e) Voy a misa en las fechas de mis familiares difuntos, i) Tengo en mi cuarto alguna imagen religiosa</t>
  </si>
  <si>
    <t>d) Estoy la mayor parte del tiempo en la casa sin hacer nada, h) Suelo ir al cine, n) Estoy conversando con los amigos/as</t>
  </si>
  <si>
    <t>b) Lavadora, d) TV pantalla plana, f) MP3, g) MP4, i) Computadora, j) Cámara digital, k) Aire acondicionado</t>
  </si>
  <si>
    <t>a) Me divierto con juegos para computadoras, h) Suelo ir al cine, m) Veo televisión y/o películas</t>
  </si>
  <si>
    <t>b) Los amigos, e) Disponer de dinero, k) Internet</t>
  </si>
  <si>
    <t>a) Me divierto con juegos para computadoras, b) Navego en Internet, l) Escucho música y/o veo videos musicales</t>
  </si>
  <si>
    <t>e) Suelo ir a algún parque, l) Escucho música y/o veo videos musicales, n) Estoy conversando con los amigos/as</t>
  </si>
  <si>
    <t>b) La naturaleza, k) La oración</t>
  </si>
  <si>
    <t>d) Estoy la mayor parte del tiempo en la casa sin hacer nada, l) Escucho música y/o veo videos musicales, m) Veo televisión y/o películas</t>
  </si>
  <si>
    <t>d) Quinto año</t>
  </si>
  <si>
    <t>b) Lavadora, c) Microondas, i) Computadora, k) Aire acondicionado</t>
  </si>
  <si>
    <t>a) Cónsola videojuegos, b) Lavadora, c) Microondas, d) TV pantalla plana, i) Computadora</t>
  </si>
  <si>
    <t>b) Suelo bendedir los alimentos antes de comer, d) Suelo orar todos los días, h) En Semana Santa asisto a las procesiones</t>
  </si>
  <si>
    <t>d) Las convivencias, i) Los necesitados, k) La oración</t>
  </si>
  <si>
    <t>b) Navego en Internet, l) Escucho música y/o veo videos musicales, m) Veo televisión y/o películas, n) Estoy conversando con los amigos/as</t>
  </si>
  <si>
    <t>c) Suelo ir los domingos y otras fechas especiales a la Iglesia, d) Suelo orar todos los días, e) Voy a misa en las fechas de mis familiares difuntos, h) En Semana Santa asisto a las procesiones</t>
  </si>
  <si>
    <t>c) Los estudios, i) La música, j) El deporte</t>
  </si>
  <si>
    <t>c) Suelo ir los domingos y otras fechas especiales a la Iglesia, e) Voy a misa en las fechas de mis familiares difuntos, f) En alguna ocasión he rezado el rosario</t>
  </si>
  <si>
    <t>b) Lavadora, h) Carro, i) Computadora, j) Cámara digital</t>
  </si>
  <si>
    <t>a) Suelo llevar una cruz o algún objeto religioso, b) Suelo bendedir los alimentos antes de comer, c) Suelo ir los domingos y otras fechas especiales a la Iglesia</t>
  </si>
  <si>
    <t>b) Lavadora, f) MP3</t>
  </si>
  <si>
    <t>a) La Iglesia, g) Mi familia, i) Los necesitados, k) La oración</t>
  </si>
  <si>
    <t>b) Lavadora, d) TV pantalla plana, e) Moto, g) MP4, i) Computadora</t>
  </si>
  <si>
    <t>a) Medicina, d) Ingeniería, g) Artista, j) Trabajador calificado</t>
  </si>
  <si>
    <t>e) Suelo ir a algún parque, k) Practico algún deporte, n) Estoy conversando con los amigos/as</t>
  </si>
  <si>
    <t>a) La Iglesia, b) La naturaleza, d) Las convivencias, e) Los amigos, g) Mi familia, h) Algunas personas cercanas a Dios, i) Los necesitados, k) La oración, l) Los sacramentos</t>
  </si>
  <si>
    <t>a) Suelo llevar una cruz o algún objeto religioso, c) Suelo ir los domingos y otras fechas especiales a la Iglesia, d) Suelo orar todos los días, e) Voy a misa en las fechas de mis familiares difuntos, f) En alguna ocasión he rezado el rosario, h) En Semana Santa asisto a las procesiones, i) Tengo en mi cuarto alguna imagen religiosa</t>
  </si>
  <si>
    <t>b) Lavadora, h) Carro, i) Computadora, j) Cámara digital, k) Aire acondicionado</t>
  </si>
  <si>
    <t>c) Los estudios, d) El cuidado de mi cuerpo, h) La sexualidad</t>
  </si>
  <si>
    <t>c) Las instalaciones del Colegio, d) Los grupos juveniles cristianos</t>
  </si>
  <si>
    <t>f) Nuestra Señora de Coromoto de Maracaibo</t>
  </si>
  <si>
    <t>d) Estoy la mayor parte del tiempo en la casa sin hacer nada, n) Estoy conversando con los amigos/as</t>
  </si>
  <si>
    <t>b) Los amigos, i) La música, k) El internet</t>
  </si>
  <si>
    <t>d) Los grupos juveniles cristianos, i) No me gusta nada</t>
  </si>
  <si>
    <t>e) Disponer de dinero, h) La sexualidad, j) El deporte</t>
  </si>
  <si>
    <t>a) La Iglesia, b) La naturaleza, l) Los sacramentos</t>
  </si>
  <si>
    <t>e) La mayor posibilidad de vivir mi fe</t>
  </si>
  <si>
    <t>a) Cónsola videojuegos, b) Lavadora, c) Microondas, d) TV pantalla plana, i) Computadora, j) Cámara digital, k) Aire acondicionado</t>
  </si>
  <si>
    <t>a) Cónsola videojuegos, b) Lavadora, i) Computadora</t>
  </si>
  <si>
    <t>c) Suelo ir los domingos y otras fechas especiales a la Iglesia, h) En Semana Santa asisto a las procesiones, i) Tengo en mi cuarto alguna imagen religiosa</t>
  </si>
  <si>
    <t>a) Me divierto con juegos para computadoras, f) Toco un instrumento musical, n) Estoy conversando con los amigos/as</t>
  </si>
  <si>
    <t>b) Lavadora, d) TV pantalla plana, h) Carro, i) Computadora, k) Aire acondicionado</t>
  </si>
  <si>
    <t>a) Cónsola videojuegos, b) Lavadora, c) Microondas, f) MP3, h) Carro, i) Computadora, k) Aire acondicionado</t>
  </si>
  <si>
    <t>a) La Iglesia, g) Mi familia, j) Todas partes, k) La oración, l) Los sacramentos</t>
  </si>
  <si>
    <t>a) Me divierto con juegos para computadoras, d) Estoy la mayor parte del tiempo en la casa sin hacer nada, g) Suelo ir a discotecas o a fiestas</t>
  </si>
  <si>
    <t>b) Suelo bendedir los alimentos antes de comer, c) Suelo ir los domingos y otras fechas especiales a la Iglesia, e) Voy a misa en las fechas de mis familiares difuntos, f) En alguna ocasión he rezado el rosario, h) En Semana Santa asisto a las procesiones</t>
  </si>
  <si>
    <t>b) Mi madre, e) Un, una docente, f) La orientadora, g) Un amigo, h) Una amiga</t>
  </si>
  <si>
    <t>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t>
  </si>
  <si>
    <t>a) Mi padre, b) Mi madre, c) Un hermano/a, f) La orientadora</t>
  </si>
  <si>
    <t>b) Lavadora, c) Microondas, f) MP3, i) Computadora, j) Cámara digital, k) Aire acondicionado</t>
  </si>
  <si>
    <t>b) Mi madre, c) Un hermano/a, k) No tengo problemas personales</t>
  </si>
  <si>
    <t>c) Los estudios, h) La sexualidad, i) La música</t>
  </si>
  <si>
    <t>c) Hermanos, d) Abuelos, e) Otros familiares</t>
  </si>
  <si>
    <t>a) Cónsola videojuegos, b) Lavadora, d) TV pantalla plana, f) MP3, h) Carro, i) Computadora, j) Cámara digital, k) Aire acondicionado</t>
  </si>
  <si>
    <t>a) Cónsola videojuegos, b) Lavadora, d) TV pantalla plana, f) MP3, g) MP4, i) Computadora, j) Cámara digital, k) Aire acondicionado</t>
  </si>
  <si>
    <t>b) Navego en Internet, i) Leo revistas o libros, l) Escucho música y/o veo videos musicales, m) Veo televisión y/o películas</t>
  </si>
  <si>
    <t>b) Los amigos, c) Los estudios</t>
  </si>
  <si>
    <t>a) Medicina, b) Docencia, d) Ingeniería</t>
  </si>
  <si>
    <t>l) Escucho música y/o veo videos musicales, m) Veo televisión y/o películas</t>
  </si>
  <si>
    <t>b) Lavadora, c) Microondas, d) TV pantalla plana, f) MP3, i) Computadora, k) Aire acondicionado</t>
  </si>
  <si>
    <t>a) La Iglesia, g) Mi familia, i) Los necesitados, j) Todas partes, k) La oración</t>
  </si>
  <si>
    <t>f) En alguna ocasión he rezado el rosario, h) En Semana Santa asisto a las procesiones</t>
  </si>
  <si>
    <t>b) Lavadora, d) TV pantalla plana</t>
  </si>
  <si>
    <t>e) Derecho, j) Trabajador calificado</t>
  </si>
  <si>
    <t>c) Suelo ir los domingos y otras fechas especiales a la Iglesia, d) Suelo orar todos los días, e) Voy a misa en las fechas de mis familiares difuntos, f) En alguna ocasión he rezado el rosario, h) En Semana Santa asisto a las procesiones, i) Tengo en mi cuarto alguna imagen religiosa</t>
  </si>
  <si>
    <t>a) La Iglesia, g) Mi familia, h) Algunas personas cercanas a Dios</t>
  </si>
  <si>
    <t>i) Computadora, k) Aire acondicionado</t>
  </si>
  <si>
    <t>g) Mi familia, j) Todas partes, k) La oración</t>
  </si>
  <si>
    <t>h) Una amiga, j) Nadie</t>
  </si>
  <si>
    <t>a) Cónsola videojuegos, b) Lavadora, d) TV pantalla plana, i) Computadora, j) Cámara digital, k) Aire acondicionado</t>
  </si>
  <si>
    <t>c) Los estudios, i) La música, k) Internet</t>
  </si>
  <si>
    <t>a) La Iglesia, e) Los amigos, k) La oración</t>
  </si>
  <si>
    <t>a) Suelo llevar una cruz o algún objeto religioso, d) Suelo orar todos los días</t>
  </si>
  <si>
    <t>h) Ciencias políticas</t>
  </si>
  <si>
    <t>a) Cónsola videojuegos, b) Lavadora, c) Microondas, e) Moto, f) MP3, i) Computadora, j) Cámara digital, k) Aire acondicionado</t>
  </si>
  <si>
    <t>b) Navego en Internet, i) Leo revistas o libros, m) Veo televisión y/o películas</t>
  </si>
  <si>
    <t>a) Cónsola videojuegos, b) Lavadora, c) Microondas, f) MP3, g) MP4, i) Computadora, k) Aire acondicionado</t>
  </si>
  <si>
    <t>a) La familia, b) Los amigos, c) Los estudios, g) La felicidad, i) La música, j) El deporte, k) El internet</t>
  </si>
  <si>
    <t>b) La naturaleza, f) Todas las personas, g) Mi familia, j) Todas partes, k) La oración</t>
  </si>
  <si>
    <t>b) Lavadora, c) Microondas, e) Moto, f) MP3, g) MP4, i) Computadora</t>
  </si>
  <si>
    <t>b) Los amigos, d) El cuidado de mi cuerpo, e) Disponer de dinero, g) La felicidad, h) La sexualidad, j) El deporte, k) El internet</t>
  </si>
  <si>
    <t>f) Todas las personas, i) Los necesitados, j) Todas partes</t>
  </si>
  <si>
    <t>c) Religioso o parroquial, d) No pertenezco a ninguno</t>
  </si>
  <si>
    <t>f) Ciencias policiales o artes militares, h) Ciencias políticas, j) Trabajador calificado</t>
  </si>
  <si>
    <t>d) Estoy la mayor parte del tiempo en la casa sin hacer nada, e) Suelo ir a algún parque, f) Toco un instrumento musical</t>
  </si>
  <si>
    <t>b) Lavadora, g) MP4, j) Cámara digital, k) Aire acondicionado</t>
  </si>
  <si>
    <t>b) La naturaleza, e) Los amigos</t>
  </si>
  <si>
    <t>a) La familia, b) Los amigos, c) Los estudios, e) Disponer de dinero, g) La felicidad, h) La sexualidad</t>
  </si>
  <si>
    <t>a) La Iglesia, b) La naturaleza, d) Las convivencias, e) Los amigos, g) Mi familia, i) Los necesitados, k) La oración, l) Los sacramentos</t>
  </si>
  <si>
    <t>a) Me divierto con juegos para computadoras, b) Navego en Internet, c) Suelo ir a centros de video (máquinas de juegos), d) Estoy la mayor parte del tiempo en la casa sin hacer nada</t>
  </si>
  <si>
    <t>b) Lavadora, c) Microondas, d) TV pantalla plana, f) MP3, g) MP4, h) Carro, i) Computadora, k) Aire acondicionado</t>
  </si>
  <si>
    <t>f) Todas las personas, j) Todas partes</t>
  </si>
  <si>
    <t>b) Suelo bendedir los alimentos antes de comer, e) Voy a misa en las fechas de mis familiares difuntos, f) En alguna ocasión he rezado el rosario, g) En ocasiones, en mi casa tenemos una oración familiar, i) Tengo en mi cuarto alguna imagen religiosa</t>
  </si>
  <si>
    <t xml:space="preserve">a) Deportivo, b) Cultural (folklórico, musicales, danzas, scout, banda marcial,...) </t>
  </si>
  <si>
    <t>b) Navego en Internet, d) Estoy la mayor parte del tiempo en la casa sin hacer nada, g) Suelo ir a discotecas o a fiestas</t>
  </si>
  <si>
    <t>a) La familia, b) Los amigos, c) Los estudios, d) El cuidado de mi cuerpo, f) Mi fe y vida cristiana</t>
  </si>
  <si>
    <t>a) La familia, c) Los estudios, e) Disponer de dinero, g) La felicidad, h) La sexualidad</t>
  </si>
  <si>
    <t>d) Estoy la mayor parte del tiempo en la casa sin hacer nada, j) Estoy en algún grupo juvenil, m) Veo televisión y/o películas, n) Estoy conversando con los amigos/as</t>
  </si>
  <si>
    <t>b) Lavadora, c) Microondas, d) TV pantalla plana, e) Moto, i) Computadora, j) Cámara digital, k) Aire acondicionado</t>
  </si>
  <si>
    <t>a) Me divierto con juegos para computadoras, b) Navego en Internet, e) Suelo ir a algún parque, g) Suelo ir a discotecas o a fiestas, h) Suelo ir al cine, l) Escucho música y/o veo videos musicales, m) Veo televisión y/o películas, n) Estoy conversando con los amigos/as</t>
  </si>
  <si>
    <t>a) Mi padre, b) Mi madre, d) Un escolapio, religioso o religiosa, e) Un, una docente, g) Un amigo, h) Una amiga, k) No tengo problemas personales</t>
  </si>
  <si>
    <t>b) Navego en Internet, e) Suelo ir a algún parque</t>
  </si>
  <si>
    <t>a) La Iglesia, e) Los amigos, f) Todas las personas, g) Mi familia, h) Algunas personas cercanas a Dios, i) Los necesitados, j) Todas partes, k) La oración</t>
  </si>
  <si>
    <t>c) Un hermano/a, e) Un, una docente, g) Un amigo, h) Una amiga, j) Nadie</t>
  </si>
  <si>
    <t>a) Me divierto con juegos para computadoras, i) Leo revistas o libros, l) Escucho música y/o veo videos musicales</t>
  </si>
  <si>
    <t>f) Ciencias policiales o artes militares, g) Artista</t>
  </si>
  <si>
    <t>d) TV pantalla plana, h) Carro, k) Aire acondicionado</t>
  </si>
  <si>
    <t>a) Mi padre, b) Mi madre, c) Un hermano/a, h) Una amiga, j) Nadie</t>
  </si>
  <si>
    <t>b) Papá, e) Otros familiares</t>
  </si>
  <si>
    <t>a) La familia, g) La felicidad, h) La sexualidad</t>
  </si>
  <si>
    <t>a) La Iglesia, b) La naturaleza, d) Las convivencias, i) Los necesitados, k) La oración, l) Los sacramentos</t>
  </si>
  <si>
    <t>b) Suelo bendedir los alimentos antes de comer, c) Suelo ir los domingos y otras fechas especiales a la Iglesia, f) En alguna ocasión he rezado el rosario, h) En Semana Santa asisto a las procesiones</t>
  </si>
  <si>
    <t>b) Navego en Internet, e) Suelo ir a algún parque, n) Estoy conversando con los amigos/as</t>
  </si>
  <si>
    <t>b) Lavadora, d) TV pantalla plana, e) Moto, f) MP3, g) MP4, h) Carro, i) Computadora, k) Aire acondicionado</t>
  </si>
  <si>
    <t>a) Cónsola videojuegos, b) Lavadora, f) MP3, h) Carro, i) Computadora, k) Aire acondicionado</t>
  </si>
  <si>
    <t>d) Estoy la mayor parte del tiempo en la casa sin hacer nada, k) Practico algún deporte, l) Escucho música y/o veo videos musicales</t>
  </si>
  <si>
    <t>a) Cónsola videojuegos, b) Lavadora, d) TV pantalla plana, e) Moto, f) MP3, g) MP4, i) Computadora, j) Cámara digital, k) Aire acondicionado</t>
  </si>
  <si>
    <t>d) Las convivencias, i) Los necesitados</t>
  </si>
  <si>
    <t>b) Navego en Internet, f) Toco un instrumento musical, l) Escucho música y/o veo videos musicales</t>
  </si>
  <si>
    <t>b) Lavadora, d) TV pantalla plana, g) MP4, i) Computadora, j) Cámara digital, k) Aire acondicionado</t>
  </si>
  <si>
    <t>a) La Iglesia, g) Mi familia, h) Algunas personas cercanas a Dios, k) La oración</t>
  </si>
  <si>
    <t>b) Navego en Internet, h) Suelo ir al cine</t>
  </si>
  <si>
    <t>b) Lavadora, f) MP3, h) Carro</t>
  </si>
  <si>
    <t>b) Lavadora, d) TV pantalla plana, j) Cámara digital</t>
  </si>
  <si>
    <t>a) La familia, j) El deporte, k) El internet</t>
  </si>
  <si>
    <t>e) Los amigos</t>
  </si>
  <si>
    <t>a) Me divierto con juegos para computadoras, b) Navego en Internet, d) Estoy la mayor parte del tiempo en la casa sin hacer nada, f) Toco un instrumento musical</t>
  </si>
  <si>
    <t>a) La familia, c) Los estudios, d) El cuidado de mi cuerpo, h) La sexualidad, i) La música, j) El deporte, k) El internet</t>
  </si>
  <si>
    <t>a) La familia, c) Los estudios, d) El cuidado de mi cuerpo, g) La felicidad, h) La sexualidad</t>
  </si>
  <si>
    <t>d) Las convivencias, g) Mi familia, h) Algunas personas cercanas a Dios, k) La oración</t>
  </si>
  <si>
    <t>c) Suelo ir los domingos y otras fechas especiales a la Iglesia, e) Voy a misa en las fechas de mis familiares difuntos, f) En alguna ocasión he rezado el rosario, i) Tengo en mi cuarto alguna imagen religiosa</t>
  </si>
  <si>
    <t>a) Los deportes y diversiones, b) El ambiente de estudio y de trabajo, c) Las instalaciones del Colegio, d) Los grupos juveniles cristianos, g) La relación con los docentes</t>
  </si>
  <si>
    <t>a) Me divierto con juegos para computadoras, b) Navego en Internet, d) Estoy la mayor parte del tiempo en la casa sin hacer nada, g) Suelo ir a discotecas o a fiestas, l) Escucho música y/o veo videos musicales, m) Veo televisión y/o películas</t>
  </si>
  <si>
    <t>b) Mi madre, e) Un, una docente</t>
  </si>
  <si>
    <t>c) Los estudios, f) Mi fe y mi vida cristiana, k) Internet</t>
  </si>
  <si>
    <t>b) Navego en Internet, d) Estoy la mayor parte del tiempo en la casa sin hacer nada, g) Suelo ir a discotecas o a fiestas, k) Practico algún deporte, l) Escucho música y/o veo videos musicales, n) Estoy conversando con los amigos/as</t>
  </si>
  <si>
    <t>b) Lavadora, d) TV pantalla plana, i) Computadora, k) Aire acondicionado</t>
  </si>
  <si>
    <t>a) La familia, e) Disponer de dinero, f) Mi fe y mi vida cristiana</t>
  </si>
  <si>
    <t>b) La naturaleza, d) Las convivencias, g) Mi familia, j) Todas partes, k) La oración</t>
  </si>
  <si>
    <t>b) Suelo bendedir los alimentos antes de comer, c) Suelo ir los domingos y otras fechas especiales a la Iglesia, f) En alguna ocasión he rezado el rosario, i) Tengo en mi cuarto alguna imagen religiosa</t>
  </si>
  <si>
    <t>b) Navego en Internet, d) Estoy la mayor parte del tiempo en la casa sin hacer nada</t>
  </si>
  <si>
    <t>b) Lavadora, d) TV pantalla plana, h) Carro, j) Cámara digital, k) Aire acondicionado</t>
  </si>
  <si>
    <t>a) La familia, b) Los amigos, c) Los estudios, i) La música</t>
  </si>
  <si>
    <t>a) Me divierto con juegos para computadoras, f) Toco un instrumento musical, k) Practico algún deporte</t>
  </si>
  <si>
    <t>b) Lavadora, d) TV pantalla plana, e) Moto, h) Carro, i) Computadora, k) Aire acondicionado</t>
  </si>
  <si>
    <t>c) El salón de clase, d) Las convivencias, e) Los amigos</t>
  </si>
  <si>
    <t>a) Los deportes y diversiones, b) El ambiente de estudio y de trabajo, c) Las instalaciones del Colegio, f) La igualdad de trato que se da a todos, g) La relación con los docentes, h) Las actividades extraescolares</t>
  </si>
  <si>
    <t>c) Microondas, i) Computadora</t>
  </si>
  <si>
    <t>a) La familia, e) Disponer de dinero, k) El internet</t>
  </si>
  <si>
    <t>a) La familia, b) Los amigos, c) Los estudios, k) Internet</t>
  </si>
  <si>
    <t>a) Me divierto con juegos para computadoras, b) Navego en Internet, g) Suelo ir a discotecas o a fiestas, h) Suelo ir al cine</t>
  </si>
  <si>
    <t>b) Lavadora, j) Cámara digital</t>
  </si>
  <si>
    <t>b) La naturaleza, d) Las convivencias, g) Mi familia, i) Los necesitados</t>
  </si>
  <si>
    <t>d) Los grupos juveniles cristianos, g) La relación con los docentes</t>
  </si>
  <si>
    <t>f) Toco un instrumento musical, l) Escucho música y/o veo videos musicales</t>
  </si>
  <si>
    <t>b) Mi madre, c) Un hermano/a, d) Un escolapio, religioso o religiosa, g) Un amigo, i) Un, una catequista o responsable de grupo</t>
  </si>
  <si>
    <t>d) TV pantalla plana, f) MP3, i) Computadora</t>
  </si>
  <si>
    <t>b) La naturaleza, d) Las convivencias, f) Todas las personas, j) Todas partes</t>
  </si>
  <si>
    <t>b) Lavadora, c) Microondas, d) TV pantalla plana, g) MP4, i) Computadora, j) Cámara digital</t>
  </si>
  <si>
    <t>a) La Iglesia, d) Las convivencias, e) Los amigos, h) Algunas personas cercanas a Dios, j) Todas partes, k) La oración</t>
  </si>
  <si>
    <t>i) Leo revistas o libros</t>
  </si>
  <si>
    <t>b) Lavadora, c) Microondas, e) Moto, g) MP4, i) Computadora, j) Cámara digital, k) Aire acondicionado</t>
  </si>
  <si>
    <t>b) Los amigos, c) Los estudios, f) Mi fe y mi vida cristiana</t>
  </si>
  <si>
    <t>a) La Iglesia, d) Las convivencias, f) Todas las personas</t>
  </si>
  <si>
    <t>b) Lavadora, c) Microondas, d) TV pantalla plana, k) Aire acondicionado</t>
  </si>
  <si>
    <t>b) La naturaleza, f) Todas las personas, g) Mi familia, i) Los necesitados, j) Todas partes, k) La oración</t>
  </si>
  <si>
    <t>a) Medicina, b) Docencia, d) Ingeniería, e) Derecho, g) Artista, h) Ciencias políticas, i) Comerciante, j) Trabajador calificado</t>
  </si>
  <si>
    <t>b) Mi madre, c) Un hermano/a, f) La orientadora, g) Un amigo, h) Una amiga</t>
  </si>
  <si>
    <t>a) La Iglesia, b) La naturaleza, d) Las convivencias, f) Todas las personas, g) Mi familia, h) Algunas personas cercanas a Dios, i) Los necesitados</t>
  </si>
  <si>
    <t>e) Voy a misa en las fechas de mis familiares difuntos, g) En ocasiones, en mi casa tenemos una oración familiar, h) En Semana Santa asisto a las procesiones</t>
  </si>
  <si>
    <t>b) Navego en Internet, n) Estoy conversando con los amigos/as</t>
  </si>
  <si>
    <t>b) Los amigos, e) Disponer de dinero, g) La felicidad</t>
  </si>
  <si>
    <t>a) La Iglesia, d) Las convivencias, e) Los amigos, k) La oración</t>
  </si>
  <si>
    <t>b) Los amigos, e) Disponer de dinero, i) La música</t>
  </si>
  <si>
    <t>e) Suelo ir a algún parque, g) Suelo ir a discotecas o a fiestas, l) Escucho música y/o veo videos musicales, m) Veo televisión y/o películas</t>
  </si>
  <si>
    <t>b) Navego en Internet, e) Suelo ir a algún parque, h) Suelo ir al cine, j) Estoy en algún grupo juvenil, m) Veo televisión y/o películas</t>
  </si>
  <si>
    <t>a) Cónsola videojuegos, c) Microondas, d) TV pantalla plana, h) Carro, i) Computadora, k) Aire acondicionado</t>
  </si>
  <si>
    <t>b) Papá, c) Hermanos, d) Abuelos</t>
  </si>
  <si>
    <t>b) La naturaleza, d) Las convivencias, k) La oración</t>
  </si>
  <si>
    <t xml:space="preserve">b) Cultural (folklórico, musicales, danzas, scout, banda marcial,...) </t>
  </si>
  <si>
    <t>a) Medicina, b) Docencia, f) Ciencias policiales o artes militares, i) Comerciante</t>
  </si>
  <si>
    <t>l) Escucho música y/o veo videos musicales, n) Estoy conversando con los amigos/as</t>
  </si>
  <si>
    <t>b) Lavadora, c) Microondas, i) Computadora, j) Cámara digital, k) Aire acondicionado</t>
  </si>
  <si>
    <t>a) La Iglesia, b) La naturaleza, c) El salón de clase, d) Las convivencias, e) Los amigos, g) Mi familia, h) Algunas personas cercanas a Dios, j) Todas partes, k) La oración, l) Los sacramentos</t>
  </si>
  <si>
    <t>b) Suelo bendedir los alimentos antes de comer, c) Suelo ir los domingos y otras fechas especiales a la Iglesia, f) En alguna ocasión he rezado el rosario</t>
  </si>
  <si>
    <t>a) La Iglesia, e) Los amigos, i) Los necesitados, k) La oración</t>
  </si>
  <si>
    <t>a) Suelo llevar una cruz o algún objeto religioso, d) Suelo orar todos los días, e) Voy a misa en las fechas de mis familiares difuntos, h) En Semana Santa asisto a las procesiones</t>
  </si>
  <si>
    <t>b) Navego en Internet, i) Leo revistas o libros, j) Estoy en algún grupo juvenil</t>
  </si>
  <si>
    <t>c) Un hermano/a, e) Un, una docente, h) Una amiga</t>
  </si>
  <si>
    <t>a) La familia, c) Los estudios, k) El internet</t>
  </si>
  <si>
    <t>a) La Iglesia, g) Mi familia, j) Todas partes</t>
  </si>
  <si>
    <t>d) Los grupos juveniles cristianos</t>
  </si>
  <si>
    <t>b) Navego en Internet, k) Practico algún deporte, l) Escucho música y/o veo videos musicales</t>
  </si>
  <si>
    <t>a) La Iglesia, d) Las convivencias, g) Mi familia, k) La oración, l) Los sacramentos</t>
  </si>
  <si>
    <t>b) Suelo bendedir los alimentos antes de comer, c) Suelo ir los domingos y otras fechas especiales a la Iglesia, g) En ocasiones, en mi casa tenemos una oración familiar, h) En Semana Santa asisto a las procesiones, i) Tengo en mi cuarto alguna imagen religiosa</t>
  </si>
  <si>
    <t>e) Suelo ir a algún parque, i) Leo revistas o libros, k) Practico algún deporte</t>
  </si>
  <si>
    <t>b) Lavadora, c) Microondas, f) MP3, i) Computadora, k) Aire acondicionado</t>
  </si>
  <si>
    <t>a) La Iglesia, d) Las convivencias, e) Los amigos, g) Mi familia, i) Los necesitados, k) La oración</t>
  </si>
  <si>
    <t>a) Medicina, d) Ingeniería, f) Ciencias policiales o artes militares</t>
  </si>
  <si>
    <t>a) Me divierto con juegos para computadoras, b) Navego en Internet, d) Estoy la mayor parte del tiempo en la casa sin hacer nada, m) Veo televisión y/o películas, n) Estoy conversando con los amigos/as</t>
  </si>
  <si>
    <t>a) La Iglesia, d) Las convivencias, g) Mi familia, h) Algunas personas cercanas a Dios, i) Los necesitados, k) La oración, l) Los sacramentos</t>
  </si>
  <si>
    <t>d) Las convivencias, e) Los amigos, g) Mi familia, i) Los necesitados</t>
  </si>
  <si>
    <t>b) Navego en Internet, d) Estoy la mayor parte del tiempo en la casa sin hacer nada, l) Escucho música y/o veo videos musicales, m) Veo televisión y/o películas</t>
  </si>
  <si>
    <t>c) Suelo ir los domingos y otras fechas especiales a la Iglesia, e) Voy a misa en las fechas de mis familiares difuntos, g) En ocasiones, en mi casa tenemos una oración familiar</t>
  </si>
  <si>
    <t>b) Lavadora, c) Microondas, h) Carro, i) Computadora, j) Cámara digital, k) Aire acondicionado</t>
  </si>
  <si>
    <t>a) Me divierto con juegos para computadoras, b) Navego en Internet, c) Suelo ir a centros de video (máquinas de juegos), d) Estoy la mayor parte del tiempo en la casa sin hacer nada, i) Leo revistas o libros, m) Veo televisión y/o películas, n) Estoy conversando con los amigos/as</t>
  </si>
  <si>
    <t>c) Microondas</t>
  </si>
  <si>
    <t>b) Docencia</t>
  </si>
  <si>
    <t>c) Los estudios, f) Mi fe y mi vida cristiana, h) La sexualidad</t>
  </si>
  <si>
    <t>e) Un, una docente, f) La orientadora, g) Un amigo</t>
  </si>
  <si>
    <t>a) La familia, b) Los amigos, c) Los estudios, d) El cuidado de mi cuerpo, f) Mi fe y mi vida cristiana</t>
  </si>
  <si>
    <t>a) Suelo llevar una cruz o algún objeto religioso, c) Suelo ir los domingos y otras fechas especiales a la Iglesia, d) Suelo orar todos los días, i) Tengo en mi cuarto alguna imagen religiosa</t>
  </si>
  <si>
    <t>a) Medicina, b) Docencia, c) Sacerdocio o hermana religiosa, i) Comerciante</t>
  </si>
  <si>
    <t>b) Navego en Internet, d) Estoy la mayor parte del tiempo en la casa sin hacer nada, j) Estoy en algún grupo juvenil</t>
  </si>
  <si>
    <t>a) La familia, d) El cuidado de mi cuerpo, f) Mi fe y vida cristiana</t>
  </si>
  <si>
    <t>f) MP3</t>
  </si>
  <si>
    <t>e) Disponer de dinero, h) La sexualidad, k) El internet</t>
  </si>
  <si>
    <t>e) Disponer de dinero, h) La sexualidad, k) Internet</t>
  </si>
  <si>
    <t>c) Sacerdocio o hermana religiosa, g) Artista, j) Trabajador calificado</t>
  </si>
  <si>
    <t>b) Navego en Internet, g) Suelo ir a discotecas o a fiestas, k) Practico algún deporte, l) Escucho música y/o veo videos musicales</t>
  </si>
  <si>
    <t>a) Mi padre, b) Mi madre, c) Un hermano/a, d) Un escolapio, religioso o religiosa, e) Un, una docente, f) La orientadora, g) Un amigo, h) Una amiga, i) Un, una catequista o responsable de grupo, j) Nadie, k) No tengo problemas personales</t>
  </si>
  <si>
    <t>c) Suelo ir los domingos y otras fechas especiales a la Iglesia, d) Suelo orar todos los días, g) En ocasiones, en mi casa tenemos una oración familiar</t>
  </si>
  <si>
    <t>f) La igualdad de trato que se da a todos</t>
  </si>
  <si>
    <t>b) La naturaleza, k) La oración, l) Los sacramentos</t>
  </si>
  <si>
    <t>a) Me divierto con juegos para computadoras, j) Estoy en algún grupo juvenil, l) Escucho música y/o veo videos musicales</t>
  </si>
  <si>
    <t>a) Cónsola videojuegos, b) Lavadora, f) MP3, i) Computadora, j) Cámara digital, k) Aire acondicionado</t>
  </si>
  <si>
    <t>e) Suelo ir a algún parque, n) Estoy conversando con los amigos/as</t>
  </si>
  <si>
    <t>a) Me divierto con juegos para computadoras, b) Navego en Internet, d) Estoy la mayor parte del tiempo en la casa sin hacer nada, i) Leo revistas o libros, j) Estoy en algún grupo juvenil, l) Escucho música y/o veo videos musicales, n) Estoy conversando con los amigos/as</t>
  </si>
  <si>
    <t>a) La Iglesia, b) La naturaleza, g) Mi familia, h) Algunas personas cercanas a Dios, i) Los necesitados, k) La oración, l) Los sacramentos</t>
  </si>
  <si>
    <t>b) Mi madre, c) Un hermano/a, d) Un escolapio, religioso o religiosa, g) Un amigo, h) Una amiga</t>
  </si>
  <si>
    <t>b) La naturaleza, c) El salón de clase, d) Las convivencias, g) Mi familia</t>
  </si>
  <si>
    <t>b) Navego en Internet, l) Escucho música y/o veo videos musicales, n) Estoy conversando con los amigos/as</t>
  </si>
  <si>
    <t>e) Derecho, f) Ciencias policiales o artes militares, g) Artista</t>
  </si>
  <si>
    <t>e) Suelo ir a algún parque, f) Toco un instrumento musical, h) Suelo ir al cine, l) Escucho música y/o veo videos musicales</t>
  </si>
  <si>
    <t>b) Los amigos, d) El cuidado de mi cuerpo, h) La sexualidad</t>
  </si>
  <si>
    <t>d) Las convivencias, g) Mi familia, j) Todas partes</t>
  </si>
  <si>
    <t>h) Suelo ir al cine, j) Estoy en algún grupo juvenil, l) Escucho música y/o veo videos musicales</t>
  </si>
  <si>
    <t>b) Lavadora, e) Moto, h) Carro, j) Cámara digital, k) Aire acondicionado</t>
  </si>
  <si>
    <t>a) La Iglesia, b) La naturaleza, d) Las convivencias, e) Los amigos, g) Mi familia, h) Algunas personas cercanas a Dios, i) Los necesitados, j) Todas partes</t>
  </si>
  <si>
    <t>f) La igualdad de trato que se da a todos, h) Las actividades extraescolares</t>
  </si>
  <si>
    <t>a) Cónsola videojuegos, b) Lavadora, f) MP3, g) MP4, i) Computadora, j) Cámara digital, k) Aire acondicionado</t>
  </si>
  <si>
    <t>a) La Iglesia, b) La naturaleza, e) Los amigos, g) Mi familia, h) Algunas personas cercanas a Dios</t>
  </si>
  <si>
    <t>a) Cónsola videojuegos, i) Computadora, k) Aire acondicionado</t>
  </si>
  <si>
    <t>a) La familia, b) Los amigos, g) La felicidad, i) La música</t>
  </si>
  <si>
    <t>a) Cónsola videojuegos, b) Lavadora, d) TV pantalla plana, f) MP3, g) MP4, h) Carro, i) Computadora, j) Cámara digital, k) Aire acondicionado</t>
  </si>
  <si>
    <t>b) Navego en Internet, j) Estoy en algún grupo juvenil, l) Escucho música y/o veo videos musicales, m) Veo televisión y/o películas</t>
  </si>
  <si>
    <t>b) Lavadora, c) Microondas, d) TV pantalla plana</t>
  </si>
  <si>
    <t>b) Suelo bendedir los alimentos antes de comer, d) Suelo orar todos los días, e) Voy a misa en las fechas de mis familiares difuntos</t>
  </si>
  <si>
    <t>b) Navego en Internet, j) Estoy en algún grupo juvenil, l) Escucho música y/o veo videos musicales, n) Estoy conversando con los amigos/as</t>
  </si>
  <si>
    <t>a) Cónsola videojuegos, b) Lavadora, f) MP3, g) MP4, i) Computadora, k) Aire acondicionado</t>
  </si>
  <si>
    <t>a) Suelo llevar una cruz o algún objeto religioso, b) Suelo bendedir los alimentos antes de comer, c) Suelo ir los domingos y otras fechas especiales a la Iglesia, e) Voy a misa en las fechas de mis familiares difuntos, f) En alguna ocasión he rezado el rosario, h) En Semana Santa asisto a las procesiones, i) Tengo en mi cuarto alguna imagen religiosa</t>
  </si>
  <si>
    <t>b) Docencia, d) Ingeniería, g) Artista</t>
  </si>
  <si>
    <t>b) Lavadora, k) Aire acondicionado</t>
  </si>
  <si>
    <t>a) La familia, i) La música, k) El internet</t>
  </si>
  <si>
    <t>b) Navego en Internet, g) Suelo ir a discotecas o a fiestas, j) Estoy en algún grupo juvenil, k) Practico algún deporte, l) Escucho música y/o veo videos musicales, m) Veo televisión y/o películas</t>
  </si>
  <si>
    <t>c) Los estudios, g) La felicidad, k) Internet</t>
  </si>
  <si>
    <t>d) Las convivencias, k) La oración</t>
  </si>
  <si>
    <t>b) Navego en Internet, h) Suelo ir al cine, l) Escucho música y/o veo videos musicales</t>
  </si>
  <si>
    <t>b) Lavadora, c) Microondas, d) TV pantalla plana, f) MP3, h) Carro, i) Computadora, j) Cámara digital</t>
  </si>
  <si>
    <t>a) La Iglesia, b) La naturaleza, d) Las convivencias, f) Todas las personas, g) Mi familia, k) La oración</t>
  </si>
  <si>
    <t>a) Cónsola videojuegos, b) Lavadora, d) TV pantalla plana, i) Computadora</t>
  </si>
  <si>
    <t>a) La familia, c) Los estudios, k) Internet</t>
  </si>
  <si>
    <t>b) Navego en Internet, d) Estoy la mayor parte del tiempo en la casa sin hacer nada, e) Suelo ir a algún parque, h) Suelo ir al cine, l) Escucho música y/o veo videos musicales, m) Veo televisión y/o películas, n) Estoy conversando con los amigos/as</t>
  </si>
  <si>
    <t>a) La Iglesia, b) La naturaleza, d) Las convivencias, f) Todas las personas, g) Mi familia, i) Los necesitados, j) Todas partes, k) La oración</t>
  </si>
  <si>
    <t>a) Los deportes y diversiones, d) Los grupos juveniles cristianos, h) Las actividades extraescolares</t>
  </si>
  <si>
    <t>b) Navego en Internet, d) Estoy la mayor parte del tiempo en la casa sin hacer nada, e) Suelo ir a algún parque, h) Suelo ir al cine, j) Estoy en algún grupo juvenil, l) Escucho música y/o veo videos musicales</t>
  </si>
  <si>
    <t>a) La Iglesia, d) Las convivencias</t>
  </si>
  <si>
    <t>a) La familia, c) Los estudios, g) La felicidad, h) La sexualidad</t>
  </si>
  <si>
    <t>a) Cónsola videojuegos, d) TV pantalla plana, f) MP3, h) Carro, i) Computadora, j) Cámara digital, k) Aire acondicionado</t>
  </si>
  <si>
    <t>b) Mi madre, c) Un hermano/a, g) Un amigo, h) Una amiga, j) Nadie</t>
  </si>
  <si>
    <t>a) La Iglesia, b) La naturaleza, c) El salón de clase, d) Las convivencias, e) Los amigos, f) Todas las personas, g) Mi familia, h) Algunas personas cercanas a Dios</t>
  </si>
  <si>
    <t>b) Navego en Internet, e) Suelo ir a algún parque, h) Suelo ir al cine</t>
  </si>
  <si>
    <t>a) La Iglesia, b) La naturaleza, c) El salón de clase, d) Las convivencias, e) Los amigos, f) Todas las personas, g) Mi familia, h) Algunas personas cercanas a Dios, j) Todas partes</t>
  </si>
  <si>
    <t>a) La Iglesia, c) El salón de clase, d) Las convivencias, f) Todas las personas, g) Mi familia</t>
  </si>
  <si>
    <t>e) Suelo ir a algún parque, l) Escucho música y/o veo videos musicales, m) Veo televisión y/o películas</t>
  </si>
  <si>
    <t>a) La familia, c) Los estudios, f) Mi fe y vida cristiana, g) La felicidad</t>
  </si>
  <si>
    <t>a) Los deportes y diversiones, b) El ambiente de estudio y de trabajo, c) Las instalaciones del Colegio, d) Los grupos juveniles cristianos, h) Las actividades extraescolares</t>
  </si>
  <si>
    <t>a) Me divierto con juegos para computadoras, b) Navego en Internet, l) Escucho música y/o veo videos musicales, n) Estoy conversando con los amigos/as</t>
  </si>
  <si>
    <t>b) Mi madre, d) Un escolapio, religioso o religiosa, g) Un amigo, h) Una amiga</t>
  </si>
  <si>
    <t>b) Lavadora, e) Moto, f) MP3, i) Computadora, j) Cámara digital</t>
  </si>
  <si>
    <t>e) Suelo ir a algún parque, l) Escucho música y/o veo videos musicales</t>
  </si>
  <si>
    <t>a) La Iglesia, b) La naturaleza, g) Mi familia, j) Todas partes</t>
  </si>
  <si>
    <t>e) Suelo ir a algún parque</t>
  </si>
  <si>
    <t>a) La Iglesia, b) La naturaleza, c) El salón de clase, d) Las convivencias, e) Los amigos, f) Todas las personas, g) Mi familia, h) Algunas personas cercanas a Dios, i) Los necesitados, j) Todas partes, k) La oración</t>
  </si>
  <si>
    <t>l) Escucho música y/o veo videos musicales</t>
  </si>
  <si>
    <t>b) Lavadora, c) Microondas, h) Carro, j) Cámara digital, k) Aire acondicionado</t>
  </si>
  <si>
    <t>e) Los amigos, i) Los necesitados, k) La oración</t>
  </si>
  <si>
    <t>e) La mayor posibilidad de vivir mi fe, f) La igualdad de trato que se da a todos, g) La relación con los docentes</t>
  </si>
  <si>
    <t>b) Navego en Internet, d) Estoy la mayor parte del tiempo en la casa sin hacer nada, g) Suelo ir a discotecas o a fiestas, l) Escucho música y/o veo videos musicales, m) Veo televisión y/o películas, n) Estoy conversando con los amigos/as</t>
  </si>
  <si>
    <t>b) Mi madre, f) La orientadora, h) Una amiga</t>
  </si>
  <si>
    <t>a) Cónsola videojuegos, c) Microondas, d) TV pantalla plana, g) MP4, i) Computadora, j) Cámara digital, k) Aire acondicionado</t>
  </si>
  <si>
    <t>a) La familia, b) Los amigos, d) El cuidado de mi cuerpo, i) La música, j) El deporte</t>
  </si>
  <si>
    <t>a) La familia, c) Los estudios, d) El cuidado de mi cuerpo, j) El deporte</t>
  </si>
  <si>
    <t>a) Me divierto con juegos para computadoras, l) Escucho música y/o veo videos musicales</t>
  </si>
  <si>
    <t>a) Cónsola videojuegos, f) MP3, i) Computadora, k) Aire acondicionado</t>
  </si>
  <si>
    <t>b) Navego en Internet, c) Suelo ir a centros de video (máquinas de juegos), j) Estoy en algún grupo juvenil</t>
  </si>
  <si>
    <t>a) Cónsola videojuegos, b) Lavadora, d) TV pantalla plana, f) MP3, i) Computadora, j) Cámara digital, k) Aire acondicionado</t>
  </si>
  <si>
    <t>a) La familia, b) Los amigos, c) Los estudios, d) El cuidado de mi cuerpo, g) La felicidad, i) La música, j) El deporte, k) El internet</t>
  </si>
  <si>
    <t>b) Docencia, j) Trabajador calificado</t>
  </si>
  <si>
    <t>a) La familia, b) Los amigos, e) Disponer de dinero, j) El deporte</t>
  </si>
  <si>
    <t>a) Me divierto con juegos para computadoras, b) Navego en Internet, e) Suelo ir a algún parque, j) Estoy en algún grupo juvenil, k) Practico algún deporte, m) Veo televisión y/o películas</t>
  </si>
  <si>
    <t>b) Lavadora, c) Microondas, d) TV pantalla plana, e) Moto, g) MP4, h) Carro, k) Aire acondicionado</t>
  </si>
  <si>
    <t>a) La Iglesia, e) Los amigos, f) Todas las personas, g) Mi familia, i) Los necesitados, k) La oración</t>
  </si>
  <si>
    <t>a) La Iglesia, b) La naturaleza, c) El salón de clase, e) Los amigos, g) Mi familia, i) Los necesitados, j) Todas partes</t>
  </si>
  <si>
    <t>b) Mi madre, c) Un hermano/a, d) Un escolapio, religioso o religiosa, h) Una amiga</t>
  </si>
  <si>
    <t>c) Los estudios, d) El cuidado de mi cuerpo, f) Mi fe y mi vida cristiana, h) La sexualidad</t>
  </si>
  <si>
    <t>a) La Iglesia, b) La naturaleza, c) El salón de clase, d) Las convivencias, g) Mi familia, j) Todas partes, k) La oración</t>
  </si>
  <si>
    <t>a) La Iglesia, b) La naturaleza, d) Las convivencias, h) Algunas personas cercanas a Dios, k) La oración, l) Los sacramentos</t>
  </si>
  <si>
    <t>c) Suelo ir los domingos y otras fechas especiales a la Iglesia, d) Suelo orar todos los días, f) En alguna ocasión he rezado el rosario, h) En Semana Santa asisto a las procesiones</t>
  </si>
  <si>
    <t>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t>
  </si>
  <si>
    <t>e) La mayor posibilidad de vivir mi fe, g) La relación con los docentes</t>
  </si>
  <si>
    <t>d) Ingeniería, h) Ciencias políticas, j) Trabajador calificado</t>
  </si>
  <si>
    <t>a) Me divierto con juegos para computadoras, b) Navego en Internet, c) Suelo ir a centros de video (máquinas de juegos), h) Suelo ir al cine, k) Practico algún deporte</t>
  </si>
  <si>
    <t>a) Cónsola videojuegos, c) Microondas, e) Moto, i) Computadora, k) Aire acondicionado</t>
  </si>
  <si>
    <t>a) Me divierto con juegos para computadoras, b) Navego en Internet, c) Suelo ir a centros de video (máquinas de juegos), e) Suelo ir a algún parque, f) Toco un instrumento musical</t>
  </si>
  <si>
    <t>d) TV pantalla plana, i) Computadora, j) Cámara digital, k) Aire acondicionado</t>
  </si>
  <si>
    <t>a) La Iglesia, b) La naturaleza, d) Las convivencias, e) Los amigos, f) Todas las personas, g) Mi familia, h) Algunas personas cercanas a Dios, i) Los necesitados, k) La oración, l) Los sacramentos</t>
  </si>
  <si>
    <t>b) Navego en Internet, j) Estoy en algún grupo juvenil, k) Practico algún deporte, l) Escucho música y/o veo videos musicales, m) Veo televisión y/o películas, n) Estoy conversando con los amigos/as</t>
  </si>
  <si>
    <t>d) Un escolapio, religioso o religiosa, g) Un amigo, h) Una amiga</t>
  </si>
  <si>
    <t>a) La Iglesia, e) Los amigos</t>
  </si>
  <si>
    <t>a) Me divierto con juegos para computadoras, b) Navego en Internet, e) Suelo ir a algún parque, h) Suelo ir al cine, i) Leo revistas o libros, j) Estoy en algún grupo juvenil, k) Practico algún deporte, l) Escucho música y/o veo videos musicales, m) Veo televisión y/o películas, n) Estoy conversando con los amigos/as</t>
  </si>
  <si>
    <t>a) La Iglesia, b) La naturaleza, d) Las convivencias, g) Mi familia, h) Algunas personas cercanas a Dios, k) La oración, l) Los sacramentos</t>
  </si>
  <si>
    <t>b) Lavadora, h) Carro, j) Cámara digital</t>
  </si>
  <si>
    <t>d) Suelo orar todos los días, h) En Semana Santa asisto a las procesiones</t>
  </si>
  <si>
    <t>d) Estoy la mayor parte del tiempo en la casa sin hacer nada, e) Suelo ir a algún parque, m) Veo televisión y/o películas</t>
  </si>
  <si>
    <t>a) La familia, b) Los amigos</t>
  </si>
  <si>
    <t>f) Mi fe y mi vida cristiana</t>
  </si>
  <si>
    <t>a) La Iglesia, c) El salón de clase</t>
  </si>
  <si>
    <t>b) Suelo bendedir los alimentos antes de comer, e) Voy a misa en las fechas de mis familiares difuntos, h) En Semana Santa asisto a las procesiones</t>
  </si>
  <si>
    <t>a) Los deportes y diversiones, d) Los grupos juveniles cristianos, e) La mayor posibilidad de vivir mi fe</t>
  </si>
  <si>
    <t>a) La Iglesia, b) La naturaleza, d) Las convivencias, e) Los amigos, h) Algunas personas cercanas a Dios, k) La oración</t>
  </si>
  <si>
    <t>b) Suelo bendedir los alimentos antes de comer, c) Suelo ir los domingos y otras fechas especiales a la Iglesia, d) Suelo orar todos los días, e) Voy a misa en las fechas de mis familiares difuntos</t>
  </si>
  <si>
    <t>b) Los amigos, d) El cuidado de mi cuerpo, i) La música</t>
  </si>
  <si>
    <t>a) Me divierto con juegos para computadoras, l) Escucho música y/o veo videos musicales, n) Estoy conversando con los amigos/as</t>
  </si>
  <si>
    <t>a) La Iglesia, e) Los amigos, g) Mi familia, j) Todas partes</t>
  </si>
  <si>
    <t>b) Suelo bendedir los alimentos antes de comer, g) En ocasiones, en mi casa tenemos una oración familiar, i) Tengo en mi cuarto alguna imagen religiosa</t>
  </si>
  <si>
    <t>a) Cónsola videojuegos, b) Lavadora, j) Cámara digital, k) Aire acondicionado</t>
  </si>
  <si>
    <t>a) Suelo llevar una cruz o algún objeto religioso, c) Suelo ir los domingos y otras fechas especiales a la Iglesia, d) Suelo orar todos los días, h) En Semana Santa asisto a las procesiones</t>
  </si>
  <si>
    <t>a) Los deportes y diversiones, b) El ambiente de estudio y de trabajo, c) Las instalaciones del Colegio, d) Los grupos juveniles cristianos, e) La mayor posibilidad de vivir mi fe</t>
  </si>
  <si>
    <t>d) El cuidado de mi cuerpo, e) Disponer de dinero, k) Internet</t>
  </si>
  <si>
    <t>b) Lavadora, d) TV pantalla plana, f) MP3, i) Computadora, j) Cámara digital, k) Aire acondicionado</t>
  </si>
  <si>
    <t>b) Suelo bendedir los alimentos antes de comer, c) Suelo ir los domingos y otras fechas especiales a la Iglesia, e) Voy a misa en las fechas de mis familiares difuntos, h) En Semana Santa asisto a las procesiones</t>
  </si>
  <si>
    <t>a) Mi padre, b) Mi madre, e) Un, una docente, h) Una amiga</t>
  </si>
  <si>
    <t>a) Cónsola videojuegos, b) Lavadora, c) Microondas, d) TV pantalla plana, e) Moto, f) MP3, g) MP4, i) Computadora, j) Cámara digital, k) Aire acondicionado</t>
  </si>
  <si>
    <t>a) Mi padre, b) Mi madre, d) Un escolapio, religioso o religiosa, e) Un, una docente, g) Un amigo, h) Una amiga, i) Un, una catequista o responsable de grupo</t>
  </si>
  <si>
    <t>a) Cónsola videojuegos, b) Lavadora, d) TV pantalla plana, e) Moto, f) MP3, h) Carro, i) Computadora, j) Cámara digital, k) Aire acondicionado</t>
  </si>
  <si>
    <t>a) La familia, b) Los amigos, c) Los estudios, j) El deporte</t>
  </si>
  <si>
    <t>a) La Iglesia, e) Los amigos, g) Mi familia, i) Los necesitados, j) Todas partes, k) La oración, l) Los sacramentos</t>
  </si>
  <si>
    <t>a) Suelo llevar una cruz o algún objeto religioso, b) Suelo bendedir los alimentos antes de comer, c) Suelo ir los domingos y otras fechas especiales a la Iglesia, h) En Semana Santa asisto a las procesiones, i) Tengo en mi cuarto alguna imagen religiosa</t>
  </si>
  <si>
    <t>a) Mi padre, b) Mi madre, c) Un hermano/a, d) Un escolapio, religioso o religiosa, g) Un amigo, h) Una amiga</t>
  </si>
  <si>
    <t>e) Suelo ir a algún parque, h) Suelo ir al cine</t>
  </si>
  <si>
    <t>a) Suelo llevar una cruz o algún objeto religioso, b) Suelo bendedir los alimentos antes de comer</t>
  </si>
  <si>
    <t>a) La Iglesia, b) La naturaleza, c) El salón de clase, e) Los amigos, g) Mi familia, j) Todas partes</t>
  </si>
  <si>
    <t>e) Voy a misa en las fechas de mis familiares difuntos, f) En alguna ocasión he rezado el rosario, g) En ocasiones, en mi casa tenemos una oración familiar</t>
  </si>
  <si>
    <t>a) Me divierto con juegos para computadoras, b) Navego en Internet, e) Suelo ir a algún parque, g) Suelo ir a discotecas o a fiestas, h) Suelo ir al cine</t>
  </si>
  <si>
    <t>a) Mi padre, b) Mi madre, d) Un escolapio, religioso o religiosa, g) Un amigo, h) Una amiga</t>
  </si>
  <si>
    <t>b) Lavadora, c) Microondas, d) TV pantalla plana, h) Carro, i) Computadora</t>
  </si>
  <si>
    <t>a) La Iglesia, e) Los amigos, g) Mi familia, k) La oración</t>
  </si>
  <si>
    <t>a) La Iglesia, d) Las convivencias, j) Todas partes, k) La oración</t>
  </si>
  <si>
    <t>b) Suelo bendedir los alimentos antes de comer, d) Suelo orar todos los días, e) Voy a misa en las fechas de mis familiares difuntos, i) Tengo en mi cuarto alguna imagen religiosa</t>
  </si>
  <si>
    <t>b) Lavadora, f) MP3, g) MP4, h) Carro, i) Computadora, k) Aire acondicionado</t>
  </si>
  <si>
    <t>a) La Iglesia, b) La naturaleza, g) Mi familia, i) Los necesitados, j) Todas partes, k) La oración</t>
  </si>
  <si>
    <t>c) Suelo ir los domingos y otras fechas especiales a la Iglesia, d) Suelo orar todos los días, e) Voy a misa en las fechas de mis familiares difuntos, f) En alguna ocasión he rezado el rosario</t>
  </si>
  <si>
    <t>a) Suelo llevar una cruz o algún objeto religioso, d) Suelo orar todos los días, f) En alguna ocasión he rezado el rosario, g) En ocasiones, en mi casa tenemos una oración familiar, i) Tengo en mi cuarto alguna imagen religiosa</t>
  </si>
  <si>
    <t>a) Medicina, d) Ingeniería, e) Derecho</t>
  </si>
  <si>
    <t>b) El ambiente de estudio y de trabajo, c) Las instalaciones del Colegio, d) Los grupos juveniles cristianos</t>
  </si>
  <si>
    <t>b) Navego en Internet, g) Suelo ir a discotecas o a fiestas, j) Estoy en algún grupo juvenil, n) Estoy conversando con los amigos/as</t>
  </si>
  <si>
    <t>a) La Iglesia, b) La naturaleza, d) Las convivencias, g) Mi familia, i) Los necesitados, j) Todas partes, k) La oración, l) Los sacramentos</t>
  </si>
  <si>
    <t>c) Suelo ir los domingos y otras fechas especiales a la Iglesia, d) Suelo orar todos los días, f) En alguna ocasión he rezado el rosario, i) Tengo en mi cuarto alguna imagen religiosa</t>
  </si>
  <si>
    <t>a) Mi padre, b) Mi madre, c) Un hermano/a, d) Un escolapio, religioso o religiosa, e) Un, una docente, f) La orientadora, i) Un, una catequista o responsable de grupo</t>
  </si>
  <si>
    <t>b) Lavadora, d) TV pantalla plana, f) MP3, i) Computadora</t>
  </si>
  <si>
    <t>a) Cónsola videojuegos, b) Lavadora, c) Microondas, h) Carro, i) Computadora, k) Aire acondicionado</t>
  </si>
  <si>
    <t>a) La Iglesia, b) La naturaleza, d) Las convivencias, e) Los amigos, h) Algunas personas cercanas a Dios, i) Los necesitados, k) La oración</t>
  </si>
  <si>
    <t>a) La familia, e) Disponer de dinero, g) La felicidad, i) La música</t>
  </si>
  <si>
    <t>a) La Iglesia, b) La naturaleza, d) Las convivencias, h) Algunas personas cercanas a Dios, i) Los necesitados, l) Los sacramentos</t>
  </si>
  <si>
    <t>a) Me divierto con juegos para computadoras, b) Navego en Internet, c) Suelo ir a centros de video (máquinas de juegos), h) Suelo ir al cine, k) Practico algún deporte, l) Escucho música y/o veo videos musicales, m) Veo televisión y/o películas</t>
  </si>
  <si>
    <t>a) La Iglesia, i) Los necesitados, j) Todas partes, k) La oración, l) Los sacramentos</t>
  </si>
  <si>
    <t>a) La familia, d) El cuidado de mi cuerpo, e) Disponer de dinero, j) El deporte</t>
  </si>
  <si>
    <t>b) Suelo bendedir los alimentos antes de comer, c) Suelo ir los domingos y otras fechas especiales a la Iglesia, h) En Semana Santa asisto a las procesiones, i) Tengo en mi cuarto alguna imagen religiosa</t>
  </si>
  <si>
    <t>b) Navego en Internet, e) Suelo ir a algún parque, f) Toco un instrumento musical, h) Suelo ir al cine, n) Estoy conversando con los amigos/as</t>
  </si>
  <si>
    <t>a) Cónsola videojuegos, c) Microondas, d) TV pantalla plana, e) Moto, f) MP3, i) Computadora, k) Aire acondicionado</t>
  </si>
  <si>
    <t>a) Suelo llevar una cruz o algún objeto religioso, b) Suelo bendedir los alimentos antes de comer, d) Suelo orar todos los días, g) En ocasiones, en mi casa tenemos una oración familiar, i) Tengo en mi cuarto alguna imagen religiosa</t>
  </si>
  <si>
    <t>a) Me divierto con juegos para computadoras, b) Navego en Internet, i) Leo revistas o libros, l) Escucho música y/o veo videos musicales</t>
  </si>
  <si>
    <t>b) Suelo bendedir los alimentos antes de comer, e) Voy a misa en las fechas de mis familiares difuntos, h) En Semana Santa asisto a las procesiones, i) Tengo en mi cuarto alguna imagen religiosa</t>
  </si>
  <si>
    <t>b) Navego en Internet, e) Suelo ir a algún parque, m) Veo televisión y/o películas</t>
  </si>
  <si>
    <t>c) Los estudios, h) La sexualidad, j) El deporte</t>
  </si>
  <si>
    <t>a) La Iglesia, c) El salón de clase, d) Las convivencias, e) Los amigos, g) Mi familia, h) Algunas personas cercanas a Dios, i) Los necesitados, k) La oración</t>
  </si>
  <si>
    <t>a) Suelo llevar una cruz o algún objeto religioso, 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t>
  </si>
  <si>
    <t>f) Toco un instrumento musical, j) Estoy en algún grupo juvenil, k) Practico algún deporte</t>
  </si>
  <si>
    <t>b) Mi madre, c) Un hermano/a, e) Un, una docente, f) La orientadora, h) Una amiga, i) Un, una catequista o responsable de grupo</t>
  </si>
  <si>
    <t>b) Suelo bendedir los alimentos antes de comer, c) Suelo ir los domingos y otras fechas especiales a la Iglesia, f) En alguna ocasión he rezado el rosario, g) En ocasiones, en mi casa tenemos una oración familiar</t>
  </si>
  <si>
    <t>e) Suelo ir a algún parque, j) Estoy en algún grupo juvenil, k) Practico algún deporte</t>
  </si>
  <si>
    <t>a) La familia, f) Mi fe y vida cristiana</t>
  </si>
  <si>
    <t>g) Mi familia, i) Los necesitados, k) La oración</t>
  </si>
  <si>
    <t>a) Suelo llevar una cruz o algún objeto religioso, c) Suelo ir los domingos y otras fechas especiales a la Iglesia, d) Suelo orar todos los días, f) En alguna ocasión he rezado el rosario, g) En ocasiones, en mi casa tenemos una oración familiar, h) En Semana Santa asisto a las procesiones, i) Tengo en mi cuarto alguna imagen religiosa</t>
  </si>
  <si>
    <t>b) El ambiente de estudio y de trabajo, g) La relación con los docentes, h) Las actividades extraescolares</t>
  </si>
  <si>
    <t>d) Estoy la mayor parte del tiempo en la casa sin hacer nada, f) Toco un instrumento musical</t>
  </si>
  <si>
    <t>b) Mi madre, d) Un escolapio, religioso o religiosa, h) Una amiga</t>
  </si>
  <si>
    <t>a) Los deportes y diversiones, b) El ambiente de estudio y de trabajo, c) Las instalaciones del Colegio, d) Los grupos juveniles cristianos, e) La mayor posibilidad de vivir mi fe, h) Las actividades extraescolares</t>
  </si>
  <si>
    <t>a) Mi padre, b) Mi madre, c) Un hermano/a, d) Un escolapio, religioso o religiosa, g) Un amigo, h) Una amiga, i) Un, una catequista o responsable de grupo</t>
  </si>
  <si>
    <t>c) Microondas, d) TV pantalla plana, e) Moto, k) Aire acondicionado</t>
  </si>
  <si>
    <t>a) La Iglesia, b) La naturaleza, c) El salón de clase, e) Los amigos, g) Mi familia, i) Los necesitados, j) Todas partes, k) La oración</t>
  </si>
  <si>
    <t>b) Navego en Internet, j) Estoy en algún grupo juvenil, m) Veo televisión y/o películas</t>
  </si>
  <si>
    <t>a) Cónsola videojuegos, b) Lavadora, c) Microondas, g) MP4, h) Carro, i) Computadora, j) Cámara digital, k) Aire acondicionado</t>
  </si>
  <si>
    <t>d) TV pantalla plana, i) Computadora, j) Cámara digital</t>
  </si>
  <si>
    <t>b) La naturaleza, g) Mi familia, j) Todas partes, k) La oración</t>
  </si>
  <si>
    <t>b) Mi madre, g) Un amigo, j) Nadie</t>
  </si>
  <si>
    <t>d) Las convivencias, e) Los amigos, g) Mi familia, h) Algunas personas cercanas a Dios, i) Los necesitados, k) La oración</t>
  </si>
  <si>
    <t>a) La familia, b) Los amigos, g) La felicidad, j) El deporte</t>
  </si>
  <si>
    <t>b) Suelo bendedir los alimentos antes de comer, c) Suelo ir los domingos y otras fechas especiales a la Iglesia, e) Voy a misa en las fechas de mis familiares difuntos, i) Tengo en mi cuarto alguna imagen religiosa</t>
  </si>
  <si>
    <t>b) Docencia, i) Comerciante</t>
  </si>
  <si>
    <t>b) Navego en Internet, d) Estoy la mayor parte del tiempo en la casa sin hacer nada, g) Suelo ir a discotecas o a fiestas, h) Suelo ir al cine, m) Veo televisión y/o películas, n) Estoy conversando con los amigos/as</t>
  </si>
  <si>
    <t>a) Mi padre, b) Mi madre, c) Un hermano/a, g) Un amigo, j) Nadie</t>
  </si>
  <si>
    <t>g) En ocasiones, en mi casa tenemos una oración familiar, h) En Semana Santa asisto a las procesiones</t>
  </si>
  <si>
    <t>a) Me divierto con juegos para computadoras, b) Navego en Internet, e) Suelo ir a algún parque, h) Suelo ir al cine, l) Escucho música y/o veo videos musicales, m) Veo televisión y/o películas, n) Estoy conversando con los amigos/as</t>
  </si>
  <si>
    <t>a) La Iglesia, b) La naturaleza, d) Las convivencias, g) Mi familia, h) Algunas personas cercanas a Dios, i) Los necesitados, j) Todas partes, k) La oración, l) Los sacramentos</t>
  </si>
  <si>
    <t>a) La Iglesia, b) La naturaleza, d) Las convivencias</t>
  </si>
  <si>
    <t>b) Navego en Internet, e) Suelo ir a algún parque, l) Escucho música y/o veo videos musicales</t>
  </si>
  <si>
    <t>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t>
  </si>
  <si>
    <t>g) Suelo ir a discotecas o a fiestas, j) Estoy en algún grupo juvenil, k) Practico algún deporte</t>
  </si>
  <si>
    <t>a) La familia, d) El cuidado de mi cuerpo, g) La felicidad, i) La música</t>
  </si>
  <si>
    <t>e) Suelo ir a algún parque, f) Toco un instrumento musical</t>
  </si>
  <si>
    <t>d) Un escolapio, religioso o religiosa, e) Un, una docente</t>
  </si>
  <si>
    <t>a) La familia, b) Los amigos, c) Los estudios, d) El cuidado de mi cuerpo, e) Disponer de dinero, f) Mi fe y mi vida cristiana, g) La felicidad, h) La sexualidad, i) La música, j) El deporte, k) Internet</t>
  </si>
  <si>
    <t>a) La Iglesia, b) La naturaleza, d) Las convivencias, e) Los amigos, f) Todas las personas, g) Mi familia, h) Algunas personas cercanas a Dios, j) Todas partes, k) La oración</t>
  </si>
  <si>
    <t>a) Medicina, d) Ingeniería, f) Ciencias policiales o artes militares, j) Trabajador calificado</t>
  </si>
  <si>
    <t>a) Los deportes y diversiones, e) La mayor posibilidad de vivir mi fe, h) Las actividades extraescolares</t>
  </si>
  <si>
    <t>a) Me divierto con juegos para computadoras, b) Navego en Internet, i) Leo revistas o libros</t>
  </si>
  <si>
    <t>d) Ingeniería, e) Derecho, f) Ciencias policiales o artes militares, h) Ciencias políticas, j) Trabajador calificado</t>
  </si>
  <si>
    <t>a) Los deportes y diversiones, b) El ambiente de estudio y de trabajo, c) Las instalaciones del Colegio, d) Los grupos juveniles cristianos</t>
  </si>
  <si>
    <t>a) La Iglesia, b) La naturaleza, c) El salón de clase, d) Las convivencias, e) Los amigos, g) Mi familia, j) Todas partes, k) La oración, l) Los sacramentos</t>
  </si>
  <si>
    <t>c) Suelo ir a centros de video (máquinas de juegos), g) Suelo ir a discotecas o a fiestas</t>
  </si>
  <si>
    <t>a) La Iglesia, b) La naturaleza, c) El salón de clase, d) Las convivencias, e) Los amigos, g) Mi familia, i) Los necesitados, j) Todas partes, k) La oración, l) Los sacramentos</t>
  </si>
  <si>
    <t>a) Medicina, f) Ciencias policiales o artes militares, h) Ciencias políticas</t>
  </si>
  <si>
    <t>a) Me divierto con juegos para computadoras, g) Suelo ir a discotecas o a fiestas, h) Suelo ir al cine, j) Estoy en algún grupo juvenil, k) Practico algún deporte, l) Escucho música y/o veo videos musicales, m) Veo televisión y/o películas, n) Estoy conversando con los amigos/as</t>
  </si>
  <si>
    <t>a) Mi padre, b) Mi madre, h) Una amiga, k) No tengo problemas personales</t>
  </si>
  <si>
    <t>a) La Iglesia, b) La naturaleza, d) Las convivencias, h) Algunas personas cercanas a Dios</t>
  </si>
  <si>
    <t>b) Navego en Internet, d) Estoy la mayor parte del tiempo en la casa sin hacer nada, l) Escucho música y/o veo videos musicales, n) Estoy conversando con los amigos/as</t>
  </si>
  <si>
    <t>a) Cónsola videojuegos, b) Lavadora, c) Microondas, f) MP3, h) Carro, i) Computadora, j) Cámara digital, k) Aire acondicionado</t>
  </si>
  <si>
    <t>a) Cónsola videojuegos, d) TV pantalla plana, h) Carro, i) Computadora, k) Aire acondicionado</t>
  </si>
  <si>
    <t>a) Cónsola videojuegos, i) Computadora</t>
  </si>
  <si>
    <t>b) Los amigos, d) El cuidado de mi cuerpo, h) La sexualidad, k) Internet</t>
  </si>
  <si>
    <t>a) Me divierto con juegos para computadoras, b) Navego en Internet, i) Leo revistas o libros, k) Practico algún deporte, l) Escucho música y/o veo videos musicales, m) Veo televisión y/o películas</t>
  </si>
  <si>
    <t>a) Cónsola videojuegos, b) Lavadora, c) Microondas, h) Carro, k) Aire acondicionado</t>
  </si>
  <si>
    <t>a) La familia, b) Los amigos, c) Los estudios, d) El cuidado de mi cuerpo, e) Disponer de dinero, f) Mi fe y mi vida cristiana, g) La felicidad</t>
  </si>
  <si>
    <t>a) La Iglesia, b) La naturaleza, c) El salón de clase, d) Las convivencias, e) Los amigos, g) Mi familia, k) La oración</t>
  </si>
  <si>
    <t>e) Suelo ir a algún parque, i) Leo revistas o libros, k) Practico algún deporte, l) Escucho música y/o veo videos musicales, m) Veo televisión y/o películas, n) Estoy conversando con los amigos/as</t>
  </si>
  <si>
    <t>a) Cónsola videojuegos, b) Lavadora, d) TV pantalla plana, e) Moto, f) MP3, g) MP4, h) Carro, i) Computadora, j) Cámara digital, k) Aire acondicionado</t>
  </si>
  <si>
    <t>i) Los necesitados, j) Todas partes</t>
  </si>
  <si>
    <t>b) Los amigos, c) Los estudios, d) El cuidado de mi cuerpo, h) La sexualidad</t>
  </si>
  <si>
    <t>a) La familia, b) Los amigos, c) Los estudios, d) El cuidado de mi cuerpo, f) Mi fe y mi vida cristiana, g) La felicidad</t>
  </si>
  <si>
    <t>c) Suelo ir los domingos y otras fechas especiales a la Iglesia, f) En alguna ocasión he rezado el rosario, g) En ocasiones, en mi casa tenemos una oración familiar</t>
  </si>
  <si>
    <t>b) Mi madre, e) Un, una docente, g) Un amigo, h) Una amiga, k) No tengo problemas personales</t>
  </si>
  <si>
    <t>b) La naturaleza, e) Los amigos, k) La oración</t>
  </si>
  <si>
    <t>b) Navego en Internet, d) Estoy la mayor parte del tiempo en la casa sin hacer nada, k) Practico algún deporte</t>
  </si>
  <si>
    <t>a) La Iglesia, b) La naturaleza, d) Las convivencias, h) Algunas personas cercanas a Dios, i) Los necesitados, k) La oración, l) Los sacramentos</t>
  </si>
  <si>
    <t>d) Un escolapio, religioso o religiosa</t>
  </si>
  <si>
    <t>a) La familia, b) Los amigos, c) Los estudios, d) El cuidado de mi cuerpo, f) Mi fe y vida cristiana, g) La felicidad</t>
  </si>
  <si>
    <t>a) Medicina, b) Docencia, e) Derecho, f) Ciencias policiales o artes militares, g) Artista, h) Ciencias políticas</t>
  </si>
  <si>
    <t>a) Me divierto con juegos para computadoras, b) Navego en Internet, g) Suelo ir a discotecas o a fiestas, k) Practico algún deporte, l) Escucho música y/o veo videos musicales, m) Veo televisión y/o películas, n) Estoy conversando con los amigos/as</t>
  </si>
  <si>
    <t>a) Me divierto con juegos para computadoras, b) Navego en Internet, g) Suelo ir a discotecas o a fiestas, l) Escucho música y/o veo videos musicales, m) Veo televisión y/o películas, n) Estoy conversando con los amigos/as</t>
  </si>
  <si>
    <t>a) La Iglesia, d) Las convivencias, e) Los amigos, j) Todas partes, k) La oración</t>
  </si>
  <si>
    <t>d) Las convivencias, e) Los amigos, g) Mi familia, h) Algunas personas cercanas a Dios</t>
  </si>
  <si>
    <t>b) Navego en Internet, i) Leo revistas o libros, l) Escucho música y/o veo videos musicales, n) Estoy conversando con los amigos/as</t>
  </si>
  <si>
    <t>a) Cónsola videojuegos, b) Lavadora, c) Microondas, d) TV pantalla plana, f) MP3, g) MP4, h) Carro, j) Cámara digital, k) Aire acondicionado</t>
  </si>
  <si>
    <t>b) El ambiente de estudio y de trabajo, c) Las instalaciones del Colegio, d) Los grupos juveniles cristianos, f) La igualdad de trato que se da a todos, g) La relación con los docentes</t>
  </si>
  <si>
    <t>g) Suelo ir a discotecas o a fiestas, k) Practico algún deporte, m) Veo televisión y/o películas, n) Estoy conversando con los amigos/as</t>
  </si>
  <si>
    <t>4/28/2015 8:34:17</t>
  </si>
  <si>
    <t>a) La Iglesia, b) La naturaleza, e) Los amigos, k) La oración</t>
  </si>
  <si>
    <t>b) Suelo bendedir los alimentos antes de comer, c) Suelo ir los domingos y otras fechas especiales a la Iglesia, e) Voy a misa en las fechas de mis familiares difuntos, f) En alguna ocasión he rezado el rosario</t>
  </si>
  <si>
    <t>b) Navego en Internet, h) Suelo ir al cine, i) Leo revistas o libros, k) Practico algún deporte</t>
  </si>
  <si>
    <t>4/28/2015 8:35:13</t>
  </si>
  <si>
    <t>4/28/2015 8:36:29</t>
  </si>
  <si>
    <t>b) Lavadora, c) Microondas, d) TV pantalla plana, f) MP3, k) Aire acondicionado</t>
  </si>
  <si>
    <t>4/28/2015 8:36:37</t>
  </si>
  <si>
    <t>4/28/2015 8:36:46</t>
  </si>
  <si>
    <t>b) Lavadora, c) Microondas, e) Moto, h) Carro, i) Computadora, j) Cámara digital, k) Aire acondicionado</t>
  </si>
  <si>
    <t>4/28/2015 8:36:52</t>
  </si>
  <si>
    <t>a) La Iglesia, d) Las convivencias, l) Los sacramentos</t>
  </si>
  <si>
    <t>4/28/2015 8:39:13</t>
  </si>
  <si>
    <t>a) La familia, g) La felicidad, k) El internet</t>
  </si>
  <si>
    <t>b) Navego en Internet, g) Suelo ir a discotecas o a fiestas, m) Veo televisión y/o películas</t>
  </si>
  <si>
    <t>4/28/2015 8:42:02</t>
  </si>
  <si>
    <t>a) La familia, b) Los amigos, c) Los estudios, g) La felicidad, i) La música, k) El internet</t>
  </si>
  <si>
    <t>a) La Iglesia, b) La naturaleza, d) Las convivencias, f) Todas las personas, g) Mi familia, h) Algunas personas cercanas a Dios, i) Los necesitados, j) Todas partes, k) La oración, l) Los sacramentos</t>
  </si>
  <si>
    <t>i) Leo revistas o libros, k) Practico algún deporte, m) Veo televisión y/o películas</t>
  </si>
  <si>
    <t>4/28/2015 8:42:13</t>
  </si>
  <si>
    <t>4/28/2015 8:43:07</t>
  </si>
  <si>
    <t>a) La familia, b) Los amigos, d) El cuidado de mi cuerpo, f) Mi fe y vida cristiana, h) La sexualidad, i) La música</t>
  </si>
  <si>
    <t>4/28/2015 8:44:19</t>
  </si>
  <si>
    <t>c) Los estudios, i) La música</t>
  </si>
  <si>
    <t>4/28/2015 8:44:23</t>
  </si>
  <si>
    <t>k) La oración, l) Los sacramentos</t>
  </si>
  <si>
    <t>d) Un escolapio, religioso o religiosa, h) Una amiga</t>
  </si>
  <si>
    <t>4/28/2015 8:44:46</t>
  </si>
  <si>
    <t>a) Cónsola videojuegos, d) TV pantalla plana, i) Computadora</t>
  </si>
  <si>
    <t>4/28/2015 8:45:17</t>
  </si>
  <si>
    <t>b) Lavadora, c) Microondas, d) TV pantalla plana, e) Moto, h) Carro, i) Computadora</t>
  </si>
  <si>
    <t>4/28/2015 8:45:28</t>
  </si>
  <si>
    <t>e) Derecho, g) Artista, h) Ciencias políticas</t>
  </si>
  <si>
    <t>b) El ambiente de estudio y de trabajo, c) Las instalaciones del Colegio, h) Las actividades extraescolares</t>
  </si>
  <si>
    <t>b) Navego en Internet, d) Estoy la mayor parte del tiempo en la casa sin hacer nada, h) Suelo ir al cine, i) Leo revistas o libros, k) Practico algún deporte, l) Escucho música y/o veo videos musicales, m) Veo televisión y/o películas, n) Estoy conversando con los amigos/as</t>
  </si>
  <si>
    <t>a) Mi padre, b) Mi madre, c) Un hermano/a, f) La orientadora, g) Un amigo</t>
  </si>
  <si>
    <t>4/28/2015 8:47:27</t>
  </si>
  <si>
    <t>a) La familia, b) Los amigos, c) Los estudios, d) El cuidado de mi cuerpo, e) Disponer de dinero, g) La felicidad, i) La música, j) El deporte, k) El internet</t>
  </si>
  <si>
    <t>a) La Iglesia, b) La naturaleza, i) Los necesitados</t>
  </si>
  <si>
    <t>a) Me divierto con juegos para computadoras, b) Navego en Internet, d) Estoy la mayor parte del tiempo en la casa sin hacer nada, j) Estoy en algún grupo juvenil</t>
  </si>
  <si>
    <t>c) Un hermano/a, d) Un escolapio, religioso o religiosa, g) Un amigo, h) Una amiga</t>
  </si>
  <si>
    <t>a) Cónsola videojuegos, b) Lavadora, c) Microondas, d) TV pantalla plana, e) Moto, f) MP3, h) Carro, i) Computadora, j) Cámara digital</t>
  </si>
  <si>
    <t>b) Cultural (folklórico, musicales, danzas, scout, banda marcial,...) , d) No pertenezco a ninguno</t>
  </si>
  <si>
    <t>a) Medicina, b) Docencia, d) Ingeniería, e) Derecho, f) Ciencias policiales o artes militares, h) Ciencias políticas, i) Comerciante, j) Trabajador calificado</t>
  </si>
  <si>
    <t>b) La naturaleza, d) Las convivencias, g) Mi familia, k) La oración, l) Los sacramentos</t>
  </si>
  <si>
    <t>a) Mi padre, b) Mi madre, k) No tengo problemas personales</t>
  </si>
  <si>
    <t>d) Suelo orar todos los días, e) Voy a misa en las fechas de mis familiares difuntos, g) En ocasiones, en mi casa tenemos una oración familiar, h) En Semana Santa asisto a las procesiones, i) Tengo en mi cuarto alguna imagen religiosa</t>
  </si>
  <si>
    <t>i) Leo revistas o libros, k) Practico algún deporte</t>
  </si>
  <si>
    <t>d) Estoy la mayor parte del tiempo en la casa sin hacer nada, g) Suelo ir a discotecas o a fiestas, h) Suelo ir al cine</t>
  </si>
  <si>
    <t>a) Cónsola videojuegos, d) TV pantalla plana, f) MP3, h) Carro</t>
  </si>
  <si>
    <t>b) La naturaleza, d) Las convivencias, e) Los amigos, g) Mi familia</t>
  </si>
  <si>
    <t>c) Suelo ir a centros de video (máquinas de juegos), k) Practico algún deporte, m) Veo televisión y/o películas</t>
  </si>
  <si>
    <t>d) El cuidado de mi cuerpo, e) Disponer de dinero, g) La felicidad</t>
  </si>
  <si>
    <t>a) La Iglesia, b) La naturaleza, e) Los amigos, f) Todas las personas, g) Mi familia, i) Los necesitados, k) La oración</t>
  </si>
  <si>
    <t>d) Suelo orar todos los días, g) En ocasiones, en mi casa tenemos una oración familiar</t>
  </si>
  <si>
    <t>a) Cónsola videojuegos, b) Lavadora, f) MP3, g) MP4, i) Computadora</t>
  </si>
  <si>
    <t>a) La familia, b) Los amigos, c) Los estudios, d) El cuidado de mi cuerpo, g) La felicidad, j) El deporte, k) Internet</t>
  </si>
  <si>
    <t>a) Suelo llevar una cruz o algún objeto religioso, c) Suelo ir los domingos y otras fechas especiales a la Iglesia, i) Tengo en mi cuarto alguna imagen religiosa</t>
  </si>
  <si>
    <t>a) Medicina, f) Ciencias policiales o artes militares, g) Artista</t>
  </si>
  <si>
    <t>a) Me divierto con juegos para computadoras, b) Navego en Internet, k) Practico algún deporte, l) Escucho música y/o veo videos musicales, n) Estoy conversando con los amigos/as</t>
  </si>
  <si>
    <t>a) La familia, c) Los estudios, g) La felicidad, k) Internet</t>
  </si>
  <si>
    <t>a) La Iglesia, b) La naturaleza, c) El salón de clase, d) Las convivencias, g) Mi familia, h) Algunas personas cercanas a Dios, j) Todas partes, k) La oración, l) Los sacramentos</t>
  </si>
  <si>
    <t>b) Navego en Internet, d) Estoy la mayor parte del tiempo en la casa sin hacer nada, f) Toco un instrumento musical</t>
  </si>
  <si>
    <t>a) La familia, b) Los amigos, i) La música, j) El deporte, k) El internet</t>
  </si>
  <si>
    <t>a) Me divierto con juegos para computadoras, d) Estoy la mayor parte del tiempo en la casa sin hacer nada, f) Toco un instrumento musical</t>
  </si>
  <si>
    <t>a) La Iglesia, b) La naturaleza, d) Las convivencias, h) Algunas personas cercanas a Dios, i) Los necesitados</t>
  </si>
  <si>
    <t>a) Mi padre, b) Mi madre, c) Un hermano/a, e) Un, una docente</t>
  </si>
  <si>
    <t>b) La naturaleza, e) Los amigos, g) Mi familia, h) Algunas personas cercanas a Dios, k) La oración</t>
  </si>
  <si>
    <t>b) Suelo bendedir los alimentos antes de comer, f) En alguna ocasión he rezado el rosario, g) En ocasiones, en mi casa tenemos una oración familiar</t>
  </si>
  <si>
    <t>a) Cónsola videojuegos, b) Lavadora, d) TV pantalla plana, e) Moto, i) Computadora, j) Cámara digital</t>
  </si>
  <si>
    <t>a) La Iglesia, b) La naturaleza, g) Mi familia, i) Los necesitados, j) Todas partes, k) La oración, l) Los sacramentos</t>
  </si>
  <si>
    <t>a) Cónsola videojuegos, f) MP3, h) Carro</t>
  </si>
  <si>
    <t>h) Algunas personas cercanas a Dios, k) La oración</t>
  </si>
  <si>
    <t>a) Mi padre, b) Mi madre, c) Un hermano/a, d) Un escolapio, religioso o religiosa, e) Un, una docente, g) Un amigo, h) Una amiga, i) Un, una catequista o responsable de grupo</t>
  </si>
  <si>
    <t>a) La Iglesia, c) El salón de clase, d) Las convivencias, g) Mi familia, k) La oración</t>
  </si>
  <si>
    <t>h) Suelo ir al cine, i) Leo revistas o libros, m) Veo televisión y/o películas</t>
  </si>
  <si>
    <t>e) Moto, h) Carro, k) Aire acondicionado</t>
  </si>
  <si>
    <t>e) Los amigos, g) Mi familia, i) Los necesitados</t>
  </si>
  <si>
    <t>c) Suelo ir los domingos y otras fechas especiales a la Iglesia, d) Suelo orar todos los días, e) Voy a misa en las fechas de mis familiares difuntos, g) En ocasiones, en mi casa tenemos una oración familiar, h) En Semana Santa asisto a las procesiones, i) Tengo en mi cuarto alguna imagen religiosa</t>
  </si>
  <si>
    <t>b) Lavadora, d) TV pantalla plana, g) MP4, h) Carro, i) Computadora, j) Cámara digital</t>
  </si>
  <si>
    <t>b) Los amigos, g) La felicidad, k) Internet</t>
  </si>
  <si>
    <t>a) La Iglesia, b) La naturaleza, c) El salón de clase, d) Las convivencias, g) Mi familia, k) La oración</t>
  </si>
  <si>
    <t>b) Suelo bendedir los alimentos antes de comer, f) En alguna ocasión he rezado el rosario, g) En ocasiones, en mi casa tenemos una oración familiar, h) En Semana Santa asisto a las procesiones, i) Tengo en mi cuarto alguna imagen religiosa</t>
  </si>
  <si>
    <t>a) Cónsola videojuegos, b) Lavadora, c) Microondas, d) TV pantalla plana, f) MP3, h) Carro, i) Computadora</t>
  </si>
  <si>
    <t>a) Suelo llevar una cruz o algún objeto religioso, c) Suelo ir los domingos y otras fechas especiales a la Iglesia, e) Voy a misa en las fechas de mis familiares difuntos, h) En Semana Santa asisto a las procesiones, i) Tengo en mi cuarto alguna imagen religiosa</t>
  </si>
  <si>
    <t>a) Mi padre, b) Mi madre, e) Un, una docente, f) La orientadora, h) Una amiga, i) Un, una catequista o responsable de grupo</t>
  </si>
  <si>
    <t>a) La familia, b) Los amigos, e) Disponer de dinero, i) La música, k) El internet</t>
  </si>
  <si>
    <t>b) Mi madre, c) Un hermano/a, d) Un escolapio, religioso o religiosa, g) Un amigo, h) Una amiga, i) Un, una catequista o responsable de grupo</t>
  </si>
  <si>
    <t>b) La naturaleza, c) El salón de clase, e) Los amigos, g) Mi familia, j) Todas partes</t>
  </si>
  <si>
    <t>a) Cónsola videojuegos, b) Lavadora, c) Microondas, d) TV pantalla plana, e) Moto, h) Carro, j) Cámara digital, k) Aire acondicionado</t>
  </si>
  <si>
    <t>a) Me divierto con juegos para computadoras, j) Estoy en algún grupo juvenil, n) Estoy conversando con los amigos/as</t>
  </si>
  <si>
    <t>a) La Iglesia, b) La naturaleza, d) Las convivencias, e) Los amigos</t>
  </si>
  <si>
    <t>c) Microondas, j) Cámara digital</t>
  </si>
  <si>
    <t>a) La Iglesia, c) El salón de clase, k) La oración, l) Los sacramentos</t>
  </si>
  <si>
    <t>a) Cónsola videojuegos, b) Lavadora, c) Microondas, d) TV pantalla plana, e) Moto, g) MP4, h) Carro, i) Computadora, j) Cámara digital</t>
  </si>
  <si>
    <t>b) Navego en Internet, k) Practico algún deporte</t>
  </si>
  <si>
    <t>a) Los deportes y diversiones, b) El ambiente de estudio y de trabajo, c) Las instalaciones del Colegio, d) Los grupos juveniles cristianos, f) La igualdad de trato que se da a todos, g) La relación con los docentes, h) Las actividades extraescolares</t>
  </si>
  <si>
    <t>a) Me divierto con juegos para computadoras, b) Navego en Internet, j) Estoy en algún grupo juvenil, n) Estoy conversando con los amigos/as</t>
  </si>
  <si>
    <t>c) Suelo ir los domingos y otras fechas especiales a la Iglesia, e) Voy a misa en las fechas de mis familiares difuntos, g) En ocasiones, en mi casa tenemos una oración familiar, i) Tengo en mi cuarto alguna imagen religiosa</t>
  </si>
  <si>
    <t>b) Navego en Internet, d) Estoy la mayor parte del tiempo en la casa sin hacer nada, i) Leo revistas o libros, l) Escucho música y/o veo videos musicales, m) Veo televisión y/o películas</t>
  </si>
  <si>
    <t>f) Toco un instrumento musical, l) Escucho música y/o veo videos musicales, m) Veo televisión y/o películas</t>
  </si>
  <si>
    <t>a) La Iglesia, d) Las convivencias, e) Los amigos, g) Mi familia</t>
  </si>
  <si>
    <t>b) Suelo bendedir los alimentos antes de comer, d) Suelo orar todos los días, e) Voy a misa en las fechas de mis familiares difuntos, h) En Semana Santa asisto a las procesiones, i) Tengo en mi cuarto alguna imagen religiosa</t>
  </si>
  <si>
    <t>k) Aire acondicionado</t>
  </si>
  <si>
    <t>a) La Iglesia, b) La naturaleza, j) Todas partes, k) La oración</t>
  </si>
  <si>
    <t>a) Cónsola videojuegos, b) Lavadora, d) TV pantalla plana, e) Moto, g) MP4, i) Computadora, j) Cámara digital</t>
  </si>
  <si>
    <t>a) Suelo llevar una cruz o algún objeto religioso, d) Suelo orar todos los días, e) Voy a misa en las fechas de mis familiares difuntos, f) En alguna ocasión he rezado el rosario</t>
  </si>
  <si>
    <t>f) Toco un instrumento musical, n) Estoy conversando con los amigos/as</t>
  </si>
  <si>
    <t>a) La familia, d) El cuidado de mi cuerpo, e) Disponer de dinero, g) La felicidad, h) La sexualidad, k) El internet</t>
  </si>
  <si>
    <t>c) Los estudios, h) La sexualidad</t>
  </si>
  <si>
    <t>b) Navego en Internet, d) Estoy la mayor parte del tiempo en la casa sin hacer nada, g) Suelo ir a discotecas o a fiestas, h) Suelo ir al cine, i) Leo revistas o libros, l) Escucho música y/o veo videos musicales, m) Veo televisión y/o películas</t>
  </si>
  <si>
    <t>b) Lavadora, d) TV pantalla plana, g) MP4, i) Computadora, j) Cámara digital</t>
  </si>
  <si>
    <t>b) Navego en Internet, i) Leo revistas o libros, n) Estoy conversando con los amigos/as</t>
  </si>
  <si>
    <t>b) Mi madre, h) Una amiga, k) No tengo problemas personales</t>
  </si>
  <si>
    <t>a) Suelo llevar una cruz o algún objeto religioso, c) Suelo ir los domingos y otras fechas especiales a la Iglesia, d) Suelo orar todos los días, f) En alguna ocasión he rezado el rosario, g) En ocasiones, en mi casa tenemos una oración familiar, i) Tengo en mi cuarto alguna imagen religiosa</t>
  </si>
  <si>
    <t>h) Suelo ir al cine, l) Escucho música y/o veo videos musicales</t>
  </si>
  <si>
    <t>f) Todas las personas, g) Mi familia, h) Algunas personas cercanas a Dios</t>
  </si>
  <si>
    <t>d) Suelo orar todos los días, f) En alguna ocasión he rezado el rosario, g) En ocasiones, en mi casa tenemos una oración familiar</t>
  </si>
  <si>
    <t>a) Mi padre, b) Mi madre, e) Un, una docente, f) La orientadora, g) Un amigo</t>
  </si>
  <si>
    <t>a) La Iglesia, f) Todas las personas, j) Todas partes, k) La oración, l) Los sacramentos</t>
  </si>
  <si>
    <t>a) Mi padre, b) Mi madre, c) Un hermano/a, d) Un escolapio, religioso o religiosa, e) Un, una docente, f) La orientadora</t>
  </si>
  <si>
    <t>b) Navego en Internet, d) Estoy la mayor parte del tiempo en la casa sin hacer nada, k) Practico algún deporte, l) Escucho música y/o veo videos musicales</t>
  </si>
  <si>
    <t>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t>
  </si>
  <si>
    <t>b) Los amigos, i) La música, j) El deporte</t>
  </si>
  <si>
    <t>d) Estoy la mayor parte del tiempo en la casa sin hacer nada, e) Suelo ir a algún parque, i) Leo revistas o libros</t>
  </si>
  <si>
    <t>a) La Iglesia, d) Las convivencias, g) Mi familia, h) Algunas personas cercanas a Dios, k) La oración</t>
  </si>
  <si>
    <t>i) Leo revistas o libros, j) Estoy en algún grupo juvenil, m) Veo televisión y/o películas, n) Estoy conversando con los amigos/as</t>
  </si>
  <si>
    <t>a) La Iglesia, c) El salón de clase, k) La oración</t>
  </si>
  <si>
    <t>a) La familia, c) Los estudios, d) El cuidado de mi cuerpo, f) Mi fe y mi vida cristiana, g) La felicidad, j) El deporte</t>
  </si>
  <si>
    <t>b) Suelo bendedir los alimentos antes de comer, d) Suelo orar todos los días, e) Voy a misa en las fechas de mis familiares difuntos, f) En alguna ocasión he rezado el rosario, h) En Semana Santa asisto a las procesiones</t>
  </si>
  <si>
    <t>b) Los amigos, i) La música</t>
  </si>
  <si>
    <t>e) Derecho, g) Artista, i) Comerciante</t>
  </si>
  <si>
    <t>i) La música, j) El deporte, k) El internet</t>
  </si>
  <si>
    <t>a) Mi padre, b) Mi madre, j) Nadie</t>
  </si>
  <si>
    <t>a) Cónsola videojuegos, b) Lavadora, c) Microondas, d) TV pantalla plana, f) MP3, g) MP4, j) Cámara digital, k) Aire acondicionado</t>
  </si>
  <si>
    <t>a) La Iglesia, c) El salón de clase, d) Las convivencias, e) Los amigos, g) Mi familia, i) Los necesitados, k) La oración, l) Los sacramentos</t>
  </si>
  <si>
    <t>g) Suelo ir a discotecas o a fiestas, j) Estoy en algún grupo juvenil, n) Estoy conversando con los amigos/as</t>
  </si>
  <si>
    <t>k) Practico algún deporte, n) Estoy conversando con los amigos/as</t>
  </si>
  <si>
    <t>a) La Iglesia, e) Los amigos, g) Mi familia</t>
  </si>
  <si>
    <t>b) Papá, c) Hermanos, d) Abuelos, e) Otros familiares</t>
  </si>
  <si>
    <t>a) La Iglesia, c) El salón de clase, d) Las convivencias, g) Mi familia, k) La oración, l) Los sacramentos</t>
  </si>
  <si>
    <t>b) Suelo bendedir los alimentos antes de comer, c) Suelo ir los domingos y otras fechas especiales a la Iglesia, e) Voy a misa en las fechas de mis familiares difuntos, g) En ocasiones, en mi casa tenemos una oración familiar, h) En Semana Santa asisto a las procesiones, i) Tengo en mi cuarto alguna imagen religiosa</t>
  </si>
  <si>
    <t>a) Cónsola videojuegos, b) Lavadora, c) Microondas, d) TV pantalla plana, e) Moto</t>
  </si>
  <si>
    <t>a) Cónsola videojuegos, d) TV pantalla plana, j) Cámara digital, k) Aire acondicionado</t>
  </si>
  <si>
    <t>a) La Iglesia, c) El salón de clase, d) Las convivencias, k) La oración, l) Los sacramentos</t>
  </si>
  <si>
    <t>a) La Iglesia, b) La naturaleza, g) Mi familia, i) Los necesitados</t>
  </si>
  <si>
    <t>a) Suelo llevar una cruz o algún objeto religioso, c) Suelo ir los domingos y otras fechas especiales a la Iglesia, e) Voy a misa en las fechas de mis familiares difuntos, g) En ocasiones, en mi casa tenemos una oración familiar, h) En Semana Santa asisto a las procesiones, i) Tengo en mi cuarto alguna imagen religiosa</t>
  </si>
  <si>
    <t>a) Mi padre, b) Mi madre, c) Un hermano/a, e) Un, una docente, g) Un amigo</t>
  </si>
  <si>
    <t>e) Los amigos, g) Mi familia, h) Algunas personas cercanas a Dios, i) Los necesitados, k) La oración</t>
  </si>
  <si>
    <t>g) Suelo ir a discotecas o a fiestas, k) Practico algún deporte, l) Escucho música y/o veo videos musicales, n) Estoy conversando con los amigos/as</t>
  </si>
  <si>
    <t>a) La Iglesia, c) El salón de clase, d) Las convivencias, g) Mi familia</t>
  </si>
  <si>
    <t>d) TV pantalla plana, h) Carro, i) Computadora, k) Aire acondicionado</t>
  </si>
  <si>
    <t>f) Mi fe y vida cristiana, i) La música, k) El internet</t>
  </si>
  <si>
    <t>a) Mi padre, b) Mi madre, c) Un hermano/a, f) La orientadora, h) Una amiga</t>
  </si>
  <si>
    <t>e) Suelo ir a algún parque, f) Toco un instrumento musical, n) Estoy conversando con los amigos/as</t>
  </si>
  <si>
    <t>a) La familia, b) Los amigos, c) Los estudios, f) Mi fe y vida cristiana, g) La felicidad, j) El deporte, k) El internet</t>
  </si>
  <si>
    <t>a) La familia, c) Los estudios, d) El cuidado de mi cuerpo, e) Disponer de dinero, g) La felicidad</t>
  </si>
  <si>
    <t>a) Suelo llevar una cruz o algún objeto religioso, c) Suelo ir los domingos y otras fechas especiales a la Iglesia, d) Suelo orar todos los días, e) Voy a misa en las fechas de mis familiares difuntos, f) En alguna ocasión he rezado el rosario, i) Tengo en mi cuarto alguna imagen religiosa</t>
  </si>
  <si>
    <t>a) Medicina, b) Docencia, c) Sacerdocio o hermana religiosa, e) Derecho, f) Ciencias policiales o artes militares, h) Ciencias políticas, j) Trabajador calificado</t>
  </si>
  <si>
    <t>a) Los deportes y diversiones, b) El ambiente de estudio y de trabajo, c) Las instalaciones del Colegio, d) Los grupos juveniles cristianos, e) La mayor posibilidad de vivir mi fe, g) La relación con los docentes, h) Las actividades extraescolares</t>
  </si>
  <si>
    <t>a) Mi padre, b) Mi madre, d) Un escolapio, religioso o religiosa, e) Un, una docente, f) La orientadora, g) Un amigo, i) Un, una catequista o responsable de grupo</t>
  </si>
  <si>
    <t>a) La familia, b) Los amigos, c) Los estudios, d) El cuidado de mi cuerpo, e) Disponer de dinero, f) Mi fe y vida cristiana, g) La felicidad, i) La música, j) El deporte, k) El internet</t>
  </si>
  <si>
    <t>a) La familia, c) Los estudios, d) El cuidado de mi cuerpo, e) Disponer de dinero, g) La felicidad, k) Internet</t>
  </si>
  <si>
    <t>a) La Iglesia, b) La naturaleza, c) El salón de clase, d) Las convivencias, e) Los amigos, f) Todas las personas, g) Mi familia, j) Todas partes, k) La oración, l) Los sacramentos</t>
  </si>
  <si>
    <t>a) Medicina, d) Ingeniería, e) Derecho, g) Artista, h) Ciencias políticas, i) Comerciante</t>
  </si>
  <si>
    <t>b) Navego en Internet, c) Suelo ir a centros de video (máquinas de juegos), d) Estoy la mayor parte del tiempo en la casa sin hacer nada, g) Suelo ir a discotecas o a fiestas, h) Suelo ir al cine, k) Practico algún deporte, l) Escucho música y/o veo videos musicales, m) Veo televisión y/o películas, n) Estoy conversando con los amigos/as</t>
  </si>
  <si>
    <t>h) La sexualidad, j) El deporte, k) El internet</t>
  </si>
  <si>
    <t>a) La familia, b) Los amigos, c) Los estudios, d) El cuidado de mi cuerpo, e) Disponer de dinero, f) Mi fe y mi vida cristiana, g) La felicidad, h) La sexualidad, i) La música, j) El deporte</t>
  </si>
  <si>
    <t>a) La Iglesia, b) La naturaleza, e) Los amigos, h) Algunas personas cercanas a Dios</t>
  </si>
  <si>
    <t>a) La Iglesia, b) La naturaleza, c) El salón de clase, d) Las convivencias, e) Los amigos, g) Mi familia, h) Algunas personas cercanas a Dios, i) Los necesitados, k) La oración, l) Los sacramentos</t>
  </si>
  <si>
    <t>a) La familia, b) Los amigos, g) La felicidad, h) La sexualidad, i) La música, j) El deporte</t>
  </si>
  <si>
    <t>a) La familia, b) Los amigos, c) Los estudios, i) La música, j) El deporte</t>
  </si>
  <si>
    <t>a) La Iglesia, c) El salón de clase, d) Las convivencias, f) Todas las personas, g) Mi familia, j) Todas partes, k) La oración, l) Los sacramentos</t>
  </si>
  <si>
    <t>a) Suelo llevar una cruz o algún objeto religioso, d) Suelo orar todos los días, e) Voy a misa en las fechas de mis familiares difuntos</t>
  </si>
  <si>
    <t>a) La familia, b) Los amigos, d) El cuidado de mi cuerpo, f) Mi fe y vida cristiana, g) La felicidad, i) La música, k) El internet</t>
  </si>
  <si>
    <t>a) La Iglesia, d) Las convivencias, e) Los amigos, g) Mi familia, i) Los necesitados, k) La oración, l) Los sacramentos</t>
  </si>
  <si>
    <t>c) Suelo ir los domingos y otras fechas especiales a la Iglesia, d) Suelo orar todos los días, f) En alguna ocasión he rezado el rosario, h) En Semana Santa asisto a las procesiones, i) Tengo en mi cuarto alguna imagen religiosa</t>
  </si>
  <si>
    <t>g) La felicidad, i) La música, k) El internet</t>
  </si>
  <si>
    <t>b) La naturaleza, c) El salón de clase</t>
  </si>
  <si>
    <t>g) Suelo ir a discotecas o a fiestas, k) Practico algún deporte, l) Escucho música y/o veo videos musicales, m) Veo televisión y/o películas, n) Estoy conversando con los amigos/as</t>
  </si>
  <si>
    <t>g) Mi familia, h) Algunas personas cercanas a Dios</t>
  </si>
  <si>
    <t>a) Suelo llevar una cruz o algún objeto religioso, b) Suelo bendedir los alimentos antes de comer, d) Suelo orar todos los días</t>
  </si>
  <si>
    <t>a) La familia, b) Los amigos, f) Mi fe y mi vida cristiana</t>
  </si>
  <si>
    <t>a) La Iglesia, b) La naturaleza, c) El salón de clase, d) Las convivencias, f) Todas las personas, h) Algunas personas cercanas a Dios, k) La oración, l) Los sacramentos</t>
  </si>
  <si>
    <t>e) La mayor posibilidad de vivir mi fe, f) La igualdad de trato que se da a todos</t>
  </si>
  <si>
    <t>h) Suelo ir al cine, k) Practico algún deporte, m) Veo televisión y/o películas, n) Estoy conversando con los amigos/as</t>
  </si>
  <si>
    <t>a) La familia, b) Los amigos, c) Los estudios, d) El cuidado de mi cuerpo, e) Disponer de dinero, h) La sexualidad, i) La música, j) El deporte, k) El internet</t>
  </si>
  <si>
    <t>a) Suelo llevar una cruz o algún objeto religioso, d) Suelo orar todos los días, i) Tengo en mi cuarto alguna imagen religiosa</t>
  </si>
  <si>
    <t>g) Suelo ir a discotecas o a fiestas, l) Escucho música y/o veo videos musicales</t>
  </si>
  <si>
    <t>a) La familia, f) Mi fe y vida cristiana, i) La música, j) El deporte</t>
  </si>
  <si>
    <t>e) Los amigos, g) Mi familia, j) Todas partes</t>
  </si>
  <si>
    <t>a) Suelo llevar una cruz o algún objeto religioso, b) Suelo bendedir los alimentos antes de comer, c) Suelo ir los domingos y otras fechas especiales a la Iglesia, h) En Semana Santa asisto a las procesiones</t>
  </si>
  <si>
    <t>c) Un hermano/a, g) Un amigo, h) Una amiga, j) Nadie</t>
  </si>
  <si>
    <t>d) Estoy la mayor parte del tiempo en la casa sin hacer nada</t>
  </si>
  <si>
    <t>a) La Iglesia, b) La naturaleza, c) El salón de clase, e) Los amigos, g) Mi familia, h) Algunas personas cercanas a Dios, i) Los necesitados, k) La oración</t>
  </si>
  <si>
    <t>b) Suelo bendedir los alimentos antes de comer, c) Suelo ir los domingos y otras fechas especiales a la Iglesia, d) Suelo orar todos los días, e) Voy a misa en las fechas de mis familiares difuntos, g) En ocasiones, en mi casa tenemos una oración familiar, i) Tengo en mi cuarto alguna imagen religiosa</t>
  </si>
  <si>
    <t>c) Suelo ir a centros de video (máquinas de juegos), e) Suelo ir a algún parque, n) Estoy conversando con los amigos/as</t>
  </si>
  <si>
    <t>a) La familia, b) Los amigos, c) Los estudios, d) El cuidado de mi cuerpo, f) Mi fe y vida cristiana, i) La música, j) El deporte</t>
  </si>
  <si>
    <t>h) Suelo ir al cine, k) Practico algún deporte, l) Escucho música y/o veo videos musicales, m) Veo televisión y/o películas</t>
  </si>
  <si>
    <t>a) Medicina, b) Docencia, c) Sacerdocio o hermana religiosa, d) Ingeniería, e) Derecho, f) Ciencias policiales o artes militares, g) Artista, h) Ciencias políticas, i) Comerciante, j) Trabajador calificado</t>
  </si>
  <si>
    <t>d) Estoy la mayor parte del tiempo en la casa sin hacer nada, k) Practico algún deporte, l) Escucho música y/o veo videos musicales, n) Estoy conversando con los amigos/as</t>
  </si>
  <si>
    <t>6/16/2015 9:17:54</t>
  </si>
  <si>
    <t>6/16/2015 9:18:40</t>
  </si>
  <si>
    <t>b) Los amigos, d) El cuidado de mi cuerpo, k) El internet</t>
  </si>
  <si>
    <t>6/16/2015 9:19:55</t>
  </si>
  <si>
    <t>6/16/2015 9:19:56</t>
  </si>
  <si>
    <t>6/16/2015 9:20:08</t>
  </si>
  <si>
    <t>d) Estoy la mayor parte del tiempo en la casa sin hacer nada, g) Suelo ir a discotecas o a fiestas, i) Leo revistas o libros, l) Escucho música y/o veo videos musicales, m) Veo televisión y/o películas, n) Estoy conversando con los amigos/as</t>
  </si>
  <si>
    <t>6/16/2015 9:20:28</t>
  </si>
  <si>
    <t>a) La Iglesia, b) La naturaleza, c) El salón de clase, d) Las convivencias, h) Algunas personas cercanas a Dios, k) La oración, l) Los sacramentos</t>
  </si>
  <si>
    <t>a) Suelo llevar una cruz o algún objeto religioso, d) Suelo orar todos los días, e) Voy a misa en las fechas de mis familiares difuntos, f) En alguna ocasión he rezado el rosario, g) En ocasiones, en mi casa tenemos una oración familiar, h) En Semana Santa asisto a las procesiones, i) Tengo en mi cuarto alguna imagen religiosa</t>
  </si>
  <si>
    <t>6/16/2015 9:21:18</t>
  </si>
  <si>
    <t>6/16/2015 9:21:23</t>
  </si>
  <si>
    <t>b) Lavadora, c) Microondas, j) Cámara digital</t>
  </si>
  <si>
    <t>d) Estoy la mayor parte del tiempo en la casa sin hacer nada, i) Leo revistas o libros</t>
  </si>
  <si>
    <t>6/16/2015 9:22:19</t>
  </si>
  <si>
    <t>6/16/2015 9:22:35</t>
  </si>
  <si>
    <t>c) Los estudios, d) El cuidado de mi cuerpo, f) Mi fe y vida cristiana</t>
  </si>
  <si>
    <t>f) Todas las personas, j) Todas partes, k) La oración</t>
  </si>
  <si>
    <t>b) Mi madre, e) Un, una docente, j) Nadie</t>
  </si>
  <si>
    <t>6/16/2015 9:22:40</t>
  </si>
  <si>
    <t>b) Los amigos, e) Disponer de dinero, h) La sexualidad</t>
  </si>
  <si>
    <t>6/16/2015 9:22:58</t>
  </si>
  <si>
    <t>6/16/2015 9:23:08</t>
  </si>
  <si>
    <t>a) Cónsola videojuegos, e) Moto, k) Aire acondicionado</t>
  </si>
  <si>
    <t>a) La Iglesia, b) La naturaleza, c) El salón de clase, d) Las convivencias, e) Los amigos, f) Todas las personas, g) Mi familia, h) Algunas personas cercanas a Dios, j) Todas partes, k) La oración, l) Los sacramentos</t>
  </si>
  <si>
    <t>a) Suelo llevar una cruz o algún objeto religioso, c) Suelo ir los domingos y otras fechas especiales a la Iglesia, f) En alguna ocasión he rezado el rosario, g) En ocasiones, en mi casa tenemos una oración familiar, h) En Semana Santa asisto a las procesiones, i) Tengo en mi cuarto alguna imagen religiosa</t>
  </si>
  <si>
    <t>b) Docencia, h) Ciencias políticas</t>
  </si>
  <si>
    <t>b) Navego en Internet, c) Suelo ir a centros de video (máquinas de juegos), d) Estoy la mayor parte del tiempo en la casa sin hacer nada</t>
  </si>
  <si>
    <t>6/16/2015 9:24:57</t>
  </si>
  <si>
    <t>6/16/2015 9:26:40</t>
  </si>
  <si>
    <t>g) La felicidad, i) La música, j) El deporte</t>
  </si>
  <si>
    <t>6/16/2015 9:26:56</t>
  </si>
  <si>
    <t>6/16/2015 9:27:58</t>
  </si>
  <si>
    <t>a) Mi padre, d) Un escolapio, religioso o religiosa, g) Un amigo</t>
  </si>
  <si>
    <t>6/16/2015 9:28:29</t>
  </si>
  <si>
    <t>e) Suelo ir a algún parque, k) Practico algún deporte, m) Veo televisión y/o películas</t>
  </si>
  <si>
    <t>6/16/2015 9:28:39</t>
  </si>
  <si>
    <t>6/16/2015 9:28:46</t>
  </si>
  <si>
    <t>b) La naturaleza, d) Las convivencias, j) Todas partes, k) La oración, l) Los sacramentos</t>
  </si>
  <si>
    <t>6/16/2015 9:39:09</t>
  </si>
  <si>
    <t>b) La naturaleza, c) El salón de clase, f) Todas las personas, j) Todas partes, k) La oración</t>
  </si>
  <si>
    <t>6/16/2015 9:40:47</t>
  </si>
  <si>
    <t>h) Ciencias políticas, i) Comerciante</t>
  </si>
  <si>
    <t>6/16/2015 9:41:40</t>
  </si>
  <si>
    <t>a) La Iglesia, b) La naturaleza, d) Las convivencias, e) Los amigos, g) Mi familia, h) Algunas personas cercanas a Dios, k) La oración, l) Los sacramentos</t>
  </si>
  <si>
    <t>b) Suelo bendedir los alimentos antes de comer, c) Suelo ir los domingos y otras fechas especiales a la Iglesia, d) Suelo orar todos los días, f) En alguna ocasión he rezado el rosario, g) En ocasiones, en mi casa tenemos una oración familiar, i) Tengo en mi cuarto alguna imagen religiosa</t>
  </si>
  <si>
    <t>6/16/2015 9:41:59</t>
  </si>
  <si>
    <t>6/16/2015 9:42:21</t>
  </si>
  <si>
    <t>6/16/2015 9:42:24</t>
  </si>
  <si>
    <t>a) La Iglesia, b) La naturaleza, g) Mi familia, j) Todas partes, l) Los sacramentos</t>
  </si>
  <si>
    <t>6/16/2015 9:42:46</t>
  </si>
  <si>
    <t>6/16/2015 9:43:17</t>
  </si>
  <si>
    <t>6/16/2015 9:43:28</t>
  </si>
  <si>
    <t>6/16/2015 9:43:30</t>
  </si>
  <si>
    <t>c) Microondas, d) TV pantalla plana, e) Moto, f) MP3, g) MP4, h) Carro, i) Computadora, j) Cámara digital, k) Aire acondicionado</t>
  </si>
  <si>
    <t>a) La Iglesia, c) El salón de clase, d) Las convivencias, g) Mi familia, i) Los necesitados, k) La oración, l) Los sacramentos</t>
  </si>
  <si>
    <t>a) Suelo llevar una cruz o algún objeto religioso, c) Suelo ir los domingos y otras fechas especiales a la Iglesia, e) Voy a misa en las fechas de mis familiares difuntos, f) En alguna ocasión he rezado el rosario, g) En ocasiones, en mi casa tenemos una oración familiar, i) Tengo en mi cuarto alguna imagen religiosa</t>
  </si>
  <si>
    <t>a) Mi padre, c) Un hermano/a, e) Un, una docente, g) Un amigo</t>
  </si>
  <si>
    <t>6/16/2015 9:44:13</t>
  </si>
  <si>
    <t>a) La familia, b) Los amigos, c) Los estudios, d) El cuidado de mi cuerpo, e) Disponer de dinero, g) La felicidad, h) La sexualidad, i) La música, j) El deporte</t>
  </si>
  <si>
    <t>a) Suelo llevar una cruz o algún objeto religioso, b) Suelo bendedir los alimentos antes de comer, f) En alguna ocasión he rezado el rosario, i) Tengo en mi cuarto alguna imagen religiosa</t>
  </si>
  <si>
    <t>6/16/2015 9:44:09</t>
  </si>
  <si>
    <t>6/16/2015 9:44:21</t>
  </si>
  <si>
    <t>h) Suelo ir al cine, n) Estoy conversando con los amigos/as</t>
  </si>
  <si>
    <t>a) Mi padre, b) Mi madre, c) Un hermano/a, e) Un, una docente, g) Un amigo, h) Una amiga, i) Un, una catequista o responsable de grupo</t>
  </si>
  <si>
    <t>6/16/2015 9:44:47</t>
  </si>
  <si>
    <t>a) La Iglesia, b) La naturaleza, d) Las convivencias, e) Los amigos, f) Todas las personas, g) Mi familia, i) Los necesitados, j) Todas partes, k) La oración</t>
  </si>
  <si>
    <t>6/16/2015 9:44:55</t>
  </si>
  <si>
    <t>a) Suelo llevar una cruz o algún objeto religioso, c) Suelo ir los domingos y otras fechas especiales a la Iglesia, d) Suelo orar todos los días, f) En alguna ocasión he rezado el rosario, h) En Semana Santa asisto a las procesiones, i) Tengo en mi cuarto alguna imagen religiosa</t>
  </si>
  <si>
    <t>6/16/2015 9:44:57</t>
  </si>
  <si>
    <t>d) Estoy la mayor parte del tiempo en la casa sin hacer nada, i) Leo revistas o libros, l) Escucho música y/o veo videos musicales</t>
  </si>
  <si>
    <t>6/16/2015 9:46:09</t>
  </si>
  <si>
    <t>a) Suelo llevar una cruz o algún objeto religioso, c) Suelo ir los domingos y otras fechas especiales a la Iglesia, f) En alguna ocasión he rezado el rosario</t>
  </si>
  <si>
    <t>6/16/2015 9:46:35</t>
  </si>
  <si>
    <t>a) La Iglesia, b) La naturaleza, e) Los amigos, g) Mi familia, i) Los necesitados, k) La oración, l) Los sacramentos</t>
  </si>
  <si>
    <t>f) Toco un instrumento musical, k) Practico algún deporte, n) Estoy conversando con los amigos/as</t>
  </si>
  <si>
    <t>6/16/2015 9:47:00</t>
  </si>
  <si>
    <t>6/18/2015 8:08:58</t>
  </si>
  <si>
    <t>d) Cristo Rey de Carora</t>
  </si>
  <si>
    <t>b) Mi madre, e) Un, una docente, f) La orientadora, g) Un amigo</t>
  </si>
  <si>
    <t>6/18/2015 8:13:00</t>
  </si>
  <si>
    <t>6/18/2015 8:17:05</t>
  </si>
  <si>
    <t>a) La familia, b) Los amigos, c) Los estudios, f) Mi fe y vida cristiana, g) La felicidad</t>
  </si>
  <si>
    <t>b) Suelo bendedir los alimentos antes de comer, f) En alguna ocasión he rezado el rosario, i) Tengo en mi cuarto alguna imagen religiosa</t>
  </si>
  <si>
    <t>a) Me divierto con juegos para computadoras, g) Suelo ir a discotecas o a fiestas</t>
  </si>
  <si>
    <t>6/18/2015 8:20:37</t>
  </si>
  <si>
    <t>a) La Iglesia, b) La naturaleza, c) El salón de clase, d) Las convivencias, f) Todas las personas, g) Mi familia, i) Los necesitados, j) Todas partes, k) La oración, l) Los sacramentos</t>
  </si>
  <si>
    <t>b) Mi madre, c) Un hermano/a, f) La orientadora, g) Un amigo</t>
  </si>
  <si>
    <t>6/18/2015 8:20:52</t>
  </si>
  <si>
    <t>6/18/2015 8:20:58</t>
  </si>
  <si>
    <t>a) Los deportes y diversiones, c) Las instalaciones del Colegio, f) La igualdad de trato que se da a todos, h) Las actividades extraescolares</t>
  </si>
  <si>
    <t>b) Navego en Internet, d) Estoy la mayor parte del tiempo en la casa sin hacer nada, l) Escucho música y/o veo videos musicales, m) Veo televisión y/o películas, n) Estoy conversando con los amigos/as</t>
  </si>
  <si>
    <t>6/18/2015 8:21:25</t>
  </si>
  <si>
    <t>6/18/2015 8:23:27</t>
  </si>
  <si>
    <t>a) La familia, g) La felicidad, i) La música, j) El deporte, k) El internet</t>
  </si>
  <si>
    <t>a) Los deportes y diversiones, c) Las instalaciones del Colegio, g) La relación con los docentes</t>
  </si>
  <si>
    <t>d) Estoy la mayor parte del tiempo en la casa sin hacer nada, h) Suelo ir al cine, j) Estoy en algún grupo juvenil</t>
  </si>
  <si>
    <t>6/18/2015 8:24:24</t>
  </si>
  <si>
    <t>a) Cónsola videojuegos, b) Lavadora, c) Microondas, f) MP3, g) MP4, h) Carro, i) Computadora, j) Cámara digital, k) Aire acondicionado</t>
  </si>
  <si>
    <t>6/18/2015 8:25:16</t>
  </si>
  <si>
    <t>a) La Iglesia, i) Los necesitados</t>
  </si>
  <si>
    <t>a) Los deportes y diversiones, e) La mayor posibilidad de vivir mi fe, f) La igualdad de trato que se da a todos, h) Las actividades extraescolares</t>
  </si>
  <si>
    <t>a) Me divierto con juegos para computadoras, j) Estoy en algún grupo juvenil</t>
  </si>
  <si>
    <t>6/18/2015 8:26:58</t>
  </si>
  <si>
    <t>c) Microondas, h) Carro, k) Aire acondicionado</t>
  </si>
  <si>
    <t>6/18/2015 8:28:28</t>
  </si>
  <si>
    <t>6/18/2015 8:31:01</t>
  </si>
  <si>
    <t>d) TV pantalla plana, f) MP3, g) MP4, i) Computadora, j) Cámara digital, k) Aire acondicionado</t>
  </si>
  <si>
    <t>f) Mi fe y mi vida cristiana, g) La felicidad, j) El deporte</t>
  </si>
  <si>
    <t>b) Navego en Internet, g) Suelo ir a discotecas o a fiestas, j) Estoy en algún grupo juvenil</t>
  </si>
  <si>
    <t>6/18/2015 8:31:54</t>
  </si>
  <si>
    <t>6/18/2015 8:33:36</t>
  </si>
  <si>
    <t>a) Los deportes y diversiones, b) El ambiente de estudio y de trabajo, d) Los grupos juveniles cristianos, e) La mayor posibilidad de vivir mi fe</t>
  </si>
  <si>
    <t>a) Mi padre, c) Un hermano/a, d) Un escolapio, religioso o religiosa</t>
  </si>
  <si>
    <t>6/18/2015 8:35:00</t>
  </si>
  <si>
    <t>6/18/2015 8:35:31</t>
  </si>
  <si>
    <t>a) La Iglesia, f) Todas las personas</t>
  </si>
  <si>
    <t>6/18/2015 8:35:40</t>
  </si>
  <si>
    <t>a) La familia, c) Los estudios, f) Mi fe y vida cristiana, i) La música, j) El deporte</t>
  </si>
  <si>
    <t>c) Los estudios, e) Disponer de dinero</t>
  </si>
  <si>
    <t>a) La Iglesia, b) La naturaleza, h) Algunas personas cercanas a Dios, k) La oración</t>
  </si>
  <si>
    <t>d) Ingeniería, g) Artista, h) Ciencias políticas, i) Comerciante</t>
  </si>
  <si>
    <t>a) Me divierto con juegos para computadoras, b) Navego en Internet, f) Toco un instrumento musical, k) Practico algún deporte, l) Escucho música y/o veo videos musicales, m) Veo televisión y/o películas, n) Estoy conversando con los amigos/as</t>
  </si>
  <si>
    <t>6/18/2015 8:35:52</t>
  </si>
  <si>
    <t>a) La familia, c) Los estudios, e) Disponer de dinero, f) Mi fe y vida cristiana, i) La música, j) El deporte</t>
  </si>
  <si>
    <t>a) La Iglesia, b) La naturaleza, c) El salón de clase, d) Las convivencias, g) Mi familia</t>
  </si>
  <si>
    <t>a) Me divierto con juegos para computadoras, c) Suelo ir a centros de video (máquinas de juegos), i) Leo revistas o libros</t>
  </si>
  <si>
    <t>6/18/2015 8:36:36</t>
  </si>
  <si>
    <t>a) Mi padre, b) Mi madre, c) Un hermano/a, e) Un, una docente, j) Nadie</t>
  </si>
  <si>
    <t>6/18/2015 8:37:37</t>
  </si>
  <si>
    <t>a) La Iglesia, d) Las convivencias, g) Mi familia, j) Todas partes, k) La oración</t>
  </si>
  <si>
    <t>6/18/2015 8:45:06</t>
  </si>
  <si>
    <t>6/18/2015 9:10:41</t>
  </si>
  <si>
    <t>a) La familia, b) Los amigos, c) Los estudios, f) Mi fe y vida cristiana, i) La música</t>
  </si>
  <si>
    <t>c) Suelo ir los domingos y otras fechas especiales a la Iglesia, d) Suelo orar todos los días, f) En alguna ocasión he rezado el rosario, g) En ocasiones, en mi casa tenemos una oración familiar, i) Tengo en mi cuarto alguna imagen religiosa</t>
  </si>
  <si>
    <t>6/18/2015 9:11:05</t>
  </si>
  <si>
    <t>a) La Iglesia, f) Todas las personas, g) Mi familia</t>
  </si>
  <si>
    <t>a) Me divierto con juegos para computadoras, b) Navego en Internet, j) Estoy en algún grupo juvenil, k) Practico algún deporte, l) Escucho música y/o veo videos musicales</t>
  </si>
  <si>
    <t>6/18/2015 9:11:21</t>
  </si>
  <si>
    <t>a) La Iglesia, b) La naturaleza, d) Las convivencias, e) Los amigos, g) Mi familia, i) Los necesitados, j) Todas partes, k) La oración, l) Los sacramentos</t>
  </si>
  <si>
    <t>a) Me divierto con juegos para computadoras, b) Navego en Internet, d) Estoy la mayor parte del tiempo en la casa sin hacer nada, g) Suelo ir a discotecas o a fiestas, j) Estoy en algún grupo juvenil, k) Practico algún deporte, m) Veo televisión y/o películas, n) Estoy conversando con los amigos/as</t>
  </si>
  <si>
    <t>6/18/2015 9:11:22</t>
  </si>
  <si>
    <t>b) Lavadora, e) Moto</t>
  </si>
  <si>
    <t>b) Los amigos, g) La felicidad</t>
  </si>
  <si>
    <t>6/18/2015 9:13:22</t>
  </si>
  <si>
    <t>g) Mi familia, j) Todas partes</t>
  </si>
  <si>
    <t>a) Mi padre, h) Una amiga</t>
  </si>
  <si>
    <t>6/18/2015 9:13:49</t>
  </si>
  <si>
    <t>c) Suelo ir los domingos y otras fechas especiales a la Iglesia, d) Suelo orar todos los días, e) Voy a misa en las fechas de mis familiares difuntos, g) En ocasiones, en mi casa tenemos una oración familiar, h) En Semana Santa asisto a las procesiones</t>
  </si>
  <si>
    <t>b) El ambiente de estudio y de trabajo, c) Las instalaciones del Colegio, d) Los grupos juveniles cristianos, e) La mayor posibilidad de vivir mi fe</t>
  </si>
  <si>
    <t>d) Estoy la mayor parte del tiempo en la casa sin hacer nada, f) Toco un instrumento musical, i) Leo revistas o libros, m) Veo televisión y/o películas, n) Estoy conversando con los amigos/as</t>
  </si>
  <si>
    <t>6/18/2015 9:14:13</t>
  </si>
  <si>
    <t>c) Los estudios, d) El cuidado de mi cuerpo, i) La música, k) Internet</t>
  </si>
  <si>
    <t>6/18/2015 9:14:14</t>
  </si>
  <si>
    <t>e) Un, una docente, f) La orientadora, h) Una amiga, i) Un, una catequista o responsable de grupo, k) No tengo problemas personales</t>
  </si>
  <si>
    <t>6/18/2015 9:14:17</t>
  </si>
  <si>
    <t>a) Cónsola videojuegos, b) Lavadora, c) Microondas, d) TV pantalla plana, g) MP4, i) Computadora, k) Aire acondicionado</t>
  </si>
  <si>
    <t>a) La familia, j) El deporte, k) Internet</t>
  </si>
  <si>
    <t>6/18/2015 9:14:49</t>
  </si>
  <si>
    <t>6/18/2015 9:16:13</t>
  </si>
  <si>
    <t>a) Cónsola videojuegos, c) Microondas, d) TV pantalla plana, g) MP4, h) Carro, i) Computadora, j) Cámara digital, k) Aire acondicionado</t>
  </si>
  <si>
    <t>6/18/2015 9:16:18</t>
  </si>
  <si>
    <t>a) La Iglesia, f) Todas las personas, h) Algunas personas cercanas a Dios, i) Los necesitados, j) Todas partes, k) La oración</t>
  </si>
  <si>
    <t>b) Suelo bendedir los alimentos antes de comer, c) Suelo ir los domingos y otras fechas especiales a la Iglesia, d) Suelo orar todos los días, e) Voy a misa en las fechas de mis familiares difuntos, f) En alguna ocasión he rezado el rosario, h) En Semana Santa asisto a las procesiones</t>
  </si>
  <si>
    <t>6/18/2015 9:16:21</t>
  </si>
  <si>
    <t>c) Microondas, h) Carro, i) Computadora, j) Cámara digital, k) Aire acondicionado</t>
  </si>
  <si>
    <t>a) Medicina, d) Ingeniería, e) Derecho, g) Artista</t>
  </si>
  <si>
    <t>6/18/2015 9:16:38</t>
  </si>
  <si>
    <t>6/18/2015 9:17:38</t>
  </si>
  <si>
    <t>6/18/2015 9:18:17</t>
  </si>
  <si>
    <t>a) Suelo llevar una cruz o algún objeto religioso, c) Suelo ir los domingos y otras fechas especiales a la Iglesia, d) Suelo orar todos los días, e) Voy a misa en las fechas de mis familiares difuntos, h) En Semana Santa asisto a las procesiones, i) Tengo en mi cuarto alguna imagen religiosa</t>
  </si>
  <si>
    <t>i) Leo revistas o libros, j) Estoy en algún grupo juvenil, l) Escucho música y/o veo videos musicales</t>
  </si>
  <si>
    <t>d) Un escolapio, religioso o religiosa, h) Una amiga, j) Nadie</t>
  </si>
  <si>
    <t>6/18/2015 9:19:23</t>
  </si>
  <si>
    <t>i) Computadora, j) Cámara digital, k) Aire acondicionado</t>
  </si>
  <si>
    <t>a) Suelo llevar una cruz o algún objeto religioso, c) Suelo ir los domingos y otras fechas especiales a la Iglesia, e) Voy a misa en las fechas de mis familiares difuntos, f) En alguna ocasión he rezado el rosario, h) En Semana Santa asisto a las procesiones</t>
  </si>
  <si>
    <t>6/18/2015 9:19:38</t>
  </si>
  <si>
    <t>b) La naturaleza, d) Las convivencias, g) Mi familia, h) Algunas personas cercanas a Dios, i) Los necesitados, k) La oración</t>
  </si>
  <si>
    <t>6/18/2015 9:22:01</t>
  </si>
  <si>
    <t>a) La Iglesia, d) Las convivencias, e) Los amigos, i) Los necesitados, k) La oración</t>
  </si>
  <si>
    <t>6/18/2015 9:23:05</t>
  </si>
  <si>
    <t>6/19/2015 7:35:12</t>
  </si>
  <si>
    <t>a) Me divierto con juegos para computadoras, b) Navego en Internet, c) Suelo ir a centros de video (máquinas de juegos), d) Estoy la mayor parte del tiempo en la casa sin hacer nada, i) Leo revistas o libros, l) Escucho música y/o veo videos musicales, m) Veo televisión y/o películas</t>
  </si>
  <si>
    <t>g) Un amigo, j) Nadie</t>
  </si>
  <si>
    <t>6/19/2015 7:37:48</t>
  </si>
  <si>
    <t>b) Lavadora, c) Microondas, f) MP3, h) Carro, i) Computadora, j) Cámara digital, k) Aire acondicionado</t>
  </si>
  <si>
    <t>a) La familia, b) Los amigos, c) Los estudios, d) El cuidado de mi cuerpo, f) Mi fe y vida cristiana, g) La felicidad, i) La música, j) El deporte, k) El internet</t>
  </si>
  <si>
    <t>6/19/2015 7:40:08</t>
  </si>
  <si>
    <t>a) Me divierto con juegos para computadoras, b) Navego en Internet, c) Suelo ir a centros de video (máquinas de juegos), j) Estoy en algún grupo juvenil, k) Practico algún deporte, l) Escucho música y/o veo videos musicales, m) Veo televisión y/o películas</t>
  </si>
  <si>
    <t>6/19/2015 7:45:59</t>
  </si>
  <si>
    <t>a) La familia, b) Los amigos, d) El cuidado de mi cuerpo, f) Mi fe y vida cristiana, i) La música, j) El deporte</t>
  </si>
  <si>
    <t>a) Me divierto con juegos para computadoras, b) Navego en Internet, d) Estoy la mayor parte del tiempo en la casa sin hacer nada, f) Toco un instrumento musical, g) Suelo ir a discotecas o a fiestas, i) Leo revistas o libros, l) Escucho música y/o veo videos musicales, m) Veo televisión y/o películas</t>
  </si>
  <si>
    <t>b) Mi madre, d) Un escolapio, religioso o religiosa, f) La orientadora, g) Un amigo, h) Una amiga</t>
  </si>
  <si>
    <t>6/19/2015 7:52:42</t>
  </si>
  <si>
    <t>b) Los amigos, d) El cuidado de mi cuerpo, g) La felicidad</t>
  </si>
  <si>
    <t>b) El ambiente de estudio y de trabajo, e) La mayor posibilidad de vivir mi fe, f) La igualdad de trato que se da a todos</t>
  </si>
  <si>
    <t>6/19/2015 7:53:39</t>
  </si>
  <si>
    <t>a) La familia, b) Los amigos, c) Los estudios, d) El cuidado de mi cuerpo, e) Disponer de dinero, f) Mi fe y vida cristiana, g) La felicidad, h) La sexualidad, i) La música, j) El deporte, k) El internet</t>
  </si>
  <si>
    <t>a) La Iglesia, j) Todas partes, k) La oración, l) Los sacramentos</t>
  </si>
  <si>
    <t>a) Suelo llevar una cruz o algún objeto religioso, b) Suelo bendedir los alimentos antes de comer, d) Suelo orar todos los días, f) En alguna ocasión he rezado el rosario, g) En ocasiones, en mi casa tenemos una oración familiar</t>
  </si>
  <si>
    <t>6/19/2015 7:53:42</t>
  </si>
  <si>
    <t>b) Lavadora, c) Microondas, d) TV pantalla plana, g) MP4, i) Computadora, j) Cámara digital, k) Aire acondicionado</t>
  </si>
  <si>
    <t>a) La familia, b) Los amigos, i) La música, k) El internet</t>
  </si>
  <si>
    <t>6/19/2015 8:01:25</t>
  </si>
  <si>
    <t>6/19/2015 8:01:36</t>
  </si>
  <si>
    <t>b) Los amigos, h) La sexualidad, k) El internet</t>
  </si>
  <si>
    <t>a) Medicina, b) Docencia, d) Ingeniería, e) Derecho, h) Ciencias políticas, j) Trabajador calificado</t>
  </si>
  <si>
    <t>6/19/2015 8:03:04</t>
  </si>
  <si>
    <t>d) Estoy la mayor parte del tiempo en la casa sin hacer nada, f) Toco un instrumento musical, i) Leo revistas o libros, l) Escucho música y/o veo videos musicales, m) Veo televisión y/o películas, n) Estoy conversando con los amigos/as</t>
  </si>
  <si>
    <t>6/19/2015 8:12:59</t>
  </si>
  <si>
    <t>a) Cónsola videojuegos, b) Lavadora, c) Microondas, i) Computadora, k) Aire acondicionado</t>
  </si>
  <si>
    <t>e) Disponer de dinero, g) La felicidad, j) El deporte</t>
  </si>
  <si>
    <t>6/19/2015 8:15:12</t>
  </si>
  <si>
    <t>6/19/2015 10:31:07</t>
  </si>
  <si>
    <t>a) Mi padre, b) Mi madre, c) Un hermano/a, d) Un escolapio, religioso o religiosa, e) Un, una docente, f) La orientadora, g) Un amigo, h) Una amiga</t>
  </si>
  <si>
    <t>a) Mi padre, b) Mi madre, d) Un escolapio, religioso o religiosa, e) Un, una docente, f) La orientadora, g) Un amigo, h) Una amiga</t>
  </si>
  <si>
    <t>6/19/2015 10:43:29</t>
  </si>
  <si>
    <t>d) TV pantalla plana, g) MP4, i) Computadora, j) Cámara digital, k) Aire acondicionado</t>
  </si>
  <si>
    <t>6/19/2015 10:49:24</t>
  </si>
  <si>
    <t>b) Suelo bendedir los alimentos antes de comer, e) Voy a misa en las fechas de mis familiares difuntos, f) En alguna ocasión he rezado el rosario, i) Tengo en mi cuarto alguna imagen religiosa</t>
  </si>
  <si>
    <t>c) Un hermano/a, d) Un escolapio, religioso o religiosa, g) Un amigo</t>
  </si>
  <si>
    <t>6/19/2015 10:55:34</t>
  </si>
  <si>
    <t>b) Suelo bendedir los alimentos antes de comer, c) Suelo ir los domingos y otras fechas especiales a la Iglesia, d) Suelo orar todos los días, f) En alguna ocasión he rezado el rosario, h) En Semana Santa asisto a las procesiones, i) Tengo en mi cuarto alguna imagen religiosa</t>
  </si>
  <si>
    <t>b) Navego en Internet, d) Estoy la mayor parte del tiempo en la casa sin hacer nada, i) Leo revistas o libros, j) Estoy en algún grupo juvenil, k) Practico algún deporte, l) Escucho música y/o veo videos musicales, m) Veo televisión y/o películas, n) Estoy conversando con los amigos/as</t>
  </si>
  <si>
    <t>b) Mi madre, c) Un hermano/a, d) Un escolapio, religioso o religiosa, e) Un, una docente, h) Una amiga</t>
  </si>
  <si>
    <t>6/19/2015 11:00:40</t>
  </si>
  <si>
    <t>i) Computadora, j) Cámara digital</t>
  </si>
  <si>
    <t>6/19/2015 11:04:07</t>
  </si>
  <si>
    <t>6/19/2015 11:14:15</t>
  </si>
  <si>
    <t>a) La Iglesia, f) Todas las personas, k) La oración</t>
  </si>
  <si>
    <t>e) Suelo ir a algún parque, i) Leo revistas o libros, m) Veo televisión y/o películas, n) Estoy conversando con los amigos/as</t>
  </si>
  <si>
    <t>a) La Iglesia, b) La naturaleza, c) El salón de clase, f) Todas las personas, g) Mi familia, i) Los necesitados</t>
  </si>
  <si>
    <t>a) Los deportes y diversiones, b) El ambiente de estudio y de trabajo, d) Los grupos juveniles cristianos, e) La mayor posibilidad de vivir mi fe, g) La relación con los docentes</t>
  </si>
  <si>
    <t>a) La Iglesia, d) Las convivencias, f) Todas las personas, g) Mi familia, h) Algunas personas cercanas a Dios, i) Los necesitados, j) Todas partes, k) La oración, l) Los sacramentos</t>
  </si>
  <si>
    <t>b) Suelo bendedir los alimentos antes de comer, c) Suelo ir los domingos y otras fechas especiales a la Iglesia, e) Voy a misa en las fechas de mis familiares difuntos, g) En ocasiones, en mi casa tenemos una oración familiar</t>
  </si>
  <si>
    <t>b) El ambiente de estudio y de trabajo, e) La mayor posibilidad de vivir mi fe, g) La relación con los docentes</t>
  </si>
  <si>
    <t>a) Me divierto con juegos para computadoras, h) Suelo ir al cine, k) Practico algún deporte</t>
  </si>
  <si>
    <t>a) Mi padre, b) Mi madre, c) Un hermano/a, e) Un, una docente, h) Una amiga</t>
  </si>
  <si>
    <t>a) Mi padre, b) Mi madre, c) Un hermano/a, d) Un escolapio, religioso o religiosa, e) Un, una docente</t>
  </si>
  <si>
    <t>b) Suelo bendedir los alimentos antes de comer, e) Voy a misa en las fechas de mis familiares difuntos, i) Tengo en mi cuarto alguna imagen religiosa</t>
  </si>
  <si>
    <t>a) Me divierto con juegos para computadoras, j) Estoy en algún grupo juvenil, m) Veo televisión y/o películas</t>
  </si>
  <si>
    <t>a) Mi padre, b) Mi madre, c) Un hermano/a, d) Un escolapio, religioso o religiosa, e) Un, una docente, i) Un, una catequista o responsable de grupo, k) No tengo problemas personales</t>
  </si>
  <si>
    <t>a) Cónsola videojuegos, i) Computadora, j) Cámara digital, k) Aire acondicionado</t>
  </si>
  <si>
    <t>a) La Iglesia, b) La naturaleza, d) Las convivencias, g) Mi familia, j) Todas partes, k) La oración, l) Los sacramentos</t>
  </si>
  <si>
    <t>b) Lavadora, h) Carro, k) Aire acondicionado</t>
  </si>
  <si>
    <t>a) La familia, c) Los estudios, f) Mi fe y vida cristiana, g) La felicidad, j) El deporte</t>
  </si>
  <si>
    <t>a) La Iglesia, c) El salón de clase, h) Algunas personas cercanas a Dios, j) Todas partes, k) La oración</t>
  </si>
  <si>
    <t>b) Lavadora, f) MP3, i) Computadora, k) Aire acondicionado</t>
  </si>
  <si>
    <t>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t>
  </si>
  <si>
    <t>c) Suelo ir los domingos y otras fechas especiales a la Iglesia, e) Voy a misa en las fechas de mis familiares difuntos, f) En alguna ocasión he rezado el rosario, h) En Semana Santa asisto a las procesiones</t>
  </si>
  <si>
    <t>a) Cónsola videojuegos, b) Lavadora, d) TV pantalla plana, g) MP4, h) Carro, i) Computadora, j) Cámara digital, k) Aire acondicionado</t>
  </si>
  <si>
    <t>b) Navego en Internet, h) Suelo ir al cine, j) Estoy en algún grupo juvenil</t>
  </si>
  <si>
    <t>a) Mi padre, b) Mi madre, c) Un hermano/a, d) Un escolapio, religioso o religiosa, f) La orientadora, h) Una amiga, i) Un, una catequista o responsable de grupo</t>
  </si>
  <si>
    <t>b) Docencia, c) Sacerdocio o hermana religiosa, g) Artista</t>
  </si>
  <si>
    <t>a) Me divierto con juegos para computadoras, b) Navego en Internet, h) Suelo ir al cine</t>
  </si>
  <si>
    <t>a) La Iglesia, g) Mi familia, h) Algunas personas cercanas a Dios, j) Todas partes, k) La oración</t>
  </si>
  <si>
    <t>b) Lavadora, g) MP4, i) Computadora, k) Aire acondicionado</t>
  </si>
  <si>
    <t>a) La familia, c) Los estudios, d) El cuidado de mi cuerpo, f) Mi fe y mi vida cristiana</t>
  </si>
  <si>
    <t>a) La Iglesia, b) La naturaleza, c) El salón de clase, d) Las convivencias, g) Mi familia, i) Los necesitados</t>
  </si>
  <si>
    <t>b) El ambiente de estudio y de trabajo, c) Las instalaciones del Colegio, d) Los grupos juveniles cristianos, e) La mayor posibilidad de vivir mi fe, f) La igualdad de trato que se da a todos, g) La relación con los docentes</t>
  </si>
  <si>
    <t>a) La Iglesia, e) Los amigos, g) Mi familia, h) Algunas personas cercanas a Dios, k) La oración, l) Los sacramentos</t>
  </si>
  <si>
    <t>a) Suelo llevar una cruz o algún objeto religioso,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t>
  </si>
  <si>
    <t>a) Cónsola videojuegos, d) TV pantalla plana, f) MP3, i) Computadora, k) Aire acondicionado</t>
  </si>
  <si>
    <t>b) Lavadora, c) Microondas, d) TV pantalla plana, f) MP3, g) MP4, i) Computadora, k) Aire acondicionado</t>
  </si>
  <si>
    <t>a) La familia, c) Los estudios, d) El cuidado de mi cuerpo, f) Mi fe y mi vida cristiana, g) La felicidad, h) La sexualidad</t>
  </si>
  <si>
    <t>a) La Iglesia, b) La naturaleza, c) El salón de clase, g) Mi familia, h) Algunas personas cercanas a Dios, i) Los necesitados, j) Todas partes, l) Los sacramentos</t>
  </si>
  <si>
    <t>a) Los deportes y diversiones, b) El ambiente de estudio y de trabajo, g) La relación con los docentes</t>
  </si>
  <si>
    <t>a) Suelo llevar una cruz o algún objeto religioso, d) Suelo orar todos los días, e) Voy a misa en las fechas de mis familiares difuntos, f) En alguna ocasión he rezado el rosario, g) En ocasiones, en mi casa tenemos una oración familiar</t>
  </si>
  <si>
    <t>a) Suelo llevar una cruz o algún objeto religioso, b) Suelo bendedir los alimentos antes de comer, e) Voy a misa en las fechas de mis familiares difuntos</t>
  </si>
  <si>
    <t>h) Carro, k) Aire acondicionado</t>
  </si>
  <si>
    <t>a) Suelo llevar una cruz o algún objeto religioso, b) Suelo bendedir los alimentos antes de comer, c) Suelo ir los domingos y otras fechas especiales a la Iglesia, g) En ocasiones, en mi casa tenemos una oración familiar, i) Tengo en mi cuarto alguna imagen religiosa</t>
  </si>
  <si>
    <t>b) Mi madre, d) Un escolapio, religioso o religiosa, e) Un, una docente, f) La orientadora, g) Un amigo, h) Una amiga</t>
  </si>
  <si>
    <t>b) Papá, c) Hermanos, e) Otros familiares</t>
  </si>
  <si>
    <t>c) Suelo ir los domingos y otras fechas especiales a la Iglesia, f) En alguna ocasión he rezado el rosario, g) En ocasiones, en mi casa tenemos una oración familiar, i) Tengo en mi cuarto alguna imagen religiosa</t>
  </si>
  <si>
    <t>a) La Iglesia, c) El salón de clase, e) Los amigos, g) Mi familia</t>
  </si>
  <si>
    <t>a) Suelo llevar una cruz o algún objeto religioso, c) Suelo ir los domingos y otras fechas especiales a la Iglesia, e) Voy a misa en las fechas de mis familiares difuntos, i) Tengo en mi cuarto alguna imagen religiosa</t>
  </si>
  <si>
    <t>a) La familia, b) Los amigos, c) Los estudios, f) Mi fe y mi vida cristiana, g) La felicidad, i) La música</t>
  </si>
  <si>
    <t>a) La Iglesia, g) Mi familia, h) Algunas personas cercanas a Dios, i) Los necesitados, j) Todas partes, k) La oración, l) Los sacramentos</t>
  </si>
  <si>
    <t>e) Derecho, f) Ciencias policiales o artes militares, g) Artista, h) Ciencias políticas</t>
  </si>
  <si>
    <t>a) Los deportes y diversiones, b) El ambiente de estudio y de trabajo, c) Las instalaciones del Colegio, f) La igualdad de trato que se da a todos</t>
  </si>
  <si>
    <t>a) Me divierto con juegos para computadoras, b) Navego en Internet, e) Suelo ir a algún parque, f) Toco un instrumento musical, h) Suelo ir al cine, i) Leo revistas o libros, k) Practico algún deporte, l) Escucho música y/o veo videos musicales, m) Veo televisión y/o películas, n) Estoy conversando con los amigos/as</t>
  </si>
  <si>
    <t>a) Mi padre, b) Mi madre, c) Un hermano/a, f) La orientadora, g) Un amigo, h) Una amiga, i) Un, una catequista o responsable de grupo</t>
  </si>
  <si>
    <t>a) Cónsola videojuegos, b) Lavadora, k) Aire acondicionado</t>
  </si>
  <si>
    <t>a) La Iglesia, c) El salón de clase, g) Mi familia, i) Los necesitados</t>
  </si>
  <si>
    <t>a) Cónsola videojuegos, b) Lavadora, c) Microondas, e) Moto, h) Carro, i) Computadora, j) Cámara digital, k) Aire acondicionado</t>
  </si>
  <si>
    <t>a) La Iglesia, b) La naturaleza, c) El salón de clase, d) Las convivencias, h) Algunas personas cercanas a Dios, i) Los necesitados, k) La oración, l) Los sacramentos</t>
  </si>
  <si>
    <t>a) Cónsola videojuegos, d) TV pantalla plana, f) MP3, i) Computadora, j) Cámara digital, k) Aire acondicionado</t>
  </si>
  <si>
    <t>b) La naturaleza, c) El salón de clase, g) Mi familia</t>
  </si>
  <si>
    <t>a) La Iglesia, d) Las convivencias, e) Los amigos, g) Mi familia, h) Algunas personas cercanas a Dios, i) Los necesitados, k) La oración</t>
  </si>
  <si>
    <t>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t>
  </si>
  <si>
    <t>b) Lavadora, c) Microondas, d) TV pantalla plana, g) MP4, i) Computadora, k) Aire acondicionado</t>
  </si>
  <si>
    <t>a) Mi padre, b) Mi madre, c) Un hermano/a, e) Un, una docente, f) La orientadora, g) Un amigo, h) Una amiga, i) Un, una catequista o responsable de grupo, k) No tengo problemas personales</t>
  </si>
  <si>
    <t>a) Cónsola videojuegos, d) TV pantalla plana, i) Computadora, j) Cámara digital, k) Aire acondicionado</t>
  </si>
  <si>
    <t>a) Me divierto con juegos para computadoras, d) Estoy la mayor parte del tiempo en la casa sin hacer nada, n) Estoy conversando con los amigos/as</t>
  </si>
  <si>
    <t>a) Cónsola videojuegos, b) Lavadora, f) MP3, i) Computadora, k) Aire acondicionado</t>
  </si>
  <si>
    <t>a) Suelo llevar una cruz o algún objeto religioso, b) Suelo bendedir los alimentos antes de comer, e) Voy a misa en las fechas de mis familiares difuntos, f) En alguna ocasión he rezado el rosario, i) Tengo en mi cuarto alguna imagen religiosa</t>
  </si>
  <si>
    <t>a) La Iglesia, d) Las convivencias, g) Mi familia, i) Los necesitados, j) Todas partes, k) La oración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</si>
</sst>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d/yyyy\ h:mm:ss;@"/>
  </numFmts>
  <fonts count="17" x14ac:knownFonts="1">
    <font>
      <sz val="11"/>
      <color theme="1"/>
      <name val="Calibri"/>
      <family val="2"/>
      <scheme val="minor"/>
    </font>
    <font>
      <b/>
      <sz val="11"/>
      <color rgb="FF000000"/>
      <name val="Calibri"/>
    </font>
    <font>
      <sz val="11"/>
      <color rgb="FF000000"/>
      <name val="Calibri"/>
    </font>
    <font>
      <sz val="9"/>
      <name val="Comic Sans MS"/>
      <family val="4"/>
    </font>
    <font>
      <sz val="9"/>
      <name val="Arial"/>
    </font>
    <font>
      <b/>
      <sz val="9"/>
      <name val="Arial"/>
      <family val="2"/>
    </font>
    <font>
      <b/>
      <sz val="13"/>
      <name val="Comic Sans MS"/>
      <family val="4"/>
    </font>
    <font>
      <b/>
      <sz val="13"/>
      <name val="Arial"/>
    </font>
    <font>
      <sz val="9"/>
      <name val="Arial"/>
      <family val="2"/>
    </font>
    <font>
      <b/>
      <sz val="10"/>
      <name val="Arial"/>
      <family val="2"/>
    </font>
    <font>
      <b/>
      <sz val="9"/>
      <name val="Comic Sans MS"/>
      <family val="4"/>
    </font>
    <font>
      <i/>
      <sz val="9"/>
      <name val="Arial"/>
      <family val="2"/>
    </font>
    <font>
      <b/>
      <sz val="9"/>
      <color indexed="10"/>
      <name val="Arial"/>
      <family val="2"/>
    </font>
    <font>
      <sz val="9"/>
      <name val="Tahoma"/>
      <family val="2"/>
    </font>
    <font>
      <sz val="9"/>
      <color indexed="8"/>
      <name val="Comic Sans MS"/>
      <family val="4"/>
    </font>
    <font>
      <sz val="11"/>
      <color theme="1"/>
      <name val="Calibri"/>
      <family val="2"/>
      <scheme val="minor"/>
    </font>
    <font>
      <b/>
      <sz val="10"/>
      <color rgb="FF000000"/>
      <name val="Arial"/>
    </font>
  </fonts>
  <fills count="6">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rgb="FFDDDDDD"/>
        <bgColor indexed="64"/>
      </patternFill>
    </fill>
    <fill>
      <patternFill patternType="solid">
        <fgColor rgb="FFEEEEEE"/>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0" fontId="15" fillId="3" borderId="0"/>
  </cellStyleXfs>
  <cellXfs count="104">
    <xf numFmtId="0" fontId="0" fillId="0" borderId="0" xfId="0"/>
    <xf numFmtId="0" fontId="3" fillId="3" borderId="0" xfId="0" applyFont="1" applyFill="1" applyAlignment="1">
      <alignment horizontal="center"/>
    </xf>
    <xf numFmtId="0" fontId="3" fillId="3" borderId="0" xfId="0" applyFont="1" applyFill="1" applyAlignment="1">
      <alignment horizontal="left"/>
    </xf>
    <xf numFmtId="0" fontId="4" fillId="3" borderId="0" xfId="0" applyFont="1" applyFill="1"/>
    <xf numFmtId="0" fontId="4" fillId="3" borderId="0" xfId="0" applyFont="1" applyFill="1" applyAlignment="1">
      <alignment horizontal="center"/>
    </xf>
    <xf numFmtId="164" fontId="4" fillId="3" borderId="0" xfId="0" applyNumberFormat="1" applyFont="1" applyFill="1" applyAlignment="1">
      <alignment horizontal="center"/>
    </xf>
    <xf numFmtId="1" fontId="4" fillId="3" borderId="0" xfId="0" applyNumberFormat="1"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left" vertical="center"/>
    </xf>
    <xf numFmtId="0" fontId="4" fillId="3" borderId="0" xfId="0" applyFont="1" applyFill="1" applyAlignment="1">
      <alignment horizontal="center" vertical="center"/>
    </xf>
    <xf numFmtId="164" fontId="4" fillId="3" borderId="4" xfId="0" applyNumberFormat="1" applyFont="1" applyFill="1" applyBorder="1" applyAlignment="1">
      <alignment horizontal="left" vertical="center"/>
    </xf>
    <xf numFmtId="0" fontId="4" fillId="3" borderId="4" xfId="0" applyFont="1" applyFill="1" applyBorder="1" applyAlignment="1">
      <alignment horizontal="center" vertical="center"/>
    </xf>
    <xf numFmtId="1" fontId="4" fillId="3" borderId="4" xfId="0" applyNumberFormat="1" applyFont="1" applyFill="1" applyBorder="1" applyAlignment="1">
      <alignment horizontal="center" vertical="center"/>
    </xf>
    <xf numFmtId="1" fontId="4" fillId="3" borderId="4" xfId="0" applyNumberFormat="1" applyFont="1" applyFill="1" applyBorder="1" applyAlignment="1">
      <alignment horizontal="left" vertical="center"/>
    </xf>
    <xf numFmtId="1" fontId="4" fillId="3" borderId="5" xfId="0" applyNumberFormat="1" applyFont="1" applyFill="1" applyBorder="1" applyAlignment="1">
      <alignment horizontal="center" vertical="center"/>
    </xf>
    <xf numFmtId="0" fontId="4" fillId="3" borderId="4" xfId="0" applyFont="1" applyFill="1" applyBorder="1" applyAlignment="1">
      <alignment horizontal="left" vertical="center"/>
    </xf>
    <xf numFmtId="164" fontId="4" fillId="3" borderId="5" xfId="0" applyNumberFormat="1" applyFont="1" applyFill="1" applyBorder="1" applyAlignment="1">
      <alignment horizontal="center" vertical="center"/>
    </xf>
    <xf numFmtId="1" fontId="5" fillId="3" borderId="0" xfId="0" applyNumberFormat="1" applyFont="1" applyFill="1" applyBorder="1" applyAlignment="1">
      <alignment horizontal="center" vertical="center"/>
    </xf>
    <xf numFmtId="1" fontId="5" fillId="3" borderId="0" xfId="0" applyNumberFormat="1" applyFont="1" applyFill="1" applyBorder="1" applyAlignment="1">
      <alignment horizontal="center"/>
    </xf>
    <xf numFmtId="0" fontId="5" fillId="3" borderId="0" xfId="0" applyFont="1" applyFill="1" applyBorder="1" applyAlignment="1">
      <alignment vertical="center"/>
    </xf>
    <xf numFmtId="0" fontId="4" fillId="3" borderId="6" xfId="0" applyFont="1" applyFill="1" applyBorder="1" applyAlignment="1">
      <alignment horizontal="center" vertical="center"/>
    </xf>
    <xf numFmtId="164" fontId="4" fillId="3" borderId="0" xfId="0" applyNumberFormat="1" applyFont="1" applyFill="1" applyBorder="1" applyAlignment="1">
      <alignment horizontal="center" vertical="center"/>
    </xf>
    <xf numFmtId="0" fontId="4" fillId="3" borderId="0" xfId="0" applyFont="1" applyFill="1" applyBorder="1" applyAlignment="1">
      <alignment horizontal="center" vertical="center"/>
    </xf>
    <xf numFmtId="1" fontId="4" fillId="3" borderId="0" xfId="0" applyNumberFormat="1" applyFont="1" applyFill="1" applyBorder="1" applyAlignment="1">
      <alignment horizontal="center" vertical="center"/>
    </xf>
    <xf numFmtId="1" fontId="4" fillId="3" borderId="0" xfId="0" applyNumberFormat="1" applyFont="1" applyFill="1" applyBorder="1" applyAlignment="1">
      <alignment horizontal="left" vertical="center"/>
    </xf>
    <xf numFmtId="1" fontId="4" fillId="3" borderId="7" xfId="0" applyNumberFormat="1" applyFont="1" applyFill="1" applyBorder="1" applyAlignment="1">
      <alignment horizontal="center" vertical="center"/>
    </xf>
    <xf numFmtId="1" fontId="4" fillId="3" borderId="6" xfId="0" applyNumberFormat="1" applyFont="1" applyFill="1" applyBorder="1" applyAlignment="1">
      <alignment horizontal="center" vertical="center"/>
    </xf>
    <xf numFmtId="0" fontId="4" fillId="3" borderId="0" xfId="0" applyFont="1" applyFill="1" applyBorder="1" applyAlignment="1">
      <alignment horizontal="left" vertical="center"/>
    </xf>
    <xf numFmtId="164" fontId="4" fillId="3" borderId="7" xfId="0" applyNumberFormat="1" applyFont="1" applyFill="1" applyBorder="1" applyAlignment="1">
      <alignment horizontal="center" vertical="center"/>
    </xf>
    <xf numFmtId="0" fontId="4" fillId="3" borderId="0" xfId="0" applyFont="1" applyFill="1" applyBorder="1" applyAlignment="1">
      <alignment vertical="center"/>
    </xf>
    <xf numFmtId="1" fontId="4" fillId="3" borderId="0" xfId="0" applyNumberFormat="1" applyFont="1" applyFill="1" applyAlignment="1">
      <alignment vertical="center"/>
    </xf>
    <xf numFmtId="0" fontId="4" fillId="3" borderId="8" xfId="0" applyFont="1" applyFill="1" applyBorder="1" applyAlignment="1">
      <alignment horizontal="center" vertical="center"/>
    </xf>
    <xf numFmtId="164" fontId="4" fillId="3" borderId="9" xfId="0" applyNumberFormat="1" applyFont="1" applyFill="1" applyBorder="1" applyAlignment="1">
      <alignment horizontal="center" vertical="center"/>
    </xf>
    <xf numFmtId="0" fontId="4" fillId="3" borderId="9" xfId="0" applyFont="1" applyFill="1" applyBorder="1" applyAlignment="1">
      <alignment horizontal="center" vertical="center"/>
    </xf>
    <xf numFmtId="1" fontId="4" fillId="3" borderId="9" xfId="0" applyNumberFormat="1" applyFont="1" applyFill="1" applyBorder="1" applyAlignment="1">
      <alignment horizontal="center" vertical="center"/>
    </xf>
    <xf numFmtId="1" fontId="4" fillId="3" borderId="9" xfId="0" applyNumberFormat="1" applyFont="1" applyFill="1" applyBorder="1" applyAlignment="1">
      <alignment horizontal="left" vertical="center"/>
    </xf>
    <xf numFmtId="1" fontId="4" fillId="3" borderId="10" xfId="0" applyNumberFormat="1" applyFont="1" applyFill="1" applyBorder="1" applyAlignment="1">
      <alignment horizontal="center" vertical="center"/>
    </xf>
    <xf numFmtId="1" fontId="4" fillId="3" borderId="8" xfId="0" applyNumberFormat="1" applyFont="1" applyFill="1" applyBorder="1" applyAlignment="1">
      <alignment horizontal="center" vertical="center"/>
    </xf>
    <xf numFmtId="0" fontId="4" fillId="3" borderId="9" xfId="0" applyFont="1" applyFill="1" applyBorder="1" applyAlignment="1">
      <alignment horizontal="left" vertical="center"/>
    </xf>
    <xf numFmtId="164" fontId="4" fillId="3" borderId="10" xfId="0" applyNumberFormat="1" applyFont="1" applyFill="1" applyBorder="1" applyAlignment="1">
      <alignment horizontal="center" vertical="center"/>
    </xf>
    <xf numFmtId="164" fontId="4" fillId="3" borderId="0" xfId="0" applyNumberFormat="1" applyFont="1" applyFill="1" applyAlignment="1">
      <alignment horizontal="center" vertical="center"/>
    </xf>
    <xf numFmtId="0" fontId="4" fillId="3" borderId="11" xfId="0" applyFont="1" applyFill="1" applyBorder="1" applyAlignment="1">
      <alignment horizontal="left" vertical="center"/>
    </xf>
    <xf numFmtId="164" fontId="4" fillId="3" borderId="12" xfId="0" applyNumberFormat="1" applyFont="1" applyFill="1" applyBorder="1" applyAlignment="1">
      <alignment horizontal="left" vertical="center"/>
    </xf>
    <xf numFmtId="0" fontId="5" fillId="3" borderId="12" xfId="0" applyFont="1" applyFill="1" applyBorder="1" applyAlignment="1">
      <alignment horizontal="left" vertical="center"/>
    </xf>
    <xf numFmtId="164" fontId="4" fillId="3" borderId="12" xfId="0" applyNumberFormat="1" applyFont="1" applyFill="1" applyBorder="1" applyAlignment="1">
      <alignment vertical="center"/>
    </xf>
    <xf numFmtId="0" fontId="4" fillId="3" borderId="12" xfId="0" applyFont="1" applyFill="1" applyBorder="1" applyAlignment="1">
      <alignment horizontal="center" vertical="center"/>
    </xf>
    <xf numFmtId="164" fontId="4" fillId="3" borderId="13" xfId="0" applyNumberFormat="1" applyFont="1" applyFill="1" applyBorder="1" applyAlignment="1">
      <alignment horizontal="center" vertical="center"/>
    </xf>
    <xf numFmtId="164" fontId="5" fillId="3" borderId="12" xfId="0" applyNumberFormat="1" applyFont="1" applyFill="1" applyBorder="1" applyAlignment="1">
      <alignment horizontal="left" vertical="center"/>
    </xf>
    <xf numFmtId="1" fontId="5" fillId="3" borderId="1" xfId="0" applyNumberFormat="1" applyFont="1" applyFill="1" applyBorder="1" applyAlignment="1">
      <alignment horizontal="left" vertical="center"/>
    </xf>
    <xf numFmtId="164" fontId="5" fillId="3" borderId="1" xfId="0" applyNumberFormat="1" applyFont="1" applyFill="1" applyBorder="1" applyAlignment="1">
      <alignment horizontal="center"/>
    </xf>
    <xf numFmtId="0" fontId="4" fillId="3" borderId="14" xfId="0"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64" fontId="5" fillId="3" borderId="15" xfId="0" applyNumberFormat="1"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Alignment="1">
      <alignment vertical="center"/>
    </xf>
    <xf numFmtId="0" fontId="5" fillId="3" borderId="14" xfId="0" applyFont="1" applyFill="1" applyBorder="1" applyAlignment="1">
      <alignment horizontal="left" vertical="center"/>
    </xf>
    <xf numFmtId="164" fontId="4" fillId="3" borderId="1" xfId="0" applyNumberFormat="1" applyFont="1" applyFill="1" applyBorder="1" applyAlignment="1">
      <alignment vertical="center"/>
    </xf>
    <xf numFmtId="0" fontId="5" fillId="3" borderId="1" xfId="0" applyFont="1" applyFill="1" applyBorder="1" applyAlignment="1">
      <alignment horizontal="left" vertical="center"/>
    </xf>
    <xf numFmtId="164" fontId="5" fillId="3" borderId="1" xfId="0" applyNumberFormat="1" applyFont="1" applyFill="1" applyBorder="1" applyAlignment="1">
      <alignment horizontal="center" vertical="center"/>
    </xf>
    <xf numFmtId="164" fontId="5" fillId="3" borderId="15" xfId="0" applyNumberFormat="1" applyFont="1" applyFill="1" applyBorder="1" applyAlignment="1">
      <alignment vertical="center"/>
    </xf>
    <xf numFmtId="1" fontId="4" fillId="3" borderId="1" xfId="0" applyNumberFormat="1" applyFont="1" applyFill="1" applyBorder="1" applyAlignment="1">
      <alignment horizontal="center" vertical="center"/>
    </xf>
    <xf numFmtId="0" fontId="6" fillId="3" borderId="0" xfId="0" applyFont="1" applyFill="1" applyAlignment="1">
      <alignment horizontal="left" vertical="center"/>
    </xf>
    <xf numFmtId="0" fontId="7" fillId="3" borderId="0" xfId="0" applyFont="1" applyFill="1" applyAlignment="1">
      <alignment vertical="center"/>
    </xf>
    <xf numFmtId="0" fontId="8" fillId="3" borderId="14" xfId="0" applyFont="1" applyFill="1" applyBorder="1" applyAlignment="1">
      <alignment horizontal="center" vertical="center"/>
    </xf>
    <xf numFmtId="164" fontId="4" fillId="3" borderId="15" xfId="0" applyNumberFormat="1" applyFont="1" applyFill="1" applyBorder="1" applyAlignment="1">
      <alignment horizontal="center" vertical="center"/>
    </xf>
    <xf numFmtId="0" fontId="9" fillId="0" borderId="0" xfId="0" applyFont="1" applyBorder="1" applyProtection="1">
      <protection locked="0"/>
    </xf>
    <xf numFmtId="164" fontId="4" fillId="3" borderId="15" xfId="0" applyNumberFormat="1" applyFont="1" applyFill="1" applyBorder="1" applyAlignment="1">
      <alignment vertical="center"/>
    </xf>
    <xf numFmtId="0" fontId="9" fillId="0" borderId="0" xfId="0" applyFont="1" applyBorder="1"/>
    <xf numFmtId="0" fontId="10" fillId="3" borderId="0" xfId="0" quotePrefix="1" applyFont="1" applyFill="1" applyAlignment="1">
      <alignment horizontal="center" vertical="center"/>
    </xf>
    <xf numFmtId="0" fontId="11" fillId="3" borderId="0" xfId="0" applyFont="1" applyFill="1" applyAlignment="1">
      <alignment horizontal="center" vertical="center"/>
    </xf>
    <xf numFmtId="4" fontId="8" fillId="3" borderId="0" xfId="0" applyNumberFormat="1" applyFont="1" applyFill="1" applyBorder="1" applyAlignment="1">
      <alignment horizontal="center" vertical="center"/>
    </xf>
    <xf numFmtId="4" fontId="0" fillId="0" borderId="0" xfId="0" applyNumberFormat="1" applyBorder="1"/>
    <xf numFmtId="4" fontId="4" fillId="3" borderId="0" xfId="0" applyNumberFormat="1" applyFont="1" applyFill="1" applyAlignment="1">
      <alignment vertical="center"/>
    </xf>
    <xf numFmtId="4" fontId="8" fillId="3" borderId="0" xfId="0" applyNumberFormat="1" applyFont="1" applyFill="1" applyAlignment="1">
      <alignment vertical="center"/>
    </xf>
    <xf numFmtId="164" fontId="4" fillId="3" borderId="0" xfId="0" applyNumberFormat="1" applyFont="1" applyFill="1" applyAlignment="1">
      <alignment vertical="center"/>
    </xf>
    <xf numFmtId="0" fontId="12" fillId="3" borderId="0" xfId="0" applyFont="1" applyFill="1" applyAlignment="1">
      <alignment vertical="center"/>
    </xf>
    <xf numFmtId="0" fontId="3" fillId="3" borderId="0" xfId="0" applyFont="1" applyFill="1" applyBorder="1" applyAlignment="1" applyProtection="1">
      <alignment horizontal="left" vertical="center"/>
      <protection locked="0"/>
    </xf>
    <xf numFmtId="0" fontId="3" fillId="3" borderId="0" xfId="0" quotePrefix="1" applyFont="1" applyFill="1" applyAlignment="1">
      <alignment horizontal="center" vertical="center"/>
    </xf>
    <xf numFmtId="0" fontId="13" fillId="3" borderId="0" xfId="0" applyFont="1" applyFill="1" applyAlignment="1">
      <alignment horizontal="justify" vertical="center"/>
    </xf>
    <xf numFmtId="164" fontId="8" fillId="3" borderId="0" xfId="0" applyNumberFormat="1" applyFont="1" applyFill="1" applyAlignment="1">
      <alignment vertical="center"/>
    </xf>
    <xf numFmtId="4" fontId="4" fillId="3" borderId="0" xfId="0" applyNumberFormat="1" applyFont="1" applyFill="1"/>
    <xf numFmtId="1" fontId="11" fillId="3" borderId="0" xfId="0" applyNumberFormat="1" applyFont="1" applyFill="1" applyAlignment="1">
      <alignment horizontal="center" vertical="center"/>
    </xf>
    <xf numFmtId="0" fontId="10" fillId="3" borderId="0" xfId="0" applyFont="1" applyFill="1" applyAlignment="1">
      <alignment horizontal="center" vertical="center"/>
    </xf>
    <xf numFmtId="0" fontId="3" fillId="3" borderId="0" xfId="0" applyFont="1" applyFill="1" applyAlignment="1">
      <alignment vertical="center"/>
    </xf>
    <xf numFmtId="0" fontId="14" fillId="3" borderId="0" xfId="0" applyFont="1" applyFill="1" applyAlignment="1">
      <alignment horizontal="left" vertical="center"/>
    </xf>
    <xf numFmtId="0" fontId="10" fillId="3" borderId="0" xfId="0" applyFont="1" applyFill="1" applyAlignment="1">
      <alignment horizontal="center"/>
    </xf>
    <xf numFmtId="0" fontId="10" fillId="3" borderId="0" xfId="0" applyFont="1" applyFill="1" applyAlignment="1">
      <alignment horizontal="left" vertical="center"/>
    </xf>
    <xf numFmtId="0" fontId="2" fillId="3" borderId="2" xfId="1" applyFont="1" applyFill="1" applyBorder="1" applyAlignment="1" applyProtection="1">
      <alignment horizontal="right" vertical="center" wrapText="1"/>
    </xf>
    <xf numFmtId="0" fontId="0" fillId="0" borderId="0" xfId="0" applyAlignment="1">
      <alignment horizontal="left"/>
    </xf>
    <xf numFmtId="0" fontId="1" fillId="2" borderId="1" xfId="1" applyFont="1" applyFill="1" applyBorder="1" applyAlignment="1" applyProtection="1">
      <alignment horizontal="left" vertical="center"/>
    </xf>
    <xf numFmtId="0" fontId="5" fillId="0" borderId="3" xfId="0" applyFont="1" applyFill="1" applyBorder="1" applyAlignment="1">
      <alignment horizontal="left" vertical="center"/>
    </xf>
    <xf numFmtId="1" fontId="5" fillId="3" borderId="3" xfId="0" applyNumberFormat="1" applyFont="1" applyFill="1" applyBorder="1" applyAlignment="1">
      <alignment horizontal="left" vertical="center"/>
    </xf>
    <xf numFmtId="0" fontId="0" fillId="0" borderId="0" xfId="0" applyAlignment="1">
      <alignment horizontal="center" vertical="center"/>
    </xf>
    <xf numFmtId="0" fontId="16" fillId="4" borderId="0" xfId="0" applyFont="1" applyFill="1" applyAlignment="1">
      <alignment horizontal="center" vertical="center" wrapText="1"/>
    </xf>
    <xf numFmtId="0" fontId="16" fillId="4" borderId="0" xfId="0" applyFont="1" applyFill="1" applyAlignment="1">
      <alignment horizontal="center" wrapText="1"/>
    </xf>
    <xf numFmtId="0" fontId="0" fillId="0" borderId="0" xfId="0" applyAlignment="1">
      <alignment wrapText="1"/>
    </xf>
    <xf numFmtId="165" fontId="0" fillId="5" borderId="0" xfId="0" applyNumberFormat="1" applyFill="1" applyAlignment="1">
      <alignment wrapText="1"/>
    </xf>
    <xf numFmtId="0" fontId="0" fillId="5" borderId="0" xfId="0" applyFill="1" applyAlignment="1">
      <alignment wrapText="1"/>
    </xf>
    <xf numFmtId="14" fontId="1" fillId="2" borderId="1" xfId="1" applyNumberFormat="1" applyFont="1" applyFill="1" applyBorder="1" applyAlignment="1" applyProtection="1">
      <alignment horizontal="left" vertical="center"/>
    </xf>
    <xf numFmtId="14" fontId="2" fillId="3" borderId="2" xfId="1" applyNumberFormat="1" applyFont="1" applyFill="1" applyBorder="1" applyAlignment="1" applyProtection="1">
      <alignment horizontal="right" vertical="center" wrapText="1"/>
    </xf>
    <xf numFmtId="14" fontId="0" fillId="0" borderId="0" xfId="0" applyNumberFormat="1"/>
    <xf numFmtId="22" fontId="0" fillId="0" borderId="0" xfId="0" applyNumberFormat="1" applyAlignment="1">
      <alignment wrapText="1"/>
    </xf>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Obra Social San José de Calasanz Encuesta Año escolar 2010-2011</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'Obra Social'!$AG$12</c:f>
              <c:strCache>
                <c:ptCount val="1"/>
                <c:pt idx="0">
                  <c:v>1er año Varones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Social'!$AG$78:$AG$88</c:f>
              <c:numCache>
                <c:formatCode>#,##0.00</c:formatCode>
                <c:ptCount val="11"/>
                <c:pt idx="0">
                  <c:v>60.606060606060609</c:v>
                </c:pt>
                <c:pt idx="1">
                  <c:v>30.303030303030305</c:v>
                </c:pt>
                <c:pt idx="2">
                  <c:v>42.424242424242422</c:v>
                </c:pt>
                <c:pt idx="3">
                  <c:v>6.0606060606060606</c:v>
                </c:pt>
                <c:pt idx="4">
                  <c:v>3.0303030303030303</c:v>
                </c:pt>
                <c:pt idx="5">
                  <c:v>12.121212121212121</c:v>
                </c:pt>
                <c:pt idx="6">
                  <c:v>21.212121212121211</c:v>
                </c:pt>
                <c:pt idx="7">
                  <c:v>0</c:v>
                </c:pt>
                <c:pt idx="8">
                  <c:v>3.0303030303030303</c:v>
                </c:pt>
                <c:pt idx="9">
                  <c:v>6.0606060606060606</c:v>
                </c:pt>
                <c:pt idx="10">
                  <c:v>0</c:v>
                </c:pt>
              </c:numCache>
            </c:numRef>
          </c:val>
        </c:ser>
        <c:ser>
          <c:idx val="1"/>
          <c:order val="1"/>
          <c:tx>
            <c:strRef>
              <c:f>'Obra Social'!$AH$12</c:f>
              <c:strCache>
                <c:ptCount val="1"/>
                <c:pt idx="0">
                  <c:v>1er año Hembras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Social'!$AH$78:$AH$88</c:f>
              <c:numCache>
                <c:formatCode>#,##0.00</c:formatCode>
                <c:ptCount val="11"/>
                <c:pt idx="0">
                  <c:v>59.375</c:v>
                </c:pt>
                <c:pt idx="1">
                  <c:v>40.625</c:v>
                </c:pt>
                <c:pt idx="2">
                  <c:v>40.625</c:v>
                </c:pt>
                <c:pt idx="3">
                  <c:v>18.75</c:v>
                </c:pt>
                <c:pt idx="4">
                  <c:v>0</c:v>
                </c:pt>
                <c:pt idx="5">
                  <c:v>6.25</c:v>
                </c:pt>
                <c:pt idx="6">
                  <c:v>6.25</c:v>
                </c:pt>
                <c:pt idx="7">
                  <c:v>0</c:v>
                </c:pt>
                <c:pt idx="8">
                  <c:v>6.25</c:v>
                </c:pt>
                <c:pt idx="9">
                  <c:v>0</c:v>
                </c:pt>
                <c:pt idx="10">
                  <c:v>0</c:v>
                </c:pt>
              </c:numCache>
            </c:numRef>
          </c:val>
        </c:ser>
        <c:ser>
          <c:idx val="2"/>
          <c:order val="2"/>
          <c:tx>
            <c:strRef>
              <c:f>'Obra Social'!$AI$12</c:f>
              <c:strCache>
                <c:ptCount val="1"/>
                <c:pt idx="0">
                  <c:v>1er año</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Social'!$AI$78:$AI$88</c:f>
              <c:numCache>
                <c:formatCode>#,##0.00</c:formatCode>
                <c:ptCount val="11"/>
                <c:pt idx="0">
                  <c:v>60</c:v>
                </c:pt>
                <c:pt idx="1">
                  <c:v>35.384615384615387</c:v>
                </c:pt>
                <c:pt idx="2">
                  <c:v>41.53846153846154</c:v>
                </c:pt>
                <c:pt idx="3">
                  <c:v>12.307692307692308</c:v>
                </c:pt>
                <c:pt idx="4">
                  <c:v>1.5384615384615385</c:v>
                </c:pt>
                <c:pt idx="5">
                  <c:v>9.2307692307692317</c:v>
                </c:pt>
                <c:pt idx="6">
                  <c:v>13.846153846153847</c:v>
                </c:pt>
                <c:pt idx="7">
                  <c:v>0</c:v>
                </c:pt>
                <c:pt idx="8">
                  <c:v>4.6153846153846159</c:v>
                </c:pt>
                <c:pt idx="9">
                  <c:v>3.0769230769230771</c:v>
                </c:pt>
                <c:pt idx="10">
                  <c:v>0</c:v>
                </c:pt>
              </c:numCache>
            </c:numRef>
          </c:val>
        </c:ser>
        <c:ser>
          <c:idx val="3"/>
          <c:order val="3"/>
          <c:tx>
            <c:strRef>
              <c:f>'Obra Social'!$AJ$12</c:f>
              <c:strCache>
                <c:ptCount val="1"/>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Social'!$AJ$78:$AJ$88</c:f>
              <c:numCache>
                <c:formatCode>#,##0.00</c:formatCode>
                <c:ptCount val="11"/>
              </c:numCache>
            </c:numRef>
          </c:val>
        </c:ser>
        <c:ser>
          <c:idx val="4"/>
          <c:order val="4"/>
          <c:tx>
            <c:strRef>
              <c:f>'Obra Social'!$AK$12</c:f>
              <c:strCache>
                <c:ptCount val="1"/>
                <c:pt idx="0">
                  <c:v>3er año Varones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Social'!$AK$78:$AK$88</c:f>
              <c:numCache>
                <c:formatCode>0.0</c:formatCode>
                <c:ptCount val="11"/>
                <c:pt idx="0">
                  <c:v>50</c:v>
                </c:pt>
                <c:pt idx="1">
                  <c:v>14.285714285714285</c:v>
                </c:pt>
                <c:pt idx="2">
                  <c:v>25</c:v>
                </c:pt>
                <c:pt idx="3">
                  <c:v>7.1428571428571423</c:v>
                </c:pt>
                <c:pt idx="4">
                  <c:v>0</c:v>
                </c:pt>
                <c:pt idx="5">
                  <c:v>3.5714285714285712</c:v>
                </c:pt>
                <c:pt idx="6">
                  <c:v>3.5714285714285712</c:v>
                </c:pt>
                <c:pt idx="7">
                  <c:v>3.5714285714285712</c:v>
                </c:pt>
                <c:pt idx="8">
                  <c:v>7.1428571428571423</c:v>
                </c:pt>
                <c:pt idx="9">
                  <c:v>25</c:v>
                </c:pt>
                <c:pt idx="10">
                  <c:v>10.714285714285714</c:v>
                </c:pt>
              </c:numCache>
            </c:numRef>
          </c:val>
        </c:ser>
        <c:ser>
          <c:idx val="5"/>
          <c:order val="5"/>
          <c:tx>
            <c:strRef>
              <c:f>'Obra Social'!$AL$12</c:f>
              <c:strCache>
                <c:ptCount val="1"/>
                <c:pt idx="0">
                  <c:v>3er año Hembras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Social'!$AL$78:$AL$88</c:f>
              <c:numCache>
                <c:formatCode>0.0</c:formatCode>
                <c:ptCount val="11"/>
                <c:pt idx="0">
                  <c:v>65.217391304347828</c:v>
                </c:pt>
                <c:pt idx="1">
                  <c:v>39.130434782608695</c:v>
                </c:pt>
                <c:pt idx="2">
                  <c:v>34.782608695652172</c:v>
                </c:pt>
                <c:pt idx="3">
                  <c:v>17.391304347826086</c:v>
                </c:pt>
                <c:pt idx="4">
                  <c:v>0</c:v>
                </c:pt>
                <c:pt idx="5">
                  <c:v>8.695652173913043</c:v>
                </c:pt>
                <c:pt idx="6">
                  <c:v>4.3478260869565215</c:v>
                </c:pt>
                <c:pt idx="7">
                  <c:v>4.3478260869565215</c:v>
                </c:pt>
                <c:pt idx="8">
                  <c:v>17.391304347826086</c:v>
                </c:pt>
                <c:pt idx="9">
                  <c:v>4.3478260869565215</c:v>
                </c:pt>
                <c:pt idx="10">
                  <c:v>0</c:v>
                </c:pt>
              </c:numCache>
            </c:numRef>
          </c:val>
        </c:ser>
        <c:ser>
          <c:idx val="6"/>
          <c:order val="6"/>
          <c:tx>
            <c:strRef>
              <c:f>'Obra Social'!$AM$12</c:f>
              <c:strCache>
                <c:ptCount val="1"/>
                <c:pt idx="0">
                  <c:v>3er año</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Social'!$AM$78:$AM$88</c:f>
              <c:numCache>
                <c:formatCode>0.0</c:formatCode>
                <c:ptCount val="11"/>
                <c:pt idx="0">
                  <c:v>56.862745098039213</c:v>
                </c:pt>
                <c:pt idx="1">
                  <c:v>25.490196078431371</c:v>
                </c:pt>
                <c:pt idx="2">
                  <c:v>29.411764705882355</c:v>
                </c:pt>
                <c:pt idx="3">
                  <c:v>11.76470588235294</c:v>
                </c:pt>
                <c:pt idx="4">
                  <c:v>0</c:v>
                </c:pt>
                <c:pt idx="5">
                  <c:v>5.8823529411764701</c:v>
                </c:pt>
                <c:pt idx="6">
                  <c:v>3.9215686274509802</c:v>
                </c:pt>
                <c:pt idx="7">
                  <c:v>3.9215686274509802</c:v>
                </c:pt>
                <c:pt idx="8">
                  <c:v>11.76470588235294</c:v>
                </c:pt>
                <c:pt idx="9">
                  <c:v>15.686274509803921</c:v>
                </c:pt>
                <c:pt idx="10">
                  <c:v>5.8823529411764701</c:v>
                </c:pt>
              </c:numCache>
            </c:numRef>
          </c:val>
        </c:ser>
        <c:ser>
          <c:idx val="7"/>
          <c:order val="7"/>
          <c:tx>
            <c:strRef>
              <c:f>'Obra Social'!$AN$12</c:f>
              <c:strCache>
                <c:ptCount val="1"/>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Social'!$AN$78:$AN$88</c:f>
              <c:numCache>
                <c:formatCode>0.0</c:formatCode>
                <c:ptCount val="11"/>
              </c:numCache>
            </c:numRef>
          </c:val>
        </c:ser>
        <c:ser>
          <c:idx val="8"/>
          <c:order val="8"/>
          <c:tx>
            <c:strRef>
              <c:f>'Obra Social'!$AO$12</c:f>
              <c:strCache>
                <c:ptCount val="1"/>
                <c:pt idx="0">
                  <c:v>5to año Varones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Social'!$AO$78:$AO$88</c:f>
              <c:numCache>
                <c:formatCode>0.0</c:formatCode>
                <c:ptCount val="11"/>
                <c:pt idx="0">
                  <c:v>70.370370370370367</c:v>
                </c:pt>
                <c:pt idx="1">
                  <c:v>18.518518518518519</c:v>
                </c:pt>
                <c:pt idx="2">
                  <c:v>22.222222222222221</c:v>
                </c:pt>
                <c:pt idx="3">
                  <c:v>14.814814814814813</c:v>
                </c:pt>
                <c:pt idx="4">
                  <c:v>7.4074074074074066</c:v>
                </c:pt>
                <c:pt idx="5">
                  <c:v>7.4074074074074066</c:v>
                </c:pt>
                <c:pt idx="6">
                  <c:v>11.111111111111111</c:v>
                </c:pt>
                <c:pt idx="7">
                  <c:v>0</c:v>
                </c:pt>
                <c:pt idx="8">
                  <c:v>25.925925925925924</c:v>
                </c:pt>
                <c:pt idx="9">
                  <c:v>14.814814814814813</c:v>
                </c:pt>
                <c:pt idx="10">
                  <c:v>7.4074074074074066</c:v>
                </c:pt>
              </c:numCache>
            </c:numRef>
          </c:val>
        </c:ser>
        <c:ser>
          <c:idx val="9"/>
          <c:order val="9"/>
          <c:tx>
            <c:strRef>
              <c:f>'Obra Social'!$AP$12</c:f>
              <c:strCache>
                <c:ptCount val="1"/>
                <c:pt idx="0">
                  <c:v>5to año Hembras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Social'!$AP$78:$AP$88</c:f>
              <c:numCache>
                <c:formatCode>0.0</c:formatCode>
                <c:ptCount val="11"/>
                <c:pt idx="0">
                  <c:v>65.217391304347828</c:v>
                </c:pt>
                <c:pt idx="1">
                  <c:v>34.782608695652172</c:v>
                </c:pt>
                <c:pt idx="2">
                  <c:v>43.478260869565219</c:v>
                </c:pt>
                <c:pt idx="3">
                  <c:v>0</c:v>
                </c:pt>
                <c:pt idx="4">
                  <c:v>0</c:v>
                </c:pt>
                <c:pt idx="5">
                  <c:v>8.695652173913043</c:v>
                </c:pt>
                <c:pt idx="6">
                  <c:v>17.391304347826086</c:v>
                </c:pt>
                <c:pt idx="7">
                  <c:v>0</c:v>
                </c:pt>
                <c:pt idx="8">
                  <c:v>13.043478260869565</c:v>
                </c:pt>
                <c:pt idx="9">
                  <c:v>13.043478260869565</c:v>
                </c:pt>
                <c:pt idx="10">
                  <c:v>0</c:v>
                </c:pt>
              </c:numCache>
            </c:numRef>
          </c:val>
        </c:ser>
        <c:ser>
          <c:idx val="10"/>
          <c:order val="10"/>
          <c:tx>
            <c:strRef>
              <c:f>'Obra Social'!$AQ$12</c:f>
              <c:strCache>
                <c:ptCount val="1"/>
                <c:pt idx="0">
                  <c:v>5to año</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Social'!$AQ$78:$AQ$88</c:f>
              <c:numCache>
                <c:formatCode>0.0</c:formatCode>
                <c:ptCount val="11"/>
                <c:pt idx="0">
                  <c:v>68</c:v>
                </c:pt>
                <c:pt idx="1">
                  <c:v>26</c:v>
                </c:pt>
                <c:pt idx="2">
                  <c:v>32</c:v>
                </c:pt>
                <c:pt idx="3">
                  <c:v>8</c:v>
                </c:pt>
                <c:pt idx="4">
                  <c:v>4</c:v>
                </c:pt>
                <c:pt idx="5">
                  <c:v>8</c:v>
                </c:pt>
                <c:pt idx="6">
                  <c:v>14.000000000000002</c:v>
                </c:pt>
                <c:pt idx="7">
                  <c:v>0</c:v>
                </c:pt>
                <c:pt idx="8">
                  <c:v>20</c:v>
                </c:pt>
                <c:pt idx="9">
                  <c:v>14.000000000000002</c:v>
                </c:pt>
                <c:pt idx="10">
                  <c:v>4</c:v>
                </c:pt>
              </c:numCache>
            </c:numRef>
          </c:val>
        </c:ser>
        <c:ser>
          <c:idx val="11"/>
          <c:order val="11"/>
          <c:tx>
            <c:strRef>
              <c:f>'Obra Social'!$AR$12</c:f>
              <c:strCache>
                <c:ptCount val="1"/>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Social'!$AR$78:$AR$88</c:f>
              <c:numCache>
                <c:formatCode>General</c:formatCode>
                <c:ptCount val="11"/>
              </c:numCache>
            </c:numRef>
          </c:val>
        </c:ser>
        <c:ser>
          <c:idx val="12"/>
          <c:order val="12"/>
          <c:tx>
            <c:strRef>
              <c:f>'Obra Social'!$AS$12</c:f>
              <c:strCache>
                <c:ptCount val="1"/>
                <c:pt idx="0">
                  <c:v>Todos</c:v>
                </c:pt>
              </c:strCache>
            </c:strRef>
          </c:tx>
          <c:invertIfNegative val="0"/>
          <c:cat>
            <c:strRef>
              <c:f>'Obra Social'!$AF$78:$AF$88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'Obra Social'!$AS$78:$AS$88</c:f>
              <c:numCache>
                <c:formatCode>0.0</c:formatCode>
                <c:ptCount val="11"/>
                <c:pt idx="0">
                  <c:v>61.445783132530117</c:v>
                </c:pt>
                <c:pt idx="1">
                  <c:v>29.518072289156628</c:v>
                </c:pt>
                <c:pt idx="2">
                  <c:v>34.939759036144579</c:v>
                </c:pt>
                <c:pt idx="3">
                  <c:v>10.843373493975903</c:v>
                </c:pt>
                <c:pt idx="4">
                  <c:v>1.8072289156626506</c:v>
                </c:pt>
                <c:pt idx="5">
                  <c:v>7.831325301204819</c:v>
                </c:pt>
                <c:pt idx="6">
                  <c:v>10.843373493975903</c:v>
                </c:pt>
                <c:pt idx="7">
                  <c:v>1.2048192771084338</c:v>
                </c:pt>
                <c:pt idx="8">
                  <c:v>11.445783132530121</c:v>
                </c:pt>
                <c:pt idx="9">
                  <c:v>10.240963855421686</c:v>
                </c:pt>
                <c:pt idx="10">
                  <c:v>3.0120481927710845</c:v>
                </c:pt>
              </c:numCache>
            </c:numRef>
          </c:val>
        </c:ser>
        <c:dLbls>
          <c:showLegendKey val="0"/>
          <c:showVal val="0"/>
          <c:showCatName val="0"/>
          <c:showSerName val="0"/>
          <c:showPercent val="0"/>
          <c:showBubbleSize val="0"/>
        </c:dLbls>
        <c:gapWidth val="150"/>
        <c:axId val="146759680"/>
        <c:axId val="146761216"/>
      </c:barChart>
      <c:catAx>
        <c:axId val="146759680"/>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46761216"/>
        <c:crosses val="autoZero"/>
        <c:auto val="1"/>
        <c:lblAlgn val="ctr"/>
        <c:lblOffset val="100"/>
        <c:noMultiLvlLbl val="0"/>
      </c:catAx>
      <c:valAx>
        <c:axId val="146761216"/>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46759680"/>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Obra Social San José de Calasanz Encuesta Año escolar 2010-2011</a:t>
            </a:r>
          </a:p>
        </c:rich>
      </c:tx>
      <c:overlay val="0"/>
    </c:title>
    <c:autoTitleDeleted val="0"/>
    <c:plotArea>
      <c:layout>
        <c:manualLayout>
          <c:layoutTarget val="inner"/>
          <c:xMode val="edge"/>
          <c:yMode val="edge"/>
          <c:x val="0.23314343246298072"/>
          <c:y val="0.13059835177945414"/>
          <c:w val="0.60751599656798028"/>
          <c:h val="0.84376062257952023"/>
        </c:manualLayout>
      </c:layout>
      <c:barChart>
        <c:barDir val="bar"/>
        <c:grouping val="clustered"/>
        <c:varyColors val="0"/>
        <c:ser>
          <c:idx val="0"/>
          <c:order val="0"/>
          <c:tx>
            <c:strRef>
              <c:f>'Obra Social'!$AG$12</c:f>
              <c:strCache>
                <c:ptCount val="1"/>
                <c:pt idx="0">
                  <c:v>1er año Varones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Social'!$AG$344:$AG$349</c:f>
              <c:numCache>
                <c:formatCode>#,##0.00</c:formatCode>
                <c:ptCount val="6"/>
                <c:pt idx="1">
                  <c:v>66.666666666666657</c:v>
                </c:pt>
                <c:pt idx="2">
                  <c:v>21.212121212121211</c:v>
                </c:pt>
                <c:pt idx="3">
                  <c:v>6.0606060606060606</c:v>
                </c:pt>
                <c:pt idx="4">
                  <c:v>0</c:v>
                </c:pt>
                <c:pt idx="5">
                  <c:v>0</c:v>
                </c:pt>
              </c:numCache>
            </c:numRef>
          </c:val>
        </c:ser>
        <c:ser>
          <c:idx val="1"/>
          <c:order val="1"/>
          <c:tx>
            <c:strRef>
              <c:f>'Obra Social'!$AH$12</c:f>
              <c:strCache>
                <c:ptCount val="1"/>
                <c:pt idx="0">
                  <c:v>1er año Hembras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Social'!$AH$344:$AH$349</c:f>
              <c:numCache>
                <c:formatCode>#,##0.00</c:formatCode>
                <c:ptCount val="6"/>
                <c:pt idx="1">
                  <c:v>46.875</c:v>
                </c:pt>
                <c:pt idx="2">
                  <c:v>40.625</c:v>
                </c:pt>
                <c:pt idx="3">
                  <c:v>0</c:v>
                </c:pt>
                <c:pt idx="4">
                  <c:v>0</c:v>
                </c:pt>
                <c:pt idx="5">
                  <c:v>0</c:v>
                </c:pt>
              </c:numCache>
            </c:numRef>
          </c:val>
        </c:ser>
        <c:ser>
          <c:idx val="2"/>
          <c:order val="2"/>
          <c:tx>
            <c:strRef>
              <c:f>'Obra Social'!$AI$12</c:f>
              <c:strCache>
                <c:ptCount val="1"/>
                <c:pt idx="0">
                  <c:v>1er año</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Social'!$AI$344:$AI$349</c:f>
              <c:numCache>
                <c:formatCode>#,##0.00</c:formatCode>
                <c:ptCount val="6"/>
                <c:pt idx="1">
                  <c:v>56.92307692307692</c:v>
                </c:pt>
                <c:pt idx="2">
                  <c:v>30.76923076923077</c:v>
                </c:pt>
                <c:pt idx="3">
                  <c:v>3.0769230769230771</c:v>
                </c:pt>
                <c:pt idx="4">
                  <c:v>0</c:v>
                </c:pt>
                <c:pt idx="5">
                  <c:v>0</c:v>
                </c:pt>
              </c:numCache>
            </c:numRef>
          </c:val>
        </c:ser>
        <c:ser>
          <c:idx val="3"/>
          <c:order val="3"/>
          <c:tx>
            <c:strRef>
              <c:f>'Obra Social'!$AJ$12</c:f>
              <c:strCache>
                <c:ptCount val="1"/>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Social'!$AJ$344:$AJ$349</c:f>
              <c:numCache>
                <c:formatCode>#,##0.00</c:formatCode>
                <c:ptCount val="6"/>
              </c:numCache>
            </c:numRef>
          </c:val>
        </c:ser>
        <c:ser>
          <c:idx val="4"/>
          <c:order val="4"/>
          <c:tx>
            <c:strRef>
              <c:f>'Obra Social'!$AK$12</c:f>
              <c:strCache>
                <c:ptCount val="1"/>
                <c:pt idx="0">
                  <c:v>3er año Varones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Social'!$AK$344:$AK$349</c:f>
              <c:numCache>
                <c:formatCode>0.0</c:formatCode>
                <c:ptCount val="6"/>
                <c:pt idx="1">
                  <c:v>46.428571428571431</c:v>
                </c:pt>
                <c:pt idx="2">
                  <c:v>28.571428571428569</c:v>
                </c:pt>
                <c:pt idx="3">
                  <c:v>14.285714285714285</c:v>
                </c:pt>
                <c:pt idx="4">
                  <c:v>3.5714285714285712</c:v>
                </c:pt>
                <c:pt idx="5">
                  <c:v>0</c:v>
                </c:pt>
              </c:numCache>
            </c:numRef>
          </c:val>
        </c:ser>
        <c:ser>
          <c:idx val="5"/>
          <c:order val="5"/>
          <c:tx>
            <c:strRef>
              <c:f>'Obra Social'!$AL$12</c:f>
              <c:strCache>
                <c:ptCount val="1"/>
                <c:pt idx="0">
                  <c:v>3er año Hembras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Social'!$AL$344:$AL$349</c:f>
              <c:numCache>
                <c:formatCode>0.0</c:formatCode>
                <c:ptCount val="6"/>
                <c:pt idx="1">
                  <c:v>34.782608695652172</c:v>
                </c:pt>
                <c:pt idx="2">
                  <c:v>34.782608695652172</c:v>
                </c:pt>
                <c:pt idx="3">
                  <c:v>17.391304347826086</c:v>
                </c:pt>
                <c:pt idx="4">
                  <c:v>13.043478260869565</c:v>
                </c:pt>
                <c:pt idx="5">
                  <c:v>0</c:v>
                </c:pt>
              </c:numCache>
            </c:numRef>
          </c:val>
        </c:ser>
        <c:ser>
          <c:idx val="6"/>
          <c:order val="6"/>
          <c:tx>
            <c:strRef>
              <c:f>'Obra Social'!$AM$12</c:f>
              <c:strCache>
                <c:ptCount val="1"/>
                <c:pt idx="0">
                  <c:v>3er año</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Social'!$AM$344:$AM$349</c:f>
              <c:numCache>
                <c:formatCode>0.0</c:formatCode>
                <c:ptCount val="6"/>
                <c:pt idx="1">
                  <c:v>41.17647058823529</c:v>
                </c:pt>
                <c:pt idx="2">
                  <c:v>31.372549019607842</c:v>
                </c:pt>
                <c:pt idx="3">
                  <c:v>15.686274509803921</c:v>
                </c:pt>
                <c:pt idx="4">
                  <c:v>7.8431372549019605</c:v>
                </c:pt>
                <c:pt idx="5">
                  <c:v>0</c:v>
                </c:pt>
              </c:numCache>
            </c:numRef>
          </c:val>
        </c:ser>
        <c:ser>
          <c:idx val="7"/>
          <c:order val="7"/>
          <c:tx>
            <c:strRef>
              <c:f>'Obra Social'!$AN$12</c:f>
              <c:strCache>
                <c:ptCount val="1"/>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Social'!$AN$344:$AN$349</c:f>
              <c:numCache>
                <c:formatCode>0.0</c:formatCode>
                <c:ptCount val="6"/>
              </c:numCache>
            </c:numRef>
          </c:val>
        </c:ser>
        <c:ser>
          <c:idx val="8"/>
          <c:order val="8"/>
          <c:tx>
            <c:strRef>
              <c:f>'Obra Social'!$AO$12</c:f>
              <c:strCache>
                <c:ptCount val="1"/>
                <c:pt idx="0">
                  <c:v>5to año Varones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Social'!$AO$344:$AO$349</c:f>
              <c:numCache>
                <c:formatCode>0.0</c:formatCode>
                <c:ptCount val="6"/>
                <c:pt idx="1">
                  <c:v>22.222222222222221</c:v>
                </c:pt>
                <c:pt idx="2">
                  <c:v>29.629629629629626</c:v>
                </c:pt>
                <c:pt idx="3">
                  <c:v>33.333333333333329</c:v>
                </c:pt>
                <c:pt idx="4">
                  <c:v>11.111111111111111</c:v>
                </c:pt>
                <c:pt idx="5">
                  <c:v>3.7037037037037033</c:v>
                </c:pt>
              </c:numCache>
            </c:numRef>
          </c:val>
        </c:ser>
        <c:ser>
          <c:idx val="9"/>
          <c:order val="9"/>
          <c:tx>
            <c:strRef>
              <c:f>'Obra Social'!$AP$12</c:f>
              <c:strCache>
                <c:ptCount val="1"/>
                <c:pt idx="0">
                  <c:v>5to año Hembras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Social'!$AP$344:$AP$349</c:f>
              <c:numCache>
                <c:formatCode>0.0</c:formatCode>
                <c:ptCount val="6"/>
                <c:pt idx="1">
                  <c:v>21.739130434782609</c:v>
                </c:pt>
                <c:pt idx="2">
                  <c:v>43.478260869565219</c:v>
                </c:pt>
                <c:pt idx="3">
                  <c:v>26.086956521739129</c:v>
                </c:pt>
                <c:pt idx="4">
                  <c:v>0</c:v>
                </c:pt>
                <c:pt idx="5">
                  <c:v>4.3478260869565215</c:v>
                </c:pt>
              </c:numCache>
            </c:numRef>
          </c:val>
        </c:ser>
        <c:ser>
          <c:idx val="10"/>
          <c:order val="10"/>
          <c:tx>
            <c:strRef>
              <c:f>'Obra Social'!$AQ$12</c:f>
              <c:strCache>
                <c:ptCount val="1"/>
                <c:pt idx="0">
                  <c:v>5to año</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Social'!$AQ$344:$AQ$349</c:f>
              <c:numCache>
                <c:formatCode>0.0</c:formatCode>
                <c:ptCount val="6"/>
                <c:pt idx="1">
                  <c:v>22</c:v>
                </c:pt>
                <c:pt idx="2">
                  <c:v>36</c:v>
                </c:pt>
                <c:pt idx="3">
                  <c:v>30</c:v>
                </c:pt>
                <c:pt idx="4">
                  <c:v>6</c:v>
                </c:pt>
                <c:pt idx="5">
                  <c:v>4</c:v>
                </c:pt>
              </c:numCache>
            </c:numRef>
          </c:val>
        </c:ser>
        <c:ser>
          <c:idx val="11"/>
          <c:order val="11"/>
          <c:tx>
            <c:strRef>
              <c:f>'Obra Social'!$AR$12</c:f>
              <c:strCache>
                <c:ptCount val="1"/>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Social'!$AR$344:$AR$349</c:f>
              <c:numCache>
                <c:formatCode>General</c:formatCode>
                <c:ptCount val="6"/>
              </c:numCache>
            </c:numRef>
          </c:val>
        </c:ser>
        <c:ser>
          <c:idx val="12"/>
          <c:order val="12"/>
          <c:tx>
            <c:strRef>
              <c:f>'Obra Social'!$AS$12</c:f>
              <c:strCache>
                <c:ptCount val="1"/>
                <c:pt idx="0">
                  <c:v>Todos</c:v>
                </c:pt>
              </c:strCache>
            </c:strRef>
          </c:tx>
          <c:invertIfNegative val="0"/>
          <c:cat>
            <c:strRef>
              <c:f>'Obra Social'!$AF$344:$AF$349</c:f>
              <c:strCache>
                <c:ptCount val="6"/>
                <c:pt idx="0">
                  <c:v>38 Actividades deportivas</c:v>
                </c:pt>
                <c:pt idx="1">
                  <c:v>a) Muy buena</c:v>
                </c:pt>
                <c:pt idx="2">
                  <c:v>b) Buena</c:v>
                </c:pt>
                <c:pt idx="3">
                  <c:v>c) Regular</c:v>
                </c:pt>
                <c:pt idx="4">
                  <c:v>d) Mala</c:v>
                </c:pt>
                <c:pt idx="5">
                  <c:v>e) Muy mala</c:v>
                </c:pt>
              </c:strCache>
            </c:strRef>
          </c:cat>
          <c:val>
            <c:numRef>
              <c:f>'Obra Social'!$AS$344:$AS$349</c:f>
              <c:numCache>
                <c:formatCode>0.0</c:formatCode>
                <c:ptCount val="6"/>
                <c:pt idx="1">
                  <c:v>41.566265060240966</c:v>
                </c:pt>
                <c:pt idx="2">
                  <c:v>32.53012048192771</c:v>
                </c:pt>
                <c:pt idx="3">
                  <c:v>15.060240963855422</c:v>
                </c:pt>
                <c:pt idx="4">
                  <c:v>4.2168674698795181</c:v>
                </c:pt>
                <c:pt idx="5">
                  <c:v>1.2048192771084338</c:v>
                </c:pt>
              </c:numCache>
            </c:numRef>
          </c:val>
        </c:ser>
        <c:dLbls>
          <c:showLegendKey val="0"/>
          <c:showVal val="0"/>
          <c:showCatName val="0"/>
          <c:showSerName val="0"/>
          <c:showPercent val="0"/>
          <c:showBubbleSize val="0"/>
        </c:dLbls>
        <c:gapWidth val="150"/>
        <c:axId val="100405632"/>
        <c:axId val="100407168"/>
      </c:barChart>
      <c:catAx>
        <c:axId val="100405632"/>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00407168"/>
        <c:crosses val="autoZero"/>
        <c:auto val="1"/>
        <c:lblAlgn val="ctr"/>
        <c:lblOffset val="100"/>
        <c:tickMarkSkip val="1"/>
        <c:noMultiLvlLbl val="0"/>
      </c:catAx>
      <c:valAx>
        <c:axId val="100407168"/>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00405632"/>
        <c:crosses val="autoZero"/>
        <c:crossBetween val="between"/>
      </c:valAx>
    </c:plotArea>
    <c:legend>
      <c:legendPos val="r"/>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San José</a:t>
            </a:r>
            <a:r>
              <a:rPr lang="es-VE" baseline="0"/>
              <a:t> de </a:t>
            </a:r>
            <a:r>
              <a:rPr lang="es-VE"/>
              <a:t>Calasanz Encuesta Año escolar 2011-2012</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'Calasanz Caracas'!$AG$12</c:f>
              <c:strCache>
                <c:ptCount val="1"/>
                <c:pt idx="0">
                  <c:v>1er año Varones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Caracas'!$AG$15:$AG$19</c:f>
              <c:numCache>
                <c:formatCode>#,##0.00</c:formatCode>
                <c:ptCount val="5"/>
                <c:pt idx="0">
                  <c:v>31.818181818181817</c:v>
                </c:pt>
                <c:pt idx="1">
                  <c:v>59.090909090909093</c:v>
                </c:pt>
                <c:pt idx="2">
                  <c:v>9.0909090909090917</c:v>
                </c:pt>
                <c:pt idx="3">
                  <c:v>0</c:v>
                </c:pt>
                <c:pt idx="4">
                  <c:v>0</c:v>
                </c:pt>
              </c:numCache>
            </c:numRef>
          </c:val>
        </c:ser>
        <c:ser>
          <c:idx val="1"/>
          <c:order val="1"/>
          <c:tx>
            <c:strRef>
              <c:f>'Calasanz Caracas'!$AH$12</c:f>
              <c:strCache>
                <c:ptCount val="1"/>
                <c:pt idx="0">
                  <c:v>1er año Hembras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Caracas'!$AH$15:$AH$19</c:f>
              <c:numCache>
                <c:formatCode>#,##0.00</c:formatCode>
                <c:ptCount val="5"/>
                <c:pt idx="0">
                  <c:v>66.666666666666657</c:v>
                </c:pt>
                <c:pt idx="1">
                  <c:v>16.666666666666664</c:v>
                </c:pt>
                <c:pt idx="2">
                  <c:v>16.666666666666664</c:v>
                </c:pt>
                <c:pt idx="3">
                  <c:v>0</c:v>
                </c:pt>
                <c:pt idx="4">
                  <c:v>0</c:v>
                </c:pt>
              </c:numCache>
            </c:numRef>
          </c:val>
        </c:ser>
        <c:ser>
          <c:idx val="2"/>
          <c:order val="2"/>
          <c:tx>
            <c:strRef>
              <c:f>'Calasanz Caracas'!$AI$12</c:f>
              <c:strCache>
                <c:ptCount val="1"/>
                <c:pt idx="0">
                  <c:v>1er año</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Caracas'!$AI$15:$AI$19</c:f>
              <c:numCache>
                <c:formatCode>#,##0.00</c:formatCode>
                <c:ptCount val="5"/>
                <c:pt idx="0">
                  <c:v>47.5</c:v>
                </c:pt>
                <c:pt idx="1">
                  <c:v>40</c:v>
                </c:pt>
                <c:pt idx="2">
                  <c:v>12.5</c:v>
                </c:pt>
                <c:pt idx="3">
                  <c:v>0</c:v>
                </c:pt>
                <c:pt idx="4">
                  <c:v>0</c:v>
                </c:pt>
              </c:numCache>
            </c:numRef>
          </c:val>
        </c:ser>
        <c:ser>
          <c:idx val="3"/>
          <c:order val="3"/>
          <c:tx>
            <c:strRef>
              <c:f>'Calasanz Caracas'!$AJ$12</c:f>
              <c:strCache>
                <c:ptCount val="1"/>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Caracas'!$AJ$15:$AJ$19</c:f>
              <c:numCache>
                <c:formatCode>#,##0.00</c:formatCode>
                <c:ptCount val="5"/>
              </c:numCache>
            </c:numRef>
          </c:val>
        </c:ser>
        <c:ser>
          <c:idx val="4"/>
          <c:order val="4"/>
          <c:tx>
            <c:strRef>
              <c:f>'Calasanz Caracas'!$AK$12</c:f>
              <c:strCache>
                <c:ptCount val="1"/>
                <c:pt idx="0">
                  <c:v>3er año Varones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Caracas'!$AK$15:$AK$19</c:f>
              <c:numCache>
                <c:formatCode>#,##0.00</c:formatCode>
                <c:ptCount val="5"/>
                <c:pt idx="0">
                  <c:v>76.923076923076934</c:v>
                </c:pt>
                <c:pt idx="1">
                  <c:v>7.6923076923076925</c:v>
                </c:pt>
                <c:pt idx="2">
                  <c:v>15.384615384615385</c:v>
                </c:pt>
                <c:pt idx="3">
                  <c:v>0</c:v>
                </c:pt>
                <c:pt idx="4">
                  <c:v>0</c:v>
                </c:pt>
              </c:numCache>
            </c:numRef>
          </c:val>
        </c:ser>
        <c:ser>
          <c:idx val="5"/>
          <c:order val="5"/>
          <c:tx>
            <c:strRef>
              <c:f>'Calasanz Caracas'!$AL$12</c:f>
              <c:strCache>
                <c:ptCount val="1"/>
                <c:pt idx="0">
                  <c:v>3er año Hembras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Caracas'!$AL$15:$AL$19</c:f>
              <c:numCache>
                <c:formatCode>#,##0.00</c:formatCode>
                <c:ptCount val="5"/>
                <c:pt idx="0">
                  <c:v>84</c:v>
                </c:pt>
                <c:pt idx="1">
                  <c:v>12</c:v>
                </c:pt>
                <c:pt idx="2">
                  <c:v>4</c:v>
                </c:pt>
                <c:pt idx="3">
                  <c:v>0</c:v>
                </c:pt>
                <c:pt idx="4">
                  <c:v>0</c:v>
                </c:pt>
              </c:numCache>
            </c:numRef>
          </c:val>
        </c:ser>
        <c:ser>
          <c:idx val="6"/>
          <c:order val="6"/>
          <c:tx>
            <c:strRef>
              <c:f>'Calasanz Caracas'!$AM$12</c:f>
              <c:strCache>
                <c:ptCount val="1"/>
                <c:pt idx="0">
                  <c:v>3er año</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Caracas'!$AM$15:$AM$19</c:f>
              <c:numCache>
                <c:formatCode>#,##0.00</c:formatCode>
                <c:ptCount val="5"/>
                <c:pt idx="0">
                  <c:v>81.578947368421055</c:v>
                </c:pt>
                <c:pt idx="1">
                  <c:v>10.526315789473683</c:v>
                </c:pt>
                <c:pt idx="2">
                  <c:v>7.8947368421052628</c:v>
                </c:pt>
                <c:pt idx="3">
                  <c:v>0</c:v>
                </c:pt>
                <c:pt idx="4">
                  <c:v>0</c:v>
                </c:pt>
              </c:numCache>
            </c:numRef>
          </c:val>
        </c:ser>
        <c:ser>
          <c:idx val="7"/>
          <c:order val="7"/>
          <c:tx>
            <c:strRef>
              <c:f>'Calasanz Caracas'!$AN$12</c:f>
              <c:strCache>
                <c:ptCount val="1"/>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Caracas'!$AN$15:$AN$19</c:f>
              <c:numCache>
                <c:formatCode>#,##0.00</c:formatCode>
                <c:ptCount val="5"/>
              </c:numCache>
            </c:numRef>
          </c:val>
        </c:ser>
        <c:ser>
          <c:idx val="8"/>
          <c:order val="8"/>
          <c:tx>
            <c:strRef>
              <c:f>'Calasanz Caracas'!$AO$12</c:f>
              <c:strCache>
                <c:ptCount val="1"/>
                <c:pt idx="0">
                  <c:v>4to año Varones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Caracas'!$AO$15:$AO$19</c:f>
              <c:numCache>
                <c:formatCode>#,##0.00</c:formatCode>
                <c:ptCount val="5"/>
                <c:pt idx="0">
                  <c:v>0</c:v>
                </c:pt>
                <c:pt idx="1">
                  <c:v>0</c:v>
                </c:pt>
                <c:pt idx="2">
                  <c:v>0</c:v>
                </c:pt>
                <c:pt idx="3">
                  <c:v>0</c:v>
                </c:pt>
                <c:pt idx="4">
                  <c:v>0</c:v>
                </c:pt>
              </c:numCache>
            </c:numRef>
          </c:val>
        </c:ser>
        <c:ser>
          <c:idx val="9"/>
          <c:order val="9"/>
          <c:tx>
            <c:strRef>
              <c:f>'Calasanz Caracas'!$AP$12</c:f>
              <c:strCache>
                <c:ptCount val="1"/>
                <c:pt idx="0">
                  <c:v>4to año Hembras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Caracas'!$AP$15:$AP$19</c:f>
              <c:numCache>
                <c:formatCode>#,##0.00</c:formatCode>
                <c:ptCount val="5"/>
                <c:pt idx="0">
                  <c:v>0</c:v>
                </c:pt>
                <c:pt idx="1">
                  <c:v>0</c:v>
                </c:pt>
                <c:pt idx="2">
                  <c:v>0</c:v>
                </c:pt>
                <c:pt idx="3">
                  <c:v>0</c:v>
                </c:pt>
                <c:pt idx="4">
                  <c:v>0</c:v>
                </c:pt>
              </c:numCache>
            </c:numRef>
          </c:val>
        </c:ser>
        <c:ser>
          <c:idx val="10"/>
          <c:order val="10"/>
          <c:tx>
            <c:strRef>
              <c:f>'Calasanz Caracas'!$AQ$12</c:f>
              <c:strCache>
                <c:ptCount val="1"/>
                <c:pt idx="0">
                  <c:v>4to año</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Caracas'!$AQ$15:$AQ$19</c:f>
              <c:numCache>
                <c:formatCode>#,##0.00</c:formatCode>
                <c:ptCount val="5"/>
                <c:pt idx="0">
                  <c:v>0</c:v>
                </c:pt>
                <c:pt idx="1">
                  <c:v>0</c:v>
                </c:pt>
                <c:pt idx="2">
                  <c:v>0</c:v>
                </c:pt>
                <c:pt idx="3">
                  <c:v>0</c:v>
                </c:pt>
                <c:pt idx="4">
                  <c:v>0</c:v>
                </c:pt>
              </c:numCache>
            </c:numRef>
          </c:val>
        </c:ser>
        <c:ser>
          <c:idx val="11"/>
          <c:order val="11"/>
          <c:tx>
            <c:strRef>
              <c:f>'Calasanz Caracas'!$AR$12</c:f>
              <c:strCache>
                <c:ptCount val="1"/>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Caracas'!$AR$15:$AR$19</c:f>
              <c:numCache>
                <c:formatCode>0.0</c:formatCode>
                <c:ptCount val="5"/>
              </c:numCache>
            </c:numRef>
          </c:val>
        </c:ser>
        <c:ser>
          <c:idx val="12"/>
          <c:order val="12"/>
          <c:tx>
            <c:strRef>
              <c:f>'Calasanz Caracas'!$AS$12</c:f>
              <c:strCache>
                <c:ptCount val="1"/>
                <c:pt idx="0">
                  <c:v>Todos</c:v>
                </c:pt>
              </c:strCache>
            </c:strRef>
          </c:tx>
          <c:invertIfNegative val="0"/>
          <c:cat>
            <c:strRef>
              <c:f>'Calasanz Caracas'!$AF$15:$AF$19</c:f>
              <c:strCache>
                <c:ptCount val="5"/>
                <c:pt idx="0">
                  <c:v>a) Educación Inicial</c:v>
                </c:pt>
                <c:pt idx="1">
                  <c:v>b) Primaria</c:v>
                </c:pt>
                <c:pt idx="2">
                  <c:v>c) Entre Primero y Tercer año</c:v>
                </c:pt>
                <c:pt idx="3">
                  <c:v>d) En  Cuarto año o posterior</c:v>
                </c:pt>
                <c:pt idx="4">
                  <c:v>S/R Sin Respuesta</c:v>
                </c:pt>
              </c:strCache>
            </c:strRef>
          </c:cat>
          <c:val>
            <c:numRef>
              <c:f>'Calasanz Caracas'!$AS$15:$AS$19</c:f>
              <c:numCache>
                <c:formatCode>0.0</c:formatCode>
                <c:ptCount val="5"/>
                <c:pt idx="0">
                  <c:v>64.102564102564102</c:v>
                </c:pt>
                <c:pt idx="1">
                  <c:v>25.641025641025642</c:v>
                </c:pt>
                <c:pt idx="2">
                  <c:v>10.256410256410257</c:v>
                </c:pt>
                <c:pt idx="3">
                  <c:v>0</c:v>
                </c:pt>
                <c:pt idx="4">
                  <c:v>0</c:v>
                </c:pt>
              </c:numCache>
            </c:numRef>
          </c:val>
        </c:ser>
        <c:dLbls>
          <c:showLegendKey val="0"/>
          <c:showVal val="0"/>
          <c:showCatName val="0"/>
          <c:showSerName val="0"/>
          <c:showPercent val="0"/>
          <c:showBubbleSize val="0"/>
        </c:dLbls>
        <c:gapWidth val="150"/>
        <c:axId val="147853312"/>
        <c:axId val="147854848"/>
      </c:barChart>
      <c:catAx>
        <c:axId val="147853312"/>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47854848"/>
        <c:crosses val="autoZero"/>
        <c:auto val="1"/>
        <c:lblAlgn val="ctr"/>
        <c:lblOffset val="100"/>
        <c:noMultiLvlLbl val="0"/>
      </c:catAx>
      <c:valAx>
        <c:axId val="147854848"/>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47853312"/>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Calasanz Encuesta Año escolar 2012-2013</a:t>
            </a:r>
          </a:p>
        </c:rich>
      </c:tx>
      <c:overlay val="0"/>
    </c:title>
    <c:autoTitleDeleted val="0"/>
    <c:plotArea>
      <c:layout>
        <c:manualLayout>
          <c:layoutTarget val="inner"/>
          <c:xMode val="edge"/>
          <c:yMode val="edge"/>
          <c:x val="0.2283183419925344"/>
          <c:y val="9.5954463631693632E-2"/>
          <c:w val="0.59786581562708763"/>
          <c:h val="0.83647090274190483"/>
        </c:manualLayout>
      </c:layout>
      <c:barChart>
        <c:barDir val="bar"/>
        <c:grouping val="clustered"/>
        <c:varyColors val="0"/>
        <c:ser>
          <c:idx val="0"/>
          <c:order val="0"/>
          <c:tx>
            <c:strRef>
              <c:f>'Calasanz Valencia Q'!$AG$12</c:f>
              <c:strCache>
                <c:ptCount val="1"/>
                <c:pt idx="0">
                  <c:v>1er año Varones</c:v>
                </c:pt>
              </c:strCache>
            </c:strRef>
          </c:tx>
          <c:invertIfNegative val="0"/>
          <c:cat>
            <c:strRef>
              <c:f>'Calasanz Valencia Q'!$AF$54:$AF$56</c:f>
              <c:strCache>
                <c:ptCount val="3"/>
                <c:pt idx="0">
                  <c:v>a) Videojuegos consola</c:v>
                </c:pt>
                <c:pt idx="1">
                  <c:v>b) Lavadora</c:v>
                </c:pt>
                <c:pt idx="2">
                  <c:v>c) Microondas</c:v>
                </c:pt>
              </c:strCache>
            </c:strRef>
          </c:cat>
          <c:val>
            <c:numRef>
              <c:f>'Calasanz Valencia Q'!$AG$54:$AG$56</c:f>
              <c:numCache>
                <c:formatCode>#,##0.00</c:formatCode>
                <c:ptCount val="3"/>
                <c:pt idx="0">
                  <c:v>95.238095238095227</c:v>
                </c:pt>
                <c:pt idx="1">
                  <c:v>95.238095238095227</c:v>
                </c:pt>
                <c:pt idx="2">
                  <c:v>90.476190476190482</c:v>
                </c:pt>
              </c:numCache>
            </c:numRef>
          </c:val>
        </c:ser>
        <c:ser>
          <c:idx val="1"/>
          <c:order val="1"/>
          <c:tx>
            <c:strRef>
              <c:f>'Calasanz Valencia Q'!$AH$12</c:f>
              <c:strCache>
                <c:ptCount val="1"/>
                <c:pt idx="0">
                  <c:v>1er año Hembras</c:v>
                </c:pt>
              </c:strCache>
            </c:strRef>
          </c:tx>
          <c:invertIfNegative val="0"/>
          <c:cat>
            <c:strRef>
              <c:f>'Calasanz Valencia Q'!$AF$54:$AF$56</c:f>
              <c:strCache>
                <c:ptCount val="3"/>
                <c:pt idx="0">
                  <c:v>a) Videojuegos consola</c:v>
                </c:pt>
                <c:pt idx="1">
                  <c:v>b) Lavadora</c:v>
                </c:pt>
                <c:pt idx="2">
                  <c:v>c) Microondas</c:v>
                </c:pt>
              </c:strCache>
            </c:strRef>
          </c:cat>
          <c:val>
            <c:numRef>
              <c:f>'Calasanz Valencia Q'!$AH$54:$AH$56</c:f>
              <c:numCache>
                <c:formatCode>#,##0.00</c:formatCode>
                <c:ptCount val="3"/>
                <c:pt idx="0">
                  <c:v>88.235294117647058</c:v>
                </c:pt>
                <c:pt idx="1">
                  <c:v>94.117647058823522</c:v>
                </c:pt>
                <c:pt idx="2">
                  <c:v>94.117647058823522</c:v>
                </c:pt>
              </c:numCache>
            </c:numRef>
          </c:val>
        </c:ser>
        <c:ser>
          <c:idx val="2"/>
          <c:order val="2"/>
          <c:tx>
            <c:strRef>
              <c:f>'Calasanz Valencia Q'!$AI$12</c:f>
              <c:strCache>
                <c:ptCount val="1"/>
                <c:pt idx="0">
                  <c:v>1er año</c:v>
                </c:pt>
              </c:strCache>
            </c:strRef>
          </c:tx>
          <c:invertIfNegative val="0"/>
          <c:cat>
            <c:strRef>
              <c:f>'Calasanz Valencia Q'!$AF$54:$AF$56</c:f>
              <c:strCache>
                <c:ptCount val="3"/>
                <c:pt idx="0">
                  <c:v>a) Videojuegos consola</c:v>
                </c:pt>
                <c:pt idx="1">
                  <c:v>b) Lavadora</c:v>
                </c:pt>
                <c:pt idx="2">
                  <c:v>c) Microondas</c:v>
                </c:pt>
              </c:strCache>
            </c:strRef>
          </c:cat>
          <c:val>
            <c:numRef>
              <c:f>'Calasanz Valencia Q'!$AI$54:$AI$56</c:f>
              <c:numCache>
                <c:formatCode>#,##0.00</c:formatCode>
                <c:ptCount val="3"/>
                <c:pt idx="0">
                  <c:v>92.10526315789474</c:v>
                </c:pt>
                <c:pt idx="1">
                  <c:v>94.73684210526315</c:v>
                </c:pt>
                <c:pt idx="2">
                  <c:v>92.10526315789474</c:v>
                </c:pt>
              </c:numCache>
            </c:numRef>
          </c:val>
        </c:ser>
        <c:ser>
          <c:idx val="3"/>
          <c:order val="3"/>
          <c:tx>
            <c:strRef>
              <c:f>'Calasanz Valencia Q'!$AJ$12</c:f>
              <c:strCache>
                <c:ptCount val="1"/>
              </c:strCache>
            </c:strRef>
          </c:tx>
          <c:invertIfNegative val="0"/>
          <c:cat>
            <c:strRef>
              <c:f>'Calasanz Valencia Q'!$AF$54:$AF$56</c:f>
              <c:strCache>
                <c:ptCount val="3"/>
                <c:pt idx="0">
                  <c:v>a) Videojuegos consola</c:v>
                </c:pt>
                <c:pt idx="1">
                  <c:v>b) Lavadora</c:v>
                </c:pt>
                <c:pt idx="2">
                  <c:v>c) Microondas</c:v>
                </c:pt>
              </c:strCache>
            </c:strRef>
          </c:cat>
          <c:val>
            <c:numRef>
              <c:f>'Calasanz Valencia Q'!$AJ$54:$AJ$56</c:f>
              <c:numCache>
                <c:formatCode>#,##0.00</c:formatCode>
                <c:ptCount val="3"/>
              </c:numCache>
            </c:numRef>
          </c:val>
        </c:ser>
        <c:ser>
          <c:idx val="4"/>
          <c:order val="4"/>
          <c:tx>
            <c:strRef>
              <c:f>'Calasanz Valencia Q'!$AK$12</c:f>
              <c:strCache>
                <c:ptCount val="1"/>
                <c:pt idx="0">
                  <c:v>3er año Varones</c:v>
                </c:pt>
              </c:strCache>
            </c:strRef>
          </c:tx>
          <c:invertIfNegative val="0"/>
          <c:cat>
            <c:strRef>
              <c:f>'Calasanz Valencia Q'!$AF$54:$AF$56</c:f>
              <c:strCache>
                <c:ptCount val="3"/>
                <c:pt idx="0">
                  <c:v>a) Videojuegos consola</c:v>
                </c:pt>
                <c:pt idx="1">
                  <c:v>b) Lavadora</c:v>
                </c:pt>
                <c:pt idx="2">
                  <c:v>c) Microondas</c:v>
                </c:pt>
              </c:strCache>
            </c:strRef>
          </c:cat>
          <c:val>
            <c:numRef>
              <c:f>'Calasanz Valencia Q'!$AK$54:$AK$56</c:f>
              <c:numCache>
                <c:formatCode>0.0</c:formatCode>
                <c:ptCount val="3"/>
                <c:pt idx="0">
                  <c:v>94.117647058823522</c:v>
                </c:pt>
                <c:pt idx="1">
                  <c:v>100</c:v>
                </c:pt>
                <c:pt idx="2">
                  <c:v>88.235294117647058</c:v>
                </c:pt>
              </c:numCache>
            </c:numRef>
          </c:val>
        </c:ser>
        <c:ser>
          <c:idx val="5"/>
          <c:order val="5"/>
          <c:tx>
            <c:strRef>
              <c:f>'Calasanz Valencia Q'!$AL$12</c:f>
              <c:strCache>
                <c:ptCount val="1"/>
                <c:pt idx="0">
                  <c:v>3er año Hembras</c:v>
                </c:pt>
              </c:strCache>
            </c:strRef>
          </c:tx>
          <c:invertIfNegative val="0"/>
          <c:cat>
            <c:strRef>
              <c:f>'Calasanz Valencia Q'!$AF$54:$AF$56</c:f>
              <c:strCache>
                <c:ptCount val="3"/>
                <c:pt idx="0">
                  <c:v>a) Videojuegos consola</c:v>
                </c:pt>
                <c:pt idx="1">
                  <c:v>b) Lavadora</c:v>
                </c:pt>
                <c:pt idx="2">
                  <c:v>c) Microondas</c:v>
                </c:pt>
              </c:strCache>
            </c:strRef>
          </c:cat>
          <c:val>
            <c:numRef>
              <c:f>'Calasanz Valencia Q'!$AL$54:$AL$56</c:f>
              <c:numCache>
                <c:formatCode>0.0</c:formatCode>
                <c:ptCount val="3"/>
                <c:pt idx="0">
                  <c:v>66.666666666666657</c:v>
                </c:pt>
                <c:pt idx="1">
                  <c:v>86.666666666666671</c:v>
                </c:pt>
                <c:pt idx="2">
                  <c:v>80</c:v>
                </c:pt>
              </c:numCache>
            </c:numRef>
          </c:val>
        </c:ser>
        <c:ser>
          <c:idx val="6"/>
          <c:order val="6"/>
          <c:tx>
            <c:strRef>
              <c:f>'Calasanz Valencia Q'!$AM$12</c:f>
              <c:strCache>
                <c:ptCount val="1"/>
                <c:pt idx="0">
                  <c:v>3er año</c:v>
                </c:pt>
              </c:strCache>
            </c:strRef>
          </c:tx>
          <c:invertIfNegative val="0"/>
          <c:cat>
            <c:strRef>
              <c:f>'Calasanz Valencia Q'!$AF$54:$AF$56</c:f>
              <c:strCache>
                <c:ptCount val="3"/>
                <c:pt idx="0">
                  <c:v>a) Videojuegos consola</c:v>
                </c:pt>
                <c:pt idx="1">
                  <c:v>b) Lavadora</c:v>
                </c:pt>
                <c:pt idx="2">
                  <c:v>c) Microondas</c:v>
                </c:pt>
              </c:strCache>
            </c:strRef>
          </c:cat>
          <c:val>
            <c:numRef>
              <c:f>'Calasanz Valencia Q'!$AM$54:$AM$56</c:f>
              <c:numCache>
                <c:formatCode>0.0</c:formatCode>
                <c:ptCount val="3"/>
                <c:pt idx="0">
                  <c:v>81.25</c:v>
                </c:pt>
                <c:pt idx="1">
                  <c:v>93.75</c:v>
                </c:pt>
                <c:pt idx="2">
                  <c:v>84.375</c:v>
                </c:pt>
              </c:numCache>
            </c:numRef>
          </c:val>
        </c:ser>
        <c:ser>
          <c:idx val="7"/>
          <c:order val="7"/>
          <c:tx>
            <c:strRef>
              <c:f>'Calasanz Valencia Q'!$AN$12</c:f>
              <c:strCache>
                <c:ptCount val="1"/>
              </c:strCache>
            </c:strRef>
          </c:tx>
          <c:invertIfNegative val="0"/>
          <c:cat>
            <c:strRef>
              <c:f>'Calasanz Valencia Q'!$AF$54:$AF$56</c:f>
              <c:strCache>
                <c:ptCount val="3"/>
                <c:pt idx="0">
                  <c:v>a) Videojuegos consola</c:v>
                </c:pt>
                <c:pt idx="1">
                  <c:v>b) Lavadora</c:v>
                </c:pt>
                <c:pt idx="2">
                  <c:v>c) Microondas</c:v>
                </c:pt>
              </c:strCache>
            </c:strRef>
          </c:cat>
          <c:val>
            <c:numRef>
              <c:f>'Calasanz Valencia Q'!$AN$54:$AN$56</c:f>
              <c:numCache>
                <c:formatCode>0.0</c:formatCode>
                <c:ptCount val="3"/>
              </c:numCache>
            </c:numRef>
          </c:val>
        </c:ser>
        <c:ser>
          <c:idx val="8"/>
          <c:order val="8"/>
          <c:tx>
            <c:strRef>
              <c:f>'Calasanz Valencia Q'!$AO$12</c:f>
              <c:strCache>
                <c:ptCount val="1"/>
                <c:pt idx="0">
                  <c:v>5to año Varones</c:v>
                </c:pt>
              </c:strCache>
            </c:strRef>
          </c:tx>
          <c:invertIfNegative val="0"/>
          <c:cat>
            <c:strRef>
              <c:f>'Calasanz Valencia Q'!$AF$54:$AF$56</c:f>
              <c:strCache>
                <c:ptCount val="3"/>
                <c:pt idx="0">
                  <c:v>a) Videojuegos consola</c:v>
                </c:pt>
                <c:pt idx="1">
                  <c:v>b) Lavadora</c:v>
                </c:pt>
                <c:pt idx="2">
                  <c:v>c) Microondas</c:v>
                </c:pt>
              </c:strCache>
            </c:strRef>
          </c:cat>
          <c:val>
            <c:numRef>
              <c:f>'Calasanz Valencia Q'!$AO$54:$AO$56</c:f>
              <c:numCache>
                <c:formatCode>0.0</c:formatCode>
                <c:ptCount val="3"/>
                <c:pt idx="0">
                  <c:v>0</c:v>
                </c:pt>
                <c:pt idx="1">
                  <c:v>0</c:v>
                </c:pt>
                <c:pt idx="2">
                  <c:v>0</c:v>
                </c:pt>
              </c:numCache>
            </c:numRef>
          </c:val>
        </c:ser>
        <c:ser>
          <c:idx val="9"/>
          <c:order val="9"/>
          <c:tx>
            <c:strRef>
              <c:f>'Calasanz Valencia Q'!$AP$12</c:f>
              <c:strCache>
                <c:ptCount val="1"/>
                <c:pt idx="0">
                  <c:v>5to año Hembras</c:v>
                </c:pt>
              </c:strCache>
            </c:strRef>
          </c:tx>
          <c:invertIfNegative val="0"/>
          <c:cat>
            <c:strRef>
              <c:f>'Calasanz Valencia Q'!$AF$54:$AF$56</c:f>
              <c:strCache>
                <c:ptCount val="3"/>
                <c:pt idx="0">
                  <c:v>a) Videojuegos consola</c:v>
                </c:pt>
                <c:pt idx="1">
                  <c:v>b) Lavadora</c:v>
                </c:pt>
                <c:pt idx="2">
                  <c:v>c) Microondas</c:v>
                </c:pt>
              </c:strCache>
            </c:strRef>
          </c:cat>
          <c:val>
            <c:numRef>
              <c:f>'Calasanz Valencia Q'!$AP$54:$AP$56</c:f>
              <c:numCache>
                <c:formatCode>0.0</c:formatCode>
                <c:ptCount val="3"/>
                <c:pt idx="0">
                  <c:v>0</c:v>
                </c:pt>
                <c:pt idx="1">
                  <c:v>0</c:v>
                </c:pt>
                <c:pt idx="2">
                  <c:v>0</c:v>
                </c:pt>
              </c:numCache>
            </c:numRef>
          </c:val>
        </c:ser>
        <c:ser>
          <c:idx val="10"/>
          <c:order val="10"/>
          <c:tx>
            <c:strRef>
              <c:f>'Calasanz Valencia Q'!$AQ$12</c:f>
              <c:strCache>
                <c:ptCount val="1"/>
                <c:pt idx="0">
                  <c:v>5to año</c:v>
                </c:pt>
              </c:strCache>
            </c:strRef>
          </c:tx>
          <c:invertIfNegative val="0"/>
          <c:cat>
            <c:strRef>
              <c:f>'Calasanz Valencia Q'!$AF$54:$AF$56</c:f>
              <c:strCache>
                <c:ptCount val="3"/>
                <c:pt idx="0">
                  <c:v>a) Videojuegos consola</c:v>
                </c:pt>
                <c:pt idx="1">
                  <c:v>b) Lavadora</c:v>
                </c:pt>
                <c:pt idx="2">
                  <c:v>c) Microondas</c:v>
                </c:pt>
              </c:strCache>
            </c:strRef>
          </c:cat>
          <c:val>
            <c:numRef>
              <c:f>'Calasanz Valencia Q'!$AQ$54:$AQ$56</c:f>
              <c:numCache>
                <c:formatCode>0.0</c:formatCode>
                <c:ptCount val="3"/>
                <c:pt idx="0">
                  <c:v>0</c:v>
                </c:pt>
                <c:pt idx="1">
                  <c:v>0</c:v>
                </c:pt>
                <c:pt idx="2">
                  <c:v>0</c:v>
                </c:pt>
              </c:numCache>
            </c:numRef>
          </c:val>
        </c:ser>
        <c:ser>
          <c:idx val="11"/>
          <c:order val="11"/>
          <c:tx>
            <c:strRef>
              <c:f>'Calasanz Valencia Q'!$AR$12</c:f>
              <c:strCache>
                <c:ptCount val="1"/>
              </c:strCache>
            </c:strRef>
          </c:tx>
          <c:invertIfNegative val="0"/>
          <c:cat>
            <c:strRef>
              <c:f>'Calasanz Valencia Q'!$AF$54:$AF$56</c:f>
              <c:strCache>
                <c:ptCount val="3"/>
                <c:pt idx="0">
                  <c:v>a) Videojuegos consola</c:v>
                </c:pt>
                <c:pt idx="1">
                  <c:v>b) Lavadora</c:v>
                </c:pt>
                <c:pt idx="2">
                  <c:v>c) Microondas</c:v>
                </c:pt>
              </c:strCache>
            </c:strRef>
          </c:cat>
          <c:val>
            <c:numRef>
              <c:f>'Calasanz Valencia Q'!$AR$54:$AR$56</c:f>
              <c:numCache>
                <c:formatCode>General</c:formatCode>
                <c:ptCount val="3"/>
              </c:numCache>
            </c:numRef>
          </c:val>
        </c:ser>
        <c:ser>
          <c:idx val="12"/>
          <c:order val="12"/>
          <c:tx>
            <c:strRef>
              <c:f>'Calasanz Valencia Q'!$AS$12</c:f>
              <c:strCache>
                <c:ptCount val="1"/>
                <c:pt idx="0">
                  <c:v>Todos</c:v>
                </c:pt>
              </c:strCache>
            </c:strRef>
          </c:tx>
          <c:invertIfNegative val="0"/>
          <c:cat>
            <c:strRef>
              <c:f>'Calasanz Valencia Q'!$AF$54:$AF$56</c:f>
              <c:strCache>
                <c:ptCount val="3"/>
                <c:pt idx="0">
                  <c:v>a) Videojuegos consola</c:v>
                </c:pt>
                <c:pt idx="1">
                  <c:v>b) Lavadora</c:v>
                </c:pt>
                <c:pt idx="2">
                  <c:v>c) Microondas</c:v>
                </c:pt>
              </c:strCache>
            </c:strRef>
          </c:cat>
          <c:val>
            <c:numRef>
              <c:f>'Calasanz Valencia Q'!$AS$54:$AS$56</c:f>
              <c:numCache>
                <c:formatCode>0.0</c:formatCode>
                <c:ptCount val="3"/>
                <c:pt idx="0">
                  <c:v>87.142857142857139</c:v>
                </c:pt>
                <c:pt idx="1">
                  <c:v>94.285714285714292</c:v>
                </c:pt>
                <c:pt idx="2">
                  <c:v>88.571428571428569</c:v>
                </c:pt>
              </c:numCache>
            </c:numRef>
          </c:val>
        </c:ser>
        <c:dLbls>
          <c:showLegendKey val="0"/>
          <c:showVal val="0"/>
          <c:showCatName val="0"/>
          <c:showSerName val="0"/>
          <c:showPercent val="0"/>
          <c:showBubbleSize val="0"/>
        </c:dLbls>
        <c:gapWidth val="150"/>
        <c:axId val="146911616"/>
        <c:axId val="146913152"/>
      </c:barChart>
      <c:catAx>
        <c:axId val="146911616"/>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46913152"/>
        <c:crosses val="autoZero"/>
        <c:auto val="1"/>
        <c:lblAlgn val="ctr"/>
        <c:lblOffset val="100"/>
        <c:noMultiLvlLbl val="0"/>
      </c:catAx>
      <c:valAx>
        <c:axId val="146913152"/>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46911616"/>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Calasanz Encuesta Año escolar 2013-2014</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'Calasanz Valencia C'!$AG$12</c:f>
              <c:strCache>
                <c:ptCount val="1"/>
                <c:pt idx="0">
                  <c:v>1er año Varones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C'!$AG$78:$AG$88</c:f>
              <c:numCache>
                <c:formatCode>#,##0.00</c:formatCode>
                <c:ptCount val="11"/>
                <c:pt idx="0">
                  <c:v>80.952380952380949</c:v>
                </c:pt>
                <c:pt idx="1">
                  <c:v>33.333333333333329</c:v>
                </c:pt>
                <c:pt idx="2">
                  <c:v>19.047619047619047</c:v>
                </c:pt>
                <c:pt idx="3">
                  <c:v>4.7619047619047619</c:v>
                </c:pt>
                <c:pt idx="4">
                  <c:v>4.7619047619047619</c:v>
                </c:pt>
                <c:pt idx="5">
                  <c:v>14.285714285714285</c:v>
                </c:pt>
                <c:pt idx="6">
                  <c:v>9.5238095238095237</c:v>
                </c:pt>
                <c:pt idx="7">
                  <c:v>4.7619047619047619</c:v>
                </c:pt>
                <c:pt idx="8">
                  <c:v>9.5238095238095237</c:v>
                </c:pt>
                <c:pt idx="9">
                  <c:v>71.428571428571431</c:v>
                </c:pt>
                <c:pt idx="10">
                  <c:v>9.5238095238095237</c:v>
                </c:pt>
              </c:numCache>
            </c:numRef>
          </c:val>
        </c:ser>
        <c:ser>
          <c:idx val="1"/>
          <c:order val="1"/>
          <c:tx>
            <c:strRef>
              <c:f>'Calasanz Valencia C'!$AH$12</c:f>
              <c:strCache>
                <c:ptCount val="1"/>
                <c:pt idx="0">
                  <c:v>1er año Hembras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C'!$AH$78:$AH$88</c:f>
              <c:numCache>
                <c:formatCode>#,##0.00</c:formatCode>
                <c:ptCount val="11"/>
                <c:pt idx="0">
                  <c:v>52.941176470588239</c:v>
                </c:pt>
                <c:pt idx="1">
                  <c:v>41.17647058823529</c:v>
                </c:pt>
                <c:pt idx="2">
                  <c:v>5.8823529411764701</c:v>
                </c:pt>
                <c:pt idx="3">
                  <c:v>17.647058823529413</c:v>
                </c:pt>
                <c:pt idx="4">
                  <c:v>11.76470588235294</c:v>
                </c:pt>
                <c:pt idx="5">
                  <c:v>11.76470588235294</c:v>
                </c:pt>
                <c:pt idx="6">
                  <c:v>17.647058823529413</c:v>
                </c:pt>
                <c:pt idx="7">
                  <c:v>0</c:v>
                </c:pt>
                <c:pt idx="8">
                  <c:v>17.647058823529413</c:v>
                </c:pt>
                <c:pt idx="9">
                  <c:v>17.647058823529413</c:v>
                </c:pt>
                <c:pt idx="10">
                  <c:v>0</c:v>
                </c:pt>
              </c:numCache>
            </c:numRef>
          </c:val>
        </c:ser>
        <c:ser>
          <c:idx val="2"/>
          <c:order val="2"/>
          <c:tx>
            <c:strRef>
              <c:f>'Calasanz Valencia C'!$AI$12</c:f>
              <c:strCache>
                <c:ptCount val="1"/>
                <c:pt idx="0">
                  <c:v>1er año</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C'!$AI$78:$AI$88</c:f>
              <c:numCache>
                <c:formatCode>#,##0.00</c:formatCode>
                <c:ptCount val="11"/>
                <c:pt idx="0">
                  <c:v>68.421052631578945</c:v>
                </c:pt>
                <c:pt idx="1">
                  <c:v>36.84210526315789</c:v>
                </c:pt>
                <c:pt idx="2">
                  <c:v>13.157894736842104</c:v>
                </c:pt>
                <c:pt idx="3">
                  <c:v>10.526315789473683</c:v>
                </c:pt>
                <c:pt idx="4">
                  <c:v>7.8947368421052628</c:v>
                </c:pt>
                <c:pt idx="5">
                  <c:v>13.157894736842104</c:v>
                </c:pt>
                <c:pt idx="6">
                  <c:v>13.157894736842104</c:v>
                </c:pt>
                <c:pt idx="7">
                  <c:v>2.6315789473684208</c:v>
                </c:pt>
                <c:pt idx="8">
                  <c:v>13.157894736842104</c:v>
                </c:pt>
                <c:pt idx="9">
                  <c:v>47.368421052631575</c:v>
                </c:pt>
                <c:pt idx="10">
                  <c:v>5.2631578947368416</c:v>
                </c:pt>
              </c:numCache>
            </c:numRef>
          </c:val>
        </c:ser>
        <c:ser>
          <c:idx val="3"/>
          <c:order val="3"/>
          <c:tx>
            <c:strRef>
              <c:f>'Calasanz Valencia C'!$AJ$12</c:f>
              <c:strCache>
                <c:ptCount val="1"/>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C'!$AJ$78:$AJ$88</c:f>
              <c:numCache>
                <c:formatCode>#,##0.00</c:formatCode>
                <c:ptCount val="11"/>
              </c:numCache>
            </c:numRef>
          </c:val>
        </c:ser>
        <c:ser>
          <c:idx val="4"/>
          <c:order val="4"/>
          <c:tx>
            <c:strRef>
              <c:f>'Calasanz Valencia C'!$AK$12</c:f>
              <c:strCache>
                <c:ptCount val="1"/>
                <c:pt idx="0">
                  <c:v>3er año Varones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C'!$AK$78:$AK$88</c:f>
              <c:numCache>
                <c:formatCode>0.0</c:formatCode>
                <c:ptCount val="11"/>
                <c:pt idx="0">
                  <c:v>94.117647058823522</c:v>
                </c:pt>
                <c:pt idx="1">
                  <c:v>64.705882352941174</c:v>
                </c:pt>
                <c:pt idx="2">
                  <c:v>35.294117647058826</c:v>
                </c:pt>
                <c:pt idx="3">
                  <c:v>5.8823529411764701</c:v>
                </c:pt>
                <c:pt idx="4">
                  <c:v>0</c:v>
                </c:pt>
                <c:pt idx="5">
                  <c:v>5.8823529411764701</c:v>
                </c:pt>
                <c:pt idx="6">
                  <c:v>29.411764705882355</c:v>
                </c:pt>
                <c:pt idx="7">
                  <c:v>5.8823529411764701</c:v>
                </c:pt>
                <c:pt idx="8">
                  <c:v>11.76470588235294</c:v>
                </c:pt>
                <c:pt idx="9">
                  <c:v>29.411764705882355</c:v>
                </c:pt>
                <c:pt idx="10">
                  <c:v>0</c:v>
                </c:pt>
              </c:numCache>
            </c:numRef>
          </c:val>
        </c:ser>
        <c:ser>
          <c:idx val="5"/>
          <c:order val="5"/>
          <c:tx>
            <c:strRef>
              <c:f>'Calasanz Valencia C'!$AL$12</c:f>
              <c:strCache>
                <c:ptCount val="1"/>
                <c:pt idx="0">
                  <c:v>3er año Hembras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C'!$AL$78:$AL$88</c:f>
              <c:numCache>
                <c:formatCode>0.0</c:formatCode>
                <c:ptCount val="11"/>
                <c:pt idx="0">
                  <c:v>73.333333333333329</c:v>
                </c:pt>
                <c:pt idx="1">
                  <c:v>53.333333333333336</c:v>
                </c:pt>
                <c:pt idx="2">
                  <c:v>33.333333333333329</c:v>
                </c:pt>
                <c:pt idx="3">
                  <c:v>0</c:v>
                </c:pt>
                <c:pt idx="4">
                  <c:v>0</c:v>
                </c:pt>
                <c:pt idx="5">
                  <c:v>26.666666666666668</c:v>
                </c:pt>
                <c:pt idx="6">
                  <c:v>40</c:v>
                </c:pt>
                <c:pt idx="7">
                  <c:v>0</c:v>
                </c:pt>
                <c:pt idx="8">
                  <c:v>6.666666666666667</c:v>
                </c:pt>
                <c:pt idx="9">
                  <c:v>0</c:v>
                </c:pt>
                <c:pt idx="10">
                  <c:v>6.666666666666667</c:v>
                </c:pt>
              </c:numCache>
            </c:numRef>
          </c:val>
        </c:ser>
        <c:ser>
          <c:idx val="6"/>
          <c:order val="6"/>
          <c:tx>
            <c:strRef>
              <c:f>'Calasanz Valencia C'!$AM$12</c:f>
              <c:strCache>
                <c:ptCount val="1"/>
                <c:pt idx="0">
                  <c:v>3er año</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C'!$AM$78:$AM$88</c:f>
              <c:numCache>
                <c:formatCode>0.0</c:formatCode>
                <c:ptCount val="11"/>
                <c:pt idx="0">
                  <c:v>84.375</c:v>
                </c:pt>
                <c:pt idx="1">
                  <c:v>59.375</c:v>
                </c:pt>
                <c:pt idx="2">
                  <c:v>34.375</c:v>
                </c:pt>
                <c:pt idx="3">
                  <c:v>3.125</c:v>
                </c:pt>
                <c:pt idx="4">
                  <c:v>0</c:v>
                </c:pt>
                <c:pt idx="5">
                  <c:v>15.625</c:v>
                </c:pt>
                <c:pt idx="6">
                  <c:v>34.375</c:v>
                </c:pt>
                <c:pt idx="7">
                  <c:v>3.125</c:v>
                </c:pt>
                <c:pt idx="8">
                  <c:v>9.375</c:v>
                </c:pt>
                <c:pt idx="9">
                  <c:v>15.625</c:v>
                </c:pt>
                <c:pt idx="10">
                  <c:v>3.125</c:v>
                </c:pt>
              </c:numCache>
            </c:numRef>
          </c:val>
        </c:ser>
        <c:ser>
          <c:idx val="7"/>
          <c:order val="7"/>
          <c:tx>
            <c:strRef>
              <c:f>'Calasanz Valencia C'!$AN$12</c:f>
              <c:strCache>
                <c:ptCount val="1"/>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C'!$AN$78:$AN$88</c:f>
              <c:numCache>
                <c:formatCode>0.0</c:formatCode>
                <c:ptCount val="11"/>
              </c:numCache>
            </c:numRef>
          </c:val>
        </c:ser>
        <c:ser>
          <c:idx val="8"/>
          <c:order val="8"/>
          <c:tx>
            <c:strRef>
              <c:f>'Calasanz Valencia C'!$AO$12</c:f>
              <c:strCache>
                <c:ptCount val="1"/>
                <c:pt idx="0">
                  <c:v>4to año Varones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C'!$AO$78:$AO$88</c:f>
              <c:numCache>
                <c:formatCode>0.0</c:formatCode>
                <c:ptCount val="11"/>
                <c:pt idx="0">
                  <c:v>76.19047619047619</c:v>
                </c:pt>
                <c:pt idx="1">
                  <c:v>80.952380952380949</c:v>
                </c:pt>
                <c:pt idx="2">
                  <c:v>23.809523809523807</c:v>
                </c:pt>
                <c:pt idx="3">
                  <c:v>4.7619047619047619</c:v>
                </c:pt>
                <c:pt idx="4">
                  <c:v>14.285714285714285</c:v>
                </c:pt>
                <c:pt idx="5">
                  <c:v>14.285714285714285</c:v>
                </c:pt>
                <c:pt idx="6">
                  <c:v>33.333333333333329</c:v>
                </c:pt>
                <c:pt idx="7">
                  <c:v>9.5238095238095237</c:v>
                </c:pt>
                <c:pt idx="8">
                  <c:v>4.7619047619047619</c:v>
                </c:pt>
                <c:pt idx="9">
                  <c:v>33.333333333333329</c:v>
                </c:pt>
                <c:pt idx="10">
                  <c:v>4.7619047619047619</c:v>
                </c:pt>
              </c:numCache>
            </c:numRef>
          </c:val>
        </c:ser>
        <c:ser>
          <c:idx val="9"/>
          <c:order val="9"/>
          <c:tx>
            <c:strRef>
              <c:f>'Calasanz Valencia C'!$AP$12</c:f>
              <c:strCache>
                <c:ptCount val="1"/>
                <c:pt idx="0">
                  <c:v>4to año Hembras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C'!$AP$78:$AP$88</c:f>
              <c:numCache>
                <c:formatCode>0.0</c:formatCode>
                <c:ptCount val="11"/>
                <c:pt idx="0">
                  <c:v>94.444444444444443</c:v>
                </c:pt>
                <c:pt idx="1">
                  <c:v>44.444444444444443</c:v>
                </c:pt>
                <c:pt idx="2">
                  <c:v>50</c:v>
                </c:pt>
                <c:pt idx="3">
                  <c:v>11.111111111111111</c:v>
                </c:pt>
                <c:pt idx="4">
                  <c:v>16.666666666666664</c:v>
                </c:pt>
                <c:pt idx="5">
                  <c:v>11.111111111111111</c:v>
                </c:pt>
                <c:pt idx="6">
                  <c:v>55.555555555555557</c:v>
                </c:pt>
                <c:pt idx="7">
                  <c:v>0</c:v>
                </c:pt>
                <c:pt idx="8">
                  <c:v>5.5555555555555554</c:v>
                </c:pt>
                <c:pt idx="9">
                  <c:v>0</c:v>
                </c:pt>
                <c:pt idx="10">
                  <c:v>11.111111111111111</c:v>
                </c:pt>
              </c:numCache>
            </c:numRef>
          </c:val>
        </c:ser>
        <c:ser>
          <c:idx val="10"/>
          <c:order val="10"/>
          <c:tx>
            <c:strRef>
              <c:f>'Calasanz Valencia C'!$AQ$12</c:f>
              <c:strCache>
                <c:ptCount val="1"/>
                <c:pt idx="0">
                  <c:v>4to año</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C'!$AQ$78:$AQ$88</c:f>
              <c:numCache>
                <c:formatCode>0.0</c:formatCode>
                <c:ptCount val="11"/>
                <c:pt idx="0">
                  <c:v>84.615384615384613</c:v>
                </c:pt>
                <c:pt idx="1">
                  <c:v>64.102564102564102</c:v>
                </c:pt>
                <c:pt idx="2">
                  <c:v>35.897435897435898</c:v>
                </c:pt>
                <c:pt idx="3">
                  <c:v>7.6923076923076925</c:v>
                </c:pt>
                <c:pt idx="4">
                  <c:v>15.384615384615385</c:v>
                </c:pt>
                <c:pt idx="5">
                  <c:v>12.820512820512819</c:v>
                </c:pt>
                <c:pt idx="6">
                  <c:v>43.589743589743591</c:v>
                </c:pt>
                <c:pt idx="7">
                  <c:v>5.1282051282051277</c:v>
                </c:pt>
                <c:pt idx="8">
                  <c:v>5.1282051282051277</c:v>
                </c:pt>
                <c:pt idx="9">
                  <c:v>17.948717948717949</c:v>
                </c:pt>
                <c:pt idx="10">
                  <c:v>7.6923076923076925</c:v>
                </c:pt>
              </c:numCache>
            </c:numRef>
          </c:val>
        </c:ser>
        <c:ser>
          <c:idx val="11"/>
          <c:order val="11"/>
          <c:tx>
            <c:strRef>
              <c:f>'Calasanz Valencia C'!$AR$12</c:f>
              <c:strCache>
                <c:ptCount val="1"/>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C'!$AR$78:$AR$88</c:f>
              <c:numCache>
                <c:formatCode>General</c:formatCode>
                <c:ptCount val="11"/>
              </c:numCache>
            </c:numRef>
          </c:val>
        </c:ser>
        <c:ser>
          <c:idx val="12"/>
          <c:order val="12"/>
          <c:tx>
            <c:strRef>
              <c:f>'Calasanz Valencia C'!$AS$12</c:f>
              <c:strCache>
                <c:ptCount val="1"/>
                <c:pt idx="0">
                  <c:v>Todos</c:v>
                </c:pt>
              </c:strCache>
            </c:strRef>
          </c:tx>
          <c:invertIfNegative val="0"/>
          <c:cat>
            <c:strRef>
              <c:f>'Calasanz Valencia C'!$AF$78:$AF$88</c:f>
              <c:strCache>
                <c:ptCount val="11"/>
                <c:pt idx="0">
                  <c:v>a) La familia</c:v>
                </c:pt>
                <c:pt idx="1">
                  <c:v>b) Los amigos</c:v>
                </c:pt>
                <c:pt idx="2">
                  <c:v>c) Los estudios</c:v>
                </c:pt>
                <c:pt idx="3">
                  <c:v>d) El cuidado de mi cuerpo</c:v>
                </c:pt>
                <c:pt idx="4">
                  <c:v>e) Disponer de dinero</c:v>
                </c:pt>
                <c:pt idx="5">
                  <c:v>f) Mi fe y vida cristiana</c:v>
                </c:pt>
                <c:pt idx="6">
                  <c:v>g) La felicidad</c:v>
                </c:pt>
                <c:pt idx="7">
                  <c:v>h) La sexualidad</c:v>
                </c:pt>
                <c:pt idx="8">
                  <c:v>i) La música</c:v>
                </c:pt>
                <c:pt idx="9">
                  <c:v>j) El deporte</c:v>
                </c:pt>
                <c:pt idx="10">
                  <c:v>k) Internet</c:v>
                </c:pt>
              </c:strCache>
            </c:strRef>
          </c:cat>
          <c:val>
            <c:numRef>
              <c:f>'Calasanz Valencia C'!$AS$78:$AS$88</c:f>
              <c:numCache>
                <c:formatCode>0.0</c:formatCode>
                <c:ptCount val="11"/>
                <c:pt idx="0">
                  <c:v>78.899082568807344</c:v>
                </c:pt>
                <c:pt idx="1">
                  <c:v>53.211009174311926</c:v>
                </c:pt>
                <c:pt idx="2">
                  <c:v>27.522935779816514</c:v>
                </c:pt>
                <c:pt idx="3">
                  <c:v>7.3394495412844041</c:v>
                </c:pt>
                <c:pt idx="4">
                  <c:v>8.2568807339449535</c:v>
                </c:pt>
                <c:pt idx="5">
                  <c:v>13.761467889908257</c:v>
                </c:pt>
                <c:pt idx="6">
                  <c:v>30.275229357798164</c:v>
                </c:pt>
                <c:pt idx="7">
                  <c:v>3.669724770642202</c:v>
                </c:pt>
                <c:pt idx="8">
                  <c:v>9.1743119266055047</c:v>
                </c:pt>
                <c:pt idx="9">
                  <c:v>27.522935779816514</c:v>
                </c:pt>
                <c:pt idx="10">
                  <c:v>5.5045871559633026</c:v>
                </c:pt>
              </c:numCache>
            </c:numRef>
          </c:val>
        </c:ser>
        <c:dLbls>
          <c:showLegendKey val="0"/>
          <c:showVal val="0"/>
          <c:showCatName val="0"/>
          <c:showSerName val="0"/>
          <c:showPercent val="0"/>
          <c:showBubbleSize val="0"/>
        </c:dLbls>
        <c:gapWidth val="150"/>
        <c:axId val="148109568"/>
        <c:axId val="150016000"/>
      </c:barChart>
      <c:catAx>
        <c:axId val="148109568"/>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50016000"/>
        <c:crosses val="autoZero"/>
        <c:auto val="1"/>
        <c:lblAlgn val="ctr"/>
        <c:lblOffset val="100"/>
        <c:noMultiLvlLbl val="0"/>
      </c:catAx>
      <c:valAx>
        <c:axId val="150016000"/>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48109568"/>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Cristo Rey Encuesta Año escolar 2011-2012</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'Cristo Rey'!$AG$12</c:f>
              <c:strCache>
                <c:ptCount val="1"/>
                <c:pt idx="0">
                  <c:v>1er año Varones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Rey'!$AG$92:$AG$99</c:f>
              <c:numCache>
                <c:formatCode>#,##0.00</c:formatCode>
                <c:ptCount val="8"/>
                <c:pt idx="0">
                  <c:v>0</c:v>
                </c:pt>
                <c:pt idx="1">
                  <c:v>64.285714285714292</c:v>
                </c:pt>
                <c:pt idx="2">
                  <c:v>0</c:v>
                </c:pt>
                <c:pt idx="3">
                  <c:v>7.1428571428571423</c:v>
                </c:pt>
                <c:pt idx="4">
                  <c:v>0</c:v>
                </c:pt>
                <c:pt idx="5">
                  <c:v>0</c:v>
                </c:pt>
                <c:pt idx="6">
                  <c:v>21.428571428571427</c:v>
                </c:pt>
                <c:pt idx="7">
                  <c:v>0</c:v>
                </c:pt>
              </c:numCache>
            </c:numRef>
          </c:val>
        </c:ser>
        <c:ser>
          <c:idx val="1"/>
          <c:order val="1"/>
          <c:tx>
            <c:strRef>
              <c:f>'Cristo Rey'!$AH$12</c:f>
              <c:strCache>
                <c:ptCount val="1"/>
                <c:pt idx="0">
                  <c:v>1er año Hembras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Rey'!$AH$92:$AH$99</c:f>
              <c:numCache>
                <c:formatCode>#,##0.00</c:formatCode>
                <c:ptCount val="8"/>
                <c:pt idx="0">
                  <c:v>11.111111111111111</c:v>
                </c:pt>
                <c:pt idx="1">
                  <c:v>22.222222222222221</c:v>
                </c:pt>
                <c:pt idx="2">
                  <c:v>0</c:v>
                </c:pt>
                <c:pt idx="3">
                  <c:v>0</c:v>
                </c:pt>
                <c:pt idx="4">
                  <c:v>0</c:v>
                </c:pt>
                <c:pt idx="5">
                  <c:v>11.111111111111111</c:v>
                </c:pt>
                <c:pt idx="6">
                  <c:v>55.555555555555557</c:v>
                </c:pt>
                <c:pt idx="7">
                  <c:v>0</c:v>
                </c:pt>
              </c:numCache>
            </c:numRef>
          </c:val>
        </c:ser>
        <c:ser>
          <c:idx val="2"/>
          <c:order val="2"/>
          <c:tx>
            <c:strRef>
              <c:f>'Cristo Rey'!$AI$12</c:f>
              <c:strCache>
                <c:ptCount val="1"/>
                <c:pt idx="0">
                  <c:v>1er año</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Rey'!$AI$92:$AI$99</c:f>
              <c:numCache>
                <c:formatCode>#,##0.00</c:formatCode>
                <c:ptCount val="8"/>
                <c:pt idx="0">
                  <c:v>4.3478260869565215</c:v>
                </c:pt>
                <c:pt idx="1">
                  <c:v>47.826086956521742</c:v>
                </c:pt>
                <c:pt idx="2">
                  <c:v>0</c:v>
                </c:pt>
                <c:pt idx="3">
                  <c:v>4.3478260869565215</c:v>
                </c:pt>
                <c:pt idx="4">
                  <c:v>0</c:v>
                </c:pt>
                <c:pt idx="5">
                  <c:v>4.3478260869565215</c:v>
                </c:pt>
                <c:pt idx="6">
                  <c:v>34.782608695652172</c:v>
                </c:pt>
                <c:pt idx="7">
                  <c:v>0</c:v>
                </c:pt>
              </c:numCache>
            </c:numRef>
          </c:val>
        </c:ser>
        <c:ser>
          <c:idx val="3"/>
          <c:order val="3"/>
          <c:tx>
            <c:strRef>
              <c:f>'Cristo Rey'!$AJ$12</c:f>
              <c:strCache>
                <c:ptCount val="1"/>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Rey'!$AJ$92:$AJ$99</c:f>
              <c:numCache>
                <c:formatCode>#,##0.00</c:formatCode>
                <c:ptCount val="8"/>
              </c:numCache>
            </c:numRef>
          </c:val>
        </c:ser>
        <c:ser>
          <c:idx val="4"/>
          <c:order val="4"/>
          <c:tx>
            <c:strRef>
              <c:f>'Cristo Rey'!$AK$12</c:f>
              <c:strCache>
                <c:ptCount val="1"/>
                <c:pt idx="0">
                  <c:v>3er año Varones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Rey'!$AK$92:$AK$99</c:f>
              <c:numCache>
                <c:formatCode>0.0</c:formatCode>
                <c:ptCount val="8"/>
                <c:pt idx="0">
                  <c:v>42.857142857142854</c:v>
                </c:pt>
                <c:pt idx="1">
                  <c:v>28.571428571428569</c:v>
                </c:pt>
                <c:pt idx="2">
                  <c:v>0</c:v>
                </c:pt>
                <c:pt idx="3">
                  <c:v>0</c:v>
                </c:pt>
                <c:pt idx="4">
                  <c:v>0</c:v>
                </c:pt>
                <c:pt idx="5">
                  <c:v>14.285714285714285</c:v>
                </c:pt>
                <c:pt idx="6">
                  <c:v>0</c:v>
                </c:pt>
                <c:pt idx="7">
                  <c:v>14.285714285714285</c:v>
                </c:pt>
              </c:numCache>
            </c:numRef>
          </c:val>
        </c:ser>
        <c:ser>
          <c:idx val="5"/>
          <c:order val="5"/>
          <c:tx>
            <c:strRef>
              <c:f>'Cristo Rey'!$AL$12</c:f>
              <c:strCache>
                <c:ptCount val="1"/>
                <c:pt idx="0">
                  <c:v>3er año Hembras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Rey'!$AL$92:$AL$99</c:f>
              <c:numCache>
                <c:formatCode>0.0</c:formatCode>
                <c:ptCount val="8"/>
                <c:pt idx="0">
                  <c:v>0</c:v>
                </c:pt>
                <c:pt idx="1">
                  <c:v>69.230769230769226</c:v>
                </c:pt>
                <c:pt idx="2">
                  <c:v>0</c:v>
                </c:pt>
                <c:pt idx="3">
                  <c:v>7.6923076923076925</c:v>
                </c:pt>
                <c:pt idx="4">
                  <c:v>7.6923076923076925</c:v>
                </c:pt>
                <c:pt idx="5">
                  <c:v>0</c:v>
                </c:pt>
                <c:pt idx="6">
                  <c:v>7.6923076923076925</c:v>
                </c:pt>
                <c:pt idx="7">
                  <c:v>7.6923076923076925</c:v>
                </c:pt>
              </c:numCache>
            </c:numRef>
          </c:val>
        </c:ser>
        <c:ser>
          <c:idx val="6"/>
          <c:order val="6"/>
          <c:tx>
            <c:strRef>
              <c:f>'Cristo Rey'!$AM$12</c:f>
              <c:strCache>
                <c:ptCount val="1"/>
                <c:pt idx="0">
                  <c:v>3er año</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Rey'!$AM$92:$AM$99</c:f>
              <c:numCache>
                <c:formatCode>0.0</c:formatCode>
                <c:ptCount val="8"/>
                <c:pt idx="0">
                  <c:v>15</c:v>
                </c:pt>
                <c:pt idx="1">
                  <c:v>55.000000000000007</c:v>
                </c:pt>
                <c:pt idx="2">
                  <c:v>0</c:v>
                </c:pt>
                <c:pt idx="3">
                  <c:v>5</c:v>
                </c:pt>
                <c:pt idx="4">
                  <c:v>5</c:v>
                </c:pt>
                <c:pt idx="5">
                  <c:v>5</c:v>
                </c:pt>
                <c:pt idx="6">
                  <c:v>5</c:v>
                </c:pt>
                <c:pt idx="7">
                  <c:v>10</c:v>
                </c:pt>
              </c:numCache>
            </c:numRef>
          </c:val>
        </c:ser>
        <c:ser>
          <c:idx val="7"/>
          <c:order val="7"/>
          <c:tx>
            <c:strRef>
              <c:f>'Cristo Rey'!$AN$12</c:f>
              <c:strCache>
                <c:ptCount val="1"/>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Rey'!$AN$92:$AN$99</c:f>
              <c:numCache>
                <c:formatCode>0.0</c:formatCode>
                <c:ptCount val="8"/>
              </c:numCache>
            </c:numRef>
          </c:val>
        </c:ser>
        <c:ser>
          <c:idx val="8"/>
          <c:order val="8"/>
          <c:tx>
            <c:strRef>
              <c:f>'Cristo Rey'!$AO$12</c:f>
              <c:strCache>
                <c:ptCount val="1"/>
                <c:pt idx="0">
                  <c:v>4to año Varones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Rey'!$AO$92:$AO$99</c:f>
              <c:numCache>
                <c:formatCode>0.0</c:formatCode>
                <c:ptCount val="8"/>
                <c:pt idx="0">
                  <c:v>20</c:v>
                </c:pt>
                <c:pt idx="1">
                  <c:v>60</c:v>
                </c:pt>
                <c:pt idx="2">
                  <c:v>0</c:v>
                </c:pt>
                <c:pt idx="3">
                  <c:v>20</c:v>
                </c:pt>
                <c:pt idx="4">
                  <c:v>0</c:v>
                </c:pt>
                <c:pt idx="5">
                  <c:v>0</c:v>
                </c:pt>
                <c:pt idx="6">
                  <c:v>0</c:v>
                </c:pt>
                <c:pt idx="7">
                  <c:v>0</c:v>
                </c:pt>
              </c:numCache>
            </c:numRef>
          </c:val>
        </c:ser>
        <c:ser>
          <c:idx val="9"/>
          <c:order val="9"/>
          <c:tx>
            <c:strRef>
              <c:f>'Cristo Rey'!$AP$12</c:f>
              <c:strCache>
                <c:ptCount val="1"/>
                <c:pt idx="0">
                  <c:v>4to año Hembras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Rey'!$AP$92:$AP$99</c:f>
              <c:numCache>
                <c:formatCode>0.0</c:formatCode>
                <c:ptCount val="8"/>
                <c:pt idx="0">
                  <c:v>13.333333333333334</c:v>
                </c:pt>
                <c:pt idx="1">
                  <c:v>46.666666666666664</c:v>
                </c:pt>
                <c:pt idx="2">
                  <c:v>0</c:v>
                </c:pt>
                <c:pt idx="3">
                  <c:v>0</c:v>
                </c:pt>
                <c:pt idx="4">
                  <c:v>0</c:v>
                </c:pt>
                <c:pt idx="5">
                  <c:v>26.666666666666668</c:v>
                </c:pt>
                <c:pt idx="6">
                  <c:v>13.333333333333334</c:v>
                </c:pt>
                <c:pt idx="7">
                  <c:v>0</c:v>
                </c:pt>
              </c:numCache>
            </c:numRef>
          </c:val>
        </c:ser>
        <c:ser>
          <c:idx val="10"/>
          <c:order val="10"/>
          <c:tx>
            <c:strRef>
              <c:f>'Cristo Rey'!$AQ$12</c:f>
              <c:strCache>
                <c:ptCount val="1"/>
                <c:pt idx="0">
                  <c:v>4to año</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Rey'!$AQ$92:$AQ$99</c:f>
              <c:numCache>
                <c:formatCode>0.0</c:formatCode>
                <c:ptCount val="8"/>
                <c:pt idx="0">
                  <c:v>15</c:v>
                </c:pt>
                <c:pt idx="1">
                  <c:v>50</c:v>
                </c:pt>
                <c:pt idx="2">
                  <c:v>0</c:v>
                </c:pt>
                <c:pt idx="3">
                  <c:v>5</c:v>
                </c:pt>
                <c:pt idx="4">
                  <c:v>0</c:v>
                </c:pt>
                <c:pt idx="5">
                  <c:v>20</c:v>
                </c:pt>
                <c:pt idx="6">
                  <c:v>10</c:v>
                </c:pt>
                <c:pt idx="7">
                  <c:v>0</c:v>
                </c:pt>
              </c:numCache>
            </c:numRef>
          </c:val>
        </c:ser>
        <c:ser>
          <c:idx val="11"/>
          <c:order val="11"/>
          <c:tx>
            <c:strRef>
              <c:f>'Cristo Rey'!$AR$12</c:f>
              <c:strCache>
                <c:ptCount val="1"/>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Rey'!$AR$92:$AR$99</c:f>
              <c:numCache>
                <c:formatCode>General</c:formatCode>
                <c:ptCount val="8"/>
              </c:numCache>
            </c:numRef>
          </c:val>
        </c:ser>
        <c:ser>
          <c:idx val="12"/>
          <c:order val="12"/>
          <c:tx>
            <c:strRef>
              <c:f>'Cristo Rey'!$AS$12</c:f>
              <c:strCache>
                <c:ptCount val="1"/>
                <c:pt idx="0">
                  <c:v>Todos</c:v>
                </c:pt>
              </c:strCache>
            </c:strRef>
          </c:tx>
          <c:invertIfNegative val="0"/>
          <c:cat>
            <c:strRef>
              <c:f>'Cristo Rey'!$AF$92:$AF$99</c:f>
              <c:strCache>
                <c:ptCount val="8"/>
                <c:pt idx="0">
                  <c:v>a) Seguridad personal  (la violencia y la delincuencia)</c:v>
                </c:pt>
                <c:pt idx="1">
                  <c:v>b) El futuro</c:v>
                </c:pt>
                <c:pt idx="2">
                  <c:v>c) Yo mismo</c:v>
                </c:pt>
                <c:pt idx="3">
                  <c:v>d) Los problemas familiares</c:v>
                </c:pt>
                <c:pt idx="4">
                  <c:v>e) La situación económica</c:v>
                </c:pt>
                <c:pt idx="5">
                  <c:v>f) La situación política del país</c:v>
                </c:pt>
                <c:pt idx="6">
                  <c:v>g) Mis estudios</c:v>
                </c:pt>
                <c:pt idx="7">
                  <c:v>h) Los amigos</c:v>
                </c:pt>
              </c:strCache>
            </c:strRef>
          </c:cat>
          <c:val>
            <c:numRef>
              <c:f>'Cristo Rey'!$AS$92:$AS$99</c:f>
              <c:numCache>
                <c:formatCode>0.0</c:formatCode>
                <c:ptCount val="8"/>
                <c:pt idx="0">
                  <c:v>11.111111111111111</c:v>
                </c:pt>
                <c:pt idx="1">
                  <c:v>50.793650793650791</c:v>
                </c:pt>
                <c:pt idx="2">
                  <c:v>0</c:v>
                </c:pt>
                <c:pt idx="3">
                  <c:v>4.7619047619047619</c:v>
                </c:pt>
                <c:pt idx="4">
                  <c:v>1.5873015873015872</c:v>
                </c:pt>
                <c:pt idx="5">
                  <c:v>9.5238095238095237</c:v>
                </c:pt>
                <c:pt idx="6">
                  <c:v>17.460317460317459</c:v>
                </c:pt>
                <c:pt idx="7">
                  <c:v>3.1746031746031744</c:v>
                </c:pt>
              </c:numCache>
            </c:numRef>
          </c:val>
        </c:ser>
        <c:dLbls>
          <c:showLegendKey val="0"/>
          <c:showVal val="0"/>
          <c:showCatName val="0"/>
          <c:showSerName val="0"/>
          <c:showPercent val="0"/>
          <c:showBubbleSize val="0"/>
        </c:dLbls>
        <c:gapWidth val="150"/>
        <c:axId val="150133376"/>
        <c:axId val="149029248"/>
      </c:barChart>
      <c:catAx>
        <c:axId val="150133376"/>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49029248"/>
        <c:crosses val="autoZero"/>
        <c:auto val="1"/>
        <c:lblAlgn val="ctr"/>
        <c:lblOffset val="100"/>
        <c:noMultiLvlLbl val="0"/>
      </c:catAx>
      <c:valAx>
        <c:axId val="149029248"/>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50133376"/>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Monseñor Romero Año escolar 2013-2014</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'Monseñor Romero'!$AG$12</c:f>
              <c:strCache>
                <c:ptCount val="1"/>
                <c:pt idx="0">
                  <c:v>1er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Romero'!$AG$30:$AG$35</c:f>
              <c:numCache>
                <c:formatCode>#,##0.00</c:formatCode>
                <c:ptCount val="6"/>
                <c:pt idx="0">
                  <c:v>0</c:v>
                </c:pt>
                <c:pt idx="1">
                  <c:v>0</c:v>
                </c:pt>
                <c:pt idx="2">
                  <c:v>0</c:v>
                </c:pt>
                <c:pt idx="3">
                  <c:v>0</c:v>
                </c:pt>
                <c:pt idx="4">
                  <c:v>0</c:v>
                </c:pt>
                <c:pt idx="5">
                  <c:v>0</c:v>
                </c:pt>
              </c:numCache>
            </c:numRef>
          </c:val>
        </c:ser>
        <c:ser>
          <c:idx val="1"/>
          <c:order val="1"/>
          <c:tx>
            <c:strRef>
              <c:f>'Monseñor Romero'!$AH$12</c:f>
              <c:strCache>
                <c:ptCount val="1"/>
                <c:pt idx="0">
                  <c:v>1er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Romero'!$AH$30:$AH$35</c:f>
              <c:numCache>
                <c:formatCode>#,##0.00</c:formatCode>
                <c:ptCount val="6"/>
                <c:pt idx="0">
                  <c:v>0</c:v>
                </c:pt>
                <c:pt idx="1">
                  <c:v>0</c:v>
                </c:pt>
                <c:pt idx="2">
                  <c:v>0</c:v>
                </c:pt>
                <c:pt idx="3">
                  <c:v>0</c:v>
                </c:pt>
                <c:pt idx="4">
                  <c:v>0</c:v>
                </c:pt>
                <c:pt idx="5">
                  <c:v>0</c:v>
                </c:pt>
              </c:numCache>
            </c:numRef>
          </c:val>
        </c:ser>
        <c:ser>
          <c:idx val="2"/>
          <c:order val="2"/>
          <c:tx>
            <c:strRef>
              <c:f>'Monseñor Romero'!$AI$12</c:f>
              <c:strCache>
                <c:ptCount val="1"/>
                <c:pt idx="0">
                  <c:v>1er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Romero'!$AI$30:$AI$35</c:f>
              <c:numCache>
                <c:formatCode>#,##0.00</c:formatCode>
                <c:ptCount val="6"/>
                <c:pt idx="0">
                  <c:v>0</c:v>
                </c:pt>
                <c:pt idx="1">
                  <c:v>0</c:v>
                </c:pt>
                <c:pt idx="2">
                  <c:v>0</c:v>
                </c:pt>
                <c:pt idx="3">
                  <c:v>0</c:v>
                </c:pt>
                <c:pt idx="4">
                  <c:v>0</c:v>
                </c:pt>
                <c:pt idx="5">
                  <c:v>0</c:v>
                </c:pt>
              </c:numCache>
            </c:numRef>
          </c:val>
        </c:ser>
        <c:ser>
          <c:idx val="3"/>
          <c:order val="3"/>
          <c:tx>
            <c:strRef>
              <c:f>'Monseñor Romero'!$AJ$12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Romero'!$AJ$30:$AJ$35</c:f>
              <c:numCache>
                <c:formatCode>#,##0.00</c:formatCode>
                <c:ptCount val="6"/>
              </c:numCache>
            </c:numRef>
          </c:val>
        </c:ser>
        <c:ser>
          <c:idx val="4"/>
          <c:order val="4"/>
          <c:tx>
            <c:strRef>
              <c:f>'Monseñor Romero'!$AK$12</c:f>
              <c:strCache>
                <c:ptCount val="1"/>
                <c:pt idx="0">
                  <c:v>3er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Romero'!$AK$30:$AK$35</c:f>
              <c:numCache>
                <c:formatCode>#,##0.00</c:formatCode>
                <c:ptCount val="6"/>
                <c:pt idx="0">
                  <c:v>0</c:v>
                </c:pt>
                <c:pt idx="1">
                  <c:v>0</c:v>
                </c:pt>
                <c:pt idx="2">
                  <c:v>0</c:v>
                </c:pt>
                <c:pt idx="3">
                  <c:v>0</c:v>
                </c:pt>
                <c:pt idx="4">
                  <c:v>0</c:v>
                </c:pt>
                <c:pt idx="5">
                  <c:v>0</c:v>
                </c:pt>
              </c:numCache>
            </c:numRef>
          </c:val>
        </c:ser>
        <c:ser>
          <c:idx val="5"/>
          <c:order val="5"/>
          <c:tx>
            <c:strRef>
              <c:f>'Monseñor Romero'!$AL$12</c:f>
              <c:strCache>
                <c:ptCount val="1"/>
                <c:pt idx="0">
                  <c:v>3er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Romero'!$AL$30:$AL$35</c:f>
              <c:numCache>
                <c:formatCode>#,##0.00</c:formatCode>
                <c:ptCount val="6"/>
                <c:pt idx="0">
                  <c:v>0</c:v>
                </c:pt>
                <c:pt idx="1">
                  <c:v>0</c:v>
                </c:pt>
                <c:pt idx="2">
                  <c:v>0</c:v>
                </c:pt>
                <c:pt idx="3">
                  <c:v>0</c:v>
                </c:pt>
                <c:pt idx="4">
                  <c:v>0</c:v>
                </c:pt>
                <c:pt idx="5">
                  <c:v>0</c:v>
                </c:pt>
              </c:numCache>
            </c:numRef>
          </c:val>
        </c:ser>
        <c:ser>
          <c:idx val="6"/>
          <c:order val="6"/>
          <c:tx>
            <c:strRef>
              <c:f>'Monseñor Romero'!$AM$12</c:f>
              <c:strCache>
                <c:ptCount val="1"/>
                <c:pt idx="0">
                  <c:v>3er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Romero'!$AM$30:$AM$35</c:f>
              <c:numCache>
                <c:formatCode>#,##0.00</c:formatCode>
                <c:ptCount val="6"/>
                <c:pt idx="0">
                  <c:v>0</c:v>
                </c:pt>
                <c:pt idx="1">
                  <c:v>0</c:v>
                </c:pt>
                <c:pt idx="2">
                  <c:v>0</c:v>
                </c:pt>
                <c:pt idx="3">
                  <c:v>0</c:v>
                </c:pt>
                <c:pt idx="4">
                  <c:v>0</c:v>
                </c:pt>
                <c:pt idx="5">
                  <c:v>0</c:v>
                </c:pt>
              </c:numCache>
            </c:numRef>
          </c:val>
        </c:ser>
        <c:ser>
          <c:idx val="7"/>
          <c:order val="7"/>
          <c:tx>
            <c:strRef>
              <c:f>'Monseñor Romero'!$AN$12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Romero'!$AN$30:$AN$35</c:f>
              <c:numCache>
                <c:formatCode>#,##0.00</c:formatCode>
                <c:ptCount val="6"/>
              </c:numCache>
            </c:numRef>
          </c:val>
        </c:ser>
        <c:ser>
          <c:idx val="8"/>
          <c:order val="8"/>
          <c:tx>
            <c:strRef>
              <c:f>'Monseñor Romero'!$AO$12</c:f>
              <c:strCache>
                <c:ptCount val="1"/>
                <c:pt idx="0">
                  <c:v>4to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Romero'!$AO$30:$AO$35</c:f>
              <c:numCache>
                <c:formatCode>#,##0.00</c:formatCode>
                <c:ptCount val="6"/>
                <c:pt idx="0">
                  <c:v>0</c:v>
                </c:pt>
                <c:pt idx="1">
                  <c:v>0</c:v>
                </c:pt>
                <c:pt idx="2">
                  <c:v>0</c:v>
                </c:pt>
                <c:pt idx="3">
                  <c:v>0</c:v>
                </c:pt>
                <c:pt idx="4">
                  <c:v>0</c:v>
                </c:pt>
                <c:pt idx="5">
                  <c:v>0</c:v>
                </c:pt>
              </c:numCache>
            </c:numRef>
          </c:val>
        </c:ser>
        <c:ser>
          <c:idx val="9"/>
          <c:order val="9"/>
          <c:tx>
            <c:strRef>
              <c:f>'Monseñor Romero'!$AP$12</c:f>
              <c:strCache>
                <c:ptCount val="1"/>
                <c:pt idx="0">
                  <c:v>4to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Romero'!$AP$30:$AP$35</c:f>
              <c:numCache>
                <c:formatCode>#,##0.00</c:formatCode>
                <c:ptCount val="6"/>
                <c:pt idx="0">
                  <c:v>0</c:v>
                </c:pt>
                <c:pt idx="1">
                  <c:v>0</c:v>
                </c:pt>
                <c:pt idx="2">
                  <c:v>0</c:v>
                </c:pt>
                <c:pt idx="3">
                  <c:v>0</c:v>
                </c:pt>
                <c:pt idx="4">
                  <c:v>0</c:v>
                </c:pt>
                <c:pt idx="5">
                  <c:v>0</c:v>
                </c:pt>
              </c:numCache>
            </c:numRef>
          </c:val>
        </c:ser>
        <c:ser>
          <c:idx val="10"/>
          <c:order val="10"/>
          <c:tx>
            <c:strRef>
              <c:f>'Monseñor Romero'!$AQ$12</c:f>
              <c:strCache>
                <c:ptCount val="1"/>
                <c:pt idx="0">
                  <c:v>4to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Romero'!$AQ$30:$AQ$35</c:f>
              <c:numCache>
                <c:formatCode>#,##0.00</c:formatCode>
                <c:ptCount val="6"/>
                <c:pt idx="0">
                  <c:v>0</c:v>
                </c:pt>
                <c:pt idx="1">
                  <c:v>0</c:v>
                </c:pt>
                <c:pt idx="2">
                  <c:v>0</c:v>
                </c:pt>
                <c:pt idx="3">
                  <c:v>0</c:v>
                </c:pt>
                <c:pt idx="4">
                  <c:v>0</c:v>
                </c:pt>
                <c:pt idx="5">
                  <c:v>0</c:v>
                </c:pt>
              </c:numCache>
            </c:numRef>
          </c:val>
        </c:ser>
        <c:ser>
          <c:idx val="11"/>
          <c:order val="11"/>
          <c:tx>
            <c:strRef>
              <c:f>'Monseñor Romero'!$AR$12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Romero'!$AR$30:$AR$35</c:f>
              <c:numCache>
                <c:formatCode>General</c:formatCode>
                <c:ptCount val="6"/>
              </c:numCache>
            </c:numRef>
          </c:val>
        </c:ser>
        <c:ser>
          <c:idx val="12"/>
          <c:order val="12"/>
          <c:tx>
            <c:strRef>
              <c:f>'Monseñor Romero'!$AS$12</c:f>
              <c:strCache>
                <c:ptCount val="1"/>
                <c:pt idx="0">
                  <c:v>Todos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Romero'!$AS$30:$AS$35</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0242432"/>
        <c:axId val="150243968"/>
      </c:barChart>
      <c:catAx>
        <c:axId val="150242432"/>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50243968"/>
        <c:crosses val="autoZero"/>
        <c:auto val="1"/>
        <c:lblAlgn val="ctr"/>
        <c:lblOffset val="100"/>
        <c:noMultiLvlLbl val="0"/>
      </c:catAx>
      <c:valAx>
        <c:axId val="150243968"/>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50242432"/>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V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VE"/>
            </a:pPr>
            <a:r>
              <a:rPr lang="es-VE"/>
              <a:t>Colegio Monseñor Romero Año escolar 2013-2014</a:t>
            </a:r>
          </a:p>
        </c:rich>
      </c:tx>
      <c:overlay val="0"/>
    </c:title>
    <c:autoTitleDeleted val="0"/>
    <c:plotArea>
      <c:layout>
        <c:manualLayout>
          <c:layoutTarget val="inner"/>
          <c:xMode val="edge"/>
          <c:yMode val="edge"/>
          <c:x val="0.23314343246298072"/>
          <c:y val="0.13059835177945414"/>
          <c:w val="0.60751599656798028"/>
          <c:h val="0.83829427023552638"/>
        </c:manualLayout>
      </c:layout>
      <c:barChart>
        <c:barDir val="bar"/>
        <c:grouping val="clustered"/>
        <c:varyColors val="0"/>
        <c:ser>
          <c:idx val="0"/>
          <c:order val="0"/>
          <c:tx>
            <c:strRef>
              <c:f>'Monseñor Romero'!$AG$12</c:f>
              <c:strCache>
                <c:ptCount val="1"/>
                <c:pt idx="0">
                  <c:v>1er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Romero'!$AG$30:$AG$35</c:f>
              <c:numCache>
                <c:formatCode>#,##0.00</c:formatCode>
                <c:ptCount val="6"/>
                <c:pt idx="0">
                  <c:v>0</c:v>
                </c:pt>
                <c:pt idx="1">
                  <c:v>0</c:v>
                </c:pt>
                <c:pt idx="2">
                  <c:v>0</c:v>
                </c:pt>
                <c:pt idx="3">
                  <c:v>0</c:v>
                </c:pt>
                <c:pt idx="4">
                  <c:v>0</c:v>
                </c:pt>
                <c:pt idx="5">
                  <c:v>0</c:v>
                </c:pt>
              </c:numCache>
            </c:numRef>
          </c:val>
        </c:ser>
        <c:ser>
          <c:idx val="1"/>
          <c:order val="1"/>
          <c:tx>
            <c:strRef>
              <c:f>'Monseñor Romero'!$AH$12</c:f>
              <c:strCache>
                <c:ptCount val="1"/>
                <c:pt idx="0">
                  <c:v>1er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Romero'!$AH$30:$AH$35</c:f>
              <c:numCache>
                <c:formatCode>#,##0.00</c:formatCode>
                <c:ptCount val="6"/>
                <c:pt idx="0">
                  <c:v>0</c:v>
                </c:pt>
                <c:pt idx="1">
                  <c:v>0</c:v>
                </c:pt>
                <c:pt idx="2">
                  <c:v>0</c:v>
                </c:pt>
                <c:pt idx="3">
                  <c:v>0</c:v>
                </c:pt>
                <c:pt idx="4">
                  <c:v>0</c:v>
                </c:pt>
                <c:pt idx="5">
                  <c:v>0</c:v>
                </c:pt>
              </c:numCache>
            </c:numRef>
          </c:val>
        </c:ser>
        <c:ser>
          <c:idx val="2"/>
          <c:order val="2"/>
          <c:tx>
            <c:strRef>
              <c:f>'Monseñor Romero'!$AI$12</c:f>
              <c:strCache>
                <c:ptCount val="1"/>
                <c:pt idx="0">
                  <c:v>1er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Romero'!$AI$30:$AI$35</c:f>
              <c:numCache>
                <c:formatCode>#,##0.00</c:formatCode>
                <c:ptCount val="6"/>
                <c:pt idx="0">
                  <c:v>0</c:v>
                </c:pt>
                <c:pt idx="1">
                  <c:v>0</c:v>
                </c:pt>
                <c:pt idx="2">
                  <c:v>0</c:v>
                </c:pt>
                <c:pt idx="3">
                  <c:v>0</c:v>
                </c:pt>
                <c:pt idx="4">
                  <c:v>0</c:v>
                </c:pt>
                <c:pt idx="5">
                  <c:v>0</c:v>
                </c:pt>
              </c:numCache>
            </c:numRef>
          </c:val>
        </c:ser>
        <c:ser>
          <c:idx val="3"/>
          <c:order val="3"/>
          <c:tx>
            <c:strRef>
              <c:f>'Monseñor Romero'!$AJ$12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Romero'!$AJ$30:$AJ$35</c:f>
              <c:numCache>
                <c:formatCode>#,##0.00</c:formatCode>
                <c:ptCount val="6"/>
              </c:numCache>
            </c:numRef>
          </c:val>
        </c:ser>
        <c:ser>
          <c:idx val="4"/>
          <c:order val="4"/>
          <c:tx>
            <c:strRef>
              <c:f>'Monseñor Romero'!$AK$12</c:f>
              <c:strCache>
                <c:ptCount val="1"/>
                <c:pt idx="0">
                  <c:v>3er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Romero'!$AK$30:$AK$35</c:f>
              <c:numCache>
                <c:formatCode>#,##0.00</c:formatCode>
                <c:ptCount val="6"/>
                <c:pt idx="0">
                  <c:v>0</c:v>
                </c:pt>
                <c:pt idx="1">
                  <c:v>0</c:v>
                </c:pt>
                <c:pt idx="2">
                  <c:v>0</c:v>
                </c:pt>
                <c:pt idx="3">
                  <c:v>0</c:v>
                </c:pt>
                <c:pt idx="4">
                  <c:v>0</c:v>
                </c:pt>
                <c:pt idx="5">
                  <c:v>0</c:v>
                </c:pt>
              </c:numCache>
            </c:numRef>
          </c:val>
        </c:ser>
        <c:ser>
          <c:idx val="5"/>
          <c:order val="5"/>
          <c:tx>
            <c:strRef>
              <c:f>'Monseñor Romero'!$AL$12</c:f>
              <c:strCache>
                <c:ptCount val="1"/>
                <c:pt idx="0">
                  <c:v>3er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Romero'!$AL$30:$AL$35</c:f>
              <c:numCache>
                <c:formatCode>#,##0.00</c:formatCode>
                <c:ptCount val="6"/>
                <c:pt idx="0">
                  <c:v>0</c:v>
                </c:pt>
                <c:pt idx="1">
                  <c:v>0</c:v>
                </c:pt>
                <c:pt idx="2">
                  <c:v>0</c:v>
                </c:pt>
                <c:pt idx="3">
                  <c:v>0</c:v>
                </c:pt>
                <c:pt idx="4">
                  <c:v>0</c:v>
                </c:pt>
                <c:pt idx="5">
                  <c:v>0</c:v>
                </c:pt>
              </c:numCache>
            </c:numRef>
          </c:val>
        </c:ser>
        <c:ser>
          <c:idx val="6"/>
          <c:order val="6"/>
          <c:tx>
            <c:strRef>
              <c:f>'Monseñor Romero'!$AM$12</c:f>
              <c:strCache>
                <c:ptCount val="1"/>
                <c:pt idx="0">
                  <c:v>3er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Romero'!$AM$30:$AM$35</c:f>
              <c:numCache>
                <c:formatCode>#,##0.00</c:formatCode>
                <c:ptCount val="6"/>
                <c:pt idx="0">
                  <c:v>0</c:v>
                </c:pt>
                <c:pt idx="1">
                  <c:v>0</c:v>
                </c:pt>
                <c:pt idx="2">
                  <c:v>0</c:v>
                </c:pt>
                <c:pt idx="3">
                  <c:v>0</c:v>
                </c:pt>
                <c:pt idx="4">
                  <c:v>0</c:v>
                </c:pt>
                <c:pt idx="5">
                  <c:v>0</c:v>
                </c:pt>
              </c:numCache>
            </c:numRef>
          </c:val>
        </c:ser>
        <c:ser>
          <c:idx val="7"/>
          <c:order val="7"/>
          <c:tx>
            <c:strRef>
              <c:f>'Monseñor Romero'!$AN$12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Romero'!$AN$30:$AN$35</c:f>
              <c:numCache>
                <c:formatCode>#,##0.00</c:formatCode>
                <c:ptCount val="6"/>
              </c:numCache>
            </c:numRef>
          </c:val>
        </c:ser>
        <c:ser>
          <c:idx val="8"/>
          <c:order val="8"/>
          <c:tx>
            <c:strRef>
              <c:f>'Monseñor Romero'!$AO$12</c:f>
              <c:strCache>
                <c:ptCount val="1"/>
                <c:pt idx="0">
                  <c:v>4to año Varones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Romero'!$AO$30:$AO$35</c:f>
              <c:numCache>
                <c:formatCode>#,##0.00</c:formatCode>
                <c:ptCount val="6"/>
                <c:pt idx="0">
                  <c:v>0</c:v>
                </c:pt>
                <c:pt idx="1">
                  <c:v>0</c:v>
                </c:pt>
                <c:pt idx="2">
                  <c:v>0</c:v>
                </c:pt>
                <c:pt idx="3">
                  <c:v>0</c:v>
                </c:pt>
                <c:pt idx="4">
                  <c:v>0</c:v>
                </c:pt>
                <c:pt idx="5">
                  <c:v>0</c:v>
                </c:pt>
              </c:numCache>
            </c:numRef>
          </c:val>
        </c:ser>
        <c:ser>
          <c:idx val="9"/>
          <c:order val="9"/>
          <c:tx>
            <c:strRef>
              <c:f>'Monseñor Romero'!$AP$12</c:f>
              <c:strCache>
                <c:ptCount val="1"/>
                <c:pt idx="0">
                  <c:v>4to año Hembras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Romero'!$AP$30:$AP$35</c:f>
              <c:numCache>
                <c:formatCode>#,##0.00</c:formatCode>
                <c:ptCount val="6"/>
                <c:pt idx="0">
                  <c:v>0</c:v>
                </c:pt>
                <c:pt idx="1">
                  <c:v>0</c:v>
                </c:pt>
                <c:pt idx="2">
                  <c:v>0</c:v>
                </c:pt>
                <c:pt idx="3">
                  <c:v>0</c:v>
                </c:pt>
                <c:pt idx="4">
                  <c:v>0</c:v>
                </c:pt>
                <c:pt idx="5">
                  <c:v>0</c:v>
                </c:pt>
              </c:numCache>
            </c:numRef>
          </c:val>
        </c:ser>
        <c:ser>
          <c:idx val="10"/>
          <c:order val="10"/>
          <c:tx>
            <c:strRef>
              <c:f>'Monseñor Romero'!$AQ$12</c:f>
              <c:strCache>
                <c:ptCount val="1"/>
                <c:pt idx="0">
                  <c:v>4to año</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Romero'!$AQ$30:$AQ$35</c:f>
              <c:numCache>
                <c:formatCode>#,##0.00</c:formatCode>
                <c:ptCount val="6"/>
                <c:pt idx="0">
                  <c:v>0</c:v>
                </c:pt>
                <c:pt idx="1">
                  <c:v>0</c:v>
                </c:pt>
                <c:pt idx="2">
                  <c:v>0</c:v>
                </c:pt>
                <c:pt idx="3">
                  <c:v>0</c:v>
                </c:pt>
                <c:pt idx="4">
                  <c:v>0</c:v>
                </c:pt>
                <c:pt idx="5">
                  <c:v>0</c:v>
                </c:pt>
              </c:numCache>
            </c:numRef>
          </c:val>
        </c:ser>
        <c:ser>
          <c:idx val="11"/>
          <c:order val="11"/>
          <c:tx>
            <c:strRef>
              <c:f>'Monseñor Romero'!$AR$12</c:f>
              <c:strCache>
                <c:ptCount val="1"/>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Romero'!$AR$30:$AR$35</c:f>
              <c:numCache>
                <c:formatCode>General</c:formatCode>
                <c:ptCount val="6"/>
              </c:numCache>
            </c:numRef>
          </c:val>
        </c:ser>
        <c:ser>
          <c:idx val="12"/>
          <c:order val="12"/>
          <c:tx>
            <c:strRef>
              <c:f>'Monseñor Romero'!$AS$12</c:f>
              <c:strCache>
                <c:ptCount val="1"/>
                <c:pt idx="0">
                  <c:v>Todos</c:v>
                </c:pt>
              </c:strCache>
            </c:strRef>
          </c:tx>
          <c:invertIfNegative val="0"/>
          <c:cat>
            <c:strRef>
              <c:f>'Monseñor Romero'!$AF$30:$AF$35</c:f>
              <c:strCache>
                <c:ptCount val="6"/>
                <c:pt idx="0">
                  <c:v>a) Mamá</c:v>
                </c:pt>
                <c:pt idx="1">
                  <c:v>b) Papá</c:v>
                </c:pt>
                <c:pt idx="2">
                  <c:v>c) Hermanos</c:v>
                </c:pt>
                <c:pt idx="3">
                  <c:v>d) Abuelos</c:v>
                </c:pt>
                <c:pt idx="4">
                  <c:v>e) Otros familiares</c:v>
                </c:pt>
                <c:pt idx="5">
                  <c:v>S/R Sin Respuesta</c:v>
                </c:pt>
              </c:strCache>
            </c:strRef>
          </c:cat>
          <c:val>
            <c:numRef>
              <c:f>'Monseñor Romero'!$AS$30:$AS$35</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57668864"/>
        <c:axId val="157670400"/>
      </c:barChart>
      <c:catAx>
        <c:axId val="157668864"/>
        <c:scaling>
          <c:orientation val="maxMin"/>
        </c:scaling>
        <c:delete val="0"/>
        <c:axPos val="l"/>
        <c:majorGridlines/>
        <c:majorTickMark val="none"/>
        <c:minorTickMark val="none"/>
        <c:tickLblPos val="nextTo"/>
        <c:txPr>
          <a:bodyPr rot="0" vert="horz" anchor="ctr" anchorCtr="1"/>
          <a:lstStyle/>
          <a:p>
            <a:pPr>
              <a:defRPr lang="es-VE"/>
            </a:pPr>
            <a:endParaRPr lang="es-VE"/>
          </a:p>
        </c:txPr>
        <c:crossAx val="157670400"/>
        <c:crosses val="autoZero"/>
        <c:auto val="1"/>
        <c:lblAlgn val="ctr"/>
        <c:lblOffset val="100"/>
        <c:noMultiLvlLbl val="0"/>
      </c:catAx>
      <c:valAx>
        <c:axId val="157670400"/>
        <c:scaling>
          <c:orientation val="minMax"/>
        </c:scaling>
        <c:delete val="0"/>
        <c:axPos val="t"/>
        <c:majorGridlines/>
        <c:numFmt formatCode="#,##0" sourceLinked="0"/>
        <c:majorTickMark val="none"/>
        <c:minorTickMark val="none"/>
        <c:tickLblPos val="nextTo"/>
        <c:txPr>
          <a:bodyPr/>
          <a:lstStyle/>
          <a:p>
            <a:pPr>
              <a:defRPr lang="es-VE"/>
            </a:pPr>
            <a:endParaRPr lang="es-VE"/>
          </a:p>
        </c:txPr>
        <c:crossAx val="157668864"/>
        <c:crosses val="autoZero"/>
        <c:crossBetween val="between"/>
      </c:valAx>
    </c:plotArea>
    <c:legend>
      <c:legendPos val="r"/>
      <c:layout>
        <c:manualLayout>
          <c:xMode val="edge"/>
          <c:yMode val="edge"/>
          <c:x val="0.85030877338512223"/>
          <c:y val="0.1281947282034801"/>
          <c:w val="0.14004976864929375"/>
          <c:h val="0.71076698154354712"/>
        </c:manualLayout>
      </c:layout>
      <c:overlay val="0"/>
      <c:txPr>
        <a:bodyPr/>
        <a:lstStyle/>
        <a:p>
          <a:pPr>
            <a:defRPr lang="es-VE"/>
          </a:pPr>
          <a:endParaRPr lang="es-VE"/>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38100</xdr:colOff>
      <xdr:row>3</xdr:row>
      <xdr:rowOff>152400</xdr:rowOff>
    </xdr:from>
    <xdr:to>
      <xdr:col>5</xdr:col>
      <xdr:colOff>0</xdr:colOff>
      <xdr:row>9</xdr:row>
      <xdr:rowOff>95250</xdr:rowOff>
    </xdr:to>
    <xdr:sp macro="" textlink="">
      <xdr:nvSpPr>
        <xdr:cNvPr id="2" name="WordArt 5"/>
        <xdr:cNvSpPr>
          <a:spLocks noChangeArrowheads="1" noChangeShapeType="1" noTextEdit="1"/>
        </xdr:cNvSpPr>
      </xdr:nvSpPr>
      <xdr:spPr bwMode="auto">
        <a:xfrm>
          <a:off x="38100" y="666750"/>
          <a:ext cx="3305175" cy="9715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Obra Social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San José de Calasanz</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Valencia</a:t>
          </a:r>
        </a:p>
      </xdr:txBody>
    </xdr:sp>
    <xdr:clientData/>
  </xdr:twoCellAnchor>
  <xdr:twoCellAnchor>
    <xdr:from>
      <xdr:col>33</xdr:col>
      <xdr:colOff>359571</xdr:colOff>
      <xdr:row>48</xdr:row>
      <xdr:rowOff>78580</xdr:rowOff>
    </xdr:from>
    <xdr:to>
      <xdr:col>49</xdr:col>
      <xdr:colOff>178596</xdr:colOff>
      <xdr:row>84</xdr:row>
      <xdr:rowOff>166688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3</xdr:row>
      <xdr:rowOff>152400</xdr:rowOff>
    </xdr:from>
    <xdr:to>
      <xdr:col>5</xdr:col>
      <xdr:colOff>359833</xdr:colOff>
      <xdr:row>10</xdr:row>
      <xdr:rowOff>179917</xdr:rowOff>
    </xdr:to>
    <xdr:sp macro="" textlink="">
      <xdr:nvSpPr>
        <xdr:cNvPr id="2" name="WordArt 5"/>
        <xdr:cNvSpPr>
          <a:spLocks noChangeArrowheads="1" noChangeShapeType="1" noTextEdit="1"/>
        </xdr:cNvSpPr>
      </xdr:nvSpPr>
      <xdr:spPr bwMode="auto">
        <a:xfrm>
          <a:off x="38100" y="755650"/>
          <a:ext cx="3295650" cy="1403350"/>
        </a:xfrm>
        <a:prstGeom prst="rect">
          <a:avLst/>
        </a:prstGeom>
      </xdr:spPr>
      <xdr:txBody>
        <a:bodyPr wrap="none" fromWordArt="1">
          <a:prstTxWarp prst="textPlain">
            <a:avLst>
              <a:gd name="adj" fmla="val 50000"/>
            </a:avLst>
          </a:prstTxWarp>
        </a:bodyPr>
        <a:lstStyle/>
        <a:p>
          <a:pPr algn="ctr" rtl="0"/>
          <a:r>
            <a:rPr lang="es-ES" sz="3600" b="1"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b="1"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San José de Calasanz</a:t>
          </a:r>
        </a:p>
        <a:p>
          <a:pPr algn="ctr" rtl="0"/>
          <a:r>
            <a:rPr lang="es-ES" sz="3600" b="1"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Caracas</a:t>
          </a:r>
        </a:p>
      </xdr:txBody>
    </xdr:sp>
    <xdr:clientData/>
  </xdr:twoCellAnchor>
  <xdr:twoCellAnchor>
    <xdr:from>
      <xdr:col>45</xdr:col>
      <xdr:colOff>14288</xdr:colOff>
      <xdr:row>327</xdr:row>
      <xdr:rowOff>78581</xdr:rowOff>
    </xdr:from>
    <xdr:to>
      <xdr:col>55</xdr:col>
      <xdr:colOff>297657</xdr:colOff>
      <xdr:row>360</xdr:row>
      <xdr:rowOff>76200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317237</xdr:colOff>
      <xdr:row>5</xdr:row>
      <xdr:rowOff>152665</xdr:rowOff>
    </xdr:from>
    <xdr:to>
      <xdr:col>50</xdr:col>
      <xdr:colOff>612512</xdr:colOff>
      <xdr:row>41</xdr:row>
      <xdr:rowOff>166689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419101</xdr:colOff>
      <xdr:row>3</xdr:row>
      <xdr:rowOff>142875</xdr:rowOff>
    </xdr:from>
    <xdr:to>
      <xdr:col>4</xdr:col>
      <xdr:colOff>180976</xdr:colOff>
      <xdr:row>9</xdr:row>
      <xdr:rowOff>85725</xdr:rowOff>
    </xdr:to>
    <xdr:sp macro="" textlink="">
      <xdr:nvSpPr>
        <xdr:cNvPr id="2" name="WordArt 5"/>
        <xdr:cNvSpPr>
          <a:spLocks noChangeArrowheads="1" noChangeShapeType="1" noTextEdit="1"/>
        </xdr:cNvSpPr>
      </xdr:nvSpPr>
      <xdr:spPr bwMode="auto">
        <a:xfrm>
          <a:off x="419101" y="742950"/>
          <a:ext cx="2400300" cy="11239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Calasanz</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Valencia</a:t>
          </a:r>
        </a:p>
      </xdr:txBody>
    </xdr:sp>
    <xdr:clientData/>
  </xdr:twoCellAnchor>
  <xdr:twoCellAnchor>
    <xdr:from>
      <xdr:col>33</xdr:col>
      <xdr:colOff>7146</xdr:colOff>
      <xdr:row>32</xdr:row>
      <xdr:rowOff>11905</xdr:rowOff>
    </xdr:from>
    <xdr:to>
      <xdr:col>48</xdr:col>
      <xdr:colOff>588171</xdr:colOff>
      <xdr:row>68</xdr:row>
      <xdr:rowOff>100013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419101</xdr:colOff>
      <xdr:row>3</xdr:row>
      <xdr:rowOff>142875</xdr:rowOff>
    </xdr:from>
    <xdr:to>
      <xdr:col>4</xdr:col>
      <xdr:colOff>180976</xdr:colOff>
      <xdr:row>9</xdr:row>
      <xdr:rowOff>85725</xdr:rowOff>
    </xdr:to>
    <xdr:sp macro="" textlink="">
      <xdr:nvSpPr>
        <xdr:cNvPr id="2" name="WordArt 5"/>
        <xdr:cNvSpPr>
          <a:spLocks noChangeArrowheads="1" noChangeShapeType="1" noTextEdit="1"/>
        </xdr:cNvSpPr>
      </xdr:nvSpPr>
      <xdr:spPr bwMode="auto">
        <a:xfrm>
          <a:off x="419101" y="742950"/>
          <a:ext cx="2400300" cy="11239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Calasanz</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Valencia</a:t>
          </a:r>
        </a:p>
      </xdr:txBody>
    </xdr:sp>
    <xdr:clientData/>
  </xdr:twoCellAnchor>
  <xdr:twoCellAnchor>
    <xdr:from>
      <xdr:col>32</xdr:col>
      <xdr:colOff>92871</xdr:colOff>
      <xdr:row>64</xdr:row>
      <xdr:rowOff>183355</xdr:rowOff>
    </xdr:from>
    <xdr:to>
      <xdr:col>48</xdr:col>
      <xdr:colOff>197646</xdr:colOff>
      <xdr:row>101</xdr:row>
      <xdr:rowOff>80963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419101</xdr:colOff>
      <xdr:row>3</xdr:row>
      <xdr:rowOff>142875</xdr:rowOff>
    </xdr:from>
    <xdr:to>
      <xdr:col>4</xdr:col>
      <xdr:colOff>180976</xdr:colOff>
      <xdr:row>9</xdr:row>
      <xdr:rowOff>85725</xdr:rowOff>
    </xdr:to>
    <xdr:sp macro="" textlink="">
      <xdr:nvSpPr>
        <xdr:cNvPr id="2" name="WordArt 5"/>
        <xdr:cNvSpPr>
          <a:spLocks noChangeArrowheads="1" noChangeShapeType="1" noTextEdit="1"/>
        </xdr:cNvSpPr>
      </xdr:nvSpPr>
      <xdr:spPr bwMode="auto">
        <a:xfrm>
          <a:off x="419101" y="742950"/>
          <a:ext cx="2400300" cy="11239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Cristo Rey</a:t>
          </a:r>
        </a:p>
      </xdr:txBody>
    </xdr:sp>
    <xdr:clientData/>
  </xdr:twoCellAnchor>
  <xdr:twoCellAnchor>
    <xdr:from>
      <xdr:col>33</xdr:col>
      <xdr:colOff>283371</xdr:colOff>
      <xdr:row>56</xdr:row>
      <xdr:rowOff>21430</xdr:rowOff>
    </xdr:from>
    <xdr:to>
      <xdr:col>49</xdr:col>
      <xdr:colOff>102396</xdr:colOff>
      <xdr:row>92</xdr:row>
      <xdr:rowOff>90488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419101</xdr:colOff>
      <xdr:row>3</xdr:row>
      <xdr:rowOff>142875</xdr:rowOff>
    </xdr:from>
    <xdr:to>
      <xdr:col>5</xdr:col>
      <xdr:colOff>361950</xdr:colOff>
      <xdr:row>9</xdr:row>
      <xdr:rowOff>85725</xdr:rowOff>
    </xdr:to>
    <xdr:sp macro="" textlink="">
      <xdr:nvSpPr>
        <xdr:cNvPr id="2" name="WordArt 5"/>
        <xdr:cNvSpPr>
          <a:spLocks noChangeArrowheads="1" noChangeShapeType="1" noTextEdit="1"/>
        </xdr:cNvSpPr>
      </xdr:nvSpPr>
      <xdr:spPr bwMode="auto">
        <a:xfrm>
          <a:off x="419101" y="742950"/>
          <a:ext cx="2924174" cy="11239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Monseñor Romero</a:t>
          </a:r>
        </a:p>
      </xdr:txBody>
    </xdr:sp>
    <xdr:clientData/>
  </xdr:twoCellAnchor>
  <xdr:twoCellAnchor>
    <xdr:from>
      <xdr:col>33</xdr:col>
      <xdr:colOff>54771</xdr:colOff>
      <xdr:row>11</xdr:row>
      <xdr:rowOff>126205</xdr:rowOff>
    </xdr:from>
    <xdr:to>
      <xdr:col>48</xdr:col>
      <xdr:colOff>635796</xdr:colOff>
      <xdr:row>47</xdr:row>
      <xdr:rowOff>157163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419101</xdr:colOff>
      <xdr:row>3</xdr:row>
      <xdr:rowOff>142875</xdr:rowOff>
    </xdr:from>
    <xdr:to>
      <xdr:col>5</xdr:col>
      <xdr:colOff>361950</xdr:colOff>
      <xdr:row>9</xdr:row>
      <xdr:rowOff>85725</xdr:rowOff>
    </xdr:to>
    <xdr:sp macro="" textlink="">
      <xdr:nvSpPr>
        <xdr:cNvPr id="2" name="WordArt 5"/>
        <xdr:cNvSpPr>
          <a:spLocks noChangeArrowheads="1" noChangeShapeType="1" noTextEdit="1"/>
        </xdr:cNvSpPr>
      </xdr:nvSpPr>
      <xdr:spPr bwMode="auto">
        <a:xfrm>
          <a:off x="419101" y="742950"/>
          <a:ext cx="2924174" cy="1123950"/>
        </a:xfrm>
        <a:prstGeom prst="rect">
          <a:avLst/>
        </a:prstGeom>
      </xdr:spPr>
      <xdr:txBody>
        <a:bodyPr wrap="none" fromWordArt="1">
          <a:prstTxWarp prst="textPlain">
            <a:avLst>
              <a:gd name="adj" fmla="val 50000"/>
            </a:avLst>
          </a:prstTxWarp>
        </a:bodyPr>
        <a:lstStyle/>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Colegio </a:t>
          </a:r>
        </a:p>
        <a:p>
          <a:pPr algn="ctr" rtl="0"/>
          <a:r>
            <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Nuestra</a:t>
          </a:r>
          <a:r>
            <a:rPr lang="es-ES" sz="3600" kern="10" spc="0" baseline="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rPr>
            <a:t> Señora de Coromoto</a:t>
          </a:r>
          <a:endParaRPr lang="es-ES" sz="3600" kern="10" spc="0">
            <a:ln w="9525">
              <a:noFill/>
              <a:round/>
              <a:headEnd/>
              <a:tailEnd/>
            </a:ln>
            <a:solidFill>
              <a:srgbClr val="000000"/>
            </a:solidFill>
            <a:effectLst>
              <a:outerShdw dist="45791" dir="2021404" algn="ctr" rotWithShape="0">
                <a:srgbClr val="B2B2B2">
                  <a:alpha val="80000"/>
                </a:srgbClr>
              </a:outerShdw>
            </a:effectLst>
            <a:latin typeface="Times New Roman"/>
            <a:cs typeface="Times New Roman"/>
          </a:endParaRPr>
        </a:p>
      </xdr:txBody>
    </xdr:sp>
    <xdr:clientData/>
  </xdr:twoCellAnchor>
  <xdr:twoCellAnchor>
    <xdr:from>
      <xdr:col>33</xdr:col>
      <xdr:colOff>54771</xdr:colOff>
      <xdr:row>11</xdr:row>
      <xdr:rowOff>126205</xdr:rowOff>
    </xdr:from>
    <xdr:to>
      <xdr:col>48</xdr:col>
      <xdr:colOff>635796</xdr:colOff>
      <xdr:row>47</xdr:row>
      <xdr:rowOff>157163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1"/>
  <sheetViews>
    <sheetView topLeftCell="AA1" workbookViewId="0">
      <selection activeCell="AF1" sqref="AF1"/>
    </sheetView>
  </sheetViews>
  <sheetFormatPr baseColWidth="10" defaultColWidth="17.109375" defaultRowHeight="14.4" x14ac:dyDescent="0.3"/>
  <cols>
    <col min="1" max="1" width="9.5546875" style="97" customWidth="1"/>
    <col min="2" max="16384" width="17.109375" style="97"/>
  </cols>
  <sheetData>
    <row r="1" spans="1:52" ht="12.75" customHeight="1" x14ac:dyDescent="0.3">
      <c r="A1" s="95" t="s">
        <v>750</v>
      </c>
      <c r="B1" s="95" t="s">
        <v>751</v>
      </c>
      <c r="C1" s="95" t="s">
        <v>752</v>
      </c>
      <c r="D1" s="95" t="s">
        <v>753</v>
      </c>
      <c r="E1" s="95" t="s">
        <v>754</v>
      </c>
      <c r="F1" s="95" t="s">
        <v>755</v>
      </c>
      <c r="G1" s="95" t="s">
        <v>756</v>
      </c>
      <c r="H1" s="95" t="s">
        <v>757</v>
      </c>
      <c r="I1" s="95" t="s">
        <v>758</v>
      </c>
      <c r="J1" s="95" t="s">
        <v>759</v>
      </c>
      <c r="K1" s="95" t="s">
        <v>760</v>
      </c>
      <c r="L1" s="95" t="s">
        <v>761</v>
      </c>
      <c r="M1" s="95" t="s">
        <v>762</v>
      </c>
      <c r="N1" s="95" t="s">
        <v>763</v>
      </c>
      <c r="O1" s="95" t="s">
        <v>764</v>
      </c>
      <c r="P1" s="95" t="s">
        <v>765</v>
      </c>
      <c r="Q1" s="95" t="s">
        <v>766</v>
      </c>
      <c r="R1" s="95" t="s">
        <v>767</v>
      </c>
      <c r="S1" s="95" t="s">
        <v>768</v>
      </c>
      <c r="T1" s="95" t="s">
        <v>2</v>
      </c>
      <c r="U1" s="95" t="s">
        <v>1</v>
      </c>
      <c r="V1" s="95" t="s">
        <v>769</v>
      </c>
      <c r="W1" s="95" t="s">
        <v>770</v>
      </c>
      <c r="X1" s="95" t="s">
        <v>771</v>
      </c>
      <c r="Y1" s="95" t="s">
        <v>0</v>
      </c>
      <c r="Z1" s="95" t="s">
        <v>772</v>
      </c>
      <c r="AA1" s="95" t="s">
        <v>773</v>
      </c>
      <c r="AB1" s="95" t="s">
        <v>774</v>
      </c>
      <c r="AC1" s="95" t="s">
        <v>775</v>
      </c>
      <c r="AD1" s="95" t="s">
        <v>776</v>
      </c>
      <c r="AE1" s="95" t="s">
        <v>777</v>
      </c>
      <c r="AF1" s="95" t="s">
        <v>816</v>
      </c>
      <c r="AG1" s="95" t="s">
        <v>778</v>
      </c>
      <c r="AH1" s="95" t="s">
        <v>779</v>
      </c>
      <c r="AI1" s="95" t="s">
        <v>780</v>
      </c>
      <c r="AJ1" s="95" t="s">
        <v>513</v>
      </c>
      <c r="AK1" s="95" t="s">
        <v>781</v>
      </c>
      <c r="AL1" s="95" t="s">
        <v>782</v>
      </c>
      <c r="AM1" s="95" t="s">
        <v>514</v>
      </c>
      <c r="AN1" s="95" t="s">
        <v>783</v>
      </c>
      <c r="AO1" s="95" t="s">
        <v>515</v>
      </c>
      <c r="AP1" s="95" t="s">
        <v>516</v>
      </c>
      <c r="AQ1" s="95" t="s">
        <v>517</v>
      </c>
      <c r="AR1" s="95" t="s">
        <v>784</v>
      </c>
      <c r="AS1" s="95" t="s">
        <v>785</v>
      </c>
      <c r="AT1" s="95" t="s">
        <v>786</v>
      </c>
      <c r="AU1" s="95" t="s">
        <v>518</v>
      </c>
      <c r="AV1" s="95" t="s">
        <v>787</v>
      </c>
      <c r="AW1" s="95" t="s">
        <v>788</v>
      </c>
      <c r="AX1" s="95" t="s">
        <v>789</v>
      </c>
      <c r="AY1" s="95" t="s">
        <v>790</v>
      </c>
      <c r="AZ1" s="96" t="s">
        <v>817</v>
      </c>
    </row>
    <row r="2" spans="1:52" ht="12.75" customHeight="1" x14ac:dyDescent="0.3">
      <c r="A2" s="98">
        <v>42038.402743055558</v>
      </c>
      <c r="B2" s="99" t="s">
        <v>1049</v>
      </c>
      <c r="C2" s="99" t="s">
        <v>580</v>
      </c>
      <c r="D2" s="99" t="s">
        <v>331</v>
      </c>
      <c r="E2" s="99" t="s">
        <v>330</v>
      </c>
      <c r="F2" s="99" t="s">
        <v>317</v>
      </c>
      <c r="G2" s="99" t="s">
        <v>451</v>
      </c>
      <c r="H2" s="99" t="s">
        <v>5</v>
      </c>
      <c r="I2" s="99" t="s">
        <v>345</v>
      </c>
      <c r="J2" s="99" t="s">
        <v>1165</v>
      </c>
      <c r="K2" s="99" t="s">
        <v>354</v>
      </c>
      <c r="L2" s="99" t="s">
        <v>731</v>
      </c>
      <c r="M2" s="99" t="s">
        <v>314</v>
      </c>
      <c r="N2" s="99" t="s">
        <v>313</v>
      </c>
      <c r="O2" s="99" t="s">
        <v>313</v>
      </c>
      <c r="P2" s="99" t="s">
        <v>4</v>
      </c>
      <c r="Q2" s="99" t="s">
        <v>670</v>
      </c>
      <c r="R2" s="99" t="s">
        <v>327</v>
      </c>
      <c r="S2" s="99" t="s">
        <v>1166</v>
      </c>
      <c r="T2" s="99" t="s">
        <v>366</v>
      </c>
      <c r="U2" s="99" t="s">
        <v>311</v>
      </c>
      <c r="V2" s="99" t="s">
        <v>379</v>
      </c>
      <c r="W2" s="99" t="s">
        <v>370</v>
      </c>
      <c r="X2" s="99" t="s">
        <v>310</v>
      </c>
      <c r="Y2" s="99" t="s">
        <v>316</v>
      </c>
      <c r="Z2" s="99" t="s">
        <v>316</v>
      </c>
      <c r="AA2" s="99" t="s">
        <v>408</v>
      </c>
      <c r="AB2" s="99" t="s">
        <v>336</v>
      </c>
      <c r="AC2" s="99" t="s">
        <v>351</v>
      </c>
      <c r="AD2" s="99" t="s">
        <v>344</v>
      </c>
      <c r="AE2" s="99" t="s">
        <v>532</v>
      </c>
      <c r="AF2" s="99" t="s">
        <v>1028</v>
      </c>
      <c r="AG2" s="99" t="s">
        <v>323</v>
      </c>
      <c r="AH2" s="99" t="s">
        <v>303</v>
      </c>
      <c r="AI2" s="99" t="s">
        <v>304</v>
      </c>
      <c r="AJ2" s="99" t="s">
        <v>304</v>
      </c>
      <c r="AK2" s="99" t="s">
        <v>303</v>
      </c>
      <c r="AL2" s="99" t="s">
        <v>303</v>
      </c>
      <c r="AM2" s="99" t="s">
        <v>304</v>
      </c>
      <c r="AN2" s="99" t="s">
        <v>302</v>
      </c>
      <c r="AO2" s="99" t="s">
        <v>303</v>
      </c>
      <c r="AP2" s="99" t="s">
        <v>303</v>
      </c>
      <c r="AQ2" s="99" t="s">
        <v>303</v>
      </c>
      <c r="AR2" s="99" t="s">
        <v>322</v>
      </c>
      <c r="AS2" s="99" t="s">
        <v>300</v>
      </c>
      <c r="AT2" s="99" t="s">
        <v>321</v>
      </c>
      <c r="AU2" s="99" t="s">
        <v>320</v>
      </c>
      <c r="AV2" s="99" t="s">
        <v>547</v>
      </c>
      <c r="AW2" s="99" t="s">
        <v>351</v>
      </c>
      <c r="AX2" s="99" t="s">
        <v>341</v>
      </c>
      <c r="AY2" s="99" t="s">
        <v>1167</v>
      </c>
    </row>
    <row r="3" spans="1:52" ht="12.75" customHeight="1" x14ac:dyDescent="0.3">
      <c r="A3" s="98">
        <v>42038.402939814812</v>
      </c>
      <c r="B3" s="99" t="s">
        <v>1049</v>
      </c>
      <c r="C3" s="99" t="s">
        <v>580</v>
      </c>
      <c r="D3" s="99" t="s">
        <v>331</v>
      </c>
      <c r="E3" s="99" t="s">
        <v>330</v>
      </c>
      <c r="F3" s="99" t="s">
        <v>317</v>
      </c>
      <c r="G3" s="99" t="s">
        <v>446</v>
      </c>
      <c r="H3" s="99" t="s">
        <v>5</v>
      </c>
      <c r="I3" s="99" t="s">
        <v>345</v>
      </c>
      <c r="J3" s="99" t="s">
        <v>1168</v>
      </c>
      <c r="K3" s="99" t="s">
        <v>315</v>
      </c>
      <c r="L3" s="99" t="s">
        <v>439</v>
      </c>
      <c r="M3" s="99" t="s">
        <v>562</v>
      </c>
      <c r="N3" s="99" t="s">
        <v>313</v>
      </c>
      <c r="O3" s="99" t="s">
        <v>327</v>
      </c>
      <c r="P3" s="99" t="s">
        <v>4</v>
      </c>
      <c r="Q3" s="99" t="s">
        <v>1169</v>
      </c>
      <c r="R3" s="99" t="s">
        <v>327</v>
      </c>
      <c r="S3" s="99" t="s">
        <v>1170</v>
      </c>
      <c r="T3" s="99" t="s">
        <v>380</v>
      </c>
      <c r="U3" s="99" t="s">
        <v>530</v>
      </c>
      <c r="V3" s="99" t="s">
        <v>1171</v>
      </c>
      <c r="W3" s="99" t="s">
        <v>325</v>
      </c>
      <c r="X3" s="99" t="s">
        <v>310</v>
      </c>
      <c r="Y3" s="99" t="s">
        <v>316</v>
      </c>
      <c r="Z3" s="99" t="s">
        <v>316</v>
      </c>
      <c r="AA3" s="99" t="s">
        <v>1172</v>
      </c>
      <c r="AB3" s="99" t="s">
        <v>389</v>
      </c>
      <c r="AC3" s="99" t="s">
        <v>296</v>
      </c>
      <c r="AD3" s="99" t="s">
        <v>920</v>
      </c>
      <c r="AE3" s="99" t="s">
        <v>532</v>
      </c>
      <c r="AF3" s="99" t="s">
        <v>466</v>
      </c>
      <c r="AG3" s="99" t="s">
        <v>306</v>
      </c>
      <c r="AH3" s="99" t="s">
        <v>302</v>
      </c>
      <c r="AI3" s="99" t="s">
        <v>305</v>
      </c>
      <c r="AJ3" s="99" t="s">
        <v>302</v>
      </c>
      <c r="AK3" s="99" t="s">
        <v>302</v>
      </c>
      <c r="AL3" s="99" t="s">
        <v>302</v>
      </c>
      <c r="AM3" s="99" t="s">
        <v>305</v>
      </c>
      <c r="AN3" s="99" t="s">
        <v>302</v>
      </c>
      <c r="AO3" s="99" t="s">
        <v>302</v>
      </c>
      <c r="AP3" s="99" t="s">
        <v>302</v>
      </c>
      <c r="AQ3" s="99" t="s">
        <v>302</v>
      </c>
      <c r="AR3" s="99" t="s">
        <v>343</v>
      </c>
      <c r="AS3" s="99" t="s">
        <v>300</v>
      </c>
      <c r="AT3" s="99" t="s">
        <v>299</v>
      </c>
      <c r="AU3" s="99" t="s">
        <v>320</v>
      </c>
      <c r="AV3" s="99" t="s">
        <v>333</v>
      </c>
      <c r="AW3" s="99" t="s">
        <v>381</v>
      </c>
      <c r="AX3" s="99" t="s">
        <v>375</v>
      </c>
      <c r="AY3" s="99" t="s">
        <v>402</v>
      </c>
    </row>
    <row r="4" spans="1:52" ht="12.75" customHeight="1" x14ac:dyDescent="0.3">
      <c r="A4" s="98">
        <v>42038.403599537036</v>
      </c>
      <c r="B4" s="99" t="s">
        <v>1049</v>
      </c>
      <c r="C4" s="99" t="s">
        <v>580</v>
      </c>
      <c r="D4" s="99" t="s">
        <v>331</v>
      </c>
      <c r="E4" s="99" t="s">
        <v>330</v>
      </c>
      <c r="F4" s="99" t="s">
        <v>317</v>
      </c>
      <c r="G4" s="99" t="s">
        <v>407</v>
      </c>
      <c r="H4" s="99" t="s">
        <v>5</v>
      </c>
      <c r="I4" s="99" t="s">
        <v>309</v>
      </c>
      <c r="J4" s="99" t="s">
        <v>1173</v>
      </c>
      <c r="K4" s="99" t="s">
        <v>315</v>
      </c>
      <c r="L4" s="99" t="s">
        <v>417</v>
      </c>
      <c r="M4" s="99" t="s">
        <v>651</v>
      </c>
      <c r="N4" s="99" t="s">
        <v>327</v>
      </c>
      <c r="O4" s="99" t="s">
        <v>313</v>
      </c>
      <c r="P4" s="99" t="s">
        <v>327</v>
      </c>
      <c r="Q4" s="99" t="s">
        <v>566</v>
      </c>
      <c r="R4" s="99" t="s">
        <v>327</v>
      </c>
      <c r="S4" s="99" t="s">
        <v>900</v>
      </c>
      <c r="T4" s="99" t="s">
        <v>312</v>
      </c>
      <c r="U4" s="99" t="s">
        <v>530</v>
      </c>
      <c r="V4" s="99" t="s">
        <v>382</v>
      </c>
      <c r="W4" s="99" t="s">
        <v>325</v>
      </c>
      <c r="X4" s="99" t="s">
        <v>352</v>
      </c>
      <c r="Y4" s="99" t="s">
        <v>316</v>
      </c>
      <c r="Z4" s="99" t="s">
        <v>316</v>
      </c>
      <c r="AA4" s="99" t="s">
        <v>472</v>
      </c>
      <c r="AB4" s="99" t="s">
        <v>308</v>
      </c>
      <c r="AC4" s="99" t="s">
        <v>324</v>
      </c>
      <c r="AD4" s="99" t="s">
        <v>426</v>
      </c>
      <c r="AE4" s="99" t="s">
        <v>535</v>
      </c>
      <c r="AF4" s="99" t="s">
        <v>1174</v>
      </c>
      <c r="AG4" s="99" t="s">
        <v>306</v>
      </c>
      <c r="AH4" s="99" t="s">
        <v>304</v>
      </c>
      <c r="AI4" s="99" t="s">
        <v>304</v>
      </c>
      <c r="AJ4" s="99" t="s">
        <v>303</v>
      </c>
      <c r="AK4" s="99" t="s">
        <v>304</v>
      </c>
      <c r="AL4" s="99" t="s">
        <v>303</v>
      </c>
      <c r="AM4" s="99" t="s">
        <v>302</v>
      </c>
      <c r="AN4" s="99" t="s">
        <v>303</v>
      </c>
      <c r="AO4" s="99" t="s">
        <v>302</v>
      </c>
      <c r="AP4" s="99" t="s">
        <v>302</v>
      </c>
      <c r="AQ4" s="99" t="s">
        <v>302</v>
      </c>
      <c r="AR4" s="99" t="s">
        <v>301</v>
      </c>
      <c r="AS4" s="99" t="s">
        <v>350</v>
      </c>
      <c r="AT4" s="99" t="s">
        <v>321</v>
      </c>
      <c r="AU4" s="99" t="s">
        <v>320</v>
      </c>
      <c r="AV4" s="99" t="s">
        <v>536</v>
      </c>
      <c r="AW4" s="99" t="s">
        <v>324</v>
      </c>
      <c r="AX4" s="99" t="s">
        <v>319</v>
      </c>
      <c r="AY4" s="99" t="s">
        <v>385</v>
      </c>
    </row>
    <row r="5" spans="1:52" ht="12.75" customHeight="1" x14ac:dyDescent="0.3">
      <c r="A5" s="98">
        <v>42038.405497685184</v>
      </c>
      <c r="B5" s="99" t="s">
        <v>1049</v>
      </c>
      <c r="C5" s="99" t="s">
        <v>580</v>
      </c>
      <c r="D5" s="99" t="s">
        <v>331</v>
      </c>
      <c r="E5" s="99" t="s">
        <v>3</v>
      </c>
      <c r="F5" s="99" t="s">
        <v>317</v>
      </c>
      <c r="G5" s="99" t="s">
        <v>561</v>
      </c>
      <c r="H5" s="99" t="s">
        <v>5</v>
      </c>
      <c r="I5" s="99" t="s">
        <v>309</v>
      </c>
      <c r="J5" s="99" t="s">
        <v>1175</v>
      </c>
      <c r="K5" s="99" t="s">
        <v>354</v>
      </c>
      <c r="L5" s="99" t="s">
        <v>429</v>
      </c>
      <c r="M5" s="99" t="s">
        <v>377</v>
      </c>
      <c r="N5" s="99" t="s">
        <v>313</v>
      </c>
      <c r="O5" s="99" t="s">
        <v>313</v>
      </c>
      <c r="P5" s="99" t="s">
        <v>313</v>
      </c>
      <c r="Q5" s="99" t="s">
        <v>405</v>
      </c>
      <c r="R5" s="99" t="s">
        <v>4</v>
      </c>
      <c r="S5" s="99" t="s">
        <v>397</v>
      </c>
      <c r="T5" s="99" t="s">
        <v>326</v>
      </c>
      <c r="U5" s="99" t="s">
        <v>530</v>
      </c>
      <c r="V5" s="99" t="s">
        <v>428</v>
      </c>
      <c r="W5" s="99" t="s">
        <v>338</v>
      </c>
      <c r="X5" s="99" t="s">
        <v>346</v>
      </c>
      <c r="Y5" s="99" t="s">
        <v>316</v>
      </c>
      <c r="Z5" s="99" t="s">
        <v>316</v>
      </c>
      <c r="AA5" s="99" t="s">
        <v>705</v>
      </c>
      <c r="AB5" s="99" t="s">
        <v>389</v>
      </c>
      <c r="AC5" s="99" t="s">
        <v>324</v>
      </c>
      <c r="AD5" s="99" t="s">
        <v>388</v>
      </c>
      <c r="AE5" s="99" t="s">
        <v>542</v>
      </c>
      <c r="AF5" s="99" t="s">
        <v>946</v>
      </c>
      <c r="AG5" s="99" t="s">
        <v>323</v>
      </c>
      <c r="AH5" s="99" t="s">
        <v>304</v>
      </c>
      <c r="AI5" s="99" t="s">
        <v>304</v>
      </c>
      <c r="AJ5" s="99" t="s">
        <v>303</v>
      </c>
      <c r="AK5" s="99" t="s">
        <v>303</v>
      </c>
      <c r="AL5" s="99" t="s">
        <v>303</v>
      </c>
      <c r="AM5" s="99" t="s">
        <v>303</v>
      </c>
      <c r="AN5" s="99" t="s">
        <v>6</v>
      </c>
      <c r="AO5" s="99" t="s">
        <v>303</v>
      </c>
      <c r="AP5" s="99" t="s">
        <v>6</v>
      </c>
      <c r="AQ5" s="99" t="s">
        <v>303</v>
      </c>
      <c r="AR5" s="99" t="s">
        <v>301</v>
      </c>
      <c r="AS5" s="99" t="s">
        <v>300</v>
      </c>
      <c r="AT5" s="99" t="s">
        <v>360</v>
      </c>
      <c r="AU5" s="99" t="s">
        <v>320</v>
      </c>
      <c r="AV5" s="99" t="s">
        <v>364</v>
      </c>
      <c r="AW5" s="99" t="s">
        <v>307</v>
      </c>
      <c r="AX5" s="99" t="s">
        <v>341</v>
      </c>
      <c r="AY5" s="99" t="s">
        <v>586</v>
      </c>
    </row>
    <row r="6" spans="1:52" ht="12.75" customHeight="1" x14ac:dyDescent="0.3">
      <c r="A6" s="98">
        <v>42038.406446759262</v>
      </c>
      <c r="B6" s="99" t="s">
        <v>1049</v>
      </c>
      <c r="C6" s="99" t="s">
        <v>580</v>
      </c>
      <c r="D6" s="99" t="s">
        <v>529</v>
      </c>
      <c r="E6" s="99" t="s">
        <v>3</v>
      </c>
      <c r="F6" s="99" t="s">
        <v>317</v>
      </c>
      <c r="G6" s="99" t="s">
        <v>412</v>
      </c>
      <c r="H6" s="99" t="s">
        <v>390</v>
      </c>
      <c r="I6" s="99" t="s">
        <v>309</v>
      </c>
      <c r="J6" s="99" t="s">
        <v>1153</v>
      </c>
      <c r="K6" s="99" t="s">
        <v>328</v>
      </c>
      <c r="L6" s="99" t="s">
        <v>1176</v>
      </c>
      <c r="M6" s="99" t="s">
        <v>314</v>
      </c>
      <c r="N6" s="99"/>
      <c r="O6" s="99" t="s">
        <v>374</v>
      </c>
      <c r="P6" s="99" t="s">
        <v>327</v>
      </c>
      <c r="Q6" s="99" t="s">
        <v>554</v>
      </c>
      <c r="R6" s="99" t="s">
        <v>327</v>
      </c>
      <c r="S6" s="99" t="s">
        <v>1177</v>
      </c>
      <c r="T6" s="99" t="s">
        <v>366</v>
      </c>
      <c r="U6" s="99" t="s">
        <v>373</v>
      </c>
      <c r="V6" s="99" t="s">
        <v>382</v>
      </c>
      <c r="W6" s="99" t="s">
        <v>338</v>
      </c>
      <c r="X6" s="99" t="s">
        <v>346</v>
      </c>
      <c r="Y6" s="99" t="s">
        <v>316</v>
      </c>
      <c r="Z6" s="99" t="s">
        <v>316</v>
      </c>
      <c r="AA6" s="99" t="s">
        <v>653</v>
      </c>
      <c r="AB6" s="99" t="s">
        <v>336</v>
      </c>
      <c r="AC6" s="99" t="s">
        <v>351</v>
      </c>
      <c r="AD6" s="99" t="s">
        <v>467</v>
      </c>
      <c r="AE6" s="99" t="s">
        <v>532</v>
      </c>
      <c r="AF6" s="99" t="s">
        <v>805</v>
      </c>
      <c r="AG6" s="99" t="s">
        <v>306</v>
      </c>
      <c r="AH6" s="99" t="s">
        <v>302</v>
      </c>
      <c r="AI6" s="99"/>
      <c r="AJ6" s="99" t="s">
        <v>302</v>
      </c>
      <c r="AK6" s="99" t="s">
        <v>302</v>
      </c>
      <c r="AL6" s="99" t="s">
        <v>302</v>
      </c>
      <c r="AM6" s="99" t="s">
        <v>302</v>
      </c>
      <c r="AN6" s="99" t="s">
        <v>302</v>
      </c>
      <c r="AO6" s="99" t="s">
        <v>302</v>
      </c>
      <c r="AP6" s="99" t="s">
        <v>302</v>
      </c>
      <c r="AQ6" s="99" t="s">
        <v>302</v>
      </c>
      <c r="AR6" s="99" t="s">
        <v>365</v>
      </c>
      <c r="AS6" s="99" t="s">
        <v>350</v>
      </c>
      <c r="AT6" s="99" t="s">
        <v>355</v>
      </c>
      <c r="AU6" s="99" t="s">
        <v>320</v>
      </c>
      <c r="AV6" s="99" t="s">
        <v>536</v>
      </c>
      <c r="AW6" s="99" t="s">
        <v>307</v>
      </c>
      <c r="AX6" s="99" t="s">
        <v>319</v>
      </c>
      <c r="AY6" s="99" t="s">
        <v>654</v>
      </c>
    </row>
    <row r="7" spans="1:52" ht="12.75" customHeight="1" x14ac:dyDescent="0.3">
      <c r="A7" s="98">
        <v>42038.406817129631</v>
      </c>
      <c r="B7" s="99" t="s">
        <v>1049</v>
      </c>
      <c r="C7" s="99" t="s">
        <v>580</v>
      </c>
      <c r="D7" s="99" t="s">
        <v>529</v>
      </c>
      <c r="E7" s="99" t="s">
        <v>330</v>
      </c>
      <c r="F7" s="99" t="s">
        <v>372</v>
      </c>
      <c r="G7" s="99" t="s">
        <v>407</v>
      </c>
      <c r="H7" s="99" t="s">
        <v>823</v>
      </c>
      <c r="I7" s="99" t="s">
        <v>345</v>
      </c>
      <c r="J7" s="99" t="s">
        <v>1178</v>
      </c>
      <c r="K7" s="99" t="s">
        <v>328</v>
      </c>
      <c r="L7" s="99" t="s">
        <v>1179</v>
      </c>
      <c r="M7" s="99" t="s">
        <v>314</v>
      </c>
      <c r="N7" s="99" t="s">
        <v>313</v>
      </c>
      <c r="O7" s="99" t="s">
        <v>4</v>
      </c>
      <c r="P7" s="99" t="s">
        <v>313</v>
      </c>
      <c r="Q7" s="99" t="s">
        <v>411</v>
      </c>
      <c r="R7" s="99" t="s">
        <v>327</v>
      </c>
      <c r="S7" s="99" t="s">
        <v>1180</v>
      </c>
      <c r="T7" s="99" t="s">
        <v>380</v>
      </c>
      <c r="U7" s="99" t="s">
        <v>373</v>
      </c>
      <c r="V7" s="99" t="s">
        <v>1092</v>
      </c>
      <c r="W7" s="99" t="s">
        <v>1181</v>
      </c>
      <c r="X7" s="99" t="s">
        <v>337</v>
      </c>
      <c r="Y7" s="99" t="s">
        <v>316</v>
      </c>
      <c r="Z7" s="99" t="s">
        <v>316</v>
      </c>
      <c r="AA7" s="99" t="s">
        <v>1182</v>
      </c>
      <c r="AB7" s="99" t="s">
        <v>308</v>
      </c>
      <c r="AC7" s="99" t="s">
        <v>296</v>
      </c>
      <c r="AD7" s="99" t="s">
        <v>477</v>
      </c>
      <c r="AE7" s="99" t="s">
        <v>545</v>
      </c>
      <c r="AF7" s="99" t="s">
        <v>1183</v>
      </c>
      <c r="AG7" s="99" t="s">
        <v>400</v>
      </c>
      <c r="AH7" s="99" t="s">
        <v>303</v>
      </c>
      <c r="AI7" s="99" t="s">
        <v>304</v>
      </c>
      <c r="AJ7" s="99" t="s">
        <v>295</v>
      </c>
      <c r="AK7" s="99" t="s">
        <v>6</v>
      </c>
      <c r="AL7" s="99" t="s">
        <v>6</v>
      </c>
      <c r="AM7" s="99" t="s">
        <v>302</v>
      </c>
      <c r="AN7" s="99"/>
      <c r="AO7" s="99" t="s">
        <v>304</v>
      </c>
      <c r="AP7" s="99" t="s">
        <v>304</v>
      </c>
      <c r="AQ7" s="99" t="s">
        <v>304</v>
      </c>
      <c r="AR7" s="99" t="s">
        <v>541</v>
      </c>
      <c r="AS7" s="99" t="s">
        <v>489</v>
      </c>
      <c r="AT7" s="99" t="s">
        <v>299</v>
      </c>
      <c r="AU7" s="99" t="s">
        <v>660</v>
      </c>
      <c r="AV7" s="99" t="s">
        <v>547</v>
      </c>
      <c r="AW7" s="99" t="s">
        <v>324</v>
      </c>
      <c r="AX7" s="99" t="s">
        <v>319</v>
      </c>
      <c r="AY7" s="99" t="s">
        <v>1095</v>
      </c>
    </row>
    <row r="8" spans="1:52" ht="12.75" customHeight="1" x14ac:dyDescent="0.3">
      <c r="A8" s="98">
        <v>42038.407268518517</v>
      </c>
      <c r="B8" s="99" t="s">
        <v>1049</v>
      </c>
      <c r="C8" s="99" t="s">
        <v>580</v>
      </c>
      <c r="D8" s="99" t="s">
        <v>331</v>
      </c>
      <c r="E8" s="99" t="s">
        <v>330</v>
      </c>
      <c r="F8" s="99" t="s">
        <v>317</v>
      </c>
      <c r="G8" s="99" t="s">
        <v>423</v>
      </c>
      <c r="H8" s="99" t="s">
        <v>5</v>
      </c>
      <c r="I8" s="99" t="s">
        <v>345</v>
      </c>
      <c r="J8" s="99" t="s">
        <v>1184</v>
      </c>
      <c r="K8" s="99" t="s">
        <v>328</v>
      </c>
      <c r="L8" s="99" t="s">
        <v>439</v>
      </c>
      <c r="M8" s="99" t="s">
        <v>314</v>
      </c>
      <c r="N8" s="99" t="s">
        <v>4</v>
      </c>
      <c r="O8" s="99" t="s">
        <v>4</v>
      </c>
      <c r="P8" s="99" t="s">
        <v>4</v>
      </c>
      <c r="Q8" s="99" t="s">
        <v>471</v>
      </c>
      <c r="R8" s="99" t="s">
        <v>4</v>
      </c>
      <c r="S8" s="99" t="s">
        <v>1185</v>
      </c>
      <c r="T8" s="99" t="s">
        <v>326</v>
      </c>
      <c r="U8" s="99" t="s">
        <v>530</v>
      </c>
      <c r="V8" s="99" t="s">
        <v>362</v>
      </c>
      <c r="W8" s="99" t="s">
        <v>325</v>
      </c>
      <c r="X8" s="99" t="s">
        <v>352</v>
      </c>
      <c r="Y8" s="99" t="s">
        <v>316</v>
      </c>
      <c r="Z8" s="99" t="s">
        <v>316</v>
      </c>
      <c r="AA8" s="99" t="s">
        <v>472</v>
      </c>
      <c r="AB8" s="99" t="s">
        <v>336</v>
      </c>
      <c r="AC8" s="99" t="s">
        <v>324</v>
      </c>
      <c r="AD8" s="99" t="s">
        <v>448</v>
      </c>
      <c r="AE8" s="99" t="s">
        <v>545</v>
      </c>
      <c r="AF8" s="99" t="s">
        <v>814</v>
      </c>
      <c r="AG8" s="99" t="s">
        <v>323</v>
      </c>
      <c r="AH8" s="99" t="s">
        <v>303</v>
      </c>
      <c r="AI8" s="99" t="s">
        <v>302</v>
      </c>
      <c r="AJ8" s="99" t="s">
        <v>303</v>
      </c>
      <c r="AK8" s="99" t="s">
        <v>304</v>
      </c>
      <c r="AL8" s="99" t="s">
        <v>303</v>
      </c>
      <c r="AM8" s="99" t="s">
        <v>303</v>
      </c>
      <c r="AN8" s="99" t="s">
        <v>303</v>
      </c>
      <c r="AO8" s="99" t="s">
        <v>304</v>
      </c>
      <c r="AP8" s="99" t="s">
        <v>303</v>
      </c>
      <c r="AQ8" s="99" t="s">
        <v>303</v>
      </c>
      <c r="AR8" s="99" t="s">
        <v>322</v>
      </c>
      <c r="AS8" s="99" t="s">
        <v>300</v>
      </c>
      <c r="AT8" s="99" t="s">
        <v>321</v>
      </c>
      <c r="AU8" s="99" t="s">
        <v>342</v>
      </c>
      <c r="AV8" s="99" t="s">
        <v>547</v>
      </c>
      <c r="AW8" s="99" t="s">
        <v>351</v>
      </c>
      <c r="AX8" s="99" t="s">
        <v>341</v>
      </c>
      <c r="AY8" s="99" t="s">
        <v>1080</v>
      </c>
    </row>
    <row r="9" spans="1:52" ht="12.75" customHeight="1" x14ac:dyDescent="0.3">
      <c r="A9" s="98">
        <v>42038.40761574074</v>
      </c>
      <c r="B9" s="99" t="s">
        <v>1049</v>
      </c>
      <c r="C9" s="99" t="s">
        <v>580</v>
      </c>
      <c r="D9" s="99" t="s">
        <v>331</v>
      </c>
      <c r="E9" s="99" t="s">
        <v>3</v>
      </c>
      <c r="F9" s="99" t="s">
        <v>317</v>
      </c>
      <c r="G9" s="99" t="s">
        <v>407</v>
      </c>
      <c r="H9" s="99" t="s">
        <v>5</v>
      </c>
      <c r="I9" s="99" t="s">
        <v>345</v>
      </c>
      <c r="J9" s="99" t="s">
        <v>544</v>
      </c>
      <c r="K9" s="99" t="s">
        <v>359</v>
      </c>
      <c r="L9" s="99" t="s">
        <v>704</v>
      </c>
      <c r="M9" s="99" t="s">
        <v>353</v>
      </c>
      <c r="N9" s="99" t="s">
        <v>313</v>
      </c>
      <c r="O9" s="99" t="s">
        <v>313</v>
      </c>
      <c r="P9" s="99" t="s">
        <v>4</v>
      </c>
      <c r="Q9" s="99" t="s">
        <v>1186</v>
      </c>
      <c r="R9" s="99" t="s">
        <v>4</v>
      </c>
      <c r="S9" s="99" t="s">
        <v>1187</v>
      </c>
      <c r="T9" s="99" t="s">
        <v>326</v>
      </c>
      <c r="U9" s="99" t="s">
        <v>530</v>
      </c>
      <c r="V9" s="99" t="s">
        <v>853</v>
      </c>
      <c r="W9" s="99" t="s">
        <v>1181</v>
      </c>
      <c r="X9" s="99" t="s">
        <v>310</v>
      </c>
      <c r="Y9" s="99" t="s">
        <v>316</v>
      </c>
      <c r="Z9" s="99" t="s">
        <v>316</v>
      </c>
      <c r="AA9" s="99" t="s">
        <v>531</v>
      </c>
      <c r="AB9" s="99"/>
      <c r="AC9" s="99" t="s">
        <v>324</v>
      </c>
      <c r="AD9" s="99" t="s">
        <v>869</v>
      </c>
      <c r="AE9" s="99" t="s">
        <v>542</v>
      </c>
      <c r="AF9" s="99" t="s">
        <v>1188</v>
      </c>
      <c r="AG9" s="99" t="s">
        <v>323</v>
      </c>
      <c r="AH9" s="99" t="s">
        <v>305</v>
      </c>
      <c r="AI9" s="99" t="s">
        <v>6</v>
      </c>
      <c r="AJ9" s="99" t="s">
        <v>305</v>
      </c>
      <c r="AK9" s="99" t="s">
        <v>6</v>
      </c>
      <c r="AL9" s="99" t="s">
        <v>302</v>
      </c>
      <c r="AM9" s="99" t="s">
        <v>303</v>
      </c>
      <c r="AN9" s="99" t="s">
        <v>6</v>
      </c>
      <c r="AO9" s="99" t="s">
        <v>305</v>
      </c>
      <c r="AP9" s="99" t="s">
        <v>6</v>
      </c>
      <c r="AQ9" s="99" t="s">
        <v>303</v>
      </c>
      <c r="AR9" s="99" t="s">
        <v>343</v>
      </c>
      <c r="AS9" s="99" t="s">
        <v>300</v>
      </c>
      <c r="AT9" s="99" t="s">
        <v>299</v>
      </c>
      <c r="AU9" s="99" t="s">
        <v>660</v>
      </c>
      <c r="AV9" s="99" t="s">
        <v>547</v>
      </c>
      <c r="AW9" s="99" t="s">
        <v>324</v>
      </c>
      <c r="AX9" s="99" t="s">
        <v>549</v>
      </c>
      <c r="AY9" s="99" t="s">
        <v>418</v>
      </c>
    </row>
    <row r="10" spans="1:52" ht="12.75" customHeight="1" x14ac:dyDescent="0.3">
      <c r="A10" s="98">
        <v>42038.407569444447</v>
      </c>
      <c r="B10" s="99" t="s">
        <v>1049</v>
      </c>
      <c r="C10" s="99" t="s">
        <v>580</v>
      </c>
      <c r="D10" s="99" t="s">
        <v>529</v>
      </c>
      <c r="E10" s="99" t="s">
        <v>3</v>
      </c>
      <c r="F10" s="99" t="s">
        <v>372</v>
      </c>
      <c r="G10" s="99" t="s">
        <v>493</v>
      </c>
      <c r="H10" s="99" t="s">
        <v>5</v>
      </c>
      <c r="I10" s="99" t="s">
        <v>309</v>
      </c>
      <c r="J10" s="99" t="s">
        <v>1189</v>
      </c>
      <c r="K10" s="99" t="s">
        <v>354</v>
      </c>
      <c r="L10" s="99" t="s">
        <v>450</v>
      </c>
      <c r="M10" s="99" t="s">
        <v>314</v>
      </c>
      <c r="N10" s="99" t="s">
        <v>313</v>
      </c>
      <c r="O10" s="99" t="s">
        <v>313</v>
      </c>
      <c r="P10" s="99" t="s">
        <v>4</v>
      </c>
      <c r="Q10" s="99" t="s">
        <v>566</v>
      </c>
      <c r="R10" s="99" t="s">
        <v>327</v>
      </c>
      <c r="S10" s="99" t="s">
        <v>1190</v>
      </c>
      <c r="T10" s="99" t="s">
        <v>366</v>
      </c>
      <c r="U10" s="99" t="s">
        <v>530</v>
      </c>
      <c r="V10" s="99" t="s">
        <v>1191</v>
      </c>
      <c r="W10" s="99" t="s">
        <v>1192</v>
      </c>
      <c r="X10" s="99" t="s">
        <v>310</v>
      </c>
      <c r="Y10" s="99" t="s">
        <v>316</v>
      </c>
      <c r="Z10" s="99" t="s">
        <v>345</v>
      </c>
      <c r="AA10" s="99" t="s">
        <v>691</v>
      </c>
      <c r="AB10" s="99" t="s">
        <v>358</v>
      </c>
      <c r="AC10" s="99" t="s">
        <v>296</v>
      </c>
      <c r="AD10" s="99" t="s">
        <v>414</v>
      </c>
      <c r="AE10" s="99" t="s">
        <v>532</v>
      </c>
      <c r="AF10" s="99" t="s">
        <v>1193</v>
      </c>
      <c r="AG10" s="99" t="s">
        <v>323</v>
      </c>
      <c r="AH10" s="99" t="s">
        <v>302</v>
      </c>
      <c r="AI10" s="99" t="s">
        <v>302</v>
      </c>
      <c r="AJ10" s="99" t="s">
        <v>302</v>
      </c>
      <c r="AK10" s="99" t="s">
        <v>302</v>
      </c>
      <c r="AL10" s="99" t="s">
        <v>303</v>
      </c>
      <c r="AM10" s="99" t="s">
        <v>304</v>
      </c>
      <c r="AN10" s="99" t="s">
        <v>304</v>
      </c>
      <c r="AO10" s="99" t="s">
        <v>304</v>
      </c>
      <c r="AP10" s="99" t="s">
        <v>304</v>
      </c>
      <c r="AQ10" s="99" t="s">
        <v>303</v>
      </c>
      <c r="AR10" s="99" t="s">
        <v>343</v>
      </c>
      <c r="AS10" s="99" t="s">
        <v>300</v>
      </c>
      <c r="AT10" s="99" t="s">
        <v>355</v>
      </c>
      <c r="AU10" s="99" t="s">
        <v>298</v>
      </c>
      <c r="AV10" s="99" t="s">
        <v>364</v>
      </c>
      <c r="AW10" s="99" t="s">
        <v>307</v>
      </c>
      <c r="AX10" s="99" t="s">
        <v>319</v>
      </c>
      <c r="AY10" s="99" t="s">
        <v>1027</v>
      </c>
    </row>
    <row r="11" spans="1:52" ht="12.75" customHeight="1" x14ac:dyDescent="0.3">
      <c r="A11" s="98">
        <v>42038.408773148149</v>
      </c>
      <c r="B11" s="99" t="s">
        <v>1049</v>
      </c>
      <c r="C11" s="99" t="s">
        <v>580</v>
      </c>
      <c r="D11" s="99" t="s">
        <v>529</v>
      </c>
      <c r="E11" s="99" t="s">
        <v>330</v>
      </c>
      <c r="F11" s="99" t="s">
        <v>317</v>
      </c>
      <c r="G11" s="99" t="s">
        <v>407</v>
      </c>
      <c r="H11" s="99" t="s">
        <v>5</v>
      </c>
      <c r="I11" s="99" t="s">
        <v>345</v>
      </c>
      <c r="J11" s="99" t="s">
        <v>1097</v>
      </c>
      <c r="K11" s="99" t="s">
        <v>328</v>
      </c>
      <c r="L11" s="99" t="s">
        <v>1194</v>
      </c>
      <c r="M11" s="99" t="s">
        <v>353</v>
      </c>
      <c r="N11" s="99" t="s">
        <v>4</v>
      </c>
      <c r="O11" s="99" t="s">
        <v>313</v>
      </c>
      <c r="P11" s="99" t="s">
        <v>313</v>
      </c>
      <c r="Q11" s="99" t="s">
        <v>1195</v>
      </c>
      <c r="R11" s="99" t="s">
        <v>4</v>
      </c>
      <c r="S11" s="99" t="s">
        <v>1036</v>
      </c>
      <c r="T11" s="99" t="s">
        <v>326</v>
      </c>
      <c r="U11" s="99" t="s">
        <v>530</v>
      </c>
      <c r="V11" s="99" t="s">
        <v>404</v>
      </c>
      <c r="W11" s="99" t="s">
        <v>370</v>
      </c>
      <c r="X11" s="99" t="s">
        <v>346</v>
      </c>
      <c r="Y11" s="99" t="s">
        <v>316</v>
      </c>
      <c r="Z11" s="99" t="s">
        <v>316</v>
      </c>
      <c r="AA11" s="99" t="s">
        <v>968</v>
      </c>
      <c r="AB11" s="99"/>
      <c r="AC11" s="99" t="s">
        <v>351</v>
      </c>
      <c r="AD11" s="99" t="s">
        <v>448</v>
      </c>
      <c r="AE11" s="99" t="s">
        <v>535</v>
      </c>
      <c r="AF11" s="99" t="s">
        <v>1196</v>
      </c>
      <c r="AG11" s="99" t="s">
        <v>304</v>
      </c>
      <c r="AH11" s="99" t="s">
        <v>303</v>
      </c>
      <c r="AI11" s="99" t="s">
        <v>303</v>
      </c>
      <c r="AJ11" s="99" t="s">
        <v>304</v>
      </c>
      <c r="AK11" s="99" t="s">
        <v>6</v>
      </c>
      <c r="AL11" s="99" t="s">
        <v>304</v>
      </c>
      <c r="AM11" s="99" t="s">
        <v>303</v>
      </c>
      <c r="AN11" s="99" t="s">
        <v>304</v>
      </c>
      <c r="AO11" s="99" t="s">
        <v>302</v>
      </c>
      <c r="AP11" s="99" t="s">
        <v>304</v>
      </c>
      <c r="AQ11" s="99" t="s">
        <v>304</v>
      </c>
      <c r="AR11" s="99" t="s">
        <v>343</v>
      </c>
      <c r="AS11" s="99" t="s">
        <v>300</v>
      </c>
      <c r="AT11" s="99" t="s">
        <v>360</v>
      </c>
      <c r="AU11" s="99" t="s">
        <v>320</v>
      </c>
      <c r="AV11" s="99" t="s">
        <v>333</v>
      </c>
      <c r="AW11" s="99" t="s">
        <v>307</v>
      </c>
      <c r="AX11" s="99" t="s">
        <v>319</v>
      </c>
      <c r="AY11" s="99" t="s">
        <v>960</v>
      </c>
    </row>
    <row r="12" spans="1:52" ht="12.75" customHeight="1" x14ac:dyDescent="0.3">
      <c r="A12" s="98">
        <v>42038.409432870372</v>
      </c>
      <c r="B12" s="99" t="s">
        <v>1049</v>
      </c>
      <c r="C12" s="99" t="s">
        <v>580</v>
      </c>
      <c r="D12" s="99" t="s">
        <v>529</v>
      </c>
      <c r="E12" s="99" t="s">
        <v>3</v>
      </c>
      <c r="F12" s="99" t="s">
        <v>317</v>
      </c>
      <c r="G12" s="99" t="s">
        <v>451</v>
      </c>
      <c r="H12" s="99" t="s">
        <v>5</v>
      </c>
      <c r="I12" s="99" t="s">
        <v>309</v>
      </c>
      <c r="J12" s="99" t="s">
        <v>1197</v>
      </c>
      <c r="K12" s="99" t="s">
        <v>384</v>
      </c>
      <c r="L12" s="99" t="s">
        <v>598</v>
      </c>
      <c r="M12" s="99" t="s">
        <v>353</v>
      </c>
      <c r="N12" s="99" t="s">
        <v>327</v>
      </c>
      <c r="O12" s="99" t="s">
        <v>4</v>
      </c>
      <c r="P12" s="99" t="s">
        <v>4</v>
      </c>
      <c r="Q12" s="99" t="s">
        <v>417</v>
      </c>
      <c r="R12" s="99" t="s">
        <v>4</v>
      </c>
      <c r="S12" s="99" t="s">
        <v>688</v>
      </c>
      <c r="T12" s="99" t="s">
        <v>312</v>
      </c>
      <c r="U12" s="99" t="s">
        <v>373</v>
      </c>
      <c r="V12" s="99" t="s">
        <v>621</v>
      </c>
      <c r="W12" s="99" t="s">
        <v>571</v>
      </c>
      <c r="X12" s="99" t="s">
        <v>346</v>
      </c>
      <c r="Y12" s="99" t="s">
        <v>316</v>
      </c>
      <c r="Z12" s="99" t="s">
        <v>316</v>
      </c>
      <c r="AA12" s="99" t="s">
        <v>678</v>
      </c>
      <c r="AB12" s="99" t="s">
        <v>308</v>
      </c>
      <c r="AC12" s="99" t="s">
        <v>324</v>
      </c>
      <c r="AD12" s="99" t="s">
        <v>414</v>
      </c>
      <c r="AE12" s="99" t="s">
        <v>535</v>
      </c>
      <c r="AF12" s="99" t="s">
        <v>1198</v>
      </c>
      <c r="AG12" s="99" t="s">
        <v>323</v>
      </c>
      <c r="AH12" s="99" t="s">
        <v>304</v>
      </c>
      <c r="AI12" s="99" t="s">
        <v>305</v>
      </c>
      <c r="AJ12" s="99" t="s">
        <v>304</v>
      </c>
      <c r="AK12" s="99" t="s">
        <v>304</v>
      </c>
      <c r="AL12" s="99" t="s">
        <v>304</v>
      </c>
      <c r="AM12" s="99" t="s">
        <v>303</v>
      </c>
      <c r="AN12" s="99" t="s">
        <v>305</v>
      </c>
      <c r="AO12" s="99" t="s">
        <v>305</v>
      </c>
      <c r="AP12" s="99" t="s">
        <v>304</v>
      </c>
      <c r="AQ12" s="99" t="s">
        <v>304</v>
      </c>
      <c r="AR12" s="99" t="s">
        <v>301</v>
      </c>
      <c r="AS12" s="99" t="s">
        <v>300</v>
      </c>
      <c r="AT12" s="99" t="s">
        <v>334</v>
      </c>
      <c r="AU12" s="99" t="s">
        <v>320</v>
      </c>
      <c r="AV12" s="99" t="s">
        <v>333</v>
      </c>
      <c r="AW12" s="99" t="s">
        <v>307</v>
      </c>
      <c r="AX12" s="99" t="s">
        <v>375</v>
      </c>
      <c r="AY12" s="99" t="s">
        <v>1199</v>
      </c>
    </row>
    <row r="13" spans="1:52" ht="12.75" customHeight="1" x14ac:dyDescent="0.3">
      <c r="A13" s="98">
        <v>42038.409675925926</v>
      </c>
      <c r="B13" s="99" t="s">
        <v>1049</v>
      </c>
      <c r="C13" s="99" t="s">
        <v>580</v>
      </c>
      <c r="D13" s="99" t="s">
        <v>529</v>
      </c>
      <c r="E13" s="99" t="s">
        <v>3</v>
      </c>
      <c r="F13" s="99" t="s">
        <v>383</v>
      </c>
      <c r="G13" s="99" t="s">
        <v>641</v>
      </c>
      <c r="H13" s="99" t="s">
        <v>349</v>
      </c>
      <c r="I13" s="99" t="s">
        <v>309</v>
      </c>
      <c r="J13" s="99" t="s">
        <v>1071</v>
      </c>
      <c r="K13" s="99" t="s">
        <v>315</v>
      </c>
      <c r="L13" s="99" t="s">
        <v>427</v>
      </c>
      <c r="M13" s="99" t="s">
        <v>314</v>
      </c>
      <c r="N13" s="99" t="s">
        <v>327</v>
      </c>
      <c r="O13" s="99" t="s">
        <v>313</v>
      </c>
      <c r="P13" s="99" t="s">
        <v>4</v>
      </c>
      <c r="Q13" s="99" t="s">
        <v>411</v>
      </c>
      <c r="R13" s="99" t="s">
        <v>327</v>
      </c>
      <c r="S13" s="99" t="s">
        <v>1036</v>
      </c>
      <c r="T13" s="99" t="s">
        <v>380</v>
      </c>
      <c r="U13" s="99" t="s">
        <v>373</v>
      </c>
      <c r="V13" s="99" t="s">
        <v>382</v>
      </c>
      <c r="W13" s="99" t="s">
        <v>325</v>
      </c>
      <c r="X13" s="99" t="s">
        <v>352</v>
      </c>
      <c r="Y13" s="99" t="s">
        <v>316</v>
      </c>
      <c r="Z13" s="99" t="s">
        <v>316</v>
      </c>
      <c r="AA13" s="99" t="s">
        <v>410</v>
      </c>
      <c r="AB13" s="99" t="s">
        <v>358</v>
      </c>
      <c r="AC13" s="99" t="s">
        <v>307</v>
      </c>
      <c r="AD13" s="99" t="s">
        <v>414</v>
      </c>
      <c r="AE13" s="99" t="s">
        <v>535</v>
      </c>
      <c r="AF13" s="99" t="s">
        <v>1200</v>
      </c>
      <c r="AG13" s="99" t="s">
        <v>306</v>
      </c>
      <c r="AH13" s="99" t="s">
        <v>304</v>
      </c>
      <c r="AI13" s="99" t="s">
        <v>304</v>
      </c>
      <c r="AJ13" s="99" t="s">
        <v>303</v>
      </c>
      <c r="AK13" s="99" t="s">
        <v>302</v>
      </c>
      <c r="AL13" s="99" t="s">
        <v>303</v>
      </c>
      <c r="AM13" s="99" t="s">
        <v>304</v>
      </c>
      <c r="AN13" s="99" t="s">
        <v>303</v>
      </c>
      <c r="AO13" s="99" t="s">
        <v>302</v>
      </c>
      <c r="AP13" s="99" t="s">
        <v>302</v>
      </c>
      <c r="AQ13" s="99" t="s">
        <v>302</v>
      </c>
      <c r="AR13" s="99" t="s">
        <v>322</v>
      </c>
      <c r="AS13" s="99" t="s">
        <v>350</v>
      </c>
      <c r="AT13" s="99" t="s">
        <v>321</v>
      </c>
      <c r="AU13" s="99" t="s">
        <v>320</v>
      </c>
      <c r="AV13" s="99" t="s">
        <v>536</v>
      </c>
      <c r="AW13" s="99" t="s">
        <v>307</v>
      </c>
      <c r="AX13" s="99" t="s">
        <v>341</v>
      </c>
      <c r="AY13" s="99" t="s">
        <v>447</v>
      </c>
    </row>
    <row r="14" spans="1:52" ht="12.75" customHeight="1" x14ac:dyDescent="0.3">
      <c r="A14" s="98">
        <v>42066.303101851852</v>
      </c>
      <c r="B14" s="99" t="s">
        <v>1049</v>
      </c>
      <c r="C14" s="99" t="s">
        <v>1108</v>
      </c>
      <c r="D14" s="99" t="s">
        <v>529</v>
      </c>
      <c r="E14" s="99" t="s">
        <v>330</v>
      </c>
      <c r="F14" s="99" t="s">
        <v>317</v>
      </c>
      <c r="G14" s="99" t="s">
        <v>423</v>
      </c>
      <c r="H14" s="99" t="s">
        <v>5</v>
      </c>
      <c r="I14" s="99" t="s">
        <v>345</v>
      </c>
      <c r="J14" s="99" t="s">
        <v>970</v>
      </c>
      <c r="K14" s="99" t="s">
        <v>328</v>
      </c>
      <c r="L14" s="99" t="s">
        <v>702</v>
      </c>
      <c r="M14" s="99" t="s">
        <v>367</v>
      </c>
      <c r="N14" s="99" t="s">
        <v>313</v>
      </c>
      <c r="O14" s="99" t="s">
        <v>4</v>
      </c>
      <c r="P14" s="99" t="s">
        <v>313</v>
      </c>
      <c r="Q14" s="99" t="s">
        <v>584</v>
      </c>
      <c r="R14" s="99" t="s">
        <v>327</v>
      </c>
      <c r="S14" s="99" t="s">
        <v>1201</v>
      </c>
      <c r="T14" s="99" t="s">
        <v>312</v>
      </c>
      <c r="U14" s="99" t="s">
        <v>311</v>
      </c>
      <c r="V14" s="99" t="s">
        <v>936</v>
      </c>
      <c r="W14" s="99" t="s">
        <v>325</v>
      </c>
      <c r="X14" s="99" t="s">
        <v>352</v>
      </c>
      <c r="Y14" s="99" t="s">
        <v>316</v>
      </c>
      <c r="Z14" s="99" t="s">
        <v>316</v>
      </c>
      <c r="AA14" s="99" t="s">
        <v>410</v>
      </c>
      <c r="AB14" s="99" t="s">
        <v>308</v>
      </c>
      <c r="AC14" s="99" t="s">
        <v>307</v>
      </c>
      <c r="AD14" s="99" t="s">
        <v>462</v>
      </c>
      <c r="AE14" s="99" t="s">
        <v>532</v>
      </c>
      <c r="AF14" s="99" t="s">
        <v>578</v>
      </c>
      <c r="AG14" s="99" t="s">
        <v>323</v>
      </c>
      <c r="AH14" s="99" t="s">
        <v>303</v>
      </c>
      <c r="AI14" s="99"/>
      <c r="AJ14" s="99" t="s">
        <v>303</v>
      </c>
      <c r="AK14" s="99" t="s">
        <v>303</v>
      </c>
      <c r="AL14" s="99" t="s">
        <v>303</v>
      </c>
      <c r="AM14" s="99" t="s">
        <v>303</v>
      </c>
      <c r="AN14" s="99" t="s">
        <v>304</v>
      </c>
      <c r="AO14" s="99" t="s">
        <v>303</v>
      </c>
      <c r="AP14" s="99" t="s">
        <v>303</v>
      </c>
      <c r="AQ14" s="99" t="s">
        <v>302</v>
      </c>
      <c r="AR14" s="99" t="s">
        <v>322</v>
      </c>
      <c r="AS14" s="99" t="s">
        <v>350</v>
      </c>
      <c r="AT14" s="99" t="s">
        <v>321</v>
      </c>
      <c r="AU14" s="99" t="s">
        <v>342</v>
      </c>
      <c r="AV14" s="99" t="s">
        <v>547</v>
      </c>
      <c r="AW14" s="99" t="s">
        <v>307</v>
      </c>
      <c r="AX14" s="99" t="s">
        <v>534</v>
      </c>
      <c r="AY14" s="99" t="s">
        <v>1202</v>
      </c>
    </row>
    <row r="15" spans="1:52" ht="12.75" customHeight="1" x14ac:dyDescent="0.3">
      <c r="A15" s="98">
        <v>42066.304178240738</v>
      </c>
      <c r="B15" s="99" t="s">
        <v>1049</v>
      </c>
      <c r="C15" s="99" t="s">
        <v>1108</v>
      </c>
      <c r="D15" s="99" t="s">
        <v>331</v>
      </c>
      <c r="E15" s="99" t="s">
        <v>3</v>
      </c>
      <c r="F15" s="99" t="s">
        <v>372</v>
      </c>
      <c r="G15" s="99" t="s">
        <v>407</v>
      </c>
      <c r="H15" s="99" t="s">
        <v>5</v>
      </c>
      <c r="I15" s="99" t="s">
        <v>494</v>
      </c>
      <c r="J15" s="99" t="s">
        <v>708</v>
      </c>
      <c r="K15" s="99" t="s">
        <v>328</v>
      </c>
      <c r="L15" s="99" t="s">
        <v>409</v>
      </c>
      <c r="M15" s="99" t="s">
        <v>377</v>
      </c>
      <c r="N15" s="99" t="s">
        <v>313</v>
      </c>
      <c r="O15" s="99" t="s">
        <v>313</v>
      </c>
      <c r="P15" s="99" t="s">
        <v>374</v>
      </c>
      <c r="Q15" s="99" t="s">
        <v>885</v>
      </c>
      <c r="R15" s="99" t="s">
        <v>374</v>
      </c>
      <c r="S15" s="99" t="s">
        <v>952</v>
      </c>
      <c r="T15" s="99" t="s">
        <v>326</v>
      </c>
      <c r="U15" s="99" t="s">
        <v>373</v>
      </c>
      <c r="V15" s="99" t="s">
        <v>553</v>
      </c>
      <c r="W15" s="99" t="s">
        <v>325</v>
      </c>
      <c r="X15" s="99" t="s">
        <v>352</v>
      </c>
      <c r="Y15" s="99" t="s">
        <v>316</v>
      </c>
      <c r="Z15" s="99" t="s">
        <v>316</v>
      </c>
      <c r="AA15" s="99" t="s">
        <v>691</v>
      </c>
      <c r="AB15" s="99" t="s">
        <v>336</v>
      </c>
      <c r="AC15" s="99" t="s">
        <v>351</v>
      </c>
      <c r="AD15" s="99" t="s">
        <v>607</v>
      </c>
      <c r="AE15" s="99" t="s">
        <v>532</v>
      </c>
      <c r="AF15" s="99" t="s">
        <v>1203</v>
      </c>
      <c r="AG15" s="99" t="s">
        <v>323</v>
      </c>
      <c r="AH15" s="99" t="s">
        <v>304</v>
      </c>
      <c r="AI15" s="99" t="s">
        <v>304</v>
      </c>
      <c r="AJ15" s="99" t="s">
        <v>303</v>
      </c>
      <c r="AK15" s="99" t="s">
        <v>303</v>
      </c>
      <c r="AL15" s="99" t="s">
        <v>303</v>
      </c>
      <c r="AM15" s="99" t="s">
        <v>302</v>
      </c>
      <c r="AN15" s="99" t="s">
        <v>303</v>
      </c>
      <c r="AO15" s="99" t="s">
        <v>302</v>
      </c>
      <c r="AP15" s="99" t="s">
        <v>304</v>
      </c>
      <c r="AQ15" s="99" t="s">
        <v>302</v>
      </c>
      <c r="AR15" s="99" t="s">
        <v>343</v>
      </c>
      <c r="AS15" s="99" t="s">
        <v>350</v>
      </c>
      <c r="AT15" s="99" t="s">
        <v>299</v>
      </c>
      <c r="AU15" s="99" t="s">
        <v>660</v>
      </c>
      <c r="AV15" s="99" t="s">
        <v>547</v>
      </c>
      <c r="AW15" s="99" t="s">
        <v>324</v>
      </c>
      <c r="AX15" s="99" t="s">
        <v>375</v>
      </c>
      <c r="AY15" s="99" t="s">
        <v>356</v>
      </c>
    </row>
    <row r="16" spans="1:52" ht="12.75" customHeight="1" x14ac:dyDescent="0.3">
      <c r="A16" s="98">
        <v>42066.305324074077</v>
      </c>
      <c r="B16" s="99" t="s">
        <v>1049</v>
      </c>
      <c r="C16" s="99" t="s">
        <v>1108</v>
      </c>
      <c r="D16" s="99" t="s">
        <v>331</v>
      </c>
      <c r="E16" s="99" t="s">
        <v>3</v>
      </c>
      <c r="F16" s="99" t="s">
        <v>383</v>
      </c>
      <c r="G16" s="99" t="s">
        <v>435</v>
      </c>
      <c r="H16" s="99" t="s">
        <v>5</v>
      </c>
      <c r="I16" s="99" t="s">
        <v>345</v>
      </c>
      <c r="J16" s="99" t="s">
        <v>454</v>
      </c>
      <c r="K16" s="99" t="s">
        <v>315</v>
      </c>
      <c r="L16" s="99" t="s">
        <v>546</v>
      </c>
      <c r="M16" s="99" t="s">
        <v>314</v>
      </c>
      <c r="N16" s="99" t="s">
        <v>313</v>
      </c>
      <c r="O16" s="99" t="s">
        <v>327</v>
      </c>
      <c r="P16" s="99" t="s">
        <v>313</v>
      </c>
      <c r="Q16" s="99" t="s">
        <v>617</v>
      </c>
      <c r="R16" s="99" t="s">
        <v>327</v>
      </c>
      <c r="S16" s="99" t="s">
        <v>1112</v>
      </c>
      <c r="T16" s="99" t="s">
        <v>366</v>
      </c>
      <c r="U16" s="99" t="s">
        <v>311</v>
      </c>
      <c r="V16" s="99" t="s">
        <v>553</v>
      </c>
      <c r="W16" s="99" t="s">
        <v>370</v>
      </c>
      <c r="X16" s="99" t="s">
        <v>310</v>
      </c>
      <c r="Y16" s="99" t="s">
        <v>309</v>
      </c>
      <c r="Z16" s="99" t="s">
        <v>316</v>
      </c>
      <c r="AA16" s="99" t="s">
        <v>1204</v>
      </c>
      <c r="AB16" s="99" t="s">
        <v>389</v>
      </c>
      <c r="AC16" s="99" t="s">
        <v>324</v>
      </c>
      <c r="AD16" s="99" t="s">
        <v>1079</v>
      </c>
      <c r="AE16" s="99" t="s">
        <v>532</v>
      </c>
      <c r="AF16" s="99" t="s">
        <v>466</v>
      </c>
      <c r="AG16" s="99" t="s">
        <v>304</v>
      </c>
      <c r="AH16" s="99" t="s">
        <v>302</v>
      </c>
      <c r="AI16" s="99" t="s">
        <v>302</v>
      </c>
      <c r="AJ16" s="99" t="s">
        <v>295</v>
      </c>
      <c r="AK16" s="99" t="s">
        <v>304</v>
      </c>
      <c r="AL16" s="99" t="s">
        <v>304</v>
      </c>
      <c r="AM16" s="99" t="s">
        <v>302</v>
      </c>
      <c r="AN16" s="99" t="s">
        <v>302</v>
      </c>
      <c r="AO16" s="99" t="s">
        <v>302</v>
      </c>
      <c r="AP16" s="99" t="s">
        <v>304</v>
      </c>
      <c r="AQ16" s="99" t="s">
        <v>304</v>
      </c>
      <c r="AR16" s="99" t="s">
        <v>322</v>
      </c>
      <c r="AS16" s="99" t="s">
        <v>350</v>
      </c>
      <c r="AT16" s="99" t="s">
        <v>355</v>
      </c>
      <c r="AU16" s="99" t="s">
        <v>660</v>
      </c>
      <c r="AV16" s="99" t="s">
        <v>297</v>
      </c>
      <c r="AW16" s="99" t="s">
        <v>296</v>
      </c>
      <c r="AX16" s="99" t="s">
        <v>319</v>
      </c>
      <c r="AY16" s="99" t="s">
        <v>999</v>
      </c>
    </row>
    <row r="17" spans="1:51" ht="158.4" x14ac:dyDescent="0.3">
      <c r="A17" s="98">
        <v>42066.307152777779</v>
      </c>
      <c r="B17" s="99" t="s">
        <v>1049</v>
      </c>
      <c r="C17" s="99" t="s">
        <v>1108</v>
      </c>
      <c r="D17" s="99" t="s">
        <v>529</v>
      </c>
      <c r="E17" s="99" t="s">
        <v>330</v>
      </c>
      <c r="F17" s="99" t="s">
        <v>317</v>
      </c>
      <c r="G17" s="99" t="s">
        <v>451</v>
      </c>
      <c r="H17" s="99" t="s">
        <v>823</v>
      </c>
      <c r="I17" s="99" t="s">
        <v>309</v>
      </c>
      <c r="J17" s="99" t="s">
        <v>1205</v>
      </c>
      <c r="K17" s="99" t="s">
        <v>315</v>
      </c>
      <c r="L17" s="99" t="s">
        <v>409</v>
      </c>
      <c r="M17" s="99" t="s">
        <v>651</v>
      </c>
      <c r="N17" s="99" t="s">
        <v>327</v>
      </c>
      <c r="O17" s="99" t="s">
        <v>313</v>
      </c>
      <c r="P17" s="99" t="s">
        <v>4</v>
      </c>
      <c r="Q17" s="99" t="s">
        <v>411</v>
      </c>
      <c r="R17" s="99" t="s">
        <v>327</v>
      </c>
      <c r="S17" s="99" t="s">
        <v>988</v>
      </c>
      <c r="T17" s="99" t="s">
        <v>366</v>
      </c>
      <c r="U17" s="99" t="s">
        <v>530</v>
      </c>
      <c r="V17" s="99" t="s">
        <v>1099</v>
      </c>
      <c r="W17" s="99" t="s">
        <v>325</v>
      </c>
      <c r="X17" s="99" t="s">
        <v>352</v>
      </c>
      <c r="Y17" s="99" t="s">
        <v>309</v>
      </c>
      <c r="Z17" s="99" t="s">
        <v>316</v>
      </c>
      <c r="AA17" s="99" t="s">
        <v>472</v>
      </c>
      <c r="AB17" s="99" t="s">
        <v>358</v>
      </c>
      <c r="AC17" s="99" t="s">
        <v>307</v>
      </c>
      <c r="AD17" s="99" t="s">
        <v>1132</v>
      </c>
      <c r="AE17" s="99" t="s">
        <v>533</v>
      </c>
      <c r="AF17" s="99" t="s">
        <v>620</v>
      </c>
      <c r="AG17" s="99" t="s">
        <v>323</v>
      </c>
      <c r="AH17" s="99" t="s">
        <v>303</v>
      </c>
      <c r="AI17" s="99" t="s">
        <v>303</v>
      </c>
      <c r="AJ17" s="99" t="s">
        <v>303</v>
      </c>
      <c r="AK17" s="99" t="s">
        <v>6</v>
      </c>
      <c r="AL17" s="99" t="s">
        <v>303</v>
      </c>
      <c r="AM17" s="99" t="s">
        <v>304</v>
      </c>
      <c r="AN17" s="99" t="s">
        <v>303</v>
      </c>
      <c r="AO17" s="99" t="s">
        <v>303</v>
      </c>
      <c r="AP17" s="99" t="s">
        <v>303</v>
      </c>
      <c r="AQ17" s="99" t="s">
        <v>303</v>
      </c>
      <c r="AR17" s="99" t="s">
        <v>322</v>
      </c>
      <c r="AS17" s="99" t="s">
        <v>300</v>
      </c>
      <c r="AT17" s="99" t="s">
        <v>355</v>
      </c>
      <c r="AU17" s="99" t="s">
        <v>342</v>
      </c>
      <c r="AV17" s="99" t="s">
        <v>333</v>
      </c>
      <c r="AW17" s="99" t="s">
        <v>324</v>
      </c>
      <c r="AX17" s="99" t="s">
        <v>534</v>
      </c>
      <c r="AY17" s="99" t="s">
        <v>1206</v>
      </c>
    </row>
    <row r="18" spans="1:51" ht="172.8" x14ac:dyDescent="0.3">
      <c r="A18" s="98">
        <v>42066.309942129628</v>
      </c>
      <c r="B18" s="99" t="s">
        <v>1049</v>
      </c>
      <c r="C18" s="99" t="s">
        <v>1108</v>
      </c>
      <c r="D18" s="99" t="s">
        <v>529</v>
      </c>
      <c r="E18" s="99" t="s">
        <v>3</v>
      </c>
      <c r="F18" s="99" t="s">
        <v>317</v>
      </c>
      <c r="G18" s="99" t="s">
        <v>1207</v>
      </c>
      <c r="H18" s="99" t="s">
        <v>5</v>
      </c>
      <c r="I18" s="99" t="s">
        <v>309</v>
      </c>
      <c r="J18" s="99" t="s">
        <v>699</v>
      </c>
      <c r="K18" s="99" t="s">
        <v>315</v>
      </c>
      <c r="L18" s="99" t="s">
        <v>1208</v>
      </c>
      <c r="M18" s="99" t="s">
        <v>353</v>
      </c>
      <c r="N18" s="99" t="s">
        <v>313</v>
      </c>
      <c r="O18" s="99" t="s">
        <v>327</v>
      </c>
      <c r="P18" s="99" t="s">
        <v>4</v>
      </c>
      <c r="Q18" s="99" t="s">
        <v>943</v>
      </c>
      <c r="R18" s="99" t="s">
        <v>4</v>
      </c>
      <c r="S18" s="99" t="s">
        <v>1209</v>
      </c>
      <c r="T18" s="99" t="s">
        <v>326</v>
      </c>
      <c r="U18" s="99" t="s">
        <v>530</v>
      </c>
      <c r="V18" s="99" t="s">
        <v>1210</v>
      </c>
      <c r="W18" s="99" t="s">
        <v>338</v>
      </c>
      <c r="X18" s="99" t="s">
        <v>337</v>
      </c>
      <c r="Y18" s="99" t="s">
        <v>316</v>
      </c>
      <c r="Z18" s="99" t="s">
        <v>316</v>
      </c>
      <c r="AA18" s="99" t="s">
        <v>910</v>
      </c>
      <c r="AB18" s="99" t="s">
        <v>336</v>
      </c>
      <c r="AC18" s="99" t="s">
        <v>324</v>
      </c>
      <c r="AD18" s="99" t="s">
        <v>448</v>
      </c>
      <c r="AE18" s="99" t="s">
        <v>533</v>
      </c>
      <c r="AF18" s="99" t="s">
        <v>1211</v>
      </c>
      <c r="AG18" s="99" t="s">
        <v>323</v>
      </c>
      <c r="AH18" s="99" t="s">
        <v>304</v>
      </c>
      <c r="AI18" s="99" t="s">
        <v>304</v>
      </c>
      <c r="AJ18" s="99" t="s">
        <v>303</v>
      </c>
      <c r="AK18" s="99" t="s">
        <v>304</v>
      </c>
      <c r="AL18" s="99" t="s">
        <v>303</v>
      </c>
      <c r="AM18" s="99" t="s">
        <v>303</v>
      </c>
      <c r="AN18" s="99" t="s">
        <v>304</v>
      </c>
      <c r="AO18" s="99" t="s">
        <v>303</v>
      </c>
      <c r="AP18" s="99" t="s">
        <v>304</v>
      </c>
      <c r="AQ18" s="99" t="s">
        <v>303</v>
      </c>
      <c r="AR18" s="99" t="s">
        <v>322</v>
      </c>
      <c r="AS18" s="99" t="s">
        <v>350</v>
      </c>
      <c r="AT18" s="99" t="s">
        <v>334</v>
      </c>
      <c r="AU18" s="99" t="s">
        <v>298</v>
      </c>
      <c r="AV18" s="99" t="s">
        <v>297</v>
      </c>
      <c r="AW18" s="99" t="s">
        <v>307</v>
      </c>
      <c r="AX18" s="99" t="s">
        <v>341</v>
      </c>
      <c r="AY18" s="99" t="s">
        <v>1051</v>
      </c>
    </row>
    <row r="19" spans="1:51" ht="86.4" x14ac:dyDescent="0.3">
      <c r="A19" s="98">
        <v>42066.310370370367</v>
      </c>
      <c r="B19" s="99" t="s">
        <v>1049</v>
      </c>
      <c r="C19" s="99" t="s">
        <v>1108</v>
      </c>
      <c r="D19" s="99" t="s">
        <v>331</v>
      </c>
      <c r="E19" s="99" t="s">
        <v>3</v>
      </c>
      <c r="F19" s="99" t="s">
        <v>383</v>
      </c>
      <c r="G19" s="99" t="s">
        <v>407</v>
      </c>
      <c r="H19" s="99" t="s">
        <v>5</v>
      </c>
      <c r="I19" s="99" t="s">
        <v>309</v>
      </c>
      <c r="J19" s="99" t="s">
        <v>1212</v>
      </c>
      <c r="K19" s="99" t="s">
        <v>359</v>
      </c>
      <c r="L19" s="99" t="s">
        <v>577</v>
      </c>
      <c r="M19" s="99" t="s">
        <v>353</v>
      </c>
      <c r="N19" s="99" t="s">
        <v>313</v>
      </c>
      <c r="O19" s="99" t="s">
        <v>313</v>
      </c>
      <c r="P19" s="99" t="s">
        <v>313</v>
      </c>
      <c r="Q19" s="99" t="s">
        <v>791</v>
      </c>
      <c r="R19" s="99" t="s">
        <v>4</v>
      </c>
      <c r="S19" s="99" t="s">
        <v>394</v>
      </c>
      <c r="T19" s="99" t="s">
        <v>380</v>
      </c>
      <c r="U19" s="99" t="s">
        <v>530</v>
      </c>
      <c r="V19" s="99" t="s">
        <v>556</v>
      </c>
      <c r="W19" s="99" t="s">
        <v>325</v>
      </c>
      <c r="X19" s="99" t="s">
        <v>337</v>
      </c>
      <c r="Y19" s="99" t="s">
        <v>316</v>
      </c>
      <c r="Z19" s="99" t="s">
        <v>316</v>
      </c>
      <c r="AA19" s="99" t="s">
        <v>459</v>
      </c>
      <c r="AB19" s="99" t="s">
        <v>308</v>
      </c>
      <c r="AC19" s="99" t="s">
        <v>324</v>
      </c>
      <c r="AD19" s="99" t="s">
        <v>414</v>
      </c>
      <c r="AE19" s="99" t="s">
        <v>532</v>
      </c>
      <c r="AF19" s="99" t="s">
        <v>631</v>
      </c>
      <c r="AG19" s="99" t="s">
        <v>304</v>
      </c>
      <c r="AH19" s="99" t="s">
        <v>304</v>
      </c>
      <c r="AI19" s="99" t="s">
        <v>304</v>
      </c>
      <c r="AJ19" s="99" t="s">
        <v>304</v>
      </c>
      <c r="AK19" s="99" t="s">
        <v>305</v>
      </c>
      <c r="AL19" s="99" t="s">
        <v>304</v>
      </c>
      <c r="AM19" s="99" t="s">
        <v>304</v>
      </c>
      <c r="AN19" s="99" t="s">
        <v>304</v>
      </c>
      <c r="AO19" s="99" t="s">
        <v>303</v>
      </c>
      <c r="AP19" s="99" t="s">
        <v>304</v>
      </c>
      <c r="AQ19" s="99" t="s">
        <v>303</v>
      </c>
      <c r="AR19" s="99" t="s">
        <v>301</v>
      </c>
      <c r="AS19" s="99" t="s">
        <v>300</v>
      </c>
      <c r="AT19" s="99" t="s">
        <v>360</v>
      </c>
      <c r="AU19" s="99" t="s">
        <v>660</v>
      </c>
      <c r="AV19" s="99" t="s">
        <v>297</v>
      </c>
      <c r="AW19" s="99" t="s">
        <v>324</v>
      </c>
      <c r="AX19" s="99" t="s">
        <v>375</v>
      </c>
      <c r="AY19" s="99" t="s">
        <v>482</v>
      </c>
    </row>
    <row r="20" spans="1:51" ht="115.2" x14ac:dyDescent="0.3">
      <c r="A20" s="98">
        <v>42066.310497685183</v>
      </c>
      <c r="B20" s="99" t="s">
        <v>1049</v>
      </c>
      <c r="C20" s="99" t="s">
        <v>1108</v>
      </c>
      <c r="D20" s="99" t="s">
        <v>700</v>
      </c>
      <c r="E20" s="99" t="s">
        <v>3</v>
      </c>
      <c r="F20" s="99" t="s">
        <v>383</v>
      </c>
      <c r="G20" s="99" t="s">
        <v>630</v>
      </c>
      <c r="H20" s="99" t="s">
        <v>5</v>
      </c>
      <c r="I20" s="99" t="s">
        <v>345</v>
      </c>
      <c r="J20" s="99" t="s">
        <v>1213</v>
      </c>
      <c r="K20" s="99" t="s">
        <v>354</v>
      </c>
      <c r="L20" s="99" t="s">
        <v>429</v>
      </c>
      <c r="M20" s="99" t="s">
        <v>314</v>
      </c>
      <c r="N20" s="99" t="s">
        <v>4</v>
      </c>
      <c r="O20" s="99" t="s">
        <v>4</v>
      </c>
      <c r="P20" s="99" t="s">
        <v>4</v>
      </c>
      <c r="Q20" s="99" t="s">
        <v>429</v>
      </c>
      <c r="R20" s="99" t="s">
        <v>4</v>
      </c>
      <c r="S20" s="99" t="s">
        <v>1018</v>
      </c>
      <c r="T20" s="99" t="s">
        <v>326</v>
      </c>
      <c r="U20" s="99" t="s">
        <v>373</v>
      </c>
      <c r="V20" s="99" t="s">
        <v>379</v>
      </c>
      <c r="W20" s="99" t="s">
        <v>338</v>
      </c>
      <c r="X20" s="99" t="s">
        <v>352</v>
      </c>
      <c r="Y20" s="99" t="s">
        <v>316</v>
      </c>
      <c r="Z20" s="99" t="s">
        <v>316</v>
      </c>
      <c r="AA20" s="99" t="s">
        <v>678</v>
      </c>
      <c r="AB20" s="99" t="s">
        <v>308</v>
      </c>
      <c r="AC20" s="99" t="s">
        <v>307</v>
      </c>
      <c r="AD20" s="99" t="s">
        <v>448</v>
      </c>
      <c r="AE20" s="99" t="s">
        <v>535</v>
      </c>
      <c r="AF20" s="99" t="s">
        <v>1214</v>
      </c>
      <c r="AG20" s="99" t="s">
        <v>323</v>
      </c>
      <c r="AH20" s="99" t="s">
        <v>303</v>
      </c>
      <c r="AI20" s="99" t="s">
        <v>303</v>
      </c>
      <c r="AJ20" s="99" t="s">
        <v>303</v>
      </c>
      <c r="AK20" s="99" t="s">
        <v>303</v>
      </c>
      <c r="AL20" s="99" t="s">
        <v>303</v>
      </c>
      <c r="AM20" s="99" t="s">
        <v>302</v>
      </c>
      <c r="AN20" s="99" t="s">
        <v>303</v>
      </c>
      <c r="AO20" s="99" t="s">
        <v>303</v>
      </c>
      <c r="AP20" s="99" t="s">
        <v>303</v>
      </c>
      <c r="AQ20" s="99" t="s">
        <v>303</v>
      </c>
      <c r="AR20" s="99" t="s">
        <v>322</v>
      </c>
      <c r="AS20" s="99" t="s">
        <v>300</v>
      </c>
      <c r="AT20" s="99" t="s">
        <v>360</v>
      </c>
      <c r="AU20" s="99" t="s">
        <v>342</v>
      </c>
      <c r="AV20" s="99" t="s">
        <v>536</v>
      </c>
      <c r="AW20" s="99" t="s">
        <v>307</v>
      </c>
      <c r="AX20" s="99" t="s">
        <v>375</v>
      </c>
      <c r="AY20" s="99" t="s">
        <v>385</v>
      </c>
    </row>
    <row r="21" spans="1:51" ht="144" x14ac:dyDescent="0.3">
      <c r="A21" s="98">
        <v>42066.312685185185</v>
      </c>
      <c r="B21" s="99" t="s">
        <v>1049</v>
      </c>
      <c r="C21" s="99" t="s">
        <v>1108</v>
      </c>
      <c r="D21" s="99" t="s">
        <v>331</v>
      </c>
      <c r="E21" s="99" t="s">
        <v>3</v>
      </c>
      <c r="F21" s="99" t="s">
        <v>317</v>
      </c>
      <c r="G21" s="99" t="s">
        <v>423</v>
      </c>
      <c r="H21" s="99" t="s">
        <v>390</v>
      </c>
      <c r="I21" s="99" t="s">
        <v>309</v>
      </c>
      <c r="J21" s="99" t="s">
        <v>1215</v>
      </c>
      <c r="K21" s="99" t="s">
        <v>328</v>
      </c>
      <c r="L21" s="99" t="s">
        <v>546</v>
      </c>
      <c r="M21" s="99" t="s">
        <v>353</v>
      </c>
      <c r="N21" s="99" t="s">
        <v>4</v>
      </c>
      <c r="O21" s="99" t="s">
        <v>313</v>
      </c>
      <c r="P21" s="99" t="s">
        <v>4</v>
      </c>
      <c r="Q21" s="99" t="s">
        <v>636</v>
      </c>
      <c r="R21" s="99" t="s">
        <v>4</v>
      </c>
      <c r="S21" s="99" t="s">
        <v>1216</v>
      </c>
      <c r="T21" s="99" t="s">
        <v>326</v>
      </c>
      <c r="U21" s="99" t="s">
        <v>311</v>
      </c>
      <c r="V21" s="99" t="s">
        <v>1054</v>
      </c>
      <c r="W21" s="99" t="s">
        <v>370</v>
      </c>
      <c r="X21" s="99" t="s">
        <v>346</v>
      </c>
      <c r="Y21" s="99" t="s">
        <v>316</v>
      </c>
      <c r="Z21" s="99" t="s">
        <v>316</v>
      </c>
      <c r="AA21" s="99" t="s">
        <v>478</v>
      </c>
      <c r="AB21" s="99" t="s">
        <v>336</v>
      </c>
      <c r="AC21" s="99" t="s">
        <v>307</v>
      </c>
      <c r="AD21" s="99" t="s">
        <v>1079</v>
      </c>
      <c r="AE21" s="99" t="s">
        <v>533</v>
      </c>
      <c r="AF21" s="99" t="s">
        <v>1217</v>
      </c>
      <c r="AG21" s="99" t="s">
        <v>306</v>
      </c>
      <c r="AH21" s="99" t="s">
        <v>303</v>
      </c>
      <c r="AI21" s="99" t="s">
        <v>303</v>
      </c>
      <c r="AJ21" s="99" t="s">
        <v>303</v>
      </c>
      <c r="AK21" s="99" t="s">
        <v>304</v>
      </c>
      <c r="AL21" s="99" t="s">
        <v>303</v>
      </c>
      <c r="AM21" s="99" t="s">
        <v>303</v>
      </c>
      <c r="AN21" s="99" t="s">
        <v>303</v>
      </c>
      <c r="AO21" s="99" t="s">
        <v>302</v>
      </c>
      <c r="AP21" s="99" t="s">
        <v>302</v>
      </c>
      <c r="AQ21" s="99" t="s">
        <v>303</v>
      </c>
      <c r="AR21" s="99" t="s">
        <v>378</v>
      </c>
      <c r="AS21" s="99" t="s">
        <v>398</v>
      </c>
      <c r="AT21" s="99" t="s">
        <v>321</v>
      </c>
      <c r="AU21" s="99" t="s">
        <v>342</v>
      </c>
      <c r="AV21" s="99" t="s">
        <v>364</v>
      </c>
      <c r="AW21" s="99" t="s">
        <v>307</v>
      </c>
      <c r="AX21" s="99" t="s">
        <v>534</v>
      </c>
      <c r="AY21" s="99" t="s">
        <v>332</v>
      </c>
    </row>
    <row r="22" spans="1:51" ht="86.4" x14ac:dyDescent="0.3">
      <c r="A22" s="98">
        <v>42066.313935185186</v>
      </c>
      <c r="B22" s="99" t="s">
        <v>1049</v>
      </c>
      <c r="C22" s="99" t="s">
        <v>1108</v>
      </c>
      <c r="D22" s="99" t="s">
        <v>331</v>
      </c>
      <c r="E22" s="99" t="s">
        <v>330</v>
      </c>
      <c r="F22" s="99" t="s">
        <v>383</v>
      </c>
      <c r="G22" s="99" t="s">
        <v>794</v>
      </c>
      <c r="H22" s="99" t="s">
        <v>5</v>
      </c>
      <c r="I22" s="99" t="s">
        <v>309</v>
      </c>
      <c r="J22" s="99" t="s">
        <v>1218</v>
      </c>
      <c r="K22" s="99" t="s">
        <v>315</v>
      </c>
      <c r="L22" s="99" t="s">
        <v>450</v>
      </c>
      <c r="M22" s="99" t="s">
        <v>314</v>
      </c>
      <c r="N22" s="99" t="s">
        <v>374</v>
      </c>
      <c r="O22" s="99" t="s">
        <v>4</v>
      </c>
      <c r="P22" s="99" t="s">
        <v>313</v>
      </c>
      <c r="Q22" s="99" t="s">
        <v>405</v>
      </c>
      <c r="R22" s="99" t="s">
        <v>327</v>
      </c>
      <c r="S22" s="99" t="s">
        <v>895</v>
      </c>
      <c r="T22" s="99" t="s">
        <v>326</v>
      </c>
      <c r="U22" s="99" t="s">
        <v>311</v>
      </c>
      <c r="V22" s="99" t="s">
        <v>386</v>
      </c>
      <c r="W22" s="99" t="s">
        <v>325</v>
      </c>
      <c r="X22" s="99" t="s">
        <v>310</v>
      </c>
      <c r="Y22" s="99" t="s">
        <v>316</v>
      </c>
      <c r="Z22" s="99" t="s">
        <v>316</v>
      </c>
      <c r="AA22" s="99" t="s">
        <v>678</v>
      </c>
      <c r="AB22" s="99" t="s">
        <v>358</v>
      </c>
      <c r="AC22" s="99" t="s">
        <v>324</v>
      </c>
      <c r="AD22" s="99" t="s">
        <v>462</v>
      </c>
      <c r="AE22" s="99" t="s">
        <v>535</v>
      </c>
      <c r="AF22" s="99" t="s">
        <v>488</v>
      </c>
      <c r="AG22" s="99" t="s">
        <v>323</v>
      </c>
      <c r="AH22" s="99" t="s">
        <v>304</v>
      </c>
      <c r="AI22" s="99" t="s">
        <v>303</v>
      </c>
      <c r="AJ22" s="99" t="s">
        <v>303</v>
      </c>
      <c r="AK22" s="99" t="s">
        <v>305</v>
      </c>
      <c r="AL22" s="99" t="s">
        <v>304</v>
      </c>
      <c r="AM22" s="99" t="s">
        <v>302</v>
      </c>
      <c r="AN22" s="99" t="s">
        <v>304</v>
      </c>
      <c r="AO22" s="99" t="s">
        <v>302</v>
      </c>
      <c r="AP22" s="99" t="s">
        <v>302</v>
      </c>
      <c r="AQ22" s="99" t="s">
        <v>303</v>
      </c>
      <c r="AR22" s="99" t="s">
        <v>365</v>
      </c>
      <c r="AS22" s="99" t="s">
        <v>300</v>
      </c>
      <c r="AT22" s="99" t="s">
        <v>360</v>
      </c>
      <c r="AU22" s="99" t="s">
        <v>298</v>
      </c>
      <c r="AV22" s="99" t="s">
        <v>536</v>
      </c>
      <c r="AW22" s="99" t="s">
        <v>307</v>
      </c>
      <c r="AX22" s="99" t="s">
        <v>341</v>
      </c>
      <c r="AY22" s="99" t="s">
        <v>425</v>
      </c>
    </row>
    <row r="23" spans="1:51" ht="129.6" x14ac:dyDescent="0.3">
      <c r="A23" s="98">
        <v>42066.313993055555</v>
      </c>
      <c r="B23" s="99" t="s">
        <v>1049</v>
      </c>
      <c r="C23" s="99" t="s">
        <v>1108</v>
      </c>
      <c r="D23" s="99" t="s">
        <v>529</v>
      </c>
      <c r="E23" s="99" t="s">
        <v>330</v>
      </c>
      <c r="F23" s="99" t="s">
        <v>317</v>
      </c>
      <c r="G23" s="99" t="s">
        <v>407</v>
      </c>
      <c r="H23" s="99" t="s">
        <v>5</v>
      </c>
      <c r="I23" s="99" t="s">
        <v>309</v>
      </c>
      <c r="J23" s="99" t="s">
        <v>544</v>
      </c>
      <c r="K23" s="99" t="s">
        <v>354</v>
      </c>
      <c r="L23" s="99" t="s">
        <v>417</v>
      </c>
      <c r="M23" s="99" t="s">
        <v>314</v>
      </c>
      <c r="N23" s="99" t="s">
        <v>313</v>
      </c>
      <c r="O23" s="99" t="s">
        <v>374</v>
      </c>
      <c r="P23" s="99" t="s">
        <v>327</v>
      </c>
      <c r="Q23" s="99" t="s">
        <v>652</v>
      </c>
      <c r="R23" s="99" t="s">
        <v>327</v>
      </c>
      <c r="S23" s="99" t="s">
        <v>1219</v>
      </c>
      <c r="T23" s="99" t="s">
        <v>366</v>
      </c>
      <c r="U23" s="99" t="s">
        <v>311</v>
      </c>
      <c r="V23" s="99" t="s">
        <v>498</v>
      </c>
      <c r="W23" s="99" t="s">
        <v>325</v>
      </c>
      <c r="X23" s="99" t="s">
        <v>352</v>
      </c>
      <c r="Y23" s="99" t="s">
        <v>316</v>
      </c>
      <c r="Z23" s="99" t="s">
        <v>316</v>
      </c>
      <c r="AA23" s="99" t="s">
        <v>410</v>
      </c>
      <c r="AB23" s="99" t="s">
        <v>308</v>
      </c>
      <c r="AC23" s="99" t="s">
        <v>296</v>
      </c>
      <c r="AD23" s="99" t="s">
        <v>448</v>
      </c>
      <c r="AE23" s="99" t="s">
        <v>533</v>
      </c>
      <c r="AF23" s="99" t="s">
        <v>1220</v>
      </c>
      <c r="AG23" s="99" t="s">
        <v>306</v>
      </c>
      <c r="AH23" s="99" t="s">
        <v>303</v>
      </c>
      <c r="AI23" s="99" t="s">
        <v>303</v>
      </c>
      <c r="AJ23" s="99" t="s">
        <v>303</v>
      </c>
      <c r="AK23" s="99" t="s">
        <v>303</v>
      </c>
      <c r="AL23" s="99" t="s">
        <v>303</v>
      </c>
      <c r="AM23" s="99" t="s">
        <v>302</v>
      </c>
      <c r="AN23" s="99" t="s">
        <v>303</v>
      </c>
      <c r="AO23" s="99" t="s">
        <v>302</v>
      </c>
      <c r="AP23" s="99" t="s">
        <v>303</v>
      </c>
      <c r="AQ23" s="99" t="s">
        <v>302</v>
      </c>
      <c r="AR23" s="99" t="s">
        <v>343</v>
      </c>
      <c r="AS23" s="99" t="s">
        <v>300</v>
      </c>
      <c r="AT23" s="99" t="s">
        <v>355</v>
      </c>
      <c r="AU23" s="99" t="s">
        <v>342</v>
      </c>
      <c r="AV23" s="99" t="s">
        <v>297</v>
      </c>
      <c r="AW23" s="99" t="s">
        <v>307</v>
      </c>
      <c r="AX23" s="99" t="s">
        <v>319</v>
      </c>
      <c r="AY23" s="99" t="s">
        <v>491</v>
      </c>
    </row>
    <row r="24" spans="1:51" ht="86.4" x14ac:dyDescent="0.3">
      <c r="A24" s="98">
        <v>42066.314942129633</v>
      </c>
      <c r="B24" s="99" t="s">
        <v>1049</v>
      </c>
      <c r="C24" s="99" t="s">
        <v>1108</v>
      </c>
      <c r="D24" s="99" t="s">
        <v>331</v>
      </c>
      <c r="E24" s="99" t="s">
        <v>3</v>
      </c>
      <c r="F24" s="99" t="s">
        <v>317</v>
      </c>
      <c r="G24" s="99" t="s">
        <v>407</v>
      </c>
      <c r="H24" s="99" t="s">
        <v>5</v>
      </c>
      <c r="I24" s="99" t="s">
        <v>345</v>
      </c>
      <c r="J24" s="99" t="s">
        <v>1221</v>
      </c>
      <c r="K24" s="99" t="s">
        <v>354</v>
      </c>
      <c r="L24" s="99" t="s">
        <v>546</v>
      </c>
      <c r="M24" s="99" t="s">
        <v>651</v>
      </c>
      <c r="N24" s="99" t="s">
        <v>313</v>
      </c>
      <c r="O24" s="99" t="s">
        <v>4</v>
      </c>
      <c r="P24" s="99" t="s">
        <v>313</v>
      </c>
      <c r="Q24" s="99" t="s">
        <v>411</v>
      </c>
      <c r="R24" s="99" t="s">
        <v>4</v>
      </c>
      <c r="S24" s="99" t="s">
        <v>712</v>
      </c>
      <c r="T24" s="99" t="s">
        <v>326</v>
      </c>
      <c r="U24" s="99" t="s">
        <v>530</v>
      </c>
      <c r="V24" s="99" t="s">
        <v>681</v>
      </c>
      <c r="W24" s="99" t="s">
        <v>325</v>
      </c>
      <c r="X24" s="99" t="s">
        <v>337</v>
      </c>
      <c r="Y24" s="99" t="s">
        <v>316</v>
      </c>
      <c r="Z24" s="99" t="s">
        <v>316</v>
      </c>
      <c r="AA24" s="99" t="s">
        <v>666</v>
      </c>
      <c r="AB24" s="99" t="s">
        <v>376</v>
      </c>
      <c r="AC24" s="99" t="s">
        <v>307</v>
      </c>
      <c r="AD24" s="99" t="s">
        <v>414</v>
      </c>
      <c r="AE24" s="99" t="s">
        <v>542</v>
      </c>
      <c r="AF24" s="99" t="s">
        <v>403</v>
      </c>
      <c r="AG24" s="99" t="s">
        <v>304</v>
      </c>
      <c r="AH24" s="99" t="s">
        <v>303</v>
      </c>
      <c r="AI24" s="99" t="s">
        <v>303</v>
      </c>
      <c r="AJ24" s="99" t="s">
        <v>304</v>
      </c>
      <c r="AK24" s="99" t="s">
        <v>304</v>
      </c>
      <c r="AL24" s="99" t="s">
        <v>303</v>
      </c>
      <c r="AM24" s="99" t="s">
        <v>303</v>
      </c>
      <c r="AN24" s="99" t="s">
        <v>303</v>
      </c>
      <c r="AO24" s="99" t="s">
        <v>303</v>
      </c>
      <c r="AP24" s="99" t="s">
        <v>303</v>
      </c>
      <c r="AQ24" s="99" t="s">
        <v>304</v>
      </c>
      <c r="AR24" s="99" t="s">
        <v>322</v>
      </c>
      <c r="AS24" s="99" t="s">
        <v>335</v>
      </c>
      <c r="AT24" s="99" t="s">
        <v>355</v>
      </c>
      <c r="AU24" s="99" t="s">
        <v>342</v>
      </c>
      <c r="AV24" s="99" t="s">
        <v>364</v>
      </c>
      <c r="AW24" s="99" t="s">
        <v>324</v>
      </c>
      <c r="AX24" s="99" t="s">
        <v>341</v>
      </c>
      <c r="AY24" s="99" t="s">
        <v>717</v>
      </c>
    </row>
    <row r="25" spans="1:51" ht="100.8" x14ac:dyDescent="0.3">
      <c r="A25" s="98">
        <v>42066.462164351855</v>
      </c>
      <c r="B25" s="99" t="s">
        <v>1049</v>
      </c>
      <c r="C25" s="99" t="s">
        <v>1108</v>
      </c>
      <c r="D25" s="99" t="s">
        <v>700</v>
      </c>
      <c r="E25" s="99" t="s">
        <v>3</v>
      </c>
      <c r="F25" s="99" t="s">
        <v>372</v>
      </c>
      <c r="G25" s="99" t="s">
        <v>407</v>
      </c>
      <c r="H25" s="99" t="s">
        <v>679</v>
      </c>
      <c r="I25" s="99" t="s">
        <v>309</v>
      </c>
      <c r="J25" s="99" t="s">
        <v>1222</v>
      </c>
      <c r="K25" s="99" t="s">
        <v>328</v>
      </c>
      <c r="L25" s="99" t="s">
        <v>1223</v>
      </c>
      <c r="M25" s="99" t="s">
        <v>367</v>
      </c>
      <c r="N25" s="99" t="s">
        <v>4</v>
      </c>
      <c r="O25" s="99" t="s">
        <v>313</v>
      </c>
      <c r="P25" s="99" t="s">
        <v>374</v>
      </c>
      <c r="Q25" s="99" t="s">
        <v>421</v>
      </c>
      <c r="R25" s="99" t="s">
        <v>374</v>
      </c>
      <c r="S25" s="99" t="s">
        <v>1224</v>
      </c>
      <c r="T25" s="99" t="s">
        <v>380</v>
      </c>
      <c r="U25" s="99" t="s">
        <v>373</v>
      </c>
      <c r="V25" s="99" t="s">
        <v>379</v>
      </c>
      <c r="W25" s="99" t="s">
        <v>338</v>
      </c>
      <c r="X25" s="99" t="s">
        <v>352</v>
      </c>
      <c r="Y25" s="99" t="s">
        <v>316</v>
      </c>
      <c r="Z25" s="99" t="s">
        <v>316</v>
      </c>
      <c r="AA25" s="99" t="s">
        <v>481</v>
      </c>
      <c r="AB25" s="99" t="s">
        <v>389</v>
      </c>
      <c r="AC25" s="99" t="s">
        <v>381</v>
      </c>
      <c r="AD25" s="99" t="s">
        <v>357</v>
      </c>
      <c r="AE25" s="99" t="s">
        <v>535</v>
      </c>
      <c r="AF25" s="99" t="s">
        <v>1090</v>
      </c>
      <c r="AG25" s="99" t="s">
        <v>323</v>
      </c>
      <c r="AH25" s="99" t="s">
        <v>6</v>
      </c>
      <c r="AI25" s="99" t="s">
        <v>6</v>
      </c>
      <c r="AJ25" s="99" t="s">
        <v>6</v>
      </c>
      <c r="AK25" s="99" t="s">
        <v>6</v>
      </c>
      <c r="AL25" s="99" t="s">
        <v>303</v>
      </c>
      <c r="AM25" s="99" t="s">
        <v>305</v>
      </c>
      <c r="AN25" s="99" t="s">
        <v>6</v>
      </c>
      <c r="AO25" s="99" t="s">
        <v>6</v>
      </c>
      <c r="AP25" s="99" t="s">
        <v>6</v>
      </c>
      <c r="AQ25" s="99" t="s">
        <v>304</v>
      </c>
      <c r="AR25" s="99" t="s">
        <v>343</v>
      </c>
      <c r="AS25" s="99" t="s">
        <v>300</v>
      </c>
      <c r="AT25" s="99" t="s">
        <v>299</v>
      </c>
      <c r="AU25" s="99" t="s">
        <v>320</v>
      </c>
      <c r="AV25" s="99" t="s">
        <v>364</v>
      </c>
      <c r="AW25" s="99" t="s">
        <v>307</v>
      </c>
      <c r="AX25" s="99" t="s">
        <v>375</v>
      </c>
      <c r="AY25" s="99" t="s">
        <v>449</v>
      </c>
    </row>
    <row r="26" spans="1:51" ht="158.4" x14ac:dyDescent="0.3">
      <c r="A26" s="98">
        <v>42066.463819444441</v>
      </c>
      <c r="B26" s="99" t="s">
        <v>1049</v>
      </c>
      <c r="C26" s="99" t="s">
        <v>1108</v>
      </c>
      <c r="D26" s="99" t="s">
        <v>331</v>
      </c>
      <c r="E26" s="99" t="s">
        <v>3</v>
      </c>
      <c r="F26" s="99" t="s">
        <v>383</v>
      </c>
      <c r="G26" s="99" t="s">
        <v>407</v>
      </c>
      <c r="H26" s="99" t="s">
        <v>349</v>
      </c>
      <c r="I26" s="99" t="s">
        <v>309</v>
      </c>
      <c r="J26" s="99" t="s">
        <v>479</v>
      </c>
      <c r="K26" s="99" t="s">
        <v>328</v>
      </c>
      <c r="L26" s="99" t="s">
        <v>417</v>
      </c>
      <c r="M26" s="99" t="s">
        <v>314</v>
      </c>
      <c r="N26" s="99" t="s">
        <v>4</v>
      </c>
      <c r="O26" s="99" t="s">
        <v>4</v>
      </c>
      <c r="P26" s="99" t="s">
        <v>4</v>
      </c>
      <c r="Q26" s="99" t="s">
        <v>670</v>
      </c>
      <c r="R26" s="99" t="s">
        <v>4</v>
      </c>
      <c r="S26" s="99" t="s">
        <v>744</v>
      </c>
      <c r="T26" s="99" t="s">
        <v>380</v>
      </c>
      <c r="U26" s="99" t="s">
        <v>373</v>
      </c>
      <c r="V26" s="99"/>
      <c r="W26" s="99" t="s">
        <v>325</v>
      </c>
      <c r="X26" s="99" t="s">
        <v>337</v>
      </c>
      <c r="Y26" s="99" t="s">
        <v>316</v>
      </c>
      <c r="Z26" s="99" t="s">
        <v>316</v>
      </c>
      <c r="AA26" s="99" t="s">
        <v>678</v>
      </c>
      <c r="AB26" s="99" t="s">
        <v>308</v>
      </c>
      <c r="AC26" s="99" t="s">
        <v>381</v>
      </c>
      <c r="AD26" s="99" t="s">
        <v>846</v>
      </c>
      <c r="AE26" s="99" t="s">
        <v>532</v>
      </c>
      <c r="AF26" s="99" t="s">
        <v>1225</v>
      </c>
      <c r="AG26" s="99" t="s">
        <v>304</v>
      </c>
      <c r="AH26" s="99" t="s">
        <v>304</v>
      </c>
      <c r="AI26" s="99" t="s">
        <v>303</v>
      </c>
      <c r="AJ26" s="99" t="s">
        <v>295</v>
      </c>
      <c r="AK26" s="99" t="s">
        <v>295</v>
      </c>
      <c r="AL26" s="99" t="s">
        <v>304</v>
      </c>
      <c r="AM26" s="99" t="s">
        <v>304</v>
      </c>
      <c r="AN26" s="99" t="s">
        <v>304</v>
      </c>
      <c r="AO26" s="99" t="s">
        <v>303</v>
      </c>
      <c r="AP26" s="99" t="s">
        <v>295</v>
      </c>
      <c r="AQ26" s="99" t="s">
        <v>303</v>
      </c>
      <c r="AR26" s="99" t="s">
        <v>322</v>
      </c>
      <c r="AS26" s="99" t="s">
        <v>300</v>
      </c>
      <c r="AT26" s="99" t="s">
        <v>321</v>
      </c>
      <c r="AU26" s="99" t="s">
        <v>320</v>
      </c>
      <c r="AV26" s="99" t="s">
        <v>536</v>
      </c>
      <c r="AW26" s="99" t="s">
        <v>324</v>
      </c>
      <c r="AX26" s="99" t="s">
        <v>375</v>
      </c>
      <c r="AY26" s="99" t="s">
        <v>482</v>
      </c>
    </row>
    <row r="27" spans="1:51" ht="216" x14ac:dyDescent="0.3">
      <c r="A27" s="98">
        <v>42066.464409722219</v>
      </c>
      <c r="B27" s="99" t="s">
        <v>1049</v>
      </c>
      <c r="C27" s="99" t="s">
        <v>1108</v>
      </c>
      <c r="D27" s="99" t="s">
        <v>529</v>
      </c>
      <c r="E27" s="99" t="s">
        <v>330</v>
      </c>
      <c r="F27" s="99" t="s">
        <v>317</v>
      </c>
      <c r="G27" s="99" t="s">
        <v>423</v>
      </c>
      <c r="H27" s="99" t="s">
        <v>5</v>
      </c>
      <c r="I27" s="99" t="s">
        <v>345</v>
      </c>
      <c r="J27" s="99" t="s">
        <v>692</v>
      </c>
      <c r="K27" s="99" t="s">
        <v>315</v>
      </c>
      <c r="L27" s="99" t="s">
        <v>1226</v>
      </c>
      <c r="M27" s="99" t="s">
        <v>348</v>
      </c>
      <c r="N27" s="99" t="s">
        <v>313</v>
      </c>
      <c r="O27" s="99" t="s">
        <v>327</v>
      </c>
      <c r="P27" s="99" t="s">
        <v>313</v>
      </c>
      <c r="Q27" s="99" t="s">
        <v>1227</v>
      </c>
      <c r="R27" s="99" t="s">
        <v>4</v>
      </c>
      <c r="S27" s="99" t="s">
        <v>1228</v>
      </c>
      <c r="T27" s="99" t="s">
        <v>326</v>
      </c>
      <c r="U27" s="99" t="s">
        <v>530</v>
      </c>
      <c r="V27" s="99" t="s">
        <v>1229</v>
      </c>
      <c r="W27" s="99" t="s">
        <v>338</v>
      </c>
      <c r="X27" s="99" t="s">
        <v>310</v>
      </c>
      <c r="Y27" s="99" t="s">
        <v>316</v>
      </c>
      <c r="Z27" s="99" t="s">
        <v>316</v>
      </c>
      <c r="AA27" s="99" t="s">
        <v>1156</v>
      </c>
      <c r="AB27" s="99" t="s">
        <v>336</v>
      </c>
      <c r="AC27" s="99" t="s">
        <v>307</v>
      </c>
      <c r="AD27" s="99" t="s">
        <v>1230</v>
      </c>
      <c r="AE27" s="99" t="s">
        <v>532</v>
      </c>
      <c r="AF27" s="99" t="s">
        <v>1231</v>
      </c>
      <c r="AG27" s="99" t="s">
        <v>323</v>
      </c>
      <c r="AH27" s="99" t="s">
        <v>6</v>
      </c>
      <c r="AI27" s="99" t="s">
        <v>6</v>
      </c>
      <c r="AJ27" s="99" t="s">
        <v>303</v>
      </c>
      <c r="AK27" s="99" t="s">
        <v>302</v>
      </c>
      <c r="AL27" s="99" t="s">
        <v>303</v>
      </c>
      <c r="AM27" s="99"/>
      <c r="AN27" s="99" t="s">
        <v>302</v>
      </c>
      <c r="AO27" s="99" t="s">
        <v>302</v>
      </c>
      <c r="AP27" s="99" t="s">
        <v>303</v>
      </c>
      <c r="AQ27" s="99" t="s">
        <v>302</v>
      </c>
      <c r="AR27" s="99" t="s">
        <v>322</v>
      </c>
      <c r="AS27" s="99" t="s">
        <v>350</v>
      </c>
      <c r="AT27" s="99" t="s">
        <v>355</v>
      </c>
      <c r="AU27" s="99" t="s">
        <v>298</v>
      </c>
      <c r="AV27" s="99" t="s">
        <v>547</v>
      </c>
      <c r="AW27" s="99" t="s">
        <v>307</v>
      </c>
      <c r="AX27" s="99" t="s">
        <v>534</v>
      </c>
      <c r="AY27" s="99" t="s">
        <v>1232</v>
      </c>
    </row>
    <row r="28" spans="1:51" ht="201.6" x14ac:dyDescent="0.3">
      <c r="A28" s="98">
        <v>42066.465150462966</v>
      </c>
      <c r="B28" s="99" t="s">
        <v>1049</v>
      </c>
      <c r="C28" s="99" t="s">
        <v>1108</v>
      </c>
      <c r="D28" s="99" t="s">
        <v>529</v>
      </c>
      <c r="E28" s="99" t="s">
        <v>3</v>
      </c>
      <c r="F28" s="99" t="s">
        <v>317</v>
      </c>
      <c r="G28" s="99" t="s">
        <v>412</v>
      </c>
      <c r="H28" s="99" t="s">
        <v>5</v>
      </c>
      <c r="I28" s="99" t="s">
        <v>494</v>
      </c>
      <c r="J28" s="99" t="s">
        <v>1016</v>
      </c>
      <c r="K28" s="99" t="s">
        <v>315</v>
      </c>
      <c r="L28" s="99" t="s">
        <v>868</v>
      </c>
      <c r="M28" s="99" t="s">
        <v>363</v>
      </c>
      <c r="N28" s="99" t="s">
        <v>313</v>
      </c>
      <c r="O28" s="99" t="s">
        <v>313</v>
      </c>
      <c r="P28" s="99" t="s">
        <v>4</v>
      </c>
      <c r="Q28" s="99" t="s">
        <v>1233</v>
      </c>
      <c r="R28" s="99"/>
      <c r="S28" s="99" t="s">
        <v>807</v>
      </c>
      <c r="T28" s="99" t="s">
        <v>380</v>
      </c>
      <c r="U28" s="99" t="s">
        <v>373</v>
      </c>
      <c r="V28" s="99" t="s">
        <v>362</v>
      </c>
      <c r="W28" s="99" t="s">
        <v>338</v>
      </c>
      <c r="X28" s="99" t="s">
        <v>352</v>
      </c>
      <c r="Y28" s="99" t="s">
        <v>316</v>
      </c>
      <c r="Z28" s="99" t="s">
        <v>316</v>
      </c>
      <c r="AA28" s="99" t="s">
        <v>472</v>
      </c>
      <c r="AB28" s="99"/>
      <c r="AC28" s="99" t="s">
        <v>307</v>
      </c>
      <c r="AD28" s="99" t="s">
        <v>474</v>
      </c>
      <c r="AE28" s="99" t="s">
        <v>532</v>
      </c>
      <c r="AF28" s="99" t="s">
        <v>1234</v>
      </c>
      <c r="AG28" s="99" t="s">
        <v>304</v>
      </c>
      <c r="AH28" s="99" t="s">
        <v>305</v>
      </c>
      <c r="AI28" s="99" t="s">
        <v>303</v>
      </c>
      <c r="AJ28" s="99" t="s">
        <v>303</v>
      </c>
      <c r="AK28" s="99" t="s">
        <v>304</v>
      </c>
      <c r="AL28" s="99" t="s">
        <v>303</v>
      </c>
      <c r="AM28" s="99" t="s">
        <v>303</v>
      </c>
      <c r="AN28" s="99" t="s">
        <v>304</v>
      </c>
      <c r="AO28" s="99" t="s">
        <v>304</v>
      </c>
      <c r="AP28" s="99" t="s">
        <v>303</v>
      </c>
      <c r="AQ28" s="99" t="s">
        <v>303</v>
      </c>
      <c r="AR28" s="99" t="s">
        <v>322</v>
      </c>
      <c r="AS28" s="99" t="s">
        <v>300</v>
      </c>
      <c r="AT28" s="99" t="s">
        <v>321</v>
      </c>
      <c r="AU28" s="99" t="s">
        <v>342</v>
      </c>
      <c r="AV28" s="99" t="s">
        <v>297</v>
      </c>
      <c r="AW28" s="99" t="s">
        <v>324</v>
      </c>
      <c r="AX28" s="99" t="s">
        <v>341</v>
      </c>
      <c r="AY28" s="99" t="s">
        <v>425</v>
      </c>
    </row>
    <row r="29" spans="1:51" ht="158.4" x14ac:dyDescent="0.3">
      <c r="A29" s="98">
        <v>42066.465196759258</v>
      </c>
      <c r="B29" s="99" t="s">
        <v>1049</v>
      </c>
      <c r="C29" s="99" t="s">
        <v>1108</v>
      </c>
      <c r="D29" s="99" t="s">
        <v>700</v>
      </c>
      <c r="E29" s="99" t="s">
        <v>330</v>
      </c>
      <c r="F29" s="99" t="s">
        <v>317</v>
      </c>
      <c r="G29" s="99" t="s">
        <v>407</v>
      </c>
      <c r="H29" s="99" t="s">
        <v>5</v>
      </c>
      <c r="I29" s="99" t="s">
        <v>309</v>
      </c>
      <c r="J29" s="99" t="s">
        <v>1235</v>
      </c>
      <c r="K29" s="99" t="s">
        <v>315</v>
      </c>
      <c r="L29" s="99" t="s">
        <v>406</v>
      </c>
      <c r="M29" s="99" t="s">
        <v>353</v>
      </c>
      <c r="N29" s="99" t="s">
        <v>313</v>
      </c>
      <c r="O29" s="99" t="s">
        <v>4</v>
      </c>
      <c r="P29" s="99" t="s">
        <v>4</v>
      </c>
      <c r="Q29" s="99" t="s">
        <v>1236</v>
      </c>
      <c r="R29" s="99" t="s">
        <v>4</v>
      </c>
      <c r="S29" s="99" t="s">
        <v>1237</v>
      </c>
      <c r="T29" s="99" t="s">
        <v>312</v>
      </c>
      <c r="U29" s="99" t="s">
        <v>530</v>
      </c>
      <c r="V29" s="99" t="s">
        <v>1238</v>
      </c>
      <c r="W29" s="99" t="s">
        <v>325</v>
      </c>
      <c r="X29" s="99" t="s">
        <v>346</v>
      </c>
      <c r="Y29" s="99" t="s">
        <v>316</v>
      </c>
      <c r="Z29" s="99" t="s">
        <v>316</v>
      </c>
      <c r="AA29" s="99" t="s">
        <v>410</v>
      </c>
      <c r="AB29" s="99" t="s">
        <v>336</v>
      </c>
      <c r="AC29" s="99" t="s">
        <v>307</v>
      </c>
      <c r="AD29" s="99" t="s">
        <v>444</v>
      </c>
      <c r="AE29" s="99" t="s">
        <v>533</v>
      </c>
      <c r="AF29" s="99" t="s">
        <v>1239</v>
      </c>
      <c r="AG29" s="99" t="s">
        <v>304</v>
      </c>
      <c r="AH29" s="99" t="s">
        <v>6</v>
      </c>
      <c r="AI29" s="99" t="s">
        <v>6</v>
      </c>
      <c r="AJ29" s="99" t="s">
        <v>304</v>
      </c>
      <c r="AK29" s="99" t="s">
        <v>6</v>
      </c>
      <c r="AL29" s="99" t="s">
        <v>302</v>
      </c>
      <c r="AM29" s="99" t="s">
        <v>302</v>
      </c>
      <c r="AN29" s="99" t="s">
        <v>303</v>
      </c>
      <c r="AO29" s="99" t="s">
        <v>302</v>
      </c>
      <c r="AP29" s="99" t="s">
        <v>303</v>
      </c>
      <c r="AQ29" s="99" t="s">
        <v>302</v>
      </c>
      <c r="AR29" s="99" t="s">
        <v>343</v>
      </c>
      <c r="AS29" s="99" t="s">
        <v>300</v>
      </c>
      <c r="AT29" s="99" t="s">
        <v>321</v>
      </c>
      <c r="AU29" s="99" t="s">
        <v>320</v>
      </c>
      <c r="AV29" s="99" t="s">
        <v>547</v>
      </c>
      <c r="AW29" s="99" t="s">
        <v>307</v>
      </c>
      <c r="AX29" s="99" t="s">
        <v>375</v>
      </c>
      <c r="AY29" s="99" t="s">
        <v>425</v>
      </c>
    </row>
    <row r="30" spans="1:51" ht="86.4" x14ac:dyDescent="0.3">
      <c r="A30" s="98">
        <v>42066.465787037036</v>
      </c>
      <c r="B30" s="99" t="s">
        <v>1049</v>
      </c>
      <c r="C30" s="99" t="s">
        <v>1108</v>
      </c>
      <c r="D30" s="99" t="s">
        <v>560</v>
      </c>
      <c r="E30" s="99" t="s">
        <v>330</v>
      </c>
      <c r="F30" s="99" t="s">
        <v>383</v>
      </c>
      <c r="G30" s="99" t="s">
        <v>630</v>
      </c>
      <c r="H30" s="99" t="s">
        <v>5</v>
      </c>
      <c r="I30" s="99" t="s">
        <v>345</v>
      </c>
      <c r="J30" s="99" t="s">
        <v>473</v>
      </c>
      <c r="K30" s="99" t="s">
        <v>354</v>
      </c>
      <c r="L30" s="99" t="s">
        <v>463</v>
      </c>
      <c r="M30" s="99" t="s">
        <v>363</v>
      </c>
      <c r="N30" s="99" t="s">
        <v>313</v>
      </c>
      <c r="O30" s="99" t="s">
        <v>4</v>
      </c>
      <c r="P30" s="99" t="s">
        <v>313</v>
      </c>
      <c r="Q30" s="99" t="s">
        <v>690</v>
      </c>
      <c r="R30" s="99" t="s">
        <v>327</v>
      </c>
      <c r="S30" s="99" t="s">
        <v>460</v>
      </c>
      <c r="T30" s="99" t="s">
        <v>366</v>
      </c>
      <c r="U30" s="99" t="s">
        <v>373</v>
      </c>
      <c r="V30" s="99" t="s">
        <v>664</v>
      </c>
      <c r="W30" s="99" t="s">
        <v>325</v>
      </c>
      <c r="X30" s="99" t="s">
        <v>352</v>
      </c>
      <c r="Y30" s="99" t="s">
        <v>316</v>
      </c>
      <c r="Z30" s="99" t="s">
        <v>316</v>
      </c>
      <c r="AA30" s="99" t="s">
        <v>666</v>
      </c>
      <c r="AB30" s="99" t="s">
        <v>389</v>
      </c>
      <c r="AC30" s="99" t="s">
        <v>296</v>
      </c>
      <c r="AD30" s="99" t="s">
        <v>806</v>
      </c>
      <c r="AE30" s="99" t="s">
        <v>542</v>
      </c>
      <c r="AF30" s="99" t="s">
        <v>403</v>
      </c>
      <c r="AG30" s="99" t="s">
        <v>306</v>
      </c>
      <c r="AH30" s="99" t="s">
        <v>302</v>
      </c>
      <c r="AI30" s="99"/>
      <c r="AJ30" s="99" t="s">
        <v>302</v>
      </c>
      <c r="AK30" s="99" t="s">
        <v>303</v>
      </c>
      <c r="AL30" s="99" t="s">
        <v>302</v>
      </c>
      <c r="AM30" s="99" t="s">
        <v>304</v>
      </c>
      <c r="AN30" s="99" t="s">
        <v>303</v>
      </c>
      <c r="AO30" s="99" t="s">
        <v>302</v>
      </c>
      <c r="AP30" s="99" t="s">
        <v>304</v>
      </c>
      <c r="AQ30" s="99" t="s">
        <v>302</v>
      </c>
      <c r="AR30" s="99" t="s">
        <v>391</v>
      </c>
      <c r="AS30" s="99" t="s">
        <v>350</v>
      </c>
      <c r="AT30" s="99" t="s">
        <v>321</v>
      </c>
      <c r="AU30" s="99" t="s">
        <v>342</v>
      </c>
      <c r="AV30" s="99" t="s">
        <v>364</v>
      </c>
      <c r="AW30" s="99" t="s">
        <v>307</v>
      </c>
      <c r="AX30" s="99" t="s">
        <v>534</v>
      </c>
      <c r="AY30" s="99" t="s">
        <v>491</v>
      </c>
    </row>
    <row r="31" spans="1:51" ht="86.4" x14ac:dyDescent="0.3">
      <c r="A31" s="98">
        <v>42066.466226851851</v>
      </c>
      <c r="B31" s="99" t="s">
        <v>1049</v>
      </c>
      <c r="C31" s="99" t="s">
        <v>1108</v>
      </c>
      <c r="D31" s="99" t="s">
        <v>529</v>
      </c>
      <c r="E31" s="99" t="s">
        <v>330</v>
      </c>
      <c r="F31" s="99" t="s">
        <v>317</v>
      </c>
      <c r="G31" s="99" t="s">
        <v>407</v>
      </c>
      <c r="H31" s="99" t="s">
        <v>5</v>
      </c>
      <c r="I31" s="99" t="s">
        <v>345</v>
      </c>
      <c r="J31" s="99" t="s">
        <v>1240</v>
      </c>
      <c r="K31" s="99" t="s">
        <v>315</v>
      </c>
      <c r="L31" s="99" t="s">
        <v>450</v>
      </c>
      <c r="M31" s="99" t="s">
        <v>314</v>
      </c>
      <c r="N31" s="99" t="s">
        <v>4</v>
      </c>
      <c r="O31" s="99" t="s">
        <v>4</v>
      </c>
      <c r="P31" s="99" t="s">
        <v>374</v>
      </c>
      <c r="Q31" s="99" t="s">
        <v>405</v>
      </c>
      <c r="R31" s="99" t="s">
        <v>327</v>
      </c>
      <c r="S31" s="99" t="s">
        <v>907</v>
      </c>
      <c r="T31" s="99" t="s">
        <v>312</v>
      </c>
      <c r="U31" s="99" t="s">
        <v>373</v>
      </c>
      <c r="V31" s="99" t="s">
        <v>379</v>
      </c>
      <c r="W31" s="99" t="s">
        <v>325</v>
      </c>
      <c r="X31" s="99" t="s">
        <v>352</v>
      </c>
      <c r="Y31" s="99" t="s">
        <v>316</v>
      </c>
      <c r="Z31" s="99" t="s">
        <v>316</v>
      </c>
      <c r="AA31" s="99" t="s">
        <v>588</v>
      </c>
      <c r="AB31" s="99" t="s">
        <v>389</v>
      </c>
      <c r="AC31" s="99" t="s">
        <v>307</v>
      </c>
      <c r="AD31" s="99" t="s">
        <v>462</v>
      </c>
      <c r="AE31" s="99" t="s">
        <v>533</v>
      </c>
      <c r="AF31" s="99" t="s">
        <v>620</v>
      </c>
      <c r="AG31" s="99" t="s">
        <v>304</v>
      </c>
      <c r="AH31" s="99" t="s">
        <v>304</v>
      </c>
      <c r="AI31" s="99" t="s">
        <v>303</v>
      </c>
      <c r="AJ31" s="99" t="s">
        <v>304</v>
      </c>
      <c r="AK31" s="99" t="s">
        <v>6</v>
      </c>
      <c r="AL31" s="99" t="s">
        <v>303</v>
      </c>
      <c r="AM31" s="99" t="s">
        <v>295</v>
      </c>
      <c r="AN31" s="99" t="s">
        <v>303</v>
      </c>
      <c r="AO31" s="99" t="s">
        <v>303</v>
      </c>
      <c r="AP31" s="99" t="s">
        <v>305</v>
      </c>
      <c r="AQ31" s="99" t="s">
        <v>302</v>
      </c>
      <c r="AR31" s="99" t="s">
        <v>322</v>
      </c>
      <c r="AS31" s="99" t="s">
        <v>300</v>
      </c>
      <c r="AT31" s="99" t="s">
        <v>321</v>
      </c>
      <c r="AU31" s="99" t="s">
        <v>342</v>
      </c>
      <c r="AV31" s="99" t="s">
        <v>333</v>
      </c>
      <c r="AW31" s="99" t="s">
        <v>307</v>
      </c>
      <c r="AX31" s="99" t="s">
        <v>534</v>
      </c>
      <c r="AY31" s="99" t="s">
        <v>449</v>
      </c>
    </row>
    <row r="32" spans="1:51" ht="115.2" x14ac:dyDescent="0.3">
      <c r="A32" s="98">
        <v>42066.468912037039</v>
      </c>
      <c r="B32" s="99" t="s">
        <v>1049</v>
      </c>
      <c r="C32" s="99" t="s">
        <v>1108</v>
      </c>
      <c r="D32" s="99" t="s">
        <v>331</v>
      </c>
      <c r="E32" s="99" t="s">
        <v>3</v>
      </c>
      <c r="F32" s="99" t="s">
        <v>317</v>
      </c>
      <c r="G32" s="99" t="s">
        <v>924</v>
      </c>
      <c r="H32" s="99" t="s">
        <v>5</v>
      </c>
      <c r="I32" s="99" t="s">
        <v>309</v>
      </c>
      <c r="J32" s="99" t="s">
        <v>1077</v>
      </c>
      <c r="K32" s="99" t="s">
        <v>368</v>
      </c>
      <c r="L32" s="99" t="s">
        <v>1241</v>
      </c>
      <c r="M32" s="99" t="s">
        <v>353</v>
      </c>
      <c r="N32" s="99" t="s">
        <v>327</v>
      </c>
      <c r="O32" s="99" t="s">
        <v>4</v>
      </c>
      <c r="P32" s="99" t="s">
        <v>313</v>
      </c>
      <c r="Q32" s="99" t="s">
        <v>874</v>
      </c>
      <c r="R32" s="99"/>
      <c r="S32" s="99" t="s">
        <v>433</v>
      </c>
      <c r="T32" s="99" t="s">
        <v>312</v>
      </c>
      <c r="U32" s="99" t="s">
        <v>530</v>
      </c>
      <c r="V32" s="99" t="s">
        <v>889</v>
      </c>
      <c r="W32" s="99" t="s">
        <v>1192</v>
      </c>
      <c r="X32" s="99" t="s">
        <v>352</v>
      </c>
      <c r="Y32" s="99" t="s">
        <v>316</v>
      </c>
      <c r="Z32" s="99" t="s">
        <v>316</v>
      </c>
      <c r="AA32" s="99" t="s">
        <v>432</v>
      </c>
      <c r="AB32" s="99" t="s">
        <v>336</v>
      </c>
      <c r="AC32" s="99" t="s">
        <v>324</v>
      </c>
      <c r="AD32" s="99" t="s">
        <v>448</v>
      </c>
      <c r="AE32" s="99" t="s">
        <v>532</v>
      </c>
      <c r="AF32" s="99" t="s">
        <v>1242</v>
      </c>
      <c r="AG32" s="99" t="s">
        <v>323</v>
      </c>
      <c r="AH32" s="99" t="s">
        <v>6</v>
      </c>
      <c r="AI32" s="99" t="s">
        <v>6</v>
      </c>
      <c r="AJ32" s="99" t="s">
        <v>303</v>
      </c>
      <c r="AK32" s="99" t="s">
        <v>304</v>
      </c>
      <c r="AL32" s="99" t="s">
        <v>303</v>
      </c>
      <c r="AM32" s="99" t="s">
        <v>302</v>
      </c>
      <c r="AN32" s="99" t="s">
        <v>305</v>
      </c>
      <c r="AO32" s="99" t="s">
        <v>302</v>
      </c>
      <c r="AP32" s="99" t="s">
        <v>305</v>
      </c>
      <c r="AQ32" s="99" t="s">
        <v>304</v>
      </c>
      <c r="AR32" s="99" t="s">
        <v>322</v>
      </c>
      <c r="AS32" s="99" t="s">
        <v>350</v>
      </c>
      <c r="AT32" s="99" t="s">
        <v>321</v>
      </c>
      <c r="AU32" s="99" t="s">
        <v>342</v>
      </c>
      <c r="AV32" s="99" t="s">
        <v>536</v>
      </c>
      <c r="AW32" s="99" t="s">
        <v>296</v>
      </c>
      <c r="AX32" s="99" t="s">
        <v>341</v>
      </c>
      <c r="AY32" s="99" t="s">
        <v>385</v>
      </c>
    </row>
    <row r="33" spans="1:51" ht="187.2" x14ac:dyDescent="0.3">
      <c r="A33" s="98">
        <v>42066.470567129632</v>
      </c>
      <c r="B33" s="99" t="s">
        <v>1049</v>
      </c>
      <c r="C33" s="99" t="s">
        <v>1108</v>
      </c>
      <c r="D33" s="99" t="s">
        <v>529</v>
      </c>
      <c r="E33" s="99" t="s">
        <v>330</v>
      </c>
      <c r="F33" s="99" t="s">
        <v>317</v>
      </c>
      <c r="G33" s="99" t="s">
        <v>340</v>
      </c>
      <c r="H33" s="99" t="s">
        <v>349</v>
      </c>
      <c r="I33" s="99" t="s">
        <v>309</v>
      </c>
      <c r="J33" s="99" t="s">
        <v>1243</v>
      </c>
      <c r="K33" s="99" t="s">
        <v>315</v>
      </c>
      <c r="L33" s="99" t="s">
        <v>450</v>
      </c>
      <c r="M33" s="99" t="s">
        <v>314</v>
      </c>
      <c r="N33" s="99" t="s">
        <v>374</v>
      </c>
      <c r="O33" s="99" t="s">
        <v>327</v>
      </c>
      <c r="P33" s="99" t="s">
        <v>313</v>
      </c>
      <c r="Q33" s="99" t="s">
        <v>411</v>
      </c>
      <c r="R33" s="99" t="s">
        <v>313</v>
      </c>
      <c r="S33" s="99" t="s">
        <v>1244</v>
      </c>
      <c r="T33" s="99" t="s">
        <v>380</v>
      </c>
      <c r="U33" s="99" t="s">
        <v>373</v>
      </c>
      <c r="V33" s="99" t="s">
        <v>556</v>
      </c>
      <c r="W33" s="99" t="s">
        <v>325</v>
      </c>
      <c r="X33" s="99" t="s">
        <v>352</v>
      </c>
      <c r="Y33" s="99" t="s">
        <v>316</v>
      </c>
      <c r="Z33" s="99" t="s">
        <v>316</v>
      </c>
      <c r="AA33" s="99" t="s">
        <v>410</v>
      </c>
      <c r="AB33" s="99" t="s">
        <v>308</v>
      </c>
      <c r="AC33" s="99" t="s">
        <v>324</v>
      </c>
      <c r="AD33" s="99" t="s">
        <v>1245</v>
      </c>
      <c r="AE33" s="99" t="s">
        <v>532</v>
      </c>
      <c r="AF33" s="99" t="s">
        <v>942</v>
      </c>
      <c r="AG33" s="99" t="s">
        <v>304</v>
      </c>
      <c r="AH33" s="99" t="s">
        <v>304</v>
      </c>
      <c r="AI33" s="99" t="s">
        <v>302</v>
      </c>
      <c r="AJ33" s="99" t="s">
        <v>302</v>
      </c>
      <c r="AK33" s="99" t="s">
        <v>304</v>
      </c>
      <c r="AL33" s="99" t="s">
        <v>304</v>
      </c>
      <c r="AM33" s="99" t="s">
        <v>304</v>
      </c>
      <c r="AN33" s="99" t="s">
        <v>304</v>
      </c>
      <c r="AO33" s="99" t="s">
        <v>302</v>
      </c>
      <c r="AP33" s="99" t="s">
        <v>302</v>
      </c>
      <c r="AQ33" s="99" t="s">
        <v>304</v>
      </c>
      <c r="AR33" s="99" t="s">
        <v>301</v>
      </c>
      <c r="AS33" s="99" t="s">
        <v>300</v>
      </c>
      <c r="AT33" s="99" t="s">
        <v>321</v>
      </c>
      <c r="AU33" s="99" t="s">
        <v>320</v>
      </c>
      <c r="AV33" s="99" t="s">
        <v>536</v>
      </c>
      <c r="AW33" s="99" t="s">
        <v>296</v>
      </c>
      <c r="AX33" s="99" t="s">
        <v>375</v>
      </c>
      <c r="AY33" s="99" t="s">
        <v>356</v>
      </c>
    </row>
    <row r="34" spans="1:51" ht="100.8" x14ac:dyDescent="0.3">
      <c r="A34" s="98">
        <v>42066.470821759256</v>
      </c>
      <c r="B34" s="99" t="s">
        <v>1049</v>
      </c>
      <c r="C34" s="99" t="s">
        <v>1108</v>
      </c>
      <c r="D34" s="99" t="s">
        <v>331</v>
      </c>
      <c r="E34" s="99" t="s">
        <v>3</v>
      </c>
      <c r="F34" s="99" t="s">
        <v>372</v>
      </c>
      <c r="G34" s="99" t="s">
        <v>1076</v>
      </c>
      <c r="H34" s="99" t="s">
        <v>5</v>
      </c>
      <c r="I34" s="99" t="s">
        <v>309</v>
      </c>
      <c r="J34" s="99" t="s">
        <v>1246</v>
      </c>
      <c r="K34" s="99" t="s">
        <v>315</v>
      </c>
      <c r="L34" s="99" t="s">
        <v>868</v>
      </c>
      <c r="M34" s="99" t="s">
        <v>363</v>
      </c>
      <c r="N34" s="99" t="s">
        <v>374</v>
      </c>
      <c r="O34" s="99" t="s">
        <v>313</v>
      </c>
      <c r="P34" s="99" t="s">
        <v>313</v>
      </c>
      <c r="Q34" s="99" t="s">
        <v>421</v>
      </c>
      <c r="R34" s="99" t="s">
        <v>374</v>
      </c>
      <c r="S34" s="99"/>
      <c r="T34" s="99" t="s">
        <v>380</v>
      </c>
      <c r="U34" s="99" t="s">
        <v>530</v>
      </c>
      <c r="V34" s="99" t="s">
        <v>404</v>
      </c>
      <c r="W34" s="99" t="s">
        <v>338</v>
      </c>
      <c r="X34" s="99" t="s">
        <v>352</v>
      </c>
      <c r="Y34" s="99" t="s">
        <v>316</v>
      </c>
      <c r="Z34" s="99" t="s">
        <v>316</v>
      </c>
      <c r="AA34" s="99" t="s">
        <v>432</v>
      </c>
      <c r="AB34" s="99" t="s">
        <v>308</v>
      </c>
      <c r="AC34" s="99" t="s">
        <v>381</v>
      </c>
      <c r="AD34" s="99" t="s">
        <v>448</v>
      </c>
      <c r="AE34" s="99" t="s">
        <v>532</v>
      </c>
      <c r="AF34" s="99" t="s">
        <v>1090</v>
      </c>
      <c r="AG34" s="99" t="s">
        <v>400</v>
      </c>
      <c r="AH34" s="99" t="s">
        <v>295</v>
      </c>
      <c r="AI34" s="99" t="s">
        <v>304</v>
      </c>
      <c r="AJ34" s="99" t="s">
        <v>304</v>
      </c>
      <c r="AK34" s="99" t="s">
        <v>295</v>
      </c>
      <c r="AL34" s="99" t="s">
        <v>295</v>
      </c>
      <c r="AM34" s="99" t="s">
        <v>305</v>
      </c>
      <c r="AN34" s="99" t="s">
        <v>295</v>
      </c>
      <c r="AO34" s="99" t="s">
        <v>295</v>
      </c>
      <c r="AP34" s="99" t="s">
        <v>295</v>
      </c>
      <c r="AQ34" s="99" t="s">
        <v>305</v>
      </c>
      <c r="AR34" s="99" t="s">
        <v>558</v>
      </c>
      <c r="AS34" s="99" t="s">
        <v>350</v>
      </c>
      <c r="AT34" s="99" t="s">
        <v>299</v>
      </c>
      <c r="AU34" s="99" t="s">
        <v>660</v>
      </c>
      <c r="AV34" s="99" t="s">
        <v>333</v>
      </c>
      <c r="AW34" s="99" t="s">
        <v>324</v>
      </c>
      <c r="AX34" s="99" t="s">
        <v>375</v>
      </c>
      <c r="AY34" s="99" t="s">
        <v>871</v>
      </c>
    </row>
    <row r="35" spans="1:51" ht="115.2" x14ac:dyDescent="0.3">
      <c r="A35" s="98">
        <v>42066.471296296295</v>
      </c>
      <c r="B35" s="99" t="s">
        <v>1049</v>
      </c>
      <c r="C35" s="99" t="s">
        <v>1108</v>
      </c>
      <c r="D35" s="99" t="s">
        <v>331</v>
      </c>
      <c r="E35" s="99" t="s">
        <v>3</v>
      </c>
      <c r="F35" s="99"/>
      <c r="G35" s="99" t="s">
        <v>407</v>
      </c>
      <c r="H35" s="99" t="s">
        <v>5</v>
      </c>
      <c r="I35" s="99" t="s">
        <v>345</v>
      </c>
      <c r="J35" s="99" t="s">
        <v>1077</v>
      </c>
      <c r="K35" s="99" t="s">
        <v>315</v>
      </c>
      <c r="L35" s="99" t="s">
        <v>1247</v>
      </c>
      <c r="M35" s="99" t="s">
        <v>651</v>
      </c>
      <c r="N35" s="99" t="s">
        <v>313</v>
      </c>
      <c r="O35" s="99" t="s">
        <v>313</v>
      </c>
      <c r="P35" s="99" t="s">
        <v>313</v>
      </c>
      <c r="Q35" s="99" t="s">
        <v>1248</v>
      </c>
      <c r="R35" s="99" t="s">
        <v>327</v>
      </c>
      <c r="S35" s="99" t="s">
        <v>697</v>
      </c>
      <c r="T35" s="99"/>
      <c r="U35" s="99" t="s">
        <v>373</v>
      </c>
      <c r="V35" s="99" t="s">
        <v>339</v>
      </c>
      <c r="W35" s="99" t="s">
        <v>325</v>
      </c>
      <c r="X35" s="99" t="s">
        <v>352</v>
      </c>
      <c r="Y35" s="99" t="s">
        <v>316</v>
      </c>
      <c r="Z35" s="99" t="s">
        <v>316</v>
      </c>
      <c r="AA35" s="99" t="s">
        <v>829</v>
      </c>
      <c r="AB35" s="99" t="s">
        <v>376</v>
      </c>
      <c r="AC35" s="99" t="s">
        <v>307</v>
      </c>
      <c r="AD35" s="99" t="s">
        <v>344</v>
      </c>
      <c r="AE35" s="99"/>
      <c r="AF35" s="99" t="s">
        <v>1249</v>
      </c>
      <c r="AG35" s="99" t="s">
        <v>323</v>
      </c>
      <c r="AH35" s="99" t="s">
        <v>303</v>
      </c>
      <c r="AI35" s="99" t="s">
        <v>303</v>
      </c>
      <c r="AJ35" s="99" t="s">
        <v>303</v>
      </c>
      <c r="AK35" s="99" t="s">
        <v>303</v>
      </c>
      <c r="AL35" s="99" t="s">
        <v>303</v>
      </c>
      <c r="AM35" s="99" t="s">
        <v>303</v>
      </c>
      <c r="AN35" s="99" t="s">
        <v>304</v>
      </c>
      <c r="AO35" s="99" t="s">
        <v>304</v>
      </c>
      <c r="AP35" s="99" t="s">
        <v>304</v>
      </c>
      <c r="AQ35" s="99" t="s">
        <v>303</v>
      </c>
      <c r="AR35" s="99" t="s">
        <v>322</v>
      </c>
      <c r="AS35" s="99" t="s">
        <v>300</v>
      </c>
      <c r="AT35" s="99" t="s">
        <v>360</v>
      </c>
      <c r="AU35" s="99" t="s">
        <v>298</v>
      </c>
      <c r="AV35" s="99" t="s">
        <v>392</v>
      </c>
      <c r="AW35" s="99" t="s">
        <v>324</v>
      </c>
      <c r="AX35" s="99" t="s">
        <v>341</v>
      </c>
      <c r="AY35" s="99" t="s">
        <v>356</v>
      </c>
    </row>
    <row r="36" spans="1:51" ht="115.2" x14ac:dyDescent="0.3">
      <c r="A36" s="98">
        <v>42066.513611111113</v>
      </c>
      <c r="B36" s="99" t="s">
        <v>1049</v>
      </c>
      <c r="C36" s="99" t="s">
        <v>1108</v>
      </c>
      <c r="D36" s="99" t="s">
        <v>529</v>
      </c>
      <c r="E36" s="99" t="s">
        <v>3</v>
      </c>
      <c r="F36" s="99" t="s">
        <v>317</v>
      </c>
      <c r="G36" s="99" t="s">
        <v>451</v>
      </c>
      <c r="H36" s="99" t="s">
        <v>5</v>
      </c>
      <c r="I36" s="99" t="s">
        <v>345</v>
      </c>
      <c r="J36" s="99" t="s">
        <v>1250</v>
      </c>
      <c r="K36" s="99" t="s">
        <v>328</v>
      </c>
      <c r="L36" s="99" t="s">
        <v>719</v>
      </c>
      <c r="M36" s="99" t="s">
        <v>314</v>
      </c>
      <c r="N36" s="99" t="s">
        <v>327</v>
      </c>
      <c r="O36" s="99" t="s">
        <v>313</v>
      </c>
      <c r="P36" s="99" t="s">
        <v>313</v>
      </c>
      <c r="Q36" s="99" t="s">
        <v>652</v>
      </c>
      <c r="R36" s="99" t="s">
        <v>327</v>
      </c>
      <c r="S36" s="99" t="s">
        <v>1251</v>
      </c>
      <c r="T36" s="99" t="s">
        <v>312</v>
      </c>
      <c r="U36" s="99" t="s">
        <v>530</v>
      </c>
      <c r="V36" s="99" t="s">
        <v>371</v>
      </c>
      <c r="W36" s="99" t="s">
        <v>370</v>
      </c>
      <c r="X36" s="99" t="s">
        <v>310</v>
      </c>
      <c r="Y36" s="99" t="s">
        <v>316</v>
      </c>
      <c r="Z36" s="99" t="s">
        <v>316</v>
      </c>
      <c r="AA36" s="99" t="s">
        <v>691</v>
      </c>
      <c r="AB36" s="99" t="s">
        <v>358</v>
      </c>
      <c r="AC36" s="99" t="s">
        <v>296</v>
      </c>
      <c r="AD36" s="99" t="s">
        <v>1252</v>
      </c>
      <c r="AE36" s="99" t="s">
        <v>535</v>
      </c>
      <c r="AF36" s="99" t="s">
        <v>1253</v>
      </c>
      <c r="AG36" s="99" t="s">
        <v>304</v>
      </c>
      <c r="AH36" s="99" t="s">
        <v>305</v>
      </c>
      <c r="AI36" s="99" t="s">
        <v>305</v>
      </c>
      <c r="AJ36" s="99" t="s">
        <v>302</v>
      </c>
      <c r="AK36" s="99" t="s">
        <v>303</v>
      </c>
      <c r="AL36" s="99" t="s">
        <v>303</v>
      </c>
      <c r="AM36" s="99" t="s">
        <v>304</v>
      </c>
      <c r="AN36" s="99" t="s">
        <v>303</v>
      </c>
      <c r="AO36" s="99" t="s">
        <v>302</v>
      </c>
      <c r="AP36" s="99" t="s">
        <v>304</v>
      </c>
      <c r="AQ36" s="99" t="s">
        <v>302</v>
      </c>
      <c r="AR36" s="99" t="s">
        <v>541</v>
      </c>
      <c r="AS36" s="99" t="s">
        <v>540</v>
      </c>
      <c r="AT36" s="99" t="s">
        <v>321</v>
      </c>
      <c r="AU36" s="99" t="s">
        <v>342</v>
      </c>
      <c r="AV36" s="99" t="s">
        <v>364</v>
      </c>
      <c r="AW36" s="99" t="s">
        <v>307</v>
      </c>
      <c r="AX36" s="99" t="s">
        <v>319</v>
      </c>
      <c r="AY36" s="99" t="s">
        <v>1254</v>
      </c>
    </row>
    <row r="37" spans="1:51" ht="100.8" x14ac:dyDescent="0.3">
      <c r="A37" s="98">
        <v>42066.516134259262</v>
      </c>
      <c r="B37" s="99" t="s">
        <v>1049</v>
      </c>
      <c r="C37" s="99" t="s">
        <v>1108</v>
      </c>
      <c r="D37" s="99" t="s">
        <v>560</v>
      </c>
      <c r="E37" s="99" t="s">
        <v>3</v>
      </c>
      <c r="F37" s="99"/>
      <c r="G37" s="99" t="s">
        <v>340</v>
      </c>
      <c r="H37" s="99" t="s">
        <v>679</v>
      </c>
      <c r="I37" s="99" t="s">
        <v>345</v>
      </c>
      <c r="J37" s="99" t="s">
        <v>1255</v>
      </c>
      <c r="K37" s="99" t="s">
        <v>315</v>
      </c>
      <c r="L37" s="99" t="s">
        <v>888</v>
      </c>
      <c r="M37" s="99" t="s">
        <v>314</v>
      </c>
      <c r="N37" s="99" t="s">
        <v>4</v>
      </c>
      <c r="O37" s="99" t="s">
        <v>4</v>
      </c>
      <c r="P37" s="99" t="s">
        <v>4</v>
      </c>
      <c r="Q37" s="99" t="s">
        <v>411</v>
      </c>
      <c r="R37" s="99" t="s">
        <v>327</v>
      </c>
      <c r="S37" s="99" t="s">
        <v>1256</v>
      </c>
      <c r="T37" s="99" t="s">
        <v>380</v>
      </c>
      <c r="U37" s="99" t="s">
        <v>530</v>
      </c>
      <c r="V37" s="99" t="s">
        <v>362</v>
      </c>
      <c r="W37" s="99" t="s">
        <v>338</v>
      </c>
      <c r="X37" s="99" t="s">
        <v>337</v>
      </c>
      <c r="Y37" s="99" t="s">
        <v>316</v>
      </c>
      <c r="Z37" s="99" t="s">
        <v>316</v>
      </c>
      <c r="AA37" s="99" t="s">
        <v>424</v>
      </c>
      <c r="AB37" s="99" t="s">
        <v>358</v>
      </c>
      <c r="AC37" s="99" t="s">
        <v>324</v>
      </c>
      <c r="AD37" s="99" t="s">
        <v>448</v>
      </c>
      <c r="AE37" s="99" t="s">
        <v>532</v>
      </c>
      <c r="AF37" s="99" t="s">
        <v>745</v>
      </c>
      <c r="AG37" s="99" t="s">
        <v>306</v>
      </c>
      <c r="AH37" s="99" t="s">
        <v>302</v>
      </c>
      <c r="AI37" s="99" t="s">
        <v>303</v>
      </c>
      <c r="AJ37" s="99" t="s">
        <v>303</v>
      </c>
      <c r="AK37" s="99" t="s">
        <v>302</v>
      </c>
      <c r="AL37" s="99" t="s">
        <v>303</v>
      </c>
      <c r="AM37" s="99" t="s">
        <v>302</v>
      </c>
      <c r="AN37" s="99"/>
      <c r="AO37" s="99" t="s">
        <v>302</v>
      </c>
      <c r="AP37" s="99"/>
      <c r="AQ37" s="99" t="s">
        <v>303</v>
      </c>
      <c r="AR37" s="99" t="s">
        <v>322</v>
      </c>
      <c r="AS37" s="99" t="s">
        <v>300</v>
      </c>
      <c r="AT37" s="99" t="s">
        <v>321</v>
      </c>
      <c r="AU37" s="99" t="s">
        <v>660</v>
      </c>
      <c r="AV37" s="99" t="s">
        <v>536</v>
      </c>
      <c r="AW37" s="99" t="s">
        <v>307</v>
      </c>
      <c r="AX37" s="99" t="s">
        <v>341</v>
      </c>
      <c r="AY37" s="99" t="s">
        <v>484</v>
      </c>
    </row>
    <row r="38" spans="1:51" ht="100.8" x14ac:dyDescent="0.3">
      <c r="A38" s="98">
        <v>42066.517048611109</v>
      </c>
      <c r="B38" s="99" t="s">
        <v>1049</v>
      </c>
      <c r="C38" s="99" t="s">
        <v>1108</v>
      </c>
      <c r="D38" s="99" t="s">
        <v>529</v>
      </c>
      <c r="E38" s="99" t="s">
        <v>330</v>
      </c>
      <c r="F38" s="99" t="s">
        <v>317</v>
      </c>
      <c r="G38" s="99" t="s">
        <v>412</v>
      </c>
      <c r="H38" s="99" t="s">
        <v>5</v>
      </c>
      <c r="I38" s="99" t="s">
        <v>345</v>
      </c>
      <c r="J38" s="99" t="s">
        <v>1257</v>
      </c>
      <c r="K38" s="99" t="s">
        <v>315</v>
      </c>
      <c r="L38" s="99" t="s">
        <v>429</v>
      </c>
      <c r="M38" s="99" t="s">
        <v>367</v>
      </c>
      <c r="N38" s="99" t="s">
        <v>313</v>
      </c>
      <c r="O38" s="99" t="s">
        <v>4</v>
      </c>
      <c r="P38" s="99" t="s">
        <v>313</v>
      </c>
      <c r="Q38" s="99" t="s">
        <v>587</v>
      </c>
      <c r="R38" s="99" t="s">
        <v>327</v>
      </c>
      <c r="S38" s="99" t="s">
        <v>1258</v>
      </c>
      <c r="T38" s="99" t="s">
        <v>326</v>
      </c>
      <c r="U38" s="99" t="s">
        <v>530</v>
      </c>
      <c r="V38" s="99" t="s">
        <v>339</v>
      </c>
      <c r="W38" s="99" t="s">
        <v>370</v>
      </c>
      <c r="X38" s="99" t="s">
        <v>310</v>
      </c>
      <c r="Y38" s="99" t="s">
        <v>316</v>
      </c>
      <c r="Z38" s="99" t="s">
        <v>316</v>
      </c>
      <c r="AA38" s="99" t="s">
        <v>732</v>
      </c>
      <c r="AB38" s="99" t="s">
        <v>376</v>
      </c>
      <c r="AC38" s="99" t="s">
        <v>307</v>
      </c>
      <c r="AD38" s="99" t="s">
        <v>1006</v>
      </c>
      <c r="AE38" s="99" t="s">
        <v>539</v>
      </c>
      <c r="AF38" s="99" t="s">
        <v>578</v>
      </c>
      <c r="AG38" s="99" t="s">
        <v>400</v>
      </c>
      <c r="AH38" s="99" t="s">
        <v>304</v>
      </c>
      <c r="AI38" s="99" t="s">
        <v>303</v>
      </c>
      <c r="AJ38" s="99" t="s">
        <v>304</v>
      </c>
      <c r="AK38" s="99" t="s">
        <v>6</v>
      </c>
      <c r="AL38" s="99" t="s">
        <v>303</v>
      </c>
      <c r="AM38" s="99" t="s">
        <v>303</v>
      </c>
      <c r="AN38" s="99" t="s">
        <v>303</v>
      </c>
      <c r="AO38" s="99" t="s">
        <v>303</v>
      </c>
      <c r="AP38" s="99" t="s">
        <v>303</v>
      </c>
      <c r="AQ38" s="99" t="s">
        <v>303</v>
      </c>
      <c r="AR38" s="99" t="s">
        <v>322</v>
      </c>
      <c r="AS38" s="99" t="s">
        <v>350</v>
      </c>
      <c r="AT38" s="99" t="s">
        <v>355</v>
      </c>
      <c r="AU38" s="99" t="s">
        <v>342</v>
      </c>
      <c r="AV38" s="99" t="s">
        <v>333</v>
      </c>
      <c r="AW38" s="99" t="s">
        <v>324</v>
      </c>
      <c r="AX38" s="99" t="s">
        <v>534</v>
      </c>
      <c r="AY38" s="99" t="s">
        <v>1080</v>
      </c>
    </row>
    <row r="39" spans="1:51" ht="43.2" x14ac:dyDescent="0.3">
      <c r="A39" s="98">
        <v>42066.517847222225</v>
      </c>
      <c r="B39" s="99" t="s">
        <v>1049</v>
      </c>
      <c r="C39" s="99" t="s">
        <v>1108</v>
      </c>
      <c r="D39" s="99" t="s">
        <v>560</v>
      </c>
      <c r="E39" s="99" t="s">
        <v>330</v>
      </c>
      <c r="F39" s="99" t="s">
        <v>383</v>
      </c>
      <c r="G39" s="99" t="s">
        <v>630</v>
      </c>
      <c r="H39" s="99" t="s">
        <v>5</v>
      </c>
      <c r="I39" s="99" t="s">
        <v>309</v>
      </c>
      <c r="J39" s="99" t="s">
        <v>692</v>
      </c>
      <c r="K39" s="99" t="s">
        <v>384</v>
      </c>
      <c r="L39" s="99" t="s">
        <v>406</v>
      </c>
      <c r="M39" s="99" t="s">
        <v>348</v>
      </c>
      <c r="N39" s="99" t="s">
        <v>374</v>
      </c>
      <c r="O39" s="99" t="s">
        <v>327</v>
      </c>
      <c r="P39" s="99" t="s">
        <v>313</v>
      </c>
      <c r="Q39" s="99" t="s">
        <v>399</v>
      </c>
      <c r="R39" s="99" t="s">
        <v>327</v>
      </c>
      <c r="S39" s="99" t="s">
        <v>394</v>
      </c>
      <c r="T39" s="99" t="s">
        <v>380</v>
      </c>
      <c r="U39" s="99" t="s">
        <v>373</v>
      </c>
      <c r="V39" s="99" t="s">
        <v>382</v>
      </c>
      <c r="W39" s="99" t="s">
        <v>370</v>
      </c>
      <c r="X39" s="99"/>
      <c r="Y39" s="99" t="s">
        <v>316</v>
      </c>
      <c r="Z39" s="99" t="s">
        <v>316</v>
      </c>
      <c r="AA39" s="99" t="s">
        <v>464</v>
      </c>
      <c r="AB39" s="99" t="s">
        <v>376</v>
      </c>
      <c r="AC39" s="99" t="s">
        <v>296</v>
      </c>
      <c r="AD39" s="99" t="s">
        <v>361</v>
      </c>
      <c r="AE39" s="99" t="s">
        <v>535</v>
      </c>
      <c r="AF39" s="99" t="s">
        <v>1259</v>
      </c>
      <c r="AG39" s="99" t="s">
        <v>369</v>
      </c>
      <c r="AH39" s="99" t="s">
        <v>302</v>
      </c>
      <c r="AI39" s="99" t="s">
        <v>302</v>
      </c>
      <c r="AJ39" s="99" t="s">
        <v>302</v>
      </c>
      <c r="AK39" s="99" t="s">
        <v>303</v>
      </c>
      <c r="AL39" s="99" t="s">
        <v>303</v>
      </c>
      <c r="AM39" s="99" t="s">
        <v>303</v>
      </c>
      <c r="AN39" s="99" t="s">
        <v>303</v>
      </c>
      <c r="AO39" s="99" t="s">
        <v>304</v>
      </c>
      <c r="AP39" s="99" t="s">
        <v>295</v>
      </c>
      <c r="AQ39" s="99" t="s">
        <v>302</v>
      </c>
      <c r="AR39" s="99" t="s">
        <v>365</v>
      </c>
      <c r="AS39" s="99" t="s">
        <v>300</v>
      </c>
      <c r="AT39" s="99" t="s">
        <v>355</v>
      </c>
      <c r="AU39" s="99" t="s">
        <v>320</v>
      </c>
      <c r="AV39" s="99" t="s">
        <v>364</v>
      </c>
      <c r="AW39" s="99" t="s">
        <v>296</v>
      </c>
      <c r="AX39" s="99" t="s">
        <v>375</v>
      </c>
      <c r="AY39" s="99" t="s">
        <v>356</v>
      </c>
    </row>
    <row r="40" spans="1:51" ht="100.8" x14ac:dyDescent="0.3">
      <c r="A40" s="98">
        <v>42066.517870370371</v>
      </c>
      <c r="B40" s="99" t="s">
        <v>1049</v>
      </c>
      <c r="C40" s="99" t="s">
        <v>1108</v>
      </c>
      <c r="D40" s="99" t="s">
        <v>529</v>
      </c>
      <c r="E40" s="99" t="s">
        <v>330</v>
      </c>
      <c r="F40" s="99" t="s">
        <v>317</v>
      </c>
      <c r="G40" s="99" t="s">
        <v>412</v>
      </c>
      <c r="H40" s="99" t="s">
        <v>5</v>
      </c>
      <c r="I40" s="99" t="s">
        <v>309</v>
      </c>
      <c r="J40" s="99" t="s">
        <v>1260</v>
      </c>
      <c r="K40" s="99" t="s">
        <v>368</v>
      </c>
      <c r="L40" s="99" t="s">
        <v>450</v>
      </c>
      <c r="M40" s="99" t="s">
        <v>348</v>
      </c>
      <c r="N40" s="99" t="s">
        <v>327</v>
      </c>
      <c r="O40" s="99" t="s">
        <v>313</v>
      </c>
      <c r="P40" s="99" t="s">
        <v>327</v>
      </c>
      <c r="Q40" s="99" t="s">
        <v>1261</v>
      </c>
      <c r="R40" s="99" t="s">
        <v>327</v>
      </c>
      <c r="S40" s="99" t="s">
        <v>1262</v>
      </c>
      <c r="T40" s="99" t="s">
        <v>312</v>
      </c>
      <c r="U40" s="99" t="s">
        <v>530</v>
      </c>
      <c r="V40" s="99" t="s">
        <v>437</v>
      </c>
      <c r="W40" s="99" t="s">
        <v>370</v>
      </c>
      <c r="X40" s="99" t="s">
        <v>310</v>
      </c>
      <c r="Y40" s="99" t="s">
        <v>316</v>
      </c>
      <c r="Z40" s="99" t="s">
        <v>316</v>
      </c>
      <c r="AA40" s="99" t="s">
        <v>490</v>
      </c>
      <c r="AB40" s="99" t="s">
        <v>376</v>
      </c>
      <c r="AC40" s="99" t="s">
        <v>307</v>
      </c>
      <c r="AD40" s="99" t="s">
        <v>1006</v>
      </c>
      <c r="AE40" s="99" t="s">
        <v>545</v>
      </c>
      <c r="AF40" s="99" t="s">
        <v>455</v>
      </c>
      <c r="AG40" s="99" t="s">
        <v>304</v>
      </c>
      <c r="AH40" s="99" t="s">
        <v>302</v>
      </c>
      <c r="AI40" s="99" t="s">
        <v>302</v>
      </c>
      <c r="AJ40" s="99" t="s">
        <v>303</v>
      </c>
      <c r="AK40" s="99" t="s">
        <v>304</v>
      </c>
      <c r="AL40" s="99" t="s">
        <v>303</v>
      </c>
      <c r="AM40" s="99" t="s">
        <v>302</v>
      </c>
      <c r="AN40" s="99" t="s">
        <v>304</v>
      </c>
      <c r="AO40" s="99" t="s">
        <v>302</v>
      </c>
      <c r="AP40" s="99" t="s">
        <v>303</v>
      </c>
      <c r="AQ40" s="99" t="s">
        <v>303</v>
      </c>
      <c r="AR40" s="99" t="s">
        <v>322</v>
      </c>
      <c r="AS40" s="99" t="s">
        <v>350</v>
      </c>
      <c r="AT40" s="99" t="s">
        <v>355</v>
      </c>
      <c r="AU40" s="99" t="s">
        <v>342</v>
      </c>
      <c r="AV40" s="99" t="s">
        <v>364</v>
      </c>
      <c r="AW40" s="99" t="s">
        <v>324</v>
      </c>
      <c r="AX40" s="99" t="s">
        <v>319</v>
      </c>
      <c r="AY40" s="99" t="s">
        <v>649</v>
      </c>
    </row>
    <row r="41" spans="1:51" ht="158.4" x14ac:dyDescent="0.3">
      <c r="A41" s="98">
        <v>42066.519571759258</v>
      </c>
      <c r="B41" s="99" t="s">
        <v>1049</v>
      </c>
      <c r="C41" s="99" t="s">
        <v>1108</v>
      </c>
      <c r="D41" s="99" t="s">
        <v>529</v>
      </c>
      <c r="E41" s="99" t="s">
        <v>3</v>
      </c>
      <c r="F41" s="99" t="s">
        <v>317</v>
      </c>
      <c r="G41" s="99" t="s">
        <v>655</v>
      </c>
      <c r="H41" s="99" t="s">
        <v>5</v>
      </c>
      <c r="I41" s="99" t="s">
        <v>309</v>
      </c>
      <c r="J41" s="99" t="s">
        <v>1263</v>
      </c>
      <c r="K41" s="99" t="s">
        <v>328</v>
      </c>
      <c r="L41" s="99" t="s">
        <v>406</v>
      </c>
      <c r="M41" s="99" t="s">
        <v>363</v>
      </c>
      <c r="N41" s="99" t="s">
        <v>313</v>
      </c>
      <c r="O41" s="99" t="s">
        <v>4</v>
      </c>
      <c r="P41" s="99" t="s">
        <v>313</v>
      </c>
      <c r="Q41" s="99" t="s">
        <v>468</v>
      </c>
      <c r="R41" s="99" t="s">
        <v>327</v>
      </c>
      <c r="S41" s="99" t="s">
        <v>1264</v>
      </c>
      <c r="T41" s="99" t="s">
        <v>366</v>
      </c>
      <c r="U41" s="99" t="s">
        <v>373</v>
      </c>
      <c r="V41" s="99" t="s">
        <v>664</v>
      </c>
      <c r="W41" s="99" t="s">
        <v>325</v>
      </c>
      <c r="X41" s="99" t="s">
        <v>352</v>
      </c>
      <c r="Y41" s="99" t="s">
        <v>316</v>
      </c>
      <c r="Z41" s="99" t="s">
        <v>316</v>
      </c>
      <c r="AA41" s="99" t="s">
        <v>1265</v>
      </c>
      <c r="AB41" s="99" t="s">
        <v>376</v>
      </c>
      <c r="AC41" s="99" t="s">
        <v>296</v>
      </c>
      <c r="AD41" s="99" t="s">
        <v>603</v>
      </c>
      <c r="AE41" s="99" t="s">
        <v>535</v>
      </c>
      <c r="AF41" s="99" t="s">
        <v>915</v>
      </c>
      <c r="AG41" s="99" t="s">
        <v>323</v>
      </c>
      <c r="AH41" s="99" t="s">
        <v>302</v>
      </c>
      <c r="AI41" s="99" t="s">
        <v>302</v>
      </c>
      <c r="AJ41" s="99" t="s">
        <v>303</v>
      </c>
      <c r="AK41" s="99" t="s">
        <v>304</v>
      </c>
      <c r="AL41" s="99" t="s">
        <v>303</v>
      </c>
      <c r="AM41" s="99" t="s">
        <v>304</v>
      </c>
      <c r="AN41" s="99" t="s">
        <v>303</v>
      </c>
      <c r="AO41" s="99" t="s">
        <v>303</v>
      </c>
      <c r="AP41" s="99" t="s">
        <v>304</v>
      </c>
      <c r="AQ41" s="99" t="s">
        <v>302</v>
      </c>
      <c r="AR41" s="99" t="s">
        <v>378</v>
      </c>
      <c r="AS41" s="99" t="s">
        <v>540</v>
      </c>
      <c r="AT41" s="99" t="s">
        <v>321</v>
      </c>
      <c r="AU41" s="99" t="s">
        <v>342</v>
      </c>
      <c r="AV41" s="99" t="s">
        <v>364</v>
      </c>
      <c r="AW41" s="99" t="s">
        <v>307</v>
      </c>
      <c r="AX41" s="99" t="s">
        <v>534</v>
      </c>
      <c r="AY41" s="99" t="s">
        <v>1266</v>
      </c>
    </row>
    <row r="42" spans="1:51" ht="144" x14ac:dyDescent="0.3">
      <c r="A42" s="98">
        <v>42066.52103009259</v>
      </c>
      <c r="B42" s="99" t="s">
        <v>1049</v>
      </c>
      <c r="C42" s="99" t="s">
        <v>1108</v>
      </c>
      <c r="D42" s="99" t="s">
        <v>700</v>
      </c>
      <c r="E42" s="99" t="s">
        <v>330</v>
      </c>
      <c r="F42" s="99" t="s">
        <v>317</v>
      </c>
      <c r="G42" s="99" t="s">
        <v>423</v>
      </c>
      <c r="H42" s="99" t="s">
        <v>5</v>
      </c>
      <c r="I42" s="99" t="s">
        <v>345</v>
      </c>
      <c r="J42" s="99" t="s">
        <v>1084</v>
      </c>
      <c r="K42" s="99" t="s">
        <v>354</v>
      </c>
      <c r="L42" s="99" t="s">
        <v>475</v>
      </c>
      <c r="M42" s="99" t="s">
        <v>314</v>
      </c>
      <c r="N42" s="99" t="s">
        <v>4</v>
      </c>
      <c r="O42" s="99" t="s">
        <v>327</v>
      </c>
      <c r="P42" s="99" t="s">
        <v>4</v>
      </c>
      <c r="Q42" s="99" t="s">
        <v>475</v>
      </c>
      <c r="R42" s="99" t="s">
        <v>313</v>
      </c>
      <c r="S42" s="99" t="s">
        <v>1267</v>
      </c>
      <c r="T42" s="99" t="s">
        <v>366</v>
      </c>
      <c r="U42" s="99" t="s">
        <v>530</v>
      </c>
      <c r="V42" s="99" t="s">
        <v>1268</v>
      </c>
      <c r="W42" s="99" t="s">
        <v>571</v>
      </c>
      <c r="X42" s="99" t="s">
        <v>352</v>
      </c>
      <c r="Y42" s="99" t="s">
        <v>316</v>
      </c>
      <c r="Z42" s="99" t="s">
        <v>316</v>
      </c>
      <c r="AA42" s="99" t="s">
        <v>472</v>
      </c>
      <c r="AB42" s="99" t="s">
        <v>308</v>
      </c>
      <c r="AC42" s="99" t="s">
        <v>324</v>
      </c>
      <c r="AD42" s="99" t="s">
        <v>694</v>
      </c>
      <c r="AE42" s="99" t="s">
        <v>539</v>
      </c>
      <c r="AF42" s="99" t="s">
        <v>443</v>
      </c>
      <c r="AG42" s="99" t="s">
        <v>304</v>
      </c>
      <c r="AH42" s="99" t="s">
        <v>304</v>
      </c>
      <c r="AI42" s="99" t="s">
        <v>304</v>
      </c>
      <c r="AJ42" s="99" t="s">
        <v>304</v>
      </c>
      <c r="AK42" s="99" t="s">
        <v>6</v>
      </c>
      <c r="AL42" s="99" t="s">
        <v>304</v>
      </c>
      <c r="AM42" s="99" t="s">
        <v>303</v>
      </c>
      <c r="AN42" s="99" t="s">
        <v>303</v>
      </c>
      <c r="AO42" s="99" t="s">
        <v>304</v>
      </c>
      <c r="AP42" s="99" t="s">
        <v>304</v>
      </c>
      <c r="AQ42" s="99" t="s">
        <v>295</v>
      </c>
      <c r="AR42" s="99" t="s">
        <v>343</v>
      </c>
      <c r="AS42" s="99" t="s">
        <v>300</v>
      </c>
      <c r="AT42" s="99" t="s">
        <v>321</v>
      </c>
      <c r="AU42" s="99" t="s">
        <v>320</v>
      </c>
      <c r="AV42" s="99" t="s">
        <v>297</v>
      </c>
      <c r="AW42" s="99" t="s">
        <v>307</v>
      </c>
      <c r="AX42" s="99" t="s">
        <v>375</v>
      </c>
      <c r="AY42" s="99" t="s">
        <v>356</v>
      </c>
    </row>
    <row r="43" spans="1:51" ht="129.6" x14ac:dyDescent="0.3">
      <c r="A43" s="98">
        <v>42066.521365740744</v>
      </c>
      <c r="B43" s="99" t="s">
        <v>1049</v>
      </c>
      <c r="C43" s="99" t="s">
        <v>1108</v>
      </c>
      <c r="D43" s="99" t="s">
        <v>331</v>
      </c>
      <c r="E43" s="99" t="s">
        <v>330</v>
      </c>
      <c r="F43" s="99" t="s">
        <v>383</v>
      </c>
      <c r="G43" s="99" t="s">
        <v>412</v>
      </c>
      <c r="H43" s="99" t="s">
        <v>5</v>
      </c>
      <c r="I43" s="99" t="s">
        <v>309</v>
      </c>
      <c r="J43" s="99" t="s">
        <v>699</v>
      </c>
      <c r="K43" s="99" t="s">
        <v>315</v>
      </c>
      <c r="L43" s="99" t="s">
        <v>657</v>
      </c>
      <c r="M43" s="99" t="s">
        <v>348</v>
      </c>
      <c r="N43" s="99" t="s">
        <v>327</v>
      </c>
      <c r="O43" s="99" t="s">
        <v>4</v>
      </c>
      <c r="P43" s="99" t="s">
        <v>327</v>
      </c>
      <c r="Q43" s="99" t="s">
        <v>670</v>
      </c>
      <c r="R43" s="99" t="s">
        <v>327</v>
      </c>
      <c r="S43" s="99" t="s">
        <v>677</v>
      </c>
      <c r="T43" s="99" t="s">
        <v>366</v>
      </c>
      <c r="U43" s="99" t="s">
        <v>373</v>
      </c>
      <c r="V43" s="99" t="s">
        <v>828</v>
      </c>
      <c r="W43" s="99" t="s">
        <v>370</v>
      </c>
      <c r="X43" s="99" t="s">
        <v>310</v>
      </c>
      <c r="Y43" s="99" t="s">
        <v>316</v>
      </c>
      <c r="Z43" s="99" t="s">
        <v>316</v>
      </c>
      <c r="AA43" s="99" t="s">
        <v>490</v>
      </c>
      <c r="AB43" s="99" t="s">
        <v>393</v>
      </c>
      <c r="AC43" s="99" t="s">
        <v>296</v>
      </c>
      <c r="AD43" s="99" t="s">
        <v>426</v>
      </c>
      <c r="AE43" s="99" t="s">
        <v>539</v>
      </c>
      <c r="AF43" s="99" t="s">
        <v>1269</v>
      </c>
      <c r="AG43" s="99" t="s">
        <v>304</v>
      </c>
      <c r="AH43" s="99" t="s">
        <v>6</v>
      </c>
      <c r="AI43" s="99" t="s">
        <v>304</v>
      </c>
      <c r="AJ43" s="99" t="s">
        <v>303</v>
      </c>
      <c r="AK43" s="99" t="s">
        <v>6</v>
      </c>
      <c r="AL43" s="99" t="s">
        <v>302</v>
      </c>
      <c r="AM43" s="99" t="s">
        <v>303</v>
      </c>
      <c r="AN43" s="99" t="s">
        <v>295</v>
      </c>
      <c r="AO43" s="99" t="s">
        <v>295</v>
      </c>
      <c r="AP43" s="99" t="s">
        <v>295</v>
      </c>
      <c r="AQ43" s="99" t="s">
        <v>304</v>
      </c>
      <c r="AR43" s="99" t="s">
        <v>322</v>
      </c>
      <c r="AS43" s="99" t="s">
        <v>350</v>
      </c>
      <c r="AT43" s="99" t="s">
        <v>355</v>
      </c>
      <c r="AU43" s="99" t="s">
        <v>320</v>
      </c>
      <c r="AV43" s="99" t="s">
        <v>364</v>
      </c>
      <c r="AW43" s="99" t="s">
        <v>307</v>
      </c>
      <c r="AX43" s="99" t="s">
        <v>375</v>
      </c>
      <c r="AY43" s="99" t="s">
        <v>418</v>
      </c>
    </row>
    <row r="44" spans="1:51" ht="158.4" x14ac:dyDescent="0.3">
      <c r="A44" s="98">
        <v>42066.522893518515</v>
      </c>
      <c r="B44" s="99" t="s">
        <v>1049</v>
      </c>
      <c r="C44" s="99" t="s">
        <v>1108</v>
      </c>
      <c r="D44" s="99" t="s">
        <v>529</v>
      </c>
      <c r="E44" s="99" t="s">
        <v>330</v>
      </c>
      <c r="F44" s="99" t="s">
        <v>317</v>
      </c>
      <c r="G44" s="99" t="s">
        <v>407</v>
      </c>
      <c r="H44" s="99" t="s">
        <v>5</v>
      </c>
      <c r="I44" s="99" t="s">
        <v>309</v>
      </c>
      <c r="J44" s="99" t="s">
        <v>1097</v>
      </c>
      <c r="K44" s="99" t="s">
        <v>328</v>
      </c>
      <c r="L44" s="99" t="s">
        <v>450</v>
      </c>
      <c r="M44" s="99" t="s">
        <v>353</v>
      </c>
      <c r="N44" s="99" t="s">
        <v>4</v>
      </c>
      <c r="O44" s="99" t="s">
        <v>4</v>
      </c>
      <c r="P44" s="99" t="s">
        <v>4</v>
      </c>
      <c r="Q44" s="99" t="s">
        <v>1270</v>
      </c>
      <c r="R44" s="99" t="s">
        <v>327</v>
      </c>
      <c r="S44" s="99" t="s">
        <v>1271</v>
      </c>
      <c r="T44" s="99" t="s">
        <v>326</v>
      </c>
      <c r="U44" s="99" t="s">
        <v>530</v>
      </c>
      <c r="V44" s="99"/>
      <c r="W44" s="99" t="s">
        <v>325</v>
      </c>
      <c r="X44" s="99" t="s">
        <v>352</v>
      </c>
      <c r="Y44" s="99" t="s">
        <v>316</v>
      </c>
      <c r="Z44" s="99" t="s">
        <v>316</v>
      </c>
      <c r="AA44" s="99" t="s">
        <v>472</v>
      </c>
      <c r="AB44" s="99" t="s">
        <v>389</v>
      </c>
      <c r="AC44" s="99" t="s">
        <v>296</v>
      </c>
      <c r="AD44" s="99" t="s">
        <v>414</v>
      </c>
      <c r="AE44" s="99" t="s">
        <v>539</v>
      </c>
      <c r="AF44" s="99" t="s">
        <v>915</v>
      </c>
      <c r="AG44" s="99" t="s">
        <v>400</v>
      </c>
      <c r="AH44" s="99" t="s">
        <v>304</v>
      </c>
      <c r="AI44" s="99" t="s">
        <v>304</v>
      </c>
      <c r="AJ44" s="99" t="s">
        <v>302</v>
      </c>
      <c r="AK44" s="99" t="s">
        <v>305</v>
      </c>
      <c r="AL44" s="99" t="s">
        <v>303</v>
      </c>
      <c r="AM44" s="99" t="s">
        <v>303</v>
      </c>
      <c r="AN44" s="99" t="s">
        <v>303</v>
      </c>
      <c r="AO44" s="99" t="s">
        <v>304</v>
      </c>
      <c r="AP44" s="99" t="s">
        <v>303</v>
      </c>
      <c r="AQ44" s="99" t="s">
        <v>303</v>
      </c>
      <c r="AR44" s="99" t="s">
        <v>343</v>
      </c>
      <c r="AS44" s="99" t="s">
        <v>300</v>
      </c>
      <c r="AT44" s="99" t="s">
        <v>355</v>
      </c>
      <c r="AU44" s="99" t="s">
        <v>342</v>
      </c>
      <c r="AV44" s="99" t="s">
        <v>364</v>
      </c>
      <c r="AW44" s="99" t="s">
        <v>324</v>
      </c>
      <c r="AX44" s="99" t="s">
        <v>534</v>
      </c>
      <c r="AY44" s="99" t="s">
        <v>491</v>
      </c>
    </row>
    <row r="45" spans="1:51" ht="187.2" x14ac:dyDescent="0.3">
      <c r="A45" s="98">
        <v>42066.524131944447</v>
      </c>
      <c r="B45" s="99" t="s">
        <v>1049</v>
      </c>
      <c r="C45" s="99" t="s">
        <v>1108</v>
      </c>
      <c r="D45" s="99" t="s">
        <v>331</v>
      </c>
      <c r="E45" s="99" t="s">
        <v>3</v>
      </c>
      <c r="F45" s="99" t="s">
        <v>317</v>
      </c>
      <c r="G45" s="99" t="s">
        <v>407</v>
      </c>
      <c r="H45" s="99" t="s">
        <v>5</v>
      </c>
      <c r="I45" s="99" t="s">
        <v>309</v>
      </c>
      <c r="J45" s="99" t="s">
        <v>847</v>
      </c>
      <c r="K45" s="99" t="s">
        <v>354</v>
      </c>
      <c r="L45" s="99" t="s">
        <v>450</v>
      </c>
      <c r="M45" s="99" t="s">
        <v>353</v>
      </c>
      <c r="N45" s="99" t="s">
        <v>327</v>
      </c>
      <c r="O45" s="99" t="s">
        <v>327</v>
      </c>
      <c r="P45" s="99" t="s">
        <v>313</v>
      </c>
      <c r="Q45" s="99" t="s">
        <v>1272</v>
      </c>
      <c r="R45" s="99" t="s">
        <v>327</v>
      </c>
      <c r="S45" s="99" t="s">
        <v>500</v>
      </c>
      <c r="T45" s="99" t="s">
        <v>366</v>
      </c>
      <c r="U45" s="99" t="s">
        <v>530</v>
      </c>
      <c r="V45" s="99" t="s">
        <v>664</v>
      </c>
      <c r="W45" s="99" t="s">
        <v>338</v>
      </c>
      <c r="X45" s="99" t="s">
        <v>337</v>
      </c>
      <c r="Y45" s="99" t="s">
        <v>316</v>
      </c>
      <c r="Z45" s="99" t="s">
        <v>316</v>
      </c>
      <c r="AA45" s="99" t="s">
        <v>1037</v>
      </c>
      <c r="AB45" s="99" t="s">
        <v>389</v>
      </c>
      <c r="AC45" s="99" t="s">
        <v>324</v>
      </c>
      <c r="AD45" s="99" t="s">
        <v>426</v>
      </c>
      <c r="AE45" s="99" t="s">
        <v>532</v>
      </c>
      <c r="AF45" s="99" t="s">
        <v>1273</v>
      </c>
      <c r="AG45" s="99" t="s">
        <v>323</v>
      </c>
      <c r="AH45" s="99" t="s">
        <v>304</v>
      </c>
      <c r="AI45" s="99" t="s">
        <v>304</v>
      </c>
      <c r="AJ45" s="99" t="s">
        <v>304</v>
      </c>
      <c r="AK45" s="99" t="s">
        <v>304</v>
      </c>
      <c r="AL45" s="99" t="s">
        <v>304</v>
      </c>
      <c r="AM45" s="99" t="s">
        <v>303</v>
      </c>
      <c r="AN45" s="99" t="s">
        <v>304</v>
      </c>
      <c r="AO45" s="99" t="s">
        <v>303</v>
      </c>
      <c r="AP45" s="99" t="s">
        <v>304</v>
      </c>
      <c r="AQ45" s="99" t="s">
        <v>303</v>
      </c>
      <c r="AR45" s="99" t="s">
        <v>541</v>
      </c>
      <c r="AS45" s="99" t="s">
        <v>300</v>
      </c>
      <c r="AT45" s="99" t="s">
        <v>321</v>
      </c>
      <c r="AU45" s="99" t="s">
        <v>342</v>
      </c>
      <c r="AV45" s="99" t="s">
        <v>297</v>
      </c>
      <c r="AW45" s="99" t="s">
        <v>307</v>
      </c>
      <c r="AX45" s="99" t="s">
        <v>341</v>
      </c>
      <c r="AY45" s="99" t="s">
        <v>418</v>
      </c>
    </row>
    <row r="46" spans="1:51" ht="115.2" x14ac:dyDescent="0.3">
      <c r="A46" s="98">
        <v>42066.528969907406</v>
      </c>
      <c r="B46" s="99" t="s">
        <v>1049</v>
      </c>
      <c r="C46" s="99" t="s">
        <v>1108</v>
      </c>
      <c r="D46" s="99" t="s">
        <v>560</v>
      </c>
      <c r="E46" s="99" t="s">
        <v>330</v>
      </c>
      <c r="F46" s="99" t="s">
        <v>383</v>
      </c>
      <c r="G46" s="99" t="s">
        <v>407</v>
      </c>
      <c r="H46" s="99" t="s">
        <v>5</v>
      </c>
      <c r="I46" s="99" t="s">
        <v>309</v>
      </c>
      <c r="J46" s="99" t="s">
        <v>1137</v>
      </c>
      <c r="K46" s="99" t="s">
        <v>315</v>
      </c>
      <c r="L46" s="99" t="s">
        <v>406</v>
      </c>
      <c r="M46" s="99" t="s">
        <v>348</v>
      </c>
      <c r="N46" s="99" t="s">
        <v>4</v>
      </c>
      <c r="O46" s="99" t="s">
        <v>313</v>
      </c>
      <c r="P46" s="99" t="s">
        <v>4</v>
      </c>
      <c r="Q46" s="99" t="s">
        <v>670</v>
      </c>
      <c r="R46" s="99" t="s">
        <v>327</v>
      </c>
      <c r="S46" s="99" t="s">
        <v>1052</v>
      </c>
      <c r="T46" s="99" t="s">
        <v>366</v>
      </c>
      <c r="U46" s="99" t="s">
        <v>373</v>
      </c>
      <c r="V46" s="99" t="s">
        <v>664</v>
      </c>
      <c r="W46" s="99" t="s">
        <v>370</v>
      </c>
      <c r="X46" s="99" t="s">
        <v>310</v>
      </c>
      <c r="Y46" s="99" t="s">
        <v>316</v>
      </c>
      <c r="Z46" s="99" t="s">
        <v>316</v>
      </c>
      <c r="AA46" s="99" t="s">
        <v>588</v>
      </c>
      <c r="AB46" s="99" t="s">
        <v>308</v>
      </c>
      <c r="AC46" s="99" t="s">
        <v>324</v>
      </c>
      <c r="AD46" s="99" t="s">
        <v>972</v>
      </c>
      <c r="AE46" s="99" t="s">
        <v>532</v>
      </c>
      <c r="AF46" s="99" t="s">
        <v>1274</v>
      </c>
      <c r="AG46" s="99" t="s">
        <v>323</v>
      </c>
      <c r="AH46" s="99" t="s">
        <v>303</v>
      </c>
      <c r="AI46" s="99" t="s">
        <v>303</v>
      </c>
      <c r="AJ46" s="99" t="s">
        <v>302</v>
      </c>
      <c r="AK46" s="99" t="s">
        <v>304</v>
      </c>
      <c r="AL46" s="99" t="s">
        <v>302</v>
      </c>
      <c r="AM46" s="99" t="s">
        <v>303</v>
      </c>
      <c r="AN46" s="99" t="s">
        <v>303</v>
      </c>
      <c r="AO46" s="99" t="s">
        <v>304</v>
      </c>
      <c r="AP46" s="99" t="s">
        <v>303</v>
      </c>
      <c r="AQ46" s="99" t="s">
        <v>303</v>
      </c>
      <c r="AR46" s="99" t="s">
        <v>391</v>
      </c>
      <c r="AS46" s="99" t="s">
        <v>398</v>
      </c>
      <c r="AT46" s="99" t="s">
        <v>355</v>
      </c>
      <c r="AU46" s="99" t="s">
        <v>320</v>
      </c>
      <c r="AV46" s="99" t="s">
        <v>536</v>
      </c>
      <c r="AW46" s="99" t="s">
        <v>307</v>
      </c>
      <c r="AX46" s="99" t="s">
        <v>534</v>
      </c>
      <c r="AY46" s="99" t="s">
        <v>491</v>
      </c>
    </row>
    <row r="47" spans="1:51" ht="129.6" x14ac:dyDescent="0.3">
      <c r="A47" s="98">
        <v>42097.380486111113</v>
      </c>
      <c r="B47" s="99" t="s">
        <v>1049</v>
      </c>
      <c r="C47" s="99" t="s">
        <v>1108</v>
      </c>
      <c r="D47" s="99" t="s">
        <v>529</v>
      </c>
      <c r="E47" s="99" t="s">
        <v>3</v>
      </c>
      <c r="F47" s="99" t="s">
        <v>317</v>
      </c>
      <c r="G47" s="99" t="s">
        <v>423</v>
      </c>
      <c r="H47" s="99" t="s">
        <v>5</v>
      </c>
      <c r="I47" s="99" t="s">
        <v>345</v>
      </c>
      <c r="J47" s="99" t="s">
        <v>1275</v>
      </c>
      <c r="K47" s="99" t="s">
        <v>315</v>
      </c>
      <c r="L47" s="99" t="s">
        <v>427</v>
      </c>
      <c r="M47" s="99" t="s">
        <v>314</v>
      </c>
      <c r="N47" s="99"/>
      <c r="O47" s="99" t="s">
        <v>4</v>
      </c>
      <c r="P47" s="99" t="s">
        <v>313</v>
      </c>
      <c r="Q47" s="99" t="s">
        <v>834</v>
      </c>
      <c r="R47" s="99" t="s">
        <v>4</v>
      </c>
      <c r="S47" s="99" t="s">
        <v>744</v>
      </c>
      <c r="T47" s="99" t="s">
        <v>326</v>
      </c>
      <c r="U47" s="99" t="s">
        <v>311</v>
      </c>
      <c r="V47" s="99" t="s">
        <v>672</v>
      </c>
      <c r="W47" s="99" t="s">
        <v>338</v>
      </c>
      <c r="X47" s="99" t="s">
        <v>352</v>
      </c>
      <c r="Y47" s="99" t="s">
        <v>316</v>
      </c>
      <c r="Z47" s="99" t="s">
        <v>316</v>
      </c>
      <c r="AA47" s="99" t="s">
        <v>886</v>
      </c>
      <c r="AB47" s="99" t="s">
        <v>358</v>
      </c>
      <c r="AC47" s="99" t="s">
        <v>324</v>
      </c>
      <c r="AD47" s="99" t="s">
        <v>1006</v>
      </c>
      <c r="AE47" s="99" t="s">
        <v>532</v>
      </c>
      <c r="AF47" s="99" t="s">
        <v>461</v>
      </c>
      <c r="AG47" s="99" t="s">
        <v>304</v>
      </c>
      <c r="AH47" s="99" t="s">
        <v>304</v>
      </c>
      <c r="AI47" s="99" t="s">
        <v>303</v>
      </c>
      <c r="AJ47" s="99" t="s">
        <v>304</v>
      </c>
      <c r="AK47" s="99" t="s">
        <v>304</v>
      </c>
      <c r="AL47" s="99" t="s">
        <v>304</v>
      </c>
      <c r="AM47" s="99" t="s">
        <v>295</v>
      </c>
      <c r="AN47" s="99" t="s">
        <v>304</v>
      </c>
      <c r="AO47" s="99" t="s">
        <v>304</v>
      </c>
      <c r="AP47" s="99" t="s">
        <v>303</v>
      </c>
      <c r="AQ47" s="99" t="s">
        <v>304</v>
      </c>
      <c r="AR47" s="99" t="s">
        <v>322</v>
      </c>
      <c r="AS47" s="99" t="s">
        <v>563</v>
      </c>
      <c r="AT47" s="99" t="s">
        <v>360</v>
      </c>
      <c r="AU47" s="99" t="s">
        <v>342</v>
      </c>
      <c r="AV47" s="99" t="s">
        <v>297</v>
      </c>
      <c r="AW47" s="99"/>
      <c r="AX47" s="99" t="s">
        <v>341</v>
      </c>
      <c r="AY47" s="99" t="s">
        <v>683</v>
      </c>
    </row>
    <row r="48" spans="1:51" ht="115.2" x14ac:dyDescent="0.3">
      <c r="A48" s="98">
        <v>42127.18577546296</v>
      </c>
      <c r="B48" s="99" t="s">
        <v>1049</v>
      </c>
      <c r="C48" s="99" t="s">
        <v>799</v>
      </c>
      <c r="D48" s="99" t="s">
        <v>560</v>
      </c>
      <c r="E48" s="99" t="s">
        <v>3</v>
      </c>
      <c r="F48" s="99" t="s">
        <v>317</v>
      </c>
      <c r="G48" s="99" t="s">
        <v>1276</v>
      </c>
      <c r="H48" s="99" t="s">
        <v>5</v>
      </c>
      <c r="I48" s="99" t="s">
        <v>309</v>
      </c>
      <c r="J48" s="99" t="s">
        <v>473</v>
      </c>
      <c r="K48" s="99" t="s">
        <v>328</v>
      </c>
      <c r="L48" s="99" t="s">
        <v>429</v>
      </c>
      <c r="M48" s="99" t="s">
        <v>367</v>
      </c>
      <c r="N48" s="99" t="s">
        <v>374</v>
      </c>
      <c r="O48" s="99" t="s">
        <v>313</v>
      </c>
      <c r="P48" s="99" t="s">
        <v>4</v>
      </c>
      <c r="Q48" s="99" t="s">
        <v>421</v>
      </c>
      <c r="R48" s="99" t="s">
        <v>327</v>
      </c>
      <c r="S48" s="99" t="s">
        <v>712</v>
      </c>
      <c r="T48" s="99" t="s">
        <v>312</v>
      </c>
      <c r="U48" s="99" t="s">
        <v>373</v>
      </c>
      <c r="V48" s="99"/>
      <c r="W48" s="99" t="s">
        <v>325</v>
      </c>
      <c r="X48" s="99" t="s">
        <v>352</v>
      </c>
      <c r="Y48" s="99" t="s">
        <v>316</v>
      </c>
      <c r="Z48" s="99" t="s">
        <v>316</v>
      </c>
      <c r="AA48" s="99" t="s">
        <v>910</v>
      </c>
      <c r="AB48" s="99" t="s">
        <v>308</v>
      </c>
      <c r="AC48" s="99" t="s">
        <v>296</v>
      </c>
      <c r="AD48" s="99" t="s">
        <v>426</v>
      </c>
      <c r="AE48" s="99" t="s">
        <v>535</v>
      </c>
      <c r="AF48" s="99" t="s">
        <v>1021</v>
      </c>
      <c r="AG48" s="99" t="s">
        <v>306</v>
      </c>
      <c r="AH48" s="99" t="s">
        <v>303</v>
      </c>
      <c r="AI48" s="99" t="s">
        <v>303</v>
      </c>
      <c r="AJ48" s="99" t="s">
        <v>302</v>
      </c>
      <c r="AK48" s="99" t="s">
        <v>6</v>
      </c>
      <c r="AL48" s="99" t="s">
        <v>303</v>
      </c>
      <c r="AM48" s="99" t="s">
        <v>302</v>
      </c>
      <c r="AN48" s="99" t="s">
        <v>303</v>
      </c>
      <c r="AO48" s="99" t="s">
        <v>302</v>
      </c>
      <c r="AP48" s="99" t="s">
        <v>302</v>
      </c>
      <c r="AQ48" s="99" t="s">
        <v>302</v>
      </c>
      <c r="AR48" s="99" t="s">
        <v>343</v>
      </c>
      <c r="AS48" s="99" t="s">
        <v>300</v>
      </c>
      <c r="AT48" s="99" t="s">
        <v>355</v>
      </c>
      <c r="AU48" s="99" t="s">
        <v>342</v>
      </c>
      <c r="AV48" s="99" t="s">
        <v>547</v>
      </c>
      <c r="AW48" s="99" t="s">
        <v>296</v>
      </c>
      <c r="AX48" s="99" t="s">
        <v>319</v>
      </c>
      <c r="AY48" s="99" t="s">
        <v>332</v>
      </c>
    </row>
    <row r="49" spans="1:51" ht="115.2" x14ac:dyDescent="0.3">
      <c r="A49" s="98">
        <v>42127.186597222222</v>
      </c>
      <c r="B49" s="99" t="s">
        <v>1049</v>
      </c>
      <c r="C49" s="99" t="s">
        <v>799</v>
      </c>
      <c r="D49" s="99" t="s">
        <v>331</v>
      </c>
      <c r="E49" s="99" t="s">
        <v>330</v>
      </c>
      <c r="F49" s="99" t="s">
        <v>317</v>
      </c>
      <c r="G49" s="99" t="s">
        <v>407</v>
      </c>
      <c r="H49" s="99" t="s">
        <v>5</v>
      </c>
      <c r="I49" s="99" t="s">
        <v>309</v>
      </c>
      <c r="J49" s="99" t="s">
        <v>1077</v>
      </c>
      <c r="K49" s="99" t="s">
        <v>315</v>
      </c>
      <c r="L49" s="99" t="s">
        <v>1194</v>
      </c>
      <c r="M49" s="99" t="s">
        <v>348</v>
      </c>
      <c r="N49" s="99" t="s">
        <v>4</v>
      </c>
      <c r="O49" s="99" t="s">
        <v>313</v>
      </c>
      <c r="P49" s="99" t="s">
        <v>327</v>
      </c>
      <c r="Q49" s="99" t="s">
        <v>405</v>
      </c>
      <c r="R49" s="99" t="s">
        <v>4</v>
      </c>
      <c r="S49" s="99" t="s">
        <v>1277</v>
      </c>
      <c r="T49" s="99" t="s">
        <v>326</v>
      </c>
      <c r="U49" s="99" t="s">
        <v>530</v>
      </c>
      <c r="V49" s="99" t="s">
        <v>339</v>
      </c>
      <c r="W49" s="99" t="s">
        <v>1278</v>
      </c>
      <c r="X49" s="99" t="s">
        <v>310</v>
      </c>
      <c r="Y49" s="99" t="s">
        <v>316</v>
      </c>
      <c r="Z49" s="99" t="s">
        <v>316</v>
      </c>
      <c r="AA49" s="99"/>
      <c r="AB49" s="99" t="s">
        <v>308</v>
      </c>
      <c r="AC49" s="99" t="s">
        <v>307</v>
      </c>
      <c r="AD49" s="99" t="s">
        <v>431</v>
      </c>
      <c r="AE49" s="99" t="s">
        <v>535</v>
      </c>
      <c r="AF49" s="99" t="s">
        <v>461</v>
      </c>
      <c r="AG49" s="99" t="s">
        <v>323</v>
      </c>
      <c r="AH49" s="99" t="s">
        <v>302</v>
      </c>
      <c r="AI49" s="99" t="s">
        <v>302</v>
      </c>
      <c r="AJ49" s="99" t="s">
        <v>303</v>
      </c>
      <c r="AK49" s="99" t="s">
        <v>304</v>
      </c>
      <c r="AL49" s="99" t="s">
        <v>303</v>
      </c>
      <c r="AM49" s="99" t="s">
        <v>302</v>
      </c>
      <c r="AN49" s="99" t="s">
        <v>303</v>
      </c>
      <c r="AO49" s="99"/>
      <c r="AP49" s="99" t="s">
        <v>303</v>
      </c>
      <c r="AQ49" s="99" t="s">
        <v>302</v>
      </c>
      <c r="AR49" s="99" t="s">
        <v>322</v>
      </c>
      <c r="AS49" s="99" t="s">
        <v>350</v>
      </c>
      <c r="AT49" s="99" t="s">
        <v>321</v>
      </c>
      <c r="AU49" s="99" t="s">
        <v>320</v>
      </c>
      <c r="AV49" s="99" t="s">
        <v>364</v>
      </c>
      <c r="AW49" s="99" t="s">
        <v>307</v>
      </c>
      <c r="AX49" s="99" t="s">
        <v>534</v>
      </c>
      <c r="AY49" s="99" t="s">
        <v>456</v>
      </c>
    </row>
    <row r="50" spans="1:51" ht="72" x14ac:dyDescent="0.3">
      <c r="A50" s="98">
        <v>42127.186851851853</v>
      </c>
      <c r="B50" s="99" t="s">
        <v>1049</v>
      </c>
      <c r="C50" s="99" t="s">
        <v>799</v>
      </c>
      <c r="D50" s="99" t="s">
        <v>529</v>
      </c>
      <c r="E50" s="99" t="s">
        <v>330</v>
      </c>
      <c r="F50" s="99" t="s">
        <v>317</v>
      </c>
      <c r="G50" s="99" t="s">
        <v>340</v>
      </c>
      <c r="H50" s="99" t="s">
        <v>5</v>
      </c>
      <c r="I50" s="99" t="s">
        <v>309</v>
      </c>
      <c r="J50" s="99" t="s">
        <v>1263</v>
      </c>
      <c r="K50" s="99" t="s">
        <v>315</v>
      </c>
      <c r="L50" s="99" t="s">
        <v>411</v>
      </c>
      <c r="M50" s="99" t="s">
        <v>314</v>
      </c>
      <c r="N50" s="99" t="s">
        <v>4</v>
      </c>
      <c r="O50" s="99" t="s">
        <v>4</v>
      </c>
      <c r="P50" s="99" t="s">
        <v>313</v>
      </c>
      <c r="Q50" s="99" t="s">
        <v>411</v>
      </c>
      <c r="R50" s="99" t="s">
        <v>327</v>
      </c>
      <c r="S50" s="99" t="s">
        <v>677</v>
      </c>
      <c r="T50" s="99" t="s">
        <v>326</v>
      </c>
      <c r="U50" s="99" t="s">
        <v>530</v>
      </c>
      <c r="V50" s="99" t="s">
        <v>339</v>
      </c>
      <c r="W50" s="99" t="s">
        <v>325</v>
      </c>
      <c r="X50" s="99" t="s">
        <v>352</v>
      </c>
      <c r="Y50" s="99" t="s">
        <v>316</v>
      </c>
      <c r="Z50" s="99" t="s">
        <v>316</v>
      </c>
      <c r="AA50" s="99" t="s">
        <v>1279</v>
      </c>
      <c r="AB50" s="99" t="s">
        <v>308</v>
      </c>
      <c r="AC50" s="99" t="s">
        <v>307</v>
      </c>
      <c r="AD50" s="99" t="s">
        <v>462</v>
      </c>
      <c r="AE50" s="99" t="s">
        <v>535</v>
      </c>
      <c r="AF50" s="99" t="s">
        <v>1280</v>
      </c>
      <c r="AG50" s="99" t="s">
        <v>323</v>
      </c>
      <c r="AH50" s="99" t="s">
        <v>303</v>
      </c>
      <c r="AI50" s="99" t="s">
        <v>303</v>
      </c>
      <c r="AJ50" s="99" t="s">
        <v>302</v>
      </c>
      <c r="AK50" s="99" t="s">
        <v>304</v>
      </c>
      <c r="AL50" s="99" t="s">
        <v>303</v>
      </c>
      <c r="AM50" s="99" t="s">
        <v>303</v>
      </c>
      <c r="AN50" s="99" t="s">
        <v>303</v>
      </c>
      <c r="AO50" s="99" t="s">
        <v>304</v>
      </c>
      <c r="AP50" s="99" t="s">
        <v>302</v>
      </c>
      <c r="AQ50" s="99" t="s">
        <v>302</v>
      </c>
      <c r="AR50" s="99" t="s">
        <v>322</v>
      </c>
      <c r="AS50" s="99" t="s">
        <v>300</v>
      </c>
      <c r="AT50" s="99" t="s">
        <v>321</v>
      </c>
      <c r="AU50" s="99" t="s">
        <v>342</v>
      </c>
      <c r="AV50" s="99" t="s">
        <v>536</v>
      </c>
      <c r="AW50" s="99" t="s">
        <v>307</v>
      </c>
      <c r="AX50" s="99" t="s">
        <v>319</v>
      </c>
      <c r="AY50" s="99" t="s">
        <v>385</v>
      </c>
    </row>
    <row r="51" spans="1:51" ht="72" x14ac:dyDescent="0.3">
      <c r="A51" s="98">
        <v>42127.186851851853</v>
      </c>
      <c r="B51" s="99" t="s">
        <v>1049</v>
      </c>
      <c r="C51" s="99" t="s">
        <v>799</v>
      </c>
      <c r="D51" s="99" t="s">
        <v>529</v>
      </c>
      <c r="E51" s="99" t="s">
        <v>330</v>
      </c>
      <c r="F51" s="99" t="s">
        <v>317</v>
      </c>
      <c r="G51" s="99" t="s">
        <v>407</v>
      </c>
      <c r="H51" s="99" t="s">
        <v>5</v>
      </c>
      <c r="I51" s="99" t="s">
        <v>309</v>
      </c>
      <c r="J51" s="99" t="s">
        <v>1281</v>
      </c>
      <c r="K51" s="99" t="s">
        <v>315</v>
      </c>
      <c r="L51" s="99" t="s">
        <v>657</v>
      </c>
      <c r="M51" s="99" t="s">
        <v>314</v>
      </c>
      <c r="N51" s="99" t="s">
        <v>4</v>
      </c>
      <c r="O51" s="99" t="s">
        <v>4</v>
      </c>
      <c r="P51" s="99" t="s">
        <v>4</v>
      </c>
      <c r="Q51" s="99" t="s">
        <v>411</v>
      </c>
      <c r="R51" s="99" t="s">
        <v>327</v>
      </c>
      <c r="S51" s="99" t="s">
        <v>662</v>
      </c>
      <c r="T51" s="99" t="s">
        <v>312</v>
      </c>
      <c r="U51" s="99" t="s">
        <v>530</v>
      </c>
      <c r="V51" s="99" t="s">
        <v>437</v>
      </c>
      <c r="W51" s="99" t="s">
        <v>370</v>
      </c>
      <c r="X51" s="99" t="s">
        <v>310</v>
      </c>
      <c r="Y51" s="99" t="s">
        <v>316</v>
      </c>
      <c r="Z51" s="99" t="s">
        <v>316</v>
      </c>
      <c r="AA51" s="99" t="s">
        <v>472</v>
      </c>
      <c r="AB51" s="99" t="s">
        <v>308</v>
      </c>
      <c r="AC51" s="99" t="s">
        <v>307</v>
      </c>
      <c r="AD51" s="99" t="s">
        <v>1079</v>
      </c>
      <c r="AE51" s="99" t="s">
        <v>539</v>
      </c>
      <c r="AF51" s="99" t="s">
        <v>939</v>
      </c>
      <c r="AG51" s="99" t="s">
        <v>323</v>
      </c>
      <c r="AH51" s="99" t="s">
        <v>304</v>
      </c>
      <c r="AI51" s="99" t="s">
        <v>303</v>
      </c>
      <c r="AJ51" s="99" t="s">
        <v>303</v>
      </c>
      <c r="AK51" s="99" t="s">
        <v>304</v>
      </c>
      <c r="AL51" s="99" t="s">
        <v>303</v>
      </c>
      <c r="AM51" s="99" t="s">
        <v>303</v>
      </c>
      <c r="AN51" s="99" t="s">
        <v>302</v>
      </c>
      <c r="AO51" s="99" t="s">
        <v>303</v>
      </c>
      <c r="AP51" s="99" t="s">
        <v>303</v>
      </c>
      <c r="AQ51" s="99" t="s">
        <v>303</v>
      </c>
      <c r="AR51" s="99" t="s">
        <v>343</v>
      </c>
      <c r="AS51" s="99" t="s">
        <v>300</v>
      </c>
      <c r="AT51" s="99" t="s">
        <v>321</v>
      </c>
      <c r="AU51" s="99" t="s">
        <v>320</v>
      </c>
      <c r="AV51" s="99" t="s">
        <v>364</v>
      </c>
      <c r="AW51" s="99" t="s">
        <v>307</v>
      </c>
      <c r="AX51" s="99" t="s">
        <v>319</v>
      </c>
      <c r="AY51" s="99" t="s">
        <v>425</v>
      </c>
    </row>
    <row r="52" spans="1:51" ht="158.4" x14ac:dyDescent="0.3">
      <c r="A52" s="98">
        <v>42127.188148148147</v>
      </c>
      <c r="B52" s="99" t="s">
        <v>1049</v>
      </c>
      <c r="C52" s="99" t="s">
        <v>799</v>
      </c>
      <c r="D52" s="99" t="s">
        <v>560</v>
      </c>
      <c r="E52" s="99" t="s">
        <v>3</v>
      </c>
      <c r="F52" s="99" t="s">
        <v>317</v>
      </c>
      <c r="G52" s="99" t="s">
        <v>435</v>
      </c>
      <c r="H52" s="99" t="s">
        <v>390</v>
      </c>
      <c r="I52" s="99" t="s">
        <v>309</v>
      </c>
      <c r="J52" s="99" t="s">
        <v>565</v>
      </c>
      <c r="K52" s="99" t="s">
        <v>315</v>
      </c>
      <c r="L52" s="99" t="s">
        <v>1208</v>
      </c>
      <c r="M52" s="99" t="s">
        <v>314</v>
      </c>
      <c r="N52" s="99" t="s">
        <v>313</v>
      </c>
      <c r="O52" s="99" t="s">
        <v>313</v>
      </c>
      <c r="P52" s="99" t="s">
        <v>313</v>
      </c>
      <c r="Q52" s="99" t="s">
        <v>636</v>
      </c>
      <c r="R52" s="99" t="s">
        <v>313</v>
      </c>
      <c r="S52" s="99" t="s">
        <v>1282</v>
      </c>
      <c r="T52" s="99" t="s">
        <v>326</v>
      </c>
      <c r="U52" s="99" t="s">
        <v>530</v>
      </c>
      <c r="V52" s="99" t="s">
        <v>1283</v>
      </c>
      <c r="W52" s="99" t="s">
        <v>571</v>
      </c>
      <c r="X52" s="99" t="s">
        <v>346</v>
      </c>
      <c r="Y52" s="99" t="s">
        <v>316</v>
      </c>
      <c r="Z52" s="99" t="s">
        <v>316</v>
      </c>
      <c r="AA52" s="99" t="s">
        <v>574</v>
      </c>
      <c r="AB52" s="99" t="s">
        <v>389</v>
      </c>
      <c r="AC52" s="99" t="s">
        <v>307</v>
      </c>
      <c r="AD52" s="99" t="s">
        <v>357</v>
      </c>
      <c r="AE52" s="99" t="s">
        <v>532</v>
      </c>
      <c r="AF52" s="99" t="s">
        <v>1193</v>
      </c>
      <c r="AG52" s="99" t="s">
        <v>304</v>
      </c>
      <c r="AH52" s="99" t="s">
        <v>303</v>
      </c>
      <c r="AI52" s="99" t="s">
        <v>303</v>
      </c>
      <c r="AJ52" s="99" t="s">
        <v>303</v>
      </c>
      <c r="AK52" s="99" t="s">
        <v>303</v>
      </c>
      <c r="AL52" s="99" t="s">
        <v>303</v>
      </c>
      <c r="AM52" s="99" t="s">
        <v>303</v>
      </c>
      <c r="AN52" s="99" t="s">
        <v>303</v>
      </c>
      <c r="AO52" s="99" t="s">
        <v>302</v>
      </c>
      <c r="AP52" s="99" t="s">
        <v>303</v>
      </c>
      <c r="AQ52" s="99" t="s">
        <v>304</v>
      </c>
      <c r="AR52" s="99" t="s">
        <v>301</v>
      </c>
      <c r="AS52" s="99" t="s">
        <v>300</v>
      </c>
      <c r="AT52" s="99" t="s">
        <v>360</v>
      </c>
      <c r="AU52" s="99" t="s">
        <v>320</v>
      </c>
      <c r="AV52" s="99" t="s">
        <v>333</v>
      </c>
      <c r="AW52" s="99" t="s">
        <v>381</v>
      </c>
      <c r="AX52" s="99" t="s">
        <v>375</v>
      </c>
      <c r="AY52" s="99" t="s">
        <v>425</v>
      </c>
    </row>
    <row r="53" spans="1:51" ht="144" x14ac:dyDescent="0.3">
      <c r="A53" s="98">
        <v>42127.188726851855</v>
      </c>
      <c r="B53" s="99" t="s">
        <v>1049</v>
      </c>
      <c r="C53" s="99" t="s">
        <v>799</v>
      </c>
      <c r="D53" s="99" t="s">
        <v>331</v>
      </c>
      <c r="E53" s="99" t="s">
        <v>330</v>
      </c>
      <c r="F53" s="99" t="s">
        <v>317</v>
      </c>
      <c r="G53" s="99" t="s">
        <v>655</v>
      </c>
      <c r="H53" s="99" t="s">
        <v>5</v>
      </c>
      <c r="I53" s="99" t="s">
        <v>309</v>
      </c>
      <c r="J53" s="99" t="s">
        <v>1010</v>
      </c>
      <c r="K53" s="99" t="s">
        <v>384</v>
      </c>
      <c r="L53" s="99" t="s">
        <v>406</v>
      </c>
      <c r="M53" s="99" t="s">
        <v>314</v>
      </c>
      <c r="N53" s="99" t="s">
        <v>4</v>
      </c>
      <c r="O53" s="99" t="s">
        <v>313</v>
      </c>
      <c r="P53" s="99" t="s">
        <v>4</v>
      </c>
      <c r="Q53" s="99" t="s">
        <v>399</v>
      </c>
      <c r="R53" s="99" t="s">
        <v>327</v>
      </c>
      <c r="S53" s="99" t="s">
        <v>1284</v>
      </c>
      <c r="T53" s="99" t="s">
        <v>366</v>
      </c>
      <c r="U53" s="99" t="s">
        <v>311</v>
      </c>
      <c r="V53" s="99" t="s">
        <v>1285</v>
      </c>
      <c r="W53" s="99" t="s">
        <v>370</v>
      </c>
      <c r="X53" s="99" t="s">
        <v>310</v>
      </c>
      <c r="Y53" s="99" t="s">
        <v>316</v>
      </c>
      <c r="Z53" s="99" t="s">
        <v>316</v>
      </c>
      <c r="AA53" s="99" t="s">
        <v>490</v>
      </c>
      <c r="AB53" s="99" t="s">
        <v>376</v>
      </c>
      <c r="AC53" s="99" t="s">
        <v>324</v>
      </c>
      <c r="AD53" s="99" t="s">
        <v>642</v>
      </c>
      <c r="AE53" s="99" t="s">
        <v>532</v>
      </c>
      <c r="AF53" s="99" t="s">
        <v>1286</v>
      </c>
      <c r="AG53" s="99" t="s">
        <v>304</v>
      </c>
      <c r="AH53" s="99" t="s">
        <v>304</v>
      </c>
      <c r="AI53" s="99" t="s">
        <v>304</v>
      </c>
      <c r="AJ53" s="99" t="s">
        <v>303</v>
      </c>
      <c r="AK53" s="99" t="s">
        <v>305</v>
      </c>
      <c r="AL53" s="99" t="s">
        <v>304</v>
      </c>
      <c r="AM53" s="99" t="s">
        <v>305</v>
      </c>
      <c r="AN53" s="99" t="s">
        <v>303</v>
      </c>
      <c r="AO53" s="99" t="s">
        <v>304</v>
      </c>
      <c r="AP53" s="99" t="s">
        <v>303</v>
      </c>
      <c r="AQ53" s="99" t="s">
        <v>303</v>
      </c>
      <c r="AR53" s="99" t="s">
        <v>378</v>
      </c>
      <c r="AS53" s="99" t="s">
        <v>489</v>
      </c>
      <c r="AT53" s="99" t="s">
        <v>355</v>
      </c>
      <c r="AU53" s="99" t="s">
        <v>320</v>
      </c>
      <c r="AV53" s="99" t="s">
        <v>536</v>
      </c>
      <c r="AW53" s="99" t="s">
        <v>307</v>
      </c>
      <c r="AX53" s="99" t="s">
        <v>319</v>
      </c>
      <c r="AY53" s="99" t="s">
        <v>1287</v>
      </c>
    </row>
    <row r="54" spans="1:51" ht="86.4" x14ac:dyDescent="0.3">
      <c r="A54" s="98">
        <v>42127.189236111109</v>
      </c>
      <c r="B54" s="99" t="s">
        <v>1049</v>
      </c>
      <c r="C54" s="99" t="s">
        <v>799</v>
      </c>
      <c r="D54" s="99" t="s">
        <v>529</v>
      </c>
      <c r="E54" s="99" t="s">
        <v>330</v>
      </c>
      <c r="F54" s="99" t="s">
        <v>317</v>
      </c>
      <c r="G54" s="99" t="s">
        <v>435</v>
      </c>
      <c r="H54" s="99" t="s">
        <v>5</v>
      </c>
      <c r="I54" s="99" t="s">
        <v>309</v>
      </c>
      <c r="J54" s="99" t="s">
        <v>1059</v>
      </c>
      <c r="K54" s="99" t="s">
        <v>328</v>
      </c>
      <c r="L54" s="99" t="s">
        <v>1288</v>
      </c>
      <c r="M54" s="99" t="s">
        <v>314</v>
      </c>
      <c r="N54" s="99" t="s">
        <v>4</v>
      </c>
      <c r="O54" s="99" t="s">
        <v>313</v>
      </c>
      <c r="P54" s="99" t="s">
        <v>4</v>
      </c>
      <c r="Q54" s="99" t="s">
        <v>411</v>
      </c>
      <c r="R54" s="99" t="s">
        <v>327</v>
      </c>
      <c r="S54" s="99" t="s">
        <v>1289</v>
      </c>
      <c r="T54" s="99" t="s">
        <v>326</v>
      </c>
      <c r="U54" s="99" t="s">
        <v>530</v>
      </c>
      <c r="V54" s="99" t="s">
        <v>362</v>
      </c>
      <c r="W54" s="99" t="s">
        <v>370</v>
      </c>
      <c r="X54" s="99" t="s">
        <v>310</v>
      </c>
      <c r="Y54" s="99" t="s">
        <v>316</v>
      </c>
      <c r="Z54" s="99" t="s">
        <v>316</v>
      </c>
      <c r="AA54" s="99" t="s">
        <v>490</v>
      </c>
      <c r="AB54" s="99" t="s">
        <v>308</v>
      </c>
      <c r="AC54" s="99" t="s">
        <v>307</v>
      </c>
      <c r="AD54" s="99" t="s">
        <v>462</v>
      </c>
      <c r="AE54" s="99" t="s">
        <v>532</v>
      </c>
      <c r="AF54" s="99" t="s">
        <v>488</v>
      </c>
      <c r="AG54" s="99" t="s">
        <v>304</v>
      </c>
      <c r="AH54" s="99" t="s">
        <v>303</v>
      </c>
      <c r="AI54" s="99" t="s">
        <v>304</v>
      </c>
      <c r="AJ54" s="99" t="s">
        <v>304</v>
      </c>
      <c r="AK54" s="99" t="s">
        <v>295</v>
      </c>
      <c r="AL54" s="99"/>
      <c r="AM54" s="99" t="s">
        <v>305</v>
      </c>
      <c r="AN54" s="99" t="s">
        <v>302</v>
      </c>
      <c r="AO54" s="99" t="s">
        <v>295</v>
      </c>
      <c r="AP54" s="99" t="s">
        <v>303</v>
      </c>
      <c r="AQ54" s="99" t="s">
        <v>303</v>
      </c>
      <c r="AR54" s="99" t="s">
        <v>378</v>
      </c>
      <c r="AS54" s="99" t="s">
        <v>300</v>
      </c>
      <c r="AT54" s="99" t="s">
        <v>321</v>
      </c>
      <c r="AU54" s="99" t="s">
        <v>320</v>
      </c>
      <c r="AV54" s="99" t="s">
        <v>536</v>
      </c>
      <c r="AW54" s="99" t="s">
        <v>307</v>
      </c>
      <c r="AX54" s="99" t="s">
        <v>319</v>
      </c>
      <c r="AY54" s="99" t="s">
        <v>491</v>
      </c>
    </row>
    <row r="55" spans="1:51" ht="86.4" x14ac:dyDescent="0.3">
      <c r="A55" s="98">
        <v>42127.190034722225</v>
      </c>
      <c r="B55" s="99" t="s">
        <v>1049</v>
      </c>
      <c r="C55" s="99" t="s">
        <v>799</v>
      </c>
      <c r="D55" s="99" t="s">
        <v>700</v>
      </c>
      <c r="E55" s="99" t="s">
        <v>3</v>
      </c>
      <c r="F55" s="99" t="s">
        <v>383</v>
      </c>
      <c r="G55" s="99" t="s">
        <v>435</v>
      </c>
      <c r="H55" s="99" t="s">
        <v>5</v>
      </c>
      <c r="I55" s="99" t="s">
        <v>345</v>
      </c>
      <c r="J55" s="99" t="s">
        <v>970</v>
      </c>
      <c r="K55" s="99" t="s">
        <v>315</v>
      </c>
      <c r="L55" s="99" t="s">
        <v>667</v>
      </c>
      <c r="M55" s="99" t="s">
        <v>348</v>
      </c>
      <c r="N55" s="99" t="s">
        <v>313</v>
      </c>
      <c r="O55" s="99" t="s">
        <v>327</v>
      </c>
      <c r="P55" s="99" t="s">
        <v>374</v>
      </c>
      <c r="Q55" s="99" t="s">
        <v>429</v>
      </c>
      <c r="R55" s="99" t="s">
        <v>313</v>
      </c>
      <c r="S55" s="99" t="s">
        <v>656</v>
      </c>
      <c r="T55" s="99" t="s">
        <v>380</v>
      </c>
      <c r="U55" s="99" t="s">
        <v>373</v>
      </c>
      <c r="V55" s="99"/>
      <c r="W55" s="99" t="s">
        <v>338</v>
      </c>
      <c r="X55" s="99" t="s">
        <v>352</v>
      </c>
      <c r="Y55" s="99" t="s">
        <v>316</v>
      </c>
      <c r="Z55" s="99" t="s">
        <v>316</v>
      </c>
      <c r="AA55" s="99" t="s">
        <v>472</v>
      </c>
      <c r="AB55" s="99" t="s">
        <v>389</v>
      </c>
      <c r="AC55" s="99" t="s">
        <v>381</v>
      </c>
      <c r="AD55" s="99" t="s">
        <v>1290</v>
      </c>
      <c r="AE55" s="99" t="s">
        <v>533</v>
      </c>
      <c r="AF55" s="99" t="s">
        <v>1291</v>
      </c>
      <c r="AG55" s="99" t="s">
        <v>306</v>
      </c>
      <c r="AH55" s="99" t="s">
        <v>304</v>
      </c>
      <c r="AI55" s="99" t="s">
        <v>304</v>
      </c>
      <c r="AJ55" s="99" t="s">
        <v>303</v>
      </c>
      <c r="AK55" s="99" t="s">
        <v>302</v>
      </c>
      <c r="AL55" s="99" t="s">
        <v>304</v>
      </c>
      <c r="AM55" s="99" t="s">
        <v>303</v>
      </c>
      <c r="AN55" s="99" t="s">
        <v>304</v>
      </c>
      <c r="AO55" s="99" t="s">
        <v>305</v>
      </c>
      <c r="AP55" s="99" t="s">
        <v>303</v>
      </c>
      <c r="AQ55" s="99" t="s">
        <v>304</v>
      </c>
      <c r="AR55" s="99" t="s">
        <v>322</v>
      </c>
      <c r="AS55" s="99" t="s">
        <v>350</v>
      </c>
      <c r="AT55" s="99" t="s">
        <v>360</v>
      </c>
      <c r="AU55" s="99" t="s">
        <v>342</v>
      </c>
      <c r="AV55" s="99" t="s">
        <v>297</v>
      </c>
      <c r="AW55" s="99" t="s">
        <v>324</v>
      </c>
      <c r="AX55" s="99" t="s">
        <v>341</v>
      </c>
      <c r="AY55" s="99" t="s">
        <v>356</v>
      </c>
    </row>
    <row r="56" spans="1:51" ht="230.4" x14ac:dyDescent="0.3">
      <c r="A56" s="98">
        <v>42127.191874999997</v>
      </c>
      <c r="B56" s="99" t="s">
        <v>1049</v>
      </c>
      <c r="C56" s="99" t="s">
        <v>799</v>
      </c>
      <c r="D56" s="99" t="s">
        <v>700</v>
      </c>
      <c r="E56" s="99" t="s">
        <v>330</v>
      </c>
      <c r="F56" s="99" t="s">
        <v>317</v>
      </c>
      <c r="G56" s="99" t="s">
        <v>423</v>
      </c>
      <c r="H56" s="99" t="s">
        <v>5</v>
      </c>
      <c r="I56" s="99" t="s">
        <v>309</v>
      </c>
      <c r="J56" s="99" t="s">
        <v>329</v>
      </c>
      <c r="K56" s="99" t="s">
        <v>315</v>
      </c>
      <c r="L56" s="99" t="s">
        <v>411</v>
      </c>
      <c r="M56" s="99" t="s">
        <v>367</v>
      </c>
      <c r="N56" s="99" t="s">
        <v>327</v>
      </c>
      <c r="O56" s="99" t="s">
        <v>313</v>
      </c>
      <c r="P56" s="99" t="s">
        <v>327</v>
      </c>
      <c r="Q56" s="99" t="s">
        <v>1261</v>
      </c>
      <c r="R56" s="99" t="s">
        <v>327</v>
      </c>
      <c r="S56" s="99" t="s">
        <v>1292</v>
      </c>
      <c r="T56" s="99" t="s">
        <v>366</v>
      </c>
      <c r="U56" s="99" t="s">
        <v>311</v>
      </c>
      <c r="V56" s="99" t="s">
        <v>1293</v>
      </c>
      <c r="W56" s="99" t="s">
        <v>419</v>
      </c>
      <c r="X56" s="99" t="s">
        <v>310</v>
      </c>
      <c r="Y56" s="99" t="s">
        <v>309</v>
      </c>
      <c r="Z56" s="99" t="s">
        <v>345</v>
      </c>
      <c r="AA56" s="99" t="s">
        <v>464</v>
      </c>
      <c r="AB56" s="99" t="s">
        <v>308</v>
      </c>
      <c r="AC56" s="99" t="s">
        <v>307</v>
      </c>
      <c r="AD56" s="99" t="s">
        <v>431</v>
      </c>
      <c r="AE56" s="99" t="s">
        <v>535</v>
      </c>
      <c r="AF56" s="99" t="s">
        <v>1294</v>
      </c>
      <c r="AG56" s="99" t="s">
        <v>306</v>
      </c>
      <c r="AH56" s="99" t="s">
        <v>303</v>
      </c>
      <c r="AI56" s="99" t="s">
        <v>303</v>
      </c>
      <c r="AJ56" s="99" t="s">
        <v>303</v>
      </c>
      <c r="AK56" s="99" t="s">
        <v>302</v>
      </c>
      <c r="AL56" s="99" t="s">
        <v>303</v>
      </c>
      <c r="AM56" s="99" t="s">
        <v>303</v>
      </c>
      <c r="AN56" s="99" t="s">
        <v>302</v>
      </c>
      <c r="AO56" s="99" t="s">
        <v>302</v>
      </c>
      <c r="AP56" s="99" t="s">
        <v>302</v>
      </c>
      <c r="AQ56" s="99" t="s">
        <v>302</v>
      </c>
      <c r="AR56" s="99" t="s">
        <v>391</v>
      </c>
      <c r="AS56" s="99" t="s">
        <v>300</v>
      </c>
      <c r="AT56" s="99" t="s">
        <v>321</v>
      </c>
      <c r="AU56" s="99" t="s">
        <v>320</v>
      </c>
      <c r="AV56" s="99" t="s">
        <v>364</v>
      </c>
      <c r="AW56" s="99" t="s">
        <v>307</v>
      </c>
      <c r="AX56" s="99" t="s">
        <v>319</v>
      </c>
      <c r="AY56" s="99" t="s">
        <v>447</v>
      </c>
    </row>
    <row r="57" spans="1:51" ht="172.8" x14ac:dyDescent="0.3">
      <c r="A57" s="98">
        <v>42127.26734953704</v>
      </c>
      <c r="B57" s="99" t="s">
        <v>1049</v>
      </c>
      <c r="C57" s="99" t="s">
        <v>799</v>
      </c>
      <c r="D57" s="99" t="s">
        <v>529</v>
      </c>
      <c r="E57" s="99" t="s">
        <v>3</v>
      </c>
      <c r="F57" s="99" t="s">
        <v>317</v>
      </c>
      <c r="G57" s="99" t="s">
        <v>407</v>
      </c>
      <c r="H57" s="99" t="s">
        <v>5</v>
      </c>
      <c r="I57" s="99" t="s">
        <v>309</v>
      </c>
      <c r="J57" s="99" t="s">
        <v>1295</v>
      </c>
      <c r="K57" s="99" t="s">
        <v>315</v>
      </c>
      <c r="L57" s="99" t="s">
        <v>411</v>
      </c>
      <c r="M57" s="99" t="s">
        <v>348</v>
      </c>
      <c r="N57" s="99" t="s">
        <v>4</v>
      </c>
      <c r="O57" s="99" t="s">
        <v>313</v>
      </c>
      <c r="P57" s="99" t="s">
        <v>4</v>
      </c>
      <c r="Q57" s="99" t="s">
        <v>405</v>
      </c>
      <c r="R57" s="99" t="s">
        <v>327</v>
      </c>
      <c r="S57" s="99" t="s">
        <v>1296</v>
      </c>
      <c r="T57" s="99" t="s">
        <v>366</v>
      </c>
      <c r="U57" s="99" t="s">
        <v>530</v>
      </c>
      <c r="V57" s="99" t="s">
        <v>959</v>
      </c>
      <c r="W57" s="99" t="s">
        <v>325</v>
      </c>
      <c r="X57" s="99" t="s">
        <v>337</v>
      </c>
      <c r="Y57" s="99" t="s">
        <v>316</v>
      </c>
      <c r="Z57" s="99" t="s">
        <v>316</v>
      </c>
      <c r="AA57" s="99" t="s">
        <v>1297</v>
      </c>
      <c r="AB57" s="99" t="s">
        <v>308</v>
      </c>
      <c r="AC57" s="99" t="s">
        <v>351</v>
      </c>
      <c r="AD57" s="99" t="s">
        <v>967</v>
      </c>
      <c r="AE57" s="99" t="s">
        <v>532</v>
      </c>
      <c r="AF57" s="99" t="s">
        <v>1298</v>
      </c>
      <c r="AG57" s="99" t="s">
        <v>304</v>
      </c>
      <c r="AH57" s="99" t="s">
        <v>303</v>
      </c>
      <c r="AI57" s="99" t="s">
        <v>303</v>
      </c>
      <c r="AJ57" s="99" t="s">
        <v>304</v>
      </c>
      <c r="AK57" s="99" t="s">
        <v>303</v>
      </c>
      <c r="AL57" s="99" t="s">
        <v>303</v>
      </c>
      <c r="AM57" s="99" t="s">
        <v>303</v>
      </c>
      <c r="AN57" s="99" t="s">
        <v>303</v>
      </c>
      <c r="AO57" s="99" t="s">
        <v>304</v>
      </c>
      <c r="AP57" s="99" t="s">
        <v>303</v>
      </c>
      <c r="AQ57" s="99" t="s">
        <v>304</v>
      </c>
      <c r="AR57" s="99" t="s">
        <v>322</v>
      </c>
      <c r="AS57" s="99" t="s">
        <v>335</v>
      </c>
      <c r="AT57" s="99" t="s">
        <v>321</v>
      </c>
      <c r="AU57" s="99" t="s">
        <v>342</v>
      </c>
      <c r="AV57" s="99" t="s">
        <v>364</v>
      </c>
      <c r="AW57" s="99" t="s">
        <v>324</v>
      </c>
      <c r="AX57" s="99" t="s">
        <v>534</v>
      </c>
      <c r="AY57" s="99" t="s">
        <v>484</v>
      </c>
    </row>
    <row r="58" spans="1:51" ht="115.2" x14ac:dyDescent="0.3">
      <c r="A58" s="98">
        <v>42127.271365740744</v>
      </c>
      <c r="B58" s="99" t="s">
        <v>1049</v>
      </c>
      <c r="C58" s="99" t="s">
        <v>799</v>
      </c>
      <c r="D58" s="99" t="s">
        <v>331</v>
      </c>
      <c r="E58" s="99" t="s">
        <v>330</v>
      </c>
      <c r="F58" s="99" t="s">
        <v>317</v>
      </c>
      <c r="G58" s="99" t="s">
        <v>446</v>
      </c>
      <c r="H58" s="99" t="s">
        <v>5</v>
      </c>
      <c r="I58" s="99" t="s">
        <v>345</v>
      </c>
      <c r="J58" s="99" t="s">
        <v>1063</v>
      </c>
      <c r="K58" s="99" t="s">
        <v>384</v>
      </c>
      <c r="L58" s="99" t="s">
        <v>450</v>
      </c>
      <c r="M58" s="99" t="s">
        <v>367</v>
      </c>
      <c r="N58" s="99" t="s">
        <v>313</v>
      </c>
      <c r="O58" s="99"/>
      <c r="P58" s="99" t="s">
        <v>4</v>
      </c>
      <c r="Q58" s="99" t="s">
        <v>411</v>
      </c>
      <c r="R58" s="99" t="s">
        <v>327</v>
      </c>
      <c r="S58" s="99" t="s">
        <v>1299</v>
      </c>
      <c r="T58" s="99" t="s">
        <v>312</v>
      </c>
      <c r="U58" s="99"/>
      <c r="V58" s="99" t="s">
        <v>659</v>
      </c>
      <c r="W58" s="99" t="s">
        <v>1181</v>
      </c>
      <c r="X58" s="99" t="s">
        <v>346</v>
      </c>
      <c r="Y58" s="99" t="s">
        <v>316</v>
      </c>
      <c r="Z58" s="99" t="s">
        <v>316</v>
      </c>
      <c r="AA58" s="99" t="s">
        <v>490</v>
      </c>
      <c r="AB58" s="99" t="s">
        <v>376</v>
      </c>
      <c r="AC58" s="99" t="s">
        <v>307</v>
      </c>
      <c r="AD58" s="99" t="s">
        <v>448</v>
      </c>
      <c r="AE58" s="99" t="s">
        <v>535</v>
      </c>
      <c r="AF58" s="99" t="s">
        <v>461</v>
      </c>
      <c r="AG58" s="99" t="s">
        <v>323</v>
      </c>
      <c r="AH58" s="99" t="s">
        <v>303</v>
      </c>
      <c r="AI58" s="99" t="s">
        <v>303</v>
      </c>
      <c r="AJ58" s="99" t="s">
        <v>302</v>
      </c>
      <c r="AK58" s="99" t="s">
        <v>305</v>
      </c>
      <c r="AL58" s="99" t="s">
        <v>303</v>
      </c>
      <c r="AM58" s="99" t="s">
        <v>302</v>
      </c>
      <c r="AN58" s="99" t="s">
        <v>303</v>
      </c>
      <c r="AO58" s="99" t="s">
        <v>302</v>
      </c>
      <c r="AP58" s="99" t="s">
        <v>302</v>
      </c>
      <c r="AQ58" s="99" t="s">
        <v>302</v>
      </c>
      <c r="AR58" s="99" t="s">
        <v>365</v>
      </c>
      <c r="AS58" s="99" t="s">
        <v>300</v>
      </c>
      <c r="AT58" s="99" t="s">
        <v>355</v>
      </c>
      <c r="AU58" s="99" t="s">
        <v>342</v>
      </c>
      <c r="AV58" s="99" t="s">
        <v>364</v>
      </c>
      <c r="AW58" s="99" t="s">
        <v>307</v>
      </c>
      <c r="AX58" s="99" t="s">
        <v>549</v>
      </c>
      <c r="AY58" s="99" t="s">
        <v>649</v>
      </c>
    </row>
    <row r="59" spans="1:51" ht="144" x14ac:dyDescent="0.3">
      <c r="A59" s="98">
        <v>42127.275127314817</v>
      </c>
      <c r="B59" s="99" t="s">
        <v>1049</v>
      </c>
      <c r="C59" s="99" t="s">
        <v>799</v>
      </c>
      <c r="D59" s="99" t="s">
        <v>529</v>
      </c>
      <c r="E59" s="99" t="s">
        <v>3</v>
      </c>
      <c r="F59" s="99" t="s">
        <v>317</v>
      </c>
      <c r="G59" s="99" t="s">
        <v>412</v>
      </c>
      <c r="H59" s="99" t="s">
        <v>5</v>
      </c>
      <c r="I59" s="99" t="s">
        <v>309</v>
      </c>
      <c r="J59" s="99" t="s">
        <v>544</v>
      </c>
      <c r="K59" s="99" t="s">
        <v>328</v>
      </c>
      <c r="L59" s="99" t="s">
        <v>429</v>
      </c>
      <c r="M59" s="99" t="s">
        <v>353</v>
      </c>
      <c r="N59" s="99" t="s">
        <v>313</v>
      </c>
      <c r="O59" s="99" t="s">
        <v>313</v>
      </c>
      <c r="P59" s="99" t="s">
        <v>313</v>
      </c>
      <c r="Q59" s="99" t="s">
        <v>943</v>
      </c>
      <c r="R59" s="99" t="s">
        <v>327</v>
      </c>
      <c r="S59" s="99" t="s">
        <v>742</v>
      </c>
      <c r="T59" s="99" t="s">
        <v>326</v>
      </c>
      <c r="U59" s="99" t="s">
        <v>530</v>
      </c>
      <c r="V59" s="99" t="s">
        <v>733</v>
      </c>
      <c r="W59" s="99" t="s">
        <v>338</v>
      </c>
      <c r="X59" s="99" t="s">
        <v>346</v>
      </c>
      <c r="Y59" s="99" t="s">
        <v>316</v>
      </c>
      <c r="Z59" s="99" t="s">
        <v>316</v>
      </c>
      <c r="AA59" s="99" t="s">
        <v>678</v>
      </c>
      <c r="AB59" s="99" t="s">
        <v>358</v>
      </c>
      <c r="AC59" s="99" t="s">
        <v>324</v>
      </c>
      <c r="AD59" s="99" t="s">
        <v>426</v>
      </c>
      <c r="AE59" s="99" t="s">
        <v>533</v>
      </c>
      <c r="AF59" s="99" t="s">
        <v>1090</v>
      </c>
      <c r="AG59" s="99" t="s">
        <v>323</v>
      </c>
      <c r="AH59" s="99" t="s">
        <v>304</v>
      </c>
      <c r="AI59" s="99" t="s">
        <v>304</v>
      </c>
      <c r="AJ59" s="99" t="s">
        <v>303</v>
      </c>
      <c r="AK59" s="99" t="s">
        <v>304</v>
      </c>
      <c r="AL59" s="99" t="s">
        <v>304</v>
      </c>
      <c r="AM59" s="99" t="s">
        <v>303</v>
      </c>
      <c r="AN59" s="99" t="s">
        <v>303</v>
      </c>
      <c r="AO59" s="99" t="s">
        <v>304</v>
      </c>
      <c r="AP59" s="99" t="s">
        <v>303</v>
      </c>
      <c r="AQ59" s="99" t="s">
        <v>303</v>
      </c>
      <c r="AR59" s="99" t="s">
        <v>391</v>
      </c>
      <c r="AS59" s="99" t="s">
        <v>350</v>
      </c>
      <c r="AT59" s="99" t="s">
        <v>321</v>
      </c>
      <c r="AU59" s="99" t="s">
        <v>320</v>
      </c>
      <c r="AV59" s="99" t="s">
        <v>536</v>
      </c>
      <c r="AW59" s="99" t="s">
        <v>307</v>
      </c>
      <c r="AX59" s="99" t="s">
        <v>319</v>
      </c>
      <c r="AY59" s="99" t="s">
        <v>402</v>
      </c>
    </row>
    <row r="60" spans="1:51" ht="115.2" x14ac:dyDescent="0.3">
      <c r="A60" s="98">
        <v>42127.278819444444</v>
      </c>
      <c r="B60" s="99" t="s">
        <v>1049</v>
      </c>
      <c r="C60" s="99" t="s">
        <v>799</v>
      </c>
      <c r="D60" s="99" t="s">
        <v>529</v>
      </c>
      <c r="E60" s="99" t="s">
        <v>3</v>
      </c>
      <c r="F60" s="99" t="s">
        <v>317</v>
      </c>
      <c r="G60" s="99" t="s">
        <v>686</v>
      </c>
      <c r="H60" s="99" t="s">
        <v>5</v>
      </c>
      <c r="I60" s="99" t="s">
        <v>309</v>
      </c>
      <c r="J60" s="99" t="s">
        <v>695</v>
      </c>
      <c r="K60" s="99" t="s">
        <v>354</v>
      </c>
      <c r="L60" s="99" t="s">
        <v>427</v>
      </c>
      <c r="M60" s="99" t="s">
        <v>348</v>
      </c>
      <c r="N60" s="99" t="s">
        <v>4</v>
      </c>
      <c r="O60" s="99" t="s">
        <v>313</v>
      </c>
      <c r="P60" s="99" t="s">
        <v>313</v>
      </c>
      <c r="Q60" s="99" t="s">
        <v>450</v>
      </c>
      <c r="R60" s="99" t="s">
        <v>4</v>
      </c>
      <c r="S60" s="99" t="s">
        <v>469</v>
      </c>
      <c r="T60" s="99" t="s">
        <v>312</v>
      </c>
      <c r="U60" s="99" t="s">
        <v>530</v>
      </c>
      <c r="V60" s="99" t="s">
        <v>382</v>
      </c>
      <c r="W60" s="99" t="s">
        <v>338</v>
      </c>
      <c r="X60" s="99" t="s">
        <v>337</v>
      </c>
      <c r="Y60" s="99" t="s">
        <v>316</v>
      </c>
      <c r="Z60" s="99" t="s">
        <v>316</v>
      </c>
      <c r="AA60" s="99" t="s">
        <v>1037</v>
      </c>
      <c r="AB60" s="99" t="s">
        <v>389</v>
      </c>
      <c r="AC60" s="99" t="s">
        <v>324</v>
      </c>
      <c r="AD60" s="99" t="s">
        <v>414</v>
      </c>
      <c r="AE60" s="99" t="s">
        <v>545</v>
      </c>
      <c r="AF60" s="99" t="s">
        <v>682</v>
      </c>
      <c r="AG60" s="99" t="s">
        <v>304</v>
      </c>
      <c r="AH60" s="99" t="s">
        <v>304</v>
      </c>
      <c r="AI60" s="99" t="s">
        <v>304</v>
      </c>
      <c r="AJ60" s="99" t="s">
        <v>304</v>
      </c>
      <c r="AK60" s="99" t="s">
        <v>303</v>
      </c>
      <c r="AL60" s="99" t="s">
        <v>304</v>
      </c>
      <c r="AM60" s="99" t="s">
        <v>303</v>
      </c>
      <c r="AN60" s="99" t="s">
        <v>304</v>
      </c>
      <c r="AO60" s="99" t="s">
        <v>302</v>
      </c>
      <c r="AP60" s="99" t="s">
        <v>303</v>
      </c>
      <c r="AQ60" s="99" t="s">
        <v>303</v>
      </c>
      <c r="AR60" s="99" t="s">
        <v>301</v>
      </c>
      <c r="AS60" s="99" t="s">
        <v>300</v>
      </c>
      <c r="AT60" s="99" t="s">
        <v>299</v>
      </c>
      <c r="AU60" s="99" t="s">
        <v>320</v>
      </c>
      <c r="AV60" s="99" t="s">
        <v>297</v>
      </c>
      <c r="AW60" s="99" t="s">
        <v>324</v>
      </c>
      <c r="AX60" s="99" t="s">
        <v>375</v>
      </c>
      <c r="AY60" s="99" t="s">
        <v>385</v>
      </c>
    </row>
    <row r="61" spans="1:51" ht="144" x14ac:dyDescent="0.3">
      <c r="A61" s="98">
        <v>42127.279583333337</v>
      </c>
      <c r="B61" s="99" t="s">
        <v>1049</v>
      </c>
      <c r="C61" s="99" t="s">
        <v>799</v>
      </c>
      <c r="D61" s="99" t="s">
        <v>331</v>
      </c>
      <c r="E61" s="99" t="s">
        <v>330</v>
      </c>
      <c r="F61" s="99" t="s">
        <v>317</v>
      </c>
      <c r="G61" s="99" t="s">
        <v>407</v>
      </c>
      <c r="H61" s="99" t="s">
        <v>5</v>
      </c>
      <c r="I61" s="99" t="s">
        <v>345</v>
      </c>
      <c r="J61" s="99" t="s">
        <v>695</v>
      </c>
      <c r="K61" s="99" t="s">
        <v>384</v>
      </c>
      <c r="L61" s="99" t="s">
        <v>411</v>
      </c>
      <c r="M61" s="99" t="s">
        <v>314</v>
      </c>
      <c r="N61" s="99" t="s">
        <v>313</v>
      </c>
      <c r="O61" s="99" t="s">
        <v>4</v>
      </c>
      <c r="P61" s="99" t="s">
        <v>4</v>
      </c>
      <c r="Q61" s="99" t="s">
        <v>652</v>
      </c>
      <c r="R61" s="99" t="s">
        <v>327</v>
      </c>
      <c r="S61" s="99" t="s">
        <v>1300</v>
      </c>
      <c r="T61" s="99" t="s">
        <v>366</v>
      </c>
      <c r="U61" s="99" t="s">
        <v>530</v>
      </c>
      <c r="V61" s="99" t="s">
        <v>379</v>
      </c>
      <c r="W61" s="99" t="s">
        <v>1192</v>
      </c>
      <c r="X61" s="99" t="s">
        <v>337</v>
      </c>
      <c r="Y61" s="99" t="s">
        <v>316</v>
      </c>
      <c r="Z61" s="99" t="s">
        <v>316</v>
      </c>
      <c r="AA61" s="99" t="s">
        <v>424</v>
      </c>
      <c r="AB61" s="99" t="s">
        <v>358</v>
      </c>
      <c r="AC61" s="99" t="s">
        <v>324</v>
      </c>
      <c r="AD61" s="99" t="s">
        <v>448</v>
      </c>
      <c r="AE61" s="99" t="s">
        <v>535</v>
      </c>
      <c r="AF61" s="99" t="s">
        <v>1301</v>
      </c>
      <c r="AG61" s="99" t="s">
        <v>323</v>
      </c>
      <c r="AH61" s="99" t="s">
        <v>304</v>
      </c>
      <c r="AI61" s="99" t="s">
        <v>304</v>
      </c>
      <c r="AJ61" s="99" t="s">
        <v>303</v>
      </c>
      <c r="AK61" s="99" t="s">
        <v>304</v>
      </c>
      <c r="AL61" s="99" t="s">
        <v>303</v>
      </c>
      <c r="AM61" s="99" t="s">
        <v>302</v>
      </c>
      <c r="AN61" s="99" t="s">
        <v>304</v>
      </c>
      <c r="AO61" s="99" t="s">
        <v>304</v>
      </c>
      <c r="AP61" s="99" t="s">
        <v>304</v>
      </c>
      <c r="AQ61" s="99" t="s">
        <v>303</v>
      </c>
      <c r="AR61" s="99" t="s">
        <v>365</v>
      </c>
      <c r="AS61" s="99" t="s">
        <v>300</v>
      </c>
      <c r="AT61" s="99" t="s">
        <v>355</v>
      </c>
      <c r="AU61" s="99" t="s">
        <v>342</v>
      </c>
      <c r="AV61" s="99" t="s">
        <v>364</v>
      </c>
      <c r="AW61" s="99" t="s">
        <v>324</v>
      </c>
      <c r="AX61" s="99" t="s">
        <v>341</v>
      </c>
      <c r="AY61" s="99" t="s">
        <v>332</v>
      </c>
    </row>
    <row r="62" spans="1:51" ht="187.2" x14ac:dyDescent="0.3">
      <c r="A62" s="98">
        <v>42127.281655092593</v>
      </c>
      <c r="B62" s="99" t="s">
        <v>1049</v>
      </c>
      <c r="C62" s="99" t="s">
        <v>799</v>
      </c>
      <c r="D62" s="99" t="s">
        <v>560</v>
      </c>
      <c r="E62" s="99" t="s">
        <v>330</v>
      </c>
      <c r="F62" s="99" t="s">
        <v>317</v>
      </c>
      <c r="G62" s="99" t="s">
        <v>407</v>
      </c>
      <c r="H62" s="99" t="s">
        <v>5</v>
      </c>
      <c r="I62" s="99" t="s">
        <v>309</v>
      </c>
      <c r="J62" s="99" t="s">
        <v>914</v>
      </c>
      <c r="K62" s="99" t="s">
        <v>328</v>
      </c>
      <c r="L62" s="99" t="s">
        <v>409</v>
      </c>
      <c r="M62" s="99" t="s">
        <v>348</v>
      </c>
      <c r="N62" s="99" t="s">
        <v>4</v>
      </c>
      <c r="O62" s="99" t="s">
        <v>313</v>
      </c>
      <c r="P62" s="99" t="s">
        <v>313</v>
      </c>
      <c r="Q62" s="99" t="s">
        <v>450</v>
      </c>
      <c r="R62" s="99" t="s">
        <v>327</v>
      </c>
      <c r="S62" s="99" t="s">
        <v>500</v>
      </c>
      <c r="T62" s="99" t="s">
        <v>312</v>
      </c>
      <c r="U62" s="99" t="s">
        <v>347</v>
      </c>
      <c r="V62" s="99" t="s">
        <v>1302</v>
      </c>
      <c r="W62" s="99" t="s">
        <v>325</v>
      </c>
      <c r="X62" s="99" t="s">
        <v>346</v>
      </c>
      <c r="Y62" s="99" t="s">
        <v>316</v>
      </c>
      <c r="Z62" s="99" t="s">
        <v>316</v>
      </c>
      <c r="AA62" s="99" t="s">
        <v>408</v>
      </c>
      <c r="AB62" s="99" t="s">
        <v>336</v>
      </c>
      <c r="AC62" s="99" t="s">
        <v>307</v>
      </c>
      <c r="AD62" s="99" t="s">
        <v>604</v>
      </c>
      <c r="AE62" s="99" t="s">
        <v>532</v>
      </c>
      <c r="AF62" s="99" t="s">
        <v>620</v>
      </c>
      <c r="AG62" s="99" t="s">
        <v>306</v>
      </c>
      <c r="AH62" s="99" t="s">
        <v>303</v>
      </c>
      <c r="AI62" s="99" t="s">
        <v>303</v>
      </c>
      <c r="AJ62" s="99" t="s">
        <v>303</v>
      </c>
      <c r="AK62" s="99" t="s">
        <v>304</v>
      </c>
      <c r="AL62" s="99" t="s">
        <v>303</v>
      </c>
      <c r="AM62" s="99" t="s">
        <v>303</v>
      </c>
      <c r="AN62" s="99" t="s">
        <v>303</v>
      </c>
      <c r="AO62" s="99" t="s">
        <v>6</v>
      </c>
      <c r="AP62" s="99" t="s">
        <v>303</v>
      </c>
      <c r="AQ62" s="99" t="s">
        <v>303</v>
      </c>
      <c r="AR62" s="99" t="s">
        <v>301</v>
      </c>
      <c r="AS62" s="99" t="s">
        <v>350</v>
      </c>
      <c r="AT62" s="99" t="s">
        <v>355</v>
      </c>
      <c r="AU62" s="99" t="s">
        <v>320</v>
      </c>
      <c r="AV62" s="99" t="s">
        <v>364</v>
      </c>
      <c r="AW62" s="99" t="s">
        <v>324</v>
      </c>
      <c r="AX62" s="99" t="s">
        <v>319</v>
      </c>
      <c r="AY62" s="99" t="s">
        <v>1167</v>
      </c>
    </row>
    <row r="63" spans="1:51" ht="244.8" x14ac:dyDescent="0.3">
      <c r="A63" s="98">
        <v>42127.281678240739</v>
      </c>
      <c r="B63" s="99" t="s">
        <v>1049</v>
      </c>
      <c r="C63" s="99" t="s">
        <v>799</v>
      </c>
      <c r="D63" s="99" t="s">
        <v>529</v>
      </c>
      <c r="E63" s="99" t="s">
        <v>330</v>
      </c>
      <c r="F63" s="99" t="s">
        <v>317</v>
      </c>
      <c r="G63" s="99" t="s">
        <v>407</v>
      </c>
      <c r="H63" s="99" t="s">
        <v>5</v>
      </c>
      <c r="I63" s="99" t="s">
        <v>345</v>
      </c>
      <c r="J63" s="99" t="s">
        <v>1303</v>
      </c>
      <c r="K63" s="99" t="s">
        <v>315</v>
      </c>
      <c r="L63" s="99" t="s">
        <v>801</v>
      </c>
      <c r="M63" s="99" t="s">
        <v>367</v>
      </c>
      <c r="N63" s="99" t="s">
        <v>4</v>
      </c>
      <c r="O63" s="99" t="s">
        <v>327</v>
      </c>
      <c r="P63" s="99" t="s">
        <v>4</v>
      </c>
      <c r="Q63" s="99" t="s">
        <v>405</v>
      </c>
      <c r="R63" s="99" t="s">
        <v>327</v>
      </c>
      <c r="S63" s="99" t="s">
        <v>500</v>
      </c>
      <c r="T63" s="99" t="s">
        <v>312</v>
      </c>
      <c r="U63" s="99" t="s">
        <v>530</v>
      </c>
      <c r="V63" s="99" t="s">
        <v>382</v>
      </c>
      <c r="W63" s="99" t="s">
        <v>370</v>
      </c>
      <c r="X63" s="99" t="s">
        <v>310</v>
      </c>
      <c r="Y63" s="99" t="s">
        <v>316</v>
      </c>
      <c r="Z63" s="99" t="s">
        <v>316</v>
      </c>
      <c r="AA63" s="99" t="s">
        <v>490</v>
      </c>
      <c r="AB63" s="99" t="s">
        <v>308</v>
      </c>
      <c r="AC63" s="99" t="s">
        <v>324</v>
      </c>
      <c r="AD63" s="99" t="s">
        <v>1006</v>
      </c>
      <c r="AE63" s="99" t="s">
        <v>545</v>
      </c>
      <c r="AF63" s="99" t="s">
        <v>1304</v>
      </c>
      <c r="AG63" s="99" t="s">
        <v>323</v>
      </c>
      <c r="AH63" s="99" t="s">
        <v>303</v>
      </c>
      <c r="AI63" s="99" t="s">
        <v>303</v>
      </c>
      <c r="AJ63" s="99" t="s">
        <v>303</v>
      </c>
      <c r="AK63" s="99" t="s">
        <v>303</v>
      </c>
      <c r="AL63" s="99" t="s">
        <v>303</v>
      </c>
      <c r="AM63" s="99" t="s">
        <v>303</v>
      </c>
      <c r="AN63" s="99" t="s">
        <v>303</v>
      </c>
      <c r="AO63" s="99" t="s">
        <v>303</v>
      </c>
      <c r="AP63" s="99" t="s">
        <v>303</v>
      </c>
      <c r="AQ63" s="99" t="s">
        <v>303</v>
      </c>
      <c r="AR63" s="99" t="s">
        <v>378</v>
      </c>
      <c r="AS63" s="99" t="s">
        <v>300</v>
      </c>
      <c r="AT63" s="99" t="s">
        <v>321</v>
      </c>
      <c r="AU63" s="99" t="s">
        <v>320</v>
      </c>
      <c r="AV63" s="99" t="s">
        <v>547</v>
      </c>
      <c r="AW63" s="99" t="s">
        <v>324</v>
      </c>
      <c r="AX63" s="99" t="s">
        <v>341</v>
      </c>
      <c r="AY63" s="99" t="s">
        <v>890</v>
      </c>
    </row>
    <row r="64" spans="1:51" ht="115.2" x14ac:dyDescent="0.3">
      <c r="A64" s="98">
        <v>42127.281793981485</v>
      </c>
      <c r="B64" s="99" t="s">
        <v>1049</v>
      </c>
      <c r="C64" s="99" t="s">
        <v>799</v>
      </c>
      <c r="D64" s="99" t="s">
        <v>529</v>
      </c>
      <c r="E64" s="99" t="s">
        <v>330</v>
      </c>
      <c r="F64" s="99" t="s">
        <v>317</v>
      </c>
      <c r="G64" s="99" t="s">
        <v>430</v>
      </c>
      <c r="H64" s="99" t="s">
        <v>5</v>
      </c>
      <c r="I64" s="99" t="s">
        <v>316</v>
      </c>
      <c r="J64" s="99" t="s">
        <v>1305</v>
      </c>
      <c r="K64" s="99" t="s">
        <v>328</v>
      </c>
      <c r="L64" s="99" t="s">
        <v>450</v>
      </c>
      <c r="M64" s="99" t="s">
        <v>314</v>
      </c>
      <c r="N64" s="99" t="s">
        <v>374</v>
      </c>
      <c r="O64" s="99" t="s">
        <v>4</v>
      </c>
      <c r="P64" s="99" t="s">
        <v>313</v>
      </c>
      <c r="Q64" s="99" t="s">
        <v>396</v>
      </c>
      <c r="R64" s="99" t="s">
        <v>374</v>
      </c>
      <c r="S64" s="99" t="s">
        <v>807</v>
      </c>
      <c r="T64" s="99" t="s">
        <v>312</v>
      </c>
      <c r="U64" s="99" t="s">
        <v>311</v>
      </c>
      <c r="V64" s="99" t="s">
        <v>382</v>
      </c>
      <c r="W64" s="99" t="s">
        <v>370</v>
      </c>
      <c r="X64" s="99" t="s">
        <v>337</v>
      </c>
      <c r="Y64" s="99" t="s">
        <v>316</v>
      </c>
      <c r="Z64" s="99" t="s">
        <v>316</v>
      </c>
      <c r="AA64" s="99" t="s">
        <v>1306</v>
      </c>
      <c r="AB64" s="99" t="s">
        <v>308</v>
      </c>
      <c r="AC64" s="99" t="s">
        <v>324</v>
      </c>
      <c r="AD64" s="99" t="s">
        <v>344</v>
      </c>
      <c r="AE64" s="99" t="s">
        <v>533</v>
      </c>
      <c r="AF64" s="99" t="s">
        <v>861</v>
      </c>
      <c r="AG64" s="99" t="s">
        <v>400</v>
      </c>
      <c r="AH64" s="99" t="s">
        <v>305</v>
      </c>
      <c r="AI64" s="99" t="s">
        <v>305</v>
      </c>
      <c r="AJ64" s="99" t="s">
        <v>305</v>
      </c>
      <c r="AK64" s="99" t="s">
        <v>6</v>
      </c>
      <c r="AL64" s="99" t="s">
        <v>305</v>
      </c>
      <c r="AM64" s="99" t="s">
        <v>305</v>
      </c>
      <c r="AN64" s="99" t="s">
        <v>303</v>
      </c>
      <c r="AO64" s="99" t="s">
        <v>305</v>
      </c>
      <c r="AP64" s="99" t="s">
        <v>295</v>
      </c>
      <c r="AQ64" s="99" t="s">
        <v>295</v>
      </c>
      <c r="AR64" s="99" t="s">
        <v>365</v>
      </c>
      <c r="AS64" s="99" t="s">
        <v>350</v>
      </c>
      <c r="AT64" s="99" t="s">
        <v>321</v>
      </c>
      <c r="AU64" s="99" t="s">
        <v>342</v>
      </c>
      <c r="AV64" s="99" t="s">
        <v>364</v>
      </c>
      <c r="AW64" s="99" t="s">
        <v>296</v>
      </c>
      <c r="AX64" s="99" t="s">
        <v>534</v>
      </c>
      <c r="AY64" s="99" t="s">
        <v>1167</v>
      </c>
    </row>
    <row r="65" spans="1:51" ht="86.4" x14ac:dyDescent="0.3">
      <c r="A65" s="98">
        <v>42127.282210648147</v>
      </c>
      <c r="B65" s="99" t="s">
        <v>1049</v>
      </c>
      <c r="C65" s="99" t="s">
        <v>799</v>
      </c>
      <c r="D65" s="99" t="s">
        <v>529</v>
      </c>
      <c r="E65" s="99" t="s">
        <v>330</v>
      </c>
      <c r="F65" s="99" t="s">
        <v>383</v>
      </c>
      <c r="G65" s="99" t="s">
        <v>686</v>
      </c>
      <c r="H65" s="99" t="s">
        <v>5</v>
      </c>
      <c r="I65" s="99" t="s">
        <v>345</v>
      </c>
      <c r="J65" s="99" t="s">
        <v>1165</v>
      </c>
      <c r="K65" s="99" t="s">
        <v>328</v>
      </c>
      <c r="L65" s="99" t="s">
        <v>450</v>
      </c>
      <c r="M65" s="99" t="s">
        <v>353</v>
      </c>
      <c r="N65" s="99" t="s">
        <v>313</v>
      </c>
      <c r="O65" s="99" t="s">
        <v>327</v>
      </c>
      <c r="P65" s="99" t="s">
        <v>4</v>
      </c>
      <c r="Q65" s="99" t="s">
        <v>417</v>
      </c>
      <c r="R65" s="99" t="s">
        <v>327</v>
      </c>
      <c r="S65" s="99" t="s">
        <v>658</v>
      </c>
      <c r="T65" s="99" t="s">
        <v>326</v>
      </c>
      <c r="U65" s="99" t="s">
        <v>373</v>
      </c>
      <c r="V65" s="99" t="s">
        <v>826</v>
      </c>
      <c r="W65" s="99" t="s">
        <v>325</v>
      </c>
      <c r="X65" s="99" t="s">
        <v>352</v>
      </c>
      <c r="Y65" s="99" t="s">
        <v>316</v>
      </c>
      <c r="Z65" s="99"/>
      <c r="AA65" s="99" t="s">
        <v>408</v>
      </c>
      <c r="AB65" s="99" t="s">
        <v>308</v>
      </c>
      <c r="AC65" s="99" t="s">
        <v>324</v>
      </c>
      <c r="AD65" s="99" t="s">
        <v>642</v>
      </c>
      <c r="AE65" s="99" t="s">
        <v>533</v>
      </c>
      <c r="AF65" s="99" t="s">
        <v>1174</v>
      </c>
      <c r="AG65" s="99"/>
      <c r="AH65" s="99" t="s">
        <v>304</v>
      </c>
      <c r="AI65" s="99" t="s">
        <v>304</v>
      </c>
      <c r="AJ65" s="99" t="s">
        <v>303</v>
      </c>
      <c r="AK65" s="99" t="s">
        <v>303</v>
      </c>
      <c r="AL65" s="99" t="s">
        <v>303</v>
      </c>
      <c r="AM65" s="99" t="s">
        <v>303</v>
      </c>
      <c r="AN65" s="99" t="s">
        <v>304</v>
      </c>
      <c r="AO65" s="99" t="s">
        <v>305</v>
      </c>
      <c r="AP65" s="99" t="s">
        <v>303</v>
      </c>
      <c r="AQ65" s="99" t="s">
        <v>302</v>
      </c>
      <c r="AR65" s="99" t="s">
        <v>322</v>
      </c>
      <c r="AS65" s="99" t="s">
        <v>350</v>
      </c>
      <c r="AT65" s="99" t="s">
        <v>321</v>
      </c>
      <c r="AU65" s="99" t="s">
        <v>342</v>
      </c>
      <c r="AV65" s="99" t="s">
        <v>364</v>
      </c>
      <c r="AW65" s="99" t="s">
        <v>324</v>
      </c>
      <c r="AX65" s="99" t="s">
        <v>534</v>
      </c>
      <c r="AY65" s="99" t="s">
        <v>491</v>
      </c>
    </row>
    <row r="66" spans="1:51" ht="187.2" x14ac:dyDescent="0.3">
      <c r="A66" s="98">
        <v>42127.282500000001</v>
      </c>
      <c r="B66" s="99" t="s">
        <v>1049</v>
      </c>
      <c r="C66" s="99" t="s">
        <v>799</v>
      </c>
      <c r="D66" s="99" t="s">
        <v>331</v>
      </c>
      <c r="E66" s="99" t="s">
        <v>330</v>
      </c>
      <c r="F66" s="99" t="s">
        <v>383</v>
      </c>
      <c r="G66" s="99" t="s">
        <v>340</v>
      </c>
      <c r="H66" s="99" t="s">
        <v>390</v>
      </c>
      <c r="I66" s="99" t="s">
        <v>345</v>
      </c>
      <c r="J66" s="99" t="s">
        <v>1016</v>
      </c>
      <c r="K66" s="99" t="s">
        <v>315</v>
      </c>
      <c r="L66" s="99" t="s">
        <v>417</v>
      </c>
      <c r="M66" s="99" t="s">
        <v>314</v>
      </c>
      <c r="N66" s="99" t="s">
        <v>4</v>
      </c>
      <c r="O66" s="99" t="s">
        <v>4</v>
      </c>
      <c r="P66" s="99" t="s">
        <v>327</v>
      </c>
      <c r="Q66" s="99" t="s">
        <v>1307</v>
      </c>
      <c r="R66" s="99" t="s">
        <v>327</v>
      </c>
      <c r="S66" s="99" t="s">
        <v>500</v>
      </c>
      <c r="T66" s="99" t="s">
        <v>312</v>
      </c>
      <c r="U66" s="99" t="s">
        <v>373</v>
      </c>
      <c r="V66" s="99" t="s">
        <v>382</v>
      </c>
      <c r="W66" s="99" t="s">
        <v>1278</v>
      </c>
      <c r="X66" s="99" t="s">
        <v>337</v>
      </c>
      <c r="Y66" s="99" t="s">
        <v>316</v>
      </c>
      <c r="Z66" s="99" t="s">
        <v>316</v>
      </c>
      <c r="AA66" s="99" t="s">
        <v>490</v>
      </c>
      <c r="AB66" s="99" t="s">
        <v>308</v>
      </c>
      <c r="AC66" s="99" t="s">
        <v>381</v>
      </c>
      <c r="AD66" s="99" t="s">
        <v>448</v>
      </c>
      <c r="AE66" s="99" t="s">
        <v>533</v>
      </c>
      <c r="AF66" s="99" t="s">
        <v>1029</v>
      </c>
      <c r="AG66" s="99" t="s">
        <v>304</v>
      </c>
      <c r="AH66" s="99" t="s">
        <v>304</v>
      </c>
      <c r="AI66" s="99" t="s">
        <v>304</v>
      </c>
      <c r="AJ66" s="99" t="s">
        <v>304</v>
      </c>
      <c r="AK66" s="99" t="s">
        <v>304</v>
      </c>
      <c r="AL66" s="99" t="s">
        <v>304</v>
      </c>
      <c r="AM66" s="99" t="s">
        <v>304</v>
      </c>
      <c r="AN66" s="99" t="s">
        <v>304</v>
      </c>
      <c r="AO66" s="99" t="s">
        <v>305</v>
      </c>
      <c r="AP66" s="99" t="s">
        <v>295</v>
      </c>
      <c r="AQ66" s="99" t="s">
        <v>302</v>
      </c>
      <c r="AR66" s="99" t="s">
        <v>301</v>
      </c>
      <c r="AS66" s="99"/>
      <c r="AT66" s="99" t="s">
        <v>321</v>
      </c>
      <c r="AU66" s="99" t="s">
        <v>298</v>
      </c>
      <c r="AV66" s="99"/>
      <c r="AW66" s="99" t="s">
        <v>296</v>
      </c>
      <c r="AX66" s="99" t="s">
        <v>319</v>
      </c>
      <c r="AY66" s="99" t="s">
        <v>1308</v>
      </c>
    </row>
    <row r="67" spans="1:51" ht="158.4" x14ac:dyDescent="0.3">
      <c r="A67" s="98">
        <v>42127.282800925925</v>
      </c>
      <c r="B67" s="99" t="s">
        <v>1049</v>
      </c>
      <c r="C67" s="99" t="s">
        <v>799</v>
      </c>
      <c r="D67" s="99" t="s">
        <v>331</v>
      </c>
      <c r="E67" s="99" t="s">
        <v>330</v>
      </c>
      <c r="F67" s="99" t="s">
        <v>317</v>
      </c>
      <c r="G67" s="99" t="s">
        <v>412</v>
      </c>
      <c r="H67" s="99" t="s">
        <v>5</v>
      </c>
      <c r="I67" s="99" t="s">
        <v>309</v>
      </c>
      <c r="J67" s="99" t="s">
        <v>1016</v>
      </c>
      <c r="K67" s="99" t="s">
        <v>315</v>
      </c>
      <c r="L67" s="99" t="s">
        <v>938</v>
      </c>
      <c r="M67" s="99" t="s">
        <v>353</v>
      </c>
      <c r="N67" s="99" t="s">
        <v>4</v>
      </c>
      <c r="O67" s="99" t="s">
        <v>313</v>
      </c>
      <c r="P67" s="99" t="s">
        <v>4</v>
      </c>
      <c r="Q67" s="99" t="s">
        <v>1309</v>
      </c>
      <c r="R67" s="99" t="s">
        <v>327</v>
      </c>
      <c r="S67" s="99" t="s">
        <v>470</v>
      </c>
      <c r="T67" s="99" t="s">
        <v>312</v>
      </c>
      <c r="U67" s="99" t="s">
        <v>347</v>
      </c>
      <c r="V67" s="99" t="s">
        <v>1310</v>
      </c>
      <c r="W67" s="99" t="s">
        <v>370</v>
      </c>
      <c r="X67" s="99" t="s">
        <v>346</v>
      </c>
      <c r="Y67" s="99" t="s">
        <v>316</v>
      </c>
      <c r="Z67" s="99" t="s">
        <v>316</v>
      </c>
      <c r="AA67" s="99" t="s">
        <v>1311</v>
      </c>
      <c r="AB67" s="99" t="s">
        <v>336</v>
      </c>
      <c r="AC67" s="99" t="s">
        <v>307</v>
      </c>
      <c r="AD67" s="99" t="s">
        <v>477</v>
      </c>
      <c r="AE67" s="99" t="s">
        <v>545</v>
      </c>
      <c r="AF67" s="99" t="s">
        <v>1312</v>
      </c>
      <c r="AG67" s="99" t="s">
        <v>306</v>
      </c>
      <c r="AH67" s="99" t="s">
        <v>302</v>
      </c>
      <c r="AI67" s="99" t="s">
        <v>303</v>
      </c>
      <c r="AJ67" s="99" t="s">
        <v>303</v>
      </c>
      <c r="AK67" s="99" t="s">
        <v>302</v>
      </c>
      <c r="AL67" s="99" t="s">
        <v>302</v>
      </c>
      <c r="AM67" s="99" t="s">
        <v>303</v>
      </c>
      <c r="AN67" s="99" t="s">
        <v>302</v>
      </c>
      <c r="AO67" s="99" t="s">
        <v>303</v>
      </c>
      <c r="AP67" s="99" t="s">
        <v>302</v>
      </c>
      <c r="AQ67" s="99" t="s">
        <v>304</v>
      </c>
      <c r="AR67" s="99" t="s">
        <v>322</v>
      </c>
      <c r="AS67" s="99" t="s">
        <v>350</v>
      </c>
      <c r="AT67" s="99" t="s">
        <v>321</v>
      </c>
      <c r="AU67" s="99" t="s">
        <v>342</v>
      </c>
      <c r="AV67" s="99" t="s">
        <v>364</v>
      </c>
      <c r="AW67" s="99" t="s">
        <v>307</v>
      </c>
      <c r="AX67" s="99" t="s">
        <v>534</v>
      </c>
      <c r="AY67" s="99" t="s">
        <v>499</v>
      </c>
    </row>
    <row r="68" spans="1:51" ht="57.6" x14ac:dyDescent="0.3">
      <c r="A68" s="98">
        <v>42127.282916666663</v>
      </c>
      <c r="B68" s="99" t="s">
        <v>1049</v>
      </c>
      <c r="C68" s="99" t="s">
        <v>799</v>
      </c>
      <c r="D68" s="99" t="s">
        <v>529</v>
      </c>
      <c r="E68" s="99" t="s">
        <v>330</v>
      </c>
      <c r="F68" s="99" t="s">
        <v>372</v>
      </c>
      <c r="G68" s="99" t="s">
        <v>407</v>
      </c>
      <c r="H68" s="99" t="s">
        <v>5</v>
      </c>
      <c r="I68" s="99" t="s">
        <v>309</v>
      </c>
      <c r="J68" s="99" t="s">
        <v>736</v>
      </c>
      <c r="K68" s="99" t="s">
        <v>354</v>
      </c>
      <c r="L68" s="99" t="s">
        <v>1313</v>
      </c>
      <c r="M68" s="99" t="s">
        <v>348</v>
      </c>
      <c r="N68" s="99" t="s">
        <v>4</v>
      </c>
      <c r="O68" s="99" t="s">
        <v>4</v>
      </c>
      <c r="P68" s="99" t="s">
        <v>4</v>
      </c>
      <c r="Q68" s="99" t="s">
        <v>1005</v>
      </c>
      <c r="R68" s="99" t="s">
        <v>327</v>
      </c>
      <c r="S68" s="99" t="s">
        <v>469</v>
      </c>
      <c r="T68" s="99"/>
      <c r="U68" s="99" t="s">
        <v>347</v>
      </c>
      <c r="V68" s="99" t="s">
        <v>382</v>
      </c>
      <c r="W68" s="99" t="s">
        <v>325</v>
      </c>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row>
    <row r="69" spans="1:51" ht="86.4" x14ac:dyDescent="0.3">
      <c r="A69" s="98">
        <v>42127.451215277775</v>
      </c>
      <c r="B69" s="99" t="s">
        <v>1049</v>
      </c>
      <c r="C69" s="99" t="s">
        <v>799</v>
      </c>
      <c r="D69" s="99" t="s">
        <v>331</v>
      </c>
      <c r="E69" s="99" t="s">
        <v>330</v>
      </c>
      <c r="F69" s="99" t="s">
        <v>383</v>
      </c>
      <c r="G69" s="99" t="s">
        <v>407</v>
      </c>
      <c r="H69" s="99" t="s">
        <v>5</v>
      </c>
      <c r="I69" s="99" t="s">
        <v>309</v>
      </c>
      <c r="J69" s="99" t="s">
        <v>557</v>
      </c>
      <c r="K69" s="99" t="s">
        <v>315</v>
      </c>
      <c r="L69" s="99" t="s">
        <v>406</v>
      </c>
      <c r="M69" s="99" t="s">
        <v>348</v>
      </c>
      <c r="N69" s="99" t="s">
        <v>327</v>
      </c>
      <c r="O69" s="99" t="s">
        <v>313</v>
      </c>
      <c r="P69" s="99" t="s">
        <v>4</v>
      </c>
      <c r="Q69" s="99" t="s">
        <v>1005</v>
      </c>
      <c r="R69" s="99" t="s">
        <v>327</v>
      </c>
      <c r="S69" s="99" t="s">
        <v>875</v>
      </c>
      <c r="T69" s="99" t="s">
        <v>366</v>
      </c>
      <c r="U69" s="99" t="s">
        <v>373</v>
      </c>
      <c r="V69" s="99" t="s">
        <v>382</v>
      </c>
      <c r="W69" s="99" t="s">
        <v>325</v>
      </c>
      <c r="X69" s="99" t="s">
        <v>352</v>
      </c>
      <c r="Y69" s="99" t="s">
        <v>316</v>
      </c>
      <c r="Z69" s="99" t="s">
        <v>316</v>
      </c>
      <c r="AA69" s="99" t="s">
        <v>395</v>
      </c>
      <c r="AB69" s="99" t="s">
        <v>308</v>
      </c>
      <c r="AC69" s="99" t="s">
        <v>324</v>
      </c>
      <c r="AD69" s="99" t="s">
        <v>462</v>
      </c>
      <c r="AE69" s="99" t="s">
        <v>533</v>
      </c>
      <c r="AF69" s="99" t="s">
        <v>814</v>
      </c>
      <c r="AG69" s="99" t="s">
        <v>323</v>
      </c>
      <c r="AH69" s="99" t="s">
        <v>303</v>
      </c>
      <c r="AI69" s="99" t="s">
        <v>303</v>
      </c>
      <c r="AJ69" s="99" t="s">
        <v>302</v>
      </c>
      <c r="AK69" s="99" t="s">
        <v>304</v>
      </c>
      <c r="AL69" s="99" t="s">
        <v>303</v>
      </c>
      <c r="AM69" s="99" t="s">
        <v>303</v>
      </c>
      <c r="AN69" s="99"/>
      <c r="AO69" s="99" t="s">
        <v>304</v>
      </c>
      <c r="AP69" s="99" t="s">
        <v>304</v>
      </c>
      <c r="AQ69" s="99" t="s">
        <v>302</v>
      </c>
      <c r="AR69" s="99" t="s">
        <v>391</v>
      </c>
      <c r="AS69" s="99" t="s">
        <v>300</v>
      </c>
      <c r="AT69" s="99" t="s">
        <v>355</v>
      </c>
      <c r="AU69" s="99" t="s">
        <v>320</v>
      </c>
      <c r="AV69" s="99" t="s">
        <v>364</v>
      </c>
      <c r="AW69" s="99" t="s">
        <v>307</v>
      </c>
      <c r="AX69" s="99" t="s">
        <v>534</v>
      </c>
      <c r="AY69" s="99" t="s">
        <v>418</v>
      </c>
    </row>
    <row r="70" spans="1:51" ht="216" x14ac:dyDescent="0.3">
      <c r="A70" s="98">
        <v>42127.45417824074</v>
      </c>
      <c r="B70" s="99" t="s">
        <v>1049</v>
      </c>
      <c r="C70" s="99" t="s">
        <v>799</v>
      </c>
      <c r="D70" s="99" t="s">
        <v>529</v>
      </c>
      <c r="E70" s="99" t="s">
        <v>330</v>
      </c>
      <c r="F70" s="99" t="s">
        <v>919</v>
      </c>
      <c r="G70" s="99" t="s">
        <v>446</v>
      </c>
      <c r="H70" s="99" t="s">
        <v>679</v>
      </c>
      <c r="I70" s="99" t="s">
        <v>494</v>
      </c>
      <c r="J70" s="99" t="s">
        <v>1314</v>
      </c>
      <c r="K70" s="99" t="s">
        <v>359</v>
      </c>
      <c r="L70" s="99" t="s">
        <v>1315</v>
      </c>
      <c r="M70" s="99" t="s">
        <v>377</v>
      </c>
      <c r="N70" s="99" t="s">
        <v>374</v>
      </c>
      <c r="O70" s="99" t="s">
        <v>327</v>
      </c>
      <c r="P70" s="99" t="s">
        <v>4</v>
      </c>
      <c r="Q70" s="99" t="s">
        <v>1316</v>
      </c>
      <c r="R70" s="99" t="s">
        <v>327</v>
      </c>
      <c r="S70" s="99" t="s">
        <v>619</v>
      </c>
      <c r="T70" s="99" t="s">
        <v>380</v>
      </c>
      <c r="U70" s="99" t="s">
        <v>373</v>
      </c>
      <c r="V70" s="99" t="s">
        <v>339</v>
      </c>
      <c r="W70" s="99" t="s">
        <v>419</v>
      </c>
      <c r="X70" s="99" t="s">
        <v>337</v>
      </c>
      <c r="Y70" s="99" t="s">
        <v>309</v>
      </c>
      <c r="Z70" s="99" t="s">
        <v>309</v>
      </c>
      <c r="AA70" s="99" t="s">
        <v>1317</v>
      </c>
      <c r="AB70" s="99" t="s">
        <v>389</v>
      </c>
      <c r="AC70" s="99" t="s">
        <v>296</v>
      </c>
      <c r="AD70" s="99" t="s">
        <v>431</v>
      </c>
      <c r="AE70" s="99" t="s">
        <v>533</v>
      </c>
      <c r="AF70" s="99" t="s">
        <v>1318</v>
      </c>
      <c r="AG70" s="99" t="s">
        <v>369</v>
      </c>
      <c r="AH70" s="99" t="s">
        <v>6</v>
      </c>
      <c r="AI70" s="99" t="s">
        <v>6</v>
      </c>
      <c r="AJ70" s="99" t="s">
        <v>6</v>
      </c>
      <c r="AK70" s="99" t="s">
        <v>6</v>
      </c>
      <c r="AL70" s="99" t="s">
        <v>6</v>
      </c>
      <c r="AM70" s="99" t="s">
        <v>303</v>
      </c>
      <c r="AN70" s="99" t="s">
        <v>6</v>
      </c>
      <c r="AO70" s="99" t="s">
        <v>6</v>
      </c>
      <c r="AP70" s="99" t="s">
        <v>303</v>
      </c>
      <c r="AQ70" s="99" t="s">
        <v>304</v>
      </c>
      <c r="AR70" s="99" t="s">
        <v>558</v>
      </c>
      <c r="AS70" s="99" t="s">
        <v>563</v>
      </c>
      <c r="AT70" s="99" t="s">
        <v>355</v>
      </c>
      <c r="AU70" s="99" t="s">
        <v>660</v>
      </c>
      <c r="AV70" s="99" t="s">
        <v>333</v>
      </c>
      <c r="AW70" s="99" t="s">
        <v>381</v>
      </c>
      <c r="AX70" s="99" t="s">
        <v>319</v>
      </c>
      <c r="AY70" s="99" t="s">
        <v>1319</v>
      </c>
    </row>
    <row r="71" spans="1:51" ht="129.6" x14ac:dyDescent="0.3">
      <c r="A71" s="98">
        <v>42127.454328703701</v>
      </c>
      <c r="B71" s="99" t="s">
        <v>1049</v>
      </c>
      <c r="C71" s="99" t="s">
        <v>799</v>
      </c>
      <c r="D71" s="99" t="s">
        <v>331</v>
      </c>
      <c r="E71" s="99" t="s">
        <v>330</v>
      </c>
      <c r="F71" s="99" t="s">
        <v>383</v>
      </c>
      <c r="G71" s="99" t="s">
        <v>407</v>
      </c>
      <c r="H71" s="99" t="s">
        <v>5</v>
      </c>
      <c r="I71" s="99" t="s">
        <v>309</v>
      </c>
      <c r="J71" s="99" t="s">
        <v>1161</v>
      </c>
      <c r="K71" s="99" t="s">
        <v>328</v>
      </c>
      <c r="L71" s="99" t="s">
        <v>450</v>
      </c>
      <c r="M71" s="99" t="s">
        <v>314</v>
      </c>
      <c r="N71" s="99"/>
      <c r="O71" s="99" t="s">
        <v>4</v>
      </c>
      <c r="P71" s="99" t="s">
        <v>327</v>
      </c>
      <c r="Q71" s="99" t="s">
        <v>1261</v>
      </c>
      <c r="R71" s="99" t="s">
        <v>327</v>
      </c>
      <c r="S71" s="99" t="s">
        <v>619</v>
      </c>
      <c r="T71" s="99" t="s">
        <v>366</v>
      </c>
      <c r="U71" s="99" t="s">
        <v>347</v>
      </c>
      <c r="V71" s="99" t="s">
        <v>1320</v>
      </c>
      <c r="W71" s="99" t="s">
        <v>370</v>
      </c>
      <c r="X71" s="99" t="s">
        <v>310</v>
      </c>
      <c r="Y71" s="99" t="s">
        <v>316</v>
      </c>
      <c r="Z71" s="99" t="s">
        <v>316</v>
      </c>
      <c r="AA71" s="99" t="s">
        <v>910</v>
      </c>
      <c r="AB71" s="99" t="s">
        <v>336</v>
      </c>
      <c r="AC71" s="99" t="s">
        <v>296</v>
      </c>
      <c r="AD71" s="99" t="s">
        <v>1321</v>
      </c>
      <c r="AE71" s="99" t="s">
        <v>535</v>
      </c>
      <c r="AF71" s="99" t="s">
        <v>488</v>
      </c>
      <c r="AG71" s="99"/>
      <c r="AH71" s="99" t="s">
        <v>303</v>
      </c>
      <c r="AI71" s="99" t="s">
        <v>303</v>
      </c>
      <c r="AJ71" s="99" t="s">
        <v>302</v>
      </c>
      <c r="AK71" s="99" t="s">
        <v>302</v>
      </c>
      <c r="AL71" s="99" t="s">
        <v>303</v>
      </c>
      <c r="AM71" s="99" t="s">
        <v>303</v>
      </c>
      <c r="AN71" s="99" t="s">
        <v>303</v>
      </c>
      <c r="AO71" s="99" t="s">
        <v>303</v>
      </c>
      <c r="AP71" s="99" t="s">
        <v>304</v>
      </c>
      <c r="AQ71" s="99" t="s">
        <v>303</v>
      </c>
      <c r="AR71" s="99"/>
      <c r="AS71" s="99" t="s">
        <v>398</v>
      </c>
      <c r="AT71" s="99" t="s">
        <v>355</v>
      </c>
      <c r="AU71" s="99" t="s">
        <v>342</v>
      </c>
      <c r="AV71" s="99" t="s">
        <v>536</v>
      </c>
      <c r="AW71" s="99" t="s">
        <v>307</v>
      </c>
      <c r="AX71" s="99" t="s">
        <v>341</v>
      </c>
      <c r="AY71" s="99" t="s">
        <v>436</v>
      </c>
    </row>
    <row r="72" spans="1:51" ht="115.2" x14ac:dyDescent="0.3">
      <c r="A72" s="98">
        <v>42127.454814814817</v>
      </c>
      <c r="B72" s="99" t="s">
        <v>1049</v>
      </c>
      <c r="C72" s="99" t="s">
        <v>799</v>
      </c>
      <c r="D72" s="99" t="s">
        <v>331</v>
      </c>
      <c r="E72" s="99" t="s">
        <v>3</v>
      </c>
      <c r="F72" s="99" t="s">
        <v>383</v>
      </c>
      <c r="G72" s="99" t="s">
        <v>407</v>
      </c>
      <c r="H72" s="99" t="s">
        <v>5</v>
      </c>
      <c r="I72" s="99" t="s">
        <v>309</v>
      </c>
      <c r="J72" s="99" t="s">
        <v>1153</v>
      </c>
      <c r="K72" s="99" t="s">
        <v>315</v>
      </c>
      <c r="L72" s="99" t="s">
        <v>1133</v>
      </c>
      <c r="M72" s="99" t="s">
        <v>377</v>
      </c>
      <c r="N72" s="99" t="s">
        <v>313</v>
      </c>
      <c r="O72" s="99" t="s">
        <v>4</v>
      </c>
      <c r="P72" s="99" t="s">
        <v>313</v>
      </c>
      <c r="Q72" s="99" t="s">
        <v>707</v>
      </c>
      <c r="R72" s="99" t="s">
        <v>4</v>
      </c>
      <c r="S72" s="99" t="s">
        <v>1322</v>
      </c>
      <c r="T72" s="99" t="s">
        <v>326</v>
      </c>
      <c r="U72" s="99" t="s">
        <v>530</v>
      </c>
      <c r="V72" s="99" t="s">
        <v>386</v>
      </c>
      <c r="W72" s="99" t="s">
        <v>1192</v>
      </c>
      <c r="X72" s="99" t="s">
        <v>346</v>
      </c>
      <c r="Y72" s="99" t="s">
        <v>316</v>
      </c>
      <c r="Z72" s="99" t="s">
        <v>316</v>
      </c>
      <c r="AA72" s="99" t="s">
        <v>410</v>
      </c>
      <c r="AB72" s="99" t="s">
        <v>308</v>
      </c>
      <c r="AC72" s="99" t="s">
        <v>324</v>
      </c>
      <c r="AD72" s="99" t="s">
        <v>448</v>
      </c>
      <c r="AE72" s="99" t="s">
        <v>532</v>
      </c>
      <c r="AF72" s="99" t="s">
        <v>1323</v>
      </c>
      <c r="AG72" s="99" t="s">
        <v>304</v>
      </c>
      <c r="AH72" s="99" t="s">
        <v>304</v>
      </c>
      <c r="AI72" s="99" t="s">
        <v>303</v>
      </c>
      <c r="AJ72" s="99" t="s">
        <v>304</v>
      </c>
      <c r="AK72" s="99" t="s">
        <v>305</v>
      </c>
      <c r="AL72" s="99" t="s">
        <v>304</v>
      </c>
      <c r="AM72" s="99" t="s">
        <v>303</v>
      </c>
      <c r="AN72" s="99" t="s">
        <v>304</v>
      </c>
      <c r="AO72" s="99" t="s">
        <v>305</v>
      </c>
      <c r="AP72" s="99" t="s">
        <v>304</v>
      </c>
      <c r="AQ72" s="99" t="s">
        <v>303</v>
      </c>
      <c r="AR72" s="99" t="s">
        <v>322</v>
      </c>
      <c r="AS72" s="99" t="s">
        <v>300</v>
      </c>
      <c r="AT72" s="99" t="s">
        <v>360</v>
      </c>
      <c r="AU72" s="99" t="s">
        <v>342</v>
      </c>
      <c r="AV72" s="99" t="s">
        <v>547</v>
      </c>
      <c r="AW72" s="99" t="s">
        <v>324</v>
      </c>
      <c r="AX72" s="99" t="s">
        <v>341</v>
      </c>
      <c r="AY72" s="99" t="s">
        <v>1030</v>
      </c>
    </row>
    <row r="73" spans="1:51" ht="201.6" x14ac:dyDescent="0.3">
      <c r="A73" s="98">
        <v>42127.455104166664</v>
      </c>
      <c r="B73" s="99" t="s">
        <v>1049</v>
      </c>
      <c r="C73" s="99" t="s">
        <v>799</v>
      </c>
      <c r="D73" s="99" t="s">
        <v>700</v>
      </c>
      <c r="E73" s="99" t="s">
        <v>330</v>
      </c>
      <c r="F73" s="99" t="s">
        <v>372</v>
      </c>
      <c r="G73" s="99" t="s">
        <v>407</v>
      </c>
      <c r="H73" s="99" t="s">
        <v>349</v>
      </c>
      <c r="I73" s="99" t="s">
        <v>309</v>
      </c>
      <c r="J73" s="99" t="s">
        <v>1324</v>
      </c>
      <c r="K73" s="99" t="s">
        <v>328</v>
      </c>
      <c r="L73" s="99" t="s">
        <v>450</v>
      </c>
      <c r="M73" s="99" t="s">
        <v>363</v>
      </c>
      <c r="N73" s="99" t="s">
        <v>4</v>
      </c>
      <c r="O73" s="99" t="s">
        <v>4</v>
      </c>
      <c r="P73" s="99" t="s">
        <v>4</v>
      </c>
      <c r="Q73" s="99" t="s">
        <v>450</v>
      </c>
      <c r="R73" s="99" t="s">
        <v>4</v>
      </c>
      <c r="S73" s="99" t="s">
        <v>1159</v>
      </c>
      <c r="T73" s="99" t="s">
        <v>312</v>
      </c>
      <c r="U73" s="99" t="s">
        <v>530</v>
      </c>
      <c r="V73" s="99" t="s">
        <v>739</v>
      </c>
      <c r="W73" s="99" t="s">
        <v>1278</v>
      </c>
      <c r="X73" s="99" t="s">
        <v>310</v>
      </c>
      <c r="Y73" s="99" t="s">
        <v>316</v>
      </c>
      <c r="Z73" s="99" t="s">
        <v>316</v>
      </c>
      <c r="AA73" s="99" t="s">
        <v>910</v>
      </c>
      <c r="AB73" s="99" t="s">
        <v>308</v>
      </c>
      <c r="AC73" s="99" t="s">
        <v>307</v>
      </c>
      <c r="AD73" s="99" t="s">
        <v>1006</v>
      </c>
      <c r="AE73" s="99" t="s">
        <v>545</v>
      </c>
      <c r="AF73" s="99" t="s">
        <v>1325</v>
      </c>
      <c r="AG73" s="99" t="s">
        <v>323</v>
      </c>
      <c r="AH73" s="99" t="s">
        <v>303</v>
      </c>
      <c r="AI73" s="99" t="s">
        <v>302</v>
      </c>
      <c r="AJ73" s="99" t="s">
        <v>302</v>
      </c>
      <c r="AK73" s="99"/>
      <c r="AL73" s="99" t="s">
        <v>302</v>
      </c>
      <c r="AM73" s="99" t="s">
        <v>303</v>
      </c>
      <c r="AN73" s="99" t="s">
        <v>303</v>
      </c>
      <c r="AO73" s="99" t="s">
        <v>304</v>
      </c>
      <c r="AP73" s="99" t="s">
        <v>303</v>
      </c>
      <c r="AQ73" s="99" t="s">
        <v>302</v>
      </c>
      <c r="AR73" s="99" t="s">
        <v>365</v>
      </c>
      <c r="AS73" s="99" t="s">
        <v>350</v>
      </c>
      <c r="AT73" s="99" t="s">
        <v>321</v>
      </c>
      <c r="AU73" s="99" t="s">
        <v>320</v>
      </c>
      <c r="AV73" s="99" t="s">
        <v>364</v>
      </c>
      <c r="AW73" s="99" t="s">
        <v>307</v>
      </c>
      <c r="AX73" s="99" t="s">
        <v>534</v>
      </c>
      <c r="AY73" s="99" t="s">
        <v>441</v>
      </c>
    </row>
    <row r="74" spans="1:51" ht="244.8" x14ac:dyDescent="0.3">
      <c r="A74" s="98">
        <v>42127.455370370371</v>
      </c>
      <c r="B74" s="99" t="s">
        <v>1049</v>
      </c>
      <c r="C74" s="99" t="s">
        <v>799</v>
      </c>
      <c r="D74" s="99" t="s">
        <v>331</v>
      </c>
      <c r="E74" s="99" t="s">
        <v>3</v>
      </c>
      <c r="F74" s="99" t="s">
        <v>317</v>
      </c>
      <c r="G74" s="99" t="s">
        <v>430</v>
      </c>
      <c r="H74" s="99" t="s">
        <v>5</v>
      </c>
      <c r="I74" s="99" t="s">
        <v>345</v>
      </c>
      <c r="J74" s="99" t="s">
        <v>1082</v>
      </c>
      <c r="K74" s="99" t="s">
        <v>315</v>
      </c>
      <c r="L74" s="99" t="s">
        <v>906</v>
      </c>
      <c r="M74" s="99" t="s">
        <v>377</v>
      </c>
      <c r="N74" s="99" t="s">
        <v>4</v>
      </c>
      <c r="O74" s="99" t="s">
        <v>313</v>
      </c>
      <c r="P74" s="99" t="s">
        <v>313</v>
      </c>
      <c r="Q74" s="99" t="s">
        <v>411</v>
      </c>
      <c r="R74" s="99" t="s">
        <v>327</v>
      </c>
      <c r="S74" s="99" t="s">
        <v>500</v>
      </c>
      <c r="T74" s="99" t="s">
        <v>312</v>
      </c>
      <c r="U74" s="99" t="s">
        <v>347</v>
      </c>
      <c r="V74" s="99" t="s">
        <v>1163</v>
      </c>
      <c r="W74" s="99" t="s">
        <v>370</v>
      </c>
      <c r="X74" s="99" t="s">
        <v>346</v>
      </c>
      <c r="Y74" s="99" t="s">
        <v>309</v>
      </c>
      <c r="Z74" s="99" t="s">
        <v>345</v>
      </c>
      <c r="AA74" s="99" t="s">
        <v>432</v>
      </c>
      <c r="AB74" s="99" t="s">
        <v>336</v>
      </c>
      <c r="AC74" s="99" t="s">
        <v>296</v>
      </c>
      <c r="AD74" s="99" t="s">
        <v>1079</v>
      </c>
      <c r="AE74" s="99" t="s">
        <v>542</v>
      </c>
      <c r="AF74" s="99" t="s">
        <v>1326</v>
      </c>
      <c r="AG74" s="99" t="s">
        <v>323</v>
      </c>
      <c r="AH74" s="99" t="s">
        <v>302</v>
      </c>
      <c r="AI74" s="99" t="s">
        <v>304</v>
      </c>
      <c r="AJ74" s="99" t="s">
        <v>303</v>
      </c>
      <c r="AK74" s="99" t="s">
        <v>303</v>
      </c>
      <c r="AL74" s="99" t="s">
        <v>303</v>
      </c>
      <c r="AM74" s="99" t="s">
        <v>304</v>
      </c>
      <c r="AN74" s="99" t="s">
        <v>302</v>
      </c>
      <c r="AO74" s="99" t="s">
        <v>303</v>
      </c>
      <c r="AP74" s="99" t="s">
        <v>302</v>
      </c>
      <c r="AQ74" s="99" t="s">
        <v>304</v>
      </c>
      <c r="AR74" s="99" t="s">
        <v>322</v>
      </c>
      <c r="AS74" s="99" t="s">
        <v>350</v>
      </c>
      <c r="AT74" s="99" t="s">
        <v>321</v>
      </c>
      <c r="AU74" s="99" t="s">
        <v>320</v>
      </c>
      <c r="AV74" s="99" t="s">
        <v>364</v>
      </c>
      <c r="AW74" s="99" t="s">
        <v>307</v>
      </c>
      <c r="AX74" s="99" t="s">
        <v>534</v>
      </c>
      <c r="AY74" s="99" t="s">
        <v>332</v>
      </c>
    </row>
    <row r="75" spans="1:51" ht="172.8" x14ac:dyDescent="0.3">
      <c r="A75" s="98">
        <v>42127.456018518518</v>
      </c>
      <c r="B75" s="99" t="s">
        <v>1049</v>
      </c>
      <c r="C75" s="99" t="s">
        <v>799</v>
      </c>
      <c r="D75" s="99" t="s">
        <v>529</v>
      </c>
      <c r="E75" s="99" t="s">
        <v>3</v>
      </c>
      <c r="F75" s="99" t="s">
        <v>317</v>
      </c>
      <c r="G75" s="99" t="s">
        <v>412</v>
      </c>
      <c r="H75" s="99" t="s">
        <v>5</v>
      </c>
      <c r="I75" s="99" t="s">
        <v>345</v>
      </c>
      <c r="J75" s="99" t="s">
        <v>989</v>
      </c>
      <c r="K75" s="99" t="s">
        <v>384</v>
      </c>
      <c r="L75" s="99" t="s">
        <v>1038</v>
      </c>
      <c r="M75" s="99" t="s">
        <v>651</v>
      </c>
      <c r="N75" s="99" t="s">
        <v>313</v>
      </c>
      <c r="O75" s="99" t="s">
        <v>313</v>
      </c>
      <c r="P75" s="99" t="s">
        <v>4</v>
      </c>
      <c r="Q75" s="99" t="s">
        <v>1103</v>
      </c>
      <c r="R75" s="99" t="s">
        <v>327</v>
      </c>
      <c r="S75" s="99" t="s">
        <v>1327</v>
      </c>
      <c r="T75" s="99" t="s">
        <v>326</v>
      </c>
      <c r="U75" s="99" t="s">
        <v>311</v>
      </c>
      <c r="V75" s="99" t="s">
        <v>891</v>
      </c>
      <c r="W75" s="99" t="s">
        <v>338</v>
      </c>
      <c r="X75" s="99" t="s">
        <v>352</v>
      </c>
      <c r="Y75" s="99" t="s">
        <v>316</v>
      </c>
      <c r="Z75" s="99" t="s">
        <v>316</v>
      </c>
      <c r="AA75" s="99" t="s">
        <v>705</v>
      </c>
      <c r="AB75" s="99" t="s">
        <v>389</v>
      </c>
      <c r="AC75" s="99" t="s">
        <v>296</v>
      </c>
      <c r="AD75" s="99" t="s">
        <v>467</v>
      </c>
      <c r="AE75" s="99" t="s">
        <v>532</v>
      </c>
      <c r="AF75" s="99" t="s">
        <v>1104</v>
      </c>
      <c r="AG75" s="99" t="s">
        <v>323</v>
      </c>
      <c r="AH75" s="99" t="s">
        <v>303</v>
      </c>
      <c r="AI75" s="99" t="s">
        <v>303</v>
      </c>
      <c r="AJ75" s="99" t="s">
        <v>303</v>
      </c>
      <c r="AK75" s="99" t="s">
        <v>305</v>
      </c>
      <c r="AL75" s="99" t="s">
        <v>302</v>
      </c>
      <c r="AM75" s="99" t="s">
        <v>303</v>
      </c>
      <c r="AN75" s="99" t="s">
        <v>302</v>
      </c>
      <c r="AO75" s="99" t="s">
        <v>304</v>
      </c>
      <c r="AP75" s="99" t="s">
        <v>303</v>
      </c>
      <c r="AQ75" s="99" t="s">
        <v>303</v>
      </c>
      <c r="AR75" s="99" t="s">
        <v>541</v>
      </c>
      <c r="AS75" s="99" t="s">
        <v>300</v>
      </c>
      <c r="AT75" s="99" t="s">
        <v>355</v>
      </c>
      <c r="AU75" s="99" t="s">
        <v>298</v>
      </c>
      <c r="AV75" s="99" t="s">
        <v>364</v>
      </c>
      <c r="AW75" s="99" t="s">
        <v>307</v>
      </c>
      <c r="AX75" s="99" t="s">
        <v>319</v>
      </c>
      <c r="AY75" s="99" t="s">
        <v>1328</v>
      </c>
    </row>
    <row r="76" spans="1:51" ht="115.2" x14ac:dyDescent="0.3">
      <c r="A76" s="98">
        <v>42127.456631944442</v>
      </c>
      <c r="B76" s="99" t="s">
        <v>1049</v>
      </c>
      <c r="C76" s="99" t="s">
        <v>799</v>
      </c>
      <c r="D76" s="99" t="s">
        <v>700</v>
      </c>
      <c r="E76" s="99" t="s">
        <v>3</v>
      </c>
      <c r="F76" s="99" t="s">
        <v>317</v>
      </c>
      <c r="G76" s="99" t="s">
        <v>561</v>
      </c>
      <c r="H76" s="99" t="s">
        <v>5</v>
      </c>
      <c r="I76" s="99" t="s">
        <v>345</v>
      </c>
      <c r="J76" s="99" t="s">
        <v>1109</v>
      </c>
      <c r="K76" s="99" t="s">
        <v>315</v>
      </c>
      <c r="L76" s="99" t="s">
        <v>937</v>
      </c>
      <c r="M76" s="99" t="s">
        <v>353</v>
      </c>
      <c r="N76" s="99" t="s">
        <v>313</v>
      </c>
      <c r="O76" s="99" t="s">
        <v>313</v>
      </c>
      <c r="P76" s="99" t="s">
        <v>313</v>
      </c>
      <c r="Q76" s="99" t="s">
        <v>411</v>
      </c>
      <c r="R76" s="99" t="s">
        <v>327</v>
      </c>
      <c r="S76" s="99" t="s">
        <v>1329</v>
      </c>
      <c r="T76" s="99" t="s">
        <v>380</v>
      </c>
      <c r="U76" s="99" t="s">
        <v>311</v>
      </c>
      <c r="V76" s="99" t="s">
        <v>428</v>
      </c>
      <c r="W76" s="99" t="s">
        <v>325</v>
      </c>
      <c r="X76" s="99" t="s">
        <v>352</v>
      </c>
      <c r="Y76" s="99" t="s">
        <v>316</v>
      </c>
      <c r="Z76" s="99" t="s">
        <v>316</v>
      </c>
      <c r="AA76" s="99" t="s">
        <v>432</v>
      </c>
      <c r="AB76" s="99" t="s">
        <v>358</v>
      </c>
      <c r="AC76" s="99" t="s">
        <v>307</v>
      </c>
      <c r="AD76" s="99" t="s">
        <v>462</v>
      </c>
      <c r="AE76" s="99" t="s">
        <v>533</v>
      </c>
      <c r="AF76" s="99" t="s">
        <v>1330</v>
      </c>
      <c r="AG76" s="99" t="s">
        <v>306</v>
      </c>
      <c r="AH76" s="99" t="s">
        <v>303</v>
      </c>
      <c r="AI76" s="99" t="s">
        <v>303</v>
      </c>
      <c r="AJ76" s="99" t="s">
        <v>304</v>
      </c>
      <c r="AK76" s="99" t="s">
        <v>303</v>
      </c>
      <c r="AL76" s="99" t="s">
        <v>303</v>
      </c>
      <c r="AM76" s="99" t="s">
        <v>304</v>
      </c>
      <c r="AN76" s="99" t="s">
        <v>304</v>
      </c>
      <c r="AO76" s="99" t="s">
        <v>303</v>
      </c>
      <c r="AP76" s="99" t="s">
        <v>303</v>
      </c>
      <c r="AQ76" s="99" t="s">
        <v>303</v>
      </c>
      <c r="AR76" s="99" t="s">
        <v>391</v>
      </c>
      <c r="AS76" s="99" t="s">
        <v>300</v>
      </c>
      <c r="AT76" s="99" t="s">
        <v>360</v>
      </c>
      <c r="AU76" s="99" t="s">
        <v>320</v>
      </c>
      <c r="AV76" s="99" t="s">
        <v>536</v>
      </c>
      <c r="AW76" s="99" t="s">
        <v>307</v>
      </c>
      <c r="AX76" s="99" t="s">
        <v>534</v>
      </c>
      <c r="AY76" s="99" t="s">
        <v>890</v>
      </c>
    </row>
    <row r="77" spans="1:51" ht="115.2" x14ac:dyDescent="0.3">
      <c r="A77" s="98">
        <v>42127.457592592589</v>
      </c>
      <c r="B77" s="99" t="s">
        <v>1049</v>
      </c>
      <c r="C77" s="99" t="s">
        <v>799</v>
      </c>
      <c r="D77" s="99" t="s">
        <v>331</v>
      </c>
      <c r="E77" s="99" t="s">
        <v>330</v>
      </c>
      <c r="F77" s="99" t="s">
        <v>317</v>
      </c>
      <c r="G77" s="99" t="s">
        <v>407</v>
      </c>
      <c r="H77" s="99" t="s">
        <v>5</v>
      </c>
      <c r="I77" s="99" t="s">
        <v>309</v>
      </c>
      <c r="J77" s="99" t="s">
        <v>1082</v>
      </c>
      <c r="K77" s="99" t="s">
        <v>328</v>
      </c>
      <c r="L77" s="99" t="s">
        <v>450</v>
      </c>
      <c r="M77" s="99" t="s">
        <v>353</v>
      </c>
      <c r="N77" s="99" t="s">
        <v>313</v>
      </c>
      <c r="O77" s="99" t="s">
        <v>313</v>
      </c>
      <c r="P77" s="99" t="s">
        <v>313</v>
      </c>
      <c r="Q77" s="99" t="s">
        <v>450</v>
      </c>
      <c r="R77" s="99" t="s">
        <v>4</v>
      </c>
      <c r="S77" s="99" t="s">
        <v>1219</v>
      </c>
      <c r="T77" s="99" t="s">
        <v>366</v>
      </c>
      <c r="U77" s="99" t="s">
        <v>530</v>
      </c>
      <c r="V77" s="99" t="s">
        <v>551</v>
      </c>
      <c r="W77" s="99" t="s">
        <v>325</v>
      </c>
      <c r="X77" s="99" t="s">
        <v>352</v>
      </c>
      <c r="Y77" s="99" t="s">
        <v>316</v>
      </c>
      <c r="Z77" s="99" t="s">
        <v>316</v>
      </c>
      <c r="AA77" s="99" t="s">
        <v>424</v>
      </c>
      <c r="AB77" s="99" t="s">
        <v>336</v>
      </c>
      <c r="AC77" s="99" t="s">
        <v>307</v>
      </c>
      <c r="AD77" s="99" t="s">
        <v>474</v>
      </c>
      <c r="AE77" s="99" t="s">
        <v>535</v>
      </c>
      <c r="AF77" s="99" t="s">
        <v>1107</v>
      </c>
      <c r="AG77" s="99" t="s">
        <v>306</v>
      </c>
      <c r="AH77" s="99" t="s">
        <v>302</v>
      </c>
      <c r="AI77" s="99" t="s">
        <v>302</v>
      </c>
      <c r="AJ77" s="99" t="s">
        <v>303</v>
      </c>
      <c r="AK77" s="99" t="s">
        <v>302</v>
      </c>
      <c r="AL77" s="99" t="s">
        <v>303</v>
      </c>
      <c r="AM77" s="99" t="s">
        <v>302</v>
      </c>
      <c r="AN77" s="99" t="s">
        <v>303</v>
      </c>
      <c r="AO77" s="99" t="s">
        <v>303</v>
      </c>
      <c r="AP77" s="99" t="s">
        <v>303</v>
      </c>
      <c r="AQ77" s="99" t="s">
        <v>303</v>
      </c>
      <c r="AR77" s="99" t="s">
        <v>301</v>
      </c>
      <c r="AS77" s="99" t="s">
        <v>300</v>
      </c>
      <c r="AT77" s="99" t="s">
        <v>355</v>
      </c>
      <c r="AU77" s="99" t="s">
        <v>342</v>
      </c>
      <c r="AV77" s="99" t="s">
        <v>364</v>
      </c>
      <c r="AW77" s="99" t="s">
        <v>324</v>
      </c>
      <c r="AX77" s="99" t="s">
        <v>341</v>
      </c>
      <c r="AY77" s="99" t="s">
        <v>441</v>
      </c>
    </row>
    <row r="78" spans="1:51" ht="100.8" x14ac:dyDescent="0.3">
      <c r="A78" s="98">
        <v>42127.463078703702</v>
      </c>
      <c r="B78" s="99" t="s">
        <v>1049</v>
      </c>
      <c r="C78" s="99" t="s">
        <v>799</v>
      </c>
      <c r="D78" s="99" t="s">
        <v>331</v>
      </c>
      <c r="E78" s="99" t="s">
        <v>3</v>
      </c>
      <c r="F78" s="99" t="s">
        <v>317</v>
      </c>
      <c r="G78" s="99" t="s">
        <v>407</v>
      </c>
      <c r="H78" s="99" t="s">
        <v>5</v>
      </c>
      <c r="I78" s="99" t="s">
        <v>309</v>
      </c>
      <c r="J78" s="99" t="s">
        <v>970</v>
      </c>
      <c r="K78" s="99"/>
      <c r="L78" s="99" t="s">
        <v>411</v>
      </c>
      <c r="M78" s="99" t="s">
        <v>363</v>
      </c>
      <c r="N78" s="99" t="s">
        <v>327</v>
      </c>
      <c r="O78" s="99" t="s">
        <v>313</v>
      </c>
      <c r="P78" s="99" t="s">
        <v>4</v>
      </c>
      <c r="Q78" s="99" t="s">
        <v>566</v>
      </c>
      <c r="R78" s="99" t="s">
        <v>327</v>
      </c>
      <c r="S78" s="99" t="s">
        <v>881</v>
      </c>
      <c r="T78" s="99" t="s">
        <v>366</v>
      </c>
      <c r="U78" s="99" t="s">
        <v>311</v>
      </c>
      <c r="V78" s="99" t="s">
        <v>659</v>
      </c>
      <c r="W78" s="99" t="s">
        <v>325</v>
      </c>
      <c r="X78" s="99" t="s">
        <v>346</v>
      </c>
      <c r="Y78" s="99" t="s">
        <v>316</v>
      </c>
      <c r="Z78" s="99" t="s">
        <v>316</v>
      </c>
      <c r="AA78" s="99" t="s">
        <v>653</v>
      </c>
      <c r="AB78" s="99" t="s">
        <v>336</v>
      </c>
      <c r="AC78" s="99" t="s">
        <v>307</v>
      </c>
      <c r="AD78" s="99" t="s">
        <v>467</v>
      </c>
      <c r="AE78" s="99" t="s">
        <v>532</v>
      </c>
      <c r="AF78" s="99" t="s">
        <v>1074</v>
      </c>
      <c r="AG78" s="99" t="s">
        <v>304</v>
      </c>
      <c r="AH78" s="99" t="s">
        <v>304</v>
      </c>
      <c r="AI78" s="99" t="s">
        <v>304</v>
      </c>
      <c r="AJ78" s="99" t="s">
        <v>304</v>
      </c>
      <c r="AK78" s="99" t="s">
        <v>305</v>
      </c>
      <c r="AL78" s="99" t="s">
        <v>304</v>
      </c>
      <c r="AM78" s="99" t="s">
        <v>302</v>
      </c>
      <c r="AN78" s="99" t="s">
        <v>303</v>
      </c>
      <c r="AO78" s="99" t="s">
        <v>295</v>
      </c>
      <c r="AP78" s="99" t="s">
        <v>303</v>
      </c>
      <c r="AQ78" s="99" t="s">
        <v>304</v>
      </c>
      <c r="AR78" s="99" t="s">
        <v>391</v>
      </c>
      <c r="AS78" s="99" t="s">
        <v>300</v>
      </c>
      <c r="AT78" s="99" t="s">
        <v>360</v>
      </c>
      <c r="AU78" s="99" t="s">
        <v>320</v>
      </c>
      <c r="AV78" s="99" t="s">
        <v>364</v>
      </c>
      <c r="AW78" s="99" t="s">
        <v>307</v>
      </c>
      <c r="AX78" s="99" t="s">
        <v>549</v>
      </c>
      <c r="AY78" s="99" t="s">
        <v>482</v>
      </c>
    </row>
    <row r="79" spans="1:51" ht="100.8" x14ac:dyDescent="0.3">
      <c r="A79" s="98">
        <v>42127.463101851848</v>
      </c>
      <c r="B79" s="99" t="s">
        <v>1049</v>
      </c>
      <c r="C79" s="99" t="s">
        <v>799</v>
      </c>
      <c r="D79" s="99" t="s">
        <v>529</v>
      </c>
      <c r="E79" s="99" t="s">
        <v>330</v>
      </c>
      <c r="F79" s="99" t="s">
        <v>372</v>
      </c>
      <c r="G79" s="99" t="s">
        <v>407</v>
      </c>
      <c r="H79" s="99" t="s">
        <v>5</v>
      </c>
      <c r="I79" s="99" t="s">
        <v>309</v>
      </c>
      <c r="J79" s="99" t="s">
        <v>1303</v>
      </c>
      <c r="K79" s="99" t="s">
        <v>328</v>
      </c>
      <c r="L79" s="99" t="s">
        <v>979</v>
      </c>
      <c r="M79" s="99" t="s">
        <v>353</v>
      </c>
      <c r="N79" s="99" t="s">
        <v>4</v>
      </c>
      <c r="O79" s="99" t="s">
        <v>4</v>
      </c>
      <c r="P79" s="99" t="s">
        <v>4</v>
      </c>
      <c r="Q79" s="99" t="s">
        <v>791</v>
      </c>
      <c r="R79" s="99" t="s">
        <v>327</v>
      </c>
      <c r="S79" s="99" t="s">
        <v>907</v>
      </c>
      <c r="T79" s="99" t="s">
        <v>366</v>
      </c>
      <c r="U79" s="99" t="s">
        <v>311</v>
      </c>
      <c r="V79" s="99" t="s">
        <v>382</v>
      </c>
      <c r="W79" s="99" t="s">
        <v>1278</v>
      </c>
      <c r="X79" s="99" t="s">
        <v>310</v>
      </c>
      <c r="Y79" s="99" t="s">
        <v>316</v>
      </c>
      <c r="Z79" s="99" t="s">
        <v>316</v>
      </c>
      <c r="AA79" s="99" t="s">
        <v>1331</v>
      </c>
      <c r="AB79" s="99" t="s">
        <v>336</v>
      </c>
      <c r="AC79" s="99" t="s">
        <v>324</v>
      </c>
      <c r="AD79" s="99" t="s">
        <v>401</v>
      </c>
      <c r="AE79" s="99" t="s">
        <v>533</v>
      </c>
      <c r="AF79" s="99" t="s">
        <v>1332</v>
      </c>
      <c r="AG79" s="99" t="s">
        <v>323</v>
      </c>
      <c r="AH79" s="99" t="s">
        <v>303</v>
      </c>
      <c r="AI79" s="99" t="s">
        <v>303</v>
      </c>
      <c r="AJ79" s="99" t="s">
        <v>303</v>
      </c>
      <c r="AK79" s="99" t="s">
        <v>303</v>
      </c>
      <c r="AL79" s="99" t="s">
        <v>303</v>
      </c>
      <c r="AM79" s="99" t="s">
        <v>303</v>
      </c>
      <c r="AN79" s="99" t="s">
        <v>303</v>
      </c>
      <c r="AO79" s="99" t="s">
        <v>304</v>
      </c>
      <c r="AP79" s="99" t="s">
        <v>304</v>
      </c>
      <c r="AQ79" s="99" t="s">
        <v>303</v>
      </c>
      <c r="AR79" s="99" t="s">
        <v>322</v>
      </c>
      <c r="AS79" s="99" t="s">
        <v>350</v>
      </c>
      <c r="AT79" s="99" t="s">
        <v>321</v>
      </c>
      <c r="AU79" s="99" t="s">
        <v>320</v>
      </c>
      <c r="AV79" s="99" t="s">
        <v>364</v>
      </c>
      <c r="AW79" s="99" t="s">
        <v>307</v>
      </c>
      <c r="AX79" s="99" t="s">
        <v>534</v>
      </c>
      <c r="AY79" s="99" t="s">
        <v>436</v>
      </c>
    </row>
    <row r="80" spans="1:51" ht="86.4" x14ac:dyDescent="0.3">
      <c r="A80" s="98">
        <v>42127.463310185187</v>
      </c>
      <c r="B80" s="99" t="s">
        <v>1049</v>
      </c>
      <c r="C80" s="99" t="s">
        <v>799</v>
      </c>
      <c r="D80" s="99" t="s">
        <v>331</v>
      </c>
      <c r="E80" s="99" t="s">
        <v>330</v>
      </c>
      <c r="F80" s="99" t="s">
        <v>317</v>
      </c>
      <c r="G80" s="99" t="s">
        <v>423</v>
      </c>
      <c r="H80" s="99" t="s">
        <v>5</v>
      </c>
      <c r="I80" s="99" t="s">
        <v>494</v>
      </c>
      <c r="J80" s="99" t="s">
        <v>1222</v>
      </c>
      <c r="K80" s="99" t="s">
        <v>315</v>
      </c>
      <c r="L80" s="99" t="s">
        <v>450</v>
      </c>
      <c r="M80" s="99" t="s">
        <v>314</v>
      </c>
      <c r="N80" s="99" t="s">
        <v>313</v>
      </c>
      <c r="O80" s="99" t="s">
        <v>313</v>
      </c>
      <c r="P80" s="99" t="s">
        <v>4</v>
      </c>
      <c r="Q80" s="99" t="s">
        <v>1333</v>
      </c>
      <c r="R80" s="99" t="s">
        <v>327</v>
      </c>
      <c r="S80" s="99" t="s">
        <v>1334</v>
      </c>
      <c r="T80" s="99" t="s">
        <v>326</v>
      </c>
      <c r="U80" s="99" t="s">
        <v>347</v>
      </c>
      <c r="V80" s="99" t="s">
        <v>362</v>
      </c>
      <c r="W80" s="99" t="s">
        <v>370</v>
      </c>
      <c r="X80" s="99" t="s">
        <v>310</v>
      </c>
      <c r="Y80" s="99" t="s">
        <v>316</v>
      </c>
      <c r="Z80" s="99" t="s">
        <v>316</v>
      </c>
      <c r="AA80" s="99" t="s">
        <v>627</v>
      </c>
      <c r="AB80" s="99" t="s">
        <v>308</v>
      </c>
      <c r="AC80" s="99" t="s">
        <v>324</v>
      </c>
      <c r="AD80" s="99" t="s">
        <v>357</v>
      </c>
      <c r="AE80" s="99" t="s">
        <v>542</v>
      </c>
      <c r="AF80" s="99" t="s">
        <v>1335</v>
      </c>
      <c r="AG80" s="99" t="s">
        <v>400</v>
      </c>
      <c r="AH80" s="99" t="s">
        <v>304</v>
      </c>
      <c r="AI80" s="99" t="s">
        <v>305</v>
      </c>
      <c r="AJ80" s="99" t="s">
        <v>304</v>
      </c>
      <c r="AK80" s="99" t="s">
        <v>305</v>
      </c>
      <c r="AL80" s="99" t="s">
        <v>304</v>
      </c>
      <c r="AM80" s="99" t="s">
        <v>295</v>
      </c>
      <c r="AN80" s="99" t="s">
        <v>304</v>
      </c>
      <c r="AO80" s="99" t="s">
        <v>304</v>
      </c>
      <c r="AP80" s="99"/>
      <c r="AQ80" s="99" t="s">
        <v>295</v>
      </c>
      <c r="AR80" s="99" t="s">
        <v>322</v>
      </c>
      <c r="AS80" s="99" t="s">
        <v>350</v>
      </c>
      <c r="AT80" s="99" t="s">
        <v>321</v>
      </c>
      <c r="AU80" s="99" t="s">
        <v>320</v>
      </c>
      <c r="AV80" s="99" t="s">
        <v>536</v>
      </c>
      <c r="AW80" s="99" t="s">
        <v>296</v>
      </c>
      <c r="AX80" s="99" t="s">
        <v>534</v>
      </c>
      <c r="AY80" s="99" t="s">
        <v>441</v>
      </c>
    </row>
    <row r="81" spans="1:51" ht="129.6" x14ac:dyDescent="0.3">
      <c r="A81" s="98">
        <v>42127.465428240743</v>
      </c>
      <c r="B81" s="99" t="s">
        <v>1049</v>
      </c>
      <c r="C81" s="99" t="s">
        <v>799</v>
      </c>
      <c r="D81" s="99" t="s">
        <v>560</v>
      </c>
      <c r="E81" s="99" t="s">
        <v>330</v>
      </c>
      <c r="F81" s="99" t="s">
        <v>372</v>
      </c>
      <c r="G81" s="99" t="s">
        <v>446</v>
      </c>
      <c r="H81" s="99" t="s">
        <v>5</v>
      </c>
      <c r="I81" s="99" t="s">
        <v>309</v>
      </c>
      <c r="J81" s="99" t="s">
        <v>1336</v>
      </c>
      <c r="K81" s="99" t="s">
        <v>315</v>
      </c>
      <c r="L81" s="99" t="s">
        <v>450</v>
      </c>
      <c r="M81" s="99" t="s">
        <v>353</v>
      </c>
      <c r="N81" s="99" t="s">
        <v>327</v>
      </c>
      <c r="O81" s="99" t="s">
        <v>4</v>
      </c>
      <c r="P81" s="99" t="s">
        <v>327</v>
      </c>
      <c r="Q81" s="99" t="s">
        <v>690</v>
      </c>
      <c r="R81" s="99" t="s">
        <v>327</v>
      </c>
      <c r="S81" s="99" t="s">
        <v>1337</v>
      </c>
      <c r="T81" s="99" t="s">
        <v>366</v>
      </c>
      <c r="U81" s="99" t="s">
        <v>373</v>
      </c>
      <c r="V81" s="99" t="s">
        <v>828</v>
      </c>
      <c r="W81" s="99" t="s">
        <v>338</v>
      </c>
      <c r="X81" s="99" t="s">
        <v>310</v>
      </c>
      <c r="Y81" s="99" t="s">
        <v>316</v>
      </c>
      <c r="Z81" s="99" t="s">
        <v>316</v>
      </c>
      <c r="AA81" s="99" t="s">
        <v>490</v>
      </c>
      <c r="AB81" s="99" t="s">
        <v>336</v>
      </c>
      <c r="AC81" s="99" t="s">
        <v>307</v>
      </c>
      <c r="AD81" s="99" t="s">
        <v>1338</v>
      </c>
      <c r="AE81" s="99" t="s">
        <v>532</v>
      </c>
      <c r="AF81" s="99" t="s">
        <v>1259</v>
      </c>
      <c r="AG81" s="99" t="s">
        <v>323</v>
      </c>
      <c r="AH81" s="99" t="s">
        <v>303</v>
      </c>
      <c r="AI81" s="99" t="s">
        <v>303</v>
      </c>
      <c r="AJ81" s="99" t="s">
        <v>303</v>
      </c>
      <c r="AK81" s="99" t="s">
        <v>303</v>
      </c>
      <c r="AL81" s="99" t="s">
        <v>303</v>
      </c>
      <c r="AM81" s="99" t="s">
        <v>303</v>
      </c>
      <c r="AN81" s="99" t="s">
        <v>303</v>
      </c>
      <c r="AO81" s="99" t="s">
        <v>303</v>
      </c>
      <c r="AP81" s="99" t="s">
        <v>303</v>
      </c>
      <c r="AQ81" s="99" t="s">
        <v>303</v>
      </c>
      <c r="AR81" s="99" t="s">
        <v>322</v>
      </c>
      <c r="AS81" s="99" t="s">
        <v>489</v>
      </c>
      <c r="AT81" s="99" t="s">
        <v>321</v>
      </c>
      <c r="AU81" s="99" t="s">
        <v>320</v>
      </c>
      <c r="AV81" s="99" t="s">
        <v>536</v>
      </c>
      <c r="AW81" s="99" t="s">
        <v>307</v>
      </c>
      <c r="AX81" s="99" t="s">
        <v>534</v>
      </c>
      <c r="AY81" s="99" t="s">
        <v>418</v>
      </c>
    </row>
    <row r="82" spans="1:51" ht="129.6" x14ac:dyDescent="0.3">
      <c r="A82" s="98">
        <v>42127.473298611112</v>
      </c>
      <c r="B82" s="99" t="s">
        <v>1049</v>
      </c>
      <c r="C82" s="99" t="s">
        <v>580</v>
      </c>
      <c r="D82" s="99" t="s">
        <v>529</v>
      </c>
      <c r="E82" s="99" t="s">
        <v>3</v>
      </c>
      <c r="F82" s="99" t="s">
        <v>317</v>
      </c>
      <c r="G82" s="99" t="s">
        <v>407</v>
      </c>
      <c r="H82" s="99" t="s">
        <v>390</v>
      </c>
      <c r="I82" s="99" t="s">
        <v>309</v>
      </c>
      <c r="J82" s="99" t="s">
        <v>1339</v>
      </c>
      <c r="K82" s="99" t="s">
        <v>354</v>
      </c>
      <c r="L82" s="99" t="s">
        <v>450</v>
      </c>
      <c r="M82" s="99" t="s">
        <v>377</v>
      </c>
      <c r="N82" s="99" t="s">
        <v>4</v>
      </c>
      <c r="O82" s="99" t="s">
        <v>313</v>
      </c>
      <c r="P82" s="99" t="s">
        <v>4</v>
      </c>
      <c r="Q82" s="99" t="s">
        <v>405</v>
      </c>
      <c r="R82" s="99" t="s">
        <v>327</v>
      </c>
      <c r="S82" s="99" t="s">
        <v>1340</v>
      </c>
      <c r="T82" s="99" t="s">
        <v>312</v>
      </c>
      <c r="U82" s="99" t="s">
        <v>530</v>
      </c>
      <c r="V82" s="99" t="s">
        <v>909</v>
      </c>
      <c r="W82" s="99" t="s">
        <v>325</v>
      </c>
      <c r="X82" s="99" t="s">
        <v>352</v>
      </c>
      <c r="Y82" s="99" t="s">
        <v>316</v>
      </c>
      <c r="Z82" s="99" t="s">
        <v>316</v>
      </c>
      <c r="AA82" s="99" t="s">
        <v>432</v>
      </c>
      <c r="AB82" s="99" t="s">
        <v>389</v>
      </c>
      <c r="AC82" s="99" t="s">
        <v>324</v>
      </c>
      <c r="AD82" s="99" t="s">
        <v>462</v>
      </c>
      <c r="AE82" s="99" t="s">
        <v>535</v>
      </c>
      <c r="AF82" s="99" t="s">
        <v>620</v>
      </c>
      <c r="AG82" s="99" t="s">
        <v>323</v>
      </c>
      <c r="AH82" s="99" t="s">
        <v>303</v>
      </c>
      <c r="AI82" s="99" t="s">
        <v>303</v>
      </c>
      <c r="AJ82" s="99" t="s">
        <v>303</v>
      </c>
      <c r="AK82" s="99" t="s">
        <v>305</v>
      </c>
      <c r="AL82" s="99" t="s">
        <v>304</v>
      </c>
      <c r="AM82" s="99" t="s">
        <v>303</v>
      </c>
      <c r="AN82" s="99" t="s">
        <v>303</v>
      </c>
      <c r="AO82" s="99" t="s">
        <v>304</v>
      </c>
      <c r="AP82" s="99" t="s">
        <v>304</v>
      </c>
      <c r="AQ82" s="99" t="s">
        <v>302</v>
      </c>
      <c r="AR82" s="99" t="s">
        <v>322</v>
      </c>
      <c r="AS82" s="99" t="s">
        <v>300</v>
      </c>
      <c r="AT82" s="99" t="s">
        <v>360</v>
      </c>
      <c r="AU82" s="99" t="s">
        <v>320</v>
      </c>
      <c r="AV82" s="99" t="s">
        <v>536</v>
      </c>
      <c r="AW82" s="99" t="s">
        <v>307</v>
      </c>
      <c r="AX82" s="99" t="s">
        <v>341</v>
      </c>
      <c r="AY82" s="99" t="s">
        <v>418</v>
      </c>
    </row>
    <row r="83" spans="1:51" ht="144" x14ac:dyDescent="0.3">
      <c r="A83" s="98">
        <v>42127.474999999999</v>
      </c>
      <c r="B83" s="99" t="s">
        <v>1049</v>
      </c>
      <c r="C83" s="99" t="s">
        <v>580</v>
      </c>
      <c r="D83" s="99" t="s">
        <v>331</v>
      </c>
      <c r="E83" s="99" t="s">
        <v>330</v>
      </c>
      <c r="F83" s="99" t="s">
        <v>317</v>
      </c>
      <c r="G83" s="99" t="s">
        <v>487</v>
      </c>
      <c r="H83" s="99" t="s">
        <v>5</v>
      </c>
      <c r="I83" s="99" t="s">
        <v>309</v>
      </c>
      <c r="J83" s="99" t="s">
        <v>1341</v>
      </c>
      <c r="K83" s="99" t="s">
        <v>354</v>
      </c>
      <c r="L83" s="99" t="s">
        <v>1342</v>
      </c>
      <c r="M83" s="99"/>
      <c r="N83" s="99"/>
      <c r="O83" s="99" t="s">
        <v>4</v>
      </c>
      <c r="P83" s="99" t="s">
        <v>4</v>
      </c>
      <c r="Q83" s="99" t="s">
        <v>409</v>
      </c>
      <c r="R83" s="99" t="s">
        <v>327</v>
      </c>
      <c r="S83" s="99" t="s">
        <v>952</v>
      </c>
      <c r="T83" s="99" t="s">
        <v>326</v>
      </c>
      <c r="U83" s="99" t="s">
        <v>530</v>
      </c>
      <c r="V83" s="99" t="s">
        <v>453</v>
      </c>
      <c r="W83" s="99" t="s">
        <v>1192</v>
      </c>
      <c r="X83" s="99" t="s">
        <v>352</v>
      </c>
      <c r="Y83" s="99" t="s">
        <v>316</v>
      </c>
      <c r="Z83" s="99" t="s">
        <v>316</v>
      </c>
      <c r="AA83" s="99" t="s">
        <v>574</v>
      </c>
      <c r="AB83" s="99" t="s">
        <v>358</v>
      </c>
      <c r="AC83" s="99" t="s">
        <v>351</v>
      </c>
      <c r="AD83" s="99" t="s">
        <v>448</v>
      </c>
      <c r="AE83" s="99" t="s">
        <v>532</v>
      </c>
      <c r="AF83" s="99" t="s">
        <v>902</v>
      </c>
      <c r="AG83" s="99" t="s">
        <v>304</v>
      </c>
      <c r="AH83" s="99" t="s">
        <v>304</v>
      </c>
      <c r="AI83" s="99" t="s">
        <v>304</v>
      </c>
      <c r="AJ83" s="99" t="s">
        <v>303</v>
      </c>
      <c r="AK83" s="99" t="s">
        <v>303</v>
      </c>
      <c r="AL83" s="99" t="s">
        <v>303</v>
      </c>
      <c r="AM83" s="99" t="s">
        <v>302</v>
      </c>
      <c r="AN83" s="99" t="s">
        <v>303</v>
      </c>
      <c r="AO83" s="99" t="s">
        <v>303</v>
      </c>
      <c r="AP83" s="99" t="s">
        <v>303</v>
      </c>
      <c r="AQ83" s="99" t="s">
        <v>304</v>
      </c>
      <c r="AR83" s="99" t="s">
        <v>378</v>
      </c>
      <c r="AS83" s="99" t="s">
        <v>350</v>
      </c>
      <c r="AT83" s="99" t="s">
        <v>355</v>
      </c>
      <c r="AU83" s="99" t="s">
        <v>342</v>
      </c>
      <c r="AV83" s="99" t="s">
        <v>547</v>
      </c>
      <c r="AW83" s="99" t="s">
        <v>307</v>
      </c>
      <c r="AX83" s="99" t="s">
        <v>341</v>
      </c>
      <c r="AY83" s="99" t="s">
        <v>385</v>
      </c>
    </row>
    <row r="84" spans="1:51" ht="129.6" x14ac:dyDescent="0.3">
      <c r="A84" s="98">
        <v>42127.475173611114</v>
      </c>
      <c r="B84" s="99" t="s">
        <v>1049</v>
      </c>
      <c r="C84" s="99" t="s">
        <v>580</v>
      </c>
      <c r="D84" s="99" t="s">
        <v>560</v>
      </c>
      <c r="E84" s="99" t="s">
        <v>3</v>
      </c>
      <c r="F84" s="99" t="s">
        <v>317</v>
      </c>
      <c r="G84" s="99" t="s">
        <v>407</v>
      </c>
      <c r="H84" s="99" t="s">
        <v>5</v>
      </c>
      <c r="I84" s="99" t="s">
        <v>309</v>
      </c>
      <c r="J84" s="99" t="s">
        <v>1343</v>
      </c>
      <c r="K84" s="99" t="s">
        <v>354</v>
      </c>
      <c r="L84" s="99" t="s">
        <v>439</v>
      </c>
      <c r="M84" s="99" t="s">
        <v>353</v>
      </c>
      <c r="N84" s="99" t="s">
        <v>327</v>
      </c>
      <c r="O84" s="99" t="s">
        <v>4</v>
      </c>
      <c r="P84" s="99" t="s">
        <v>313</v>
      </c>
      <c r="Q84" s="99" t="s">
        <v>429</v>
      </c>
      <c r="R84" s="99"/>
      <c r="S84" s="99" t="s">
        <v>1292</v>
      </c>
      <c r="T84" s="99" t="s">
        <v>312</v>
      </c>
      <c r="U84" s="99" t="s">
        <v>373</v>
      </c>
      <c r="V84" s="99" t="s">
        <v>556</v>
      </c>
      <c r="W84" s="99" t="s">
        <v>370</v>
      </c>
      <c r="X84" s="99" t="s">
        <v>310</v>
      </c>
      <c r="Y84" s="99" t="s">
        <v>316</v>
      </c>
      <c r="Z84" s="99" t="s">
        <v>316</v>
      </c>
      <c r="AA84" s="99" t="s">
        <v>432</v>
      </c>
      <c r="AB84" s="99" t="s">
        <v>308</v>
      </c>
      <c r="AC84" s="99" t="s">
        <v>324</v>
      </c>
      <c r="AD84" s="99" t="s">
        <v>431</v>
      </c>
      <c r="AE84" s="99" t="s">
        <v>535</v>
      </c>
      <c r="AF84" s="99" t="s">
        <v>1344</v>
      </c>
      <c r="AG84" s="99" t="s">
        <v>304</v>
      </c>
      <c r="AH84" s="99" t="s">
        <v>304</v>
      </c>
      <c r="AI84" s="99" t="s">
        <v>304</v>
      </c>
      <c r="AJ84" s="99" t="s">
        <v>304</v>
      </c>
      <c r="AK84" s="99" t="s">
        <v>305</v>
      </c>
      <c r="AL84" s="99" t="s">
        <v>304</v>
      </c>
      <c r="AM84" s="99" t="s">
        <v>303</v>
      </c>
      <c r="AN84" s="99" t="s">
        <v>304</v>
      </c>
      <c r="AO84" s="99" t="s">
        <v>303</v>
      </c>
      <c r="AP84" s="99" t="s">
        <v>304</v>
      </c>
      <c r="AQ84" s="99" t="s">
        <v>304</v>
      </c>
      <c r="AR84" s="99" t="s">
        <v>322</v>
      </c>
      <c r="AS84" s="99" t="s">
        <v>300</v>
      </c>
      <c r="AT84" s="99" t="s">
        <v>321</v>
      </c>
      <c r="AU84" s="99" t="s">
        <v>320</v>
      </c>
      <c r="AV84" s="99" t="s">
        <v>333</v>
      </c>
      <c r="AW84" s="99" t="s">
        <v>324</v>
      </c>
      <c r="AX84" s="99" t="s">
        <v>341</v>
      </c>
      <c r="AY84" s="99" t="s">
        <v>402</v>
      </c>
    </row>
    <row r="85" spans="1:51" ht="115.2" x14ac:dyDescent="0.3">
      <c r="A85" s="98">
        <v>42127.475428240738</v>
      </c>
      <c r="B85" s="99" t="s">
        <v>1049</v>
      </c>
      <c r="C85" s="99" t="s">
        <v>580</v>
      </c>
      <c r="D85" s="99" t="s">
        <v>529</v>
      </c>
      <c r="E85" s="99" t="s">
        <v>330</v>
      </c>
      <c r="F85" s="99" t="s">
        <v>317</v>
      </c>
      <c r="G85" s="99" t="s">
        <v>407</v>
      </c>
      <c r="H85" s="99" t="s">
        <v>5</v>
      </c>
      <c r="I85" s="99" t="s">
        <v>345</v>
      </c>
      <c r="J85" s="99" t="s">
        <v>1345</v>
      </c>
      <c r="K85" s="99" t="s">
        <v>328</v>
      </c>
      <c r="L85" s="99" t="s">
        <v>411</v>
      </c>
      <c r="M85" s="99" t="s">
        <v>314</v>
      </c>
      <c r="N85" s="99" t="s">
        <v>313</v>
      </c>
      <c r="O85" s="99" t="s">
        <v>327</v>
      </c>
      <c r="P85" s="99" t="s">
        <v>313</v>
      </c>
      <c r="Q85" s="99" t="s">
        <v>411</v>
      </c>
      <c r="R85" s="99" t="s">
        <v>327</v>
      </c>
      <c r="S85" s="99" t="s">
        <v>742</v>
      </c>
      <c r="T85" s="99" t="s">
        <v>312</v>
      </c>
      <c r="U85" s="99" t="s">
        <v>530</v>
      </c>
      <c r="V85" s="99" t="s">
        <v>1346</v>
      </c>
      <c r="W85" s="99" t="s">
        <v>370</v>
      </c>
      <c r="X85" s="99" t="s">
        <v>337</v>
      </c>
      <c r="Y85" s="99" t="s">
        <v>316</v>
      </c>
      <c r="Z85" s="99" t="s">
        <v>316</v>
      </c>
      <c r="AA85" s="99" t="s">
        <v>1306</v>
      </c>
      <c r="AB85" s="99" t="s">
        <v>308</v>
      </c>
      <c r="AC85" s="99" t="s">
        <v>324</v>
      </c>
      <c r="AD85" s="99" t="s">
        <v>467</v>
      </c>
      <c r="AE85" s="99" t="s">
        <v>535</v>
      </c>
      <c r="AF85" s="99" t="s">
        <v>1347</v>
      </c>
      <c r="AG85" s="99" t="s">
        <v>304</v>
      </c>
      <c r="AH85" s="99" t="s">
        <v>304</v>
      </c>
      <c r="AI85" s="99" t="s">
        <v>305</v>
      </c>
      <c r="AJ85" s="99" t="s">
        <v>305</v>
      </c>
      <c r="AK85" s="99" t="s">
        <v>305</v>
      </c>
      <c r="AL85" s="99" t="s">
        <v>304</v>
      </c>
      <c r="AM85" s="99" t="s">
        <v>305</v>
      </c>
      <c r="AN85" s="99" t="s">
        <v>304</v>
      </c>
      <c r="AO85" s="99" t="s">
        <v>303</v>
      </c>
      <c r="AP85" s="99" t="s">
        <v>304</v>
      </c>
      <c r="AQ85" s="99" t="s">
        <v>304</v>
      </c>
      <c r="AR85" s="99" t="s">
        <v>322</v>
      </c>
      <c r="AS85" s="99" t="s">
        <v>300</v>
      </c>
      <c r="AT85" s="99" t="s">
        <v>360</v>
      </c>
      <c r="AU85" s="99" t="s">
        <v>320</v>
      </c>
      <c r="AV85" s="99" t="s">
        <v>333</v>
      </c>
      <c r="AW85" s="99" t="s">
        <v>324</v>
      </c>
      <c r="AX85" s="99" t="s">
        <v>341</v>
      </c>
      <c r="AY85" s="99" t="s">
        <v>356</v>
      </c>
    </row>
    <row r="86" spans="1:51" ht="302.39999999999998" x14ac:dyDescent="0.3">
      <c r="A86" s="98">
        <v>42127.476550925923</v>
      </c>
      <c r="B86" s="99" t="s">
        <v>1049</v>
      </c>
      <c r="C86" s="99" t="s">
        <v>580</v>
      </c>
      <c r="D86" s="99" t="s">
        <v>529</v>
      </c>
      <c r="E86" s="99" t="s">
        <v>3</v>
      </c>
      <c r="F86" s="99" t="s">
        <v>317</v>
      </c>
      <c r="G86" s="99" t="s">
        <v>412</v>
      </c>
      <c r="H86" s="99"/>
      <c r="I86" s="99" t="s">
        <v>309</v>
      </c>
      <c r="J86" s="99" t="s">
        <v>1348</v>
      </c>
      <c r="K86" s="99" t="s">
        <v>354</v>
      </c>
      <c r="L86" s="99" t="s">
        <v>868</v>
      </c>
      <c r="M86" s="99" t="s">
        <v>348</v>
      </c>
      <c r="N86" s="99" t="s">
        <v>313</v>
      </c>
      <c r="O86" s="99" t="s">
        <v>4</v>
      </c>
      <c r="P86" s="99" t="s">
        <v>327</v>
      </c>
      <c r="Q86" s="99" t="s">
        <v>943</v>
      </c>
      <c r="R86" s="99" t="s">
        <v>327</v>
      </c>
      <c r="S86" s="99" t="s">
        <v>1187</v>
      </c>
      <c r="T86" s="99" t="s">
        <v>312</v>
      </c>
      <c r="U86" s="99" t="s">
        <v>347</v>
      </c>
      <c r="V86" s="99" t="s">
        <v>1349</v>
      </c>
      <c r="W86" s="99" t="s">
        <v>419</v>
      </c>
      <c r="X86" s="99" t="s">
        <v>310</v>
      </c>
      <c r="Y86" s="99" t="s">
        <v>345</v>
      </c>
      <c r="Z86" s="99" t="s">
        <v>345</v>
      </c>
      <c r="AA86" s="99" t="s">
        <v>1350</v>
      </c>
      <c r="AB86" s="99" t="s">
        <v>376</v>
      </c>
      <c r="AC86" s="99" t="s">
        <v>307</v>
      </c>
      <c r="AD86" s="99" t="s">
        <v>467</v>
      </c>
      <c r="AE86" s="99" t="s">
        <v>545</v>
      </c>
      <c r="AF86" s="99" t="s">
        <v>953</v>
      </c>
      <c r="AG86" s="99" t="s">
        <v>323</v>
      </c>
      <c r="AH86" s="99" t="s">
        <v>303</v>
      </c>
      <c r="AI86" s="99" t="s">
        <v>303</v>
      </c>
      <c r="AJ86" s="99" t="s">
        <v>303</v>
      </c>
      <c r="AK86" s="99" t="s">
        <v>305</v>
      </c>
      <c r="AL86" s="99" t="s">
        <v>304</v>
      </c>
      <c r="AM86" s="99" t="s">
        <v>302</v>
      </c>
      <c r="AN86" s="99" t="s">
        <v>302</v>
      </c>
      <c r="AO86" s="99" t="s">
        <v>303</v>
      </c>
      <c r="AP86" s="99" t="s">
        <v>303</v>
      </c>
      <c r="AQ86" s="99" t="s">
        <v>304</v>
      </c>
      <c r="AR86" s="99" t="s">
        <v>365</v>
      </c>
      <c r="AS86" s="99" t="s">
        <v>300</v>
      </c>
      <c r="AT86" s="99" t="s">
        <v>334</v>
      </c>
      <c r="AU86" s="99" t="s">
        <v>342</v>
      </c>
      <c r="AV86" s="99" t="s">
        <v>536</v>
      </c>
      <c r="AW86" s="99" t="s">
        <v>296</v>
      </c>
      <c r="AX86" s="99" t="s">
        <v>534</v>
      </c>
      <c r="AY86" s="99" t="s">
        <v>819</v>
      </c>
    </row>
    <row r="87" spans="1:51" ht="100.8" x14ac:dyDescent="0.3">
      <c r="A87" s="98">
        <v>42127.476701388892</v>
      </c>
      <c r="B87" s="99" t="s">
        <v>1049</v>
      </c>
      <c r="C87" s="99" t="s">
        <v>580</v>
      </c>
      <c r="D87" s="99" t="s">
        <v>560</v>
      </c>
      <c r="E87" s="99" t="s">
        <v>3</v>
      </c>
      <c r="F87" s="99" t="s">
        <v>317</v>
      </c>
      <c r="G87" s="99" t="s">
        <v>493</v>
      </c>
      <c r="H87" s="99" t="s">
        <v>349</v>
      </c>
      <c r="I87" s="99" t="s">
        <v>309</v>
      </c>
      <c r="J87" s="99" t="s">
        <v>1351</v>
      </c>
      <c r="K87" s="99" t="s">
        <v>315</v>
      </c>
      <c r="L87" s="99" t="s">
        <v>1352</v>
      </c>
      <c r="M87" s="99" t="s">
        <v>353</v>
      </c>
      <c r="N87" s="99" t="s">
        <v>313</v>
      </c>
      <c r="O87" s="99" t="s">
        <v>313</v>
      </c>
      <c r="P87" s="99" t="s">
        <v>4</v>
      </c>
      <c r="Q87" s="99" t="s">
        <v>709</v>
      </c>
      <c r="R87" s="99" t="s">
        <v>4</v>
      </c>
      <c r="S87" s="99" t="s">
        <v>592</v>
      </c>
      <c r="T87" s="99" t="s">
        <v>380</v>
      </c>
      <c r="U87" s="99" t="s">
        <v>347</v>
      </c>
      <c r="V87" s="99" t="s">
        <v>386</v>
      </c>
      <c r="W87" s="99" t="s">
        <v>325</v>
      </c>
      <c r="X87" s="99" t="s">
        <v>337</v>
      </c>
      <c r="Y87" s="99" t="s">
        <v>316</v>
      </c>
      <c r="Z87" s="99" t="s">
        <v>316</v>
      </c>
      <c r="AA87" s="99" t="s">
        <v>395</v>
      </c>
      <c r="AB87" s="99" t="s">
        <v>389</v>
      </c>
      <c r="AC87" s="99" t="s">
        <v>351</v>
      </c>
      <c r="AD87" s="99" t="s">
        <v>361</v>
      </c>
      <c r="AE87" s="99" t="s">
        <v>532</v>
      </c>
      <c r="AF87" s="99" t="s">
        <v>825</v>
      </c>
      <c r="AG87" s="99" t="s">
        <v>323</v>
      </c>
      <c r="AH87" s="99" t="s">
        <v>302</v>
      </c>
      <c r="AI87" s="99" t="s">
        <v>302</v>
      </c>
      <c r="AJ87" s="99" t="s">
        <v>303</v>
      </c>
      <c r="AK87" s="99" t="s">
        <v>303</v>
      </c>
      <c r="AL87" s="99" t="s">
        <v>303</v>
      </c>
      <c r="AM87" s="99" t="s">
        <v>303</v>
      </c>
      <c r="AN87" s="99" t="s">
        <v>303</v>
      </c>
      <c r="AO87" s="99" t="s">
        <v>302</v>
      </c>
      <c r="AP87" s="99" t="s">
        <v>303</v>
      </c>
      <c r="AQ87" s="99" t="s">
        <v>303</v>
      </c>
      <c r="AR87" s="99" t="s">
        <v>301</v>
      </c>
      <c r="AS87" s="99" t="s">
        <v>350</v>
      </c>
      <c r="AT87" s="99" t="s">
        <v>355</v>
      </c>
      <c r="AU87" s="99" t="s">
        <v>320</v>
      </c>
      <c r="AV87" s="99" t="s">
        <v>392</v>
      </c>
      <c r="AW87" s="99" t="s">
        <v>324</v>
      </c>
      <c r="AX87" s="99" t="s">
        <v>534</v>
      </c>
      <c r="AY87" s="99" t="s">
        <v>356</v>
      </c>
    </row>
    <row r="88" spans="1:51" ht="187.2" x14ac:dyDescent="0.3">
      <c r="A88" s="98">
        <v>42127.477337962962</v>
      </c>
      <c r="B88" s="99" t="s">
        <v>1049</v>
      </c>
      <c r="C88" s="99" t="s">
        <v>580</v>
      </c>
      <c r="D88" s="99" t="s">
        <v>529</v>
      </c>
      <c r="E88" s="99" t="s">
        <v>3</v>
      </c>
      <c r="F88" s="99" t="s">
        <v>372</v>
      </c>
      <c r="G88" s="99" t="s">
        <v>340</v>
      </c>
      <c r="H88" s="99" t="s">
        <v>5</v>
      </c>
      <c r="I88" s="99" t="s">
        <v>494</v>
      </c>
      <c r="J88" s="99" t="s">
        <v>329</v>
      </c>
      <c r="K88" s="99" t="s">
        <v>328</v>
      </c>
      <c r="L88" s="99" t="s">
        <v>1223</v>
      </c>
      <c r="M88" s="99" t="s">
        <v>377</v>
      </c>
      <c r="N88" s="99" t="s">
        <v>313</v>
      </c>
      <c r="O88" s="99" t="s">
        <v>374</v>
      </c>
      <c r="P88" s="99" t="s">
        <v>374</v>
      </c>
      <c r="Q88" s="99" t="s">
        <v>450</v>
      </c>
      <c r="R88" s="99" t="s">
        <v>327</v>
      </c>
      <c r="S88" s="99" t="s">
        <v>500</v>
      </c>
      <c r="T88" s="99" t="s">
        <v>326</v>
      </c>
      <c r="U88" s="99" t="s">
        <v>311</v>
      </c>
      <c r="V88" s="99" t="s">
        <v>362</v>
      </c>
      <c r="W88" s="99" t="s">
        <v>338</v>
      </c>
      <c r="X88" s="99" t="s">
        <v>346</v>
      </c>
      <c r="Y88" s="99" t="s">
        <v>316</v>
      </c>
      <c r="Z88" s="99" t="s">
        <v>316</v>
      </c>
      <c r="AA88" s="99" t="s">
        <v>678</v>
      </c>
      <c r="AB88" s="99" t="s">
        <v>358</v>
      </c>
      <c r="AC88" s="99" t="s">
        <v>324</v>
      </c>
      <c r="AD88" s="99" t="s">
        <v>388</v>
      </c>
      <c r="AE88" s="99" t="s">
        <v>532</v>
      </c>
      <c r="AF88" s="99" t="s">
        <v>1353</v>
      </c>
      <c r="AG88" s="99" t="s">
        <v>323</v>
      </c>
      <c r="AH88" s="99" t="s">
        <v>303</v>
      </c>
      <c r="AI88" s="99" t="s">
        <v>303</v>
      </c>
      <c r="AJ88" s="99" t="s">
        <v>303</v>
      </c>
      <c r="AK88" s="99" t="s">
        <v>303</v>
      </c>
      <c r="AL88" s="99" t="s">
        <v>303</v>
      </c>
      <c r="AM88" s="99" t="s">
        <v>302</v>
      </c>
      <c r="AN88" s="99" t="s">
        <v>303</v>
      </c>
      <c r="AO88" s="99" t="s">
        <v>302</v>
      </c>
      <c r="AP88" s="99"/>
      <c r="AQ88" s="99" t="s">
        <v>303</v>
      </c>
      <c r="AR88" s="99" t="s">
        <v>391</v>
      </c>
      <c r="AS88" s="99" t="s">
        <v>335</v>
      </c>
      <c r="AT88" s="99" t="s">
        <v>360</v>
      </c>
      <c r="AU88" s="99" t="s">
        <v>660</v>
      </c>
      <c r="AV88" s="99" t="s">
        <v>536</v>
      </c>
      <c r="AW88" s="99" t="s">
        <v>324</v>
      </c>
      <c r="AX88" s="99" t="s">
        <v>341</v>
      </c>
      <c r="AY88" s="99" t="s">
        <v>644</v>
      </c>
    </row>
    <row r="89" spans="1:51" ht="129.6" x14ac:dyDescent="0.3">
      <c r="A89" s="98">
        <v>42127.478726851848</v>
      </c>
      <c r="B89" s="99" t="s">
        <v>1049</v>
      </c>
      <c r="C89" s="99" t="s">
        <v>580</v>
      </c>
      <c r="D89" s="99" t="s">
        <v>560</v>
      </c>
      <c r="E89" s="99" t="s">
        <v>330</v>
      </c>
      <c r="F89" s="99" t="s">
        <v>317</v>
      </c>
      <c r="G89" s="99" t="s">
        <v>340</v>
      </c>
      <c r="H89" s="99" t="s">
        <v>5</v>
      </c>
      <c r="I89" s="99" t="s">
        <v>309</v>
      </c>
      <c r="J89" s="99"/>
      <c r="K89" s="99" t="s">
        <v>328</v>
      </c>
      <c r="L89" s="99" t="s">
        <v>439</v>
      </c>
      <c r="M89" s="99" t="s">
        <v>363</v>
      </c>
      <c r="N89" s="99" t="s">
        <v>4</v>
      </c>
      <c r="O89" s="99" t="s">
        <v>313</v>
      </c>
      <c r="P89" s="99" t="s">
        <v>4</v>
      </c>
      <c r="Q89" s="99" t="s">
        <v>439</v>
      </c>
      <c r="R89" s="99" t="s">
        <v>4</v>
      </c>
      <c r="S89" s="99" t="s">
        <v>917</v>
      </c>
      <c r="T89" s="99" t="s">
        <v>380</v>
      </c>
      <c r="U89" s="99" t="s">
        <v>373</v>
      </c>
      <c r="V89" s="99" t="s">
        <v>1066</v>
      </c>
      <c r="W89" s="99" t="s">
        <v>325</v>
      </c>
      <c r="X89" s="99" t="s">
        <v>352</v>
      </c>
      <c r="Y89" s="99" t="s">
        <v>316</v>
      </c>
      <c r="Z89" s="99" t="s">
        <v>316</v>
      </c>
      <c r="AA89" s="99" t="s">
        <v>1297</v>
      </c>
      <c r="AB89" s="99" t="s">
        <v>358</v>
      </c>
      <c r="AC89" s="99" t="s">
        <v>324</v>
      </c>
      <c r="AD89" s="99" t="s">
        <v>477</v>
      </c>
      <c r="AE89" s="99" t="s">
        <v>532</v>
      </c>
      <c r="AF89" s="99" t="s">
        <v>476</v>
      </c>
      <c r="AG89" s="99" t="s">
        <v>306</v>
      </c>
      <c r="AH89" s="99" t="s">
        <v>303</v>
      </c>
      <c r="AI89" s="99" t="s">
        <v>302</v>
      </c>
      <c r="AJ89" s="99" t="s">
        <v>303</v>
      </c>
      <c r="AK89" s="99" t="s">
        <v>303</v>
      </c>
      <c r="AL89" s="99" t="s">
        <v>303</v>
      </c>
      <c r="AM89" s="99" t="s">
        <v>303</v>
      </c>
      <c r="AN89" s="99" t="s">
        <v>303</v>
      </c>
      <c r="AO89" s="99" t="s">
        <v>303</v>
      </c>
      <c r="AP89" s="99" t="s">
        <v>304</v>
      </c>
      <c r="AQ89" s="99" t="s">
        <v>304</v>
      </c>
      <c r="AR89" s="99" t="s">
        <v>558</v>
      </c>
      <c r="AS89" s="99" t="s">
        <v>335</v>
      </c>
      <c r="AT89" s="99" t="s">
        <v>355</v>
      </c>
      <c r="AU89" s="99" t="s">
        <v>660</v>
      </c>
      <c r="AV89" s="99" t="s">
        <v>547</v>
      </c>
      <c r="AW89" s="99" t="s">
        <v>296</v>
      </c>
      <c r="AX89" s="99" t="s">
        <v>534</v>
      </c>
      <c r="AY89" s="99" t="s">
        <v>940</v>
      </c>
    </row>
    <row r="90" spans="1:51" ht="100.8" x14ac:dyDescent="0.3">
      <c r="A90" s="98">
        <v>42127.479861111111</v>
      </c>
      <c r="B90" s="99" t="s">
        <v>1049</v>
      </c>
      <c r="C90" s="99" t="s">
        <v>580</v>
      </c>
      <c r="D90" s="99" t="s">
        <v>529</v>
      </c>
      <c r="E90" s="99" t="s">
        <v>3</v>
      </c>
      <c r="F90" s="99" t="s">
        <v>317</v>
      </c>
      <c r="G90" s="99" t="s">
        <v>407</v>
      </c>
      <c r="H90" s="99" t="s">
        <v>5</v>
      </c>
      <c r="I90" s="99" t="s">
        <v>309</v>
      </c>
      <c r="J90" s="99" t="s">
        <v>1117</v>
      </c>
      <c r="K90" s="99" t="s">
        <v>328</v>
      </c>
      <c r="L90" s="99" t="s">
        <v>702</v>
      </c>
      <c r="M90" s="99" t="s">
        <v>348</v>
      </c>
      <c r="N90" s="99" t="s">
        <v>313</v>
      </c>
      <c r="O90" s="99" t="s">
        <v>327</v>
      </c>
      <c r="P90" s="99" t="s">
        <v>4</v>
      </c>
      <c r="Q90" s="99" t="s">
        <v>584</v>
      </c>
      <c r="R90" s="99" t="s">
        <v>327</v>
      </c>
      <c r="S90" s="99" t="s">
        <v>460</v>
      </c>
      <c r="T90" s="99" t="s">
        <v>326</v>
      </c>
      <c r="U90" s="99" t="s">
        <v>311</v>
      </c>
      <c r="V90" s="99" t="s">
        <v>1056</v>
      </c>
      <c r="W90" s="99" t="s">
        <v>1192</v>
      </c>
      <c r="X90" s="99" t="s">
        <v>346</v>
      </c>
      <c r="Y90" s="99" t="s">
        <v>345</v>
      </c>
      <c r="Z90" s="99" t="s">
        <v>345</v>
      </c>
      <c r="AA90" s="99" t="s">
        <v>968</v>
      </c>
      <c r="AB90" s="99" t="s">
        <v>336</v>
      </c>
      <c r="AC90" s="99" t="s">
        <v>307</v>
      </c>
      <c r="AD90" s="99" t="s">
        <v>1062</v>
      </c>
      <c r="AE90" s="99" t="s">
        <v>532</v>
      </c>
      <c r="AF90" s="99" t="s">
        <v>476</v>
      </c>
      <c r="AG90" s="99" t="s">
        <v>323</v>
      </c>
      <c r="AH90" s="99" t="s">
        <v>303</v>
      </c>
      <c r="AI90" s="99" t="s">
        <v>304</v>
      </c>
      <c r="AJ90" s="99" t="s">
        <v>303</v>
      </c>
      <c r="AK90" s="99" t="s">
        <v>304</v>
      </c>
      <c r="AL90" s="99" t="s">
        <v>303</v>
      </c>
      <c r="AM90" s="99" t="s">
        <v>302</v>
      </c>
      <c r="AN90" s="99" t="s">
        <v>303</v>
      </c>
      <c r="AO90" s="99" t="s">
        <v>302</v>
      </c>
      <c r="AP90" s="99" t="s">
        <v>303</v>
      </c>
      <c r="AQ90" s="99" t="s">
        <v>304</v>
      </c>
      <c r="AR90" s="99" t="s">
        <v>391</v>
      </c>
      <c r="AS90" s="99" t="s">
        <v>300</v>
      </c>
      <c r="AT90" s="99" t="s">
        <v>321</v>
      </c>
      <c r="AU90" s="99" t="s">
        <v>298</v>
      </c>
      <c r="AV90" s="99" t="s">
        <v>536</v>
      </c>
      <c r="AW90" s="99" t="s">
        <v>307</v>
      </c>
      <c r="AX90" s="99" t="s">
        <v>341</v>
      </c>
      <c r="AY90" s="99" t="s">
        <v>447</v>
      </c>
    </row>
    <row r="91" spans="1:51" ht="129.6" x14ac:dyDescent="0.3">
      <c r="A91" s="98">
        <v>42127.481469907405</v>
      </c>
      <c r="B91" s="99" t="s">
        <v>1049</v>
      </c>
      <c r="C91" s="99" t="s">
        <v>580</v>
      </c>
      <c r="D91" s="99" t="s">
        <v>529</v>
      </c>
      <c r="E91" s="99" t="s">
        <v>330</v>
      </c>
      <c r="F91" s="99" t="s">
        <v>317</v>
      </c>
      <c r="G91" s="99" t="s">
        <v>655</v>
      </c>
      <c r="H91" s="99" t="s">
        <v>349</v>
      </c>
      <c r="I91" s="99" t="s">
        <v>309</v>
      </c>
      <c r="J91" s="99" t="s">
        <v>699</v>
      </c>
      <c r="K91" s="99" t="s">
        <v>368</v>
      </c>
      <c r="L91" s="99" t="s">
        <v>1096</v>
      </c>
      <c r="M91" s="99" t="s">
        <v>363</v>
      </c>
      <c r="N91" s="99" t="s">
        <v>327</v>
      </c>
      <c r="O91" s="99" t="s">
        <v>4</v>
      </c>
      <c r="P91" s="99" t="s">
        <v>374</v>
      </c>
      <c r="Q91" s="99" t="s">
        <v>1354</v>
      </c>
      <c r="R91" s="99" t="s">
        <v>313</v>
      </c>
      <c r="S91" s="99" t="s">
        <v>1355</v>
      </c>
      <c r="T91" s="99" t="s">
        <v>326</v>
      </c>
      <c r="U91" s="99" t="s">
        <v>530</v>
      </c>
      <c r="V91" s="99" t="s">
        <v>1039</v>
      </c>
      <c r="W91" s="99" t="s">
        <v>325</v>
      </c>
      <c r="X91" s="99" t="s">
        <v>352</v>
      </c>
      <c r="Y91" s="99" t="s">
        <v>316</v>
      </c>
      <c r="Z91" s="99" t="s">
        <v>316</v>
      </c>
      <c r="AA91" s="99" t="s">
        <v>496</v>
      </c>
      <c r="AB91" s="99" t="s">
        <v>389</v>
      </c>
      <c r="AC91" s="99" t="s">
        <v>351</v>
      </c>
      <c r="AD91" s="99" t="s">
        <v>414</v>
      </c>
      <c r="AE91" s="99" t="s">
        <v>532</v>
      </c>
      <c r="AF91" s="99" t="s">
        <v>1356</v>
      </c>
      <c r="AG91" s="99" t="s">
        <v>304</v>
      </c>
      <c r="AH91" s="99" t="s">
        <v>6</v>
      </c>
      <c r="AI91" s="99" t="s">
        <v>303</v>
      </c>
      <c r="AJ91" s="99" t="s">
        <v>304</v>
      </c>
      <c r="AK91" s="99" t="s">
        <v>304</v>
      </c>
      <c r="AL91" s="99" t="s">
        <v>304</v>
      </c>
      <c r="AM91" s="99" t="s">
        <v>302</v>
      </c>
      <c r="AN91" s="99" t="s">
        <v>305</v>
      </c>
      <c r="AO91" s="99" t="s">
        <v>302</v>
      </c>
      <c r="AP91" s="99" t="s">
        <v>304</v>
      </c>
      <c r="AQ91" s="99" t="s">
        <v>302</v>
      </c>
      <c r="AR91" s="99" t="s">
        <v>391</v>
      </c>
      <c r="AS91" s="99" t="s">
        <v>350</v>
      </c>
      <c r="AT91" s="99" t="s">
        <v>321</v>
      </c>
      <c r="AU91" s="99" t="s">
        <v>298</v>
      </c>
      <c r="AV91" s="99" t="s">
        <v>333</v>
      </c>
      <c r="AW91" s="99" t="s">
        <v>307</v>
      </c>
      <c r="AX91" s="99" t="s">
        <v>341</v>
      </c>
      <c r="AY91" s="99" t="s">
        <v>491</v>
      </c>
    </row>
    <row r="92" spans="1:51" ht="100.8" x14ac:dyDescent="0.3">
      <c r="A92" s="98">
        <v>42127.481493055559</v>
      </c>
      <c r="B92" s="99" t="s">
        <v>1049</v>
      </c>
      <c r="C92" s="99" t="s">
        <v>580</v>
      </c>
      <c r="D92" s="99" t="s">
        <v>331</v>
      </c>
      <c r="E92" s="99" t="s">
        <v>3</v>
      </c>
      <c r="F92" s="99" t="s">
        <v>317</v>
      </c>
      <c r="G92" s="99" t="s">
        <v>407</v>
      </c>
      <c r="H92" s="99" t="s">
        <v>5</v>
      </c>
      <c r="I92" s="99" t="s">
        <v>309</v>
      </c>
      <c r="J92" s="99" t="s">
        <v>1357</v>
      </c>
      <c r="K92" s="99" t="s">
        <v>315</v>
      </c>
      <c r="L92" s="99" t="s">
        <v>1096</v>
      </c>
      <c r="M92" s="99" t="s">
        <v>363</v>
      </c>
      <c r="N92" s="99" t="s">
        <v>327</v>
      </c>
      <c r="O92" s="99"/>
      <c r="P92" s="99" t="s">
        <v>313</v>
      </c>
      <c r="Q92" s="99" t="s">
        <v>1354</v>
      </c>
      <c r="R92" s="99" t="s">
        <v>327</v>
      </c>
      <c r="S92" s="99" t="s">
        <v>1358</v>
      </c>
      <c r="T92" s="99" t="s">
        <v>326</v>
      </c>
      <c r="U92" s="99" t="s">
        <v>530</v>
      </c>
      <c r="V92" s="99" t="s">
        <v>379</v>
      </c>
      <c r="W92" s="99" t="s">
        <v>338</v>
      </c>
      <c r="X92" s="99" t="s">
        <v>352</v>
      </c>
      <c r="Y92" s="99" t="s">
        <v>316</v>
      </c>
      <c r="Z92" s="99" t="s">
        <v>316</v>
      </c>
      <c r="AA92" s="99" t="s">
        <v>432</v>
      </c>
      <c r="AB92" s="99" t="s">
        <v>389</v>
      </c>
      <c r="AC92" s="99" t="s">
        <v>351</v>
      </c>
      <c r="AD92" s="99" t="s">
        <v>414</v>
      </c>
      <c r="AE92" s="99" t="s">
        <v>532</v>
      </c>
      <c r="AF92" s="99" t="s">
        <v>805</v>
      </c>
      <c r="AG92" s="99" t="s">
        <v>304</v>
      </c>
      <c r="AH92" s="99" t="s">
        <v>6</v>
      </c>
      <c r="AI92" s="99" t="s">
        <v>303</v>
      </c>
      <c r="AJ92" s="99" t="s">
        <v>304</v>
      </c>
      <c r="AK92" s="99" t="s">
        <v>304</v>
      </c>
      <c r="AL92" s="99" t="s">
        <v>304</v>
      </c>
      <c r="AM92" s="99" t="s">
        <v>302</v>
      </c>
      <c r="AN92" s="99" t="s">
        <v>304</v>
      </c>
      <c r="AO92" s="99" t="s">
        <v>302</v>
      </c>
      <c r="AP92" s="99" t="s">
        <v>304</v>
      </c>
      <c r="AQ92" s="99" t="s">
        <v>302</v>
      </c>
      <c r="AR92" s="99" t="s">
        <v>391</v>
      </c>
      <c r="AS92" s="99" t="s">
        <v>350</v>
      </c>
      <c r="AT92" s="99" t="s">
        <v>321</v>
      </c>
      <c r="AU92" s="99" t="s">
        <v>342</v>
      </c>
      <c r="AV92" s="99" t="s">
        <v>364</v>
      </c>
      <c r="AW92" s="99" t="s">
        <v>307</v>
      </c>
      <c r="AX92" s="99" t="s">
        <v>341</v>
      </c>
      <c r="AY92" s="99" t="s">
        <v>491</v>
      </c>
    </row>
    <row r="93" spans="1:51" ht="201.6" x14ac:dyDescent="0.3">
      <c r="A93" s="98">
        <v>42127.482025462959</v>
      </c>
      <c r="B93" s="99" t="s">
        <v>1049</v>
      </c>
      <c r="C93" s="99" t="s">
        <v>580</v>
      </c>
      <c r="D93" s="99" t="s">
        <v>331</v>
      </c>
      <c r="E93" s="99" t="s">
        <v>330</v>
      </c>
      <c r="F93" s="99" t="s">
        <v>317</v>
      </c>
      <c r="G93" s="99" t="s">
        <v>446</v>
      </c>
      <c r="H93" s="99" t="s">
        <v>5</v>
      </c>
      <c r="I93" s="99" t="s">
        <v>309</v>
      </c>
      <c r="J93" s="99" t="s">
        <v>1359</v>
      </c>
      <c r="K93" s="99" t="s">
        <v>315</v>
      </c>
      <c r="L93" s="99" t="s">
        <v>406</v>
      </c>
      <c r="M93" s="99" t="s">
        <v>651</v>
      </c>
      <c r="N93" s="99" t="s">
        <v>4</v>
      </c>
      <c r="O93" s="99" t="s">
        <v>4</v>
      </c>
      <c r="P93" s="99" t="s">
        <v>4</v>
      </c>
      <c r="Q93" s="99" t="s">
        <v>1360</v>
      </c>
      <c r="R93" s="99" t="s">
        <v>327</v>
      </c>
      <c r="S93" s="99" t="s">
        <v>714</v>
      </c>
      <c r="T93" s="99" t="s">
        <v>366</v>
      </c>
      <c r="U93" s="99" t="s">
        <v>530</v>
      </c>
      <c r="V93" s="99" t="s">
        <v>1057</v>
      </c>
      <c r="W93" s="99" t="s">
        <v>325</v>
      </c>
      <c r="X93" s="99" t="s">
        <v>310</v>
      </c>
      <c r="Y93" s="99" t="s">
        <v>316</v>
      </c>
      <c r="Z93" s="99" t="s">
        <v>316</v>
      </c>
      <c r="AA93" s="99" t="s">
        <v>1037</v>
      </c>
      <c r="AB93" s="99" t="s">
        <v>308</v>
      </c>
      <c r="AC93" s="99" t="s">
        <v>381</v>
      </c>
      <c r="AD93" s="99" t="s">
        <v>426</v>
      </c>
      <c r="AE93" s="99" t="s">
        <v>535</v>
      </c>
      <c r="AF93" s="99" t="s">
        <v>1361</v>
      </c>
      <c r="AG93" s="99" t="s">
        <v>323</v>
      </c>
      <c r="AH93" s="99" t="s">
        <v>6</v>
      </c>
      <c r="AI93" s="99" t="s">
        <v>6</v>
      </c>
      <c r="AJ93" s="99" t="s">
        <v>303</v>
      </c>
      <c r="AK93" s="99" t="s">
        <v>302</v>
      </c>
      <c r="AL93" s="99" t="s">
        <v>304</v>
      </c>
      <c r="AM93" s="99" t="s">
        <v>303</v>
      </c>
      <c r="AN93" s="99" t="s">
        <v>303</v>
      </c>
      <c r="AO93" s="99" t="s">
        <v>303</v>
      </c>
      <c r="AP93" s="99" t="s">
        <v>303</v>
      </c>
      <c r="AQ93" s="99" t="s">
        <v>303</v>
      </c>
      <c r="AR93" s="99" t="s">
        <v>301</v>
      </c>
      <c r="AS93" s="99" t="s">
        <v>300</v>
      </c>
      <c r="AT93" s="99" t="s">
        <v>321</v>
      </c>
      <c r="AU93" s="99"/>
      <c r="AV93" s="99" t="s">
        <v>536</v>
      </c>
      <c r="AW93" s="99" t="s">
        <v>307</v>
      </c>
      <c r="AX93" s="99" t="s">
        <v>319</v>
      </c>
      <c r="AY93" s="99" t="s">
        <v>482</v>
      </c>
    </row>
    <row r="94" spans="1:51" ht="172.8" x14ac:dyDescent="0.3">
      <c r="A94" s="98">
        <v>42127.48609953704</v>
      </c>
      <c r="B94" s="99" t="s">
        <v>1049</v>
      </c>
      <c r="C94" s="99" t="s">
        <v>580</v>
      </c>
      <c r="D94" s="99" t="s">
        <v>560</v>
      </c>
      <c r="E94" s="99" t="s">
        <v>3</v>
      </c>
      <c r="F94" s="99" t="s">
        <v>317</v>
      </c>
      <c r="G94" s="99" t="s">
        <v>655</v>
      </c>
      <c r="H94" s="99" t="s">
        <v>5</v>
      </c>
      <c r="I94" s="99" t="s">
        <v>309</v>
      </c>
      <c r="J94" s="99"/>
      <c r="K94" s="99" t="s">
        <v>354</v>
      </c>
      <c r="L94" s="99" t="s">
        <v>878</v>
      </c>
      <c r="M94" s="99" t="s">
        <v>348</v>
      </c>
      <c r="N94" s="99" t="s">
        <v>4</v>
      </c>
      <c r="O94" s="99" t="s">
        <v>4</v>
      </c>
      <c r="P94" s="99" t="s">
        <v>313</v>
      </c>
      <c r="Q94" s="99" t="s">
        <v>411</v>
      </c>
      <c r="R94" s="99" t="s">
        <v>327</v>
      </c>
      <c r="S94" s="99" t="s">
        <v>1362</v>
      </c>
      <c r="T94" s="99" t="s">
        <v>326</v>
      </c>
      <c r="U94" s="99" t="s">
        <v>530</v>
      </c>
      <c r="V94" s="99" t="s">
        <v>1056</v>
      </c>
      <c r="W94" s="99" t="s">
        <v>370</v>
      </c>
      <c r="X94" s="99" t="s">
        <v>337</v>
      </c>
      <c r="Y94" s="99" t="s">
        <v>316</v>
      </c>
      <c r="Z94" s="99" t="s">
        <v>316</v>
      </c>
      <c r="AA94" s="99" t="s">
        <v>531</v>
      </c>
      <c r="AB94" s="99" t="s">
        <v>308</v>
      </c>
      <c r="AC94" s="99" t="s">
        <v>324</v>
      </c>
      <c r="AD94" s="99" t="s">
        <v>1363</v>
      </c>
      <c r="AE94" s="99" t="s">
        <v>545</v>
      </c>
      <c r="AF94" s="99" t="s">
        <v>1364</v>
      </c>
      <c r="AG94" s="99" t="s">
        <v>304</v>
      </c>
      <c r="AH94" s="99" t="s">
        <v>304</v>
      </c>
      <c r="AI94" s="99" t="s">
        <v>304</v>
      </c>
      <c r="AJ94" s="99" t="s">
        <v>304</v>
      </c>
      <c r="AK94" s="99" t="s">
        <v>302</v>
      </c>
      <c r="AL94" s="99" t="s">
        <v>303</v>
      </c>
      <c r="AM94" s="99" t="s">
        <v>302</v>
      </c>
      <c r="AN94" s="99" t="s">
        <v>303</v>
      </c>
      <c r="AO94" s="99" t="s">
        <v>302</v>
      </c>
      <c r="AP94" s="99" t="s">
        <v>303</v>
      </c>
      <c r="AQ94" s="99" t="s">
        <v>303</v>
      </c>
      <c r="AR94" s="99" t="s">
        <v>391</v>
      </c>
      <c r="AS94" s="99" t="s">
        <v>300</v>
      </c>
      <c r="AT94" s="99" t="s">
        <v>360</v>
      </c>
      <c r="AU94" s="99" t="s">
        <v>342</v>
      </c>
      <c r="AV94" s="99" t="s">
        <v>392</v>
      </c>
      <c r="AW94" s="99" t="s">
        <v>324</v>
      </c>
      <c r="AX94" s="99" t="s">
        <v>341</v>
      </c>
      <c r="AY94" s="99" t="s">
        <v>890</v>
      </c>
    </row>
    <row r="95" spans="1:51" ht="144" x14ac:dyDescent="0.3">
      <c r="A95" s="98">
        <v>42127.493564814817</v>
      </c>
      <c r="B95" s="99" t="s">
        <v>1049</v>
      </c>
      <c r="C95" s="99" t="s">
        <v>580</v>
      </c>
      <c r="D95" s="99" t="s">
        <v>560</v>
      </c>
      <c r="E95" s="99" t="s">
        <v>330</v>
      </c>
      <c r="F95" s="99" t="s">
        <v>317</v>
      </c>
      <c r="G95" s="99" t="s">
        <v>423</v>
      </c>
      <c r="H95" s="99" t="s">
        <v>390</v>
      </c>
      <c r="I95" s="99" t="s">
        <v>309</v>
      </c>
      <c r="J95" s="99" t="s">
        <v>993</v>
      </c>
      <c r="K95" s="99" t="s">
        <v>354</v>
      </c>
      <c r="L95" s="99" t="s">
        <v>406</v>
      </c>
      <c r="M95" s="99" t="s">
        <v>367</v>
      </c>
      <c r="N95" s="99" t="s">
        <v>327</v>
      </c>
      <c r="O95" s="99" t="s">
        <v>313</v>
      </c>
      <c r="P95" s="99" t="s">
        <v>313</v>
      </c>
      <c r="Q95" s="99" t="s">
        <v>1017</v>
      </c>
      <c r="R95" s="99" t="s">
        <v>327</v>
      </c>
      <c r="S95" s="99" t="s">
        <v>1365</v>
      </c>
      <c r="T95" s="99" t="s">
        <v>326</v>
      </c>
      <c r="U95" s="99" t="s">
        <v>530</v>
      </c>
      <c r="V95" s="99" t="s">
        <v>1138</v>
      </c>
      <c r="W95" s="99" t="s">
        <v>571</v>
      </c>
      <c r="X95" s="99" t="s">
        <v>310</v>
      </c>
      <c r="Y95" s="99" t="s">
        <v>316</v>
      </c>
      <c r="Z95" s="99" t="s">
        <v>316</v>
      </c>
      <c r="AA95" s="99" t="s">
        <v>408</v>
      </c>
      <c r="AB95" s="99" t="s">
        <v>376</v>
      </c>
      <c r="AC95" s="99" t="s">
        <v>307</v>
      </c>
      <c r="AD95" s="99" t="s">
        <v>694</v>
      </c>
      <c r="AE95" s="99" t="s">
        <v>532</v>
      </c>
      <c r="AF95" s="99" t="s">
        <v>676</v>
      </c>
      <c r="AG95" s="99" t="s">
        <v>306</v>
      </c>
      <c r="AH95" s="99" t="s">
        <v>302</v>
      </c>
      <c r="AI95" s="99" t="s">
        <v>302</v>
      </c>
      <c r="AJ95" s="99" t="s">
        <v>302</v>
      </c>
      <c r="AK95" s="99" t="s">
        <v>303</v>
      </c>
      <c r="AL95" s="99" t="s">
        <v>303</v>
      </c>
      <c r="AM95" s="99" t="s">
        <v>302</v>
      </c>
      <c r="AN95" s="99" t="s">
        <v>303</v>
      </c>
      <c r="AO95" s="99" t="s">
        <v>303</v>
      </c>
      <c r="AP95" s="99" t="s">
        <v>303</v>
      </c>
      <c r="AQ95" s="99" t="s">
        <v>302</v>
      </c>
      <c r="AR95" s="99" t="s">
        <v>301</v>
      </c>
      <c r="AS95" s="99" t="s">
        <v>300</v>
      </c>
      <c r="AT95" s="99" t="s">
        <v>321</v>
      </c>
      <c r="AU95" s="99" t="s">
        <v>320</v>
      </c>
      <c r="AV95" s="99" t="s">
        <v>392</v>
      </c>
      <c r="AW95" s="99" t="s">
        <v>296</v>
      </c>
      <c r="AX95" s="99" t="s">
        <v>319</v>
      </c>
      <c r="AY95" s="99" t="s">
        <v>436</v>
      </c>
    </row>
    <row r="96" spans="1:51" ht="115.2" x14ac:dyDescent="0.3">
      <c r="A96" s="98">
        <v>42127.495486111111</v>
      </c>
      <c r="B96" s="99" t="s">
        <v>1049</v>
      </c>
      <c r="C96" s="99" t="s">
        <v>580</v>
      </c>
      <c r="D96" s="99" t="s">
        <v>529</v>
      </c>
      <c r="E96" s="99" t="s">
        <v>3</v>
      </c>
      <c r="F96" s="99" t="s">
        <v>317</v>
      </c>
      <c r="G96" s="99" t="s">
        <v>430</v>
      </c>
      <c r="H96" s="99" t="s">
        <v>5</v>
      </c>
      <c r="I96" s="99" t="s">
        <v>345</v>
      </c>
      <c r="J96" s="99" t="s">
        <v>827</v>
      </c>
      <c r="K96" s="99" t="s">
        <v>384</v>
      </c>
      <c r="L96" s="99" t="s">
        <v>731</v>
      </c>
      <c r="M96" s="99" t="s">
        <v>348</v>
      </c>
      <c r="N96" s="99" t="s">
        <v>4</v>
      </c>
      <c r="O96" s="99" t="s">
        <v>313</v>
      </c>
      <c r="P96" s="99" t="s">
        <v>327</v>
      </c>
      <c r="Q96" s="99" t="s">
        <v>399</v>
      </c>
      <c r="R96" s="99" t="s">
        <v>327</v>
      </c>
      <c r="S96" s="99" t="s">
        <v>958</v>
      </c>
      <c r="T96" s="99" t="s">
        <v>366</v>
      </c>
      <c r="U96" s="99" t="s">
        <v>530</v>
      </c>
      <c r="V96" s="99" t="s">
        <v>553</v>
      </c>
      <c r="W96" s="99" t="s">
        <v>325</v>
      </c>
      <c r="X96" s="99" t="s">
        <v>352</v>
      </c>
      <c r="Y96" s="99" t="s">
        <v>316</v>
      </c>
      <c r="Z96" s="99" t="s">
        <v>316</v>
      </c>
      <c r="AA96" s="99" t="s">
        <v>395</v>
      </c>
      <c r="AB96" s="99" t="s">
        <v>308</v>
      </c>
      <c r="AC96" s="99" t="s">
        <v>307</v>
      </c>
      <c r="AD96" s="99" t="s">
        <v>344</v>
      </c>
      <c r="AE96" s="99" t="s">
        <v>532</v>
      </c>
      <c r="AF96" s="99" t="s">
        <v>461</v>
      </c>
      <c r="AG96" s="99" t="s">
        <v>306</v>
      </c>
      <c r="AH96" s="99" t="s">
        <v>302</v>
      </c>
      <c r="AI96" s="99" t="s">
        <v>302</v>
      </c>
      <c r="AJ96" s="99" t="s">
        <v>302</v>
      </c>
      <c r="AK96" s="99" t="s">
        <v>302</v>
      </c>
      <c r="AL96" s="99" t="s">
        <v>302</v>
      </c>
      <c r="AM96" s="99" t="s">
        <v>302</v>
      </c>
      <c r="AN96" s="99" t="s">
        <v>302</v>
      </c>
      <c r="AO96" s="99" t="s">
        <v>304</v>
      </c>
      <c r="AP96" s="99" t="s">
        <v>302</v>
      </c>
      <c r="AQ96" s="99" t="s">
        <v>304</v>
      </c>
      <c r="AR96" s="99" t="s">
        <v>301</v>
      </c>
      <c r="AS96" s="99" t="s">
        <v>300</v>
      </c>
      <c r="AT96" s="99" t="s">
        <v>321</v>
      </c>
      <c r="AU96" s="99" t="s">
        <v>342</v>
      </c>
      <c r="AV96" s="99" t="s">
        <v>547</v>
      </c>
      <c r="AW96" s="99" t="s">
        <v>307</v>
      </c>
      <c r="AX96" s="99" t="s">
        <v>319</v>
      </c>
      <c r="AY96" s="99" t="s">
        <v>644</v>
      </c>
    </row>
    <row r="97" spans="1:51" ht="187.2" x14ac:dyDescent="0.3">
      <c r="A97" s="98">
        <v>42127.496412037035</v>
      </c>
      <c r="B97" s="99" t="s">
        <v>1049</v>
      </c>
      <c r="C97" s="99" t="s">
        <v>580</v>
      </c>
      <c r="D97" s="99" t="s">
        <v>529</v>
      </c>
      <c r="E97" s="99" t="s">
        <v>330</v>
      </c>
      <c r="F97" s="99" t="s">
        <v>317</v>
      </c>
      <c r="G97" s="99" t="s">
        <v>446</v>
      </c>
      <c r="H97" s="99" t="s">
        <v>5</v>
      </c>
      <c r="I97" s="99" t="s">
        <v>309</v>
      </c>
      <c r="J97" s="99" t="s">
        <v>1243</v>
      </c>
      <c r="K97" s="99" t="s">
        <v>354</v>
      </c>
      <c r="L97" s="99" t="s">
        <v>450</v>
      </c>
      <c r="M97" s="99" t="s">
        <v>367</v>
      </c>
      <c r="N97" s="99" t="s">
        <v>327</v>
      </c>
      <c r="O97" s="99" t="s">
        <v>327</v>
      </c>
      <c r="P97" s="99" t="s">
        <v>327</v>
      </c>
      <c r="Q97" s="99" t="s">
        <v>1366</v>
      </c>
      <c r="R97" s="99" t="s">
        <v>327</v>
      </c>
      <c r="S97" s="99" t="s">
        <v>500</v>
      </c>
      <c r="T97" s="99" t="s">
        <v>312</v>
      </c>
      <c r="U97" s="99" t="s">
        <v>311</v>
      </c>
      <c r="V97" s="99" t="s">
        <v>733</v>
      </c>
      <c r="W97" s="99" t="s">
        <v>325</v>
      </c>
      <c r="X97" s="99" t="s">
        <v>352</v>
      </c>
      <c r="Y97" s="99" t="s">
        <v>345</v>
      </c>
      <c r="Z97" s="99" t="s">
        <v>316</v>
      </c>
      <c r="AA97" s="99" t="s">
        <v>410</v>
      </c>
      <c r="AB97" s="99" t="s">
        <v>336</v>
      </c>
      <c r="AC97" s="99" t="s">
        <v>307</v>
      </c>
      <c r="AD97" s="99" t="s">
        <v>1006</v>
      </c>
      <c r="AE97" s="99" t="s">
        <v>535</v>
      </c>
      <c r="AF97" s="99" t="s">
        <v>1074</v>
      </c>
      <c r="AG97" s="99" t="s">
        <v>323</v>
      </c>
      <c r="AH97" s="99" t="s">
        <v>302</v>
      </c>
      <c r="AI97" s="99" t="s">
        <v>302</v>
      </c>
      <c r="AJ97" s="99" t="s">
        <v>303</v>
      </c>
      <c r="AK97" s="99" t="s">
        <v>304</v>
      </c>
      <c r="AL97" s="99" t="s">
        <v>303</v>
      </c>
      <c r="AM97" s="99" t="s">
        <v>302</v>
      </c>
      <c r="AN97" s="99" t="s">
        <v>303</v>
      </c>
      <c r="AO97" s="99" t="s">
        <v>304</v>
      </c>
      <c r="AP97" s="99" t="s">
        <v>302</v>
      </c>
      <c r="AQ97" s="99" t="s">
        <v>303</v>
      </c>
      <c r="AR97" s="99" t="s">
        <v>322</v>
      </c>
      <c r="AS97" s="99" t="s">
        <v>540</v>
      </c>
      <c r="AT97" s="99" t="s">
        <v>321</v>
      </c>
      <c r="AU97" s="99" t="s">
        <v>320</v>
      </c>
      <c r="AV97" s="99" t="s">
        <v>547</v>
      </c>
      <c r="AW97" s="99" t="s">
        <v>307</v>
      </c>
      <c r="AX97" s="99" t="s">
        <v>319</v>
      </c>
      <c r="AY97" s="99" t="s">
        <v>441</v>
      </c>
    </row>
    <row r="98" spans="1:51" ht="158.4" x14ac:dyDescent="0.3">
      <c r="A98" s="98">
        <v>42127.496539351851</v>
      </c>
      <c r="B98" s="99" t="s">
        <v>1049</v>
      </c>
      <c r="C98" s="99" t="s">
        <v>580</v>
      </c>
      <c r="D98" s="99" t="s">
        <v>529</v>
      </c>
      <c r="E98" s="99" t="s">
        <v>3</v>
      </c>
      <c r="F98" s="99" t="s">
        <v>317</v>
      </c>
      <c r="G98" s="99" t="s">
        <v>446</v>
      </c>
      <c r="H98" s="99" t="s">
        <v>5</v>
      </c>
      <c r="I98" s="99" t="s">
        <v>309</v>
      </c>
      <c r="J98" s="99" t="s">
        <v>1367</v>
      </c>
      <c r="K98" s="99" t="s">
        <v>354</v>
      </c>
      <c r="L98" s="99" t="s">
        <v>475</v>
      </c>
      <c r="M98" s="99" t="s">
        <v>651</v>
      </c>
      <c r="N98" s="99" t="s">
        <v>313</v>
      </c>
      <c r="O98" s="99" t="s">
        <v>4</v>
      </c>
      <c r="P98" s="99" t="s">
        <v>4</v>
      </c>
      <c r="Q98" s="99" t="s">
        <v>903</v>
      </c>
      <c r="R98" s="99" t="s">
        <v>327</v>
      </c>
      <c r="S98" s="99" t="s">
        <v>872</v>
      </c>
      <c r="T98" s="99" t="s">
        <v>326</v>
      </c>
      <c r="U98" s="99" t="s">
        <v>373</v>
      </c>
      <c r="V98" s="99" t="s">
        <v>865</v>
      </c>
      <c r="W98" s="99" t="s">
        <v>338</v>
      </c>
      <c r="X98" s="99" t="s">
        <v>346</v>
      </c>
      <c r="Y98" s="99" t="s">
        <v>316</v>
      </c>
      <c r="Z98" s="99" t="s">
        <v>316</v>
      </c>
      <c r="AA98" s="99" t="s">
        <v>886</v>
      </c>
      <c r="AB98" s="99" t="s">
        <v>336</v>
      </c>
      <c r="AC98" s="99" t="s">
        <v>296</v>
      </c>
      <c r="AD98" s="99" t="s">
        <v>426</v>
      </c>
      <c r="AE98" s="99" t="s">
        <v>542</v>
      </c>
      <c r="AF98" s="99" t="s">
        <v>669</v>
      </c>
      <c r="AG98" s="99" t="s">
        <v>323</v>
      </c>
      <c r="AH98" s="99" t="s">
        <v>303</v>
      </c>
      <c r="AI98" s="99" t="s">
        <v>303</v>
      </c>
      <c r="AJ98" s="99" t="s">
        <v>305</v>
      </c>
      <c r="AK98" s="99" t="s">
        <v>304</v>
      </c>
      <c r="AL98" s="99" t="s">
        <v>303</v>
      </c>
      <c r="AM98" s="99" t="s">
        <v>302</v>
      </c>
      <c r="AN98" s="99" t="s">
        <v>302</v>
      </c>
      <c r="AO98" s="99" t="s">
        <v>303</v>
      </c>
      <c r="AP98" s="99" t="s">
        <v>302</v>
      </c>
      <c r="AQ98" s="99" t="s">
        <v>303</v>
      </c>
      <c r="AR98" s="99" t="s">
        <v>378</v>
      </c>
      <c r="AS98" s="99" t="s">
        <v>300</v>
      </c>
      <c r="AT98" s="99" t="s">
        <v>355</v>
      </c>
      <c r="AU98" s="99" t="s">
        <v>342</v>
      </c>
      <c r="AV98" s="99" t="s">
        <v>364</v>
      </c>
      <c r="AW98" s="99" t="s">
        <v>324</v>
      </c>
      <c r="AX98" s="99" t="s">
        <v>534</v>
      </c>
      <c r="AY98" s="99" t="s">
        <v>1368</v>
      </c>
    </row>
    <row r="99" spans="1:51" ht="129.6" x14ac:dyDescent="0.3">
      <c r="A99" s="98">
        <v>42127.496550925927</v>
      </c>
      <c r="B99" s="99" t="s">
        <v>1049</v>
      </c>
      <c r="C99" s="99" t="s">
        <v>580</v>
      </c>
      <c r="D99" s="99" t="s">
        <v>331</v>
      </c>
      <c r="E99" s="99" t="s">
        <v>3</v>
      </c>
      <c r="F99" s="99" t="s">
        <v>317</v>
      </c>
      <c r="G99" s="99" t="s">
        <v>451</v>
      </c>
      <c r="H99" s="99" t="s">
        <v>5</v>
      </c>
      <c r="I99" s="99" t="s">
        <v>345</v>
      </c>
      <c r="J99" s="99" t="s">
        <v>1097</v>
      </c>
      <c r="K99" s="99" t="s">
        <v>315</v>
      </c>
      <c r="L99" s="99" t="s">
        <v>417</v>
      </c>
      <c r="M99" s="99" t="s">
        <v>348</v>
      </c>
      <c r="N99" s="99" t="s">
        <v>327</v>
      </c>
      <c r="O99" s="99" t="s">
        <v>4</v>
      </c>
      <c r="P99" s="99" t="s">
        <v>4</v>
      </c>
      <c r="Q99" s="99" t="s">
        <v>417</v>
      </c>
      <c r="R99" s="99" t="s">
        <v>327</v>
      </c>
      <c r="S99" s="99" t="s">
        <v>1369</v>
      </c>
      <c r="T99" s="99" t="s">
        <v>326</v>
      </c>
      <c r="U99" s="99" t="s">
        <v>311</v>
      </c>
      <c r="V99" s="99" t="s">
        <v>382</v>
      </c>
      <c r="W99" s="99" t="s">
        <v>338</v>
      </c>
      <c r="X99" s="99" t="s">
        <v>337</v>
      </c>
      <c r="Y99" s="99" t="s">
        <v>309</v>
      </c>
      <c r="Z99" s="99" t="s">
        <v>316</v>
      </c>
      <c r="AA99" s="99" t="s">
        <v>588</v>
      </c>
      <c r="AB99" s="99" t="s">
        <v>308</v>
      </c>
      <c r="AC99" s="99" t="s">
        <v>324</v>
      </c>
      <c r="AD99" s="99" t="s">
        <v>467</v>
      </c>
      <c r="AE99" s="99" t="s">
        <v>542</v>
      </c>
      <c r="AF99" s="99" t="s">
        <v>1370</v>
      </c>
      <c r="AG99" s="99" t="s">
        <v>304</v>
      </c>
      <c r="AH99" s="99" t="s">
        <v>304</v>
      </c>
      <c r="AI99" s="99" t="s">
        <v>304</v>
      </c>
      <c r="AJ99" s="99" t="s">
        <v>303</v>
      </c>
      <c r="AK99" s="99" t="s">
        <v>305</v>
      </c>
      <c r="AL99" s="99" t="s">
        <v>305</v>
      </c>
      <c r="AM99" s="99" t="s">
        <v>303</v>
      </c>
      <c r="AN99" s="99" t="s">
        <v>304</v>
      </c>
      <c r="AO99" s="99" t="s">
        <v>302</v>
      </c>
      <c r="AP99" s="99" t="s">
        <v>304</v>
      </c>
      <c r="AQ99" s="99" t="s">
        <v>303</v>
      </c>
      <c r="AR99" s="99" t="s">
        <v>391</v>
      </c>
      <c r="AS99" s="99" t="s">
        <v>300</v>
      </c>
      <c r="AT99" s="99" t="s">
        <v>360</v>
      </c>
      <c r="AU99" s="99" t="s">
        <v>342</v>
      </c>
      <c r="AV99" s="99" t="s">
        <v>333</v>
      </c>
      <c r="AW99" s="99" t="s">
        <v>351</v>
      </c>
      <c r="AX99" s="99" t="s">
        <v>375</v>
      </c>
      <c r="AY99" s="99" t="s">
        <v>418</v>
      </c>
    </row>
    <row r="100" spans="1:51" ht="144" x14ac:dyDescent="0.3">
      <c r="A100" s="98">
        <v>42127.49658564815</v>
      </c>
      <c r="B100" s="99" t="s">
        <v>1049</v>
      </c>
      <c r="C100" s="99" t="s">
        <v>580</v>
      </c>
      <c r="D100" s="99" t="s">
        <v>529</v>
      </c>
      <c r="E100" s="99" t="s">
        <v>330</v>
      </c>
      <c r="F100" s="99" t="s">
        <v>317</v>
      </c>
      <c r="G100" s="99" t="s">
        <v>407</v>
      </c>
      <c r="H100" s="99" t="s">
        <v>5</v>
      </c>
      <c r="I100" s="99" t="s">
        <v>309</v>
      </c>
      <c r="J100" s="99" t="s">
        <v>955</v>
      </c>
      <c r="K100" s="99" t="s">
        <v>354</v>
      </c>
      <c r="L100" s="99" t="s">
        <v>417</v>
      </c>
      <c r="M100" s="99" t="s">
        <v>348</v>
      </c>
      <c r="N100" s="99" t="s">
        <v>327</v>
      </c>
      <c r="O100" s="99" t="s">
        <v>327</v>
      </c>
      <c r="P100" s="99" t="s">
        <v>327</v>
      </c>
      <c r="Q100" s="99" t="s">
        <v>791</v>
      </c>
      <c r="R100" s="99" t="s">
        <v>327</v>
      </c>
      <c r="S100" s="99" t="s">
        <v>1371</v>
      </c>
      <c r="T100" s="99" t="s">
        <v>366</v>
      </c>
      <c r="U100" s="99" t="s">
        <v>530</v>
      </c>
      <c r="V100" s="99" t="s">
        <v>1039</v>
      </c>
      <c r="W100" s="99" t="s">
        <v>325</v>
      </c>
      <c r="X100" s="99" t="s">
        <v>352</v>
      </c>
      <c r="Y100" s="99" t="s">
        <v>316</v>
      </c>
      <c r="Z100" s="99" t="s">
        <v>316</v>
      </c>
      <c r="AA100" s="99" t="s">
        <v>408</v>
      </c>
      <c r="AB100" s="99" t="s">
        <v>358</v>
      </c>
      <c r="AC100" s="99" t="s">
        <v>307</v>
      </c>
      <c r="AD100" s="99" t="s">
        <v>388</v>
      </c>
      <c r="AE100" s="99" t="s">
        <v>535</v>
      </c>
      <c r="AF100" s="99" t="s">
        <v>990</v>
      </c>
      <c r="AG100" s="99" t="s">
        <v>323</v>
      </c>
      <c r="AH100" s="99" t="s">
        <v>303</v>
      </c>
      <c r="AI100" s="99" t="s">
        <v>303</v>
      </c>
      <c r="AJ100" s="99" t="s">
        <v>303</v>
      </c>
      <c r="AK100" s="99" t="s">
        <v>304</v>
      </c>
      <c r="AL100" s="99" t="s">
        <v>303</v>
      </c>
      <c r="AM100" s="99" t="s">
        <v>303</v>
      </c>
      <c r="AN100" s="99" t="s">
        <v>303</v>
      </c>
      <c r="AO100" s="99" t="s">
        <v>304</v>
      </c>
      <c r="AP100" s="99" t="s">
        <v>303</v>
      </c>
      <c r="AQ100" s="99" t="s">
        <v>304</v>
      </c>
      <c r="AR100" s="99" t="s">
        <v>322</v>
      </c>
      <c r="AS100" s="99" t="s">
        <v>350</v>
      </c>
      <c r="AT100" s="99" t="s">
        <v>321</v>
      </c>
      <c r="AU100" s="99" t="s">
        <v>298</v>
      </c>
      <c r="AV100" s="99" t="s">
        <v>364</v>
      </c>
      <c r="AW100" s="99" t="s">
        <v>307</v>
      </c>
      <c r="AX100" s="99" t="s">
        <v>549</v>
      </c>
      <c r="AY100" s="99" t="s">
        <v>1086</v>
      </c>
    </row>
    <row r="101" spans="1:51" ht="100.8" x14ac:dyDescent="0.3">
      <c r="A101" s="98">
        <v>42127.497083333335</v>
      </c>
      <c r="B101" s="99" t="s">
        <v>1049</v>
      </c>
      <c r="C101" s="99" t="s">
        <v>580</v>
      </c>
      <c r="D101" s="99" t="s">
        <v>529</v>
      </c>
      <c r="E101" s="99" t="s">
        <v>330</v>
      </c>
      <c r="F101" s="99" t="s">
        <v>317</v>
      </c>
      <c r="G101" s="99" t="s">
        <v>407</v>
      </c>
      <c r="H101" s="99" t="s">
        <v>679</v>
      </c>
      <c r="I101" s="99" t="s">
        <v>309</v>
      </c>
      <c r="J101" s="99" t="s">
        <v>692</v>
      </c>
      <c r="K101" s="99" t="s">
        <v>328</v>
      </c>
      <c r="L101" s="99" t="s">
        <v>417</v>
      </c>
      <c r="M101" s="99" t="s">
        <v>651</v>
      </c>
      <c r="N101" s="99" t="s">
        <v>313</v>
      </c>
      <c r="O101" s="99" t="s">
        <v>327</v>
      </c>
      <c r="P101" s="99" t="s">
        <v>327</v>
      </c>
      <c r="Q101" s="99" t="s">
        <v>417</v>
      </c>
      <c r="R101" s="99" t="s">
        <v>327</v>
      </c>
      <c r="S101" s="99" t="s">
        <v>1372</v>
      </c>
      <c r="T101" s="99" t="s">
        <v>312</v>
      </c>
      <c r="U101" s="99" t="s">
        <v>347</v>
      </c>
      <c r="V101" s="99" t="s">
        <v>1111</v>
      </c>
      <c r="W101" s="99" t="s">
        <v>325</v>
      </c>
      <c r="X101" s="99" t="s">
        <v>352</v>
      </c>
      <c r="Y101" s="99" t="s">
        <v>316</v>
      </c>
      <c r="Z101" s="99" t="s">
        <v>316</v>
      </c>
      <c r="AA101" s="99" t="s">
        <v>424</v>
      </c>
      <c r="AB101" s="99" t="s">
        <v>308</v>
      </c>
      <c r="AC101" s="99" t="s">
        <v>307</v>
      </c>
      <c r="AD101" s="99" t="s">
        <v>642</v>
      </c>
      <c r="AE101" s="99" t="s">
        <v>535</v>
      </c>
      <c r="AF101" s="99" t="s">
        <v>1373</v>
      </c>
      <c r="AG101" s="99" t="s">
        <v>323</v>
      </c>
      <c r="AH101" s="99" t="s">
        <v>303</v>
      </c>
      <c r="AI101" s="99" t="s">
        <v>303</v>
      </c>
      <c r="AJ101" s="99" t="s">
        <v>302</v>
      </c>
      <c r="AK101" s="99" t="s">
        <v>302</v>
      </c>
      <c r="AL101" s="99" t="s">
        <v>302</v>
      </c>
      <c r="AM101" s="99" t="s">
        <v>302</v>
      </c>
      <c r="AN101" s="99" t="s">
        <v>302</v>
      </c>
      <c r="AO101" s="99" t="s">
        <v>303</v>
      </c>
      <c r="AP101" s="99" t="s">
        <v>302</v>
      </c>
      <c r="AQ101" s="99" t="s">
        <v>302</v>
      </c>
      <c r="AR101" s="99" t="s">
        <v>391</v>
      </c>
      <c r="AS101" s="99" t="s">
        <v>350</v>
      </c>
      <c r="AT101" s="99" t="s">
        <v>355</v>
      </c>
      <c r="AU101" s="99"/>
      <c r="AV101" s="99" t="s">
        <v>547</v>
      </c>
      <c r="AW101" s="99" t="s">
        <v>324</v>
      </c>
      <c r="AX101" s="99" t="s">
        <v>341</v>
      </c>
      <c r="AY101" s="99" t="s">
        <v>982</v>
      </c>
    </row>
    <row r="102" spans="1:51" ht="158.4" x14ac:dyDescent="0.3">
      <c r="A102" s="98">
        <v>42127.498240740744</v>
      </c>
      <c r="B102" s="99" t="s">
        <v>1049</v>
      </c>
      <c r="C102" s="99" t="s">
        <v>580</v>
      </c>
      <c r="D102" s="99" t="s">
        <v>529</v>
      </c>
      <c r="E102" s="99" t="s">
        <v>3</v>
      </c>
      <c r="F102" s="99" t="s">
        <v>317</v>
      </c>
      <c r="G102" s="99" t="s">
        <v>493</v>
      </c>
      <c r="H102" s="99" t="s">
        <v>5</v>
      </c>
      <c r="I102" s="99" t="s">
        <v>309</v>
      </c>
      <c r="J102" s="99" t="s">
        <v>1153</v>
      </c>
      <c r="K102" s="99" t="s">
        <v>315</v>
      </c>
      <c r="L102" s="99" t="s">
        <v>1374</v>
      </c>
      <c r="M102" s="99" t="s">
        <v>367</v>
      </c>
      <c r="N102" s="99" t="s">
        <v>4</v>
      </c>
      <c r="O102" s="99" t="s">
        <v>313</v>
      </c>
      <c r="P102" s="99" t="s">
        <v>4</v>
      </c>
      <c r="Q102" s="99" t="s">
        <v>411</v>
      </c>
      <c r="R102" s="99" t="s">
        <v>4</v>
      </c>
      <c r="S102" s="99" t="s">
        <v>688</v>
      </c>
      <c r="T102" s="99" t="s">
        <v>366</v>
      </c>
      <c r="U102" s="99" t="s">
        <v>530</v>
      </c>
      <c r="V102" s="99" t="s">
        <v>733</v>
      </c>
      <c r="W102" s="99" t="s">
        <v>338</v>
      </c>
      <c r="X102" s="99" t="s">
        <v>352</v>
      </c>
      <c r="Y102" s="99" t="s">
        <v>316</v>
      </c>
      <c r="Z102" s="99" t="s">
        <v>345</v>
      </c>
      <c r="AA102" s="99" t="s">
        <v>685</v>
      </c>
      <c r="AB102" s="99" t="s">
        <v>308</v>
      </c>
      <c r="AC102" s="99" t="s">
        <v>296</v>
      </c>
      <c r="AD102" s="99" t="s">
        <v>1375</v>
      </c>
      <c r="AE102" s="99" t="s">
        <v>539</v>
      </c>
      <c r="AF102" s="99" t="s">
        <v>1376</v>
      </c>
      <c r="AG102" s="99" t="s">
        <v>323</v>
      </c>
      <c r="AH102" s="99" t="s">
        <v>303</v>
      </c>
      <c r="AI102" s="99" t="s">
        <v>303</v>
      </c>
      <c r="AJ102" s="99" t="s">
        <v>303</v>
      </c>
      <c r="AK102" s="99" t="s">
        <v>303</v>
      </c>
      <c r="AL102" s="99" t="s">
        <v>303</v>
      </c>
      <c r="AM102" s="99" t="s">
        <v>304</v>
      </c>
      <c r="AN102" s="99" t="s">
        <v>303</v>
      </c>
      <c r="AO102" s="99" t="s">
        <v>303</v>
      </c>
      <c r="AP102" s="99" t="s">
        <v>303</v>
      </c>
      <c r="AQ102" s="99" t="s">
        <v>303</v>
      </c>
      <c r="AR102" s="99" t="s">
        <v>391</v>
      </c>
      <c r="AS102" s="99" t="s">
        <v>300</v>
      </c>
      <c r="AT102" s="99" t="s">
        <v>355</v>
      </c>
      <c r="AU102" s="99" t="s">
        <v>342</v>
      </c>
      <c r="AV102" s="99" t="s">
        <v>547</v>
      </c>
      <c r="AW102" s="99" t="s">
        <v>296</v>
      </c>
      <c r="AX102" s="99" t="s">
        <v>534</v>
      </c>
      <c r="AY102" s="99" t="s">
        <v>1377</v>
      </c>
    </row>
    <row r="103" spans="1:51" ht="100.8" x14ac:dyDescent="0.3">
      <c r="A103" s="98">
        <v>42127.499074074076</v>
      </c>
      <c r="B103" s="99" t="s">
        <v>1049</v>
      </c>
      <c r="C103" s="99" t="s">
        <v>580</v>
      </c>
      <c r="D103" s="99" t="s">
        <v>529</v>
      </c>
      <c r="E103" s="99" t="s">
        <v>330</v>
      </c>
      <c r="F103" s="99" t="s">
        <v>317</v>
      </c>
      <c r="G103" s="99" t="s">
        <v>423</v>
      </c>
      <c r="H103" s="99" t="s">
        <v>5</v>
      </c>
      <c r="I103" s="99" t="s">
        <v>309</v>
      </c>
      <c r="J103" s="99" t="s">
        <v>1378</v>
      </c>
      <c r="K103" s="99" t="s">
        <v>328</v>
      </c>
      <c r="L103" s="99" t="s">
        <v>1313</v>
      </c>
      <c r="M103" s="99" t="s">
        <v>314</v>
      </c>
      <c r="N103" s="99" t="s">
        <v>327</v>
      </c>
      <c r="O103" s="99" t="s">
        <v>4</v>
      </c>
      <c r="P103" s="99" t="s">
        <v>4</v>
      </c>
      <c r="Q103" s="99" t="s">
        <v>670</v>
      </c>
      <c r="R103" s="99" t="s">
        <v>327</v>
      </c>
      <c r="S103" s="99" t="s">
        <v>595</v>
      </c>
      <c r="T103" s="99"/>
      <c r="U103" s="99"/>
      <c r="V103" s="99" t="s">
        <v>863</v>
      </c>
      <c r="W103" s="99" t="s">
        <v>325</v>
      </c>
      <c r="X103" s="99" t="s">
        <v>346</v>
      </c>
      <c r="Y103" s="99" t="s">
        <v>316</v>
      </c>
      <c r="Z103" s="99" t="s">
        <v>316</v>
      </c>
      <c r="AA103" s="99" t="s">
        <v>408</v>
      </c>
      <c r="AB103" s="99" t="s">
        <v>336</v>
      </c>
      <c r="AC103" s="99" t="s">
        <v>324</v>
      </c>
      <c r="AD103" s="99" t="s">
        <v>642</v>
      </c>
      <c r="AE103" s="99" t="s">
        <v>545</v>
      </c>
      <c r="AF103" s="99" t="s">
        <v>1379</v>
      </c>
      <c r="AG103" s="99" t="s">
        <v>323</v>
      </c>
      <c r="AH103" s="99" t="s">
        <v>303</v>
      </c>
      <c r="AI103" s="99" t="s">
        <v>302</v>
      </c>
      <c r="AJ103" s="99" t="s">
        <v>303</v>
      </c>
      <c r="AK103" s="99" t="s">
        <v>304</v>
      </c>
      <c r="AL103" s="99" t="s">
        <v>304</v>
      </c>
      <c r="AM103" s="99" t="s">
        <v>304</v>
      </c>
      <c r="AN103" s="99" t="s">
        <v>304</v>
      </c>
      <c r="AO103" s="99" t="s">
        <v>304</v>
      </c>
      <c r="AP103" s="99" t="s">
        <v>303</v>
      </c>
      <c r="AQ103" s="99" t="s">
        <v>303</v>
      </c>
      <c r="AR103" s="99" t="s">
        <v>322</v>
      </c>
      <c r="AS103" s="99" t="s">
        <v>350</v>
      </c>
      <c r="AT103" s="99" t="s">
        <v>321</v>
      </c>
      <c r="AU103" s="99" t="s">
        <v>342</v>
      </c>
      <c r="AV103" s="99" t="s">
        <v>536</v>
      </c>
      <c r="AW103" s="99" t="s">
        <v>324</v>
      </c>
      <c r="AX103" s="99" t="s">
        <v>375</v>
      </c>
      <c r="AY103" s="99" t="s">
        <v>890</v>
      </c>
    </row>
    <row r="104" spans="1:51" ht="144" x14ac:dyDescent="0.3">
      <c r="A104" s="98">
        <v>42127.49927083333</v>
      </c>
      <c r="B104" s="99" t="s">
        <v>1049</v>
      </c>
      <c r="C104" s="99" t="s">
        <v>580</v>
      </c>
      <c r="D104" s="99" t="s">
        <v>560</v>
      </c>
      <c r="E104" s="99" t="s">
        <v>3</v>
      </c>
      <c r="F104" s="99" t="s">
        <v>317</v>
      </c>
      <c r="G104" s="99" t="s">
        <v>446</v>
      </c>
      <c r="H104" s="99" t="s">
        <v>5</v>
      </c>
      <c r="I104" s="99" t="s">
        <v>309</v>
      </c>
      <c r="J104" s="99" t="s">
        <v>454</v>
      </c>
      <c r="K104" s="99" t="s">
        <v>384</v>
      </c>
      <c r="L104" s="99" t="s">
        <v>667</v>
      </c>
      <c r="M104" s="99" t="s">
        <v>348</v>
      </c>
      <c r="N104" s="99" t="s">
        <v>4</v>
      </c>
      <c r="O104" s="99" t="s">
        <v>313</v>
      </c>
      <c r="P104" s="99" t="s">
        <v>4</v>
      </c>
      <c r="Q104" s="99" t="s">
        <v>417</v>
      </c>
      <c r="R104" s="99" t="s">
        <v>327</v>
      </c>
      <c r="S104" s="99" t="s">
        <v>1380</v>
      </c>
      <c r="T104" s="99" t="s">
        <v>366</v>
      </c>
      <c r="U104" s="99" t="s">
        <v>311</v>
      </c>
      <c r="V104" s="99" t="s">
        <v>339</v>
      </c>
      <c r="W104" s="99" t="s">
        <v>325</v>
      </c>
      <c r="X104" s="99" t="s">
        <v>352</v>
      </c>
      <c r="Y104" s="99" t="s">
        <v>316</v>
      </c>
      <c r="Z104" s="99" t="s">
        <v>316</v>
      </c>
      <c r="AA104" s="99" t="s">
        <v>666</v>
      </c>
      <c r="AB104" s="99" t="s">
        <v>358</v>
      </c>
      <c r="AC104" s="99" t="s">
        <v>351</v>
      </c>
      <c r="AD104" s="99" t="s">
        <v>388</v>
      </c>
      <c r="AE104" s="99" t="s">
        <v>532</v>
      </c>
      <c r="AF104" s="99" t="s">
        <v>1381</v>
      </c>
      <c r="AG104" s="99" t="s">
        <v>323</v>
      </c>
      <c r="AH104" s="99" t="s">
        <v>6</v>
      </c>
      <c r="AI104" s="99" t="s">
        <v>6</v>
      </c>
      <c r="AJ104" s="99" t="s">
        <v>6</v>
      </c>
      <c r="AK104" s="99" t="s">
        <v>6</v>
      </c>
      <c r="AL104" s="99" t="s">
        <v>6</v>
      </c>
      <c r="AM104" s="99" t="s">
        <v>6</v>
      </c>
      <c r="AN104" s="99" t="s">
        <v>6</v>
      </c>
      <c r="AO104" s="99" t="s">
        <v>6</v>
      </c>
      <c r="AP104" s="99" t="s">
        <v>6</v>
      </c>
      <c r="AQ104" s="99" t="s">
        <v>6</v>
      </c>
      <c r="AR104" s="99" t="s">
        <v>301</v>
      </c>
      <c r="AS104" s="99"/>
      <c r="AT104" s="99"/>
      <c r="AU104" s="99"/>
      <c r="AV104" s="99"/>
      <c r="AW104" s="99" t="s">
        <v>351</v>
      </c>
      <c r="AX104" s="99"/>
      <c r="AY104" s="99" t="s">
        <v>482</v>
      </c>
    </row>
    <row r="105" spans="1:51" ht="172.8" x14ac:dyDescent="0.3">
      <c r="A105" s="98">
        <v>42127.499907407408</v>
      </c>
      <c r="B105" s="99" t="s">
        <v>1049</v>
      </c>
      <c r="C105" s="99" t="s">
        <v>580</v>
      </c>
      <c r="D105" s="99" t="s">
        <v>529</v>
      </c>
      <c r="E105" s="99" t="s">
        <v>3</v>
      </c>
      <c r="F105" s="99" t="s">
        <v>383</v>
      </c>
      <c r="G105" s="99" t="s">
        <v>423</v>
      </c>
      <c r="H105" s="99" t="s">
        <v>5</v>
      </c>
      <c r="I105" s="99" t="s">
        <v>345</v>
      </c>
      <c r="J105" s="99" t="s">
        <v>329</v>
      </c>
      <c r="K105" s="99" t="s">
        <v>359</v>
      </c>
      <c r="L105" s="99" t="s">
        <v>719</v>
      </c>
      <c r="M105" s="99" t="s">
        <v>348</v>
      </c>
      <c r="N105" s="99" t="s">
        <v>313</v>
      </c>
      <c r="O105" s="99" t="s">
        <v>313</v>
      </c>
      <c r="P105" s="99" t="s">
        <v>313</v>
      </c>
      <c r="Q105" s="99" t="s">
        <v>1155</v>
      </c>
      <c r="R105" s="99" t="s">
        <v>327</v>
      </c>
      <c r="S105" s="99" t="s">
        <v>1382</v>
      </c>
      <c r="T105" s="99" t="s">
        <v>366</v>
      </c>
      <c r="U105" s="99" t="s">
        <v>373</v>
      </c>
      <c r="V105" s="99" t="s">
        <v>553</v>
      </c>
      <c r="W105" s="99" t="s">
        <v>370</v>
      </c>
      <c r="X105" s="99" t="s">
        <v>310</v>
      </c>
      <c r="Y105" s="99" t="s">
        <v>316</v>
      </c>
      <c r="Z105" s="99" t="s">
        <v>316</v>
      </c>
      <c r="AA105" s="99" t="s">
        <v>678</v>
      </c>
      <c r="AB105" s="99" t="s">
        <v>389</v>
      </c>
      <c r="AC105" s="99" t="s">
        <v>296</v>
      </c>
      <c r="AD105" s="99" t="s">
        <v>401</v>
      </c>
      <c r="AE105" s="99" t="s">
        <v>533</v>
      </c>
      <c r="AF105" s="99" t="s">
        <v>1383</v>
      </c>
      <c r="AG105" s="99" t="s">
        <v>306</v>
      </c>
      <c r="AH105" s="99" t="s">
        <v>302</v>
      </c>
      <c r="AI105" s="99" t="s">
        <v>302</v>
      </c>
      <c r="AJ105" s="99" t="s">
        <v>302</v>
      </c>
      <c r="AK105" s="99" t="s">
        <v>302</v>
      </c>
      <c r="AL105" s="99" t="s">
        <v>302</v>
      </c>
      <c r="AM105" s="99" t="s">
        <v>302</v>
      </c>
      <c r="AN105" s="99" t="s">
        <v>302</v>
      </c>
      <c r="AO105" s="99" t="s">
        <v>305</v>
      </c>
      <c r="AP105" s="99" t="s">
        <v>304</v>
      </c>
      <c r="AQ105" s="99" t="s">
        <v>302</v>
      </c>
      <c r="AR105" s="99" t="s">
        <v>391</v>
      </c>
      <c r="AS105" s="99" t="s">
        <v>350</v>
      </c>
      <c r="AT105" s="99" t="s">
        <v>299</v>
      </c>
      <c r="AU105" s="99"/>
      <c r="AV105" s="99" t="s">
        <v>392</v>
      </c>
      <c r="AW105" s="99" t="s">
        <v>296</v>
      </c>
      <c r="AX105" s="99" t="s">
        <v>534</v>
      </c>
      <c r="AY105" s="99" t="s">
        <v>717</v>
      </c>
    </row>
    <row r="106" spans="1:51" ht="115.2" x14ac:dyDescent="0.3">
      <c r="A106" s="98">
        <v>42158.181759259256</v>
      </c>
      <c r="B106" s="99" t="s">
        <v>1049</v>
      </c>
      <c r="C106" s="99" t="s">
        <v>1108</v>
      </c>
      <c r="D106" s="99" t="s">
        <v>529</v>
      </c>
      <c r="E106" s="99" t="s">
        <v>330</v>
      </c>
      <c r="F106" s="99" t="s">
        <v>317</v>
      </c>
      <c r="G106" s="99" t="s">
        <v>451</v>
      </c>
      <c r="H106" s="99" t="s">
        <v>349</v>
      </c>
      <c r="I106" s="99" t="s">
        <v>345</v>
      </c>
      <c r="J106" s="99" t="s">
        <v>1384</v>
      </c>
      <c r="K106" s="99" t="s">
        <v>368</v>
      </c>
      <c r="L106" s="99" t="s">
        <v>411</v>
      </c>
      <c r="M106" s="99" t="s">
        <v>363</v>
      </c>
      <c r="N106" s="99" t="s">
        <v>327</v>
      </c>
      <c r="O106" s="99" t="s">
        <v>4</v>
      </c>
      <c r="P106" s="99" t="s">
        <v>4</v>
      </c>
      <c r="Q106" s="99" t="s">
        <v>411</v>
      </c>
      <c r="R106" s="99" t="s">
        <v>4</v>
      </c>
      <c r="S106" s="99" t="s">
        <v>714</v>
      </c>
      <c r="T106" s="99" t="s">
        <v>312</v>
      </c>
      <c r="U106" s="99" t="s">
        <v>311</v>
      </c>
      <c r="V106" s="99" t="s">
        <v>911</v>
      </c>
      <c r="W106" s="99" t="s">
        <v>325</v>
      </c>
      <c r="X106" s="99" t="s">
        <v>352</v>
      </c>
      <c r="Y106" s="99" t="s">
        <v>316</v>
      </c>
      <c r="Z106" s="99" t="s">
        <v>316</v>
      </c>
      <c r="AA106" s="99" t="s">
        <v>464</v>
      </c>
      <c r="AB106" s="99" t="s">
        <v>358</v>
      </c>
      <c r="AC106" s="99" t="s">
        <v>307</v>
      </c>
      <c r="AD106" s="99" t="s">
        <v>361</v>
      </c>
      <c r="AE106" s="99" t="s">
        <v>532</v>
      </c>
      <c r="AF106" s="99" t="s">
        <v>848</v>
      </c>
      <c r="AG106" s="99" t="s">
        <v>304</v>
      </c>
      <c r="AH106" s="99" t="s">
        <v>304</v>
      </c>
      <c r="AI106" s="99" t="s">
        <v>304</v>
      </c>
      <c r="AJ106" s="99" t="s">
        <v>304</v>
      </c>
      <c r="AK106" s="99" t="s">
        <v>303</v>
      </c>
      <c r="AL106" s="99" t="s">
        <v>304</v>
      </c>
      <c r="AM106" s="99" t="s">
        <v>304</v>
      </c>
      <c r="AN106" s="99" t="s">
        <v>303</v>
      </c>
      <c r="AO106" s="99" t="s">
        <v>302</v>
      </c>
      <c r="AP106" s="99" t="s">
        <v>303</v>
      </c>
      <c r="AQ106" s="99" t="s">
        <v>303</v>
      </c>
      <c r="AR106" s="99" t="s">
        <v>322</v>
      </c>
      <c r="AS106" s="99" t="s">
        <v>398</v>
      </c>
      <c r="AT106" s="99" t="s">
        <v>355</v>
      </c>
      <c r="AU106" s="99" t="s">
        <v>320</v>
      </c>
      <c r="AV106" s="99" t="s">
        <v>547</v>
      </c>
      <c r="AW106" s="99" t="s">
        <v>296</v>
      </c>
      <c r="AX106" s="99" t="s">
        <v>319</v>
      </c>
      <c r="AY106" s="99" t="s">
        <v>482</v>
      </c>
    </row>
    <row r="107" spans="1:51" ht="201.6" x14ac:dyDescent="0.3">
      <c r="A107" s="98">
        <v>42158.182141203702</v>
      </c>
      <c r="B107" s="99" t="s">
        <v>1049</v>
      </c>
      <c r="C107" s="99" t="s">
        <v>1108</v>
      </c>
      <c r="D107" s="99" t="s">
        <v>560</v>
      </c>
      <c r="E107" s="99" t="s">
        <v>330</v>
      </c>
      <c r="F107" s="99" t="s">
        <v>317</v>
      </c>
      <c r="G107" s="99" t="s">
        <v>641</v>
      </c>
      <c r="H107" s="99" t="s">
        <v>5</v>
      </c>
      <c r="I107" s="99" t="s">
        <v>309</v>
      </c>
      <c r="J107" s="99" t="s">
        <v>1082</v>
      </c>
      <c r="K107" s="99" t="s">
        <v>368</v>
      </c>
      <c r="L107" s="99" t="s">
        <v>463</v>
      </c>
      <c r="M107" s="99" t="s">
        <v>651</v>
      </c>
      <c r="N107" s="99" t="s">
        <v>374</v>
      </c>
      <c r="O107" s="99" t="s">
        <v>327</v>
      </c>
      <c r="P107" s="99" t="s">
        <v>313</v>
      </c>
      <c r="Q107" s="99" t="s">
        <v>811</v>
      </c>
      <c r="R107" s="99" t="s">
        <v>327</v>
      </c>
      <c r="S107" s="99" t="s">
        <v>1385</v>
      </c>
      <c r="T107" s="99" t="s">
        <v>326</v>
      </c>
      <c r="U107" s="99" t="s">
        <v>530</v>
      </c>
      <c r="V107" s="99" t="s">
        <v>1116</v>
      </c>
      <c r="W107" s="99" t="s">
        <v>325</v>
      </c>
      <c r="X107" s="99" t="s">
        <v>352</v>
      </c>
      <c r="Y107" s="99" t="s">
        <v>316</v>
      </c>
      <c r="Z107" s="99" t="s">
        <v>316</v>
      </c>
      <c r="AA107" s="99" t="s">
        <v>408</v>
      </c>
      <c r="AB107" s="99" t="s">
        <v>336</v>
      </c>
      <c r="AC107" s="99" t="s">
        <v>381</v>
      </c>
      <c r="AD107" s="99" t="s">
        <v>1386</v>
      </c>
      <c r="AE107" s="99" t="s">
        <v>533</v>
      </c>
      <c r="AF107" s="99" t="s">
        <v>1387</v>
      </c>
      <c r="AG107" s="99" t="s">
        <v>306</v>
      </c>
      <c r="AH107" s="99" t="s">
        <v>304</v>
      </c>
      <c r="AI107" s="99" t="s">
        <v>304</v>
      </c>
      <c r="AJ107" s="99" t="s">
        <v>304</v>
      </c>
      <c r="AK107" s="99" t="s">
        <v>305</v>
      </c>
      <c r="AL107" s="99" t="s">
        <v>302</v>
      </c>
      <c r="AM107" s="99" t="s">
        <v>303</v>
      </c>
      <c r="AN107" s="99" t="s">
        <v>304</v>
      </c>
      <c r="AO107" s="99" t="s">
        <v>305</v>
      </c>
      <c r="AP107" s="99" t="s">
        <v>304</v>
      </c>
      <c r="AQ107" s="99" t="s">
        <v>303</v>
      </c>
      <c r="AR107" s="99" t="s">
        <v>322</v>
      </c>
      <c r="AS107" s="99" t="s">
        <v>350</v>
      </c>
      <c r="AT107" s="99" t="s">
        <v>355</v>
      </c>
      <c r="AU107" s="99" t="s">
        <v>342</v>
      </c>
      <c r="AV107" s="99" t="s">
        <v>547</v>
      </c>
      <c r="AW107" s="99" t="s">
        <v>324</v>
      </c>
      <c r="AX107" s="99" t="s">
        <v>341</v>
      </c>
      <c r="AY107" s="99" t="s">
        <v>1388</v>
      </c>
    </row>
    <row r="108" spans="1:51" ht="115.2" x14ac:dyDescent="0.3">
      <c r="A108" s="98">
        <v>42158.192719907405</v>
      </c>
      <c r="B108" s="99" t="s">
        <v>1049</v>
      </c>
      <c r="C108" s="99" t="s">
        <v>552</v>
      </c>
      <c r="D108" s="99" t="s">
        <v>529</v>
      </c>
      <c r="E108" s="99" t="s">
        <v>330</v>
      </c>
      <c r="F108" s="99" t="s">
        <v>317</v>
      </c>
      <c r="G108" s="99" t="s">
        <v>1276</v>
      </c>
      <c r="H108" s="99" t="s">
        <v>5</v>
      </c>
      <c r="I108" s="99" t="s">
        <v>345</v>
      </c>
      <c r="J108" s="99" t="s">
        <v>1389</v>
      </c>
      <c r="K108" s="99" t="s">
        <v>354</v>
      </c>
      <c r="L108" s="99" t="s">
        <v>427</v>
      </c>
      <c r="M108" s="99" t="s">
        <v>314</v>
      </c>
      <c r="N108" s="99" t="s">
        <v>4</v>
      </c>
      <c r="O108" s="99" t="s">
        <v>4</v>
      </c>
      <c r="P108" s="99" t="s">
        <v>327</v>
      </c>
      <c r="Q108" s="99" t="s">
        <v>411</v>
      </c>
      <c r="R108" s="99" t="s">
        <v>327</v>
      </c>
      <c r="S108" s="99" t="s">
        <v>465</v>
      </c>
      <c r="T108" s="99" t="s">
        <v>312</v>
      </c>
      <c r="U108" s="99" t="s">
        <v>311</v>
      </c>
      <c r="V108" s="99" t="s">
        <v>1056</v>
      </c>
      <c r="W108" s="99" t="s">
        <v>338</v>
      </c>
      <c r="X108" s="99" t="s">
        <v>346</v>
      </c>
      <c r="Y108" s="99" t="s">
        <v>316</v>
      </c>
      <c r="Z108" s="99" t="s">
        <v>316</v>
      </c>
      <c r="AA108" s="99" t="s">
        <v>596</v>
      </c>
      <c r="AB108" s="99" t="s">
        <v>376</v>
      </c>
      <c r="AC108" s="99" t="s">
        <v>307</v>
      </c>
      <c r="AD108" s="99" t="s">
        <v>414</v>
      </c>
      <c r="AE108" s="99" t="s">
        <v>532</v>
      </c>
      <c r="AF108" s="99" t="s">
        <v>1123</v>
      </c>
      <c r="AG108" s="99" t="s">
        <v>306</v>
      </c>
      <c r="AH108" s="99" t="s">
        <v>303</v>
      </c>
      <c r="AI108" s="99" t="s">
        <v>303</v>
      </c>
      <c r="AJ108" s="99" t="s">
        <v>302</v>
      </c>
      <c r="AK108" s="99" t="s">
        <v>303</v>
      </c>
      <c r="AL108" s="99" t="s">
        <v>303</v>
      </c>
      <c r="AM108" s="99" t="s">
        <v>303</v>
      </c>
      <c r="AN108" s="99" t="s">
        <v>302</v>
      </c>
      <c r="AO108" s="99" t="s">
        <v>303</v>
      </c>
      <c r="AP108" s="99" t="s">
        <v>303</v>
      </c>
      <c r="AQ108" s="99" t="s">
        <v>304</v>
      </c>
      <c r="AR108" s="99" t="s">
        <v>391</v>
      </c>
      <c r="AS108" s="99" t="s">
        <v>300</v>
      </c>
      <c r="AT108" s="99" t="s">
        <v>360</v>
      </c>
      <c r="AU108" s="99" t="s">
        <v>320</v>
      </c>
      <c r="AV108" s="99" t="s">
        <v>536</v>
      </c>
      <c r="AW108" s="99" t="s">
        <v>307</v>
      </c>
      <c r="AX108" s="99" t="s">
        <v>341</v>
      </c>
      <c r="AY108" s="99" t="s">
        <v>499</v>
      </c>
    </row>
    <row r="109" spans="1:51" ht="187.2" x14ac:dyDescent="0.3">
      <c r="A109" s="98">
        <v>42158.193240740744</v>
      </c>
      <c r="B109" s="99" t="s">
        <v>1049</v>
      </c>
      <c r="C109" s="99" t="s">
        <v>552</v>
      </c>
      <c r="D109" s="99" t="s">
        <v>560</v>
      </c>
      <c r="E109" s="99" t="s">
        <v>3</v>
      </c>
      <c r="F109" s="99" t="s">
        <v>372</v>
      </c>
      <c r="G109" s="99" t="s">
        <v>446</v>
      </c>
      <c r="H109" s="99" t="s">
        <v>5</v>
      </c>
      <c r="I109" s="99" t="s">
        <v>309</v>
      </c>
      <c r="J109" s="99" t="s">
        <v>737</v>
      </c>
      <c r="K109" s="99" t="s">
        <v>354</v>
      </c>
      <c r="L109" s="99" t="s">
        <v>1390</v>
      </c>
      <c r="M109" s="99" t="s">
        <v>562</v>
      </c>
      <c r="N109" s="99" t="s">
        <v>327</v>
      </c>
      <c r="O109" s="99" t="s">
        <v>327</v>
      </c>
      <c r="P109" s="99" t="s">
        <v>313</v>
      </c>
      <c r="Q109" s="99" t="s">
        <v>1391</v>
      </c>
      <c r="R109" s="99" t="s">
        <v>327</v>
      </c>
      <c r="S109" s="99" t="s">
        <v>500</v>
      </c>
      <c r="T109" s="99" t="s">
        <v>326</v>
      </c>
      <c r="U109" s="99" t="s">
        <v>373</v>
      </c>
      <c r="V109" s="99"/>
      <c r="W109" s="99" t="s">
        <v>338</v>
      </c>
      <c r="X109" s="99"/>
      <c r="Y109" s="99" t="s">
        <v>345</v>
      </c>
      <c r="Z109" s="99" t="s">
        <v>345</v>
      </c>
      <c r="AA109" s="99" t="s">
        <v>691</v>
      </c>
      <c r="AB109" s="99" t="s">
        <v>308</v>
      </c>
      <c r="AC109" s="99" t="s">
        <v>381</v>
      </c>
      <c r="AD109" s="99" t="s">
        <v>967</v>
      </c>
      <c r="AE109" s="99"/>
      <c r="AF109" s="99"/>
      <c r="AG109" s="99"/>
      <c r="AH109" s="99"/>
      <c r="AI109" s="99"/>
      <c r="AJ109" s="99"/>
      <c r="AK109" s="99"/>
      <c r="AL109" s="99"/>
      <c r="AM109" s="99"/>
      <c r="AN109" s="99"/>
      <c r="AO109" s="99"/>
      <c r="AP109" s="99"/>
      <c r="AQ109" s="99"/>
      <c r="AR109" s="99"/>
      <c r="AS109" s="99"/>
      <c r="AT109" s="99"/>
      <c r="AU109" s="99"/>
      <c r="AV109" s="99"/>
      <c r="AW109" s="99" t="s">
        <v>296</v>
      </c>
      <c r="AX109" s="99" t="s">
        <v>375</v>
      </c>
      <c r="AY109" s="99" t="s">
        <v>418</v>
      </c>
    </row>
    <row r="110" spans="1:51" ht="86.4" x14ac:dyDescent="0.3">
      <c r="A110" s="98">
        <v>42158.194699074076</v>
      </c>
      <c r="B110" s="99" t="s">
        <v>1049</v>
      </c>
      <c r="C110" s="99" t="s">
        <v>552</v>
      </c>
      <c r="D110" s="99" t="s">
        <v>331</v>
      </c>
      <c r="E110" s="99" t="s">
        <v>330</v>
      </c>
      <c r="F110" s="99" t="s">
        <v>317</v>
      </c>
      <c r="G110" s="99" t="s">
        <v>407</v>
      </c>
      <c r="H110" s="99" t="s">
        <v>5</v>
      </c>
      <c r="I110" s="99" t="s">
        <v>345</v>
      </c>
      <c r="J110" s="99" t="s">
        <v>557</v>
      </c>
      <c r="K110" s="99" t="s">
        <v>315</v>
      </c>
      <c r="L110" s="99" t="s">
        <v>439</v>
      </c>
      <c r="M110" s="99" t="s">
        <v>353</v>
      </c>
      <c r="N110" s="99" t="s">
        <v>4</v>
      </c>
      <c r="O110" s="99" t="s">
        <v>4</v>
      </c>
      <c r="P110" s="99" t="s">
        <v>313</v>
      </c>
      <c r="Q110" s="99" t="s">
        <v>652</v>
      </c>
      <c r="R110" s="99" t="s">
        <v>327</v>
      </c>
      <c r="S110" s="99" t="s">
        <v>1380</v>
      </c>
      <c r="T110" s="99" t="s">
        <v>366</v>
      </c>
      <c r="U110" s="99" t="s">
        <v>347</v>
      </c>
      <c r="V110" s="99" t="s">
        <v>382</v>
      </c>
      <c r="W110" s="99" t="s">
        <v>1278</v>
      </c>
      <c r="X110" s="99" t="s">
        <v>352</v>
      </c>
      <c r="Y110" s="99" t="s">
        <v>316</v>
      </c>
      <c r="Z110" s="99" t="s">
        <v>316</v>
      </c>
      <c r="AA110" s="99" t="s">
        <v>432</v>
      </c>
      <c r="AB110" s="99" t="s">
        <v>308</v>
      </c>
      <c r="AC110" s="99" t="s">
        <v>351</v>
      </c>
      <c r="AD110" s="99" t="s">
        <v>388</v>
      </c>
      <c r="AE110" s="99" t="s">
        <v>532</v>
      </c>
      <c r="AF110" s="99" t="s">
        <v>1392</v>
      </c>
      <c r="AG110" s="99" t="s">
        <v>304</v>
      </c>
      <c r="AH110" s="99" t="s">
        <v>304</v>
      </c>
      <c r="AI110" s="99" t="s">
        <v>304</v>
      </c>
      <c r="AJ110" s="99" t="s">
        <v>303</v>
      </c>
      <c r="AK110" s="99" t="s">
        <v>303</v>
      </c>
      <c r="AL110" s="99" t="s">
        <v>304</v>
      </c>
      <c r="AM110" s="99" t="s">
        <v>303</v>
      </c>
      <c r="AN110" s="99" t="s">
        <v>303</v>
      </c>
      <c r="AO110" s="99" t="s">
        <v>304</v>
      </c>
      <c r="AP110" s="99" t="s">
        <v>303</v>
      </c>
      <c r="AQ110" s="99" t="s">
        <v>304</v>
      </c>
      <c r="AR110" s="99" t="s">
        <v>301</v>
      </c>
      <c r="AS110" s="99" t="s">
        <v>300</v>
      </c>
      <c r="AT110" s="99" t="s">
        <v>360</v>
      </c>
      <c r="AU110" s="99" t="s">
        <v>320</v>
      </c>
      <c r="AV110" s="99" t="s">
        <v>536</v>
      </c>
      <c r="AW110" s="99" t="s">
        <v>307</v>
      </c>
      <c r="AX110" s="99" t="s">
        <v>341</v>
      </c>
      <c r="AY110" s="99" t="s">
        <v>452</v>
      </c>
    </row>
    <row r="111" spans="1:51" ht="86.4" x14ac:dyDescent="0.3">
      <c r="A111" s="98">
        <v>42158.195428240739</v>
      </c>
      <c r="B111" s="99" t="s">
        <v>1049</v>
      </c>
      <c r="C111" s="99" t="s">
        <v>552</v>
      </c>
      <c r="D111" s="99" t="s">
        <v>331</v>
      </c>
      <c r="E111" s="99" t="s">
        <v>330</v>
      </c>
      <c r="F111" s="99" t="s">
        <v>317</v>
      </c>
      <c r="G111" s="99" t="s">
        <v>407</v>
      </c>
      <c r="H111" s="99" t="s">
        <v>5</v>
      </c>
      <c r="I111" s="99" t="s">
        <v>345</v>
      </c>
      <c r="J111" s="99" t="s">
        <v>736</v>
      </c>
      <c r="K111" s="99" t="s">
        <v>315</v>
      </c>
      <c r="L111" s="99" t="s">
        <v>450</v>
      </c>
      <c r="M111" s="99" t="s">
        <v>651</v>
      </c>
      <c r="N111" s="99" t="s">
        <v>313</v>
      </c>
      <c r="O111" s="99" t="s">
        <v>4</v>
      </c>
      <c r="P111" s="99" t="s">
        <v>313</v>
      </c>
      <c r="Q111" s="99" t="s">
        <v>652</v>
      </c>
      <c r="R111" s="99" t="s">
        <v>327</v>
      </c>
      <c r="S111" s="99" t="s">
        <v>898</v>
      </c>
      <c r="T111" s="99" t="s">
        <v>366</v>
      </c>
      <c r="U111" s="99" t="s">
        <v>373</v>
      </c>
      <c r="V111" s="99" t="s">
        <v>382</v>
      </c>
      <c r="W111" s="99" t="s">
        <v>338</v>
      </c>
      <c r="X111" s="99" t="s">
        <v>352</v>
      </c>
      <c r="Y111" s="99" t="s">
        <v>316</v>
      </c>
      <c r="Z111" s="99" t="s">
        <v>316</v>
      </c>
      <c r="AA111" s="99" t="s">
        <v>705</v>
      </c>
      <c r="AB111" s="99" t="s">
        <v>336</v>
      </c>
      <c r="AC111" s="99" t="s">
        <v>351</v>
      </c>
      <c r="AD111" s="99" t="s">
        <v>357</v>
      </c>
      <c r="AE111" s="99" t="s">
        <v>533</v>
      </c>
      <c r="AF111" s="99" t="s">
        <v>488</v>
      </c>
      <c r="AG111" s="99" t="s">
        <v>323</v>
      </c>
      <c r="AH111" s="99" t="s">
        <v>303</v>
      </c>
      <c r="AI111" s="99" t="s">
        <v>303</v>
      </c>
      <c r="AJ111" s="99" t="s">
        <v>303</v>
      </c>
      <c r="AK111" s="99" t="s">
        <v>303</v>
      </c>
      <c r="AL111" s="99" t="s">
        <v>304</v>
      </c>
      <c r="AM111" s="99" t="s">
        <v>303</v>
      </c>
      <c r="AN111" s="99" t="s">
        <v>302</v>
      </c>
      <c r="AO111" s="99" t="s">
        <v>303</v>
      </c>
      <c r="AP111" s="99" t="s">
        <v>304</v>
      </c>
      <c r="AQ111" s="99" t="s">
        <v>304</v>
      </c>
      <c r="AR111" s="99" t="s">
        <v>541</v>
      </c>
      <c r="AS111" s="99" t="s">
        <v>300</v>
      </c>
      <c r="AT111" s="99" t="s">
        <v>355</v>
      </c>
      <c r="AU111" s="99" t="s">
        <v>320</v>
      </c>
      <c r="AV111" s="99" t="s">
        <v>364</v>
      </c>
      <c r="AW111" s="99" t="s">
        <v>307</v>
      </c>
      <c r="AX111" s="99" t="s">
        <v>341</v>
      </c>
      <c r="AY111" s="99" t="s">
        <v>447</v>
      </c>
    </row>
    <row r="112" spans="1:51" ht="172.8" x14ac:dyDescent="0.3">
      <c r="A112" s="98">
        <v>42158.195497685185</v>
      </c>
      <c r="B112" s="99" t="s">
        <v>1049</v>
      </c>
      <c r="C112" s="99" t="s">
        <v>552</v>
      </c>
      <c r="D112" s="99" t="s">
        <v>331</v>
      </c>
      <c r="E112" s="99" t="s">
        <v>3</v>
      </c>
      <c r="F112" s="99" t="s">
        <v>317</v>
      </c>
      <c r="G112" s="99" t="s">
        <v>430</v>
      </c>
      <c r="H112" s="99" t="s">
        <v>349</v>
      </c>
      <c r="I112" s="99" t="s">
        <v>345</v>
      </c>
      <c r="J112" s="99" t="s">
        <v>1393</v>
      </c>
      <c r="K112" s="99" t="s">
        <v>315</v>
      </c>
      <c r="L112" s="99" t="s">
        <v>411</v>
      </c>
      <c r="M112" s="99" t="s">
        <v>367</v>
      </c>
      <c r="N112" s="99" t="s">
        <v>4</v>
      </c>
      <c r="O112" s="99" t="s">
        <v>4</v>
      </c>
      <c r="P112" s="99" t="s">
        <v>4</v>
      </c>
      <c r="Q112" s="99" t="s">
        <v>411</v>
      </c>
      <c r="R112" s="99"/>
      <c r="S112" s="99" t="s">
        <v>712</v>
      </c>
      <c r="T112" s="99" t="s">
        <v>312</v>
      </c>
      <c r="U112" s="99" t="s">
        <v>311</v>
      </c>
      <c r="V112" s="99" t="s">
        <v>585</v>
      </c>
      <c r="W112" s="99" t="s">
        <v>370</v>
      </c>
      <c r="X112" s="99" t="s">
        <v>346</v>
      </c>
      <c r="Y112" s="99" t="s">
        <v>316</v>
      </c>
      <c r="Z112" s="99" t="s">
        <v>316</v>
      </c>
      <c r="AA112" s="99" t="s">
        <v>646</v>
      </c>
      <c r="AB112" s="99" t="s">
        <v>308</v>
      </c>
      <c r="AC112" s="99" t="s">
        <v>307</v>
      </c>
      <c r="AD112" s="99" t="s">
        <v>477</v>
      </c>
      <c r="AE112" s="99" t="s">
        <v>539</v>
      </c>
      <c r="AF112" s="99" t="s">
        <v>1394</v>
      </c>
      <c r="AG112" s="99" t="s">
        <v>306</v>
      </c>
      <c r="AH112" s="99" t="s">
        <v>302</v>
      </c>
      <c r="AI112" s="99" t="s">
        <v>303</v>
      </c>
      <c r="AJ112" s="99" t="s">
        <v>303</v>
      </c>
      <c r="AK112" s="99" t="s">
        <v>303</v>
      </c>
      <c r="AL112" s="99" t="s">
        <v>303</v>
      </c>
      <c r="AM112" s="99" t="s">
        <v>302</v>
      </c>
      <c r="AN112" s="99" t="s">
        <v>302</v>
      </c>
      <c r="AO112" s="99" t="s">
        <v>303</v>
      </c>
      <c r="AP112" s="99" t="s">
        <v>303</v>
      </c>
      <c r="AQ112" s="99" t="s">
        <v>303</v>
      </c>
      <c r="AR112" s="99" t="s">
        <v>391</v>
      </c>
      <c r="AS112" s="99" t="s">
        <v>300</v>
      </c>
      <c r="AT112" s="99" t="s">
        <v>321</v>
      </c>
      <c r="AU112" s="99" t="s">
        <v>320</v>
      </c>
      <c r="AV112" s="99" t="s">
        <v>297</v>
      </c>
      <c r="AW112" s="99" t="s">
        <v>307</v>
      </c>
      <c r="AX112" s="99" t="s">
        <v>319</v>
      </c>
      <c r="AY112" s="99" t="s">
        <v>452</v>
      </c>
    </row>
    <row r="113" spans="1:51" ht="129.6" x14ac:dyDescent="0.3">
      <c r="A113" s="98">
        <v>42158.196400462963</v>
      </c>
      <c r="B113" s="99" t="s">
        <v>1049</v>
      </c>
      <c r="C113" s="99" t="s">
        <v>552</v>
      </c>
      <c r="D113" s="99" t="s">
        <v>529</v>
      </c>
      <c r="E113" s="99" t="s">
        <v>330</v>
      </c>
      <c r="F113" s="99" t="s">
        <v>317</v>
      </c>
      <c r="G113" s="99" t="s">
        <v>412</v>
      </c>
      <c r="H113" s="99" t="s">
        <v>5</v>
      </c>
      <c r="I113" s="99" t="s">
        <v>309</v>
      </c>
      <c r="J113" s="99" t="s">
        <v>1395</v>
      </c>
      <c r="K113" s="99" t="s">
        <v>315</v>
      </c>
      <c r="L113" s="99" t="s">
        <v>1396</v>
      </c>
      <c r="M113" s="99" t="s">
        <v>377</v>
      </c>
      <c r="N113" s="99" t="s">
        <v>313</v>
      </c>
      <c r="O113" s="99" t="s">
        <v>4</v>
      </c>
      <c r="P113" s="99" t="s">
        <v>313</v>
      </c>
      <c r="Q113" s="99" t="s">
        <v>1017</v>
      </c>
      <c r="R113" s="99" t="s">
        <v>327</v>
      </c>
      <c r="S113" s="99" t="s">
        <v>882</v>
      </c>
      <c r="T113" s="99" t="s">
        <v>312</v>
      </c>
      <c r="U113" s="99" t="s">
        <v>530</v>
      </c>
      <c r="V113" s="99" t="s">
        <v>379</v>
      </c>
      <c r="W113" s="99" t="s">
        <v>325</v>
      </c>
      <c r="X113" s="99" t="s">
        <v>346</v>
      </c>
      <c r="Y113" s="99" t="s">
        <v>316</v>
      </c>
      <c r="Z113" s="99" t="s">
        <v>316</v>
      </c>
      <c r="AA113" s="99" t="s">
        <v>1162</v>
      </c>
      <c r="AB113" s="99" t="s">
        <v>308</v>
      </c>
      <c r="AC113" s="99" t="s">
        <v>324</v>
      </c>
      <c r="AD113" s="99" t="s">
        <v>462</v>
      </c>
      <c r="AE113" s="99" t="s">
        <v>542</v>
      </c>
      <c r="AF113" s="99" t="s">
        <v>1113</v>
      </c>
      <c r="AG113" s="99" t="s">
        <v>323</v>
      </c>
      <c r="AH113" s="99" t="s">
        <v>304</v>
      </c>
      <c r="AI113" s="99" t="s">
        <v>304</v>
      </c>
      <c r="AJ113" s="99" t="s">
        <v>303</v>
      </c>
      <c r="AK113" s="99" t="s">
        <v>304</v>
      </c>
      <c r="AL113" s="99" t="s">
        <v>303</v>
      </c>
      <c r="AM113" s="99" t="s">
        <v>303</v>
      </c>
      <c r="AN113" s="99" t="s">
        <v>304</v>
      </c>
      <c r="AO113" s="99" t="s">
        <v>303</v>
      </c>
      <c r="AP113" s="99" t="s">
        <v>304</v>
      </c>
      <c r="AQ113" s="99" t="s">
        <v>303</v>
      </c>
      <c r="AR113" s="99" t="s">
        <v>673</v>
      </c>
      <c r="AS113" s="99" t="s">
        <v>300</v>
      </c>
      <c r="AT113" s="99" t="s">
        <v>360</v>
      </c>
      <c r="AU113" s="99" t="s">
        <v>320</v>
      </c>
      <c r="AV113" s="99" t="s">
        <v>364</v>
      </c>
      <c r="AW113" s="99" t="s">
        <v>307</v>
      </c>
      <c r="AX113" s="99" t="s">
        <v>341</v>
      </c>
      <c r="AY113" s="99" t="s">
        <v>332</v>
      </c>
    </row>
    <row r="114" spans="1:51" ht="100.8" x14ac:dyDescent="0.3">
      <c r="A114" s="98">
        <v>42158.196458333332</v>
      </c>
      <c r="B114" s="99" t="s">
        <v>1049</v>
      </c>
      <c r="C114" s="99" t="s">
        <v>552</v>
      </c>
      <c r="D114" s="99" t="s">
        <v>331</v>
      </c>
      <c r="E114" s="99" t="s">
        <v>330</v>
      </c>
      <c r="F114" s="99" t="s">
        <v>383</v>
      </c>
      <c r="G114" s="99" t="s">
        <v>407</v>
      </c>
      <c r="H114" s="99" t="s">
        <v>5</v>
      </c>
      <c r="I114" s="99" t="s">
        <v>309</v>
      </c>
      <c r="J114" s="99" t="s">
        <v>479</v>
      </c>
      <c r="K114" s="99" t="s">
        <v>328</v>
      </c>
      <c r="L114" s="99" t="s">
        <v>731</v>
      </c>
      <c r="M114" s="99" t="s">
        <v>377</v>
      </c>
      <c r="N114" s="99" t="s">
        <v>313</v>
      </c>
      <c r="O114" s="99" t="s">
        <v>4</v>
      </c>
      <c r="P114" s="99" t="s">
        <v>313</v>
      </c>
      <c r="Q114" s="99" t="s">
        <v>1005</v>
      </c>
      <c r="R114" s="99" t="s">
        <v>327</v>
      </c>
      <c r="S114" s="99" t="s">
        <v>677</v>
      </c>
      <c r="T114" s="99" t="s">
        <v>380</v>
      </c>
      <c r="U114" s="99" t="s">
        <v>530</v>
      </c>
      <c r="V114" s="99" t="s">
        <v>386</v>
      </c>
      <c r="W114" s="99" t="s">
        <v>325</v>
      </c>
      <c r="X114" s="99" t="s">
        <v>346</v>
      </c>
      <c r="Y114" s="99" t="s">
        <v>316</v>
      </c>
      <c r="Z114" s="99" t="s">
        <v>316</v>
      </c>
      <c r="AA114" s="99" t="s">
        <v>1397</v>
      </c>
      <c r="AB114" s="99" t="s">
        <v>308</v>
      </c>
      <c r="AC114" s="99" t="s">
        <v>324</v>
      </c>
      <c r="AD114" s="99" t="s">
        <v>642</v>
      </c>
      <c r="AE114" s="99" t="s">
        <v>542</v>
      </c>
      <c r="AF114" s="99" t="s">
        <v>578</v>
      </c>
      <c r="AG114" s="99" t="s">
        <v>323</v>
      </c>
      <c r="AH114" s="99" t="s">
        <v>304</v>
      </c>
      <c r="AI114" s="99" t="s">
        <v>304</v>
      </c>
      <c r="AJ114" s="99" t="s">
        <v>303</v>
      </c>
      <c r="AK114" s="99" t="s">
        <v>303</v>
      </c>
      <c r="AL114" s="99" t="s">
        <v>303</v>
      </c>
      <c r="AM114" s="99" t="s">
        <v>303</v>
      </c>
      <c r="AN114" s="99" t="s">
        <v>304</v>
      </c>
      <c r="AO114" s="99" t="s">
        <v>303</v>
      </c>
      <c r="AP114" s="99" t="s">
        <v>304</v>
      </c>
      <c r="AQ114" s="99" t="s">
        <v>303</v>
      </c>
      <c r="AR114" s="99" t="s">
        <v>322</v>
      </c>
      <c r="AS114" s="99" t="s">
        <v>350</v>
      </c>
      <c r="AT114" s="99" t="s">
        <v>360</v>
      </c>
      <c r="AU114" s="99" t="s">
        <v>320</v>
      </c>
      <c r="AV114" s="99" t="s">
        <v>364</v>
      </c>
      <c r="AW114" s="99" t="s">
        <v>307</v>
      </c>
      <c r="AX114" s="99" t="s">
        <v>341</v>
      </c>
      <c r="AY114" s="99" t="s">
        <v>332</v>
      </c>
    </row>
    <row r="115" spans="1:51" ht="172.8" x14ac:dyDescent="0.3">
      <c r="A115" s="98">
        <v>42158.196793981479</v>
      </c>
      <c r="B115" s="99" t="s">
        <v>1049</v>
      </c>
      <c r="C115" s="99" t="s">
        <v>552</v>
      </c>
      <c r="D115" s="99" t="s">
        <v>529</v>
      </c>
      <c r="E115" s="99" t="s">
        <v>3</v>
      </c>
      <c r="F115" s="99" t="s">
        <v>317</v>
      </c>
      <c r="G115" s="99" t="s">
        <v>412</v>
      </c>
      <c r="H115" s="99" t="s">
        <v>349</v>
      </c>
      <c r="I115" s="99" t="s">
        <v>345</v>
      </c>
      <c r="J115" s="99" t="s">
        <v>1357</v>
      </c>
      <c r="K115" s="99" t="s">
        <v>315</v>
      </c>
      <c r="L115" s="99" t="s">
        <v>1398</v>
      </c>
      <c r="M115" s="99" t="s">
        <v>353</v>
      </c>
      <c r="N115" s="99"/>
      <c r="O115" s="99"/>
      <c r="P115" s="99" t="s">
        <v>4</v>
      </c>
      <c r="Q115" s="99" t="s">
        <v>625</v>
      </c>
      <c r="R115" s="99" t="s">
        <v>327</v>
      </c>
      <c r="S115" s="99" t="s">
        <v>715</v>
      </c>
      <c r="T115" s="99" t="s">
        <v>326</v>
      </c>
      <c r="U115" s="99" t="s">
        <v>311</v>
      </c>
      <c r="V115" s="99" t="s">
        <v>551</v>
      </c>
      <c r="W115" s="99" t="s">
        <v>338</v>
      </c>
      <c r="X115" s="99" t="s">
        <v>346</v>
      </c>
      <c r="Y115" s="99" t="s">
        <v>345</v>
      </c>
      <c r="Z115" s="99" t="s">
        <v>345</v>
      </c>
      <c r="AA115" s="99" t="s">
        <v>424</v>
      </c>
      <c r="AB115" s="99" t="s">
        <v>308</v>
      </c>
      <c r="AC115" s="99" t="s">
        <v>296</v>
      </c>
      <c r="AD115" s="99" t="s">
        <v>414</v>
      </c>
      <c r="AE115" s="99" t="s">
        <v>532</v>
      </c>
      <c r="AF115" s="99" t="s">
        <v>1399</v>
      </c>
      <c r="AG115" s="99"/>
      <c r="AH115" s="99" t="s">
        <v>303</v>
      </c>
      <c r="AI115" s="99" t="s">
        <v>303</v>
      </c>
      <c r="AJ115" s="99" t="s">
        <v>303</v>
      </c>
      <c r="AK115" s="99" t="s">
        <v>303</v>
      </c>
      <c r="AL115" s="99" t="s">
        <v>303</v>
      </c>
      <c r="AM115" s="99" t="s">
        <v>302</v>
      </c>
      <c r="AN115" s="99" t="s">
        <v>303</v>
      </c>
      <c r="AO115" s="99" t="s">
        <v>302</v>
      </c>
      <c r="AP115" s="99" t="s">
        <v>303</v>
      </c>
      <c r="AQ115" s="99" t="s">
        <v>303</v>
      </c>
      <c r="AR115" s="99" t="s">
        <v>301</v>
      </c>
      <c r="AS115" s="99" t="s">
        <v>300</v>
      </c>
      <c r="AT115" s="99" t="s">
        <v>321</v>
      </c>
      <c r="AU115" s="99" t="s">
        <v>342</v>
      </c>
      <c r="AV115" s="99" t="s">
        <v>392</v>
      </c>
      <c r="AW115" s="99" t="s">
        <v>307</v>
      </c>
      <c r="AX115" s="99" t="s">
        <v>549</v>
      </c>
      <c r="AY115" s="99" t="s">
        <v>1086</v>
      </c>
    </row>
    <row r="116" spans="1:51" ht="172.8" x14ac:dyDescent="0.3">
      <c r="A116" s="98">
        <v>42158.198217592595</v>
      </c>
      <c r="B116" s="99" t="s">
        <v>1049</v>
      </c>
      <c r="C116" s="99" t="s">
        <v>552</v>
      </c>
      <c r="D116" s="99" t="s">
        <v>331</v>
      </c>
      <c r="E116" s="99" t="s">
        <v>330</v>
      </c>
      <c r="F116" s="99" t="s">
        <v>383</v>
      </c>
      <c r="G116" s="99" t="s">
        <v>412</v>
      </c>
      <c r="H116" s="99" t="s">
        <v>5</v>
      </c>
      <c r="I116" s="99" t="s">
        <v>309</v>
      </c>
      <c r="J116" s="99" t="s">
        <v>1400</v>
      </c>
      <c r="K116" s="99" t="s">
        <v>368</v>
      </c>
      <c r="L116" s="99" t="s">
        <v>450</v>
      </c>
      <c r="M116" s="99" t="s">
        <v>367</v>
      </c>
      <c r="N116" s="99" t="s">
        <v>327</v>
      </c>
      <c r="O116" s="99" t="s">
        <v>327</v>
      </c>
      <c r="P116" s="99" t="s">
        <v>327</v>
      </c>
      <c r="Q116" s="99" t="s">
        <v>731</v>
      </c>
      <c r="R116" s="99" t="s">
        <v>327</v>
      </c>
      <c r="S116" s="99" t="s">
        <v>1401</v>
      </c>
      <c r="T116" s="99" t="s">
        <v>366</v>
      </c>
      <c r="U116" s="99" t="s">
        <v>347</v>
      </c>
      <c r="V116" s="99" t="s">
        <v>570</v>
      </c>
      <c r="W116" s="99" t="s">
        <v>325</v>
      </c>
      <c r="X116" s="99" t="s">
        <v>346</v>
      </c>
      <c r="Y116" s="99" t="s">
        <v>316</v>
      </c>
      <c r="Z116" s="99" t="s">
        <v>309</v>
      </c>
      <c r="AA116" s="99" t="s">
        <v>408</v>
      </c>
      <c r="AB116" s="99" t="s">
        <v>376</v>
      </c>
      <c r="AC116" s="99" t="s">
        <v>296</v>
      </c>
      <c r="AD116" s="99" t="s">
        <v>1003</v>
      </c>
      <c r="AE116" s="99" t="s">
        <v>533</v>
      </c>
      <c r="AF116" s="99" t="s">
        <v>1259</v>
      </c>
      <c r="AG116" s="99" t="s">
        <v>306</v>
      </c>
      <c r="AH116" s="99" t="s">
        <v>302</v>
      </c>
      <c r="AI116" s="99"/>
      <c r="AJ116" s="99" t="s">
        <v>302</v>
      </c>
      <c r="AK116" s="99" t="s">
        <v>302</v>
      </c>
      <c r="AL116" s="99" t="s">
        <v>302</v>
      </c>
      <c r="AM116" s="99" t="s">
        <v>303</v>
      </c>
      <c r="AN116" s="99" t="s">
        <v>302</v>
      </c>
      <c r="AO116" s="99" t="s">
        <v>302</v>
      </c>
      <c r="AP116" s="99" t="s">
        <v>303</v>
      </c>
      <c r="AQ116" s="99" t="s">
        <v>302</v>
      </c>
      <c r="AR116" s="99" t="s">
        <v>301</v>
      </c>
      <c r="AS116" s="99" t="s">
        <v>540</v>
      </c>
      <c r="AT116" s="99" t="s">
        <v>321</v>
      </c>
      <c r="AU116" s="99" t="s">
        <v>320</v>
      </c>
      <c r="AV116" s="99" t="s">
        <v>364</v>
      </c>
      <c r="AW116" s="99" t="s">
        <v>296</v>
      </c>
      <c r="AX116" s="99" t="s">
        <v>534</v>
      </c>
      <c r="AY116" s="99" t="s">
        <v>940</v>
      </c>
    </row>
    <row r="117" spans="1:51" ht="216" x14ac:dyDescent="0.3">
      <c r="A117" s="98">
        <v>42158.198287037034</v>
      </c>
      <c r="B117" s="99" t="s">
        <v>1049</v>
      </c>
      <c r="C117" s="99" t="s">
        <v>552</v>
      </c>
      <c r="D117" s="99" t="s">
        <v>331</v>
      </c>
      <c r="E117" s="99" t="s">
        <v>330</v>
      </c>
      <c r="F117" s="99" t="s">
        <v>317</v>
      </c>
      <c r="G117" s="99" t="s">
        <v>451</v>
      </c>
      <c r="H117" s="99" t="s">
        <v>5</v>
      </c>
      <c r="I117" s="99" t="s">
        <v>345</v>
      </c>
      <c r="J117" s="99" t="s">
        <v>970</v>
      </c>
      <c r="K117" s="99" t="s">
        <v>354</v>
      </c>
      <c r="L117" s="99" t="s">
        <v>411</v>
      </c>
      <c r="M117" s="99" t="s">
        <v>367</v>
      </c>
      <c r="N117" s="99" t="s">
        <v>313</v>
      </c>
      <c r="O117" s="99" t="s">
        <v>4</v>
      </c>
      <c r="P117" s="99" t="s">
        <v>313</v>
      </c>
      <c r="Q117" s="99" t="s">
        <v>411</v>
      </c>
      <c r="R117" s="99" t="s">
        <v>327</v>
      </c>
      <c r="S117" s="99" t="s">
        <v>1402</v>
      </c>
      <c r="T117" s="99" t="s">
        <v>326</v>
      </c>
      <c r="U117" s="99" t="s">
        <v>347</v>
      </c>
      <c r="V117" s="99" t="s">
        <v>905</v>
      </c>
      <c r="W117" s="99" t="s">
        <v>419</v>
      </c>
      <c r="X117" s="99" t="s">
        <v>346</v>
      </c>
      <c r="Y117" s="99" t="s">
        <v>345</v>
      </c>
      <c r="Z117" s="99" t="s">
        <v>309</v>
      </c>
      <c r="AA117" s="99" t="s">
        <v>646</v>
      </c>
      <c r="AB117" s="99" t="s">
        <v>308</v>
      </c>
      <c r="AC117" s="99" t="s">
        <v>296</v>
      </c>
      <c r="AD117" s="99" t="s">
        <v>1003</v>
      </c>
      <c r="AE117" s="99" t="s">
        <v>533</v>
      </c>
      <c r="AF117" s="99" t="s">
        <v>1286</v>
      </c>
      <c r="AG117" s="99" t="s">
        <v>306</v>
      </c>
      <c r="AH117" s="99" t="s">
        <v>302</v>
      </c>
      <c r="AI117" s="99" t="s">
        <v>302</v>
      </c>
      <c r="AJ117" s="99" t="s">
        <v>303</v>
      </c>
      <c r="AK117" s="99" t="s">
        <v>302</v>
      </c>
      <c r="AL117" s="99" t="s">
        <v>302</v>
      </c>
      <c r="AM117" s="99" t="s">
        <v>302</v>
      </c>
      <c r="AN117" s="99" t="s">
        <v>303</v>
      </c>
      <c r="AO117" s="99" t="s">
        <v>303</v>
      </c>
      <c r="AP117" s="99" t="s">
        <v>304</v>
      </c>
      <c r="AQ117" s="99" t="s">
        <v>302</v>
      </c>
      <c r="AR117" s="99" t="s">
        <v>301</v>
      </c>
      <c r="AS117" s="99" t="s">
        <v>729</v>
      </c>
      <c r="AT117" s="99" t="s">
        <v>321</v>
      </c>
      <c r="AU117" s="99" t="s">
        <v>320</v>
      </c>
      <c r="AV117" s="99" t="s">
        <v>364</v>
      </c>
      <c r="AW117" s="99" t="s">
        <v>296</v>
      </c>
      <c r="AX117" s="99" t="s">
        <v>319</v>
      </c>
      <c r="AY117" s="99" t="s">
        <v>1403</v>
      </c>
    </row>
    <row r="118" spans="1:51" ht="115.2" x14ac:dyDescent="0.3">
      <c r="A118" s="98">
        <v>42158.199537037035</v>
      </c>
      <c r="B118" s="99" t="s">
        <v>1049</v>
      </c>
      <c r="C118" s="99" t="s">
        <v>552</v>
      </c>
      <c r="D118" s="99" t="s">
        <v>529</v>
      </c>
      <c r="E118" s="99" t="s">
        <v>3</v>
      </c>
      <c r="F118" s="99" t="s">
        <v>372</v>
      </c>
      <c r="G118" s="99" t="s">
        <v>412</v>
      </c>
      <c r="H118" s="99" t="s">
        <v>5</v>
      </c>
      <c r="I118" s="99" t="s">
        <v>309</v>
      </c>
      <c r="J118" s="99" t="s">
        <v>737</v>
      </c>
      <c r="K118" s="99" t="s">
        <v>384</v>
      </c>
      <c r="L118" s="99" t="s">
        <v>450</v>
      </c>
      <c r="M118" s="99" t="s">
        <v>353</v>
      </c>
      <c r="N118" s="99" t="s">
        <v>327</v>
      </c>
      <c r="O118" s="99" t="s">
        <v>327</v>
      </c>
      <c r="P118" s="99" t="s">
        <v>4</v>
      </c>
      <c r="Q118" s="99" t="s">
        <v>1404</v>
      </c>
      <c r="R118" s="99" t="s">
        <v>327</v>
      </c>
      <c r="S118" s="99" t="s">
        <v>1405</v>
      </c>
      <c r="T118" s="99" t="s">
        <v>366</v>
      </c>
      <c r="U118" s="99" t="s">
        <v>373</v>
      </c>
      <c r="V118" s="99" t="s">
        <v>1346</v>
      </c>
      <c r="W118" s="99" t="s">
        <v>338</v>
      </c>
      <c r="X118" s="99" t="s">
        <v>346</v>
      </c>
      <c r="Y118" s="99" t="s">
        <v>316</v>
      </c>
      <c r="Z118" s="99" t="s">
        <v>316</v>
      </c>
      <c r="AA118" s="99" t="s">
        <v>424</v>
      </c>
      <c r="AB118" s="99" t="s">
        <v>358</v>
      </c>
      <c r="AC118" s="99" t="s">
        <v>324</v>
      </c>
      <c r="AD118" s="99" t="s">
        <v>694</v>
      </c>
      <c r="AE118" s="99" t="s">
        <v>532</v>
      </c>
      <c r="AF118" s="99" t="s">
        <v>901</v>
      </c>
      <c r="AG118" s="99" t="s">
        <v>306</v>
      </c>
      <c r="AH118" s="99" t="s">
        <v>302</v>
      </c>
      <c r="AI118" s="99" t="s">
        <v>302</v>
      </c>
      <c r="AJ118" s="99" t="s">
        <v>302</v>
      </c>
      <c r="AK118" s="99" t="s">
        <v>302</v>
      </c>
      <c r="AL118" s="99" t="s">
        <v>303</v>
      </c>
      <c r="AM118" s="99" t="s">
        <v>302</v>
      </c>
      <c r="AN118" s="99" t="s">
        <v>304</v>
      </c>
      <c r="AO118" s="99" t="s">
        <v>302</v>
      </c>
      <c r="AP118" s="99" t="s">
        <v>302</v>
      </c>
      <c r="AQ118" s="99"/>
      <c r="AR118" s="99" t="s">
        <v>301</v>
      </c>
      <c r="AS118" s="99" t="s">
        <v>300</v>
      </c>
      <c r="AT118" s="99" t="s">
        <v>355</v>
      </c>
      <c r="AU118" s="99" t="s">
        <v>320</v>
      </c>
      <c r="AV118" s="99" t="s">
        <v>333</v>
      </c>
      <c r="AW118" s="99" t="s">
        <v>307</v>
      </c>
      <c r="AX118" s="99" t="s">
        <v>549</v>
      </c>
      <c r="AY118" s="99" t="s">
        <v>1086</v>
      </c>
    </row>
    <row r="119" spans="1:51" ht="100.8" x14ac:dyDescent="0.3">
      <c r="A119" s="98">
        <v>42158.203043981484</v>
      </c>
      <c r="B119" s="99" t="s">
        <v>1049</v>
      </c>
      <c r="C119" s="99" t="s">
        <v>552</v>
      </c>
      <c r="D119" s="99" t="s">
        <v>529</v>
      </c>
      <c r="E119" s="99" t="s">
        <v>330</v>
      </c>
      <c r="F119" s="99" t="s">
        <v>317</v>
      </c>
      <c r="G119" s="99" t="s">
        <v>407</v>
      </c>
      <c r="H119" s="99" t="s">
        <v>5</v>
      </c>
      <c r="I119" s="99" t="s">
        <v>309</v>
      </c>
      <c r="J119" s="99" t="s">
        <v>1077</v>
      </c>
      <c r="K119" s="99" t="s">
        <v>315</v>
      </c>
      <c r="L119" s="99" t="s">
        <v>883</v>
      </c>
      <c r="M119" s="99" t="s">
        <v>353</v>
      </c>
      <c r="N119" s="99" t="s">
        <v>327</v>
      </c>
      <c r="O119" s="99" t="s">
        <v>327</v>
      </c>
      <c r="P119" s="99" t="s">
        <v>313</v>
      </c>
      <c r="Q119" s="99" t="s">
        <v>411</v>
      </c>
      <c r="R119" s="99" t="s">
        <v>327</v>
      </c>
      <c r="S119" s="99" t="s">
        <v>1406</v>
      </c>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row>
    <row r="120" spans="1:51" ht="158.4" x14ac:dyDescent="0.3">
      <c r="A120" s="98">
        <v>42158.205324074072</v>
      </c>
      <c r="B120" s="99" t="s">
        <v>1049</v>
      </c>
      <c r="C120" s="99" t="s">
        <v>552</v>
      </c>
      <c r="D120" s="99" t="s">
        <v>529</v>
      </c>
      <c r="E120" s="99" t="s">
        <v>330</v>
      </c>
      <c r="F120" s="99" t="s">
        <v>317</v>
      </c>
      <c r="G120" s="99" t="s">
        <v>412</v>
      </c>
      <c r="H120" s="99" t="s">
        <v>5</v>
      </c>
      <c r="I120" s="99" t="s">
        <v>309</v>
      </c>
      <c r="J120" s="99" t="s">
        <v>718</v>
      </c>
      <c r="K120" s="99" t="s">
        <v>315</v>
      </c>
      <c r="L120" s="99" t="s">
        <v>450</v>
      </c>
      <c r="M120" s="99" t="s">
        <v>314</v>
      </c>
      <c r="N120" s="99" t="s">
        <v>4</v>
      </c>
      <c r="O120" s="99" t="s">
        <v>4</v>
      </c>
      <c r="P120" s="99" t="s">
        <v>4</v>
      </c>
      <c r="Q120" s="99" t="s">
        <v>690</v>
      </c>
      <c r="R120" s="99" t="s">
        <v>327</v>
      </c>
      <c r="S120" s="99" t="s">
        <v>978</v>
      </c>
      <c r="T120" s="99" t="s">
        <v>312</v>
      </c>
      <c r="U120" s="99" t="s">
        <v>530</v>
      </c>
      <c r="V120" s="99" t="s">
        <v>1407</v>
      </c>
      <c r="W120" s="99" t="s">
        <v>325</v>
      </c>
      <c r="X120" s="99" t="s">
        <v>352</v>
      </c>
      <c r="Y120" s="99" t="s">
        <v>316</v>
      </c>
      <c r="Z120" s="99" t="s">
        <v>316</v>
      </c>
      <c r="AA120" s="99" t="s">
        <v>490</v>
      </c>
      <c r="AB120" s="99" t="s">
        <v>336</v>
      </c>
      <c r="AC120" s="99" t="s">
        <v>324</v>
      </c>
      <c r="AD120" s="99" t="s">
        <v>647</v>
      </c>
      <c r="AE120" s="99" t="s">
        <v>533</v>
      </c>
      <c r="AF120" s="99" t="s">
        <v>1026</v>
      </c>
      <c r="AG120" s="99" t="s">
        <v>323</v>
      </c>
      <c r="AH120" s="99" t="s">
        <v>302</v>
      </c>
      <c r="AI120" s="99" t="s">
        <v>303</v>
      </c>
      <c r="AJ120" s="99" t="s">
        <v>303</v>
      </c>
      <c r="AK120" s="99" t="s">
        <v>302</v>
      </c>
      <c r="AL120" s="99" t="s">
        <v>303</v>
      </c>
      <c r="AM120" s="99" t="s">
        <v>302</v>
      </c>
      <c r="AN120" s="99" t="s">
        <v>304</v>
      </c>
      <c r="AO120" s="99" t="s">
        <v>304</v>
      </c>
      <c r="AP120" s="99" t="s">
        <v>303</v>
      </c>
      <c r="AQ120" s="99" t="s">
        <v>303</v>
      </c>
      <c r="AR120" s="99" t="s">
        <v>301</v>
      </c>
      <c r="AS120" s="99" t="s">
        <v>300</v>
      </c>
      <c r="AT120" s="99" t="s">
        <v>355</v>
      </c>
      <c r="AU120" s="99" t="s">
        <v>320</v>
      </c>
      <c r="AV120" s="99" t="s">
        <v>547</v>
      </c>
      <c r="AW120" s="99" t="s">
        <v>307</v>
      </c>
      <c r="AX120" s="99" t="s">
        <v>341</v>
      </c>
      <c r="AY120" s="99" t="s">
        <v>1015</v>
      </c>
    </row>
    <row r="121" spans="1:51" ht="86.4" x14ac:dyDescent="0.3">
      <c r="A121" s="98">
        <v>42158.208229166667</v>
      </c>
      <c r="B121" s="99" t="s">
        <v>1049</v>
      </c>
      <c r="C121" s="99" t="s">
        <v>552</v>
      </c>
      <c r="D121" s="99" t="s">
        <v>529</v>
      </c>
      <c r="E121" s="99" t="s">
        <v>3</v>
      </c>
      <c r="F121" s="99" t="s">
        <v>317</v>
      </c>
      <c r="G121" s="99" t="s">
        <v>423</v>
      </c>
      <c r="H121" s="99" t="s">
        <v>390</v>
      </c>
      <c r="I121" s="99" t="s">
        <v>309</v>
      </c>
      <c r="J121" s="99" t="s">
        <v>1110</v>
      </c>
      <c r="K121" s="99" t="s">
        <v>359</v>
      </c>
      <c r="L121" s="99" t="s">
        <v>411</v>
      </c>
      <c r="M121" s="99" t="s">
        <v>353</v>
      </c>
      <c r="N121" s="99" t="s">
        <v>327</v>
      </c>
      <c r="O121" s="99" t="s">
        <v>327</v>
      </c>
      <c r="P121" s="99" t="s">
        <v>327</v>
      </c>
      <c r="Q121" s="99" t="s">
        <v>1391</v>
      </c>
      <c r="R121" s="99" t="s">
        <v>327</v>
      </c>
      <c r="S121" s="99" t="s">
        <v>387</v>
      </c>
      <c r="T121" s="99" t="s">
        <v>366</v>
      </c>
      <c r="U121" s="99" t="s">
        <v>311</v>
      </c>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row>
    <row r="122" spans="1:51" ht="288" x14ac:dyDescent="0.3">
      <c r="A122" s="98">
        <v>42158.208425925928</v>
      </c>
      <c r="B122" s="99" t="s">
        <v>1049</v>
      </c>
      <c r="C122" s="99" t="s">
        <v>552</v>
      </c>
      <c r="D122" s="99" t="s">
        <v>331</v>
      </c>
      <c r="E122" s="99" t="s">
        <v>330</v>
      </c>
      <c r="F122" s="99" t="s">
        <v>317</v>
      </c>
      <c r="G122" s="99" t="s">
        <v>412</v>
      </c>
      <c r="H122" s="99" t="s">
        <v>5</v>
      </c>
      <c r="I122" s="99" t="s">
        <v>309</v>
      </c>
      <c r="J122" s="99" t="s">
        <v>1093</v>
      </c>
      <c r="K122" s="99" t="s">
        <v>328</v>
      </c>
      <c r="L122" s="99" t="s">
        <v>406</v>
      </c>
      <c r="M122" s="99" t="s">
        <v>353</v>
      </c>
      <c r="N122" s="99" t="s">
        <v>327</v>
      </c>
      <c r="O122" s="99" t="s">
        <v>327</v>
      </c>
      <c r="P122" s="99" t="s">
        <v>327</v>
      </c>
      <c r="Q122" s="99" t="s">
        <v>793</v>
      </c>
      <c r="R122" s="99" t="s">
        <v>327</v>
      </c>
      <c r="S122" s="99" t="s">
        <v>879</v>
      </c>
      <c r="T122" s="99" t="s">
        <v>312</v>
      </c>
      <c r="U122" s="99" t="s">
        <v>347</v>
      </c>
      <c r="V122" s="99" t="s">
        <v>1408</v>
      </c>
      <c r="W122" s="99" t="s">
        <v>419</v>
      </c>
      <c r="X122" s="99" t="s">
        <v>310</v>
      </c>
      <c r="Y122" s="99" t="s">
        <v>309</v>
      </c>
      <c r="Z122" s="99" t="s">
        <v>309</v>
      </c>
      <c r="AA122" s="99" t="s">
        <v>395</v>
      </c>
      <c r="AB122" s="99" t="s">
        <v>376</v>
      </c>
      <c r="AC122" s="99" t="s">
        <v>307</v>
      </c>
      <c r="AD122" s="99" t="s">
        <v>1409</v>
      </c>
      <c r="AE122" s="99" t="s">
        <v>545</v>
      </c>
      <c r="AF122" s="99" t="s">
        <v>635</v>
      </c>
      <c r="AG122" s="99" t="s">
        <v>306</v>
      </c>
      <c r="AH122" s="99" t="s">
        <v>303</v>
      </c>
      <c r="AI122" s="99" t="s">
        <v>302</v>
      </c>
      <c r="AJ122" s="99" t="s">
        <v>302</v>
      </c>
      <c r="AK122" s="99" t="s">
        <v>302</v>
      </c>
      <c r="AL122" s="99" t="s">
        <v>304</v>
      </c>
      <c r="AM122" s="99" t="s">
        <v>303</v>
      </c>
      <c r="AN122" s="99" t="s">
        <v>302</v>
      </c>
      <c r="AO122" s="99" t="s">
        <v>302</v>
      </c>
      <c r="AP122" s="99" t="s">
        <v>302</v>
      </c>
      <c r="AQ122" s="99" t="s">
        <v>302</v>
      </c>
      <c r="AR122" s="99" t="s">
        <v>391</v>
      </c>
      <c r="AS122" s="99" t="s">
        <v>300</v>
      </c>
      <c r="AT122" s="99" t="s">
        <v>321</v>
      </c>
      <c r="AU122" s="99" t="s">
        <v>320</v>
      </c>
      <c r="AV122" s="99" t="s">
        <v>364</v>
      </c>
      <c r="AW122" s="99" t="s">
        <v>296</v>
      </c>
      <c r="AX122" s="99" t="s">
        <v>319</v>
      </c>
      <c r="AY122" s="99" t="s">
        <v>1377</v>
      </c>
    </row>
    <row r="123" spans="1:51" ht="115.2" x14ac:dyDescent="0.3">
      <c r="A123" s="98">
        <v>42158.209097222221</v>
      </c>
      <c r="B123" s="99" t="s">
        <v>1049</v>
      </c>
      <c r="C123" s="99" t="s">
        <v>552</v>
      </c>
      <c r="D123" s="99" t="s">
        <v>529</v>
      </c>
      <c r="E123" s="99" t="s">
        <v>3</v>
      </c>
      <c r="F123" s="99" t="s">
        <v>317</v>
      </c>
      <c r="G123" s="99" t="s">
        <v>340</v>
      </c>
      <c r="H123" s="99" t="s">
        <v>5</v>
      </c>
      <c r="I123" s="99" t="s">
        <v>309</v>
      </c>
      <c r="J123" s="99" t="s">
        <v>329</v>
      </c>
      <c r="K123" s="99" t="s">
        <v>368</v>
      </c>
      <c r="L123" s="99" t="s">
        <v>450</v>
      </c>
      <c r="M123" s="99" t="s">
        <v>377</v>
      </c>
      <c r="N123" s="99" t="s">
        <v>327</v>
      </c>
      <c r="O123" s="99" t="s">
        <v>313</v>
      </c>
      <c r="P123" s="99" t="s">
        <v>327</v>
      </c>
      <c r="Q123" s="99" t="s">
        <v>417</v>
      </c>
      <c r="R123" s="99" t="s">
        <v>327</v>
      </c>
      <c r="S123" s="99" t="s">
        <v>796</v>
      </c>
      <c r="T123" s="99" t="s">
        <v>366</v>
      </c>
      <c r="U123" s="99" t="s">
        <v>347</v>
      </c>
      <c r="V123" s="99" t="s">
        <v>553</v>
      </c>
      <c r="W123" s="99" t="s">
        <v>338</v>
      </c>
      <c r="X123" s="99" t="s">
        <v>352</v>
      </c>
      <c r="Y123" s="99" t="s">
        <v>316</v>
      </c>
      <c r="Z123" s="99" t="s">
        <v>316</v>
      </c>
      <c r="AA123" s="99" t="s">
        <v>705</v>
      </c>
      <c r="AB123" s="99" t="s">
        <v>376</v>
      </c>
      <c r="AC123" s="99" t="s">
        <v>381</v>
      </c>
      <c r="AD123" s="99" t="s">
        <v>426</v>
      </c>
      <c r="AE123" s="99" t="s">
        <v>533</v>
      </c>
      <c r="AF123" s="99" t="s">
        <v>730</v>
      </c>
      <c r="AG123" s="99" t="s">
        <v>306</v>
      </c>
      <c r="AH123" s="99" t="s">
        <v>304</v>
      </c>
      <c r="AI123" s="99"/>
      <c r="AJ123" s="99" t="s">
        <v>302</v>
      </c>
      <c r="AK123" s="99" t="s">
        <v>302</v>
      </c>
      <c r="AL123" s="99" t="s">
        <v>302</v>
      </c>
      <c r="AM123" s="99" t="s">
        <v>302</v>
      </c>
      <c r="AN123" s="99" t="s">
        <v>304</v>
      </c>
      <c r="AO123" s="99" t="s">
        <v>305</v>
      </c>
      <c r="AP123" s="99" t="s">
        <v>304</v>
      </c>
      <c r="AQ123" s="99" t="s">
        <v>302</v>
      </c>
      <c r="AR123" s="99" t="s">
        <v>301</v>
      </c>
      <c r="AS123" s="99" t="s">
        <v>350</v>
      </c>
      <c r="AT123" s="99" t="s">
        <v>334</v>
      </c>
      <c r="AU123" s="99" t="s">
        <v>342</v>
      </c>
      <c r="AV123" s="99" t="s">
        <v>333</v>
      </c>
      <c r="AW123" s="99" t="s">
        <v>381</v>
      </c>
      <c r="AX123" s="99" t="s">
        <v>375</v>
      </c>
      <c r="AY123" s="99" t="s">
        <v>643</v>
      </c>
    </row>
    <row r="124" spans="1:51" ht="144" x14ac:dyDescent="0.3">
      <c r="A124" s="98">
        <v>42158.209560185183</v>
      </c>
      <c r="B124" s="99" t="s">
        <v>1049</v>
      </c>
      <c r="C124" s="99" t="s">
        <v>552</v>
      </c>
      <c r="D124" s="99" t="s">
        <v>331</v>
      </c>
      <c r="E124" s="99" t="s">
        <v>3</v>
      </c>
      <c r="F124" s="99" t="s">
        <v>317</v>
      </c>
      <c r="G124" s="99" t="s">
        <v>497</v>
      </c>
      <c r="H124" s="99" t="s">
        <v>5</v>
      </c>
      <c r="I124" s="99" t="s">
        <v>309</v>
      </c>
      <c r="J124" s="99" t="s">
        <v>329</v>
      </c>
      <c r="K124" s="99" t="s">
        <v>368</v>
      </c>
      <c r="L124" s="99" t="s">
        <v>417</v>
      </c>
      <c r="M124" s="99" t="s">
        <v>353</v>
      </c>
      <c r="N124" s="99" t="s">
        <v>327</v>
      </c>
      <c r="O124" s="99" t="s">
        <v>313</v>
      </c>
      <c r="P124" s="99" t="s">
        <v>327</v>
      </c>
      <c r="Q124" s="99" t="s">
        <v>417</v>
      </c>
      <c r="R124" s="99" t="s">
        <v>327</v>
      </c>
      <c r="S124" s="99" t="s">
        <v>796</v>
      </c>
      <c r="T124" s="99" t="s">
        <v>366</v>
      </c>
      <c r="U124" s="99" t="s">
        <v>347</v>
      </c>
      <c r="V124" s="99" t="s">
        <v>553</v>
      </c>
      <c r="W124" s="99" t="s">
        <v>338</v>
      </c>
      <c r="X124" s="99" t="s">
        <v>310</v>
      </c>
      <c r="Y124" s="99" t="s">
        <v>316</v>
      </c>
      <c r="Z124" s="99" t="s">
        <v>316</v>
      </c>
      <c r="AA124" s="99" t="s">
        <v>1410</v>
      </c>
      <c r="AB124" s="99" t="s">
        <v>308</v>
      </c>
      <c r="AC124" s="99" t="s">
        <v>381</v>
      </c>
      <c r="AD124" s="99" t="s">
        <v>846</v>
      </c>
      <c r="AE124" s="99" t="s">
        <v>533</v>
      </c>
      <c r="AF124" s="99" t="s">
        <v>1411</v>
      </c>
      <c r="AG124" s="99" t="s">
        <v>306</v>
      </c>
      <c r="AH124" s="99" t="s">
        <v>303</v>
      </c>
      <c r="AI124" s="99" t="s">
        <v>304</v>
      </c>
      <c r="AJ124" s="99" t="s">
        <v>302</v>
      </c>
      <c r="AK124" s="99" t="s">
        <v>303</v>
      </c>
      <c r="AL124" s="99" t="s">
        <v>303</v>
      </c>
      <c r="AM124" s="99" t="s">
        <v>303</v>
      </c>
      <c r="AN124" s="99" t="s">
        <v>303</v>
      </c>
      <c r="AO124" s="99" t="s">
        <v>303</v>
      </c>
      <c r="AP124" s="99" t="s">
        <v>303</v>
      </c>
      <c r="AQ124" s="99" t="s">
        <v>302</v>
      </c>
      <c r="AR124" s="99" t="s">
        <v>301</v>
      </c>
      <c r="AS124" s="99" t="s">
        <v>350</v>
      </c>
      <c r="AT124" s="99" t="s">
        <v>334</v>
      </c>
      <c r="AU124" s="99" t="s">
        <v>320</v>
      </c>
      <c r="AV124" s="99" t="s">
        <v>536</v>
      </c>
      <c r="AW124" s="99" t="s">
        <v>307</v>
      </c>
      <c r="AX124" s="99" t="s">
        <v>341</v>
      </c>
      <c r="AY124" s="99" t="s">
        <v>418</v>
      </c>
    </row>
    <row r="125" spans="1:51" ht="115.2" x14ac:dyDescent="0.3">
      <c r="A125" s="98">
        <v>42158.209965277776</v>
      </c>
      <c r="B125" s="99" t="s">
        <v>1049</v>
      </c>
      <c r="C125" s="99" t="s">
        <v>552</v>
      </c>
      <c r="D125" s="99" t="s">
        <v>529</v>
      </c>
      <c r="E125" s="99" t="s">
        <v>3</v>
      </c>
      <c r="F125" s="99" t="s">
        <v>317</v>
      </c>
      <c r="G125" s="99" t="s">
        <v>407</v>
      </c>
      <c r="H125" s="99" t="s">
        <v>5</v>
      </c>
      <c r="I125" s="99" t="s">
        <v>345</v>
      </c>
      <c r="J125" s="99" t="s">
        <v>1412</v>
      </c>
      <c r="K125" s="99" t="s">
        <v>315</v>
      </c>
      <c r="L125" s="99" t="s">
        <v>657</v>
      </c>
      <c r="M125" s="99" t="s">
        <v>314</v>
      </c>
      <c r="N125" s="99" t="s">
        <v>313</v>
      </c>
      <c r="O125" s="99" t="s">
        <v>4</v>
      </c>
      <c r="P125" s="99" t="s">
        <v>327</v>
      </c>
      <c r="Q125" s="99" t="s">
        <v>579</v>
      </c>
      <c r="R125" s="99" t="s">
        <v>327</v>
      </c>
      <c r="S125" s="99" t="s">
        <v>796</v>
      </c>
      <c r="T125" s="99" t="s">
        <v>366</v>
      </c>
      <c r="U125" s="99" t="s">
        <v>530</v>
      </c>
      <c r="V125" s="99" t="s">
        <v>1008</v>
      </c>
      <c r="W125" s="99" t="s">
        <v>325</v>
      </c>
      <c r="X125" s="99" t="s">
        <v>310</v>
      </c>
      <c r="Y125" s="99" t="s">
        <v>309</v>
      </c>
      <c r="Z125" s="99" t="s">
        <v>345</v>
      </c>
      <c r="AA125" s="99" t="s">
        <v>732</v>
      </c>
      <c r="AB125" s="99" t="s">
        <v>393</v>
      </c>
      <c r="AC125" s="99" t="s">
        <v>296</v>
      </c>
      <c r="AD125" s="99" t="s">
        <v>431</v>
      </c>
      <c r="AE125" s="99" t="s">
        <v>535</v>
      </c>
      <c r="AF125" s="99" t="s">
        <v>1107</v>
      </c>
      <c r="AG125" s="99" t="s">
        <v>306</v>
      </c>
      <c r="AH125" s="99" t="s">
        <v>303</v>
      </c>
      <c r="AI125" s="99" t="s">
        <v>303</v>
      </c>
      <c r="AJ125" s="99" t="s">
        <v>302</v>
      </c>
      <c r="AK125" s="99" t="s">
        <v>303</v>
      </c>
      <c r="AL125" s="99" t="s">
        <v>304</v>
      </c>
      <c r="AM125" s="99" t="s">
        <v>302</v>
      </c>
      <c r="AN125" s="99" t="s">
        <v>302</v>
      </c>
      <c r="AO125" s="99" t="s">
        <v>303</v>
      </c>
      <c r="AP125" s="99" t="s">
        <v>302</v>
      </c>
      <c r="AQ125" s="99" t="s">
        <v>303</v>
      </c>
      <c r="AR125" s="99" t="s">
        <v>391</v>
      </c>
      <c r="AS125" s="99" t="s">
        <v>350</v>
      </c>
      <c r="AT125" s="99" t="s">
        <v>355</v>
      </c>
      <c r="AU125" s="99" t="s">
        <v>320</v>
      </c>
      <c r="AV125" s="99" t="s">
        <v>536</v>
      </c>
      <c r="AW125" s="99" t="s">
        <v>296</v>
      </c>
      <c r="AX125" s="99" t="s">
        <v>319</v>
      </c>
      <c r="AY125" s="99" t="s">
        <v>1068</v>
      </c>
    </row>
    <row r="126" spans="1:51" ht="172.8" x14ac:dyDescent="0.3">
      <c r="A126" s="98">
        <v>42158.210462962961</v>
      </c>
      <c r="B126" s="99" t="s">
        <v>1049</v>
      </c>
      <c r="C126" s="99" t="s">
        <v>552</v>
      </c>
      <c r="D126" s="99" t="s">
        <v>529</v>
      </c>
      <c r="E126" s="99" t="s">
        <v>3</v>
      </c>
      <c r="F126" s="99" t="s">
        <v>317</v>
      </c>
      <c r="G126" s="99" t="s">
        <v>407</v>
      </c>
      <c r="H126" s="99" t="s">
        <v>5</v>
      </c>
      <c r="I126" s="99" t="s">
        <v>309</v>
      </c>
      <c r="J126" s="99" t="s">
        <v>544</v>
      </c>
      <c r="K126" s="99" t="s">
        <v>315</v>
      </c>
      <c r="L126" s="99" t="s">
        <v>1396</v>
      </c>
      <c r="M126" s="99" t="s">
        <v>314</v>
      </c>
      <c r="N126" s="99" t="s">
        <v>313</v>
      </c>
      <c r="O126" s="99" t="s">
        <v>4</v>
      </c>
      <c r="P126" s="99" t="s">
        <v>313</v>
      </c>
      <c r="Q126" s="99" t="s">
        <v>399</v>
      </c>
      <c r="R126" s="99" t="s">
        <v>327</v>
      </c>
      <c r="S126" s="99" t="s">
        <v>394</v>
      </c>
      <c r="T126" s="99" t="s">
        <v>312</v>
      </c>
      <c r="U126" s="99" t="s">
        <v>373</v>
      </c>
      <c r="V126" s="99" t="s">
        <v>362</v>
      </c>
      <c r="W126" s="99" t="s">
        <v>325</v>
      </c>
      <c r="X126" s="99" t="s">
        <v>352</v>
      </c>
      <c r="Y126" s="99" t="s">
        <v>316</v>
      </c>
      <c r="Z126" s="99" t="s">
        <v>316</v>
      </c>
      <c r="AA126" s="99" t="s">
        <v>678</v>
      </c>
      <c r="AB126" s="99" t="s">
        <v>358</v>
      </c>
      <c r="AC126" s="99" t="s">
        <v>324</v>
      </c>
      <c r="AD126" s="99" t="s">
        <v>846</v>
      </c>
      <c r="AE126" s="99" t="s">
        <v>539</v>
      </c>
      <c r="AF126" s="99" t="s">
        <v>1413</v>
      </c>
      <c r="AG126" s="99" t="s">
        <v>304</v>
      </c>
      <c r="AH126" s="99" t="s">
        <v>302</v>
      </c>
      <c r="AI126" s="99" t="s">
        <v>303</v>
      </c>
      <c r="AJ126" s="99" t="s">
        <v>302</v>
      </c>
      <c r="AK126" s="99" t="s">
        <v>302</v>
      </c>
      <c r="AL126" s="99" t="s">
        <v>302</v>
      </c>
      <c r="AM126" s="99" t="s">
        <v>302</v>
      </c>
      <c r="AN126" s="99" t="s">
        <v>303</v>
      </c>
      <c r="AO126" s="99" t="s">
        <v>304</v>
      </c>
      <c r="AP126" s="99" t="s">
        <v>302</v>
      </c>
      <c r="AQ126" s="99" t="s">
        <v>303</v>
      </c>
      <c r="AR126" s="99" t="s">
        <v>301</v>
      </c>
      <c r="AS126" s="99" t="s">
        <v>300</v>
      </c>
      <c r="AT126" s="99" t="s">
        <v>360</v>
      </c>
      <c r="AU126" s="99" t="s">
        <v>320</v>
      </c>
      <c r="AV126" s="99" t="s">
        <v>536</v>
      </c>
      <c r="AW126" s="99" t="s">
        <v>324</v>
      </c>
      <c r="AX126" s="99" t="s">
        <v>549</v>
      </c>
      <c r="AY126" s="99" t="s">
        <v>482</v>
      </c>
    </row>
    <row r="127" spans="1:51" ht="172.8" x14ac:dyDescent="0.3">
      <c r="A127" s="98">
        <v>42158.212500000001</v>
      </c>
      <c r="B127" s="99" t="s">
        <v>1049</v>
      </c>
      <c r="C127" s="99" t="s">
        <v>552</v>
      </c>
      <c r="D127" s="99" t="s">
        <v>529</v>
      </c>
      <c r="E127" s="99" t="s">
        <v>330</v>
      </c>
      <c r="F127" s="99" t="s">
        <v>372</v>
      </c>
      <c r="G127" s="99" t="s">
        <v>407</v>
      </c>
      <c r="H127" s="99" t="s">
        <v>5</v>
      </c>
      <c r="I127" s="99" t="s">
        <v>309</v>
      </c>
      <c r="J127" s="99" t="s">
        <v>1414</v>
      </c>
      <c r="K127" s="99" t="s">
        <v>328</v>
      </c>
      <c r="L127" s="99" t="s">
        <v>427</v>
      </c>
      <c r="M127" s="99" t="s">
        <v>348</v>
      </c>
      <c r="N127" s="99" t="s">
        <v>313</v>
      </c>
      <c r="O127" s="99" t="s">
        <v>327</v>
      </c>
      <c r="P127" s="99" t="s">
        <v>4</v>
      </c>
      <c r="Q127" s="99" t="s">
        <v>417</v>
      </c>
      <c r="R127" s="99" t="s">
        <v>327</v>
      </c>
      <c r="S127" s="99" t="s">
        <v>662</v>
      </c>
      <c r="T127" s="99" t="s">
        <v>366</v>
      </c>
      <c r="U127" s="99" t="s">
        <v>311</v>
      </c>
      <c r="V127" s="99" t="s">
        <v>585</v>
      </c>
      <c r="W127" s="99" t="s">
        <v>325</v>
      </c>
      <c r="X127" s="99" t="s">
        <v>337</v>
      </c>
      <c r="Y127" s="99" t="s">
        <v>316</v>
      </c>
      <c r="Z127" s="99" t="s">
        <v>316</v>
      </c>
      <c r="AA127" s="99" t="s">
        <v>1306</v>
      </c>
      <c r="AB127" s="99" t="s">
        <v>376</v>
      </c>
      <c r="AC127" s="99" t="s">
        <v>307</v>
      </c>
      <c r="AD127" s="99" t="s">
        <v>448</v>
      </c>
      <c r="AE127" s="99" t="s">
        <v>532</v>
      </c>
      <c r="AF127" s="99" t="s">
        <v>466</v>
      </c>
      <c r="AG127" s="99" t="s">
        <v>306</v>
      </c>
      <c r="AH127" s="99" t="s">
        <v>303</v>
      </c>
      <c r="AI127" s="99" t="s">
        <v>303</v>
      </c>
      <c r="AJ127" s="99" t="s">
        <v>303</v>
      </c>
      <c r="AK127" s="99" t="s">
        <v>302</v>
      </c>
      <c r="AL127" s="99" t="s">
        <v>303</v>
      </c>
      <c r="AM127" s="99"/>
      <c r="AN127" s="99" t="s">
        <v>303</v>
      </c>
      <c r="AO127" s="99" t="s">
        <v>302</v>
      </c>
      <c r="AP127" s="99" t="s">
        <v>302</v>
      </c>
      <c r="AQ127" s="99" t="s">
        <v>302</v>
      </c>
      <c r="AR127" s="99" t="s">
        <v>558</v>
      </c>
      <c r="AS127" s="99" t="s">
        <v>300</v>
      </c>
      <c r="AT127" s="99" t="s">
        <v>355</v>
      </c>
      <c r="AU127" s="99" t="s">
        <v>342</v>
      </c>
      <c r="AV127" s="99" t="s">
        <v>536</v>
      </c>
      <c r="AW127" s="99" t="s">
        <v>324</v>
      </c>
      <c r="AX127" s="99" t="s">
        <v>319</v>
      </c>
      <c r="AY127" s="99" t="s">
        <v>332</v>
      </c>
    </row>
    <row r="128" spans="1:51" ht="259.2" x14ac:dyDescent="0.3">
      <c r="A128" s="98">
        <v>42158.213240740741</v>
      </c>
      <c r="B128" s="99" t="s">
        <v>1049</v>
      </c>
      <c r="C128" s="99" t="s">
        <v>552</v>
      </c>
      <c r="D128" s="99" t="s">
        <v>529</v>
      </c>
      <c r="E128" s="99" t="s">
        <v>330</v>
      </c>
      <c r="F128" s="99" t="s">
        <v>317</v>
      </c>
      <c r="G128" s="99" t="s">
        <v>446</v>
      </c>
      <c r="H128" s="99" t="s">
        <v>5</v>
      </c>
      <c r="I128" s="99" t="s">
        <v>345</v>
      </c>
      <c r="J128" s="99" t="s">
        <v>1152</v>
      </c>
      <c r="K128" s="99" t="s">
        <v>384</v>
      </c>
      <c r="L128" s="99" t="s">
        <v>577</v>
      </c>
      <c r="M128" s="99" t="s">
        <v>367</v>
      </c>
      <c r="N128" s="99" t="s">
        <v>4</v>
      </c>
      <c r="O128" s="99" t="s">
        <v>4</v>
      </c>
      <c r="P128" s="99" t="s">
        <v>313</v>
      </c>
      <c r="Q128" s="99" t="s">
        <v>471</v>
      </c>
      <c r="R128" s="99" t="s">
        <v>327</v>
      </c>
      <c r="S128" s="99" t="s">
        <v>1415</v>
      </c>
      <c r="T128" s="99" t="s">
        <v>312</v>
      </c>
      <c r="U128" s="99" t="s">
        <v>347</v>
      </c>
      <c r="V128" s="99" t="s">
        <v>495</v>
      </c>
      <c r="W128" s="99" t="s">
        <v>370</v>
      </c>
      <c r="X128" s="99" t="s">
        <v>346</v>
      </c>
      <c r="Y128" s="99" t="s">
        <v>316</v>
      </c>
      <c r="Z128" s="99" t="s">
        <v>316</v>
      </c>
      <c r="AA128" s="99" t="s">
        <v>395</v>
      </c>
      <c r="AB128" s="99" t="s">
        <v>393</v>
      </c>
      <c r="AC128" s="99" t="s">
        <v>351</v>
      </c>
      <c r="AD128" s="99" t="s">
        <v>1079</v>
      </c>
      <c r="AE128" s="99" t="s">
        <v>545</v>
      </c>
      <c r="AF128" s="99" t="s">
        <v>1416</v>
      </c>
      <c r="AG128" s="99" t="s">
        <v>323</v>
      </c>
      <c r="AH128" s="99" t="s">
        <v>6</v>
      </c>
      <c r="AI128" s="99" t="s">
        <v>6</v>
      </c>
      <c r="AJ128" s="99" t="s">
        <v>303</v>
      </c>
      <c r="AK128" s="99" t="s">
        <v>304</v>
      </c>
      <c r="AL128" s="99" t="s">
        <v>304</v>
      </c>
      <c r="AM128" s="99" t="s">
        <v>303</v>
      </c>
      <c r="AN128" s="99" t="s">
        <v>303</v>
      </c>
      <c r="AO128" s="99" t="s">
        <v>305</v>
      </c>
      <c r="AP128" s="99" t="s">
        <v>304</v>
      </c>
      <c r="AQ128" s="99" t="s">
        <v>304</v>
      </c>
      <c r="AR128" s="99" t="s">
        <v>558</v>
      </c>
      <c r="AS128" s="99" t="s">
        <v>300</v>
      </c>
      <c r="AT128" s="99" t="s">
        <v>321</v>
      </c>
      <c r="AU128" s="99" t="s">
        <v>342</v>
      </c>
      <c r="AV128" s="99" t="s">
        <v>297</v>
      </c>
      <c r="AW128" s="99" t="s">
        <v>324</v>
      </c>
      <c r="AX128" s="99" t="s">
        <v>534</v>
      </c>
      <c r="AY128" s="99" t="s">
        <v>1417</v>
      </c>
    </row>
    <row r="129" spans="1:51" ht="259.2" x14ac:dyDescent="0.3">
      <c r="A129" s="98">
        <v>42158.213356481479</v>
      </c>
      <c r="B129" s="99" t="s">
        <v>1049</v>
      </c>
      <c r="C129" s="99" t="s">
        <v>552</v>
      </c>
      <c r="D129" s="99" t="s">
        <v>529</v>
      </c>
      <c r="E129" s="99" t="s">
        <v>330</v>
      </c>
      <c r="F129" s="99" t="s">
        <v>317</v>
      </c>
      <c r="G129" s="99" t="s">
        <v>451</v>
      </c>
      <c r="H129" s="99" t="s">
        <v>5</v>
      </c>
      <c r="I129" s="99" t="s">
        <v>309</v>
      </c>
      <c r="J129" s="99" t="s">
        <v>557</v>
      </c>
      <c r="K129" s="99" t="s">
        <v>354</v>
      </c>
      <c r="L129" s="99" t="s">
        <v>450</v>
      </c>
      <c r="M129" s="99" t="s">
        <v>348</v>
      </c>
      <c r="N129" s="99"/>
      <c r="O129" s="99" t="s">
        <v>327</v>
      </c>
      <c r="P129" s="99" t="s">
        <v>374</v>
      </c>
      <c r="Q129" s="99" t="s">
        <v>417</v>
      </c>
      <c r="R129" s="99" t="s">
        <v>4</v>
      </c>
      <c r="S129" s="99" t="s">
        <v>1418</v>
      </c>
      <c r="T129" s="99" t="s">
        <v>326</v>
      </c>
      <c r="U129" s="99" t="s">
        <v>373</v>
      </c>
      <c r="V129" s="99" t="s">
        <v>1039</v>
      </c>
      <c r="W129" s="99" t="s">
        <v>1278</v>
      </c>
      <c r="X129" s="99" t="s">
        <v>346</v>
      </c>
      <c r="Y129" s="99" t="s">
        <v>316</v>
      </c>
      <c r="Z129" s="99" t="s">
        <v>316</v>
      </c>
      <c r="AA129" s="99" t="s">
        <v>472</v>
      </c>
      <c r="AB129" s="99" t="s">
        <v>358</v>
      </c>
      <c r="AC129" s="99" t="s">
        <v>324</v>
      </c>
      <c r="AD129" s="99" t="s">
        <v>1230</v>
      </c>
      <c r="AE129" s="99" t="s">
        <v>532</v>
      </c>
      <c r="AF129" s="99" t="s">
        <v>1419</v>
      </c>
      <c r="AG129" s="99" t="s">
        <v>304</v>
      </c>
      <c r="AH129" s="99" t="s">
        <v>302</v>
      </c>
      <c r="AI129" s="99" t="s">
        <v>303</v>
      </c>
      <c r="AJ129" s="99" t="s">
        <v>302</v>
      </c>
      <c r="AK129" s="99" t="s">
        <v>303</v>
      </c>
      <c r="AL129" s="99" t="s">
        <v>303</v>
      </c>
      <c r="AM129" s="99" t="s">
        <v>302</v>
      </c>
      <c r="AN129" s="99" t="s">
        <v>302</v>
      </c>
      <c r="AO129" s="99" t="s">
        <v>302</v>
      </c>
      <c r="AP129" s="99" t="s">
        <v>302</v>
      </c>
      <c r="AQ129" s="99" t="s">
        <v>302</v>
      </c>
      <c r="AR129" s="99" t="s">
        <v>301</v>
      </c>
      <c r="AS129" s="99" t="s">
        <v>350</v>
      </c>
      <c r="AT129" s="99" t="s">
        <v>321</v>
      </c>
      <c r="AU129" s="99" t="s">
        <v>320</v>
      </c>
      <c r="AV129" s="99" t="s">
        <v>333</v>
      </c>
      <c r="AW129" s="99" t="s">
        <v>324</v>
      </c>
      <c r="AX129" s="99" t="s">
        <v>549</v>
      </c>
      <c r="AY129" s="99" t="s">
        <v>332</v>
      </c>
    </row>
    <row r="130" spans="1:51" ht="216" x14ac:dyDescent="0.3">
      <c r="A130" s="98">
        <v>42158.215277777781</v>
      </c>
      <c r="B130" s="99" t="s">
        <v>1049</v>
      </c>
      <c r="C130" s="99" t="s">
        <v>552</v>
      </c>
      <c r="D130" s="99" t="s">
        <v>529</v>
      </c>
      <c r="E130" s="99" t="s">
        <v>3</v>
      </c>
      <c r="F130" s="99" t="s">
        <v>317</v>
      </c>
      <c r="G130" s="99" t="s">
        <v>407</v>
      </c>
      <c r="H130" s="99" t="s">
        <v>5</v>
      </c>
      <c r="I130" s="99" t="s">
        <v>309</v>
      </c>
      <c r="J130" s="99" t="s">
        <v>1136</v>
      </c>
      <c r="K130" s="99" t="s">
        <v>315</v>
      </c>
      <c r="L130" s="99" t="s">
        <v>409</v>
      </c>
      <c r="M130" s="99" t="s">
        <v>367</v>
      </c>
      <c r="N130" s="99" t="s">
        <v>313</v>
      </c>
      <c r="O130" s="99" t="s">
        <v>4</v>
      </c>
      <c r="P130" s="99" t="s">
        <v>313</v>
      </c>
      <c r="Q130" s="99" t="s">
        <v>566</v>
      </c>
      <c r="R130" s="99" t="s">
        <v>327</v>
      </c>
      <c r="S130" s="99" t="s">
        <v>1420</v>
      </c>
      <c r="T130" s="99" t="s">
        <v>326</v>
      </c>
      <c r="U130" s="99" t="s">
        <v>530</v>
      </c>
      <c r="V130" s="99" t="s">
        <v>925</v>
      </c>
      <c r="W130" s="99" t="s">
        <v>1278</v>
      </c>
      <c r="X130" s="99" t="s">
        <v>310</v>
      </c>
      <c r="Y130" s="99" t="s">
        <v>345</v>
      </c>
      <c r="Z130" s="99" t="s">
        <v>345</v>
      </c>
      <c r="AA130" s="99" t="s">
        <v>850</v>
      </c>
      <c r="AB130" s="99" t="s">
        <v>308</v>
      </c>
      <c r="AC130" s="99" t="s">
        <v>296</v>
      </c>
      <c r="AD130" s="99" t="s">
        <v>444</v>
      </c>
      <c r="AE130" s="99" t="s">
        <v>535</v>
      </c>
      <c r="AF130" s="99" t="s">
        <v>932</v>
      </c>
      <c r="AG130" s="99" t="s">
        <v>306</v>
      </c>
      <c r="AH130" s="99" t="s">
        <v>6</v>
      </c>
      <c r="AI130" s="99" t="s">
        <v>6</v>
      </c>
      <c r="AJ130" s="99" t="s">
        <v>303</v>
      </c>
      <c r="AK130" s="99" t="s">
        <v>303</v>
      </c>
      <c r="AL130" s="99" t="s">
        <v>302</v>
      </c>
      <c r="AM130" s="99" t="s">
        <v>304</v>
      </c>
      <c r="AN130" s="99" t="s">
        <v>302</v>
      </c>
      <c r="AO130" s="99" t="s">
        <v>303</v>
      </c>
      <c r="AP130" s="99" t="s">
        <v>303</v>
      </c>
      <c r="AQ130" s="99" t="s">
        <v>302</v>
      </c>
      <c r="AR130" s="99" t="s">
        <v>343</v>
      </c>
      <c r="AS130" s="99" t="s">
        <v>300</v>
      </c>
      <c r="AT130" s="99" t="s">
        <v>299</v>
      </c>
      <c r="AU130" s="99" t="s">
        <v>320</v>
      </c>
      <c r="AV130" s="99" t="s">
        <v>547</v>
      </c>
      <c r="AW130" s="99" t="s">
        <v>296</v>
      </c>
      <c r="AX130" s="99" t="s">
        <v>319</v>
      </c>
      <c r="AY130" s="99" t="s">
        <v>413</v>
      </c>
    </row>
    <row r="131" spans="1:51" ht="100.8" x14ac:dyDescent="0.3">
      <c r="A131" s="98">
        <v>42158.215451388889</v>
      </c>
      <c r="B131" s="99" t="s">
        <v>1049</v>
      </c>
      <c r="C131" s="99" t="s">
        <v>552</v>
      </c>
      <c r="D131" s="99" t="s">
        <v>331</v>
      </c>
      <c r="E131" s="99" t="s">
        <v>3</v>
      </c>
      <c r="F131" s="99" t="s">
        <v>317</v>
      </c>
      <c r="G131" s="99" t="s">
        <v>407</v>
      </c>
      <c r="H131" s="99" t="s">
        <v>5</v>
      </c>
      <c r="I131" s="99" t="s">
        <v>309</v>
      </c>
      <c r="J131" s="99" t="s">
        <v>1421</v>
      </c>
      <c r="K131" s="99" t="s">
        <v>328</v>
      </c>
      <c r="L131" s="99" t="s">
        <v>429</v>
      </c>
      <c r="M131" s="99" t="s">
        <v>348</v>
      </c>
      <c r="N131" s="99" t="s">
        <v>327</v>
      </c>
      <c r="O131" s="99" t="s">
        <v>327</v>
      </c>
      <c r="P131" s="99" t="s">
        <v>313</v>
      </c>
      <c r="Q131" s="99" t="s">
        <v>411</v>
      </c>
      <c r="R131" s="99" t="s">
        <v>327</v>
      </c>
      <c r="S131" s="99" t="s">
        <v>895</v>
      </c>
      <c r="T131" s="99" t="s">
        <v>312</v>
      </c>
      <c r="U131" s="99" t="s">
        <v>530</v>
      </c>
      <c r="V131" s="99" t="s">
        <v>1422</v>
      </c>
      <c r="W131" s="99" t="s">
        <v>325</v>
      </c>
      <c r="X131" s="99" t="s">
        <v>352</v>
      </c>
      <c r="Y131" s="99" t="s">
        <v>316</v>
      </c>
      <c r="Z131" s="99" t="s">
        <v>316</v>
      </c>
      <c r="AA131" s="99" t="s">
        <v>1025</v>
      </c>
      <c r="AB131" s="99" t="s">
        <v>308</v>
      </c>
      <c r="AC131" s="99" t="s">
        <v>324</v>
      </c>
      <c r="AD131" s="99" t="s">
        <v>414</v>
      </c>
      <c r="AE131" s="99" t="s">
        <v>539</v>
      </c>
      <c r="AF131" s="99" t="s">
        <v>1423</v>
      </c>
      <c r="AG131" s="99" t="s">
        <v>304</v>
      </c>
      <c r="AH131" s="99" t="s">
        <v>304</v>
      </c>
      <c r="AI131" s="99" t="s">
        <v>304</v>
      </c>
      <c r="AJ131" s="99" t="s">
        <v>302</v>
      </c>
      <c r="AK131" s="99" t="s">
        <v>302</v>
      </c>
      <c r="AL131" s="99" t="s">
        <v>302</v>
      </c>
      <c r="AM131" s="99" t="s">
        <v>302</v>
      </c>
      <c r="AN131" s="99" t="s">
        <v>302</v>
      </c>
      <c r="AO131" s="99" t="s">
        <v>302</v>
      </c>
      <c r="AP131" s="99" t="s">
        <v>303</v>
      </c>
      <c r="AQ131" s="99" t="s">
        <v>303</v>
      </c>
      <c r="AR131" s="99" t="s">
        <v>391</v>
      </c>
      <c r="AS131" s="99" t="s">
        <v>300</v>
      </c>
      <c r="AT131" s="99" t="s">
        <v>355</v>
      </c>
      <c r="AU131" s="99" t="s">
        <v>342</v>
      </c>
      <c r="AV131" s="99" t="s">
        <v>364</v>
      </c>
      <c r="AW131" s="99" t="s">
        <v>296</v>
      </c>
      <c r="AX131" s="99" t="s">
        <v>319</v>
      </c>
      <c r="AY131" s="99" t="s">
        <v>402</v>
      </c>
    </row>
    <row r="132" spans="1:51" ht="115.2" x14ac:dyDescent="0.3">
      <c r="A132" s="98">
        <v>42158.216724537036</v>
      </c>
      <c r="B132" s="99" t="s">
        <v>1049</v>
      </c>
      <c r="C132" s="99" t="s">
        <v>552</v>
      </c>
      <c r="D132" s="99" t="s">
        <v>529</v>
      </c>
      <c r="E132" s="99" t="s">
        <v>3</v>
      </c>
      <c r="F132" s="99" t="s">
        <v>372</v>
      </c>
      <c r="G132" s="99" t="s">
        <v>340</v>
      </c>
      <c r="H132" s="99" t="s">
        <v>5</v>
      </c>
      <c r="I132" s="99" t="s">
        <v>309</v>
      </c>
      <c r="J132" s="99" t="s">
        <v>736</v>
      </c>
      <c r="K132" s="99" t="s">
        <v>315</v>
      </c>
      <c r="L132" s="99" t="s">
        <v>1424</v>
      </c>
      <c r="M132" s="99" t="s">
        <v>314</v>
      </c>
      <c r="N132" s="99" t="s">
        <v>327</v>
      </c>
      <c r="O132" s="99" t="s">
        <v>327</v>
      </c>
      <c r="P132" s="99" t="s">
        <v>327</v>
      </c>
      <c r="Q132" s="99" t="s">
        <v>801</v>
      </c>
      <c r="R132" s="99" t="s">
        <v>327</v>
      </c>
      <c r="S132" s="99" t="s">
        <v>900</v>
      </c>
      <c r="T132" s="99" t="s">
        <v>326</v>
      </c>
      <c r="U132" s="99" t="s">
        <v>311</v>
      </c>
      <c r="V132" s="99" t="s">
        <v>339</v>
      </c>
      <c r="W132" s="99" t="s">
        <v>338</v>
      </c>
      <c r="X132" s="99" t="s">
        <v>310</v>
      </c>
      <c r="Y132" s="99" t="s">
        <v>316</v>
      </c>
      <c r="Z132" s="99" t="s">
        <v>316</v>
      </c>
      <c r="AA132" s="99" t="s">
        <v>678</v>
      </c>
      <c r="AB132" s="99" t="s">
        <v>308</v>
      </c>
      <c r="AC132" s="99" t="s">
        <v>296</v>
      </c>
      <c r="AD132" s="99" t="s">
        <v>414</v>
      </c>
      <c r="AE132" s="99" t="s">
        <v>535</v>
      </c>
      <c r="AF132" s="99" t="s">
        <v>1072</v>
      </c>
      <c r="AG132" s="99" t="s">
        <v>306</v>
      </c>
      <c r="AH132" s="99" t="s">
        <v>302</v>
      </c>
      <c r="AI132" s="99" t="s">
        <v>302</v>
      </c>
      <c r="AJ132" s="99" t="s">
        <v>302</v>
      </c>
      <c r="AK132" s="99" t="s">
        <v>302</v>
      </c>
      <c r="AL132" s="99" t="s">
        <v>303</v>
      </c>
      <c r="AM132" s="99" t="s">
        <v>302</v>
      </c>
      <c r="AN132" s="99" t="s">
        <v>302</v>
      </c>
      <c r="AO132" s="99" t="s">
        <v>302</v>
      </c>
      <c r="AP132" s="99" t="s">
        <v>302</v>
      </c>
      <c r="AQ132" s="99" t="s">
        <v>302</v>
      </c>
      <c r="AR132" s="99" t="s">
        <v>301</v>
      </c>
      <c r="AS132" s="99" t="s">
        <v>300</v>
      </c>
      <c r="AT132" s="99" t="s">
        <v>355</v>
      </c>
      <c r="AU132" s="99" t="s">
        <v>342</v>
      </c>
      <c r="AV132" s="99" t="s">
        <v>364</v>
      </c>
      <c r="AW132" s="99" t="s">
        <v>296</v>
      </c>
      <c r="AX132" s="99" t="s">
        <v>341</v>
      </c>
      <c r="AY132" s="99" t="s">
        <v>402</v>
      </c>
    </row>
    <row r="133" spans="1:51" ht="129.6" x14ac:dyDescent="0.3">
      <c r="A133" s="98">
        <v>42158.239212962966</v>
      </c>
      <c r="B133" s="99" t="s">
        <v>1049</v>
      </c>
      <c r="C133" s="99" t="s">
        <v>552</v>
      </c>
      <c r="D133" s="99" t="s">
        <v>529</v>
      </c>
      <c r="E133" s="99" t="s">
        <v>330</v>
      </c>
      <c r="F133" s="99" t="s">
        <v>317</v>
      </c>
      <c r="G133" s="99" t="s">
        <v>407</v>
      </c>
      <c r="H133" s="99" t="s">
        <v>5</v>
      </c>
      <c r="I133" s="99" t="s">
        <v>309</v>
      </c>
      <c r="J133" s="99" t="s">
        <v>877</v>
      </c>
      <c r="K133" s="99" t="s">
        <v>328</v>
      </c>
      <c r="L133" s="99" t="s">
        <v>546</v>
      </c>
      <c r="M133" s="99" t="s">
        <v>314</v>
      </c>
      <c r="N133" s="99" t="s">
        <v>327</v>
      </c>
      <c r="O133" s="99" t="s">
        <v>327</v>
      </c>
      <c r="P133" s="99" t="s">
        <v>327</v>
      </c>
      <c r="Q133" s="99" t="s">
        <v>1425</v>
      </c>
      <c r="R133" s="99" t="s">
        <v>327</v>
      </c>
      <c r="S133" s="99" t="s">
        <v>1426</v>
      </c>
      <c r="T133" s="99" t="s">
        <v>366</v>
      </c>
      <c r="U133" s="99"/>
      <c r="V133" s="99" t="s">
        <v>1427</v>
      </c>
      <c r="W133" s="99" t="s">
        <v>338</v>
      </c>
      <c r="X133" s="99" t="s">
        <v>310</v>
      </c>
      <c r="Y133" s="99" t="s">
        <v>316</v>
      </c>
      <c r="Z133" s="99" t="s">
        <v>316</v>
      </c>
      <c r="AA133" s="99" t="s">
        <v>478</v>
      </c>
      <c r="AB133" s="99" t="s">
        <v>389</v>
      </c>
      <c r="AC133" s="99" t="s">
        <v>324</v>
      </c>
      <c r="AD133" s="99" t="s">
        <v>1428</v>
      </c>
      <c r="AE133" s="99" t="s">
        <v>532</v>
      </c>
      <c r="AF133" s="99" t="s">
        <v>631</v>
      </c>
      <c r="AG133" s="99" t="s">
        <v>306</v>
      </c>
      <c r="AH133" s="99" t="s">
        <v>304</v>
      </c>
      <c r="AI133" s="99" t="s">
        <v>304</v>
      </c>
      <c r="AJ133" s="99" t="s">
        <v>304</v>
      </c>
      <c r="AK133" s="99" t="s">
        <v>304</v>
      </c>
      <c r="AL133" s="99" t="s">
        <v>304</v>
      </c>
      <c r="AM133" s="99" t="s">
        <v>302</v>
      </c>
      <c r="AN133" s="99" t="s">
        <v>302</v>
      </c>
      <c r="AO133" s="99" t="s">
        <v>302</v>
      </c>
      <c r="AP133" s="99" t="s">
        <v>302</v>
      </c>
      <c r="AQ133" s="99" t="s">
        <v>302</v>
      </c>
      <c r="AR133" s="99" t="s">
        <v>301</v>
      </c>
      <c r="AS133" s="99" t="s">
        <v>300</v>
      </c>
      <c r="AT133" s="99" t="s">
        <v>360</v>
      </c>
      <c r="AU133" s="99" t="s">
        <v>298</v>
      </c>
      <c r="AV133" s="99" t="s">
        <v>536</v>
      </c>
      <c r="AW133" s="99" t="s">
        <v>296</v>
      </c>
      <c r="AX133" s="99" t="s">
        <v>549</v>
      </c>
      <c r="AY133" s="99" t="s">
        <v>436</v>
      </c>
    </row>
    <row r="134" spans="1:51" ht="158.4" x14ac:dyDescent="0.3">
      <c r="A134" s="98">
        <v>42158.241909722223</v>
      </c>
      <c r="B134" s="99" t="s">
        <v>1049</v>
      </c>
      <c r="C134" s="99" t="s">
        <v>552</v>
      </c>
      <c r="D134" s="99" t="s">
        <v>529</v>
      </c>
      <c r="E134" s="99" t="s">
        <v>330</v>
      </c>
      <c r="F134" s="99" t="s">
        <v>317</v>
      </c>
      <c r="G134" s="99" t="s">
        <v>430</v>
      </c>
      <c r="H134" s="99" t="s">
        <v>390</v>
      </c>
      <c r="I134" s="99" t="s">
        <v>309</v>
      </c>
      <c r="J134" s="99" t="s">
        <v>1045</v>
      </c>
      <c r="K134" s="99" t="s">
        <v>384</v>
      </c>
      <c r="L134" s="99" t="s">
        <v>450</v>
      </c>
      <c r="M134" s="99" t="s">
        <v>363</v>
      </c>
      <c r="N134" s="99" t="s">
        <v>313</v>
      </c>
      <c r="O134" s="99" t="s">
        <v>4</v>
      </c>
      <c r="P134" s="99" t="s">
        <v>4</v>
      </c>
      <c r="Q134" s="99" t="s">
        <v>450</v>
      </c>
      <c r="R134" s="99" t="s">
        <v>327</v>
      </c>
      <c r="S134" s="99" t="s">
        <v>1429</v>
      </c>
      <c r="T134" s="99" t="s">
        <v>312</v>
      </c>
      <c r="U134" s="99" t="s">
        <v>347</v>
      </c>
      <c r="V134" s="99" t="s">
        <v>1430</v>
      </c>
      <c r="W134" s="99" t="s">
        <v>338</v>
      </c>
      <c r="X134" s="99" t="s">
        <v>352</v>
      </c>
      <c r="Y134" s="99" t="s">
        <v>316</v>
      </c>
      <c r="Z134" s="99" t="s">
        <v>316</v>
      </c>
      <c r="AA134" s="99" t="s">
        <v>410</v>
      </c>
      <c r="AB134" s="99" t="s">
        <v>308</v>
      </c>
      <c r="AC134" s="99" t="s">
        <v>324</v>
      </c>
      <c r="AD134" s="99" t="s">
        <v>448</v>
      </c>
      <c r="AE134" s="99" t="s">
        <v>535</v>
      </c>
      <c r="AF134" s="99" t="s">
        <v>1370</v>
      </c>
      <c r="AG134" s="99" t="s">
        <v>306</v>
      </c>
      <c r="AH134" s="99" t="s">
        <v>303</v>
      </c>
      <c r="AI134" s="99" t="s">
        <v>303</v>
      </c>
      <c r="AJ134" s="99" t="s">
        <v>302</v>
      </c>
      <c r="AK134" s="99" t="s">
        <v>302</v>
      </c>
      <c r="AL134" s="99" t="s">
        <v>302</v>
      </c>
      <c r="AM134" s="99" t="s">
        <v>302</v>
      </c>
      <c r="AN134" s="99" t="s">
        <v>304</v>
      </c>
      <c r="AO134" s="99" t="s">
        <v>304</v>
      </c>
      <c r="AP134" s="99" t="s">
        <v>303</v>
      </c>
      <c r="AQ134" s="99" t="s">
        <v>302</v>
      </c>
      <c r="AR134" s="99" t="s">
        <v>391</v>
      </c>
      <c r="AS134" s="99" t="s">
        <v>350</v>
      </c>
      <c r="AT134" s="99" t="s">
        <v>321</v>
      </c>
      <c r="AU134" s="99" t="s">
        <v>320</v>
      </c>
      <c r="AV134" s="99" t="s">
        <v>536</v>
      </c>
      <c r="AW134" s="99" t="s">
        <v>307</v>
      </c>
      <c r="AX134" s="99" t="s">
        <v>319</v>
      </c>
      <c r="AY134" s="99" t="s">
        <v>441</v>
      </c>
    </row>
    <row r="135" spans="1:51" ht="100.8" x14ac:dyDescent="0.3">
      <c r="A135" s="98">
        <v>42158.244201388887</v>
      </c>
      <c r="B135" s="99" t="s">
        <v>1049</v>
      </c>
      <c r="C135" s="99" t="s">
        <v>552</v>
      </c>
      <c r="D135" s="99" t="s">
        <v>529</v>
      </c>
      <c r="E135" s="99" t="s">
        <v>3</v>
      </c>
      <c r="F135" s="99" t="s">
        <v>317</v>
      </c>
      <c r="G135" s="99" t="s">
        <v>899</v>
      </c>
      <c r="H135" s="99" t="s">
        <v>349</v>
      </c>
      <c r="I135" s="99" t="s">
        <v>309</v>
      </c>
      <c r="J135" s="99" t="s">
        <v>955</v>
      </c>
      <c r="K135" s="99" t="s">
        <v>368</v>
      </c>
      <c r="L135" s="99" t="s">
        <v>1431</v>
      </c>
      <c r="M135" s="99" t="s">
        <v>314</v>
      </c>
      <c r="N135" s="99" t="s">
        <v>4</v>
      </c>
      <c r="O135" s="99" t="s">
        <v>313</v>
      </c>
      <c r="P135" s="99" t="s">
        <v>4</v>
      </c>
      <c r="Q135" s="99" t="s">
        <v>707</v>
      </c>
      <c r="R135" s="99" t="s">
        <v>313</v>
      </c>
      <c r="S135" s="99" t="s">
        <v>394</v>
      </c>
      <c r="T135" s="99" t="s">
        <v>312</v>
      </c>
      <c r="U135" s="99" t="s">
        <v>530</v>
      </c>
      <c r="V135" s="99" t="s">
        <v>1057</v>
      </c>
      <c r="W135" s="99" t="s">
        <v>338</v>
      </c>
      <c r="X135" s="99" t="s">
        <v>346</v>
      </c>
      <c r="Y135" s="99" t="s">
        <v>345</v>
      </c>
      <c r="Z135" s="99" t="s">
        <v>316</v>
      </c>
      <c r="AA135" s="99" t="s">
        <v>459</v>
      </c>
      <c r="AB135" s="99" t="s">
        <v>358</v>
      </c>
      <c r="AC135" s="99" t="s">
        <v>324</v>
      </c>
      <c r="AD135" s="99" t="s">
        <v>477</v>
      </c>
      <c r="AE135" s="99" t="s">
        <v>532</v>
      </c>
      <c r="AF135" s="99" t="s">
        <v>1123</v>
      </c>
      <c r="AG135" s="99" t="s">
        <v>323</v>
      </c>
      <c r="AH135" s="99" t="s">
        <v>303</v>
      </c>
      <c r="AI135" s="99" t="s">
        <v>303</v>
      </c>
      <c r="AJ135" s="99" t="s">
        <v>303</v>
      </c>
      <c r="AK135" s="99" t="s">
        <v>305</v>
      </c>
      <c r="AL135" s="99" t="s">
        <v>303</v>
      </c>
      <c r="AM135" s="99" t="s">
        <v>303</v>
      </c>
      <c r="AN135" s="99" t="s">
        <v>303</v>
      </c>
      <c r="AO135" s="99" t="s">
        <v>303</v>
      </c>
      <c r="AP135" s="99" t="s">
        <v>303</v>
      </c>
      <c r="AQ135" s="99" t="s">
        <v>302</v>
      </c>
      <c r="AR135" s="99" t="s">
        <v>378</v>
      </c>
      <c r="AS135" s="99" t="s">
        <v>350</v>
      </c>
      <c r="AT135" s="99" t="s">
        <v>360</v>
      </c>
      <c r="AU135" s="99" t="s">
        <v>320</v>
      </c>
      <c r="AV135" s="99" t="s">
        <v>364</v>
      </c>
      <c r="AW135" s="99" t="s">
        <v>307</v>
      </c>
      <c r="AX135" s="99" t="s">
        <v>341</v>
      </c>
      <c r="AY135" s="99" t="s">
        <v>1030</v>
      </c>
    </row>
    <row r="136" spans="1:51" ht="115.2" x14ac:dyDescent="0.3">
      <c r="A136" s="98">
        <v>42158.24423611111</v>
      </c>
      <c r="B136" s="99" t="s">
        <v>1049</v>
      </c>
      <c r="C136" s="99" t="s">
        <v>552</v>
      </c>
      <c r="D136" s="99" t="s">
        <v>560</v>
      </c>
      <c r="E136" s="99" t="s">
        <v>330</v>
      </c>
      <c r="F136" s="99" t="s">
        <v>317</v>
      </c>
      <c r="G136" s="99" t="s">
        <v>407</v>
      </c>
      <c r="H136" s="99" t="s">
        <v>349</v>
      </c>
      <c r="I136" s="99" t="s">
        <v>345</v>
      </c>
      <c r="J136" s="99" t="s">
        <v>897</v>
      </c>
      <c r="K136" s="99" t="s">
        <v>328</v>
      </c>
      <c r="L136" s="99" t="s">
        <v>417</v>
      </c>
      <c r="M136" s="99" t="s">
        <v>367</v>
      </c>
      <c r="N136" s="99" t="s">
        <v>313</v>
      </c>
      <c r="O136" s="99" t="s">
        <v>313</v>
      </c>
      <c r="P136" s="99" t="s">
        <v>313</v>
      </c>
      <c r="Q136" s="99" t="s">
        <v>652</v>
      </c>
      <c r="R136" s="99" t="s">
        <v>4</v>
      </c>
      <c r="S136" s="99" t="s">
        <v>895</v>
      </c>
      <c r="T136" s="99" t="s">
        <v>326</v>
      </c>
      <c r="U136" s="99" t="s">
        <v>530</v>
      </c>
      <c r="V136" s="99" t="s">
        <v>1039</v>
      </c>
      <c r="W136" s="99" t="s">
        <v>338</v>
      </c>
      <c r="X136" s="99" t="s">
        <v>346</v>
      </c>
      <c r="Y136" s="99" t="s">
        <v>316</v>
      </c>
      <c r="Z136" s="99" t="s">
        <v>316</v>
      </c>
      <c r="AA136" s="99" t="s">
        <v>424</v>
      </c>
      <c r="AB136" s="99" t="s">
        <v>308</v>
      </c>
      <c r="AC136" s="99" t="s">
        <v>324</v>
      </c>
      <c r="AD136" s="99" t="s">
        <v>426</v>
      </c>
      <c r="AE136" s="99" t="s">
        <v>539</v>
      </c>
      <c r="AF136" s="99" t="s">
        <v>1432</v>
      </c>
      <c r="AG136" s="99" t="s">
        <v>306</v>
      </c>
      <c r="AH136" s="99" t="s">
        <v>303</v>
      </c>
      <c r="AI136" s="99" t="s">
        <v>303</v>
      </c>
      <c r="AJ136" s="99" t="s">
        <v>302</v>
      </c>
      <c r="AK136" s="99" t="s">
        <v>302</v>
      </c>
      <c r="AL136" s="99" t="s">
        <v>302</v>
      </c>
      <c r="AM136" s="99" t="s">
        <v>302</v>
      </c>
      <c r="AN136" s="99" t="s">
        <v>303</v>
      </c>
      <c r="AO136" s="99" t="s">
        <v>303</v>
      </c>
      <c r="AP136" s="99" t="s">
        <v>303</v>
      </c>
      <c r="AQ136" s="99" t="s">
        <v>303</v>
      </c>
      <c r="AR136" s="99" t="s">
        <v>378</v>
      </c>
      <c r="AS136" s="99" t="s">
        <v>350</v>
      </c>
      <c r="AT136" s="99" t="s">
        <v>299</v>
      </c>
      <c r="AU136" s="99" t="s">
        <v>320</v>
      </c>
      <c r="AV136" s="99" t="s">
        <v>364</v>
      </c>
      <c r="AW136" s="99" t="s">
        <v>296</v>
      </c>
      <c r="AX136" s="99" t="s">
        <v>341</v>
      </c>
      <c r="AY136" s="99" t="s">
        <v>456</v>
      </c>
    </row>
    <row r="137" spans="1:51" ht="144" x14ac:dyDescent="0.3">
      <c r="A137" s="98">
        <v>42158.244293981479</v>
      </c>
      <c r="B137" s="99" t="s">
        <v>1049</v>
      </c>
      <c r="C137" s="99" t="s">
        <v>552</v>
      </c>
      <c r="D137" s="99" t="s">
        <v>529</v>
      </c>
      <c r="E137" s="99" t="s">
        <v>3</v>
      </c>
      <c r="F137" s="99" t="s">
        <v>317</v>
      </c>
      <c r="G137" s="99" t="s">
        <v>407</v>
      </c>
      <c r="H137" s="99" t="s">
        <v>5</v>
      </c>
      <c r="I137" s="99" t="s">
        <v>309</v>
      </c>
      <c r="J137" s="99" t="s">
        <v>454</v>
      </c>
      <c r="K137" s="99" t="s">
        <v>368</v>
      </c>
      <c r="L137" s="99" t="s">
        <v>450</v>
      </c>
      <c r="M137" s="99" t="s">
        <v>363</v>
      </c>
      <c r="N137" s="99" t="s">
        <v>327</v>
      </c>
      <c r="O137" s="99" t="s">
        <v>313</v>
      </c>
      <c r="P137" s="99" t="s">
        <v>4</v>
      </c>
      <c r="Q137" s="99" t="s">
        <v>399</v>
      </c>
      <c r="R137" s="99" t="s">
        <v>327</v>
      </c>
      <c r="S137" s="99" t="s">
        <v>1433</v>
      </c>
      <c r="T137" s="99" t="s">
        <v>366</v>
      </c>
      <c r="U137" s="99" t="s">
        <v>530</v>
      </c>
      <c r="V137" s="99" t="s">
        <v>1434</v>
      </c>
      <c r="W137" s="99" t="s">
        <v>338</v>
      </c>
      <c r="X137" s="99" t="s">
        <v>346</v>
      </c>
      <c r="Y137" s="99" t="s">
        <v>316</v>
      </c>
      <c r="Z137" s="99" t="s">
        <v>316</v>
      </c>
      <c r="AA137" s="99" t="s">
        <v>678</v>
      </c>
      <c r="AB137" s="99" t="s">
        <v>308</v>
      </c>
      <c r="AC137" s="99" t="s">
        <v>296</v>
      </c>
      <c r="AD137" s="99" t="s">
        <v>462</v>
      </c>
      <c r="AE137" s="99" t="s">
        <v>532</v>
      </c>
      <c r="AF137" s="99" t="s">
        <v>835</v>
      </c>
      <c r="AG137" s="99" t="s">
        <v>304</v>
      </c>
      <c r="AH137" s="99" t="s">
        <v>302</v>
      </c>
      <c r="AI137" s="99" t="s">
        <v>302</v>
      </c>
      <c r="AJ137" s="99" t="s">
        <v>303</v>
      </c>
      <c r="AK137" s="99" t="s">
        <v>302</v>
      </c>
      <c r="AL137" s="99" t="s">
        <v>303</v>
      </c>
      <c r="AM137" s="99" t="s">
        <v>302</v>
      </c>
      <c r="AN137" s="99" t="s">
        <v>303</v>
      </c>
      <c r="AO137" s="99" t="s">
        <v>304</v>
      </c>
      <c r="AP137" s="99" t="s">
        <v>303</v>
      </c>
      <c r="AQ137" s="99" t="s">
        <v>302</v>
      </c>
      <c r="AR137" s="99" t="s">
        <v>301</v>
      </c>
      <c r="AS137" s="99" t="s">
        <v>350</v>
      </c>
      <c r="AT137" s="99" t="s">
        <v>321</v>
      </c>
      <c r="AU137" s="99" t="s">
        <v>320</v>
      </c>
      <c r="AV137" s="99" t="s">
        <v>536</v>
      </c>
      <c r="AW137" s="99" t="s">
        <v>307</v>
      </c>
      <c r="AX137" s="99" t="s">
        <v>319</v>
      </c>
      <c r="AY137" s="99" t="s">
        <v>418</v>
      </c>
    </row>
    <row r="138" spans="1:51" ht="115.2" x14ac:dyDescent="0.3">
      <c r="A138" s="98">
        <v>42158.244328703702</v>
      </c>
      <c r="B138" s="99" t="s">
        <v>1049</v>
      </c>
      <c r="C138" s="99" t="s">
        <v>552</v>
      </c>
      <c r="D138" s="99" t="s">
        <v>529</v>
      </c>
      <c r="E138" s="99" t="s">
        <v>3</v>
      </c>
      <c r="F138" s="99" t="s">
        <v>317</v>
      </c>
      <c r="G138" s="99" t="s">
        <v>423</v>
      </c>
      <c r="H138" s="99" t="s">
        <v>5</v>
      </c>
      <c r="I138" s="99" t="s">
        <v>309</v>
      </c>
      <c r="J138" s="99" t="s">
        <v>1295</v>
      </c>
      <c r="K138" s="99" t="s">
        <v>368</v>
      </c>
      <c r="L138" s="99" t="s">
        <v>427</v>
      </c>
      <c r="M138" s="99" t="s">
        <v>367</v>
      </c>
      <c r="N138" s="99" t="s">
        <v>327</v>
      </c>
      <c r="O138" s="99" t="s">
        <v>313</v>
      </c>
      <c r="P138" s="99" t="s">
        <v>327</v>
      </c>
      <c r="Q138" s="99" t="s">
        <v>468</v>
      </c>
      <c r="R138" s="99" t="s">
        <v>327</v>
      </c>
      <c r="S138" s="99" t="s">
        <v>465</v>
      </c>
      <c r="T138" s="99" t="s">
        <v>312</v>
      </c>
      <c r="U138" s="99" t="s">
        <v>311</v>
      </c>
      <c r="V138" s="99" t="s">
        <v>415</v>
      </c>
      <c r="W138" s="99" t="s">
        <v>338</v>
      </c>
      <c r="X138" s="99" t="s">
        <v>310</v>
      </c>
      <c r="Y138" s="99" t="s">
        <v>316</v>
      </c>
      <c r="Z138" s="99" t="s">
        <v>316</v>
      </c>
      <c r="AA138" s="99" t="s">
        <v>410</v>
      </c>
      <c r="AB138" s="99" t="s">
        <v>308</v>
      </c>
      <c r="AC138" s="99" t="s">
        <v>296</v>
      </c>
      <c r="AD138" s="99" t="s">
        <v>806</v>
      </c>
      <c r="AE138" s="99" t="s">
        <v>542</v>
      </c>
      <c r="AF138" s="99" t="s">
        <v>946</v>
      </c>
      <c r="AG138" s="99" t="s">
        <v>304</v>
      </c>
      <c r="AH138" s="99" t="s">
        <v>302</v>
      </c>
      <c r="AI138" s="99" t="s">
        <v>302</v>
      </c>
      <c r="AJ138" s="99" t="s">
        <v>303</v>
      </c>
      <c r="AK138" s="99" t="s">
        <v>302</v>
      </c>
      <c r="AL138" s="99" t="s">
        <v>303</v>
      </c>
      <c r="AM138" s="99" t="s">
        <v>302</v>
      </c>
      <c r="AN138" s="99" t="s">
        <v>302</v>
      </c>
      <c r="AO138" s="99" t="s">
        <v>302</v>
      </c>
      <c r="AP138" s="99" t="s">
        <v>302</v>
      </c>
      <c r="AQ138" s="99" t="s">
        <v>302</v>
      </c>
      <c r="AR138" s="99" t="s">
        <v>322</v>
      </c>
      <c r="AS138" s="99" t="s">
        <v>350</v>
      </c>
      <c r="AT138" s="99" t="s">
        <v>355</v>
      </c>
      <c r="AU138" s="99" t="s">
        <v>320</v>
      </c>
      <c r="AV138" s="99" t="s">
        <v>536</v>
      </c>
      <c r="AW138" s="99" t="s">
        <v>307</v>
      </c>
      <c r="AX138" s="99" t="s">
        <v>319</v>
      </c>
      <c r="AY138" s="99" t="s">
        <v>418</v>
      </c>
    </row>
    <row r="139" spans="1:51" ht="158.4" x14ac:dyDescent="0.3">
      <c r="A139" s="98">
        <v>42158.244363425925</v>
      </c>
      <c r="B139" s="99" t="s">
        <v>1049</v>
      </c>
      <c r="C139" s="99" t="s">
        <v>552</v>
      </c>
      <c r="D139" s="99" t="s">
        <v>331</v>
      </c>
      <c r="E139" s="99" t="s">
        <v>3</v>
      </c>
      <c r="F139" s="99" t="s">
        <v>317</v>
      </c>
      <c r="G139" s="99" t="s">
        <v>407</v>
      </c>
      <c r="H139" s="99" t="s">
        <v>5</v>
      </c>
      <c r="I139" s="99" t="s">
        <v>309</v>
      </c>
      <c r="J139" s="99" t="s">
        <v>1435</v>
      </c>
      <c r="K139" s="99" t="s">
        <v>328</v>
      </c>
      <c r="L139" s="99" t="s">
        <v>450</v>
      </c>
      <c r="M139" s="99" t="s">
        <v>353</v>
      </c>
      <c r="N139" s="99" t="s">
        <v>4</v>
      </c>
      <c r="O139" s="99" t="s">
        <v>4</v>
      </c>
      <c r="P139" s="99" t="s">
        <v>313</v>
      </c>
      <c r="Q139" s="99" t="s">
        <v>422</v>
      </c>
      <c r="R139" s="99"/>
      <c r="S139" s="99" t="s">
        <v>715</v>
      </c>
      <c r="T139" s="99" t="s">
        <v>366</v>
      </c>
      <c r="U139" s="99" t="s">
        <v>530</v>
      </c>
      <c r="V139" s="99" t="s">
        <v>1436</v>
      </c>
      <c r="W139" s="99" t="s">
        <v>338</v>
      </c>
      <c r="X139" s="99" t="s">
        <v>346</v>
      </c>
      <c r="Y139" s="99" t="s">
        <v>345</v>
      </c>
      <c r="Z139" s="99" t="s">
        <v>345</v>
      </c>
      <c r="AA139" s="99" t="s">
        <v>678</v>
      </c>
      <c r="AB139" s="99" t="s">
        <v>376</v>
      </c>
      <c r="AC139" s="99" t="s">
        <v>351</v>
      </c>
      <c r="AD139" s="99" t="s">
        <v>1437</v>
      </c>
      <c r="AE139" s="99" t="s">
        <v>532</v>
      </c>
      <c r="AF139" s="99" t="s">
        <v>976</v>
      </c>
      <c r="AG139" s="99" t="s">
        <v>306</v>
      </c>
      <c r="AH139" s="99" t="s">
        <v>302</v>
      </c>
      <c r="AI139" s="99" t="s">
        <v>302</v>
      </c>
      <c r="AJ139" s="99" t="s">
        <v>302</v>
      </c>
      <c r="AK139" s="99" t="s">
        <v>302</v>
      </c>
      <c r="AL139" s="99" t="s">
        <v>302</v>
      </c>
      <c r="AM139" s="99" t="s">
        <v>302</v>
      </c>
      <c r="AN139" s="99" t="s">
        <v>302</v>
      </c>
      <c r="AO139" s="99" t="s">
        <v>302</v>
      </c>
      <c r="AP139" s="99" t="s">
        <v>302</v>
      </c>
      <c r="AQ139" s="99" t="s">
        <v>302</v>
      </c>
      <c r="AR139" s="99" t="s">
        <v>322</v>
      </c>
      <c r="AS139" s="99" t="s">
        <v>350</v>
      </c>
      <c r="AT139" s="99" t="s">
        <v>360</v>
      </c>
      <c r="AU139" s="99" t="s">
        <v>320</v>
      </c>
      <c r="AV139" s="99" t="s">
        <v>297</v>
      </c>
      <c r="AW139" s="99" t="s">
        <v>307</v>
      </c>
      <c r="AX139" s="99" t="s">
        <v>375</v>
      </c>
      <c r="AY139" s="99" t="s">
        <v>1015</v>
      </c>
    </row>
    <row r="140" spans="1:51" ht="129.6" x14ac:dyDescent="0.3">
      <c r="A140" s="98">
        <v>42158.24490740741</v>
      </c>
      <c r="B140" s="99" t="s">
        <v>1049</v>
      </c>
      <c r="C140" s="99" t="s">
        <v>552</v>
      </c>
      <c r="D140" s="99" t="s">
        <v>529</v>
      </c>
      <c r="E140" s="99" t="s">
        <v>3</v>
      </c>
      <c r="F140" s="99" t="s">
        <v>317</v>
      </c>
      <c r="G140" s="99" t="s">
        <v>493</v>
      </c>
      <c r="H140" s="99" t="s">
        <v>349</v>
      </c>
      <c r="I140" s="99" t="s">
        <v>309</v>
      </c>
      <c r="J140" s="99" t="s">
        <v>440</v>
      </c>
      <c r="K140" s="99"/>
      <c r="L140" s="99" t="s">
        <v>411</v>
      </c>
      <c r="M140" s="99" t="s">
        <v>367</v>
      </c>
      <c r="N140" s="99" t="s">
        <v>313</v>
      </c>
      <c r="O140" s="99" t="s">
        <v>4</v>
      </c>
      <c r="P140" s="99" t="s">
        <v>4</v>
      </c>
      <c r="Q140" s="99" t="s">
        <v>417</v>
      </c>
      <c r="R140" s="99" t="s">
        <v>327</v>
      </c>
      <c r="S140" s="99" t="s">
        <v>470</v>
      </c>
      <c r="T140" s="99" t="s">
        <v>366</v>
      </c>
      <c r="U140" s="99" t="s">
        <v>311</v>
      </c>
      <c r="V140" s="99" t="s">
        <v>362</v>
      </c>
      <c r="W140" s="99" t="s">
        <v>338</v>
      </c>
      <c r="X140" s="99" t="s">
        <v>310</v>
      </c>
      <c r="Y140" s="99" t="s">
        <v>316</v>
      </c>
      <c r="Z140" s="99" t="s">
        <v>316</v>
      </c>
      <c r="AA140" s="99" t="s">
        <v>653</v>
      </c>
      <c r="AB140" s="99" t="s">
        <v>308</v>
      </c>
      <c r="AC140" s="99" t="s">
        <v>324</v>
      </c>
      <c r="AD140" s="99" t="s">
        <v>361</v>
      </c>
      <c r="AE140" s="99" t="s">
        <v>532</v>
      </c>
      <c r="AF140" s="99" t="s">
        <v>661</v>
      </c>
      <c r="AG140" s="99" t="s">
        <v>304</v>
      </c>
      <c r="AH140" s="99" t="s">
        <v>303</v>
      </c>
      <c r="AI140" s="99" t="s">
        <v>302</v>
      </c>
      <c r="AJ140" s="99" t="s">
        <v>302</v>
      </c>
      <c r="AK140" s="99" t="s">
        <v>302</v>
      </c>
      <c r="AL140" s="99" t="s">
        <v>302</v>
      </c>
      <c r="AM140" s="99" t="s">
        <v>302</v>
      </c>
      <c r="AN140" s="99" t="s">
        <v>303</v>
      </c>
      <c r="AO140" s="99" t="s">
        <v>303</v>
      </c>
      <c r="AP140" s="99" t="s">
        <v>303</v>
      </c>
      <c r="AQ140" s="99" t="s">
        <v>302</v>
      </c>
      <c r="AR140" s="99" t="s">
        <v>391</v>
      </c>
      <c r="AS140" s="99" t="s">
        <v>350</v>
      </c>
      <c r="AT140" s="99" t="s">
        <v>321</v>
      </c>
      <c r="AU140" s="99" t="s">
        <v>320</v>
      </c>
      <c r="AV140" s="99" t="s">
        <v>333</v>
      </c>
      <c r="AW140" s="99" t="s">
        <v>296</v>
      </c>
      <c r="AX140" s="99" t="s">
        <v>341</v>
      </c>
      <c r="AY140" s="99" t="s">
        <v>482</v>
      </c>
    </row>
    <row r="141" spans="1:51" ht="172.8" x14ac:dyDescent="0.3">
      <c r="A141" s="98">
        <v>42158.245486111111</v>
      </c>
      <c r="B141" s="99" t="s">
        <v>1049</v>
      </c>
      <c r="C141" s="99" t="s">
        <v>552</v>
      </c>
      <c r="D141" s="99" t="s">
        <v>331</v>
      </c>
      <c r="E141" s="99" t="s">
        <v>3</v>
      </c>
      <c r="F141" s="99" t="s">
        <v>317</v>
      </c>
      <c r="G141" s="99" t="s">
        <v>446</v>
      </c>
      <c r="H141" s="99" t="s">
        <v>390</v>
      </c>
      <c r="I141" s="99" t="s">
        <v>309</v>
      </c>
      <c r="J141" s="99" t="s">
        <v>637</v>
      </c>
      <c r="K141" s="99" t="s">
        <v>328</v>
      </c>
      <c r="L141" s="99" t="s">
        <v>429</v>
      </c>
      <c r="M141" s="99" t="s">
        <v>348</v>
      </c>
      <c r="N141" s="99" t="s">
        <v>327</v>
      </c>
      <c r="O141" s="99" t="s">
        <v>313</v>
      </c>
      <c r="P141" s="99" t="s">
        <v>313</v>
      </c>
      <c r="Q141" s="99" t="s">
        <v>1438</v>
      </c>
      <c r="R141" s="99" t="s">
        <v>313</v>
      </c>
      <c r="S141" s="99" t="s">
        <v>862</v>
      </c>
      <c r="T141" s="99" t="s">
        <v>312</v>
      </c>
      <c r="U141" s="99" t="s">
        <v>311</v>
      </c>
      <c r="V141" s="99" t="s">
        <v>1229</v>
      </c>
      <c r="W141" s="99" t="s">
        <v>325</v>
      </c>
      <c r="X141" s="99" t="s">
        <v>346</v>
      </c>
      <c r="Y141" s="99" t="s">
        <v>316</v>
      </c>
      <c r="Z141" s="99" t="s">
        <v>316</v>
      </c>
      <c r="AA141" s="99" t="s">
        <v>410</v>
      </c>
      <c r="AB141" s="99" t="s">
        <v>308</v>
      </c>
      <c r="AC141" s="99" t="s">
        <v>307</v>
      </c>
      <c r="AD141" s="99" t="s">
        <v>448</v>
      </c>
      <c r="AE141" s="99" t="s">
        <v>535</v>
      </c>
      <c r="AF141" s="99" t="s">
        <v>901</v>
      </c>
      <c r="AG141" s="99" t="s">
        <v>323</v>
      </c>
      <c r="AH141" s="99" t="s">
        <v>303</v>
      </c>
      <c r="AI141" s="99" t="s">
        <v>303</v>
      </c>
      <c r="AJ141" s="99" t="s">
        <v>303</v>
      </c>
      <c r="AK141" s="99" t="s">
        <v>303</v>
      </c>
      <c r="AL141" s="99" t="s">
        <v>303</v>
      </c>
      <c r="AM141" s="99" t="s">
        <v>303</v>
      </c>
      <c r="AN141" s="99" t="s">
        <v>303</v>
      </c>
      <c r="AO141" s="99" t="s">
        <v>303</v>
      </c>
      <c r="AP141" s="99" t="s">
        <v>303</v>
      </c>
      <c r="AQ141" s="99" t="s">
        <v>303</v>
      </c>
      <c r="AR141" s="99" t="s">
        <v>391</v>
      </c>
      <c r="AS141" s="99" t="s">
        <v>300</v>
      </c>
      <c r="AT141" s="99" t="s">
        <v>355</v>
      </c>
      <c r="AU141" s="99" t="s">
        <v>342</v>
      </c>
      <c r="AV141" s="99" t="s">
        <v>536</v>
      </c>
      <c r="AW141" s="99" t="s">
        <v>307</v>
      </c>
      <c r="AX141" s="99" t="s">
        <v>319</v>
      </c>
      <c r="AY141" s="99" t="s">
        <v>837</v>
      </c>
    </row>
    <row r="142" spans="1:51" ht="187.2" x14ac:dyDescent="0.3">
      <c r="A142" s="98">
        <v>42158.245752314811</v>
      </c>
      <c r="B142" s="99" t="s">
        <v>1049</v>
      </c>
      <c r="C142" s="99" t="s">
        <v>552</v>
      </c>
      <c r="D142" s="99" t="s">
        <v>529</v>
      </c>
      <c r="E142" s="99" t="s">
        <v>330</v>
      </c>
      <c r="F142" s="99" t="s">
        <v>372</v>
      </c>
      <c r="G142" s="99" t="s">
        <v>340</v>
      </c>
      <c r="H142" s="99" t="s">
        <v>5</v>
      </c>
      <c r="I142" s="99" t="s">
        <v>345</v>
      </c>
      <c r="J142" s="99" t="s">
        <v>1439</v>
      </c>
      <c r="K142" s="99" t="s">
        <v>328</v>
      </c>
      <c r="L142" s="99" t="s">
        <v>577</v>
      </c>
      <c r="M142" s="99" t="s">
        <v>363</v>
      </c>
      <c r="N142" s="99" t="s">
        <v>4</v>
      </c>
      <c r="O142" s="99" t="s">
        <v>313</v>
      </c>
      <c r="P142" s="99" t="s">
        <v>4</v>
      </c>
      <c r="Q142" s="99" t="s">
        <v>411</v>
      </c>
      <c r="R142" s="99" t="s">
        <v>4</v>
      </c>
      <c r="S142" s="99" t="s">
        <v>677</v>
      </c>
      <c r="T142" s="99" t="s">
        <v>326</v>
      </c>
      <c r="U142" s="99" t="s">
        <v>530</v>
      </c>
      <c r="V142" s="99" t="s">
        <v>1440</v>
      </c>
      <c r="W142" s="99" t="s">
        <v>325</v>
      </c>
      <c r="X142" s="99" t="s">
        <v>352</v>
      </c>
      <c r="Y142" s="99" t="s">
        <v>316</v>
      </c>
      <c r="Z142" s="99" t="s">
        <v>316</v>
      </c>
      <c r="AA142" s="99" t="s">
        <v>408</v>
      </c>
      <c r="AB142" s="99" t="s">
        <v>389</v>
      </c>
      <c r="AC142" s="99" t="s">
        <v>324</v>
      </c>
      <c r="AD142" s="99" t="s">
        <v>467</v>
      </c>
      <c r="AE142" s="99" t="s">
        <v>532</v>
      </c>
      <c r="AF142" s="99" t="s">
        <v>680</v>
      </c>
      <c r="AG142" s="99" t="s">
        <v>304</v>
      </c>
      <c r="AH142" s="99" t="s">
        <v>304</v>
      </c>
      <c r="AI142" s="99" t="s">
        <v>303</v>
      </c>
      <c r="AJ142" s="99" t="s">
        <v>304</v>
      </c>
      <c r="AK142" s="99" t="s">
        <v>303</v>
      </c>
      <c r="AL142" s="99" t="s">
        <v>303</v>
      </c>
      <c r="AM142" s="99"/>
      <c r="AN142" s="99" t="s">
        <v>304</v>
      </c>
      <c r="AO142" s="99" t="s">
        <v>303</v>
      </c>
      <c r="AP142" s="99" t="s">
        <v>303</v>
      </c>
      <c r="AQ142" s="99" t="s">
        <v>304</v>
      </c>
      <c r="AR142" s="99" t="s">
        <v>322</v>
      </c>
      <c r="AS142" s="99" t="s">
        <v>300</v>
      </c>
      <c r="AT142" s="99" t="s">
        <v>321</v>
      </c>
      <c r="AU142" s="99" t="s">
        <v>320</v>
      </c>
      <c r="AV142" s="99" t="s">
        <v>297</v>
      </c>
      <c r="AW142" s="99" t="s">
        <v>324</v>
      </c>
      <c r="AX142" s="99" t="s">
        <v>341</v>
      </c>
      <c r="AY142" s="99" t="s">
        <v>1441</v>
      </c>
    </row>
    <row r="143" spans="1:51" ht="100.8" x14ac:dyDescent="0.3">
      <c r="A143" s="98">
        <v>42158.247430555559</v>
      </c>
      <c r="B143" s="99" t="s">
        <v>1049</v>
      </c>
      <c r="C143" s="99" t="s">
        <v>552</v>
      </c>
      <c r="D143" s="99" t="s">
        <v>529</v>
      </c>
      <c r="E143" s="99" t="s">
        <v>330</v>
      </c>
      <c r="F143" s="99" t="s">
        <v>372</v>
      </c>
      <c r="G143" s="99" t="s">
        <v>423</v>
      </c>
      <c r="H143" s="99" t="s">
        <v>390</v>
      </c>
      <c r="I143" s="99" t="s">
        <v>494</v>
      </c>
      <c r="J143" s="99" t="s">
        <v>827</v>
      </c>
      <c r="K143" s="99" t="s">
        <v>328</v>
      </c>
      <c r="L143" s="99" t="s">
        <v>450</v>
      </c>
      <c r="M143" s="99" t="s">
        <v>562</v>
      </c>
      <c r="N143" s="99" t="s">
        <v>327</v>
      </c>
      <c r="O143" s="99" t="s">
        <v>313</v>
      </c>
      <c r="P143" s="99" t="s">
        <v>327</v>
      </c>
      <c r="Q143" s="99" t="s">
        <v>1261</v>
      </c>
      <c r="R143" s="99" t="s">
        <v>327</v>
      </c>
      <c r="S143" s="99" t="s">
        <v>1094</v>
      </c>
      <c r="T143" s="99" t="s">
        <v>380</v>
      </c>
      <c r="U143" s="99" t="s">
        <v>373</v>
      </c>
      <c r="V143" s="99" t="s">
        <v>553</v>
      </c>
      <c r="W143" s="99" t="s">
        <v>325</v>
      </c>
      <c r="X143" s="99" t="s">
        <v>346</v>
      </c>
      <c r="Y143" s="99" t="s">
        <v>316</v>
      </c>
      <c r="Z143" s="99" t="s">
        <v>316</v>
      </c>
      <c r="AA143" s="99" t="s">
        <v>464</v>
      </c>
      <c r="AB143" s="99" t="s">
        <v>389</v>
      </c>
      <c r="AC143" s="99" t="s">
        <v>351</v>
      </c>
      <c r="AD143" s="99" t="s">
        <v>462</v>
      </c>
      <c r="AE143" s="99" t="s">
        <v>532</v>
      </c>
      <c r="AF143" s="99" t="s">
        <v>1330</v>
      </c>
      <c r="AG143" s="99" t="s">
        <v>306</v>
      </c>
      <c r="AH143" s="99" t="s">
        <v>303</v>
      </c>
      <c r="AI143" s="99" t="s">
        <v>303</v>
      </c>
      <c r="AJ143" s="99" t="s">
        <v>303</v>
      </c>
      <c r="AK143" s="99" t="s">
        <v>304</v>
      </c>
      <c r="AL143" s="99" t="s">
        <v>302</v>
      </c>
      <c r="AM143" s="99" t="s">
        <v>302</v>
      </c>
      <c r="AN143" s="99" t="s">
        <v>303</v>
      </c>
      <c r="AO143" s="99" t="s">
        <v>303</v>
      </c>
      <c r="AP143" s="99" t="s">
        <v>303</v>
      </c>
      <c r="AQ143" s="99" t="s">
        <v>303</v>
      </c>
      <c r="AR143" s="99" t="s">
        <v>343</v>
      </c>
      <c r="AS143" s="99" t="s">
        <v>300</v>
      </c>
      <c r="AT143" s="99" t="s">
        <v>321</v>
      </c>
      <c r="AU143" s="99" t="s">
        <v>320</v>
      </c>
      <c r="AV143" s="99" t="s">
        <v>364</v>
      </c>
      <c r="AW143" s="99" t="s">
        <v>296</v>
      </c>
      <c r="AX143" s="99" t="s">
        <v>319</v>
      </c>
      <c r="AY143" s="99" t="s">
        <v>851</v>
      </c>
    </row>
    <row r="144" spans="1:51" ht="144" x14ac:dyDescent="0.3">
      <c r="A144" s="98">
        <v>42158.247476851851</v>
      </c>
      <c r="B144" s="99" t="s">
        <v>1049</v>
      </c>
      <c r="C144" s="99" t="s">
        <v>552</v>
      </c>
      <c r="D144" s="99" t="s">
        <v>529</v>
      </c>
      <c r="E144" s="99" t="s">
        <v>3</v>
      </c>
      <c r="F144" s="99" t="s">
        <v>372</v>
      </c>
      <c r="G144" s="99" t="s">
        <v>423</v>
      </c>
      <c r="H144" s="99" t="s">
        <v>390</v>
      </c>
      <c r="I144" s="99" t="s">
        <v>309</v>
      </c>
      <c r="J144" s="99" t="s">
        <v>1442</v>
      </c>
      <c r="K144" s="99" t="s">
        <v>328</v>
      </c>
      <c r="L144" s="99" t="s">
        <v>422</v>
      </c>
      <c r="M144" s="99" t="s">
        <v>353</v>
      </c>
      <c r="N144" s="99" t="s">
        <v>327</v>
      </c>
      <c r="O144" s="99" t="s">
        <v>327</v>
      </c>
      <c r="P144" s="99" t="s">
        <v>313</v>
      </c>
      <c r="Q144" s="99" t="s">
        <v>411</v>
      </c>
      <c r="R144" s="99" t="s">
        <v>327</v>
      </c>
      <c r="S144" s="99" t="s">
        <v>677</v>
      </c>
      <c r="T144" s="99" t="s">
        <v>326</v>
      </c>
      <c r="U144" s="99" t="s">
        <v>373</v>
      </c>
      <c r="V144" s="99" t="s">
        <v>553</v>
      </c>
      <c r="W144" s="99" t="s">
        <v>338</v>
      </c>
      <c r="X144" s="99" t="s">
        <v>352</v>
      </c>
      <c r="Y144" s="99" t="s">
        <v>316</v>
      </c>
      <c r="Z144" s="99" t="s">
        <v>316</v>
      </c>
      <c r="AA144" s="99" t="s">
        <v>410</v>
      </c>
      <c r="AB144" s="99" t="s">
        <v>389</v>
      </c>
      <c r="AC144" s="99" t="s">
        <v>351</v>
      </c>
      <c r="AD144" s="99" t="s">
        <v>388</v>
      </c>
      <c r="AE144" s="99" t="s">
        <v>533</v>
      </c>
      <c r="AF144" s="99" t="s">
        <v>805</v>
      </c>
      <c r="AG144" s="99" t="s">
        <v>306</v>
      </c>
      <c r="AH144" s="99" t="s">
        <v>304</v>
      </c>
      <c r="AI144" s="99" t="s">
        <v>304</v>
      </c>
      <c r="AJ144" s="99" t="s">
        <v>304</v>
      </c>
      <c r="AK144" s="99" t="s">
        <v>303</v>
      </c>
      <c r="AL144" s="99" t="s">
        <v>304</v>
      </c>
      <c r="AM144" s="99" t="s">
        <v>303</v>
      </c>
      <c r="AN144" s="99" t="s">
        <v>303</v>
      </c>
      <c r="AO144" s="99" t="s">
        <v>303</v>
      </c>
      <c r="AP144" s="99" t="s">
        <v>303</v>
      </c>
      <c r="AQ144" s="99" t="s">
        <v>303</v>
      </c>
      <c r="AR144" s="99" t="s">
        <v>343</v>
      </c>
      <c r="AS144" s="99" t="s">
        <v>300</v>
      </c>
      <c r="AT144" s="99" t="s">
        <v>355</v>
      </c>
      <c r="AU144" s="99" t="s">
        <v>320</v>
      </c>
      <c r="AV144" s="99" t="s">
        <v>333</v>
      </c>
      <c r="AW144" s="99" t="s">
        <v>296</v>
      </c>
      <c r="AX144" s="99" t="s">
        <v>319</v>
      </c>
      <c r="AY144" s="99" t="s">
        <v>1443</v>
      </c>
    </row>
    <row r="145" spans="1:51" ht="230.4" x14ac:dyDescent="0.3">
      <c r="A145" s="98">
        <v>42158.258622685185</v>
      </c>
      <c r="B145" s="99" t="s">
        <v>1049</v>
      </c>
      <c r="C145" s="99" t="s">
        <v>552</v>
      </c>
      <c r="D145" s="99" t="s">
        <v>331</v>
      </c>
      <c r="E145" s="99" t="s">
        <v>3</v>
      </c>
      <c r="F145" s="99" t="s">
        <v>317</v>
      </c>
      <c r="G145" s="99" t="s">
        <v>446</v>
      </c>
      <c r="H145" s="99" t="s">
        <v>5</v>
      </c>
      <c r="I145" s="99" t="s">
        <v>309</v>
      </c>
      <c r="J145" s="99" t="s">
        <v>1444</v>
      </c>
      <c r="K145" s="99" t="s">
        <v>368</v>
      </c>
      <c r="L145" s="99" t="s">
        <v>450</v>
      </c>
      <c r="M145" s="99" t="s">
        <v>367</v>
      </c>
      <c r="N145" s="99" t="s">
        <v>327</v>
      </c>
      <c r="O145" s="99" t="s">
        <v>313</v>
      </c>
      <c r="P145" s="99" t="s">
        <v>327</v>
      </c>
      <c r="Q145" s="99" t="s">
        <v>1445</v>
      </c>
      <c r="R145" s="99" t="s">
        <v>327</v>
      </c>
      <c r="S145" s="99" t="s">
        <v>1446</v>
      </c>
      <c r="T145" s="99" t="s">
        <v>326</v>
      </c>
      <c r="U145" s="99" t="s">
        <v>530</v>
      </c>
      <c r="V145" s="99" t="s">
        <v>1447</v>
      </c>
      <c r="W145" s="99" t="s">
        <v>419</v>
      </c>
      <c r="X145" s="99" t="s">
        <v>346</v>
      </c>
      <c r="Y145" s="99" t="s">
        <v>345</v>
      </c>
      <c r="Z145" s="99" t="s">
        <v>345</v>
      </c>
      <c r="AA145" s="99" t="s">
        <v>459</v>
      </c>
      <c r="AB145" s="99" t="s">
        <v>358</v>
      </c>
      <c r="AC145" s="99" t="s">
        <v>324</v>
      </c>
      <c r="AD145" s="99" t="s">
        <v>448</v>
      </c>
      <c r="AE145" s="99" t="s">
        <v>535</v>
      </c>
      <c r="AF145" s="99" t="s">
        <v>706</v>
      </c>
      <c r="AG145" s="99" t="s">
        <v>306</v>
      </c>
      <c r="AH145" s="99" t="s">
        <v>302</v>
      </c>
      <c r="AI145" s="99" t="s">
        <v>302</v>
      </c>
      <c r="AJ145" s="99" t="s">
        <v>302</v>
      </c>
      <c r="AK145" s="99" t="s">
        <v>302</v>
      </c>
      <c r="AL145" s="99" t="s">
        <v>302</v>
      </c>
      <c r="AM145" s="99" t="s">
        <v>302</v>
      </c>
      <c r="AN145" s="99" t="s">
        <v>302</v>
      </c>
      <c r="AO145" s="99" t="s">
        <v>302</v>
      </c>
      <c r="AP145" s="99" t="s">
        <v>302</v>
      </c>
      <c r="AQ145" s="99" t="s">
        <v>302</v>
      </c>
      <c r="AR145" s="99" t="s">
        <v>301</v>
      </c>
      <c r="AS145" s="99" t="s">
        <v>300</v>
      </c>
      <c r="AT145" s="99" t="s">
        <v>360</v>
      </c>
      <c r="AU145" s="99" t="s">
        <v>320</v>
      </c>
      <c r="AV145" s="99" t="s">
        <v>364</v>
      </c>
      <c r="AW145" s="99" t="s">
        <v>324</v>
      </c>
      <c r="AX145" s="99" t="s">
        <v>319</v>
      </c>
      <c r="AY145" s="99" t="s">
        <v>1448</v>
      </c>
    </row>
    <row r="146" spans="1:51" ht="72" x14ac:dyDescent="0.3">
      <c r="A146" s="98">
        <v>42158.258935185186</v>
      </c>
      <c r="B146" s="99" t="s">
        <v>1049</v>
      </c>
      <c r="C146" s="99" t="s">
        <v>552</v>
      </c>
      <c r="D146" s="99" t="s">
        <v>529</v>
      </c>
      <c r="E146" s="99" t="s">
        <v>3</v>
      </c>
      <c r="F146" s="99" t="s">
        <v>317</v>
      </c>
      <c r="G146" s="99" t="s">
        <v>407</v>
      </c>
      <c r="H146" s="99" t="s">
        <v>5</v>
      </c>
      <c r="I146" s="99" t="s">
        <v>345</v>
      </c>
      <c r="J146" s="99" t="s">
        <v>1384</v>
      </c>
      <c r="K146" s="99" t="s">
        <v>315</v>
      </c>
      <c r="L146" s="99" t="s">
        <v>1270</v>
      </c>
      <c r="M146" s="99" t="s">
        <v>348</v>
      </c>
      <c r="N146" s="99" t="s">
        <v>4</v>
      </c>
      <c r="O146" s="99" t="s">
        <v>4</v>
      </c>
      <c r="P146" s="99" t="s">
        <v>327</v>
      </c>
      <c r="Q146" s="99" t="s">
        <v>1098</v>
      </c>
      <c r="R146" s="99" t="s">
        <v>4</v>
      </c>
      <c r="S146" s="99" t="s">
        <v>714</v>
      </c>
      <c r="T146" s="99" t="s">
        <v>312</v>
      </c>
      <c r="U146" s="99" t="s">
        <v>530</v>
      </c>
      <c r="V146" s="99" t="s">
        <v>339</v>
      </c>
      <c r="W146" s="99" t="s">
        <v>325</v>
      </c>
      <c r="X146" s="99" t="s">
        <v>346</v>
      </c>
      <c r="Y146" s="99" t="s">
        <v>316</v>
      </c>
      <c r="Z146" s="99" t="s">
        <v>316</v>
      </c>
      <c r="AA146" s="99" t="s">
        <v>432</v>
      </c>
      <c r="AB146" s="99" t="s">
        <v>389</v>
      </c>
      <c r="AC146" s="99" t="s">
        <v>296</v>
      </c>
      <c r="AD146" s="99" t="s">
        <v>1128</v>
      </c>
      <c r="AE146" s="99" t="s">
        <v>545</v>
      </c>
      <c r="AF146" s="99" t="s">
        <v>1449</v>
      </c>
      <c r="AG146" s="99" t="s">
        <v>323</v>
      </c>
      <c r="AH146" s="99" t="s">
        <v>303</v>
      </c>
      <c r="AI146" s="99" t="s">
        <v>303</v>
      </c>
      <c r="AJ146" s="99" t="s">
        <v>303</v>
      </c>
      <c r="AK146" s="99" t="s">
        <v>303</v>
      </c>
      <c r="AL146" s="99" t="s">
        <v>303</v>
      </c>
      <c r="AM146" s="99" t="s">
        <v>303</v>
      </c>
      <c r="AN146" s="99" t="s">
        <v>303</v>
      </c>
      <c r="AO146" s="99" t="s">
        <v>302</v>
      </c>
      <c r="AP146" s="99" t="s">
        <v>302</v>
      </c>
      <c r="AQ146" s="99" t="s">
        <v>302</v>
      </c>
      <c r="AR146" s="99" t="s">
        <v>301</v>
      </c>
      <c r="AS146" s="99" t="s">
        <v>300</v>
      </c>
      <c r="AT146" s="99" t="s">
        <v>355</v>
      </c>
      <c r="AU146" s="99" t="s">
        <v>320</v>
      </c>
      <c r="AV146" s="99" t="s">
        <v>536</v>
      </c>
      <c r="AW146" s="99" t="s">
        <v>296</v>
      </c>
      <c r="AX146" s="99" t="s">
        <v>534</v>
      </c>
      <c r="AY146" s="99" t="s">
        <v>1086</v>
      </c>
    </row>
    <row r="147" spans="1:51" ht="115.2" x14ac:dyDescent="0.3">
      <c r="A147" s="98">
        <v>42158.259212962963</v>
      </c>
      <c r="B147" s="99" t="s">
        <v>1049</v>
      </c>
      <c r="C147" s="99" t="s">
        <v>552</v>
      </c>
      <c r="D147" s="99" t="s">
        <v>529</v>
      </c>
      <c r="E147" s="99" t="s">
        <v>3</v>
      </c>
      <c r="F147" s="99" t="s">
        <v>317</v>
      </c>
      <c r="G147" s="99" t="s">
        <v>407</v>
      </c>
      <c r="H147" s="99" t="s">
        <v>5</v>
      </c>
      <c r="I147" s="99" t="s">
        <v>309</v>
      </c>
      <c r="J147" s="99" t="s">
        <v>1153</v>
      </c>
      <c r="K147" s="99" t="s">
        <v>315</v>
      </c>
      <c r="L147" s="99" t="s">
        <v>450</v>
      </c>
      <c r="M147" s="99" t="s">
        <v>353</v>
      </c>
      <c r="N147" s="99"/>
      <c r="O147" s="99" t="s">
        <v>4</v>
      </c>
      <c r="P147" s="99" t="s">
        <v>327</v>
      </c>
      <c r="Q147" s="99" t="s">
        <v>885</v>
      </c>
      <c r="R147" s="99" t="s">
        <v>327</v>
      </c>
      <c r="S147" s="99" t="s">
        <v>394</v>
      </c>
      <c r="T147" s="99" t="s">
        <v>326</v>
      </c>
      <c r="U147" s="99" t="s">
        <v>311</v>
      </c>
      <c r="V147" s="99" t="s">
        <v>1450</v>
      </c>
      <c r="W147" s="99" t="s">
        <v>325</v>
      </c>
      <c r="X147" s="99" t="s">
        <v>310</v>
      </c>
      <c r="Y147" s="99" t="s">
        <v>316</v>
      </c>
      <c r="Z147" s="99" t="s">
        <v>316</v>
      </c>
      <c r="AA147" s="99" t="s">
        <v>464</v>
      </c>
      <c r="AB147" s="99" t="s">
        <v>358</v>
      </c>
      <c r="AC147" s="99" t="s">
        <v>307</v>
      </c>
      <c r="AD147" s="99" t="s">
        <v>388</v>
      </c>
      <c r="AE147" s="99" t="s">
        <v>535</v>
      </c>
      <c r="AF147" s="99" t="s">
        <v>901</v>
      </c>
      <c r="AG147" s="99" t="s">
        <v>306</v>
      </c>
      <c r="AH147" s="99" t="s">
        <v>303</v>
      </c>
      <c r="AI147" s="99" t="s">
        <v>302</v>
      </c>
      <c r="AJ147" s="99" t="s">
        <v>304</v>
      </c>
      <c r="AK147" s="99" t="s">
        <v>302</v>
      </c>
      <c r="AL147" s="99" t="s">
        <v>302</v>
      </c>
      <c r="AM147" s="99" t="s">
        <v>302</v>
      </c>
      <c r="AN147" s="99" t="s">
        <v>303</v>
      </c>
      <c r="AO147" s="99" t="s">
        <v>302</v>
      </c>
      <c r="AP147" s="99" t="s">
        <v>302</v>
      </c>
      <c r="AQ147" s="99" t="s">
        <v>302</v>
      </c>
      <c r="AR147" s="99" t="s">
        <v>301</v>
      </c>
      <c r="AS147" s="99" t="s">
        <v>350</v>
      </c>
      <c r="AT147" s="99" t="s">
        <v>321</v>
      </c>
      <c r="AU147" s="99" t="s">
        <v>320</v>
      </c>
      <c r="AV147" s="99" t="s">
        <v>392</v>
      </c>
      <c r="AW147" s="99" t="s">
        <v>307</v>
      </c>
      <c r="AX147" s="99" t="s">
        <v>549</v>
      </c>
      <c r="AY147" s="99" t="s">
        <v>482</v>
      </c>
    </row>
    <row r="148" spans="1:51" ht="144" x14ac:dyDescent="0.3">
      <c r="A148" s="98">
        <v>42158.259293981479</v>
      </c>
      <c r="B148" s="99" t="s">
        <v>1049</v>
      </c>
      <c r="C148" s="99" t="s">
        <v>552</v>
      </c>
      <c r="D148" s="99" t="s">
        <v>529</v>
      </c>
      <c r="E148" s="99" t="s">
        <v>3</v>
      </c>
      <c r="F148" s="99" t="s">
        <v>317</v>
      </c>
      <c r="G148" s="99" t="s">
        <v>430</v>
      </c>
      <c r="H148" s="99" t="s">
        <v>349</v>
      </c>
      <c r="I148" s="99" t="s">
        <v>309</v>
      </c>
      <c r="J148" s="99" t="s">
        <v>565</v>
      </c>
      <c r="K148" s="99" t="s">
        <v>368</v>
      </c>
      <c r="L148" s="99" t="s">
        <v>450</v>
      </c>
      <c r="M148" s="99" t="s">
        <v>314</v>
      </c>
      <c r="N148" s="99" t="s">
        <v>4</v>
      </c>
      <c r="O148" s="99" t="s">
        <v>327</v>
      </c>
      <c r="P148" s="99" t="s">
        <v>327</v>
      </c>
      <c r="Q148" s="99" t="s">
        <v>707</v>
      </c>
      <c r="R148" s="99" t="s">
        <v>327</v>
      </c>
      <c r="S148" s="99" t="s">
        <v>1451</v>
      </c>
      <c r="T148" s="99" t="s">
        <v>326</v>
      </c>
      <c r="U148" s="99" t="s">
        <v>530</v>
      </c>
      <c r="V148" s="99" t="s">
        <v>1452</v>
      </c>
      <c r="W148" s="99" t="s">
        <v>370</v>
      </c>
      <c r="X148" s="99" t="s">
        <v>310</v>
      </c>
      <c r="Y148" s="99" t="s">
        <v>316</v>
      </c>
      <c r="Z148" s="99" t="s">
        <v>316</v>
      </c>
      <c r="AA148" s="99" t="s">
        <v>464</v>
      </c>
      <c r="AB148" s="99" t="s">
        <v>308</v>
      </c>
      <c r="AC148" s="99" t="s">
        <v>307</v>
      </c>
      <c r="AD148" s="99" t="s">
        <v>414</v>
      </c>
      <c r="AE148" s="99" t="s">
        <v>539</v>
      </c>
      <c r="AF148" s="99" t="s">
        <v>1453</v>
      </c>
      <c r="AG148" s="99" t="s">
        <v>306</v>
      </c>
      <c r="AH148" s="99" t="s">
        <v>303</v>
      </c>
      <c r="AI148" s="99" t="s">
        <v>303</v>
      </c>
      <c r="AJ148" s="99" t="s">
        <v>303</v>
      </c>
      <c r="AK148" s="99" t="s">
        <v>302</v>
      </c>
      <c r="AL148" s="99" t="s">
        <v>302</v>
      </c>
      <c r="AM148" s="99" t="s">
        <v>303</v>
      </c>
      <c r="AN148" s="99" t="s">
        <v>303</v>
      </c>
      <c r="AO148" s="99" t="s">
        <v>303</v>
      </c>
      <c r="AP148" s="99" t="s">
        <v>303</v>
      </c>
      <c r="AQ148" s="99" t="s">
        <v>303</v>
      </c>
      <c r="AR148" s="99" t="s">
        <v>301</v>
      </c>
      <c r="AS148" s="99" t="s">
        <v>300</v>
      </c>
      <c r="AT148" s="99" t="s">
        <v>321</v>
      </c>
      <c r="AU148" s="99" t="s">
        <v>342</v>
      </c>
      <c r="AV148" s="99" t="s">
        <v>297</v>
      </c>
      <c r="AW148" s="99" t="s">
        <v>307</v>
      </c>
      <c r="AX148" s="99" t="s">
        <v>341</v>
      </c>
      <c r="AY148" s="99" t="s">
        <v>1454</v>
      </c>
    </row>
    <row r="149" spans="1:51" ht="86.4" x14ac:dyDescent="0.3">
      <c r="A149" s="98">
        <v>42158.260023148148</v>
      </c>
      <c r="B149" s="99" t="s">
        <v>1049</v>
      </c>
      <c r="C149" s="99" t="s">
        <v>552</v>
      </c>
      <c r="D149" s="99" t="s">
        <v>529</v>
      </c>
      <c r="E149" s="99" t="s">
        <v>330</v>
      </c>
      <c r="F149" s="99" t="s">
        <v>317</v>
      </c>
      <c r="G149" s="99" t="s">
        <v>407</v>
      </c>
      <c r="H149" s="99" t="s">
        <v>5</v>
      </c>
      <c r="I149" s="99" t="s">
        <v>309</v>
      </c>
      <c r="J149" s="99" t="s">
        <v>1455</v>
      </c>
      <c r="K149" s="99" t="s">
        <v>315</v>
      </c>
      <c r="L149" s="99" t="s">
        <v>450</v>
      </c>
      <c r="M149" s="99" t="s">
        <v>367</v>
      </c>
      <c r="N149" s="99" t="s">
        <v>313</v>
      </c>
      <c r="O149" s="99" t="s">
        <v>327</v>
      </c>
      <c r="P149" s="99" t="s">
        <v>313</v>
      </c>
      <c r="Q149" s="99" t="s">
        <v>450</v>
      </c>
      <c r="R149" s="99" t="s">
        <v>4</v>
      </c>
      <c r="S149" s="99" t="s">
        <v>1456</v>
      </c>
      <c r="T149" s="99"/>
      <c r="U149" s="99" t="s">
        <v>530</v>
      </c>
      <c r="V149" s="99" t="s">
        <v>386</v>
      </c>
      <c r="W149" s="99" t="s">
        <v>325</v>
      </c>
      <c r="X149" s="99" t="s">
        <v>346</v>
      </c>
      <c r="Y149" s="99" t="s">
        <v>309</v>
      </c>
      <c r="Z149" s="99" t="s">
        <v>316</v>
      </c>
      <c r="AA149" s="99" t="s">
        <v>490</v>
      </c>
      <c r="AB149" s="99" t="s">
        <v>308</v>
      </c>
      <c r="AC149" s="99" t="s">
        <v>307</v>
      </c>
      <c r="AD149" s="99" t="s">
        <v>414</v>
      </c>
      <c r="AE149" s="99" t="s">
        <v>532</v>
      </c>
      <c r="AF149" s="99" t="s">
        <v>1102</v>
      </c>
      <c r="AG149" s="99" t="s">
        <v>304</v>
      </c>
      <c r="AH149" s="99" t="s">
        <v>303</v>
      </c>
      <c r="AI149" s="99" t="s">
        <v>303</v>
      </c>
      <c r="AJ149" s="99" t="s">
        <v>302</v>
      </c>
      <c r="AK149" s="99" t="s">
        <v>302</v>
      </c>
      <c r="AL149" s="99" t="s">
        <v>303</v>
      </c>
      <c r="AM149" s="99" t="s">
        <v>302</v>
      </c>
      <c r="AN149" s="99" t="s">
        <v>303</v>
      </c>
      <c r="AO149" s="99" t="s">
        <v>302</v>
      </c>
      <c r="AP149" s="99" t="s">
        <v>303</v>
      </c>
      <c r="AQ149" s="99" t="s">
        <v>302</v>
      </c>
      <c r="AR149" s="99" t="s">
        <v>378</v>
      </c>
      <c r="AS149" s="99" t="s">
        <v>300</v>
      </c>
      <c r="AT149" s="99" t="s">
        <v>321</v>
      </c>
      <c r="AU149" s="99" t="s">
        <v>342</v>
      </c>
      <c r="AV149" s="99" t="s">
        <v>536</v>
      </c>
      <c r="AW149" s="99" t="s">
        <v>307</v>
      </c>
      <c r="AX149" s="99" t="s">
        <v>341</v>
      </c>
      <c r="AY149" s="99" t="s">
        <v>586</v>
      </c>
    </row>
    <row r="150" spans="1:51" ht="129.6" x14ac:dyDescent="0.3">
      <c r="A150" s="98">
        <v>42158.263807870368</v>
      </c>
      <c r="B150" s="99" t="s">
        <v>1049</v>
      </c>
      <c r="C150" s="99" t="s">
        <v>552</v>
      </c>
      <c r="D150" s="99" t="s">
        <v>529</v>
      </c>
      <c r="E150" s="99" t="s">
        <v>3</v>
      </c>
      <c r="F150" s="99" t="s">
        <v>317</v>
      </c>
      <c r="G150" s="99" t="s">
        <v>423</v>
      </c>
      <c r="H150" s="99" t="s">
        <v>5</v>
      </c>
      <c r="I150" s="99" t="s">
        <v>309</v>
      </c>
      <c r="J150" s="99" t="s">
        <v>1045</v>
      </c>
      <c r="K150" s="99" t="s">
        <v>315</v>
      </c>
      <c r="L150" s="99" t="s">
        <v>598</v>
      </c>
      <c r="M150" s="99" t="s">
        <v>353</v>
      </c>
      <c r="N150" s="99" t="s">
        <v>4</v>
      </c>
      <c r="O150" s="99" t="s">
        <v>327</v>
      </c>
      <c r="P150" s="99" t="s">
        <v>4</v>
      </c>
      <c r="Q150" s="99" t="s">
        <v>411</v>
      </c>
      <c r="R150" s="99"/>
      <c r="S150" s="99" t="s">
        <v>469</v>
      </c>
      <c r="T150" s="99" t="s">
        <v>312</v>
      </c>
      <c r="U150" s="99" t="s">
        <v>311</v>
      </c>
      <c r="V150" s="99" t="s">
        <v>382</v>
      </c>
      <c r="W150" s="99" t="s">
        <v>370</v>
      </c>
      <c r="X150" s="99" t="s">
        <v>346</v>
      </c>
      <c r="Y150" s="99" t="s">
        <v>316</v>
      </c>
      <c r="Z150" s="99" t="s">
        <v>345</v>
      </c>
      <c r="AA150" s="99" t="s">
        <v>432</v>
      </c>
      <c r="AB150" s="99" t="s">
        <v>308</v>
      </c>
      <c r="AC150" s="99" t="s">
        <v>296</v>
      </c>
      <c r="AD150" s="99" t="s">
        <v>426</v>
      </c>
      <c r="AE150" s="99" t="s">
        <v>532</v>
      </c>
      <c r="AF150" s="99" t="s">
        <v>946</v>
      </c>
      <c r="AG150" s="99" t="s">
        <v>306</v>
      </c>
      <c r="AH150" s="99" t="s">
        <v>302</v>
      </c>
      <c r="AI150" s="99" t="s">
        <v>302</v>
      </c>
      <c r="AJ150" s="99" t="s">
        <v>302</v>
      </c>
      <c r="AK150" s="99" t="s">
        <v>302</v>
      </c>
      <c r="AL150" s="99" t="s">
        <v>302</v>
      </c>
      <c r="AM150" s="99" t="s">
        <v>302</v>
      </c>
      <c r="AN150" s="99" t="s">
        <v>302</v>
      </c>
      <c r="AO150" s="99" t="s">
        <v>302</v>
      </c>
      <c r="AP150" s="99" t="s">
        <v>302</v>
      </c>
      <c r="AQ150" s="99" t="s">
        <v>302</v>
      </c>
      <c r="AR150" s="99" t="s">
        <v>301</v>
      </c>
      <c r="AS150" s="99" t="s">
        <v>300</v>
      </c>
      <c r="AT150" s="99" t="s">
        <v>355</v>
      </c>
      <c r="AU150" s="99" t="s">
        <v>320</v>
      </c>
      <c r="AV150" s="99" t="s">
        <v>547</v>
      </c>
      <c r="AW150" s="99" t="s">
        <v>296</v>
      </c>
      <c r="AX150" s="99" t="s">
        <v>319</v>
      </c>
      <c r="AY150" s="99" t="s">
        <v>710</v>
      </c>
    </row>
    <row r="151" spans="1:51" ht="172.8" x14ac:dyDescent="0.3">
      <c r="A151" s="98">
        <v>42158.264004629629</v>
      </c>
      <c r="B151" s="99" t="s">
        <v>1049</v>
      </c>
      <c r="C151" s="99" t="s">
        <v>552</v>
      </c>
      <c r="D151" s="99" t="s">
        <v>529</v>
      </c>
      <c r="E151" s="99" t="s">
        <v>330</v>
      </c>
      <c r="F151" s="99" t="s">
        <v>317</v>
      </c>
      <c r="G151" s="99" t="s">
        <v>407</v>
      </c>
      <c r="H151" s="99" t="s">
        <v>5</v>
      </c>
      <c r="I151" s="99" t="s">
        <v>309</v>
      </c>
      <c r="J151" s="99" t="s">
        <v>1165</v>
      </c>
      <c r="K151" s="99" t="s">
        <v>315</v>
      </c>
      <c r="L151" s="99" t="s">
        <v>450</v>
      </c>
      <c r="M151" s="99" t="s">
        <v>651</v>
      </c>
      <c r="N151" s="99" t="s">
        <v>374</v>
      </c>
      <c r="O151" s="99" t="s">
        <v>327</v>
      </c>
      <c r="P151" s="99" t="s">
        <v>4</v>
      </c>
      <c r="Q151" s="99" t="s">
        <v>1261</v>
      </c>
      <c r="R151" s="99" t="s">
        <v>327</v>
      </c>
      <c r="S151" s="99" t="s">
        <v>1292</v>
      </c>
      <c r="T151" s="99" t="s">
        <v>366</v>
      </c>
      <c r="U151" s="99" t="s">
        <v>530</v>
      </c>
      <c r="V151" s="99" t="s">
        <v>1229</v>
      </c>
      <c r="W151" s="99" t="s">
        <v>1278</v>
      </c>
      <c r="X151" s="99" t="s">
        <v>352</v>
      </c>
      <c r="Y151" s="99" t="s">
        <v>316</v>
      </c>
      <c r="Z151" s="99" t="s">
        <v>316</v>
      </c>
      <c r="AA151" s="99" t="s">
        <v>691</v>
      </c>
      <c r="AB151" s="99" t="s">
        <v>308</v>
      </c>
      <c r="AC151" s="99" t="s">
        <v>296</v>
      </c>
      <c r="AD151" s="99" t="s">
        <v>1050</v>
      </c>
      <c r="AE151" s="99" t="s">
        <v>533</v>
      </c>
      <c r="AF151" s="99" t="s">
        <v>1217</v>
      </c>
      <c r="AG151" s="99" t="s">
        <v>304</v>
      </c>
      <c r="AH151" s="99" t="s">
        <v>302</v>
      </c>
      <c r="AI151" s="99" t="s">
        <v>302</v>
      </c>
      <c r="AJ151" s="99" t="s">
        <v>6</v>
      </c>
      <c r="AK151" s="99" t="s">
        <v>6</v>
      </c>
      <c r="AL151" s="99" t="s">
        <v>6</v>
      </c>
      <c r="AM151" s="99" t="s">
        <v>6</v>
      </c>
      <c r="AN151" s="99" t="s">
        <v>302</v>
      </c>
      <c r="AO151" s="99" t="s">
        <v>302</v>
      </c>
      <c r="AP151" s="99" t="s">
        <v>302</v>
      </c>
      <c r="AQ151" s="99" t="s">
        <v>302</v>
      </c>
      <c r="AR151" s="99" t="s">
        <v>343</v>
      </c>
      <c r="AS151" s="99" t="s">
        <v>300</v>
      </c>
      <c r="AT151" s="99" t="s">
        <v>321</v>
      </c>
      <c r="AU151" s="99" t="s">
        <v>320</v>
      </c>
      <c r="AV151" s="99" t="s">
        <v>547</v>
      </c>
      <c r="AW151" s="99" t="s">
        <v>307</v>
      </c>
      <c r="AX151" s="99" t="s">
        <v>319</v>
      </c>
      <c r="AY151" s="99" t="s">
        <v>649</v>
      </c>
    </row>
    <row r="152" spans="1:51" ht="144" x14ac:dyDescent="0.3">
      <c r="A152" s="98">
        <v>42158.265543981484</v>
      </c>
      <c r="B152" s="99" t="s">
        <v>1049</v>
      </c>
      <c r="C152" s="99" t="s">
        <v>552</v>
      </c>
      <c r="D152" s="99" t="s">
        <v>529</v>
      </c>
      <c r="E152" s="99" t="s">
        <v>330</v>
      </c>
      <c r="F152" s="99" t="s">
        <v>317</v>
      </c>
      <c r="G152" s="99" t="s">
        <v>407</v>
      </c>
      <c r="H152" s="99" t="s">
        <v>5</v>
      </c>
      <c r="I152" s="99" t="s">
        <v>309</v>
      </c>
      <c r="J152" s="99" t="s">
        <v>841</v>
      </c>
      <c r="K152" s="99" t="s">
        <v>384</v>
      </c>
      <c r="L152" s="99" t="s">
        <v>417</v>
      </c>
      <c r="M152" s="99" t="s">
        <v>367</v>
      </c>
      <c r="N152" s="99" t="s">
        <v>327</v>
      </c>
      <c r="O152" s="99" t="s">
        <v>327</v>
      </c>
      <c r="P152" s="99" t="s">
        <v>4</v>
      </c>
      <c r="Q152" s="99" t="s">
        <v>411</v>
      </c>
      <c r="R152" s="99" t="s">
        <v>327</v>
      </c>
      <c r="S152" s="99" t="s">
        <v>1457</v>
      </c>
      <c r="T152" s="99" t="s">
        <v>312</v>
      </c>
      <c r="U152" s="99" t="s">
        <v>311</v>
      </c>
      <c r="V152" s="99" t="s">
        <v>1458</v>
      </c>
      <c r="W152" s="99" t="s">
        <v>325</v>
      </c>
      <c r="X152" s="99" t="s">
        <v>346</v>
      </c>
      <c r="Y152" s="99" t="s">
        <v>316</v>
      </c>
      <c r="Z152" s="99"/>
      <c r="AA152" s="99" t="s">
        <v>732</v>
      </c>
      <c r="AB152" s="99" t="s">
        <v>308</v>
      </c>
      <c r="AC152" s="99" t="s">
        <v>307</v>
      </c>
      <c r="AD152" s="99" t="s">
        <v>675</v>
      </c>
      <c r="AE152" s="99" t="s">
        <v>532</v>
      </c>
      <c r="AF152" s="99" t="s">
        <v>802</v>
      </c>
      <c r="AG152" s="99" t="s">
        <v>306</v>
      </c>
      <c r="AH152" s="99" t="s">
        <v>302</v>
      </c>
      <c r="AI152" s="99" t="s">
        <v>303</v>
      </c>
      <c r="AJ152" s="99" t="s">
        <v>302</v>
      </c>
      <c r="AK152" s="99" t="s">
        <v>303</v>
      </c>
      <c r="AL152" s="99" t="s">
        <v>303</v>
      </c>
      <c r="AM152" s="99" t="s">
        <v>302</v>
      </c>
      <c r="AN152" s="99" t="s">
        <v>302</v>
      </c>
      <c r="AO152" s="99" t="s">
        <v>303</v>
      </c>
      <c r="AP152" s="99"/>
      <c r="AQ152" s="99" t="s">
        <v>302</v>
      </c>
      <c r="AR152" s="99" t="s">
        <v>391</v>
      </c>
      <c r="AS152" s="99" t="s">
        <v>300</v>
      </c>
      <c r="AT152" s="99" t="s">
        <v>360</v>
      </c>
      <c r="AU152" s="99" t="s">
        <v>298</v>
      </c>
      <c r="AV152" s="99" t="s">
        <v>536</v>
      </c>
      <c r="AW152" s="99" t="s">
        <v>307</v>
      </c>
      <c r="AX152" s="99" t="s">
        <v>319</v>
      </c>
      <c r="AY152" s="99" t="s">
        <v>654</v>
      </c>
    </row>
    <row r="153" spans="1:51" ht="158.4" x14ac:dyDescent="0.3">
      <c r="A153" s="98">
        <v>42158.266574074078</v>
      </c>
      <c r="B153" s="99" t="s">
        <v>1049</v>
      </c>
      <c r="C153" s="99" t="s">
        <v>552</v>
      </c>
      <c r="D153" s="99" t="s">
        <v>331</v>
      </c>
      <c r="E153" s="99" t="s">
        <v>330</v>
      </c>
      <c r="F153" s="99" t="s">
        <v>317</v>
      </c>
      <c r="G153" s="99" t="s">
        <v>407</v>
      </c>
      <c r="H153" s="99" t="s">
        <v>5</v>
      </c>
      <c r="I153" s="99" t="s">
        <v>309</v>
      </c>
      <c r="J153" s="99" t="s">
        <v>1459</v>
      </c>
      <c r="K153" s="99" t="s">
        <v>328</v>
      </c>
      <c r="L153" s="99" t="s">
        <v>1288</v>
      </c>
      <c r="M153" s="99" t="s">
        <v>348</v>
      </c>
      <c r="N153" s="99" t="s">
        <v>4</v>
      </c>
      <c r="O153" s="99" t="s">
        <v>327</v>
      </c>
      <c r="P153" s="99" t="s">
        <v>327</v>
      </c>
      <c r="Q153" s="99" t="s">
        <v>421</v>
      </c>
      <c r="R153" s="99" t="s">
        <v>327</v>
      </c>
      <c r="S153" s="99" t="s">
        <v>1460</v>
      </c>
      <c r="T153" s="99" t="s">
        <v>366</v>
      </c>
      <c r="U153" s="99" t="s">
        <v>530</v>
      </c>
      <c r="V153" s="99" t="s">
        <v>1461</v>
      </c>
      <c r="W153" s="99" t="s">
        <v>325</v>
      </c>
      <c r="X153" s="99" t="s">
        <v>352</v>
      </c>
      <c r="Y153" s="99" t="s">
        <v>316</v>
      </c>
      <c r="Z153" s="99" t="s">
        <v>316</v>
      </c>
      <c r="AA153" s="99" t="s">
        <v>408</v>
      </c>
      <c r="AB153" s="99" t="s">
        <v>308</v>
      </c>
      <c r="AC153" s="99" t="s">
        <v>296</v>
      </c>
      <c r="AD153" s="99" t="s">
        <v>414</v>
      </c>
      <c r="AE153" s="99" t="s">
        <v>533</v>
      </c>
      <c r="AF153" s="99" t="s">
        <v>1012</v>
      </c>
      <c r="AG153" s="99" t="s">
        <v>306</v>
      </c>
      <c r="AH153" s="99" t="s">
        <v>302</v>
      </c>
      <c r="AI153" s="99" t="s">
        <v>302</v>
      </c>
      <c r="AJ153" s="99" t="s">
        <v>302</v>
      </c>
      <c r="AK153" s="99" t="s">
        <v>302</v>
      </c>
      <c r="AL153" s="99" t="s">
        <v>302</v>
      </c>
      <c r="AM153" s="99" t="s">
        <v>302</v>
      </c>
      <c r="AN153" s="99" t="s">
        <v>302</v>
      </c>
      <c r="AO153" s="99" t="s">
        <v>302</v>
      </c>
      <c r="AP153" s="99" t="s">
        <v>302</v>
      </c>
      <c r="AQ153" s="99" t="s">
        <v>303</v>
      </c>
      <c r="AR153" s="99" t="s">
        <v>391</v>
      </c>
      <c r="AS153" s="99" t="s">
        <v>350</v>
      </c>
      <c r="AT153" s="99" t="s">
        <v>321</v>
      </c>
      <c r="AU153" s="99" t="s">
        <v>320</v>
      </c>
      <c r="AV153" s="99" t="s">
        <v>364</v>
      </c>
      <c r="AW153" s="99" t="s">
        <v>296</v>
      </c>
      <c r="AX153" s="99" t="s">
        <v>319</v>
      </c>
      <c r="AY153" s="99" t="s">
        <v>1454</v>
      </c>
    </row>
    <row r="154" spans="1:51" ht="187.2" x14ac:dyDescent="0.3">
      <c r="A154" s="98">
        <v>42158.267199074071</v>
      </c>
      <c r="B154" s="99" t="s">
        <v>1049</v>
      </c>
      <c r="C154" s="99" t="s">
        <v>552</v>
      </c>
      <c r="D154" s="99" t="s">
        <v>331</v>
      </c>
      <c r="E154" s="99" t="s">
        <v>330</v>
      </c>
      <c r="F154" s="99" t="s">
        <v>317</v>
      </c>
      <c r="G154" s="99" t="s">
        <v>407</v>
      </c>
      <c r="H154" s="99" t="s">
        <v>390</v>
      </c>
      <c r="I154" s="99" t="s">
        <v>309</v>
      </c>
      <c r="J154" s="99" t="s">
        <v>440</v>
      </c>
      <c r="K154" s="99" t="s">
        <v>354</v>
      </c>
      <c r="L154" s="99" t="s">
        <v>450</v>
      </c>
      <c r="M154" s="99" t="s">
        <v>363</v>
      </c>
      <c r="N154" s="99" t="s">
        <v>327</v>
      </c>
      <c r="O154" s="99" t="s">
        <v>313</v>
      </c>
      <c r="P154" s="99" t="s">
        <v>327</v>
      </c>
      <c r="Q154" s="99" t="s">
        <v>417</v>
      </c>
      <c r="R154" s="99" t="s">
        <v>327</v>
      </c>
      <c r="S154" s="99" t="s">
        <v>898</v>
      </c>
      <c r="T154" s="99" t="s">
        <v>312</v>
      </c>
      <c r="U154" s="99" t="s">
        <v>530</v>
      </c>
      <c r="V154" s="99" t="s">
        <v>1462</v>
      </c>
      <c r="W154" s="99" t="s">
        <v>1278</v>
      </c>
      <c r="X154" s="99" t="s">
        <v>346</v>
      </c>
      <c r="Y154" s="99" t="s">
        <v>316</v>
      </c>
      <c r="Z154" s="99" t="s">
        <v>316</v>
      </c>
      <c r="AA154" s="99" t="s">
        <v>1463</v>
      </c>
      <c r="AB154" s="99" t="s">
        <v>308</v>
      </c>
      <c r="AC154" s="99" t="s">
        <v>307</v>
      </c>
      <c r="AD154" s="99" t="s">
        <v>1464</v>
      </c>
      <c r="AE154" s="99" t="s">
        <v>532</v>
      </c>
      <c r="AF154" s="99" t="s">
        <v>1465</v>
      </c>
      <c r="AG154" s="99"/>
      <c r="AH154" s="99" t="s">
        <v>303</v>
      </c>
      <c r="AI154" s="99" t="s">
        <v>303</v>
      </c>
      <c r="AJ154" s="99" t="s">
        <v>303</v>
      </c>
      <c r="AK154" s="99" t="s">
        <v>303</v>
      </c>
      <c r="AL154" s="99" t="s">
        <v>303</v>
      </c>
      <c r="AM154" s="99" t="s">
        <v>303</v>
      </c>
      <c r="AN154" s="99" t="s">
        <v>303</v>
      </c>
      <c r="AO154" s="99" t="s">
        <v>303</v>
      </c>
      <c r="AP154" s="99" t="s">
        <v>303</v>
      </c>
      <c r="AQ154" s="99" t="s">
        <v>303</v>
      </c>
      <c r="AR154" s="99" t="s">
        <v>378</v>
      </c>
      <c r="AS154" s="99" t="s">
        <v>300</v>
      </c>
      <c r="AT154" s="99" t="s">
        <v>355</v>
      </c>
      <c r="AU154" s="99" t="s">
        <v>320</v>
      </c>
      <c r="AV154" s="99" t="s">
        <v>364</v>
      </c>
      <c r="AW154" s="99" t="s">
        <v>307</v>
      </c>
      <c r="AX154" s="99" t="s">
        <v>319</v>
      </c>
      <c r="AY154" s="99" t="s">
        <v>1073</v>
      </c>
    </row>
    <row r="155" spans="1:51" ht="144" x14ac:dyDescent="0.3">
      <c r="A155" s="98">
        <v>42158.267511574071</v>
      </c>
      <c r="B155" s="99" t="s">
        <v>1049</v>
      </c>
      <c r="C155" s="99" t="s">
        <v>552</v>
      </c>
      <c r="D155" s="99" t="s">
        <v>529</v>
      </c>
      <c r="E155" s="99" t="s">
        <v>3</v>
      </c>
      <c r="F155" s="99" t="s">
        <v>317</v>
      </c>
      <c r="G155" s="99" t="s">
        <v>446</v>
      </c>
      <c r="H155" s="99" t="s">
        <v>5</v>
      </c>
      <c r="I155" s="99" t="s">
        <v>309</v>
      </c>
      <c r="J155" s="99" t="s">
        <v>1158</v>
      </c>
      <c r="K155" s="99" t="s">
        <v>354</v>
      </c>
      <c r="L155" s="99" t="s">
        <v>429</v>
      </c>
      <c r="M155" s="99" t="s">
        <v>363</v>
      </c>
      <c r="N155" s="99" t="s">
        <v>327</v>
      </c>
      <c r="O155" s="99" t="s">
        <v>4</v>
      </c>
      <c r="P155" s="99" t="s">
        <v>327</v>
      </c>
      <c r="Q155" s="99" t="s">
        <v>584</v>
      </c>
      <c r="R155" s="99" t="s">
        <v>327</v>
      </c>
      <c r="S155" s="99" t="s">
        <v>1466</v>
      </c>
      <c r="T155" s="99" t="s">
        <v>312</v>
      </c>
      <c r="U155" s="99" t="s">
        <v>530</v>
      </c>
      <c r="V155" s="99" t="s">
        <v>1467</v>
      </c>
      <c r="W155" s="99" t="s">
        <v>571</v>
      </c>
      <c r="X155" s="99" t="s">
        <v>346</v>
      </c>
      <c r="Y155" s="99" t="s">
        <v>309</v>
      </c>
      <c r="Z155" s="99" t="s">
        <v>316</v>
      </c>
      <c r="AA155" s="99" t="s">
        <v>472</v>
      </c>
      <c r="AB155" s="99" t="s">
        <v>308</v>
      </c>
      <c r="AC155" s="99" t="s">
        <v>307</v>
      </c>
      <c r="AD155" s="99" t="s">
        <v>448</v>
      </c>
      <c r="AE155" s="99" t="s">
        <v>533</v>
      </c>
      <c r="AF155" s="99" t="s">
        <v>945</v>
      </c>
      <c r="AG155" s="99" t="s">
        <v>306</v>
      </c>
      <c r="AH155" s="99" t="s">
        <v>302</v>
      </c>
      <c r="AI155" s="99" t="s">
        <v>303</v>
      </c>
      <c r="AJ155" s="99" t="s">
        <v>302</v>
      </c>
      <c r="AK155" s="99" t="s">
        <v>302</v>
      </c>
      <c r="AL155" s="99" t="s">
        <v>302</v>
      </c>
      <c r="AM155" s="99" t="s">
        <v>302</v>
      </c>
      <c r="AN155" s="99" t="s">
        <v>302</v>
      </c>
      <c r="AO155" s="99" t="s">
        <v>302</v>
      </c>
      <c r="AP155" s="99" t="s">
        <v>302</v>
      </c>
      <c r="AQ155" s="99" t="s">
        <v>303</v>
      </c>
      <c r="AR155" s="99" t="s">
        <v>391</v>
      </c>
      <c r="AS155" s="99" t="s">
        <v>300</v>
      </c>
      <c r="AT155" s="99" t="s">
        <v>355</v>
      </c>
      <c r="AU155" s="99" t="s">
        <v>320</v>
      </c>
      <c r="AV155" s="99" t="s">
        <v>547</v>
      </c>
      <c r="AW155" s="99" t="s">
        <v>296</v>
      </c>
      <c r="AX155" s="99" t="s">
        <v>319</v>
      </c>
      <c r="AY155" s="99" t="s">
        <v>1468</v>
      </c>
    </row>
    <row r="156" spans="1:51" ht="86.4" x14ac:dyDescent="0.3">
      <c r="A156" s="98">
        <v>42158.270567129628</v>
      </c>
      <c r="B156" s="99" t="s">
        <v>1049</v>
      </c>
      <c r="C156" s="99" t="s">
        <v>580</v>
      </c>
      <c r="D156" s="99" t="s">
        <v>529</v>
      </c>
      <c r="E156" s="99" t="s">
        <v>330</v>
      </c>
      <c r="F156" s="99" t="s">
        <v>317</v>
      </c>
      <c r="G156" s="99" t="s">
        <v>487</v>
      </c>
      <c r="H156" s="99" t="s">
        <v>5</v>
      </c>
      <c r="I156" s="99" t="s">
        <v>309</v>
      </c>
      <c r="J156" s="99" t="s">
        <v>1469</v>
      </c>
      <c r="K156" s="99" t="s">
        <v>328</v>
      </c>
      <c r="L156" s="99" t="s">
        <v>439</v>
      </c>
      <c r="M156" s="99" t="s">
        <v>353</v>
      </c>
      <c r="N156" s="99" t="s">
        <v>327</v>
      </c>
      <c r="O156" s="99" t="s">
        <v>313</v>
      </c>
      <c r="P156" s="99" t="s">
        <v>313</v>
      </c>
      <c r="Q156" s="99" t="s">
        <v>411</v>
      </c>
      <c r="R156" s="99" t="s">
        <v>327</v>
      </c>
      <c r="S156" s="99" t="s">
        <v>744</v>
      </c>
      <c r="T156" s="99" t="s">
        <v>312</v>
      </c>
      <c r="U156" s="99" t="s">
        <v>311</v>
      </c>
      <c r="V156" s="99" t="s">
        <v>362</v>
      </c>
      <c r="W156" s="99" t="s">
        <v>325</v>
      </c>
      <c r="X156" s="99" t="s">
        <v>346</v>
      </c>
      <c r="Y156" s="99" t="s">
        <v>316</v>
      </c>
      <c r="Z156" s="99" t="s">
        <v>316</v>
      </c>
      <c r="AA156" s="99" t="s">
        <v>666</v>
      </c>
      <c r="AB156" s="99" t="s">
        <v>308</v>
      </c>
      <c r="AC156" s="99" t="s">
        <v>296</v>
      </c>
      <c r="AD156" s="99" t="s">
        <v>414</v>
      </c>
      <c r="AE156" s="99" t="s">
        <v>532</v>
      </c>
      <c r="AF156" s="99" t="s">
        <v>1330</v>
      </c>
      <c r="AG156" s="99" t="s">
        <v>306</v>
      </c>
      <c r="AH156" s="99" t="s">
        <v>302</v>
      </c>
      <c r="AI156" s="99" t="s">
        <v>302</v>
      </c>
      <c r="AJ156" s="99" t="s">
        <v>303</v>
      </c>
      <c r="AK156" s="99" t="s">
        <v>303</v>
      </c>
      <c r="AL156" s="99" t="s">
        <v>303</v>
      </c>
      <c r="AM156" s="99" t="s">
        <v>302</v>
      </c>
      <c r="AN156" s="99" t="s">
        <v>303</v>
      </c>
      <c r="AO156" s="99" t="s">
        <v>302</v>
      </c>
      <c r="AP156" s="99" t="s">
        <v>303</v>
      </c>
      <c r="AQ156" s="99" t="s">
        <v>304</v>
      </c>
      <c r="AR156" s="99" t="s">
        <v>322</v>
      </c>
      <c r="AS156" s="99" t="s">
        <v>300</v>
      </c>
      <c r="AT156" s="99" t="s">
        <v>321</v>
      </c>
      <c r="AU156" s="99" t="s">
        <v>342</v>
      </c>
      <c r="AV156" s="99" t="s">
        <v>364</v>
      </c>
      <c r="AW156" s="99" t="s">
        <v>324</v>
      </c>
      <c r="AX156" s="99" t="s">
        <v>341</v>
      </c>
      <c r="AY156" s="99" t="s">
        <v>385</v>
      </c>
    </row>
    <row r="157" spans="1:51" ht="259.2" x14ac:dyDescent="0.3">
      <c r="A157" s="98">
        <v>42158.270902777775</v>
      </c>
      <c r="B157" s="99" t="s">
        <v>1049</v>
      </c>
      <c r="C157" s="99" t="s">
        <v>552</v>
      </c>
      <c r="D157" s="99" t="s">
        <v>529</v>
      </c>
      <c r="E157" s="99" t="s">
        <v>330</v>
      </c>
      <c r="F157" s="99" t="s">
        <v>317</v>
      </c>
      <c r="G157" s="99" t="s">
        <v>446</v>
      </c>
      <c r="H157" s="99" t="s">
        <v>5</v>
      </c>
      <c r="I157" s="99" t="s">
        <v>345</v>
      </c>
      <c r="J157" s="99" t="s">
        <v>1470</v>
      </c>
      <c r="K157" s="99" t="s">
        <v>368</v>
      </c>
      <c r="L157" s="99" t="s">
        <v>450</v>
      </c>
      <c r="M157" s="99" t="s">
        <v>353</v>
      </c>
      <c r="N157" s="99" t="s">
        <v>4</v>
      </c>
      <c r="O157" s="99" t="s">
        <v>313</v>
      </c>
      <c r="P157" s="99" t="s">
        <v>4</v>
      </c>
      <c r="Q157" s="99" t="s">
        <v>1005</v>
      </c>
      <c r="R157" s="99" t="s">
        <v>327</v>
      </c>
      <c r="S157" s="99" t="s">
        <v>1471</v>
      </c>
      <c r="T157" s="99" t="s">
        <v>326</v>
      </c>
      <c r="U157" s="99" t="s">
        <v>311</v>
      </c>
      <c r="V157" s="99" t="s">
        <v>495</v>
      </c>
      <c r="W157" s="99" t="s">
        <v>370</v>
      </c>
      <c r="X157" s="99" t="s">
        <v>337</v>
      </c>
      <c r="Y157" s="99" t="s">
        <v>316</v>
      </c>
      <c r="Z157" s="99" t="s">
        <v>345</v>
      </c>
      <c r="AA157" s="99" t="s">
        <v>472</v>
      </c>
      <c r="AB157" s="99" t="s">
        <v>376</v>
      </c>
      <c r="AC157" s="99" t="s">
        <v>307</v>
      </c>
      <c r="AD157" s="99" t="s">
        <v>426</v>
      </c>
      <c r="AE157" s="99" t="s">
        <v>535</v>
      </c>
      <c r="AF157" s="99" t="s">
        <v>403</v>
      </c>
      <c r="AG157" s="99" t="s">
        <v>306</v>
      </c>
      <c r="AH157" s="99" t="s">
        <v>303</v>
      </c>
      <c r="AI157" s="99" t="s">
        <v>302</v>
      </c>
      <c r="AJ157" s="99" t="s">
        <v>303</v>
      </c>
      <c r="AK157" s="99" t="s">
        <v>302</v>
      </c>
      <c r="AL157" s="99" t="s">
        <v>302</v>
      </c>
      <c r="AM157" s="99" t="s">
        <v>303</v>
      </c>
      <c r="AN157" s="99" t="s">
        <v>302</v>
      </c>
      <c r="AO157" s="99" t="s">
        <v>302</v>
      </c>
      <c r="AP157" s="99" t="s">
        <v>303</v>
      </c>
      <c r="AQ157" s="99" t="s">
        <v>303</v>
      </c>
      <c r="AR157" s="99" t="s">
        <v>301</v>
      </c>
      <c r="AS157" s="99" t="s">
        <v>540</v>
      </c>
      <c r="AT157" s="99" t="s">
        <v>321</v>
      </c>
      <c r="AU157" s="99" t="s">
        <v>320</v>
      </c>
      <c r="AV157" s="99" t="s">
        <v>364</v>
      </c>
      <c r="AW157" s="99" t="s">
        <v>307</v>
      </c>
      <c r="AX157" s="99" t="s">
        <v>534</v>
      </c>
      <c r="AY157" s="99" t="s">
        <v>332</v>
      </c>
    </row>
    <row r="158" spans="1:51" ht="216" x14ac:dyDescent="0.3">
      <c r="A158" s="98">
        <v>42158.270925925928</v>
      </c>
      <c r="B158" s="99" t="s">
        <v>1049</v>
      </c>
      <c r="C158" s="99" t="s">
        <v>552</v>
      </c>
      <c r="D158" s="99" t="s">
        <v>529</v>
      </c>
      <c r="E158" s="99" t="s">
        <v>3</v>
      </c>
      <c r="F158" s="99" t="s">
        <v>317</v>
      </c>
      <c r="G158" s="99" t="s">
        <v>407</v>
      </c>
      <c r="H158" s="99" t="s">
        <v>5</v>
      </c>
      <c r="I158" s="99" t="s">
        <v>309</v>
      </c>
      <c r="J158" s="99" t="s">
        <v>708</v>
      </c>
      <c r="K158" s="99" t="s">
        <v>315</v>
      </c>
      <c r="L158" s="99" t="s">
        <v>439</v>
      </c>
      <c r="M158" s="99" t="s">
        <v>314</v>
      </c>
      <c r="N158" s="99" t="s">
        <v>313</v>
      </c>
      <c r="O158" s="99" t="s">
        <v>4</v>
      </c>
      <c r="P158" s="99" t="s">
        <v>4</v>
      </c>
      <c r="Q158" s="99" t="s">
        <v>1472</v>
      </c>
      <c r="R158" s="99" t="s">
        <v>327</v>
      </c>
      <c r="S158" s="99" t="s">
        <v>1473</v>
      </c>
      <c r="T158" s="99" t="s">
        <v>312</v>
      </c>
      <c r="U158" s="99" t="s">
        <v>530</v>
      </c>
      <c r="V158" s="99" t="s">
        <v>437</v>
      </c>
      <c r="W158" s="99" t="s">
        <v>325</v>
      </c>
      <c r="X158" s="99" t="s">
        <v>352</v>
      </c>
      <c r="Y158" s="99" t="s">
        <v>316</v>
      </c>
      <c r="Z158" s="99" t="s">
        <v>316</v>
      </c>
      <c r="AA158" s="99" t="s">
        <v>442</v>
      </c>
      <c r="AB158" s="99" t="s">
        <v>308</v>
      </c>
      <c r="AC158" s="99" t="s">
        <v>351</v>
      </c>
      <c r="AD158" s="99" t="s">
        <v>414</v>
      </c>
      <c r="AE158" s="99" t="s">
        <v>532</v>
      </c>
      <c r="AF158" s="99" t="s">
        <v>1474</v>
      </c>
      <c r="AG158" s="99" t="s">
        <v>306</v>
      </c>
      <c r="AH158" s="99" t="s">
        <v>303</v>
      </c>
      <c r="AI158" s="99" t="s">
        <v>304</v>
      </c>
      <c r="AJ158" s="99" t="s">
        <v>302</v>
      </c>
      <c r="AK158" s="99" t="s">
        <v>303</v>
      </c>
      <c r="AL158" s="99" t="s">
        <v>303</v>
      </c>
      <c r="AM158" s="99" t="s">
        <v>303</v>
      </c>
      <c r="AN158" s="99" t="s">
        <v>302</v>
      </c>
      <c r="AO158" s="99" t="s">
        <v>303</v>
      </c>
      <c r="AP158" s="99" t="s">
        <v>303</v>
      </c>
      <c r="AQ158" s="99" t="s">
        <v>302</v>
      </c>
      <c r="AR158" s="99" t="s">
        <v>301</v>
      </c>
      <c r="AS158" s="99" t="s">
        <v>350</v>
      </c>
      <c r="AT158" s="99" t="s">
        <v>355</v>
      </c>
      <c r="AU158" s="99" t="s">
        <v>320</v>
      </c>
      <c r="AV158" s="99" t="s">
        <v>297</v>
      </c>
      <c r="AW158" s="99" t="s">
        <v>324</v>
      </c>
      <c r="AX158" s="99" t="s">
        <v>341</v>
      </c>
      <c r="AY158" s="99" t="s">
        <v>480</v>
      </c>
    </row>
    <row r="159" spans="1:51" ht="100.8" x14ac:dyDescent="0.3">
      <c r="A159" s="98">
        <v>42158.277488425927</v>
      </c>
      <c r="B159" s="99" t="s">
        <v>1049</v>
      </c>
      <c r="C159" s="99" t="s">
        <v>552</v>
      </c>
      <c r="D159" s="99" t="s">
        <v>529</v>
      </c>
      <c r="E159" s="99" t="s">
        <v>330</v>
      </c>
      <c r="F159" s="99" t="s">
        <v>317</v>
      </c>
      <c r="G159" s="99" t="s">
        <v>407</v>
      </c>
      <c r="H159" s="99" t="s">
        <v>5</v>
      </c>
      <c r="I159" s="99" t="s">
        <v>309</v>
      </c>
      <c r="J159" s="99" t="s">
        <v>1109</v>
      </c>
      <c r="K159" s="99" t="s">
        <v>328</v>
      </c>
      <c r="L159" s="99" t="s">
        <v>417</v>
      </c>
      <c r="M159" s="99" t="s">
        <v>353</v>
      </c>
      <c r="N159" s="99" t="s">
        <v>4</v>
      </c>
      <c r="O159" s="99" t="s">
        <v>313</v>
      </c>
      <c r="P159" s="99" t="s">
        <v>313</v>
      </c>
      <c r="Q159" s="99" t="s">
        <v>421</v>
      </c>
      <c r="R159" s="99" t="s">
        <v>327</v>
      </c>
      <c r="S159" s="99" t="s">
        <v>1475</v>
      </c>
      <c r="T159" s="99" t="s">
        <v>312</v>
      </c>
      <c r="U159" s="99" t="s">
        <v>530</v>
      </c>
      <c r="V159" s="99" t="s">
        <v>1160</v>
      </c>
      <c r="W159" s="99" t="s">
        <v>370</v>
      </c>
      <c r="X159" s="99" t="s">
        <v>310</v>
      </c>
      <c r="Y159" s="99" t="s">
        <v>316</v>
      </c>
      <c r="Z159" s="99" t="s">
        <v>316</v>
      </c>
      <c r="AA159" s="99" t="s">
        <v>490</v>
      </c>
      <c r="AB159" s="99" t="s">
        <v>376</v>
      </c>
      <c r="AC159" s="99" t="s">
        <v>307</v>
      </c>
      <c r="AD159" s="99" t="s">
        <v>743</v>
      </c>
      <c r="AE159" s="99" t="s">
        <v>539</v>
      </c>
      <c r="AF159" s="99" t="s">
        <v>1074</v>
      </c>
      <c r="AG159" s="99" t="s">
        <v>306</v>
      </c>
      <c r="AH159" s="99" t="s">
        <v>302</v>
      </c>
      <c r="AI159" s="99" t="s">
        <v>303</v>
      </c>
      <c r="AJ159" s="99" t="s">
        <v>302</v>
      </c>
      <c r="AK159" s="99" t="s">
        <v>303</v>
      </c>
      <c r="AL159" s="99" t="s">
        <v>302</v>
      </c>
      <c r="AM159" s="99" t="s">
        <v>303</v>
      </c>
      <c r="AN159" s="99" t="s">
        <v>302</v>
      </c>
      <c r="AO159" s="99" t="s">
        <v>302</v>
      </c>
      <c r="AP159" s="99" t="s">
        <v>302</v>
      </c>
      <c r="AQ159" s="99" t="s">
        <v>303</v>
      </c>
      <c r="AR159" s="99" t="s">
        <v>378</v>
      </c>
      <c r="AS159" s="99" t="s">
        <v>350</v>
      </c>
      <c r="AT159" s="99" t="s">
        <v>321</v>
      </c>
      <c r="AU159" s="99" t="s">
        <v>320</v>
      </c>
      <c r="AV159" s="99" t="s">
        <v>364</v>
      </c>
      <c r="AW159" s="99" t="s">
        <v>307</v>
      </c>
      <c r="AX159" s="99" t="s">
        <v>341</v>
      </c>
      <c r="AY159" s="99" t="s">
        <v>436</v>
      </c>
    </row>
    <row r="160" spans="1:51" ht="144" x14ac:dyDescent="0.3">
      <c r="A160" s="98">
        <v>42158.278414351851</v>
      </c>
      <c r="B160" s="99" t="s">
        <v>1049</v>
      </c>
      <c r="C160" s="99" t="s">
        <v>552</v>
      </c>
      <c r="D160" s="99" t="s">
        <v>331</v>
      </c>
      <c r="E160" s="99" t="s">
        <v>3</v>
      </c>
      <c r="F160" s="99" t="s">
        <v>317</v>
      </c>
      <c r="G160" s="99" t="s">
        <v>407</v>
      </c>
      <c r="H160" s="99" t="s">
        <v>5</v>
      </c>
      <c r="I160" s="99" t="s">
        <v>309</v>
      </c>
      <c r="J160" s="99" t="s">
        <v>724</v>
      </c>
      <c r="K160" s="99" t="s">
        <v>315</v>
      </c>
      <c r="L160" s="99" t="s">
        <v>927</v>
      </c>
      <c r="M160" s="99" t="s">
        <v>367</v>
      </c>
      <c r="N160" s="99" t="s">
        <v>313</v>
      </c>
      <c r="O160" s="99" t="s">
        <v>313</v>
      </c>
      <c r="P160" s="99" t="s">
        <v>313</v>
      </c>
      <c r="Q160" s="99" t="s">
        <v>1476</v>
      </c>
      <c r="R160" s="99" t="s">
        <v>4</v>
      </c>
      <c r="S160" s="99" t="s">
        <v>397</v>
      </c>
      <c r="T160" s="99" t="s">
        <v>366</v>
      </c>
      <c r="U160" s="99" t="s">
        <v>530</v>
      </c>
      <c r="V160" s="99" t="s">
        <v>386</v>
      </c>
      <c r="W160" s="99" t="s">
        <v>338</v>
      </c>
      <c r="X160" s="99" t="s">
        <v>337</v>
      </c>
      <c r="Y160" s="99" t="s">
        <v>316</v>
      </c>
      <c r="Z160" s="99" t="s">
        <v>316</v>
      </c>
      <c r="AA160" s="99" t="s">
        <v>646</v>
      </c>
      <c r="AB160" s="99" t="s">
        <v>358</v>
      </c>
      <c r="AC160" s="99" t="s">
        <v>296</v>
      </c>
      <c r="AD160" s="99" t="s">
        <v>426</v>
      </c>
      <c r="AE160" s="99" t="s">
        <v>545</v>
      </c>
      <c r="AF160" s="99" t="s">
        <v>443</v>
      </c>
      <c r="AG160" s="99" t="s">
        <v>306</v>
      </c>
      <c r="AH160" s="99" t="s">
        <v>302</v>
      </c>
      <c r="AI160" s="99" t="s">
        <v>303</v>
      </c>
      <c r="AJ160" s="99" t="s">
        <v>303</v>
      </c>
      <c r="AK160" s="99" t="s">
        <v>302</v>
      </c>
      <c r="AL160" s="99" t="s">
        <v>302</v>
      </c>
      <c r="AM160" s="99" t="s">
        <v>302</v>
      </c>
      <c r="AN160" s="99" t="s">
        <v>303</v>
      </c>
      <c r="AO160" s="99" t="s">
        <v>302</v>
      </c>
      <c r="AP160" s="99" t="s">
        <v>303</v>
      </c>
      <c r="AQ160" s="99" t="s">
        <v>302</v>
      </c>
      <c r="AR160" s="99" t="s">
        <v>391</v>
      </c>
      <c r="AS160" s="99" t="s">
        <v>300</v>
      </c>
      <c r="AT160" s="99" t="s">
        <v>321</v>
      </c>
      <c r="AU160" s="99" t="s">
        <v>342</v>
      </c>
      <c r="AV160" s="99" t="s">
        <v>536</v>
      </c>
      <c r="AW160" s="99" t="s">
        <v>296</v>
      </c>
      <c r="AX160" s="99" t="s">
        <v>319</v>
      </c>
      <c r="AY160" s="99" t="s">
        <v>418</v>
      </c>
    </row>
    <row r="161" spans="1:51" ht="187.2" x14ac:dyDescent="0.3">
      <c r="A161" s="98">
        <v>42158.279467592591</v>
      </c>
      <c r="B161" s="99" t="s">
        <v>1049</v>
      </c>
      <c r="C161" s="99" t="s">
        <v>552</v>
      </c>
      <c r="D161" s="99" t="s">
        <v>529</v>
      </c>
      <c r="E161" s="99" t="s">
        <v>330</v>
      </c>
      <c r="F161" s="99" t="s">
        <v>317</v>
      </c>
      <c r="G161" s="99" t="s">
        <v>446</v>
      </c>
      <c r="H161" s="99" t="s">
        <v>5</v>
      </c>
      <c r="I161" s="99" t="s">
        <v>345</v>
      </c>
      <c r="J161" s="99" t="s">
        <v>1295</v>
      </c>
      <c r="K161" s="99" t="s">
        <v>368</v>
      </c>
      <c r="L161" s="99" t="s">
        <v>450</v>
      </c>
      <c r="M161" s="99" t="s">
        <v>651</v>
      </c>
      <c r="N161" s="99" t="s">
        <v>313</v>
      </c>
      <c r="O161" s="99" t="s">
        <v>327</v>
      </c>
      <c r="P161" s="99" t="s">
        <v>313</v>
      </c>
      <c r="Q161" s="99" t="s">
        <v>652</v>
      </c>
      <c r="R161" s="99" t="s">
        <v>327</v>
      </c>
      <c r="S161" s="99" t="s">
        <v>983</v>
      </c>
      <c r="T161" s="99" t="s">
        <v>326</v>
      </c>
      <c r="U161" s="99" t="s">
        <v>530</v>
      </c>
      <c r="V161" s="99" t="s">
        <v>1477</v>
      </c>
      <c r="W161" s="99" t="s">
        <v>338</v>
      </c>
      <c r="X161" s="99" t="s">
        <v>346</v>
      </c>
      <c r="Y161" s="99" t="s">
        <v>316</v>
      </c>
      <c r="Z161" s="99" t="s">
        <v>316</v>
      </c>
      <c r="AA161" s="99" t="s">
        <v>408</v>
      </c>
      <c r="AB161" s="99" t="s">
        <v>308</v>
      </c>
      <c r="AC161" s="99" t="s">
        <v>307</v>
      </c>
      <c r="AD161" s="99" t="s">
        <v>675</v>
      </c>
      <c r="AE161" s="99" t="s">
        <v>539</v>
      </c>
      <c r="AF161" s="99" t="s">
        <v>1478</v>
      </c>
      <c r="AG161" s="99" t="s">
        <v>323</v>
      </c>
      <c r="AH161" s="99" t="s">
        <v>303</v>
      </c>
      <c r="AI161" s="99" t="s">
        <v>303</v>
      </c>
      <c r="AJ161" s="99" t="s">
        <v>303</v>
      </c>
      <c r="AK161" s="99" t="s">
        <v>302</v>
      </c>
      <c r="AL161" s="99" t="s">
        <v>302</v>
      </c>
      <c r="AM161" s="99" t="s">
        <v>303</v>
      </c>
      <c r="AN161" s="99" t="s">
        <v>305</v>
      </c>
      <c r="AO161" s="99" t="s">
        <v>303</v>
      </c>
      <c r="AP161" s="99" t="s">
        <v>303</v>
      </c>
      <c r="AQ161" s="99" t="s">
        <v>303</v>
      </c>
      <c r="AR161" s="99" t="s">
        <v>365</v>
      </c>
      <c r="AS161" s="99" t="s">
        <v>300</v>
      </c>
      <c r="AT161" s="99" t="s">
        <v>321</v>
      </c>
      <c r="AU161" s="99" t="s">
        <v>320</v>
      </c>
      <c r="AV161" s="99" t="s">
        <v>536</v>
      </c>
      <c r="AW161" s="99" t="s">
        <v>296</v>
      </c>
      <c r="AX161" s="99" t="s">
        <v>319</v>
      </c>
      <c r="AY161" s="99" t="s">
        <v>436</v>
      </c>
    </row>
    <row r="162" spans="1:51" ht="187.2" x14ac:dyDescent="0.3">
      <c r="A162" s="98">
        <v>42158.280034722222</v>
      </c>
      <c r="B162" s="99" t="s">
        <v>1049</v>
      </c>
      <c r="C162" s="99" t="s">
        <v>552</v>
      </c>
      <c r="D162" s="99" t="s">
        <v>529</v>
      </c>
      <c r="E162" s="99" t="s">
        <v>3</v>
      </c>
      <c r="F162" s="99" t="s">
        <v>383</v>
      </c>
      <c r="G162" s="99" t="s">
        <v>451</v>
      </c>
      <c r="H162" s="99" t="s">
        <v>5</v>
      </c>
      <c r="I162" s="99" t="s">
        <v>309</v>
      </c>
      <c r="J162" s="99" t="s">
        <v>1479</v>
      </c>
      <c r="K162" s="99" t="s">
        <v>315</v>
      </c>
      <c r="L162" s="99" t="s">
        <v>406</v>
      </c>
      <c r="M162" s="99" t="s">
        <v>348</v>
      </c>
      <c r="N162" s="99" t="s">
        <v>327</v>
      </c>
      <c r="O162" s="99" t="s">
        <v>4</v>
      </c>
      <c r="P162" s="99" t="s">
        <v>327</v>
      </c>
      <c r="Q162" s="99" t="s">
        <v>1233</v>
      </c>
      <c r="R162" s="99" t="s">
        <v>327</v>
      </c>
      <c r="S162" s="99" t="s">
        <v>1142</v>
      </c>
      <c r="T162" s="99" t="s">
        <v>366</v>
      </c>
      <c r="U162" s="99" t="s">
        <v>373</v>
      </c>
      <c r="V162" s="99" t="s">
        <v>1480</v>
      </c>
      <c r="W162" s="99" t="s">
        <v>325</v>
      </c>
      <c r="X162" s="99" t="s">
        <v>352</v>
      </c>
      <c r="Y162" s="99" t="s">
        <v>345</v>
      </c>
      <c r="Z162" s="99" t="s">
        <v>345</v>
      </c>
      <c r="AA162" s="99" t="s">
        <v>653</v>
      </c>
      <c r="AB162" s="99" t="s">
        <v>308</v>
      </c>
      <c r="AC162" s="99" t="s">
        <v>296</v>
      </c>
      <c r="AD162" s="99" t="s">
        <v>694</v>
      </c>
      <c r="AE162" s="99" t="s">
        <v>535</v>
      </c>
      <c r="AF162" s="99" t="s">
        <v>1481</v>
      </c>
      <c r="AG162" s="99"/>
      <c r="AH162" s="99" t="s">
        <v>304</v>
      </c>
      <c r="AI162" s="99" t="s">
        <v>304</v>
      </c>
      <c r="AJ162" s="99" t="s">
        <v>303</v>
      </c>
      <c r="AK162" s="99" t="s">
        <v>303</v>
      </c>
      <c r="AL162" s="99" t="s">
        <v>303</v>
      </c>
      <c r="AM162" s="99" t="s">
        <v>302</v>
      </c>
      <c r="AN162" s="99" t="s">
        <v>302</v>
      </c>
      <c r="AO162" s="99" t="s">
        <v>302</v>
      </c>
      <c r="AP162" s="99" t="s">
        <v>302</v>
      </c>
      <c r="AQ162" s="99" t="s">
        <v>303</v>
      </c>
      <c r="AR162" s="99" t="s">
        <v>391</v>
      </c>
      <c r="AS162" s="99" t="s">
        <v>300</v>
      </c>
      <c r="AT162" s="99" t="s">
        <v>355</v>
      </c>
      <c r="AU162" s="99" t="s">
        <v>320</v>
      </c>
      <c r="AV162" s="99" t="s">
        <v>536</v>
      </c>
      <c r="AW162" s="99" t="s">
        <v>307</v>
      </c>
      <c r="AX162" s="99" t="s">
        <v>319</v>
      </c>
      <c r="AY162" s="99" t="s">
        <v>654</v>
      </c>
    </row>
    <row r="163" spans="1:51" ht="172.8" x14ac:dyDescent="0.3">
      <c r="A163" s="98">
        <v>42158.280393518522</v>
      </c>
      <c r="B163" s="99" t="s">
        <v>1049</v>
      </c>
      <c r="C163" s="99" t="s">
        <v>552</v>
      </c>
      <c r="D163" s="99" t="s">
        <v>560</v>
      </c>
      <c r="E163" s="99" t="s">
        <v>3</v>
      </c>
      <c r="F163" s="99" t="s">
        <v>317</v>
      </c>
      <c r="G163" s="99" t="s">
        <v>446</v>
      </c>
      <c r="H163" s="99" t="s">
        <v>5</v>
      </c>
      <c r="I163" s="99" t="s">
        <v>309</v>
      </c>
      <c r="J163" s="99" t="s">
        <v>1045</v>
      </c>
      <c r="K163" s="99" t="s">
        <v>384</v>
      </c>
      <c r="L163" s="99" t="s">
        <v>406</v>
      </c>
      <c r="M163" s="99" t="s">
        <v>353</v>
      </c>
      <c r="N163" s="99" t="s">
        <v>327</v>
      </c>
      <c r="O163" s="99" t="s">
        <v>4</v>
      </c>
      <c r="P163" s="99" t="s">
        <v>327</v>
      </c>
      <c r="Q163" s="99" t="s">
        <v>411</v>
      </c>
      <c r="R163" s="99" t="s">
        <v>327</v>
      </c>
      <c r="S163" s="99" t="s">
        <v>1069</v>
      </c>
      <c r="T163" s="99" t="s">
        <v>366</v>
      </c>
      <c r="U163" s="99" t="s">
        <v>311</v>
      </c>
      <c r="V163" s="99" t="s">
        <v>1482</v>
      </c>
      <c r="W163" s="99" t="s">
        <v>338</v>
      </c>
      <c r="X163" s="99" t="s">
        <v>310</v>
      </c>
      <c r="Y163" s="99" t="s">
        <v>316</v>
      </c>
      <c r="Z163" s="99" t="s">
        <v>316</v>
      </c>
      <c r="AA163" s="99" t="s">
        <v>653</v>
      </c>
      <c r="AB163" s="99" t="s">
        <v>308</v>
      </c>
      <c r="AC163" s="99" t="s">
        <v>307</v>
      </c>
      <c r="AD163" s="99" t="s">
        <v>462</v>
      </c>
      <c r="AE163" s="99" t="s">
        <v>542</v>
      </c>
      <c r="AF163" s="99" t="s">
        <v>1483</v>
      </c>
      <c r="AG163" s="99" t="s">
        <v>306</v>
      </c>
      <c r="AH163" s="99" t="s">
        <v>302</v>
      </c>
      <c r="AI163" s="99" t="s">
        <v>302</v>
      </c>
      <c r="AJ163" s="99" t="s">
        <v>303</v>
      </c>
      <c r="AK163" s="99" t="s">
        <v>302</v>
      </c>
      <c r="AL163" s="99" t="s">
        <v>303</v>
      </c>
      <c r="AM163" s="99" t="s">
        <v>302</v>
      </c>
      <c r="AN163" s="99" t="s">
        <v>302</v>
      </c>
      <c r="AO163" s="99" t="s">
        <v>302</v>
      </c>
      <c r="AP163" s="99" t="s">
        <v>302</v>
      </c>
      <c r="AQ163" s="99" t="s">
        <v>302</v>
      </c>
      <c r="AR163" s="99" t="s">
        <v>391</v>
      </c>
      <c r="AS163" s="99" t="s">
        <v>300</v>
      </c>
      <c r="AT163" s="99" t="s">
        <v>355</v>
      </c>
      <c r="AU163" s="99" t="s">
        <v>320</v>
      </c>
      <c r="AV163" s="99" t="s">
        <v>392</v>
      </c>
      <c r="AW163" s="99" t="s">
        <v>296</v>
      </c>
      <c r="AX163" s="99" t="s">
        <v>341</v>
      </c>
      <c r="AY163" s="99" t="s">
        <v>418</v>
      </c>
    </row>
    <row r="164" spans="1:51" ht="302.39999999999998" x14ac:dyDescent="0.3">
      <c r="A164" s="98">
        <v>42158.280636574076</v>
      </c>
      <c r="B164" s="99" t="s">
        <v>1049</v>
      </c>
      <c r="C164" s="99" t="s">
        <v>552</v>
      </c>
      <c r="D164" s="99" t="s">
        <v>331</v>
      </c>
      <c r="E164" s="99" t="s">
        <v>330</v>
      </c>
      <c r="F164" s="99" t="s">
        <v>317</v>
      </c>
      <c r="G164" s="99" t="s">
        <v>407</v>
      </c>
      <c r="H164" s="99" t="s">
        <v>5</v>
      </c>
      <c r="I164" s="99" t="s">
        <v>309</v>
      </c>
      <c r="J164" s="99" t="s">
        <v>537</v>
      </c>
      <c r="K164" s="99" t="s">
        <v>315</v>
      </c>
      <c r="L164" s="99" t="s">
        <v>429</v>
      </c>
      <c r="M164" s="99" t="s">
        <v>348</v>
      </c>
      <c r="N164" s="99" t="s">
        <v>327</v>
      </c>
      <c r="O164" s="99" t="s">
        <v>327</v>
      </c>
      <c r="P164" s="99" t="s">
        <v>4</v>
      </c>
      <c r="Q164" s="99" t="s">
        <v>1484</v>
      </c>
      <c r="R164" s="99" t="s">
        <v>327</v>
      </c>
      <c r="S164" s="99" t="s">
        <v>1485</v>
      </c>
      <c r="T164" s="99" t="s">
        <v>312</v>
      </c>
      <c r="U164" s="99" t="s">
        <v>311</v>
      </c>
      <c r="V164" s="99" t="s">
        <v>1486</v>
      </c>
      <c r="W164" s="99" t="s">
        <v>571</v>
      </c>
      <c r="X164" s="99" t="s">
        <v>346</v>
      </c>
      <c r="Y164" s="99" t="s">
        <v>345</v>
      </c>
      <c r="Z164" s="99" t="s">
        <v>345</v>
      </c>
      <c r="AA164" s="99" t="s">
        <v>410</v>
      </c>
      <c r="AB164" s="99" t="s">
        <v>358</v>
      </c>
      <c r="AC164" s="99" t="s">
        <v>307</v>
      </c>
      <c r="AD164" s="99" t="s">
        <v>1079</v>
      </c>
      <c r="AE164" s="99" t="s">
        <v>545</v>
      </c>
      <c r="AF164" s="99" t="s">
        <v>1487</v>
      </c>
      <c r="AG164" s="99" t="s">
        <v>306</v>
      </c>
      <c r="AH164" s="99" t="s">
        <v>302</v>
      </c>
      <c r="AI164" s="99" t="s">
        <v>302</v>
      </c>
      <c r="AJ164" s="99" t="s">
        <v>302</v>
      </c>
      <c r="AK164" s="99" t="s">
        <v>302</v>
      </c>
      <c r="AL164" s="99" t="s">
        <v>302</v>
      </c>
      <c r="AM164" s="99" t="s">
        <v>302</v>
      </c>
      <c r="AN164" s="99" t="s">
        <v>302</v>
      </c>
      <c r="AO164" s="99" t="s">
        <v>302</v>
      </c>
      <c r="AP164" s="99" t="s">
        <v>302</v>
      </c>
      <c r="AQ164" s="99" t="s">
        <v>303</v>
      </c>
      <c r="AR164" s="99" t="s">
        <v>301</v>
      </c>
      <c r="AS164" s="99" t="s">
        <v>300</v>
      </c>
      <c r="AT164" s="99" t="s">
        <v>321</v>
      </c>
      <c r="AU164" s="99"/>
      <c r="AV164" s="99" t="s">
        <v>364</v>
      </c>
      <c r="AW164" s="99" t="s">
        <v>296</v>
      </c>
      <c r="AX164" s="99" t="s">
        <v>319</v>
      </c>
      <c r="AY164" s="99" t="s">
        <v>1488</v>
      </c>
    </row>
    <row r="165" spans="1:51" ht="187.2" x14ac:dyDescent="0.3">
      <c r="A165" s="98">
        <v>42158.281307870369</v>
      </c>
      <c r="B165" s="99" t="s">
        <v>1049</v>
      </c>
      <c r="C165" s="99" t="s">
        <v>552</v>
      </c>
      <c r="D165" s="99" t="s">
        <v>529</v>
      </c>
      <c r="E165" s="99" t="s">
        <v>330</v>
      </c>
      <c r="F165" s="99" t="s">
        <v>317</v>
      </c>
      <c r="G165" s="99" t="s">
        <v>407</v>
      </c>
      <c r="H165" s="99" t="s">
        <v>5</v>
      </c>
      <c r="I165" s="99" t="s">
        <v>309</v>
      </c>
      <c r="J165" s="99" t="s">
        <v>1065</v>
      </c>
      <c r="K165" s="99" t="s">
        <v>315</v>
      </c>
      <c r="L165" s="99" t="s">
        <v>450</v>
      </c>
      <c r="M165" s="99" t="s">
        <v>314</v>
      </c>
      <c r="N165" s="99" t="s">
        <v>327</v>
      </c>
      <c r="O165" s="99" t="s">
        <v>313</v>
      </c>
      <c r="P165" s="99" t="s">
        <v>4</v>
      </c>
      <c r="Q165" s="99" t="s">
        <v>1005</v>
      </c>
      <c r="R165" s="99" t="s">
        <v>327</v>
      </c>
      <c r="S165" s="99" t="s">
        <v>500</v>
      </c>
      <c r="T165" s="99" t="s">
        <v>366</v>
      </c>
      <c r="U165" s="99" t="s">
        <v>311</v>
      </c>
      <c r="V165" s="99" t="s">
        <v>1489</v>
      </c>
      <c r="W165" s="99" t="s">
        <v>419</v>
      </c>
      <c r="X165" s="99" t="s">
        <v>310</v>
      </c>
      <c r="Y165" s="99" t="s">
        <v>316</v>
      </c>
      <c r="Z165" s="99" t="s">
        <v>316</v>
      </c>
      <c r="AA165" s="99" t="s">
        <v>459</v>
      </c>
      <c r="AB165" s="99" t="s">
        <v>376</v>
      </c>
      <c r="AC165" s="99" t="s">
        <v>307</v>
      </c>
      <c r="AD165" s="99" t="s">
        <v>1062</v>
      </c>
      <c r="AE165" s="99" t="s">
        <v>542</v>
      </c>
      <c r="AF165" s="99" t="s">
        <v>1490</v>
      </c>
      <c r="AG165" s="99" t="s">
        <v>306</v>
      </c>
      <c r="AH165" s="99" t="s">
        <v>302</v>
      </c>
      <c r="AI165" s="99" t="s">
        <v>302</v>
      </c>
      <c r="AJ165" s="99" t="s">
        <v>302</v>
      </c>
      <c r="AK165" s="99" t="s">
        <v>302</v>
      </c>
      <c r="AL165" s="99" t="s">
        <v>302</v>
      </c>
      <c r="AM165" s="99" t="s">
        <v>302</v>
      </c>
      <c r="AN165" s="99" t="s">
        <v>302</v>
      </c>
      <c r="AO165" s="99" t="s">
        <v>302</v>
      </c>
      <c r="AP165" s="99" t="s">
        <v>302</v>
      </c>
      <c r="AQ165" s="99" t="s">
        <v>302</v>
      </c>
      <c r="AR165" s="99" t="s">
        <v>322</v>
      </c>
      <c r="AS165" s="99" t="s">
        <v>489</v>
      </c>
      <c r="AT165" s="99" t="s">
        <v>321</v>
      </c>
      <c r="AU165" s="99" t="s">
        <v>320</v>
      </c>
      <c r="AV165" s="99" t="s">
        <v>547</v>
      </c>
      <c r="AW165" s="99" t="s">
        <v>296</v>
      </c>
      <c r="AX165" s="99" t="s">
        <v>319</v>
      </c>
      <c r="AY165" s="99" t="s">
        <v>1058</v>
      </c>
    </row>
    <row r="166" spans="1:51" ht="288" x14ac:dyDescent="0.3">
      <c r="A166" s="98">
        <v>42158.281828703701</v>
      </c>
      <c r="B166" s="99" t="s">
        <v>1049</v>
      </c>
      <c r="C166" s="99" t="s">
        <v>552</v>
      </c>
      <c r="D166" s="99" t="s">
        <v>560</v>
      </c>
      <c r="E166" s="99" t="s">
        <v>3</v>
      </c>
      <c r="F166" s="99" t="s">
        <v>317</v>
      </c>
      <c r="G166" s="99" t="s">
        <v>435</v>
      </c>
      <c r="H166" s="99" t="s">
        <v>5</v>
      </c>
      <c r="I166" s="99" t="s">
        <v>309</v>
      </c>
      <c r="J166" s="99" t="s">
        <v>692</v>
      </c>
      <c r="K166" s="99" t="s">
        <v>315</v>
      </c>
      <c r="L166" s="99" t="s">
        <v>1491</v>
      </c>
      <c r="M166" s="99" t="s">
        <v>353</v>
      </c>
      <c r="N166" s="99" t="s">
        <v>4</v>
      </c>
      <c r="O166" s="99"/>
      <c r="P166" s="99" t="s">
        <v>4</v>
      </c>
      <c r="Q166" s="99" t="s">
        <v>1017</v>
      </c>
      <c r="R166" s="99" t="s">
        <v>4</v>
      </c>
      <c r="S166" s="99" t="s">
        <v>1492</v>
      </c>
      <c r="T166" s="99" t="s">
        <v>312</v>
      </c>
      <c r="U166" s="99" t="s">
        <v>347</v>
      </c>
      <c r="V166" s="99" t="s">
        <v>1493</v>
      </c>
      <c r="W166" s="99" t="s">
        <v>550</v>
      </c>
      <c r="X166" s="99" t="s">
        <v>346</v>
      </c>
      <c r="Y166" s="99" t="s">
        <v>316</v>
      </c>
      <c r="Z166" s="99" t="s">
        <v>316</v>
      </c>
      <c r="AA166" s="99" t="s">
        <v>442</v>
      </c>
      <c r="AB166" s="99" t="s">
        <v>308</v>
      </c>
      <c r="AC166" s="99" t="s">
        <v>324</v>
      </c>
      <c r="AD166" s="99" t="s">
        <v>1494</v>
      </c>
      <c r="AE166" s="99" t="s">
        <v>539</v>
      </c>
      <c r="AF166" s="99" t="s">
        <v>1495</v>
      </c>
      <c r="AG166" s="99" t="s">
        <v>323</v>
      </c>
      <c r="AH166" s="99" t="s">
        <v>302</v>
      </c>
      <c r="AI166" s="99" t="s">
        <v>303</v>
      </c>
      <c r="AJ166" s="99" t="s">
        <v>303</v>
      </c>
      <c r="AK166" s="99" t="s">
        <v>304</v>
      </c>
      <c r="AL166" s="99" t="s">
        <v>303</v>
      </c>
      <c r="AM166" s="99" t="s">
        <v>304</v>
      </c>
      <c r="AN166" s="99" t="s">
        <v>303</v>
      </c>
      <c r="AO166" s="99" t="s">
        <v>304</v>
      </c>
      <c r="AP166" s="99" t="s">
        <v>303</v>
      </c>
      <c r="AQ166" s="99" t="s">
        <v>303</v>
      </c>
      <c r="AR166" s="99" t="s">
        <v>301</v>
      </c>
      <c r="AS166" s="99" t="s">
        <v>350</v>
      </c>
      <c r="AT166" s="99" t="s">
        <v>321</v>
      </c>
      <c r="AU166" s="99" t="s">
        <v>320</v>
      </c>
      <c r="AV166" s="99" t="s">
        <v>364</v>
      </c>
      <c r="AW166" s="99" t="s">
        <v>296</v>
      </c>
      <c r="AX166" s="99" t="s">
        <v>534</v>
      </c>
      <c r="AY166" s="99" t="s">
        <v>484</v>
      </c>
    </row>
    <row r="167" spans="1:51" ht="100.8" x14ac:dyDescent="0.3">
      <c r="A167" s="98">
        <v>42158.282500000001</v>
      </c>
      <c r="B167" s="99" t="s">
        <v>1049</v>
      </c>
      <c r="C167" s="99" t="s">
        <v>552</v>
      </c>
      <c r="D167" s="99" t="s">
        <v>560</v>
      </c>
      <c r="E167" s="99" t="s">
        <v>330</v>
      </c>
      <c r="F167" s="99" t="s">
        <v>317</v>
      </c>
      <c r="G167" s="99" t="s">
        <v>641</v>
      </c>
      <c r="H167" s="99" t="s">
        <v>5</v>
      </c>
      <c r="I167" s="99" t="s">
        <v>309</v>
      </c>
      <c r="J167" s="99" t="s">
        <v>557</v>
      </c>
      <c r="K167" s="99" t="s">
        <v>315</v>
      </c>
      <c r="L167" s="99" t="s">
        <v>450</v>
      </c>
      <c r="M167" s="99" t="s">
        <v>348</v>
      </c>
      <c r="N167" s="99" t="s">
        <v>327</v>
      </c>
      <c r="O167" s="99" t="s">
        <v>327</v>
      </c>
      <c r="P167" s="99" t="s">
        <v>4</v>
      </c>
      <c r="Q167" s="99" t="s">
        <v>597</v>
      </c>
      <c r="R167" s="99" t="s">
        <v>327</v>
      </c>
      <c r="S167" s="99" t="s">
        <v>416</v>
      </c>
      <c r="T167" s="99" t="s">
        <v>366</v>
      </c>
      <c r="U167" s="99" t="s">
        <v>530</v>
      </c>
      <c r="V167" s="99" t="s">
        <v>382</v>
      </c>
      <c r="W167" s="99" t="s">
        <v>325</v>
      </c>
      <c r="X167" s="99" t="s">
        <v>352</v>
      </c>
      <c r="Y167" s="99" t="s">
        <v>345</v>
      </c>
      <c r="Z167" s="99" t="s">
        <v>345</v>
      </c>
      <c r="AA167" s="99" t="s">
        <v>705</v>
      </c>
      <c r="AB167" s="99" t="s">
        <v>376</v>
      </c>
      <c r="AC167" s="99" t="s">
        <v>307</v>
      </c>
      <c r="AD167" s="99" t="s">
        <v>361</v>
      </c>
      <c r="AE167" s="99" t="s">
        <v>535</v>
      </c>
      <c r="AF167" s="99" t="s">
        <v>476</v>
      </c>
      <c r="AG167" s="99" t="s">
        <v>323</v>
      </c>
      <c r="AH167" s="99" t="s">
        <v>303</v>
      </c>
      <c r="AI167" s="99" t="s">
        <v>303</v>
      </c>
      <c r="AJ167" s="99" t="s">
        <v>303</v>
      </c>
      <c r="AK167" s="99" t="s">
        <v>303</v>
      </c>
      <c r="AL167" s="99" t="s">
        <v>303</v>
      </c>
      <c r="AM167" s="99" t="s">
        <v>303</v>
      </c>
      <c r="AN167" s="99" t="s">
        <v>303</v>
      </c>
      <c r="AO167" s="99" t="s">
        <v>303</v>
      </c>
      <c r="AP167" s="99" t="s">
        <v>302</v>
      </c>
      <c r="AQ167" s="99" t="s">
        <v>302</v>
      </c>
      <c r="AR167" s="99" t="s">
        <v>301</v>
      </c>
      <c r="AS167" s="99" t="s">
        <v>350</v>
      </c>
      <c r="AT167" s="99" t="s">
        <v>321</v>
      </c>
      <c r="AU167" s="99" t="s">
        <v>320</v>
      </c>
      <c r="AV167" s="99" t="s">
        <v>364</v>
      </c>
      <c r="AW167" s="99" t="s">
        <v>307</v>
      </c>
      <c r="AX167" s="99" t="s">
        <v>319</v>
      </c>
      <c r="AY167" s="99" t="s">
        <v>1496</v>
      </c>
    </row>
    <row r="168" spans="1:51" ht="216" x14ac:dyDescent="0.3">
      <c r="A168" s="98">
        <v>42158.282881944448</v>
      </c>
      <c r="B168" s="99" t="s">
        <v>1049</v>
      </c>
      <c r="C168" s="99" t="s">
        <v>552</v>
      </c>
      <c r="D168" s="99" t="s">
        <v>529</v>
      </c>
      <c r="E168" s="99" t="s">
        <v>3</v>
      </c>
      <c r="F168" s="99" t="s">
        <v>317</v>
      </c>
      <c r="G168" s="99" t="s">
        <v>446</v>
      </c>
      <c r="H168" s="99" t="s">
        <v>5</v>
      </c>
      <c r="I168" s="99" t="s">
        <v>345</v>
      </c>
      <c r="J168" s="99" t="s">
        <v>1351</v>
      </c>
      <c r="K168" s="99" t="s">
        <v>328</v>
      </c>
      <c r="L168" s="99" t="s">
        <v>1445</v>
      </c>
      <c r="M168" s="99" t="s">
        <v>651</v>
      </c>
      <c r="N168" s="99" t="s">
        <v>313</v>
      </c>
      <c r="O168" s="99" t="s">
        <v>327</v>
      </c>
      <c r="P168" s="99" t="s">
        <v>313</v>
      </c>
      <c r="Q168" s="99" t="s">
        <v>696</v>
      </c>
      <c r="R168" s="99" t="s">
        <v>327</v>
      </c>
      <c r="S168" s="99" t="s">
        <v>394</v>
      </c>
      <c r="T168" s="99" t="s">
        <v>326</v>
      </c>
      <c r="U168" s="99" t="s">
        <v>530</v>
      </c>
      <c r="V168" s="99" t="s">
        <v>1056</v>
      </c>
      <c r="W168" s="99" t="s">
        <v>338</v>
      </c>
      <c r="X168" s="99" t="s">
        <v>346</v>
      </c>
      <c r="Y168" s="99" t="s">
        <v>316</v>
      </c>
      <c r="Z168" s="99" t="s">
        <v>316</v>
      </c>
      <c r="AA168" s="99" t="s">
        <v>408</v>
      </c>
      <c r="AB168" s="99" t="s">
        <v>308</v>
      </c>
      <c r="AC168" s="99" t="s">
        <v>307</v>
      </c>
      <c r="AD168" s="99" t="s">
        <v>1497</v>
      </c>
      <c r="AE168" s="99" t="s">
        <v>539</v>
      </c>
      <c r="AF168" s="99" t="s">
        <v>1123</v>
      </c>
      <c r="AG168" s="99" t="s">
        <v>306</v>
      </c>
      <c r="AH168" s="99" t="s">
        <v>302</v>
      </c>
      <c r="AI168" s="99" t="s">
        <v>302</v>
      </c>
      <c r="AJ168" s="99" t="s">
        <v>303</v>
      </c>
      <c r="AK168" s="99" t="s">
        <v>303</v>
      </c>
      <c r="AL168" s="99" t="s">
        <v>303</v>
      </c>
      <c r="AM168" s="99" t="s">
        <v>302</v>
      </c>
      <c r="AN168" s="99" t="s">
        <v>302</v>
      </c>
      <c r="AO168" s="99" t="s">
        <v>302</v>
      </c>
      <c r="AP168" s="99" t="s">
        <v>303</v>
      </c>
      <c r="AQ168" s="99" t="s">
        <v>302</v>
      </c>
      <c r="AR168" s="99" t="s">
        <v>391</v>
      </c>
      <c r="AS168" s="99" t="s">
        <v>300</v>
      </c>
      <c r="AT168" s="99" t="s">
        <v>355</v>
      </c>
      <c r="AU168" s="99" t="s">
        <v>342</v>
      </c>
      <c r="AV168" s="99" t="s">
        <v>536</v>
      </c>
      <c r="AW168" s="99" t="s">
        <v>307</v>
      </c>
      <c r="AX168" s="99"/>
      <c r="AY168" s="99" t="s">
        <v>1319</v>
      </c>
    </row>
    <row r="169" spans="1:51" ht="144" x14ac:dyDescent="0.3">
      <c r="A169" s="98">
        <v>42158.283518518518</v>
      </c>
      <c r="B169" s="99" t="s">
        <v>1049</v>
      </c>
      <c r="C169" s="99" t="s">
        <v>552</v>
      </c>
      <c r="D169" s="99" t="s">
        <v>331</v>
      </c>
      <c r="E169" s="99" t="s">
        <v>330</v>
      </c>
      <c r="F169" s="99" t="s">
        <v>317</v>
      </c>
      <c r="G169" s="99" t="s">
        <v>407</v>
      </c>
      <c r="H169" s="99" t="s">
        <v>349</v>
      </c>
      <c r="I169" s="99" t="s">
        <v>309</v>
      </c>
      <c r="J169" s="99" t="s">
        <v>1121</v>
      </c>
      <c r="K169" s="99" t="s">
        <v>315</v>
      </c>
      <c r="L169" s="99" t="s">
        <v>439</v>
      </c>
      <c r="M169" s="99" t="s">
        <v>348</v>
      </c>
      <c r="N169" s="99" t="s">
        <v>313</v>
      </c>
      <c r="O169" s="99" t="s">
        <v>327</v>
      </c>
      <c r="P169" s="99" t="s">
        <v>4</v>
      </c>
      <c r="Q169" s="99" t="s">
        <v>411</v>
      </c>
      <c r="R169" s="99" t="s">
        <v>327</v>
      </c>
      <c r="S169" s="99" t="s">
        <v>798</v>
      </c>
      <c r="T169" s="99" t="s">
        <v>312</v>
      </c>
      <c r="U169" s="99" t="s">
        <v>530</v>
      </c>
      <c r="V169" s="99" t="s">
        <v>959</v>
      </c>
      <c r="W169" s="99" t="s">
        <v>325</v>
      </c>
      <c r="X169" s="99" t="s">
        <v>337</v>
      </c>
      <c r="Y169" s="99" t="s">
        <v>316</v>
      </c>
      <c r="Z169" s="99" t="s">
        <v>309</v>
      </c>
      <c r="AA169" s="99" t="s">
        <v>395</v>
      </c>
      <c r="AB169" s="99" t="s">
        <v>308</v>
      </c>
      <c r="AC169" s="99" t="s">
        <v>307</v>
      </c>
      <c r="AD169" s="99" t="s">
        <v>467</v>
      </c>
      <c r="AE169" s="99" t="s">
        <v>535</v>
      </c>
      <c r="AF169" s="99" t="s">
        <v>628</v>
      </c>
      <c r="AG169" s="99" t="s">
        <v>306</v>
      </c>
      <c r="AH169" s="99" t="s">
        <v>302</v>
      </c>
      <c r="AI169" s="99" t="s">
        <v>302</v>
      </c>
      <c r="AJ169" s="99" t="s">
        <v>302</v>
      </c>
      <c r="AK169" s="99" t="s">
        <v>302</v>
      </c>
      <c r="AL169" s="99" t="s">
        <v>302</v>
      </c>
      <c r="AM169" s="99" t="s">
        <v>302</v>
      </c>
      <c r="AN169" s="99" t="s">
        <v>302</v>
      </c>
      <c r="AO169" s="99" t="s">
        <v>302</v>
      </c>
      <c r="AP169" s="99" t="s">
        <v>302</v>
      </c>
      <c r="AQ169" s="99" t="s">
        <v>302</v>
      </c>
      <c r="AR169" s="99" t="s">
        <v>301</v>
      </c>
      <c r="AS169" s="99" t="s">
        <v>300</v>
      </c>
      <c r="AT169" s="99" t="s">
        <v>321</v>
      </c>
      <c r="AU169" s="99" t="s">
        <v>342</v>
      </c>
      <c r="AV169" s="99" t="s">
        <v>364</v>
      </c>
      <c r="AW169" s="99" t="s">
        <v>307</v>
      </c>
      <c r="AX169" s="99" t="s">
        <v>319</v>
      </c>
      <c r="AY169" s="99" t="s">
        <v>1498</v>
      </c>
    </row>
    <row r="170" spans="1:51" ht="86.4" x14ac:dyDescent="0.3">
      <c r="A170" s="98">
        <v>42158.289004629631</v>
      </c>
      <c r="B170" s="99" t="s">
        <v>1049</v>
      </c>
      <c r="C170" s="99" t="s">
        <v>552</v>
      </c>
      <c r="D170" s="99" t="s">
        <v>529</v>
      </c>
      <c r="E170" s="99" t="s">
        <v>330</v>
      </c>
      <c r="F170" s="99" t="s">
        <v>383</v>
      </c>
      <c r="G170" s="99" t="s">
        <v>794</v>
      </c>
      <c r="H170" s="99" t="s">
        <v>5</v>
      </c>
      <c r="I170" s="99" t="s">
        <v>309</v>
      </c>
      <c r="J170" s="99" t="s">
        <v>1235</v>
      </c>
      <c r="K170" s="99" t="s">
        <v>354</v>
      </c>
      <c r="L170" s="99" t="s">
        <v>657</v>
      </c>
      <c r="M170" s="99" t="s">
        <v>348</v>
      </c>
      <c r="N170" s="99" t="s">
        <v>4</v>
      </c>
      <c r="O170" s="99" t="s">
        <v>313</v>
      </c>
      <c r="P170" s="99" t="s">
        <v>313</v>
      </c>
      <c r="Q170" s="99" t="s">
        <v>652</v>
      </c>
      <c r="R170" s="99" t="s">
        <v>327</v>
      </c>
      <c r="S170" s="99" t="s">
        <v>1219</v>
      </c>
      <c r="T170" s="99" t="s">
        <v>366</v>
      </c>
      <c r="U170" s="99" t="s">
        <v>311</v>
      </c>
      <c r="V170" s="99" t="s">
        <v>556</v>
      </c>
      <c r="W170" s="99" t="s">
        <v>325</v>
      </c>
      <c r="X170" s="99" t="s">
        <v>310</v>
      </c>
      <c r="Y170" s="99" t="s">
        <v>316</v>
      </c>
      <c r="Z170" s="99" t="s">
        <v>345</v>
      </c>
      <c r="AA170" s="99" t="s">
        <v>490</v>
      </c>
      <c r="AB170" s="99" t="s">
        <v>336</v>
      </c>
      <c r="AC170" s="99" t="s">
        <v>307</v>
      </c>
      <c r="AD170" s="99" t="s">
        <v>448</v>
      </c>
      <c r="AE170" s="99" t="s">
        <v>532</v>
      </c>
      <c r="AF170" s="99" t="s">
        <v>583</v>
      </c>
      <c r="AG170" s="99" t="s">
        <v>306</v>
      </c>
      <c r="AH170" s="99" t="s">
        <v>303</v>
      </c>
      <c r="AI170" s="99" t="s">
        <v>303</v>
      </c>
      <c r="AJ170" s="99" t="s">
        <v>302</v>
      </c>
      <c r="AK170" s="99" t="s">
        <v>303</v>
      </c>
      <c r="AL170" s="99" t="s">
        <v>303</v>
      </c>
      <c r="AM170" s="99" t="s">
        <v>302</v>
      </c>
      <c r="AN170" s="99" t="s">
        <v>302</v>
      </c>
      <c r="AO170" s="99" t="s">
        <v>302</v>
      </c>
      <c r="AP170" s="99" t="s">
        <v>303</v>
      </c>
      <c r="AQ170" s="99" t="s">
        <v>303</v>
      </c>
      <c r="AR170" s="99" t="s">
        <v>378</v>
      </c>
      <c r="AS170" s="99" t="s">
        <v>350</v>
      </c>
      <c r="AT170" s="99" t="s">
        <v>355</v>
      </c>
      <c r="AU170" s="99" t="s">
        <v>320</v>
      </c>
      <c r="AV170" s="99" t="s">
        <v>364</v>
      </c>
      <c r="AW170" s="99" t="s">
        <v>307</v>
      </c>
      <c r="AX170" s="99" t="s">
        <v>319</v>
      </c>
      <c r="AY170" s="99" t="s">
        <v>1051</v>
      </c>
    </row>
    <row r="171" spans="1:51" ht="201.6" x14ac:dyDescent="0.3">
      <c r="A171" s="98">
        <v>42158.290868055556</v>
      </c>
      <c r="B171" s="99" t="s">
        <v>1049</v>
      </c>
      <c r="C171" s="99" t="s">
        <v>552</v>
      </c>
      <c r="D171" s="99" t="s">
        <v>331</v>
      </c>
      <c r="E171" s="99" t="s">
        <v>330</v>
      </c>
      <c r="F171" s="99" t="s">
        <v>317</v>
      </c>
      <c r="G171" s="99" t="s">
        <v>451</v>
      </c>
      <c r="H171" s="99" t="s">
        <v>5</v>
      </c>
      <c r="I171" s="99" t="s">
        <v>345</v>
      </c>
      <c r="J171" s="99" t="s">
        <v>1499</v>
      </c>
      <c r="K171" s="99" t="s">
        <v>315</v>
      </c>
      <c r="L171" s="99" t="s">
        <v>1313</v>
      </c>
      <c r="M171" s="99" t="s">
        <v>363</v>
      </c>
      <c r="N171" s="99" t="s">
        <v>4</v>
      </c>
      <c r="O171" s="99" t="s">
        <v>327</v>
      </c>
      <c r="P171" s="99" t="s">
        <v>4</v>
      </c>
      <c r="Q171" s="99" t="s">
        <v>652</v>
      </c>
      <c r="R171" s="99" t="s">
        <v>327</v>
      </c>
      <c r="S171" s="99" t="s">
        <v>1500</v>
      </c>
      <c r="T171" s="99" t="s">
        <v>312</v>
      </c>
      <c r="U171" s="99" t="s">
        <v>311</v>
      </c>
      <c r="V171" s="99" t="s">
        <v>929</v>
      </c>
      <c r="W171" s="99" t="s">
        <v>370</v>
      </c>
      <c r="X171" s="99" t="s">
        <v>310</v>
      </c>
      <c r="Y171" s="99" t="s">
        <v>316</v>
      </c>
      <c r="Z171" s="99" t="s">
        <v>316</v>
      </c>
      <c r="AA171" s="99" t="s">
        <v>850</v>
      </c>
      <c r="AB171" s="99" t="s">
        <v>376</v>
      </c>
      <c r="AC171" s="99" t="s">
        <v>307</v>
      </c>
      <c r="AD171" s="99" t="s">
        <v>1003</v>
      </c>
      <c r="AE171" s="99" t="s">
        <v>535</v>
      </c>
      <c r="AF171" s="99" t="s">
        <v>1501</v>
      </c>
      <c r="AG171" s="99" t="s">
        <v>306</v>
      </c>
      <c r="AH171" s="99" t="s">
        <v>302</v>
      </c>
      <c r="AI171" s="99" t="s">
        <v>302</v>
      </c>
      <c r="AJ171" s="99" t="s">
        <v>302</v>
      </c>
      <c r="AK171" s="99"/>
      <c r="AL171" s="99" t="s">
        <v>303</v>
      </c>
      <c r="AM171" s="99" t="s">
        <v>302</v>
      </c>
      <c r="AN171" s="99" t="s">
        <v>302</v>
      </c>
      <c r="AO171" s="99" t="s">
        <v>302</v>
      </c>
      <c r="AP171" s="99" t="s">
        <v>302</v>
      </c>
      <c r="AQ171" s="99" t="s">
        <v>302</v>
      </c>
      <c r="AR171" s="99" t="s">
        <v>365</v>
      </c>
      <c r="AS171" s="99" t="s">
        <v>350</v>
      </c>
      <c r="AT171" s="99" t="s">
        <v>355</v>
      </c>
      <c r="AU171" s="99" t="s">
        <v>320</v>
      </c>
      <c r="AV171" s="99" t="s">
        <v>364</v>
      </c>
      <c r="AW171" s="99" t="s">
        <v>307</v>
      </c>
      <c r="AX171" s="99" t="s">
        <v>319</v>
      </c>
      <c r="AY171" s="99" t="s">
        <v>491</v>
      </c>
    </row>
    <row r="172" spans="1:51" ht="129.6" x14ac:dyDescent="0.3">
      <c r="A172" s="98">
        <v>42158.308506944442</v>
      </c>
      <c r="B172" s="99" t="s">
        <v>1049</v>
      </c>
      <c r="C172" s="99" t="s">
        <v>552</v>
      </c>
      <c r="D172" s="99" t="s">
        <v>560</v>
      </c>
      <c r="E172" s="99" t="s">
        <v>3</v>
      </c>
      <c r="F172" s="99" t="s">
        <v>317</v>
      </c>
      <c r="G172" s="99" t="s">
        <v>435</v>
      </c>
      <c r="H172" s="99" t="s">
        <v>5</v>
      </c>
      <c r="I172" s="99" t="s">
        <v>309</v>
      </c>
      <c r="J172" s="99" t="s">
        <v>699</v>
      </c>
      <c r="K172" s="99" t="s">
        <v>359</v>
      </c>
      <c r="L172" s="99" t="s">
        <v>427</v>
      </c>
      <c r="M172" s="99" t="s">
        <v>314</v>
      </c>
      <c r="N172" s="99" t="s">
        <v>327</v>
      </c>
      <c r="O172" s="99" t="s">
        <v>313</v>
      </c>
      <c r="P172" s="99" t="s">
        <v>313</v>
      </c>
      <c r="Q172" s="99" t="s">
        <v>427</v>
      </c>
      <c r="R172" s="99" t="s">
        <v>327</v>
      </c>
      <c r="S172" s="99" t="s">
        <v>394</v>
      </c>
      <c r="T172" s="99" t="s">
        <v>366</v>
      </c>
      <c r="U172" s="99" t="s">
        <v>311</v>
      </c>
      <c r="V172" s="99" t="s">
        <v>1035</v>
      </c>
      <c r="W172" s="99" t="s">
        <v>338</v>
      </c>
      <c r="X172" s="99" t="s">
        <v>337</v>
      </c>
      <c r="Y172" s="99" t="s">
        <v>316</v>
      </c>
      <c r="Z172" s="99" t="s">
        <v>309</v>
      </c>
      <c r="AA172" s="99" t="s">
        <v>395</v>
      </c>
      <c r="AB172" s="99" t="s">
        <v>308</v>
      </c>
      <c r="AC172" s="99" t="s">
        <v>307</v>
      </c>
      <c r="AD172" s="99" t="s">
        <v>1135</v>
      </c>
      <c r="AE172" s="99" t="s">
        <v>532</v>
      </c>
      <c r="AF172" s="99" t="s">
        <v>476</v>
      </c>
      <c r="AG172" s="99" t="s">
        <v>304</v>
      </c>
      <c r="AH172" s="99" t="s">
        <v>303</v>
      </c>
      <c r="AI172" s="99" t="s">
        <v>303</v>
      </c>
      <c r="AJ172" s="99" t="s">
        <v>304</v>
      </c>
      <c r="AK172" s="99" t="s">
        <v>303</v>
      </c>
      <c r="AL172" s="99" t="s">
        <v>304</v>
      </c>
      <c r="AM172" s="99" t="s">
        <v>302</v>
      </c>
      <c r="AN172" s="99" t="s">
        <v>305</v>
      </c>
      <c r="AO172" s="99" t="s">
        <v>303</v>
      </c>
      <c r="AP172" s="99" t="s">
        <v>303</v>
      </c>
      <c r="AQ172" s="99" t="s">
        <v>303</v>
      </c>
      <c r="AR172" s="99" t="s">
        <v>301</v>
      </c>
      <c r="AS172" s="99" t="s">
        <v>335</v>
      </c>
      <c r="AT172" s="99" t="s">
        <v>299</v>
      </c>
      <c r="AU172" s="99" t="s">
        <v>320</v>
      </c>
      <c r="AV172" s="99" t="s">
        <v>297</v>
      </c>
      <c r="AW172" s="99" t="s">
        <v>296</v>
      </c>
      <c r="AX172" s="99" t="s">
        <v>375</v>
      </c>
      <c r="AY172" s="99" t="s">
        <v>449</v>
      </c>
    </row>
    <row r="173" spans="1:51" ht="158.4" x14ac:dyDescent="0.3">
      <c r="A173" s="98">
        <v>42158.309050925927</v>
      </c>
      <c r="B173" s="99" t="s">
        <v>1049</v>
      </c>
      <c r="C173" s="99" t="s">
        <v>580</v>
      </c>
      <c r="D173" s="99" t="s">
        <v>529</v>
      </c>
      <c r="E173" s="99" t="s">
        <v>330</v>
      </c>
      <c r="F173" s="99" t="s">
        <v>317</v>
      </c>
      <c r="G173" s="99" t="s">
        <v>407</v>
      </c>
      <c r="H173" s="99" t="s">
        <v>5</v>
      </c>
      <c r="I173" s="99" t="s">
        <v>309</v>
      </c>
      <c r="J173" s="99" t="s">
        <v>1502</v>
      </c>
      <c r="K173" s="99" t="s">
        <v>328</v>
      </c>
      <c r="L173" s="99" t="s">
        <v>450</v>
      </c>
      <c r="M173" s="99" t="s">
        <v>314</v>
      </c>
      <c r="N173" s="99" t="s">
        <v>327</v>
      </c>
      <c r="O173" s="99" t="s">
        <v>4</v>
      </c>
      <c r="P173" s="99" t="s">
        <v>4</v>
      </c>
      <c r="Q173" s="99" t="s">
        <v>450</v>
      </c>
      <c r="R173" s="99" t="s">
        <v>327</v>
      </c>
      <c r="S173" s="99" t="s">
        <v>1000</v>
      </c>
      <c r="T173" s="99" t="s">
        <v>312</v>
      </c>
      <c r="U173" s="99" t="s">
        <v>530</v>
      </c>
      <c r="V173" s="99" t="s">
        <v>339</v>
      </c>
      <c r="W173" s="99" t="s">
        <v>325</v>
      </c>
      <c r="X173" s="99" t="s">
        <v>352</v>
      </c>
      <c r="Y173" s="99" t="s">
        <v>316</v>
      </c>
      <c r="Z173" s="99" t="s">
        <v>316</v>
      </c>
      <c r="AA173" s="99" t="s">
        <v>472</v>
      </c>
      <c r="AB173" s="99" t="s">
        <v>308</v>
      </c>
      <c r="AC173" s="99" t="s">
        <v>296</v>
      </c>
      <c r="AD173" s="99" t="s">
        <v>647</v>
      </c>
      <c r="AE173" s="99" t="s">
        <v>542</v>
      </c>
      <c r="AF173" s="99" t="s">
        <v>626</v>
      </c>
      <c r="AG173" s="99" t="s">
        <v>306</v>
      </c>
      <c r="AH173" s="99" t="s">
        <v>303</v>
      </c>
      <c r="AI173" s="99" t="s">
        <v>303</v>
      </c>
      <c r="AJ173" s="99" t="s">
        <v>302</v>
      </c>
      <c r="AK173" s="99" t="s">
        <v>302</v>
      </c>
      <c r="AL173" s="99" t="s">
        <v>303</v>
      </c>
      <c r="AM173" s="99" t="s">
        <v>303</v>
      </c>
      <c r="AN173" s="99" t="s">
        <v>303</v>
      </c>
      <c r="AO173" s="99" t="s">
        <v>302</v>
      </c>
      <c r="AP173" s="99" t="s">
        <v>302</v>
      </c>
      <c r="AQ173" s="99" t="s">
        <v>302</v>
      </c>
      <c r="AR173" s="99" t="s">
        <v>378</v>
      </c>
      <c r="AS173" s="99" t="s">
        <v>350</v>
      </c>
      <c r="AT173" s="99" t="s">
        <v>360</v>
      </c>
      <c r="AU173" s="99" t="s">
        <v>320</v>
      </c>
      <c r="AV173" s="99" t="s">
        <v>547</v>
      </c>
      <c r="AW173" s="99" t="s">
        <v>296</v>
      </c>
      <c r="AX173" s="99" t="s">
        <v>319</v>
      </c>
      <c r="AY173" s="99" t="s">
        <v>573</v>
      </c>
    </row>
    <row r="174" spans="1:51" ht="86.4" x14ac:dyDescent="0.3">
      <c r="A174" s="98">
        <v>42158.309120370373</v>
      </c>
      <c r="B174" s="99" t="s">
        <v>1049</v>
      </c>
      <c r="C174" s="99" t="s">
        <v>580</v>
      </c>
      <c r="D174" s="99" t="s">
        <v>331</v>
      </c>
      <c r="E174" s="99" t="s">
        <v>3</v>
      </c>
      <c r="F174" s="99" t="s">
        <v>372</v>
      </c>
      <c r="G174" s="99" t="s">
        <v>407</v>
      </c>
      <c r="H174" s="99" t="s">
        <v>5</v>
      </c>
      <c r="I174" s="99" t="s">
        <v>345</v>
      </c>
      <c r="J174" s="99" t="s">
        <v>1503</v>
      </c>
      <c r="K174" s="99" t="s">
        <v>328</v>
      </c>
      <c r="L174" s="99" t="s">
        <v>463</v>
      </c>
      <c r="M174" s="99" t="s">
        <v>314</v>
      </c>
      <c r="N174" s="99" t="s">
        <v>313</v>
      </c>
      <c r="O174" s="99" t="s">
        <v>327</v>
      </c>
      <c r="P174" s="99" t="s">
        <v>313</v>
      </c>
      <c r="Q174" s="99" t="s">
        <v>450</v>
      </c>
      <c r="R174" s="99" t="s">
        <v>327</v>
      </c>
      <c r="S174" s="99" t="s">
        <v>1504</v>
      </c>
      <c r="T174" s="99" t="s">
        <v>326</v>
      </c>
      <c r="U174" s="99" t="s">
        <v>373</v>
      </c>
      <c r="V174" s="99" t="s">
        <v>543</v>
      </c>
      <c r="W174" s="99" t="s">
        <v>1278</v>
      </c>
      <c r="X174" s="99" t="s">
        <v>352</v>
      </c>
      <c r="Y174" s="99" t="s">
        <v>345</v>
      </c>
      <c r="Z174" s="99" t="s">
        <v>316</v>
      </c>
      <c r="AA174" s="99" t="s">
        <v>432</v>
      </c>
      <c r="AB174" s="99" t="s">
        <v>308</v>
      </c>
      <c r="AC174" s="99" t="s">
        <v>324</v>
      </c>
      <c r="AD174" s="99" t="s">
        <v>1044</v>
      </c>
      <c r="AE174" s="99" t="s">
        <v>535</v>
      </c>
      <c r="AF174" s="99" t="s">
        <v>1217</v>
      </c>
      <c r="AG174" s="99" t="s">
        <v>323</v>
      </c>
      <c r="AH174" s="99" t="s">
        <v>302</v>
      </c>
      <c r="AI174" s="99" t="s">
        <v>302</v>
      </c>
      <c r="AJ174" s="99" t="s">
        <v>302</v>
      </c>
      <c r="AK174" s="99" t="s">
        <v>303</v>
      </c>
      <c r="AL174" s="99" t="s">
        <v>304</v>
      </c>
      <c r="AM174" s="99" t="s">
        <v>304</v>
      </c>
      <c r="AN174" s="99" t="s">
        <v>303</v>
      </c>
      <c r="AO174" s="99" t="s">
        <v>303</v>
      </c>
      <c r="AP174" s="99" t="s">
        <v>303</v>
      </c>
      <c r="AQ174" s="99" t="s">
        <v>304</v>
      </c>
      <c r="AR174" s="99" t="s">
        <v>322</v>
      </c>
      <c r="AS174" s="99" t="s">
        <v>540</v>
      </c>
      <c r="AT174" s="99" t="s">
        <v>321</v>
      </c>
      <c r="AU174" s="99" t="s">
        <v>320</v>
      </c>
      <c r="AV174" s="99" t="s">
        <v>547</v>
      </c>
      <c r="AW174" s="99" t="s">
        <v>307</v>
      </c>
      <c r="AX174" s="99" t="s">
        <v>534</v>
      </c>
      <c r="AY174" s="99" t="s">
        <v>1505</v>
      </c>
    </row>
    <row r="175" spans="1:51" ht="144" x14ac:dyDescent="0.3">
      <c r="A175" s="98">
        <v>42158.309178240743</v>
      </c>
      <c r="B175" s="99" t="s">
        <v>1049</v>
      </c>
      <c r="C175" s="99" t="s">
        <v>580</v>
      </c>
      <c r="D175" s="99" t="s">
        <v>560</v>
      </c>
      <c r="E175" s="99" t="s">
        <v>330</v>
      </c>
      <c r="F175" s="99" t="s">
        <v>317</v>
      </c>
      <c r="G175" s="99" t="s">
        <v>451</v>
      </c>
      <c r="H175" s="99" t="s">
        <v>5</v>
      </c>
      <c r="I175" s="99" t="s">
        <v>494</v>
      </c>
      <c r="J175" s="99" t="s">
        <v>454</v>
      </c>
      <c r="K175" s="99" t="s">
        <v>354</v>
      </c>
      <c r="L175" s="99" t="s">
        <v>577</v>
      </c>
      <c r="M175" s="99" t="s">
        <v>363</v>
      </c>
      <c r="N175" s="99" t="s">
        <v>313</v>
      </c>
      <c r="O175" s="99" t="s">
        <v>313</v>
      </c>
      <c r="P175" s="99" t="s">
        <v>374</v>
      </c>
      <c r="Q175" s="99" t="s">
        <v>1169</v>
      </c>
      <c r="R175" s="99" t="s">
        <v>327</v>
      </c>
      <c r="S175" s="99" t="s">
        <v>1506</v>
      </c>
      <c r="T175" s="99" t="s">
        <v>366</v>
      </c>
      <c r="U175" s="99" t="s">
        <v>530</v>
      </c>
      <c r="V175" s="99" t="s">
        <v>415</v>
      </c>
      <c r="W175" s="99" t="s">
        <v>325</v>
      </c>
      <c r="X175" s="99" t="s">
        <v>337</v>
      </c>
      <c r="Y175" s="99" t="s">
        <v>316</v>
      </c>
      <c r="Z175" s="99" t="s">
        <v>316</v>
      </c>
      <c r="AA175" s="99" t="s">
        <v>685</v>
      </c>
      <c r="AB175" s="99" t="s">
        <v>336</v>
      </c>
      <c r="AC175" s="99" t="s">
        <v>351</v>
      </c>
      <c r="AD175" s="99" t="s">
        <v>357</v>
      </c>
      <c r="AE175" s="99" t="s">
        <v>532</v>
      </c>
      <c r="AF175" s="99" t="s">
        <v>730</v>
      </c>
      <c r="AG175" s="99" t="s">
        <v>323</v>
      </c>
      <c r="AH175" s="99" t="s">
        <v>6</v>
      </c>
      <c r="AI175" s="99" t="s">
        <v>303</v>
      </c>
      <c r="AJ175" s="99" t="s">
        <v>304</v>
      </c>
      <c r="AK175" s="99" t="s">
        <v>304</v>
      </c>
      <c r="AL175" s="99" t="s">
        <v>304</v>
      </c>
      <c r="AM175" s="99" t="s">
        <v>304</v>
      </c>
      <c r="AN175" s="99" t="s">
        <v>303</v>
      </c>
      <c r="AO175" s="99" t="s">
        <v>302</v>
      </c>
      <c r="AP175" s="99" t="s">
        <v>304</v>
      </c>
      <c r="AQ175" s="99" t="s">
        <v>302</v>
      </c>
      <c r="AR175" s="99" t="s">
        <v>558</v>
      </c>
      <c r="AS175" s="99" t="s">
        <v>300</v>
      </c>
      <c r="AT175" s="99" t="s">
        <v>355</v>
      </c>
      <c r="AU175" s="99" t="s">
        <v>298</v>
      </c>
      <c r="AV175" s="99" t="s">
        <v>297</v>
      </c>
      <c r="AW175" s="99" t="s">
        <v>324</v>
      </c>
      <c r="AX175" s="99" t="s">
        <v>319</v>
      </c>
      <c r="AY175" s="99" t="s">
        <v>418</v>
      </c>
    </row>
    <row r="176" spans="1:51" ht="187.2" x14ac:dyDescent="0.3">
      <c r="A176" s="98">
        <v>42158.309513888889</v>
      </c>
      <c r="B176" s="99" t="s">
        <v>1049</v>
      </c>
      <c r="C176" s="99" t="s">
        <v>580</v>
      </c>
      <c r="D176" s="99" t="s">
        <v>529</v>
      </c>
      <c r="E176" s="99" t="s">
        <v>330</v>
      </c>
      <c r="F176" s="99" t="s">
        <v>317</v>
      </c>
      <c r="G176" s="99" t="s">
        <v>407</v>
      </c>
      <c r="H176" s="99" t="s">
        <v>5</v>
      </c>
      <c r="I176" s="99" t="s">
        <v>345</v>
      </c>
      <c r="J176" s="99" t="s">
        <v>1101</v>
      </c>
      <c r="K176" s="99" t="s">
        <v>315</v>
      </c>
      <c r="L176" s="99" t="s">
        <v>450</v>
      </c>
      <c r="M176" s="99" t="s">
        <v>314</v>
      </c>
      <c r="N176" s="99" t="s">
        <v>374</v>
      </c>
      <c r="O176" s="99" t="s">
        <v>4</v>
      </c>
      <c r="P176" s="99" t="s">
        <v>4</v>
      </c>
      <c r="Q176" s="99" t="s">
        <v>731</v>
      </c>
      <c r="R176" s="99" t="s">
        <v>327</v>
      </c>
      <c r="S176" s="99" t="s">
        <v>500</v>
      </c>
      <c r="T176" s="99" t="s">
        <v>326</v>
      </c>
      <c r="U176" s="99" t="s">
        <v>530</v>
      </c>
      <c r="V176" s="99" t="s">
        <v>632</v>
      </c>
      <c r="W176" s="99" t="s">
        <v>325</v>
      </c>
      <c r="X176" s="99" t="s">
        <v>310</v>
      </c>
      <c r="Y176" s="99" t="s">
        <v>316</v>
      </c>
      <c r="Z176" s="99" t="s">
        <v>316</v>
      </c>
      <c r="AA176" s="99" t="s">
        <v>574</v>
      </c>
      <c r="AB176" s="99" t="s">
        <v>336</v>
      </c>
      <c r="AC176" s="99" t="s">
        <v>307</v>
      </c>
      <c r="AD176" s="99" t="s">
        <v>1006</v>
      </c>
      <c r="AE176" s="99" t="s">
        <v>532</v>
      </c>
      <c r="AF176" s="99" t="s">
        <v>1154</v>
      </c>
      <c r="AG176" s="99" t="s">
        <v>306</v>
      </c>
      <c r="AH176" s="99" t="s">
        <v>305</v>
      </c>
      <c r="AI176" s="99" t="s">
        <v>305</v>
      </c>
      <c r="AJ176" s="99" t="s">
        <v>302</v>
      </c>
      <c r="AK176" s="99" t="s">
        <v>305</v>
      </c>
      <c r="AL176" s="99" t="s">
        <v>303</v>
      </c>
      <c r="AM176" s="99" t="s">
        <v>303</v>
      </c>
      <c r="AN176" s="99" t="s">
        <v>303</v>
      </c>
      <c r="AO176" s="99" t="s">
        <v>302</v>
      </c>
      <c r="AP176" s="99" t="s">
        <v>302</v>
      </c>
      <c r="AQ176" s="99" t="s">
        <v>303</v>
      </c>
      <c r="AR176" s="99" t="s">
        <v>541</v>
      </c>
      <c r="AS176" s="99" t="s">
        <v>489</v>
      </c>
      <c r="AT176" s="99" t="s">
        <v>355</v>
      </c>
      <c r="AU176" s="99" t="s">
        <v>342</v>
      </c>
      <c r="AV176" s="99" t="s">
        <v>364</v>
      </c>
      <c r="AW176" s="99" t="s">
        <v>351</v>
      </c>
      <c r="AX176" s="99" t="s">
        <v>534</v>
      </c>
      <c r="AY176" s="99" t="s">
        <v>356</v>
      </c>
    </row>
    <row r="177" spans="1:51" ht="187.2" x14ac:dyDescent="0.3">
      <c r="A177" s="98">
        <v>42158.309560185182</v>
      </c>
      <c r="B177" s="99" t="s">
        <v>1049</v>
      </c>
      <c r="C177" s="99" t="s">
        <v>580</v>
      </c>
      <c r="D177" s="99" t="s">
        <v>529</v>
      </c>
      <c r="E177" s="99" t="s">
        <v>3</v>
      </c>
      <c r="F177" s="99" t="s">
        <v>317</v>
      </c>
      <c r="G177" s="99" t="s">
        <v>497</v>
      </c>
      <c r="H177" s="99" t="s">
        <v>5</v>
      </c>
      <c r="I177" s="99" t="s">
        <v>309</v>
      </c>
      <c r="J177" s="99" t="s">
        <v>454</v>
      </c>
      <c r="K177" s="99" t="s">
        <v>315</v>
      </c>
      <c r="L177" s="99" t="s">
        <v>1507</v>
      </c>
      <c r="M177" s="99" t="s">
        <v>348</v>
      </c>
      <c r="N177" s="99" t="s">
        <v>327</v>
      </c>
      <c r="O177" s="99" t="s">
        <v>313</v>
      </c>
      <c r="P177" s="99" t="s">
        <v>313</v>
      </c>
      <c r="Q177" s="99" t="s">
        <v>468</v>
      </c>
      <c r="R177" s="99" t="s">
        <v>327</v>
      </c>
      <c r="S177" s="99" t="s">
        <v>714</v>
      </c>
      <c r="T177" s="99" t="s">
        <v>326</v>
      </c>
      <c r="U177" s="99" t="s">
        <v>311</v>
      </c>
      <c r="V177" s="99" t="s">
        <v>1508</v>
      </c>
      <c r="W177" s="99" t="s">
        <v>419</v>
      </c>
      <c r="X177" s="99" t="s">
        <v>346</v>
      </c>
      <c r="Y177" s="99" t="s">
        <v>316</v>
      </c>
      <c r="Z177" s="99" t="s">
        <v>316</v>
      </c>
      <c r="AA177" s="99" t="s">
        <v>1509</v>
      </c>
      <c r="AB177" s="99" t="s">
        <v>308</v>
      </c>
      <c r="AC177" s="99" t="s">
        <v>324</v>
      </c>
      <c r="AD177" s="99" t="s">
        <v>431</v>
      </c>
      <c r="AE177" s="99" t="s">
        <v>535</v>
      </c>
      <c r="AF177" s="99" t="s">
        <v>1510</v>
      </c>
      <c r="AG177" s="99" t="s">
        <v>306</v>
      </c>
      <c r="AH177" s="99" t="s">
        <v>304</v>
      </c>
      <c r="AI177" s="99" t="s">
        <v>304</v>
      </c>
      <c r="AJ177" s="99" t="s">
        <v>303</v>
      </c>
      <c r="AK177" s="99" t="s">
        <v>304</v>
      </c>
      <c r="AL177" s="99" t="s">
        <v>303</v>
      </c>
      <c r="AM177" s="99" t="s">
        <v>302</v>
      </c>
      <c r="AN177" s="99" t="s">
        <v>304</v>
      </c>
      <c r="AO177" s="99" t="s">
        <v>303</v>
      </c>
      <c r="AP177" s="99" t="s">
        <v>304</v>
      </c>
      <c r="AQ177" s="99" t="s">
        <v>304</v>
      </c>
      <c r="AR177" s="99" t="s">
        <v>301</v>
      </c>
      <c r="AS177" s="99" t="s">
        <v>350</v>
      </c>
      <c r="AT177" s="99" t="s">
        <v>360</v>
      </c>
      <c r="AU177" s="99" t="s">
        <v>320</v>
      </c>
      <c r="AV177" s="99" t="s">
        <v>536</v>
      </c>
      <c r="AW177" s="99" t="s">
        <v>324</v>
      </c>
      <c r="AX177" s="99" t="s">
        <v>549</v>
      </c>
      <c r="AY177" s="99" t="s">
        <v>1511</v>
      </c>
    </row>
    <row r="178" spans="1:51" ht="201.6" x14ac:dyDescent="0.3">
      <c r="A178" s="98">
        <v>42158.310706018521</v>
      </c>
      <c r="B178" s="99" t="s">
        <v>1049</v>
      </c>
      <c r="C178" s="99" t="s">
        <v>580</v>
      </c>
      <c r="D178" s="99" t="s">
        <v>331</v>
      </c>
      <c r="E178" s="99" t="s">
        <v>330</v>
      </c>
      <c r="F178" s="99" t="s">
        <v>372</v>
      </c>
      <c r="G178" s="99" t="s">
        <v>446</v>
      </c>
      <c r="H178" s="99" t="s">
        <v>349</v>
      </c>
      <c r="I178" s="99" t="s">
        <v>345</v>
      </c>
      <c r="J178" s="99" t="s">
        <v>544</v>
      </c>
      <c r="K178" s="99" t="s">
        <v>384</v>
      </c>
      <c r="L178" s="99" t="s">
        <v>427</v>
      </c>
      <c r="M178" s="99" t="s">
        <v>314</v>
      </c>
      <c r="N178" s="99" t="s">
        <v>313</v>
      </c>
      <c r="O178" s="99" t="s">
        <v>4</v>
      </c>
      <c r="P178" s="99" t="s">
        <v>374</v>
      </c>
      <c r="Q178" s="99" t="s">
        <v>411</v>
      </c>
      <c r="R178" s="99" t="s">
        <v>4</v>
      </c>
      <c r="S178" s="99" t="s">
        <v>975</v>
      </c>
      <c r="T178" s="99" t="s">
        <v>326</v>
      </c>
      <c r="U178" s="99" t="s">
        <v>373</v>
      </c>
      <c r="V178" s="99" t="s">
        <v>1512</v>
      </c>
      <c r="W178" s="99" t="s">
        <v>325</v>
      </c>
      <c r="X178" s="99" t="s">
        <v>352</v>
      </c>
      <c r="Y178" s="99" t="s">
        <v>316</v>
      </c>
      <c r="Z178" s="99" t="s">
        <v>316</v>
      </c>
      <c r="AA178" s="99" t="s">
        <v>472</v>
      </c>
      <c r="AB178" s="99" t="s">
        <v>336</v>
      </c>
      <c r="AC178" s="99" t="s">
        <v>351</v>
      </c>
      <c r="AD178" s="99" t="s">
        <v>357</v>
      </c>
      <c r="AE178" s="99" t="s">
        <v>539</v>
      </c>
      <c r="AF178" s="99" t="s">
        <v>1513</v>
      </c>
      <c r="AG178" s="99" t="s">
        <v>369</v>
      </c>
      <c r="AH178" s="99" t="s">
        <v>302</v>
      </c>
      <c r="AI178" s="99" t="s">
        <v>302</v>
      </c>
      <c r="AJ178" s="99" t="s">
        <v>304</v>
      </c>
      <c r="AK178" s="99" t="s">
        <v>303</v>
      </c>
      <c r="AL178" s="99" t="s">
        <v>304</v>
      </c>
      <c r="AM178" s="99" t="s">
        <v>305</v>
      </c>
      <c r="AN178" s="99" t="s">
        <v>304</v>
      </c>
      <c r="AO178" s="99" t="s">
        <v>304</v>
      </c>
      <c r="AP178" s="99" t="s">
        <v>303</v>
      </c>
      <c r="AQ178" s="99" t="s">
        <v>304</v>
      </c>
      <c r="AR178" s="99" t="s">
        <v>301</v>
      </c>
      <c r="AS178" s="99" t="s">
        <v>300</v>
      </c>
      <c r="AT178" s="99" t="s">
        <v>360</v>
      </c>
      <c r="AU178" s="99" t="s">
        <v>298</v>
      </c>
      <c r="AV178" s="99" t="s">
        <v>364</v>
      </c>
      <c r="AW178" s="99" t="s">
        <v>307</v>
      </c>
      <c r="AX178" s="99" t="s">
        <v>549</v>
      </c>
      <c r="AY178" s="99" t="s">
        <v>821</v>
      </c>
    </row>
    <row r="179" spans="1:51" ht="129.6" x14ac:dyDescent="0.3">
      <c r="A179" s="98">
        <v>42158.311249999999</v>
      </c>
      <c r="B179" s="99" t="s">
        <v>1049</v>
      </c>
      <c r="C179" s="99" t="s">
        <v>580</v>
      </c>
      <c r="D179" s="99" t="s">
        <v>529</v>
      </c>
      <c r="E179" s="99" t="s">
        <v>330</v>
      </c>
      <c r="F179" s="99" t="s">
        <v>372</v>
      </c>
      <c r="G179" s="99" t="s">
        <v>561</v>
      </c>
      <c r="H179" s="99" t="s">
        <v>5</v>
      </c>
      <c r="I179" s="99" t="s">
        <v>309</v>
      </c>
      <c r="J179" s="99" t="s">
        <v>1084</v>
      </c>
      <c r="K179" s="99" t="s">
        <v>315</v>
      </c>
      <c r="L179" s="99" t="s">
        <v>577</v>
      </c>
      <c r="M179" s="99" t="s">
        <v>377</v>
      </c>
      <c r="N179" s="99" t="s">
        <v>4</v>
      </c>
      <c r="O179" s="99" t="s">
        <v>4</v>
      </c>
      <c r="P179" s="99" t="s">
        <v>313</v>
      </c>
      <c r="Q179" s="99" t="s">
        <v>411</v>
      </c>
      <c r="R179" s="99" t="s">
        <v>327</v>
      </c>
      <c r="S179" s="99" t="s">
        <v>465</v>
      </c>
      <c r="T179" s="99" t="s">
        <v>326</v>
      </c>
      <c r="U179" s="99" t="s">
        <v>530</v>
      </c>
      <c r="V179" s="99" t="s">
        <v>1452</v>
      </c>
      <c r="W179" s="99" t="s">
        <v>325</v>
      </c>
      <c r="X179" s="99" t="s">
        <v>346</v>
      </c>
      <c r="Y179" s="99" t="s">
        <v>316</v>
      </c>
      <c r="Z179" s="99" t="s">
        <v>316</v>
      </c>
      <c r="AA179" s="99" t="s">
        <v>968</v>
      </c>
      <c r="AB179" s="99" t="s">
        <v>389</v>
      </c>
      <c r="AC179" s="99" t="s">
        <v>351</v>
      </c>
      <c r="AD179" s="99" t="s">
        <v>448</v>
      </c>
      <c r="AE179" s="99" t="s">
        <v>532</v>
      </c>
      <c r="AF179" s="99" t="s">
        <v>461</v>
      </c>
      <c r="AG179" s="99" t="s">
        <v>323</v>
      </c>
      <c r="AH179" s="99" t="s">
        <v>6</v>
      </c>
      <c r="AI179" s="99" t="s">
        <v>304</v>
      </c>
      <c r="AJ179" s="99" t="s">
        <v>304</v>
      </c>
      <c r="AK179" s="99" t="s">
        <v>305</v>
      </c>
      <c r="AL179" s="99" t="s">
        <v>304</v>
      </c>
      <c r="AM179" s="99" t="s">
        <v>304</v>
      </c>
      <c r="AN179" s="99" t="s">
        <v>6</v>
      </c>
      <c r="AO179" s="99" t="s">
        <v>303</v>
      </c>
      <c r="AP179" s="99" t="s">
        <v>304</v>
      </c>
      <c r="AQ179" s="99" t="s">
        <v>303</v>
      </c>
      <c r="AR179" s="99" t="s">
        <v>391</v>
      </c>
      <c r="AS179" s="99"/>
      <c r="AT179" s="99"/>
      <c r="AU179" s="99" t="s">
        <v>660</v>
      </c>
      <c r="AV179" s="99" t="s">
        <v>547</v>
      </c>
      <c r="AW179" s="99" t="s">
        <v>351</v>
      </c>
      <c r="AX179" s="99" t="s">
        <v>534</v>
      </c>
      <c r="AY179" s="99" t="s">
        <v>1441</v>
      </c>
    </row>
    <row r="180" spans="1:51" ht="259.2" x14ac:dyDescent="0.3">
      <c r="A180" s="98">
        <v>42158.311423611114</v>
      </c>
      <c r="B180" s="99" t="s">
        <v>1049</v>
      </c>
      <c r="C180" s="99" t="s">
        <v>580</v>
      </c>
      <c r="D180" s="99" t="s">
        <v>331</v>
      </c>
      <c r="E180" s="99" t="s">
        <v>3</v>
      </c>
      <c r="F180" s="99" t="s">
        <v>317</v>
      </c>
      <c r="G180" s="99" t="s">
        <v>451</v>
      </c>
      <c r="H180" s="99" t="s">
        <v>5</v>
      </c>
      <c r="I180" s="99" t="s">
        <v>309</v>
      </c>
      <c r="J180" s="99" t="s">
        <v>454</v>
      </c>
      <c r="K180" s="99" t="s">
        <v>354</v>
      </c>
      <c r="L180" s="99" t="s">
        <v>406</v>
      </c>
      <c r="M180" s="99" t="s">
        <v>363</v>
      </c>
      <c r="N180" s="99" t="s">
        <v>313</v>
      </c>
      <c r="O180" s="99" t="s">
        <v>4</v>
      </c>
      <c r="P180" s="99" t="s">
        <v>4</v>
      </c>
      <c r="Q180" s="99" t="s">
        <v>670</v>
      </c>
      <c r="R180" s="99" t="s">
        <v>327</v>
      </c>
      <c r="S180" s="99" t="s">
        <v>1514</v>
      </c>
      <c r="T180" s="99" t="s">
        <v>326</v>
      </c>
      <c r="U180" s="99" t="s">
        <v>347</v>
      </c>
      <c r="V180" s="99" t="s">
        <v>495</v>
      </c>
      <c r="W180" s="99" t="s">
        <v>419</v>
      </c>
      <c r="X180" s="99" t="s">
        <v>310</v>
      </c>
      <c r="Y180" s="99" t="s">
        <v>309</v>
      </c>
      <c r="Z180" s="99" t="s">
        <v>345</v>
      </c>
      <c r="AA180" s="99" t="s">
        <v>886</v>
      </c>
      <c r="AB180" s="99" t="s">
        <v>393</v>
      </c>
      <c r="AC180" s="99" t="s">
        <v>307</v>
      </c>
      <c r="AD180" s="99" t="s">
        <v>642</v>
      </c>
      <c r="AE180" s="99" t="s">
        <v>535</v>
      </c>
      <c r="AF180" s="99" t="s">
        <v>830</v>
      </c>
      <c r="AG180" s="99" t="s">
        <v>306</v>
      </c>
      <c r="AH180" s="99" t="s">
        <v>302</v>
      </c>
      <c r="AI180" s="99" t="s">
        <v>302</v>
      </c>
      <c r="AJ180" s="99" t="s">
        <v>302</v>
      </c>
      <c r="AK180" s="99" t="s">
        <v>302</v>
      </c>
      <c r="AL180" s="99" t="s">
        <v>303</v>
      </c>
      <c r="AM180" s="99" t="s">
        <v>302</v>
      </c>
      <c r="AN180" s="99" t="s">
        <v>302</v>
      </c>
      <c r="AO180" s="99" t="s">
        <v>302</v>
      </c>
      <c r="AP180" s="99" t="s">
        <v>302</v>
      </c>
      <c r="AQ180" s="99" t="s">
        <v>303</v>
      </c>
      <c r="AR180" s="99" t="s">
        <v>673</v>
      </c>
      <c r="AS180" s="99" t="s">
        <v>300</v>
      </c>
      <c r="AT180" s="99" t="s">
        <v>355</v>
      </c>
      <c r="AU180" s="99" t="s">
        <v>298</v>
      </c>
      <c r="AV180" s="99" t="s">
        <v>547</v>
      </c>
      <c r="AW180" s="99" t="s">
        <v>307</v>
      </c>
      <c r="AX180" s="99" t="s">
        <v>319</v>
      </c>
      <c r="AY180" s="99" t="s">
        <v>726</v>
      </c>
    </row>
    <row r="181" spans="1:51" ht="129.6" x14ac:dyDescent="0.3">
      <c r="A181" s="98">
        <v>42158.314652777779</v>
      </c>
      <c r="B181" s="99" t="s">
        <v>1049</v>
      </c>
      <c r="C181" s="99" t="s">
        <v>552</v>
      </c>
      <c r="D181" s="99" t="s">
        <v>560</v>
      </c>
      <c r="E181" s="99" t="s">
        <v>3</v>
      </c>
      <c r="F181" s="99" t="s">
        <v>317</v>
      </c>
      <c r="G181" s="99" t="s">
        <v>412</v>
      </c>
      <c r="H181" s="99" t="s">
        <v>5</v>
      </c>
      <c r="I181" s="99" t="s">
        <v>309</v>
      </c>
      <c r="J181" s="99" t="s">
        <v>1045</v>
      </c>
      <c r="K181" s="99" t="s">
        <v>359</v>
      </c>
      <c r="L181" s="99" t="s">
        <v>450</v>
      </c>
      <c r="M181" s="99" t="s">
        <v>314</v>
      </c>
      <c r="N181" s="99" t="s">
        <v>327</v>
      </c>
      <c r="O181" s="99" t="s">
        <v>374</v>
      </c>
      <c r="P181" s="99" t="s">
        <v>327</v>
      </c>
      <c r="Q181" s="99" t="s">
        <v>450</v>
      </c>
      <c r="R181" s="99" t="s">
        <v>327</v>
      </c>
      <c r="S181" s="99" t="s">
        <v>1515</v>
      </c>
      <c r="T181" s="99" t="s">
        <v>366</v>
      </c>
      <c r="U181" s="99" t="s">
        <v>311</v>
      </c>
      <c r="V181" s="99" t="s">
        <v>371</v>
      </c>
      <c r="W181" s="99" t="s">
        <v>338</v>
      </c>
      <c r="X181" s="99" t="s">
        <v>346</v>
      </c>
      <c r="Y181" s="99" t="s">
        <v>316</v>
      </c>
      <c r="Z181" s="99" t="s">
        <v>316</v>
      </c>
      <c r="AA181" s="99" t="s">
        <v>395</v>
      </c>
      <c r="AB181" s="99" t="s">
        <v>308</v>
      </c>
      <c r="AC181" s="99" t="s">
        <v>324</v>
      </c>
      <c r="AD181" s="99" t="s">
        <v>388</v>
      </c>
      <c r="AE181" s="99" t="s">
        <v>532</v>
      </c>
      <c r="AF181" s="99" t="s">
        <v>466</v>
      </c>
      <c r="AG181" s="99" t="s">
        <v>323</v>
      </c>
      <c r="AH181" s="99" t="s">
        <v>303</v>
      </c>
      <c r="AI181" s="99" t="s">
        <v>302</v>
      </c>
      <c r="AJ181" s="99" t="s">
        <v>302</v>
      </c>
      <c r="AK181" s="99" t="s">
        <v>303</v>
      </c>
      <c r="AL181" s="99" t="s">
        <v>305</v>
      </c>
      <c r="AM181" s="99" t="s">
        <v>302</v>
      </c>
      <c r="AN181" s="99" t="s">
        <v>302</v>
      </c>
      <c r="AO181" s="99" t="s">
        <v>303</v>
      </c>
      <c r="AP181" s="99" t="s">
        <v>302</v>
      </c>
      <c r="AQ181" s="99" t="s">
        <v>303</v>
      </c>
      <c r="AR181" s="99" t="s">
        <v>301</v>
      </c>
      <c r="AS181" s="99" t="s">
        <v>300</v>
      </c>
      <c r="AT181" s="99" t="s">
        <v>321</v>
      </c>
      <c r="AU181" s="99" t="s">
        <v>320</v>
      </c>
      <c r="AV181" s="99" t="s">
        <v>333</v>
      </c>
      <c r="AW181" s="99" t="s">
        <v>307</v>
      </c>
      <c r="AX181" s="99" t="s">
        <v>534</v>
      </c>
      <c r="AY181" s="99" t="s">
        <v>418</v>
      </c>
    </row>
    <row r="182" spans="1:51" ht="115.2" x14ac:dyDescent="0.3">
      <c r="A182" s="98">
        <v>42158.315254629626</v>
      </c>
      <c r="B182" s="99" t="s">
        <v>1049</v>
      </c>
      <c r="C182" s="99" t="s">
        <v>580</v>
      </c>
      <c r="D182" s="99" t="s">
        <v>529</v>
      </c>
      <c r="E182" s="99" t="s">
        <v>330</v>
      </c>
      <c r="F182" s="99" t="s">
        <v>372</v>
      </c>
      <c r="G182" s="99" t="s">
        <v>340</v>
      </c>
      <c r="H182" s="99" t="s">
        <v>349</v>
      </c>
      <c r="I182" s="99" t="s">
        <v>309</v>
      </c>
      <c r="J182" s="99" t="s">
        <v>1140</v>
      </c>
      <c r="K182" s="99" t="s">
        <v>328</v>
      </c>
      <c r="L182" s="99" t="s">
        <v>439</v>
      </c>
      <c r="M182" s="99" t="s">
        <v>353</v>
      </c>
      <c r="N182" s="99" t="s">
        <v>327</v>
      </c>
      <c r="O182" s="99" t="s">
        <v>327</v>
      </c>
      <c r="P182" s="99" t="s">
        <v>313</v>
      </c>
      <c r="Q182" s="99" t="s">
        <v>411</v>
      </c>
      <c r="R182" s="99" t="s">
        <v>327</v>
      </c>
      <c r="S182" s="99" t="s">
        <v>665</v>
      </c>
      <c r="T182" s="99" t="s">
        <v>366</v>
      </c>
      <c r="U182" s="99" t="s">
        <v>530</v>
      </c>
      <c r="V182" s="99" t="s">
        <v>928</v>
      </c>
      <c r="W182" s="99" t="s">
        <v>1278</v>
      </c>
      <c r="X182" s="99" t="s">
        <v>337</v>
      </c>
      <c r="Y182" s="99" t="s">
        <v>316</v>
      </c>
      <c r="Z182" s="99" t="s">
        <v>316</v>
      </c>
      <c r="AA182" s="99" t="s">
        <v>432</v>
      </c>
      <c r="AB182" s="99" t="s">
        <v>308</v>
      </c>
      <c r="AC182" s="99" t="s">
        <v>351</v>
      </c>
      <c r="AD182" s="99" t="s">
        <v>431</v>
      </c>
      <c r="AE182" s="99" t="s">
        <v>539</v>
      </c>
      <c r="AF182" s="99" t="s">
        <v>1516</v>
      </c>
      <c r="AG182" s="99" t="s">
        <v>306</v>
      </c>
      <c r="AH182" s="99" t="s">
        <v>302</v>
      </c>
      <c r="AI182" s="99" t="s">
        <v>302</v>
      </c>
      <c r="AJ182" s="99" t="s">
        <v>303</v>
      </c>
      <c r="AK182" s="99" t="s">
        <v>303</v>
      </c>
      <c r="AL182" s="99" t="s">
        <v>303</v>
      </c>
      <c r="AM182" s="99" t="s">
        <v>303</v>
      </c>
      <c r="AN182" s="99" t="s">
        <v>303</v>
      </c>
      <c r="AO182" s="99" t="s">
        <v>302</v>
      </c>
      <c r="AP182" s="99" t="s">
        <v>303</v>
      </c>
      <c r="AQ182" s="99" t="s">
        <v>303</v>
      </c>
      <c r="AR182" s="99" t="s">
        <v>301</v>
      </c>
      <c r="AS182" s="99" t="s">
        <v>300</v>
      </c>
      <c r="AT182" s="99" t="s">
        <v>355</v>
      </c>
      <c r="AU182" s="99" t="s">
        <v>342</v>
      </c>
      <c r="AV182" s="99" t="s">
        <v>536</v>
      </c>
      <c r="AW182" s="99" t="s">
        <v>324</v>
      </c>
      <c r="AX182" s="99" t="s">
        <v>341</v>
      </c>
      <c r="AY182" s="99" t="s">
        <v>1080</v>
      </c>
    </row>
    <row r="183" spans="1:51" ht="288" x14ac:dyDescent="0.3">
      <c r="A183" s="98">
        <v>42158.31722222222</v>
      </c>
      <c r="B183" s="99" t="s">
        <v>1049</v>
      </c>
      <c r="C183" s="99" t="s">
        <v>580</v>
      </c>
      <c r="D183" s="99" t="s">
        <v>529</v>
      </c>
      <c r="E183" s="99" t="s">
        <v>3</v>
      </c>
      <c r="F183" s="99" t="s">
        <v>317</v>
      </c>
      <c r="G183" s="99" t="s">
        <v>446</v>
      </c>
      <c r="H183" s="99" t="s">
        <v>5</v>
      </c>
      <c r="I183" s="99" t="s">
        <v>345</v>
      </c>
      <c r="J183" s="99" t="s">
        <v>565</v>
      </c>
      <c r="K183" s="99" t="s">
        <v>368</v>
      </c>
      <c r="L183" s="99" t="s">
        <v>429</v>
      </c>
      <c r="M183" s="99" t="s">
        <v>377</v>
      </c>
      <c r="N183" s="99" t="s">
        <v>313</v>
      </c>
      <c r="O183" s="99" t="s">
        <v>313</v>
      </c>
      <c r="P183" s="99" t="s">
        <v>327</v>
      </c>
      <c r="Q183" s="99" t="s">
        <v>429</v>
      </c>
      <c r="R183" s="99" t="s">
        <v>327</v>
      </c>
      <c r="S183" s="99" t="s">
        <v>500</v>
      </c>
      <c r="T183" s="99" t="s">
        <v>366</v>
      </c>
      <c r="U183" s="99" t="s">
        <v>530</v>
      </c>
      <c r="V183" s="99" t="s">
        <v>1517</v>
      </c>
      <c r="W183" s="99" t="s">
        <v>338</v>
      </c>
      <c r="X183" s="99" t="s">
        <v>310</v>
      </c>
      <c r="Y183" s="99" t="s">
        <v>316</v>
      </c>
      <c r="Z183" s="99" t="s">
        <v>316</v>
      </c>
      <c r="AA183" s="99" t="s">
        <v>424</v>
      </c>
      <c r="AB183" s="99" t="s">
        <v>308</v>
      </c>
      <c r="AC183" s="99" t="s">
        <v>307</v>
      </c>
      <c r="AD183" s="99" t="s">
        <v>474</v>
      </c>
      <c r="AE183" s="99" t="s">
        <v>532</v>
      </c>
      <c r="AF183" s="99" t="s">
        <v>1518</v>
      </c>
      <c r="AG183" s="99" t="s">
        <v>323</v>
      </c>
      <c r="AH183" s="99" t="s">
        <v>304</v>
      </c>
      <c r="AI183" s="99" t="s">
        <v>303</v>
      </c>
      <c r="AJ183" s="99" t="s">
        <v>303</v>
      </c>
      <c r="AK183" s="99" t="s">
        <v>303</v>
      </c>
      <c r="AL183" s="99" t="s">
        <v>302</v>
      </c>
      <c r="AM183" s="99" t="s">
        <v>302</v>
      </c>
      <c r="AN183" s="99" t="s">
        <v>303</v>
      </c>
      <c r="AO183" s="99" t="s">
        <v>302</v>
      </c>
      <c r="AP183" s="99" t="s">
        <v>303</v>
      </c>
      <c r="AQ183" s="99" t="s">
        <v>303</v>
      </c>
      <c r="AR183" s="99" t="s">
        <v>322</v>
      </c>
      <c r="AS183" s="99" t="s">
        <v>350</v>
      </c>
      <c r="AT183" s="99" t="s">
        <v>360</v>
      </c>
      <c r="AU183" s="99" t="s">
        <v>342</v>
      </c>
      <c r="AV183" s="99" t="s">
        <v>333</v>
      </c>
      <c r="AW183" s="99" t="s">
        <v>307</v>
      </c>
      <c r="AX183" s="99" t="s">
        <v>549</v>
      </c>
      <c r="AY183" s="99" t="s">
        <v>717</v>
      </c>
    </row>
    <row r="184" spans="1:51" ht="129.6" x14ac:dyDescent="0.3">
      <c r="A184" s="98">
        <v>42158.31994212963</v>
      </c>
      <c r="B184" s="99" t="s">
        <v>1049</v>
      </c>
      <c r="C184" s="99" t="s">
        <v>580</v>
      </c>
      <c r="D184" s="99" t="s">
        <v>529</v>
      </c>
      <c r="E184" s="99" t="s">
        <v>3</v>
      </c>
      <c r="F184" s="99" t="s">
        <v>317</v>
      </c>
      <c r="G184" s="99" t="s">
        <v>924</v>
      </c>
      <c r="H184" s="99" t="s">
        <v>823</v>
      </c>
      <c r="I184" s="99" t="s">
        <v>494</v>
      </c>
      <c r="J184" s="99" t="s">
        <v>457</v>
      </c>
      <c r="K184" s="99" t="s">
        <v>368</v>
      </c>
      <c r="L184" s="99" t="s">
        <v>1519</v>
      </c>
      <c r="M184" s="99" t="s">
        <v>367</v>
      </c>
      <c r="N184" s="99" t="s">
        <v>327</v>
      </c>
      <c r="O184" s="99" t="s">
        <v>327</v>
      </c>
      <c r="P184" s="99" t="s">
        <v>4</v>
      </c>
      <c r="Q184" s="99" t="s">
        <v>405</v>
      </c>
      <c r="R184" s="99" t="s">
        <v>4</v>
      </c>
      <c r="S184" s="99" t="s">
        <v>952</v>
      </c>
      <c r="T184" s="99" t="s">
        <v>326</v>
      </c>
      <c r="U184" s="99" t="s">
        <v>530</v>
      </c>
      <c r="V184" s="99" t="s">
        <v>992</v>
      </c>
      <c r="W184" s="99" t="s">
        <v>325</v>
      </c>
      <c r="X184" s="99" t="s">
        <v>352</v>
      </c>
      <c r="Y184" s="99" t="s">
        <v>316</v>
      </c>
      <c r="Z184" s="99" t="s">
        <v>345</v>
      </c>
      <c r="AA184" s="99" t="s">
        <v>678</v>
      </c>
      <c r="AB184" s="99" t="s">
        <v>358</v>
      </c>
      <c r="AC184" s="99" t="s">
        <v>351</v>
      </c>
      <c r="AD184" s="99" t="s">
        <v>357</v>
      </c>
      <c r="AE184" s="99" t="s">
        <v>535</v>
      </c>
      <c r="AF184" s="99" t="s">
        <v>698</v>
      </c>
      <c r="AG184" s="99" t="s">
        <v>400</v>
      </c>
      <c r="AH184" s="99" t="s">
        <v>303</v>
      </c>
      <c r="AI184" s="99" t="s">
        <v>303</v>
      </c>
      <c r="AJ184" s="99" t="s">
        <v>303</v>
      </c>
      <c r="AK184" s="99" t="s">
        <v>304</v>
      </c>
      <c r="AL184" s="99" t="s">
        <v>303</v>
      </c>
      <c r="AM184" s="99" t="s">
        <v>303</v>
      </c>
      <c r="AN184" s="99" t="s">
        <v>303</v>
      </c>
      <c r="AO184" s="99" t="s">
        <v>303</v>
      </c>
      <c r="AP184" s="99" t="s">
        <v>303</v>
      </c>
      <c r="AQ184" s="99" t="s">
        <v>302</v>
      </c>
      <c r="AR184" s="99" t="s">
        <v>322</v>
      </c>
      <c r="AS184" s="99" t="s">
        <v>335</v>
      </c>
      <c r="AT184" s="99" t="s">
        <v>321</v>
      </c>
      <c r="AU184" s="99" t="s">
        <v>342</v>
      </c>
      <c r="AV184" s="99" t="s">
        <v>297</v>
      </c>
      <c r="AW184" s="99" t="s">
        <v>351</v>
      </c>
      <c r="AX184" s="99" t="s">
        <v>341</v>
      </c>
      <c r="AY184" s="99" t="s">
        <v>332</v>
      </c>
    </row>
    <row r="185" spans="1:51" ht="86.4" x14ac:dyDescent="0.3">
      <c r="A185" s="98">
        <v>42158.320625</v>
      </c>
      <c r="B185" s="99" t="s">
        <v>1049</v>
      </c>
      <c r="C185" s="99" t="s">
        <v>580</v>
      </c>
      <c r="D185" s="99" t="s">
        <v>331</v>
      </c>
      <c r="E185" s="99" t="s">
        <v>3</v>
      </c>
      <c r="F185" s="99" t="s">
        <v>317</v>
      </c>
      <c r="G185" s="99" t="s">
        <v>407</v>
      </c>
      <c r="H185" s="99" t="s">
        <v>5</v>
      </c>
      <c r="I185" s="99" t="s">
        <v>345</v>
      </c>
      <c r="J185" s="99" t="s">
        <v>1119</v>
      </c>
      <c r="K185" s="99" t="s">
        <v>315</v>
      </c>
      <c r="L185" s="99" t="s">
        <v>429</v>
      </c>
      <c r="M185" s="99" t="s">
        <v>651</v>
      </c>
      <c r="N185" s="99"/>
      <c r="O185" s="99" t="s">
        <v>313</v>
      </c>
      <c r="P185" s="99" t="s">
        <v>313</v>
      </c>
      <c r="Q185" s="99" t="s">
        <v>411</v>
      </c>
      <c r="R185" s="99"/>
      <c r="S185" s="99" t="s">
        <v>931</v>
      </c>
      <c r="T185" s="99" t="s">
        <v>326</v>
      </c>
      <c r="U185" s="99" t="s">
        <v>373</v>
      </c>
      <c r="V185" s="99" t="s">
        <v>362</v>
      </c>
      <c r="W185" s="99" t="s">
        <v>370</v>
      </c>
      <c r="X185" s="99" t="s">
        <v>337</v>
      </c>
      <c r="Y185" s="99" t="s">
        <v>309</v>
      </c>
      <c r="Z185" s="99" t="s">
        <v>309</v>
      </c>
      <c r="AA185" s="99" t="s">
        <v>732</v>
      </c>
      <c r="AB185" s="99" t="s">
        <v>376</v>
      </c>
      <c r="AC185" s="99" t="s">
        <v>324</v>
      </c>
      <c r="AD185" s="99" t="s">
        <v>647</v>
      </c>
      <c r="AE185" s="99" t="s">
        <v>545</v>
      </c>
      <c r="AF185" s="99" t="s">
        <v>1520</v>
      </c>
      <c r="AG185" s="99" t="s">
        <v>400</v>
      </c>
      <c r="AH185" s="99" t="s">
        <v>303</v>
      </c>
      <c r="AI185" s="99" t="s">
        <v>304</v>
      </c>
      <c r="AJ185" s="99" t="s">
        <v>295</v>
      </c>
      <c r="AK185" s="99" t="s">
        <v>6</v>
      </c>
      <c r="AL185" s="99" t="s">
        <v>304</v>
      </c>
      <c r="AM185" s="99" t="s">
        <v>305</v>
      </c>
      <c r="AN185" s="99" t="s">
        <v>302</v>
      </c>
      <c r="AO185" s="99" t="s">
        <v>303</v>
      </c>
      <c r="AP185" s="99" t="s">
        <v>305</v>
      </c>
      <c r="AQ185" s="99" t="s">
        <v>295</v>
      </c>
      <c r="AR185" s="99" t="s">
        <v>343</v>
      </c>
      <c r="AS185" s="99" t="s">
        <v>729</v>
      </c>
      <c r="AT185" s="99" t="s">
        <v>321</v>
      </c>
      <c r="AU185" s="99" t="s">
        <v>320</v>
      </c>
      <c r="AV185" s="99" t="s">
        <v>364</v>
      </c>
      <c r="AW185" s="99" t="s">
        <v>324</v>
      </c>
      <c r="AX185" s="99" t="s">
        <v>534</v>
      </c>
      <c r="AY185" s="99" t="s">
        <v>1521</v>
      </c>
    </row>
    <row r="186" spans="1:51" ht="201.6" x14ac:dyDescent="0.3">
      <c r="A186" s="98">
        <v>42158.321701388886</v>
      </c>
      <c r="B186" s="99" t="s">
        <v>1049</v>
      </c>
      <c r="C186" s="99" t="s">
        <v>580</v>
      </c>
      <c r="D186" s="99" t="s">
        <v>560</v>
      </c>
      <c r="E186" s="99" t="s">
        <v>3</v>
      </c>
      <c r="F186" s="99" t="s">
        <v>372</v>
      </c>
      <c r="G186" s="99" t="s">
        <v>446</v>
      </c>
      <c r="H186" s="99" t="s">
        <v>823</v>
      </c>
      <c r="I186" s="99" t="s">
        <v>345</v>
      </c>
      <c r="J186" s="99" t="s">
        <v>565</v>
      </c>
      <c r="K186" s="99" t="s">
        <v>368</v>
      </c>
      <c r="L186" s="99" t="s">
        <v>554</v>
      </c>
      <c r="M186" s="99" t="s">
        <v>353</v>
      </c>
      <c r="N186" s="99" t="s">
        <v>313</v>
      </c>
      <c r="O186" s="99" t="s">
        <v>313</v>
      </c>
      <c r="P186" s="99" t="s">
        <v>313</v>
      </c>
      <c r="Q186" s="99" t="s">
        <v>1522</v>
      </c>
      <c r="R186" s="99" t="s">
        <v>327</v>
      </c>
      <c r="S186" s="99" t="s">
        <v>1523</v>
      </c>
      <c r="T186" s="99" t="s">
        <v>326</v>
      </c>
      <c r="U186" s="99" t="s">
        <v>373</v>
      </c>
      <c r="V186" s="99" t="s">
        <v>997</v>
      </c>
      <c r="W186" s="99" t="s">
        <v>1192</v>
      </c>
      <c r="X186" s="99" t="s">
        <v>310</v>
      </c>
      <c r="Y186" s="99" t="s">
        <v>316</v>
      </c>
      <c r="Z186" s="99" t="s">
        <v>316</v>
      </c>
      <c r="AA186" s="99" t="s">
        <v>1524</v>
      </c>
      <c r="AB186" s="99" t="s">
        <v>358</v>
      </c>
      <c r="AC186" s="99" t="s">
        <v>296</v>
      </c>
      <c r="AD186" s="99" t="s">
        <v>1525</v>
      </c>
      <c r="AE186" s="99" t="s">
        <v>542</v>
      </c>
      <c r="AF186" s="99" t="s">
        <v>1526</v>
      </c>
      <c r="AG186" s="99" t="s">
        <v>306</v>
      </c>
      <c r="AH186" s="99" t="s">
        <v>302</v>
      </c>
      <c r="AI186" s="99" t="s">
        <v>302</v>
      </c>
      <c r="AJ186" s="99" t="s">
        <v>302</v>
      </c>
      <c r="AK186" s="99" t="s">
        <v>303</v>
      </c>
      <c r="AL186" s="99" t="s">
        <v>303</v>
      </c>
      <c r="AM186" s="99" t="s">
        <v>302</v>
      </c>
      <c r="AN186" s="99" t="s">
        <v>302</v>
      </c>
      <c r="AO186" s="99" t="s">
        <v>303</v>
      </c>
      <c r="AP186" s="99" t="s">
        <v>302</v>
      </c>
      <c r="AQ186" s="99" t="s">
        <v>302</v>
      </c>
      <c r="AR186" s="99" t="s">
        <v>301</v>
      </c>
      <c r="AS186" s="99" t="s">
        <v>300</v>
      </c>
      <c r="AT186" s="99" t="s">
        <v>321</v>
      </c>
      <c r="AU186" s="99" t="s">
        <v>320</v>
      </c>
      <c r="AV186" s="99" t="s">
        <v>364</v>
      </c>
      <c r="AW186" s="99" t="s">
        <v>307</v>
      </c>
      <c r="AX186" s="99" t="s">
        <v>534</v>
      </c>
      <c r="AY186" s="99" t="s">
        <v>1083</v>
      </c>
    </row>
    <row r="187" spans="1:51" ht="144" x14ac:dyDescent="0.3">
      <c r="A187" s="98">
        <v>42158.322650462964</v>
      </c>
      <c r="B187" s="99" t="s">
        <v>1049</v>
      </c>
      <c r="C187" s="99" t="s">
        <v>580</v>
      </c>
      <c r="D187" s="99" t="s">
        <v>331</v>
      </c>
      <c r="E187" s="99" t="s">
        <v>3</v>
      </c>
      <c r="F187" s="99" t="s">
        <v>317</v>
      </c>
      <c r="G187" s="99" t="s">
        <v>446</v>
      </c>
      <c r="H187" s="99" t="s">
        <v>349</v>
      </c>
      <c r="I187" s="99" t="s">
        <v>309</v>
      </c>
      <c r="J187" s="99" t="s">
        <v>565</v>
      </c>
      <c r="K187" s="99" t="s">
        <v>368</v>
      </c>
      <c r="L187" s="99" t="s">
        <v>429</v>
      </c>
      <c r="M187" s="99" t="s">
        <v>314</v>
      </c>
      <c r="N187" s="99" t="s">
        <v>327</v>
      </c>
      <c r="O187" s="99" t="s">
        <v>313</v>
      </c>
      <c r="P187" s="99" t="s">
        <v>4</v>
      </c>
      <c r="Q187" s="99" t="s">
        <v>429</v>
      </c>
      <c r="R187" s="99" t="s">
        <v>4</v>
      </c>
      <c r="S187" s="99" t="s">
        <v>714</v>
      </c>
      <c r="T187" s="99" t="s">
        <v>312</v>
      </c>
      <c r="U187" s="99" t="s">
        <v>530</v>
      </c>
      <c r="V187" s="99" t="s">
        <v>386</v>
      </c>
      <c r="W187" s="99" t="s">
        <v>571</v>
      </c>
      <c r="X187" s="99" t="s">
        <v>310</v>
      </c>
      <c r="Y187" s="99" t="s">
        <v>316</v>
      </c>
      <c r="Z187" s="99" t="s">
        <v>345</v>
      </c>
      <c r="AA187" s="99" t="s">
        <v>1527</v>
      </c>
      <c r="AB187" s="99" t="s">
        <v>358</v>
      </c>
      <c r="AC187" s="99" t="s">
        <v>296</v>
      </c>
      <c r="AD187" s="99" t="s">
        <v>1528</v>
      </c>
      <c r="AE187" s="99" t="s">
        <v>533</v>
      </c>
      <c r="AF187" s="99"/>
      <c r="AG187" s="99"/>
      <c r="AH187" s="99"/>
      <c r="AI187" s="99"/>
      <c r="AJ187" s="99"/>
      <c r="AK187" s="99"/>
      <c r="AL187" s="99"/>
      <c r="AM187" s="99"/>
      <c r="AN187" s="99"/>
      <c r="AO187" s="99"/>
      <c r="AP187" s="99"/>
      <c r="AQ187" s="99"/>
      <c r="AR187" s="99"/>
      <c r="AS187" s="99"/>
      <c r="AT187" s="99"/>
      <c r="AU187" s="99"/>
      <c r="AV187" s="99"/>
      <c r="AW187" s="99"/>
      <c r="AX187" s="99"/>
      <c r="AY187" s="99"/>
    </row>
    <row r="188" spans="1:51" ht="144" x14ac:dyDescent="0.3">
      <c r="A188" s="98">
        <v>42158.324618055558</v>
      </c>
      <c r="B188" s="99" t="s">
        <v>1049</v>
      </c>
      <c r="C188" s="99" t="s">
        <v>799</v>
      </c>
      <c r="D188" s="99" t="s">
        <v>560</v>
      </c>
      <c r="E188" s="99" t="s">
        <v>3</v>
      </c>
      <c r="F188" s="99" t="s">
        <v>317</v>
      </c>
      <c r="G188" s="99" t="s">
        <v>435</v>
      </c>
      <c r="H188" s="99" t="s">
        <v>390</v>
      </c>
      <c r="I188" s="99" t="s">
        <v>309</v>
      </c>
      <c r="J188" s="99" t="s">
        <v>565</v>
      </c>
      <c r="K188" s="99" t="s">
        <v>315</v>
      </c>
      <c r="L188" s="99" t="s">
        <v>1098</v>
      </c>
      <c r="M188" s="99" t="s">
        <v>314</v>
      </c>
      <c r="N188" s="99" t="s">
        <v>313</v>
      </c>
      <c r="O188" s="99" t="s">
        <v>313</v>
      </c>
      <c r="P188" s="99" t="s">
        <v>313</v>
      </c>
      <c r="Q188" s="99" t="s">
        <v>587</v>
      </c>
      <c r="R188" s="99" t="s">
        <v>327</v>
      </c>
      <c r="S188" s="99" t="s">
        <v>1529</v>
      </c>
      <c r="T188" s="99" t="s">
        <v>326</v>
      </c>
      <c r="U188" s="99" t="s">
        <v>530</v>
      </c>
      <c r="V188" s="99" t="s">
        <v>1057</v>
      </c>
      <c r="W188" s="99" t="s">
        <v>338</v>
      </c>
      <c r="X188" s="99" t="s">
        <v>346</v>
      </c>
      <c r="Y188" s="99" t="s">
        <v>316</v>
      </c>
      <c r="Z188" s="99" t="s">
        <v>316</v>
      </c>
      <c r="AA188" s="99" t="s">
        <v>832</v>
      </c>
      <c r="AB188" s="99" t="s">
        <v>389</v>
      </c>
      <c r="AC188" s="99" t="s">
        <v>381</v>
      </c>
      <c r="AD188" s="99" t="s">
        <v>462</v>
      </c>
      <c r="AE188" s="99" t="s">
        <v>532</v>
      </c>
      <c r="AF188" s="99" t="s">
        <v>1530</v>
      </c>
      <c r="AG188" s="99" t="s">
        <v>304</v>
      </c>
      <c r="AH188" s="99" t="s">
        <v>305</v>
      </c>
      <c r="AI188" s="99" t="s">
        <v>305</v>
      </c>
      <c r="AJ188" s="99" t="s">
        <v>305</v>
      </c>
      <c r="AK188" s="99" t="s">
        <v>305</v>
      </c>
      <c r="AL188" s="99" t="s">
        <v>305</v>
      </c>
      <c r="AM188" s="99"/>
      <c r="AN188" s="99" t="s">
        <v>305</v>
      </c>
      <c r="AO188" s="99"/>
      <c r="AP188" s="99"/>
      <c r="AQ188" s="99" t="s">
        <v>305</v>
      </c>
      <c r="AR188" s="99" t="s">
        <v>541</v>
      </c>
      <c r="AS188" s="99" t="s">
        <v>398</v>
      </c>
      <c r="AT188" s="99" t="s">
        <v>334</v>
      </c>
      <c r="AU188" s="99" t="s">
        <v>298</v>
      </c>
      <c r="AV188" s="99" t="s">
        <v>297</v>
      </c>
      <c r="AW188" s="99" t="s">
        <v>307</v>
      </c>
      <c r="AX188" s="99" t="s">
        <v>549</v>
      </c>
      <c r="AY188" s="99" t="s">
        <v>1024</v>
      </c>
    </row>
    <row r="189" spans="1:51" ht="57.6" x14ac:dyDescent="0.3">
      <c r="A189" s="98">
        <v>42158.32508101852</v>
      </c>
      <c r="B189" s="99" t="s">
        <v>1049</v>
      </c>
      <c r="C189" s="99" t="s">
        <v>799</v>
      </c>
      <c r="D189" s="99" t="s">
        <v>529</v>
      </c>
      <c r="E189" s="99" t="s">
        <v>330</v>
      </c>
      <c r="F189" s="99" t="s">
        <v>317</v>
      </c>
      <c r="G189" s="99" t="s">
        <v>451</v>
      </c>
      <c r="H189" s="99" t="s">
        <v>5</v>
      </c>
      <c r="I189" s="99" t="s">
        <v>345</v>
      </c>
      <c r="J189" s="99" t="s">
        <v>1263</v>
      </c>
      <c r="K189" s="99" t="s">
        <v>354</v>
      </c>
      <c r="L189" s="99" t="s">
        <v>657</v>
      </c>
      <c r="M189" s="99" t="s">
        <v>562</v>
      </c>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row>
    <row r="190" spans="1:51" ht="230.4" x14ac:dyDescent="0.3">
      <c r="A190" s="98">
        <v>42158.325729166667</v>
      </c>
      <c r="B190" s="99" t="s">
        <v>1049</v>
      </c>
      <c r="C190" s="99" t="s">
        <v>799</v>
      </c>
      <c r="D190" s="99" t="s">
        <v>529</v>
      </c>
      <c r="E190" s="99" t="s">
        <v>3</v>
      </c>
      <c r="F190" s="99" t="s">
        <v>317</v>
      </c>
      <c r="G190" s="99" t="s">
        <v>435</v>
      </c>
      <c r="H190" s="99" t="s">
        <v>564</v>
      </c>
      <c r="I190" s="99" t="s">
        <v>309</v>
      </c>
      <c r="J190" s="99" t="s">
        <v>454</v>
      </c>
      <c r="K190" s="99" t="s">
        <v>315</v>
      </c>
      <c r="L190" s="99" t="s">
        <v>880</v>
      </c>
      <c r="M190" s="99" t="s">
        <v>314</v>
      </c>
      <c r="N190" s="99" t="s">
        <v>327</v>
      </c>
      <c r="O190" s="99" t="s">
        <v>4</v>
      </c>
      <c r="P190" s="99" t="s">
        <v>327</v>
      </c>
      <c r="Q190" s="99" t="s">
        <v>1261</v>
      </c>
      <c r="R190" s="99" t="s">
        <v>327</v>
      </c>
      <c r="S190" s="99" t="s">
        <v>1531</v>
      </c>
      <c r="T190" s="99" t="s">
        <v>312</v>
      </c>
      <c r="U190" s="99" t="s">
        <v>311</v>
      </c>
      <c r="V190" s="99" t="s">
        <v>371</v>
      </c>
      <c r="W190" s="99" t="s">
        <v>419</v>
      </c>
      <c r="X190" s="99" t="s">
        <v>346</v>
      </c>
      <c r="Y190" s="99" t="s">
        <v>316</v>
      </c>
      <c r="Z190" s="99" t="s">
        <v>316</v>
      </c>
      <c r="AA190" s="99" t="s">
        <v>1532</v>
      </c>
      <c r="AB190" s="99" t="s">
        <v>376</v>
      </c>
      <c r="AC190" s="99" t="s">
        <v>296</v>
      </c>
      <c r="AD190" s="99" t="s">
        <v>344</v>
      </c>
      <c r="AE190" s="99" t="s">
        <v>535</v>
      </c>
      <c r="AF190" s="99" t="s">
        <v>1533</v>
      </c>
      <c r="AG190" s="99" t="s">
        <v>323</v>
      </c>
      <c r="AH190" s="99" t="s">
        <v>303</v>
      </c>
      <c r="AI190" s="99" t="s">
        <v>303</v>
      </c>
      <c r="AJ190" s="99" t="s">
        <v>302</v>
      </c>
      <c r="AK190" s="99" t="s">
        <v>295</v>
      </c>
      <c r="AL190" s="99" t="s">
        <v>302</v>
      </c>
      <c r="AM190" s="99" t="s">
        <v>302</v>
      </c>
      <c r="AN190" s="99" t="s">
        <v>302</v>
      </c>
      <c r="AO190" s="99" t="s">
        <v>304</v>
      </c>
      <c r="AP190" s="99" t="s">
        <v>302</v>
      </c>
      <c r="AQ190" s="99" t="s">
        <v>303</v>
      </c>
      <c r="AR190" s="99" t="s">
        <v>343</v>
      </c>
      <c r="AS190" s="99" t="s">
        <v>300</v>
      </c>
      <c r="AT190" s="99" t="s">
        <v>355</v>
      </c>
      <c r="AU190" s="99" t="s">
        <v>342</v>
      </c>
      <c r="AV190" s="99" t="s">
        <v>364</v>
      </c>
      <c r="AW190" s="99" t="s">
        <v>307</v>
      </c>
      <c r="AX190" s="99" t="s">
        <v>534</v>
      </c>
      <c r="AY190" s="99" t="s">
        <v>1534</v>
      </c>
    </row>
    <row r="191" spans="1:51" ht="57.6" x14ac:dyDescent="0.3">
      <c r="A191" s="98">
        <v>42158.326122685183</v>
      </c>
      <c r="B191" s="99" t="s">
        <v>1049</v>
      </c>
      <c r="C191" s="99" t="s">
        <v>799</v>
      </c>
      <c r="D191" s="99" t="s">
        <v>700</v>
      </c>
      <c r="E191" s="99" t="s">
        <v>3</v>
      </c>
      <c r="F191" s="99" t="s">
        <v>383</v>
      </c>
      <c r="G191" s="99" t="s">
        <v>435</v>
      </c>
      <c r="H191" s="99" t="s">
        <v>5</v>
      </c>
      <c r="I191" s="99" t="s">
        <v>345</v>
      </c>
      <c r="J191" s="99" t="s">
        <v>1165</v>
      </c>
      <c r="K191" s="99" t="s">
        <v>354</v>
      </c>
      <c r="L191" s="99" t="s">
        <v>450</v>
      </c>
      <c r="M191" s="99" t="s">
        <v>314</v>
      </c>
      <c r="N191" s="99"/>
      <c r="O191" s="99" t="s">
        <v>4</v>
      </c>
      <c r="P191" s="99" t="s">
        <v>4</v>
      </c>
      <c r="Q191" s="99" t="s">
        <v>1360</v>
      </c>
      <c r="R191" s="99" t="s">
        <v>313</v>
      </c>
      <c r="S191" s="99" t="s">
        <v>656</v>
      </c>
      <c r="T191" s="99" t="s">
        <v>380</v>
      </c>
      <c r="U191" s="99" t="s">
        <v>373</v>
      </c>
      <c r="V191" s="99"/>
      <c r="W191" s="99" t="s">
        <v>338</v>
      </c>
      <c r="X191" s="99" t="s">
        <v>352</v>
      </c>
      <c r="Y191" s="99" t="s">
        <v>316</v>
      </c>
      <c r="Z191" s="99" t="s">
        <v>316</v>
      </c>
      <c r="AA191" s="99" t="s">
        <v>395</v>
      </c>
      <c r="AB191" s="99" t="s">
        <v>389</v>
      </c>
      <c r="AC191" s="99" t="s">
        <v>381</v>
      </c>
      <c r="AD191" s="99" t="s">
        <v>388</v>
      </c>
      <c r="AE191" s="99" t="s">
        <v>533</v>
      </c>
      <c r="AF191" s="99" t="s">
        <v>682</v>
      </c>
      <c r="AG191" s="99" t="s">
        <v>304</v>
      </c>
      <c r="AH191" s="99" t="s">
        <v>303</v>
      </c>
      <c r="AI191" s="99" t="s">
        <v>304</v>
      </c>
      <c r="AJ191" s="99" t="s">
        <v>305</v>
      </c>
      <c r="AK191" s="99" t="s">
        <v>302</v>
      </c>
      <c r="AL191" s="99" t="s">
        <v>304</v>
      </c>
      <c r="AM191" s="99" t="s">
        <v>302</v>
      </c>
      <c r="AN191" s="99" t="s">
        <v>303</v>
      </c>
      <c r="AO191" s="99" t="s">
        <v>304</v>
      </c>
      <c r="AP191" s="99" t="s">
        <v>303</v>
      </c>
      <c r="AQ191" s="99" t="s">
        <v>303</v>
      </c>
      <c r="AR191" s="99" t="s">
        <v>391</v>
      </c>
      <c r="AS191" s="99" t="s">
        <v>350</v>
      </c>
      <c r="AT191" s="99" t="s">
        <v>360</v>
      </c>
      <c r="AU191" s="99" t="s">
        <v>320</v>
      </c>
      <c r="AV191" s="99" t="s">
        <v>392</v>
      </c>
      <c r="AW191" s="99" t="s">
        <v>324</v>
      </c>
      <c r="AX191" s="99" t="s">
        <v>375</v>
      </c>
      <c r="AY191" s="99" t="s">
        <v>356</v>
      </c>
    </row>
    <row r="192" spans="1:51" ht="144" x14ac:dyDescent="0.3">
      <c r="A192" s="98">
        <v>42158.326527777775</v>
      </c>
      <c r="B192" s="99" t="s">
        <v>1049</v>
      </c>
      <c r="C192" s="99" t="s">
        <v>799</v>
      </c>
      <c r="D192" s="99" t="s">
        <v>529</v>
      </c>
      <c r="E192" s="99" t="s">
        <v>330</v>
      </c>
      <c r="F192" s="99" t="s">
        <v>317</v>
      </c>
      <c r="G192" s="99" t="s">
        <v>894</v>
      </c>
      <c r="H192" s="99" t="s">
        <v>679</v>
      </c>
      <c r="I192" s="99" t="s">
        <v>309</v>
      </c>
      <c r="J192" s="99" t="s">
        <v>692</v>
      </c>
      <c r="K192" s="99" t="s">
        <v>328</v>
      </c>
      <c r="L192" s="99" t="s">
        <v>427</v>
      </c>
      <c r="M192" s="99" t="s">
        <v>377</v>
      </c>
      <c r="N192" s="99" t="s">
        <v>374</v>
      </c>
      <c r="O192" s="99" t="s">
        <v>4</v>
      </c>
      <c r="P192" s="99" t="s">
        <v>313</v>
      </c>
      <c r="Q192" s="99" t="s">
        <v>1424</v>
      </c>
      <c r="R192" s="99" t="s">
        <v>327</v>
      </c>
      <c r="S192" s="99" t="s">
        <v>1535</v>
      </c>
      <c r="T192" s="99" t="s">
        <v>366</v>
      </c>
      <c r="U192" s="99" t="s">
        <v>530</v>
      </c>
      <c r="V192" s="99" t="s">
        <v>681</v>
      </c>
      <c r="W192" s="99" t="s">
        <v>370</v>
      </c>
      <c r="X192" s="99" t="s">
        <v>310</v>
      </c>
      <c r="Y192" s="99" t="s">
        <v>316</v>
      </c>
      <c r="Z192" s="99" t="s">
        <v>316</v>
      </c>
      <c r="AA192" s="99" t="s">
        <v>705</v>
      </c>
      <c r="AB192" s="99" t="s">
        <v>389</v>
      </c>
      <c r="AC192" s="99" t="s">
        <v>324</v>
      </c>
      <c r="AD192" s="99" t="s">
        <v>344</v>
      </c>
      <c r="AE192" s="99" t="s">
        <v>532</v>
      </c>
      <c r="AF192" s="99" t="s">
        <v>1536</v>
      </c>
      <c r="AG192" s="99" t="s">
        <v>369</v>
      </c>
      <c r="AH192" s="99" t="s">
        <v>304</v>
      </c>
      <c r="AI192" s="99" t="s">
        <v>304</v>
      </c>
      <c r="AJ192" s="99" t="s">
        <v>304</v>
      </c>
      <c r="AK192" s="99" t="s">
        <v>304</v>
      </c>
      <c r="AL192" s="99" t="s">
        <v>304</v>
      </c>
      <c r="AM192" s="99" t="s">
        <v>304</v>
      </c>
      <c r="AN192" s="99" t="s">
        <v>304</v>
      </c>
      <c r="AO192" s="99" t="s">
        <v>304</v>
      </c>
      <c r="AP192" s="99" t="s">
        <v>304</v>
      </c>
      <c r="AQ192" s="99" t="s">
        <v>304</v>
      </c>
      <c r="AR192" s="99" t="s">
        <v>301</v>
      </c>
      <c r="AS192" s="99" t="s">
        <v>300</v>
      </c>
      <c r="AT192" s="99" t="s">
        <v>321</v>
      </c>
      <c r="AU192" s="99" t="s">
        <v>320</v>
      </c>
      <c r="AV192" s="99" t="s">
        <v>333</v>
      </c>
      <c r="AW192" s="99" t="s">
        <v>381</v>
      </c>
      <c r="AX192" s="99" t="s">
        <v>375</v>
      </c>
      <c r="AY192" s="99" t="s">
        <v>332</v>
      </c>
    </row>
    <row r="193" spans="1:51" ht="115.2" x14ac:dyDescent="0.3">
      <c r="A193" s="98">
        <v>42158.327303240738</v>
      </c>
      <c r="B193" s="99" t="s">
        <v>1049</v>
      </c>
      <c r="C193" s="99" t="s">
        <v>799</v>
      </c>
      <c r="D193" s="99" t="s">
        <v>529</v>
      </c>
      <c r="E193" s="99" t="s">
        <v>330</v>
      </c>
      <c r="F193" s="99" t="s">
        <v>317</v>
      </c>
      <c r="G193" s="99" t="s">
        <v>423</v>
      </c>
      <c r="H193" s="99" t="s">
        <v>5</v>
      </c>
      <c r="I193" s="99" t="s">
        <v>345</v>
      </c>
      <c r="J193" s="99" t="s">
        <v>1537</v>
      </c>
      <c r="K193" s="99" t="s">
        <v>354</v>
      </c>
      <c r="L193" s="99" t="s">
        <v>450</v>
      </c>
      <c r="M193" s="99" t="s">
        <v>377</v>
      </c>
      <c r="N193" s="99" t="s">
        <v>4</v>
      </c>
      <c r="O193" s="99" t="s">
        <v>4</v>
      </c>
      <c r="P193" s="99" t="s">
        <v>313</v>
      </c>
      <c r="Q193" s="99" t="s">
        <v>396</v>
      </c>
      <c r="R193" s="99" t="s">
        <v>327</v>
      </c>
      <c r="S193" s="99" t="s">
        <v>1515</v>
      </c>
      <c r="T193" s="99" t="s">
        <v>366</v>
      </c>
      <c r="U193" s="99" t="s">
        <v>373</v>
      </c>
      <c r="V193" s="99" t="s">
        <v>371</v>
      </c>
      <c r="W193" s="99" t="s">
        <v>370</v>
      </c>
      <c r="X193" s="99" t="s">
        <v>310</v>
      </c>
      <c r="Y193" s="99" t="s">
        <v>316</v>
      </c>
      <c r="Z193" s="99" t="s">
        <v>316</v>
      </c>
      <c r="AA193" s="99" t="s">
        <v>395</v>
      </c>
      <c r="AB193" s="99" t="s">
        <v>389</v>
      </c>
      <c r="AC193" s="99" t="s">
        <v>351</v>
      </c>
      <c r="AD193" s="99" t="s">
        <v>388</v>
      </c>
      <c r="AE193" s="99" t="s">
        <v>532</v>
      </c>
      <c r="AF193" s="99" t="s">
        <v>1239</v>
      </c>
      <c r="AG193" s="99" t="s">
        <v>304</v>
      </c>
      <c r="AH193" s="99" t="s">
        <v>304</v>
      </c>
      <c r="AI193" s="99" t="s">
        <v>304</v>
      </c>
      <c r="AJ193" s="99" t="s">
        <v>304</v>
      </c>
      <c r="AK193" s="99" t="s">
        <v>304</v>
      </c>
      <c r="AL193" s="99" t="s">
        <v>304</v>
      </c>
      <c r="AM193" s="99" t="s">
        <v>304</v>
      </c>
      <c r="AN193" s="99" t="s">
        <v>304</v>
      </c>
      <c r="AO193" s="99" t="s">
        <v>304</v>
      </c>
      <c r="AP193" s="99" t="s">
        <v>304</v>
      </c>
      <c r="AQ193" s="99" t="s">
        <v>304</v>
      </c>
      <c r="AR193" s="99" t="s">
        <v>391</v>
      </c>
      <c r="AS193" s="99" t="s">
        <v>350</v>
      </c>
      <c r="AT193" s="99" t="s">
        <v>334</v>
      </c>
      <c r="AU193" s="99" t="s">
        <v>320</v>
      </c>
      <c r="AV193" s="99" t="s">
        <v>333</v>
      </c>
      <c r="AW193" s="99" t="s">
        <v>307</v>
      </c>
      <c r="AX193" s="99" t="s">
        <v>375</v>
      </c>
      <c r="AY193" s="99" t="s">
        <v>491</v>
      </c>
    </row>
    <row r="194" spans="1:51" ht="86.4" x14ac:dyDescent="0.3">
      <c r="A194" s="98">
        <v>42158.327407407407</v>
      </c>
      <c r="B194" s="99" t="s">
        <v>1049</v>
      </c>
      <c r="C194" s="99" t="s">
        <v>799</v>
      </c>
      <c r="D194" s="99" t="s">
        <v>529</v>
      </c>
      <c r="E194" s="99" t="s">
        <v>3</v>
      </c>
      <c r="F194" s="99" t="s">
        <v>317</v>
      </c>
      <c r="G194" s="99" t="s">
        <v>446</v>
      </c>
      <c r="H194" s="99" t="s">
        <v>5</v>
      </c>
      <c r="I194" s="99" t="s">
        <v>309</v>
      </c>
      <c r="J194" s="99" t="s">
        <v>1126</v>
      </c>
      <c r="K194" s="99" t="s">
        <v>315</v>
      </c>
      <c r="L194" s="99" t="s">
        <v>406</v>
      </c>
      <c r="M194" s="99" t="s">
        <v>353</v>
      </c>
      <c r="N194" s="99" t="s">
        <v>327</v>
      </c>
      <c r="O194" s="99" t="s">
        <v>313</v>
      </c>
      <c r="P194" s="99" t="s">
        <v>327</v>
      </c>
      <c r="Q194" s="99" t="s">
        <v>429</v>
      </c>
      <c r="R194" s="99" t="s">
        <v>327</v>
      </c>
      <c r="S194" s="99" t="s">
        <v>1515</v>
      </c>
      <c r="T194" s="99"/>
      <c r="U194" s="99" t="s">
        <v>530</v>
      </c>
      <c r="V194" s="99" t="s">
        <v>339</v>
      </c>
      <c r="W194" s="99" t="s">
        <v>338</v>
      </c>
      <c r="X194" s="99"/>
      <c r="Y194" s="99" t="s">
        <v>316</v>
      </c>
      <c r="Z194" s="99" t="s">
        <v>316</v>
      </c>
      <c r="AA194" s="99" t="s">
        <v>666</v>
      </c>
      <c r="AB194" s="99" t="s">
        <v>336</v>
      </c>
      <c r="AC194" s="99" t="s">
        <v>351</v>
      </c>
      <c r="AD194" s="99" t="s">
        <v>462</v>
      </c>
      <c r="AE194" s="99" t="s">
        <v>533</v>
      </c>
      <c r="AF194" s="99" t="s">
        <v>443</v>
      </c>
      <c r="AG194" s="99" t="s">
        <v>306</v>
      </c>
      <c r="AH194" s="99" t="s">
        <v>303</v>
      </c>
      <c r="AI194" s="99" t="s">
        <v>303</v>
      </c>
      <c r="AJ194" s="99" t="s">
        <v>302</v>
      </c>
      <c r="AK194" s="99" t="s">
        <v>303</v>
      </c>
      <c r="AL194" s="99" t="s">
        <v>303</v>
      </c>
      <c r="AM194" s="99" t="s">
        <v>302</v>
      </c>
      <c r="AN194" s="99" t="s">
        <v>303</v>
      </c>
      <c r="AO194" s="99" t="s">
        <v>302</v>
      </c>
      <c r="AP194" s="99" t="s">
        <v>303</v>
      </c>
      <c r="AQ194" s="99" t="s">
        <v>302</v>
      </c>
      <c r="AR194" s="99" t="s">
        <v>301</v>
      </c>
      <c r="AS194" s="99" t="s">
        <v>350</v>
      </c>
      <c r="AT194" s="99"/>
      <c r="AU194" s="99" t="s">
        <v>320</v>
      </c>
      <c r="AV194" s="99" t="s">
        <v>536</v>
      </c>
      <c r="AW194" s="99" t="s">
        <v>296</v>
      </c>
      <c r="AX194" s="99" t="s">
        <v>534</v>
      </c>
      <c r="AY194" s="99" t="s">
        <v>837</v>
      </c>
    </row>
    <row r="195" spans="1:51" ht="259.2" x14ac:dyDescent="0.3">
      <c r="A195" s="98">
        <v>42158.327928240738</v>
      </c>
      <c r="B195" s="99" t="s">
        <v>1049</v>
      </c>
      <c r="C195" s="99" t="s">
        <v>799</v>
      </c>
      <c r="D195" s="99" t="s">
        <v>529</v>
      </c>
      <c r="E195" s="99" t="s">
        <v>3</v>
      </c>
      <c r="F195" s="99" t="s">
        <v>317</v>
      </c>
      <c r="G195" s="99" t="s">
        <v>407</v>
      </c>
      <c r="H195" s="99" t="s">
        <v>5</v>
      </c>
      <c r="I195" s="99" t="s">
        <v>309</v>
      </c>
      <c r="J195" s="99" t="s">
        <v>1538</v>
      </c>
      <c r="K195" s="99" t="s">
        <v>328</v>
      </c>
      <c r="L195" s="99" t="s">
        <v>411</v>
      </c>
      <c r="M195" s="99" t="s">
        <v>353</v>
      </c>
      <c r="N195" s="99" t="s">
        <v>327</v>
      </c>
      <c r="O195" s="99" t="s">
        <v>4</v>
      </c>
      <c r="P195" s="99" t="s">
        <v>327</v>
      </c>
      <c r="Q195" s="99" t="s">
        <v>421</v>
      </c>
      <c r="R195" s="99" t="s">
        <v>327</v>
      </c>
      <c r="S195" s="99" t="s">
        <v>687</v>
      </c>
      <c r="T195" s="99" t="s">
        <v>326</v>
      </c>
      <c r="U195" s="99" t="s">
        <v>311</v>
      </c>
      <c r="V195" s="99" t="s">
        <v>1081</v>
      </c>
      <c r="W195" s="99" t="s">
        <v>370</v>
      </c>
      <c r="X195" s="99" t="s">
        <v>310</v>
      </c>
      <c r="Y195" s="99" t="s">
        <v>316</v>
      </c>
      <c r="Z195" s="99" t="s">
        <v>316</v>
      </c>
      <c r="AA195" s="99" t="s">
        <v>459</v>
      </c>
      <c r="AB195" s="99" t="s">
        <v>358</v>
      </c>
      <c r="AC195" s="99" t="s">
        <v>307</v>
      </c>
      <c r="AD195" s="99" t="s">
        <v>923</v>
      </c>
      <c r="AE195" s="99" t="s">
        <v>535</v>
      </c>
      <c r="AF195" s="99" t="s">
        <v>835</v>
      </c>
      <c r="AG195" s="99" t="s">
        <v>306</v>
      </c>
      <c r="AH195" s="99" t="s">
        <v>303</v>
      </c>
      <c r="AI195" s="99" t="s">
        <v>303</v>
      </c>
      <c r="AJ195" s="99" t="s">
        <v>302</v>
      </c>
      <c r="AK195" s="99" t="s">
        <v>304</v>
      </c>
      <c r="AL195" s="99" t="s">
        <v>302</v>
      </c>
      <c r="AM195" s="99" t="s">
        <v>302</v>
      </c>
      <c r="AN195" s="99" t="s">
        <v>302</v>
      </c>
      <c r="AO195" s="99" t="s">
        <v>302</v>
      </c>
      <c r="AP195" s="99" t="s">
        <v>302</v>
      </c>
      <c r="AQ195" s="99" t="s">
        <v>303</v>
      </c>
      <c r="AR195" s="99" t="s">
        <v>391</v>
      </c>
      <c r="AS195" s="99" t="s">
        <v>300</v>
      </c>
      <c r="AT195" s="99" t="s">
        <v>321</v>
      </c>
      <c r="AU195" s="99" t="s">
        <v>342</v>
      </c>
      <c r="AV195" s="99" t="s">
        <v>547</v>
      </c>
      <c r="AW195" s="99" t="s">
        <v>296</v>
      </c>
      <c r="AX195" s="99" t="s">
        <v>341</v>
      </c>
      <c r="AY195" s="99" t="s">
        <v>499</v>
      </c>
    </row>
    <row r="196" spans="1:51" ht="86.4" x14ac:dyDescent="0.3">
      <c r="A196" s="98">
        <v>42158.3284375</v>
      </c>
      <c r="B196" s="99" t="s">
        <v>1049</v>
      </c>
      <c r="C196" s="99" t="s">
        <v>799</v>
      </c>
      <c r="D196" s="99" t="s">
        <v>700</v>
      </c>
      <c r="E196" s="99" t="s">
        <v>3</v>
      </c>
      <c r="F196" s="99" t="s">
        <v>317</v>
      </c>
      <c r="G196" s="99" t="s">
        <v>407</v>
      </c>
      <c r="H196" s="99" t="s">
        <v>5</v>
      </c>
      <c r="I196" s="99" t="s">
        <v>309</v>
      </c>
      <c r="J196" s="99" t="s">
        <v>1539</v>
      </c>
      <c r="K196" s="99" t="s">
        <v>359</v>
      </c>
      <c r="L196" s="99" t="s">
        <v>450</v>
      </c>
      <c r="M196" s="99" t="s">
        <v>348</v>
      </c>
      <c r="N196" s="99" t="s">
        <v>327</v>
      </c>
      <c r="O196" s="99" t="s">
        <v>327</v>
      </c>
      <c r="P196" s="99" t="s">
        <v>313</v>
      </c>
      <c r="Q196" s="99" t="s">
        <v>1445</v>
      </c>
      <c r="R196" s="99" t="s">
        <v>4</v>
      </c>
      <c r="S196" s="99" t="s">
        <v>1224</v>
      </c>
      <c r="T196" s="99" t="s">
        <v>326</v>
      </c>
      <c r="U196" s="99" t="s">
        <v>373</v>
      </c>
      <c r="V196" s="99"/>
      <c r="W196" s="99" t="s">
        <v>370</v>
      </c>
      <c r="X196" s="99" t="s">
        <v>352</v>
      </c>
      <c r="Y196" s="99" t="s">
        <v>316</v>
      </c>
      <c r="Z196" s="99" t="s">
        <v>316</v>
      </c>
      <c r="AA196" s="99" t="s">
        <v>968</v>
      </c>
      <c r="AB196" s="99" t="s">
        <v>308</v>
      </c>
      <c r="AC196" s="99" t="s">
        <v>307</v>
      </c>
      <c r="AD196" s="99" t="s">
        <v>414</v>
      </c>
      <c r="AE196" s="99" t="s">
        <v>533</v>
      </c>
      <c r="AF196" s="99" t="s">
        <v>403</v>
      </c>
      <c r="AG196" s="99" t="s">
        <v>400</v>
      </c>
      <c r="AH196" s="99" t="s">
        <v>305</v>
      </c>
      <c r="AI196" s="99" t="s">
        <v>303</v>
      </c>
      <c r="AJ196" s="99" t="s">
        <v>302</v>
      </c>
      <c r="AK196" s="99" t="s">
        <v>303</v>
      </c>
      <c r="AL196" s="99" t="s">
        <v>303</v>
      </c>
      <c r="AM196" s="99" t="s">
        <v>303</v>
      </c>
      <c r="AN196" s="99" t="s">
        <v>303</v>
      </c>
      <c r="AO196" s="99" t="s">
        <v>303</v>
      </c>
      <c r="AP196" s="99" t="s">
        <v>303</v>
      </c>
      <c r="AQ196" s="99" t="s">
        <v>303</v>
      </c>
      <c r="AR196" s="99" t="s">
        <v>391</v>
      </c>
      <c r="AS196" s="99" t="s">
        <v>335</v>
      </c>
      <c r="AT196" s="99" t="s">
        <v>360</v>
      </c>
      <c r="AU196" s="99" t="s">
        <v>342</v>
      </c>
      <c r="AV196" s="99" t="s">
        <v>333</v>
      </c>
      <c r="AW196" s="99" t="s">
        <v>307</v>
      </c>
      <c r="AX196" s="99" t="s">
        <v>341</v>
      </c>
      <c r="AY196" s="99" t="s">
        <v>418</v>
      </c>
    </row>
    <row r="197" spans="1:51" ht="144" x14ac:dyDescent="0.3">
      <c r="A197" s="98">
        <v>42158.328449074077</v>
      </c>
      <c r="B197" s="99" t="s">
        <v>1049</v>
      </c>
      <c r="C197" s="99" t="s">
        <v>799</v>
      </c>
      <c r="D197" s="99" t="s">
        <v>331</v>
      </c>
      <c r="E197" s="99" t="s">
        <v>3</v>
      </c>
      <c r="F197" s="99" t="s">
        <v>317</v>
      </c>
      <c r="G197" s="99" t="s">
        <v>423</v>
      </c>
      <c r="H197" s="99" t="s">
        <v>5</v>
      </c>
      <c r="I197" s="99" t="s">
        <v>345</v>
      </c>
      <c r="J197" s="99" t="s">
        <v>1165</v>
      </c>
      <c r="K197" s="99" t="s">
        <v>354</v>
      </c>
      <c r="L197" s="99" t="s">
        <v>406</v>
      </c>
      <c r="M197" s="99" t="s">
        <v>651</v>
      </c>
      <c r="N197" s="99" t="s">
        <v>4</v>
      </c>
      <c r="O197" s="99" t="s">
        <v>313</v>
      </c>
      <c r="P197" s="99" t="s">
        <v>313</v>
      </c>
      <c r="Q197" s="99" t="s">
        <v>421</v>
      </c>
      <c r="R197" s="99" t="s">
        <v>4</v>
      </c>
      <c r="S197" s="99" t="s">
        <v>1514</v>
      </c>
      <c r="T197" s="99" t="s">
        <v>312</v>
      </c>
      <c r="U197" s="99" t="s">
        <v>530</v>
      </c>
      <c r="V197" s="99"/>
      <c r="W197" s="99" t="s">
        <v>370</v>
      </c>
      <c r="X197" s="99" t="s">
        <v>346</v>
      </c>
      <c r="Y197" s="99" t="s">
        <v>316</v>
      </c>
      <c r="Z197" s="99" t="s">
        <v>316</v>
      </c>
      <c r="AA197" s="99" t="s">
        <v>432</v>
      </c>
      <c r="AB197" s="99" t="s">
        <v>336</v>
      </c>
      <c r="AC197" s="99" t="s">
        <v>351</v>
      </c>
      <c r="AD197" s="99" t="s">
        <v>414</v>
      </c>
      <c r="AE197" s="99" t="s">
        <v>533</v>
      </c>
      <c r="AF197" s="99" t="s">
        <v>730</v>
      </c>
      <c r="AG197" s="99" t="s">
        <v>306</v>
      </c>
      <c r="AH197" s="99" t="s">
        <v>304</v>
      </c>
      <c r="AI197" s="99" t="s">
        <v>304</v>
      </c>
      <c r="AJ197" s="99" t="s">
        <v>303</v>
      </c>
      <c r="AK197" s="99" t="s">
        <v>303</v>
      </c>
      <c r="AL197" s="99" t="s">
        <v>303</v>
      </c>
      <c r="AM197" s="99" t="s">
        <v>303</v>
      </c>
      <c r="AN197" s="99" t="s">
        <v>303</v>
      </c>
      <c r="AO197" s="99" t="s">
        <v>303</v>
      </c>
      <c r="AP197" s="99" t="s">
        <v>303</v>
      </c>
      <c r="AQ197" s="99" t="s">
        <v>302</v>
      </c>
      <c r="AR197" s="99" t="s">
        <v>365</v>
      </c>
      <c r="AS197" s="99" t="s">
        <v>350</v>
      </c>
      <c r="AT197" s="99" t="s">
        <v>360</v>
      </c>
      <c r="AU197" s="99" t="s">
        <v>342</v>
      </c>
      <c r="AV197" s="99" t="s">
        <v>536</v>
      </c>
      <c r="AW197" s="99" t="s">
        <v>307</v>
      </c>
      <c r="AX197" s="99" t="s">
        <v>534</v>
      </c>
      <c r="AY197" s="99" t="s">
        <v>1075</v>
      </c>
    </row>
    <row r="198" spans="1:51" ht="172.8" x14ac:dyDescent="0.3">
      <c r="A198" s="98">
        <v>42158.329259259262</v>
      </c>
      <c r="B198" s="99" t="s">
        <v>1049</v>
      </c>
      <c r="C198" s="99" t="s">
        <v>799</v>
      </c>
      <c r="D198" s="99" t="s">
        <v>560</v>
      </c>
      <c r="E198" s="99" t="s">
        <v>330</v>
      </c>
      <c r="F198" s="99" t="s">
        <v>317</v>
      </c>
      <c r="G198" s="99" t="s">
        <v>407</v>
      </c>
      <c r="H198" s="99" t="s">
        <v>5</v>
      </c>
      <c r="I198" s="99" t="s">
        <v>309</v>
      </c>
      <c r="J198" s="99" t="s">
        <v>1148</v>
      </c>
      <c r="K198" s="99" t="s">
        <v>328</v>
      </c>
      <c r="L198" s="99" t="s">
        <v>406</v>
      </c>
      <c r="M198" s="99" t="s">
        <v>363</v>
      </c>
      <c r="N198" s="99" t="s">
        <v>313</v>
      </c>
      <c r="O198" s="99" t="s">
        <v>4</v>
      </c>
      <c r="P198" s="99" t="s">
        <v>327</v>
      </c>
      <c r="Q198" s="99" t="s">
        <v>1540</v>
      </c>
      <c r="R198" s="99" t="s">
        <v>313</v>
      </c>
      <c r="S198" s="99" t="s">
        <v>576</v>
      </c>
      <c r="T198" s="99" t="s">
        <v>326</v>
      </c>
      <c r="U198" s="99" t="s">
        <v>373</v>
      </c>
      <c r="V198" s="99" t="s">
        <v>909</v>
      </c>
      <c r="W198" s="99" t="s">
        <v>338</v>
      </c>
      <c r="X198" s="99" t="s">
        <v>352</v>
      </c>
      <c r="Y198" s="99" t="s">
        <v>316</v>
      </c>
      <c r="Z198" s="99" t="s">
        <v>316</v>
      </c>
      <c r="AA198" s="99" t="s">
        <v>464</v>
      </c>
      <c r="AB198" s="99" t="s">
        <v>308</v>
      </c>
      <c r="AC198" s="99" t="s">
        <v>324</v>
      </c>
      <c r="AD198" s="99" t="s">
        <v>986</v>
      </c>
      <c r="AE198" s="99" t="s">
        <v>535</v>
      </c>
      <c r="AF198" s="99" t="s">
        <v>1541</v>
      </c>
      <c r="AG198" s="99" t="s">
        <v>369</v>
      </c>
      <c r="AH198" s="99" t="s">
        <v>304</v>
      </c>
      <c r="AI198" s="99" t="s">
        <v>304</v>
      </c>
      <c r="AJ198" s="99" t="s">
        <v>303</v>
      </c>
      <c r="AK198" s="99" t="s">
        <v>305</v>
      </c>
      <c r="AL198" s="99" t="s">
        <v>303</v>
      </c>
      <c r="AM198" s="99" t="s">
        <v>302</v>
      </c>
      <c r="AN198" s="99" t="s">
        <v>304</v>
      </c>
      <c r="AO198" s="99" t="s">
        <v>305</v>
      </c>
      <c r="AP198" s="99" t="s">
        <v>303</v>
      </c>
      <c r="AQ198" s="99" t="s">
        <v>304</v>
      </c>
      <c r="AR198" s="99" t="s">
        <v>322</v>
      </c>
      <c r="AS198" s="99" t="s">
        <v>350</v>
      </c>
      <c r="AT198" s="99" t="s">
        <v>321</v>
      </c>
      <c r="AU198" s="99" t="s">
        <v>298</v>
      </c>
      <c r="AV198" s="99" t="s">
        <v>536</v>
      </c>
      <c r="AW198" s="99" t="s">
        <v>324</v>
      </c>
      <c r="AX198" s="99" t="s">
        <v>341</v>
      </c>
      <c r="AY198" s="99" t="s">
        <v>1149</v>
      </c>
    </row>
    <row r="199" spans="1:51" ht="158.4" x14ac:dyDescent="0.3">
      <c r="A199" s="98">
        <v>42158.332337962966</v>
      </c>
      <c r="B199" s="99" t="s">
        <v>1049</v>
      </c>
      <c r="C199" s="99" t="s">
        <v>799</v>
      </c>
      <c r="D199" s="99" t="s">
        <v>529</v>
      </c>
      <c r="E199" s="99" t="s">
        <v>3</v>
      </c>
      <c r="F199" s="99" t="s">
        <v>317</v>
      </c>
      <c r="G199" s="99" t="s">
        <v>407</v>
      </c>
      <c r="H199" s="99" t="s">
        <v>5</v>
      </c>
      <c r="I199" s="99" t="s">
        <v>309</v>
      </c>
      <c r="J199" s="99" t="s">
        <v>1542</v>
      </c>
      <c r="K199" s="99" t="s">
        <v>368</v>
      </c>
      <c r="L199" s="99" t="s">
        <v>450</v>
      </c>
      <c r="M199" s="99" t="s">
        <v>314</v>
      </c>
      <c r="N199" s="99" t="s">
        <v>327</v>
      </c>
      <c r="O199" s="99" t="s">
        <v>313</v>
      </c>
      <c r="P199" s="99" t="s">
        <v>327</v>
      </c>
      <c r="Q199" s="99" t="s">
        <v>1543</v>
      </c>
      <c r="R199" s="99" t="s">
        <v>327</v>
      </c>
      <c r="S199" s="99" t="s">
        <v>1544</v>
      </c>
      <c r="T199" s="99" t="s">
        <v>366</v>
      </c>
      <c r="U199" s="99" t="s">
        <v>530</v>
      </c>
      <c r="V199" s="99" t="s">
        <v>386</v>
      </c>
      <c r="W199" s="99" t="s">
        <v>338</v>
      </c>
      <c r="X199" s="99" t="s">
        <v>346</v>
      </c>
      <c r="Y199" s="99" t="s">
        <v>316</v>
      </c>
      <c r="Z199" s="99" t="s">
        <v>316</v>
      </c>
      <c r="AA199" s="99" t="s">
        <v>531</v>
      </c>
      <c r="AB199" s="99" t="s">
        <v>308</v>
      </c>
      <c r="AC199" s="99" t="s">
        <v>296</v>
      </c>
      <c r="AD199" s="99" t="s">
        <v>414</v>
      </c>
      <c r="AE199" s="99" t="s">
        <v>539</v>
      </c>
      <c r="AF199" s="99" t="s">
        <v>1545</v>
      </c>
      <c r="AG199" s="99" t="s">
        <v>306</v>
      </c>
      <c r="AH199" s="99" t="s">
        <v>303</v>
      </c>
      <c r="AI199" s="99" t="s">
        <v>303</v>
      </c>
      <c r="AJ199" s="99" t="s">
        <v>302</v>
      </c>
      <c r="AK199" s="99" t="s">
        <v>302</v>
      </c>
      <c r="AL199" s="99" t="s">
        <v>302</v>
      </c>
      <c r="AM199" s="99" t="s">
        <v>302</v>
      </c>
      <c r="AN199" s="99" t="s">
        <v>302</v>
      </c>
      <c r="AO199" s="99" t="s">
        <v>302</v>
      </c>
      <c r="AP199" s="99" t="s">
        <v>303</v>
      </c>
      <c r="AQ199" s="99" t="s">
        <v>304</v>
      </c>
      <c r="AR199" s="99" t="s">
        <v>301</v>
      </c>
      <c r="AS199" s="99" t="s">
        <v>540</v>
      </c>
      <c r="AT199" s="99" t="s">
        <v>355</v>
      </c>
      <c r="AU199" s="99" t="s">
        <v>320</v>
      </c>
      <c r="AV199" s="99" t="s">
        <v>364</v>
      </c>
      <c r="AW199" s="99" t="s">
        <v>307</v>
      </c>
      <c r="AX199" s="99" t="s">
        <v>319</v>
      </c>
      <c r="AY199" s="99" t="s">
        <v>684</v>
      </c>
    </row>
    <row r="200" spans="1:51" ht="216" x14ac:dyDescent="0.3">
      <c r="A200" s="98">
        <v>42158.332337962966</v>
      </c>
      <c r="B200" s="99" t="s">
        <v>1049</v>
      </c>
      <c r="C200" s="99" t="s">
        <v>799</v>
      </c>
      <c r="D200" s="99" t="s">
        <v>529</v>
      </c>
      <c r="E200" s="99" t="s">
        <v>3</v>
      </c>
      <c r="F200" s="99" t="s">
        <v>317</v>
      </c>
      <c r="G200" s="99" t="s">
        <v>446</v>
      </c>
      <c r="H200" s="99" t="s">
        <v>5</v>
      </c>
      <c r="I200" s="99" t="s">
        <v>309</v>
      </c>
      <c r="J200" s="99" t="s">
        <v>1546</v>
      </c>
      <c r="K200" s="99" t="s">
        <v>354</v>
      </c>
      <c r="L200" s="99" t="s">
        <v>406</v>
      </c>
      <c r="M200" s="99" t="s">
        <v>353</v>
      </c>
      <c r="N200" s="99" t="s">
        <v>4</v>
      </c>
      <c r="O200" s="99" t="s">
        <v>4</v>
      </c>
      <c r="P200" s="99" t="s">
        <v>4</v>
      </c>
      <c r="Q200" s="99" t="s">
        <v>670</v>
      </c>
      <c r="R200" s="99" t="s">
        <v>327</v>
      </c>
      <c r="S200" s="99" t="s">
        <v>1187</v>
      </c>
      <c r="T200" s="99" t="s">
        <v>366</v>
      </c>
      <c r="U200" s="99" t="s">
        <v>311</v>
      </c>
      <c r="V200" s="99" t="s">
        <v>925</v>
      </c>
      <c r="W200" s="99" t="s">
        <v>419</v>
      </c>
      <c r="X200" s="99" t="s">
        <v>310</v>
      </c>
      <c r="Y200" s="99" t="s">
        <v>316</v>
      </c>
      <c r="Z200" s="99" t="s">
        <v>316</v>
      </c>
      <c r="AA200" s="99" t="s">
        <v>424</v>
      </c>
      <c r="AB200" s="99" t="s">
        <v>308</v>
      </c>
      <c r="AC200" s="99" t="s">
        <v>307</v>
      </c>
      <c r="AD200" s="99" t="s">
        <v>1003</v>
      </c>
      <c r="AE200" s="99" t="s">
        <v>533</v>
      </c>
      <c r="AF200" s="99" t="s">
        <v>1021</v>
      </c>
      <c r="AG200" s="99" t="s">
        <v>323</v>
      </c>
      <c r="AH200" s="99" t="s">
        <v>303</v>
      </c>
      <c r="AI200" s="99" t="s">
        <v>303</v>
      </c>
      <c r="AJ200" s="99" t="s">
        <v>303</v>
      </c>
      <c r="AK200" s="99" t="s">
        <v>303</v>
      </c>
      <c r="AL200" s="99" t="s">
        <v>304</v>
      </c>
      <c r="AM200" s="99" t="s">
        <v>302</v>
      </c>
      <c r="AN200" s="99" t="s">
        <v>302</v>
      </c>
      <c r="AO200" s="99" t="s">
        <v>302</v>
      </c>
      <c r="AP200" s="99" t="s">
        <v>303</v>
      </c>
      <c r="AQ200" s="99" t="s">
        <v>303</v>
      </c>
      <c r="AR200" s="99" t="s">
        <v>391</v>
      </c>
      <c r="AS200" s="99" t="s">
        <v>350</v>
      </c>
      <c r="AT200" s="99" t="s">
        <v>360</v>
      </c>
      <c r="AU200" s="99" t="s">
        <v>342</v>
      </c>
      <c r="AV200" s="99" t="s">
        <v>392</v>
      </c>
      <c r="AW200" s="99" t="s">
        <v>307</v>
      </c>
      <c r="AX200" s="99" t="s">
        <v>319</v>
      </c>
      <c r="AY200" s="99" t="s">
        <v>449</v>
      </c>
    </row>
    <row r="201" spans="1:51" ht="172.8" x14ac:dyDescent="0.3">
      <c r="A201" s="98">
        <v>42158.332974537036</v>
      </c>
      <c r="B201" s="99" t="s">
        <v>1049</v>
      </c>
      <c r="C201" s="99" t="s">
        <v>799</v>
      </c>
      <c r="D201" s="99" t="s">
        <v>529</v>
      </c>
      <c r="E201" s="99" t="s">
        <v>330</v>
      </c>
      <c r="F201" s="99" t="s">
        <v>317</v>
      </c>
      <c r="G201" s="99" t="s">
        <v>1076</v>
      </c>
      <c r="H201" s="99" t="s">
        <v>5</v>
      </c>
      <c r="I201" s="99" t="s">
        <v>345</v>
      </c>
      <c r="J201" s="99" t="s">
        <v>1351</v>
      </c>
      <c r="K201" s="99" t="s">
        <v>328</v>
      </c>
      <c r="L201" s="99" t="s">
        <v>406</v>
      </c>
      <c r="M201" s="99" t="s">
        <v>367</v>
      </c>
      <c r="N201" s="99" t="s">
        <v>313</v>
      </c>
      <c r="O201" s="99" t="s">
        <v>313</v>
      </c>
      <c r="P201" s="99" t="s">
        <v>4</v>
      </c>
      <c r="Q201" s="99" t="s">
        <v>1261</v>
      </c>
      <c r="R201" s="99" t="s">
        <v>327</v>
      </c>
      <c r="S201" s="99" t="s">
        <v>1547</v>
      </c>
      <c r="T201" s="99" t="s">
        <v>326</v>
      </c>
      <c r="U201" s="99" t="s">
        <v>311</v>
      </c>
      <c r="V201" s="99" t="s">
        <v>809</v>
      </c>
      <c r="W201" s="99" t="s">
        <v>1278</v>
      </c>
      <c r="X201" s="99" t="s">
        <v>310</v>
      </c>
      <c r="Y201" s="99" t="s">
        <v>309</v>
      </c>
      <c r="Z201" s="99" t="s">
        <v>316</v>
      </c>
      <c r="AA201" s="99" t="s">
        <v>1025</v>
      </c>
      <c r="AB201" s="99" t="s">
        <v>376</v>
      </c>
      <c r="AC201" s="99" t="s">
        <v>296</v>
      </c>
      <c r="AD201" s="99" t="s">
        <v>1079</v>
      </c>
      <c r="AE201" s="99" t="s">
        <v>532</v>
      </c>
      <c r="AF201" s="99" t="s">
        <v>977</v>
      </c>
      <c r="AG201" s="99" t="s">
        <v>306</v>
      </c>
      <c r="AH201" s="99" t="s">
        <v>302</v>
      </c>
      <c r="AI201" s="99" t="s">
        <v>302</v>
      </c>
      <c r="AJ201" s="99" t="s">
        <v>303</v>
      </c>
      <c r="AK201" s="99" t="s">
        <v>303</v>
      </c>
      <c r="AL201" s="99"/>
      <c r="AM201" s="99" t="s">
        <v>302</v>
      </c>
      <c r="AN201" s="99" t="s">
        <v>302</v>
      </c>
      <c r="AO201" s="99" t="s">
        <v>304</v>
      </c>
      <c r="AP201" s="99" t="s">
        <v>303</v>
      </c>
      <c r="AQ201" s="99" t="s">
        <v>303</v>
      </c>
      <c r="AR201" s="99" t="s">
        <v>322</v>
      </c>
      <c r="AS201" s="99" t="s">
        <v>300</v>
      </c>
      <c r="AT201" s="99" t="s">
        <v>355</v>
      </c>
      <c r="AU201" s="99" t="s">
        <v>342</v>
      </c>
      <c r="AV201" s="99" t="s">
        <v>297</v>
      </c>
      <c r="AW201" s="99" t="s">
        <v>324</v>
      </c>
      <c r="AX201" s="99" t="s">
        <v>341</v>
      </c>
      <c r="AY201" s="99" t="s">
        <v>1030</v>
      </c>
    </row>
    <row r="202" spans="1:51" ht="100.8" x14ac:dyDescent="0.3">
      <c r="A202" s="98">
        <v>42158.333657407406</v>
      </c>
      <c r="B202" s="99" t="s">
        <v>1049</v>
      </c>
      <c r="C202" s="99" t="s">
        <v>799</v>
      </c>
      <c r="D202" s="99" t="s">
        <v>700</v>
      </c>
      <c r="E202" s="99" t="s">
        <v>330</v>
      </c>
      <c r="F202" s="99" t="s">
        <v>317</v>
      </c>
      <c r="G202" s="99" t="s">
        <v>493</v>
      </c>
      <c r="H202" s="99" t="s">
        <v>5</v>
      </c>
      <c r="I202" s="99" t="s">
        <v>345</v>
      </c>
      <c r="J202" s="99" t="s">
        <v>970</v>
      </c>
      <c r="K202" s="99" t="s">
        <v>328</v>
      </c>
      <c r="L202" s="99" t="s">
        <v>450</v>
      </c>
      <c r="M202" s="99" t="s">
        <v>348</v>
      </c>
      <c r="N202" s="99" t="s">
        <v>313</v>
      </c>
      <c r="O202" s="99" t="s">
        <v>4</v>
      </c>
      <c r="P202" s="99" t="s">
        <v>313</v>
      </c>
      <c r="Q202" s="99" t="s">
        <v>421</v>
      </c>
      <c r="R202" s="99" t="s">
        <v>4</v>
      </c>
      <c r="S202" s="99" t="s">
        <v>394</v>
      </c>
      <c r="T202" s="99" t="s">
        <v>312</v>
      </c>
      <c r="U202" s="99" t="s">
        <v>530</v>
      </c>
      <c r="V202" s="99" t="s">
        <v>428</v>
      </c>
      <c r="W202" s="99" t="s">
        <v>325</v>
      </c>
      <c r="X202" s="99" t="s">
        <v>346</v>
      </c>
      <c r="Y202" s="99" t="s">
        <v>316</v>
      </c>
      <c r="Z202" s="99" t="s">
        <v>316</v>
      </c>
      <c r="AA202" s="99" t="s">
        <v>442</v>
      </c>
      <c r="AB202" s="99" t="s">
        <v>358</v>
      </c>
      <c r="AC202" s="99" t="s">
        <v>307</v>
      </c>
      <c r="AD202" s="99" t="s">
        <v>1006</v>
      </c>
      <c r="AE202" s="99" t="s">
        <v>535</v>
      </c>
      <c r="AF202" s="99" t="s">
        <v>578</v>
      </c>
      <c r="AG202" s="99" t="s">
        <v>323</v>
      </c>
      <c r="AH202" s="99" t="s">
        <v>304</v>
      </c>
      <c r="AI202" s="99" t="s">
        <v>304</v>
      </c>
      <c r="AJ202" s="99" t="s">
        <v>303</v>
      </c>
      <c r="AK202" s="99" t="s">
        <v>303</v>
      </c>
      <c r="AL202" s="99" t="s">
        <v>303</v>
      </c>
      <c r="AM202" s="99" t="s">
        <v>303</v>
      </c>
      <c r="AN202" s="99" t="s">
        <v>303</v>
      </c>
      <c r="AO202" s="99" t="s">
        <v>302</v>
      </c>
      <c r="AP202" s="99" t="s">
        <v>303</v>
      </c>
      <c r="AQ202" s="99" t="s">
        <v>303</v>
      </c>
      <c r="AR202" s="99" t="s">
        <v>322</v>
      </c>
      <c r="AS202" s="99" t="s">
        <v>350</v>
      </c>
      <c r="AT202" s="99" t="s">
        <v>355</v>
      </c>
      <c r="AU202" s="99" t="s">
        <v>320</v>
      </c>
      <c r="AV202" s="99" t="s">
        <v>364</v>
      </c>
      <c r="AW202" s="99" t="s">
        <v>307</v>
      </c>
      <c r="AX202" s="99" t="s">
        <v>341</v>
      </c>
      <c r="AY202" s="99" t="s">
        <v>413</v>
      </c>
    </row>
    <row r="203" spans="1:51" ht="86.4" x14ac:dyDescent="0.3">
      <c r="A203" s="98">
        <v>42158.334398148145</v>
      </c>
      <c r="B203" s="99" t="s">
        <v>1049</v>
      </c>
      <c r="C203" s="99" t="s">
        <v>799</v>
      </c>
      <c r="D203" s="99" t="s">
        <v>331</v>
      </c>
      <c r="E203" s="99" t="s">
        <v>330</v>
      </c>
      <c r="F203" s="99" t="s">
        <v>317</v>
      </c>
      <c r="G203" s="99" t="s">
        <v>407</v>
      </c>
      <c r="H203" s="99" t="s">
        <v>5</v>
      </c>
      <c r="I203" s="99" t="s">
        <v>316</v>
      </c>
      <c r="J203" s="99" t="s">
        <v>1303</v>
      </c>
      <c r="K203" s="99" t="s">
        <v>384</v>
      </c>
      <c r="L203" s="99" t="s">
        <v>791</v>
      </c>
      <c r="M203" s="99" t="s">
        <v>651</v>
      </c>
      <c r="N203" s="99" t="s">
        <v>327</v>
      </c>
      <c r="O203" s="99" t="s">
        <v>327</v>
      </c>
      <c r="P203" s="99" t="s">
        <v>4</v>
      </c>
      <c r="Q203" s="99" t="s">
        <v>1548</v>
      </c>
      <c r="R203" s="99" t="s">
        <v>327</v>
      </c>
      <c r="S203" s="99" t="s">
        <v>677</v>
      </c>
      <c r="T203" s="99" t="s">
        <v>326</v>
      </c>
      <c r="U203" s="99" t="s">
        <v>530</v>
      </c>
      <c r="V203" s="99" t="s">
        <v>339</v>
      </c>
      <c r="W203" s="99" t="s">
        <v>325</v>
      </c>
      <c r="X203" s="99" t="s">
        <v>352</v>
      </c>
      <c r="Y203" s="99" t="s">
        <v>316</v>
      </c>
      <c r="Z203" s="99" t="s">
        <v>316</v>
      </c>
      <c r="AA203" s="99" t="s">
        <v>678</v>
      </c>
      <c r="AB203" s="99" t="s">
        <v>393</v>
      </c>
      <c r="AC203" s="99" t="s">
        <v>307</v>
      </c>
      <c r="AD203" s="99" t="s">
        <v>388</v>
      </c>
      <c r="AE203" s="99" t="s">
        <v>535</v>
      </c>
      <c r="AF203" s="99" t="s">
        <v>1280</v>
      </c>
      <c r="AG203" s="99" t="s">
        <v>323</v>
      </c>
      <c r="AH203" s="99" t="s">
        <v>6</v>
      </c>
      <c r="AI203" s="99" t="s">
        <v>6</v>
      </c>
      <c r="AJ203" s="99" t="s">
        <v>302</v>
      </c>
      <c r="AK203" s="99" t="s">
        <v>6</v>
      </c>
      <c r="AL203" s="99" t="s">
        <v>302</v>
      </c>
      <c r="AM203" s="99" t="s">
        <v>302</v>
      </c>
      <c r="AN203" s="99" t="s">
        <v>303</v>
      </c>
      <c r="AO203" s="99" t="s">
        <v>304</v>
      </c>
      <c r="AP203" s="99" t="s">
        <v>302</v>
      </c>
      <c r="AQ203" s="99" t="s">
        <v>302</v>
      </c>
      <c r="AR203" s="99" t="s">
        <v>391</v>
      </c>
      <c r="AS203" s="99" t="s">
        <v>350</v>
      </c>
      <c r="AT203" s="99" t="s">
        <v>355</v>
      </c>
      <c r="AU203" s="99" t="s">
        <v>342</v>
      </c>
      <c r="AV203" s="99" t="s">
        <v>536</v>
      </c>
      <c r="AW203" s="99" t="s">
        <v>296</v>
      </c>
      <c r="AX203" s="99" t="s">
        <v>319</v>
      </c>
      <c r="AY203" s="99" t="s">
        <v>890</v>
      </c>
    </row>
    <row r="204" spans="1:51" ht="244.8" x14ac:dyDescent="0.3">
      <c r="A204" s="98">
        <v>42158.335300925923</v>
      </c>
      <c r="B204" s="99" t="s">
        <v>1049</v>
      </c>
      <c r="C204" s="99" t="s">
        <v>799</v>
      </c>
      <c r="D204" s="99" t="s">
        <v>700</v>
      </c>
      <c r="E204" s="99" t="s">
        <v>330</v>
      </c>
      <c r="F204" s="99" t="s">
        <v>317</v>
      </c>
      <c r="G204" s="99" t="s">
        <v>407</v>
      </c>
      <c r="H204" s="99" t="s">
        <v>5</v>
      </c>
      <c r="I204" s="99" t="s">
        <v>309</v>
      </c>
      <c r="J204" s="99" t="s">
        <v>970</v>
      </c>
      <c r="K204" s="99" t="s">
        <v>315</v>
      </c>
      <c r="L204" s="99" t="s">
        <v>880</v>
      </c>
      <c r="M204" s="99" t="s">
        <v>314</v>
      </c>
      <c r="N204" s="99" t="s">
        <v>313</v>
      </c>
      <c r="O204" s="99" t="s">
        <v>313</v>
      </c>
      <c r="P204" s="99" t="s">
        <v>313</v>
      </c>
      <c r="Q204" s="99" t="s">
        <v>1549</v>
      </c>
      <c r="R204" s="99" t="s">
        <v>327</v>
      </c>
      <c r="S204" s="99" t="s">
        <v>500</v>
      </c>
      <c r="T204" s="99" t="s">
        <v>326</v>
      </c>
      <c r="U204" s="99" t="s">
        <v>311</v>
      </c>
      <c r="V204" s="99" t="s">
        <v>681</v>
      </c>
      <c r="W204" s="99" t="s">
        <v>571</v>
      </c>
      <c r="X204" s="99" t="s">
        <v>310</v>
      </c>
      <c r="Y204" s="99" t="s">
        <v>316</v>
      </c>
      <c r="Z204" s="99" t="s">
        <v>316</v>
      </c>
      <c r="AA204" s="99" t="s">
        <v>968</v>
      </c>
      <c r="AB204" s="99" t="s">
        <v>376</v>
      </c>
      <c r="AC204" s="99" t="s">
        <v>351</v>
      </c>
      <c r="AD204" s="99" t="s">
        <v>920</v>
      </c>
      <c r="AE204" s="99" t="s">
        <v>535</v>
      </c>
      <c r="AF204" s="99" t="s">
        <v>682</v>
      </c>
      <c r="AG204" s="99" t="s">
        <v>306</v>
      </c>
      <c r="AH204" s="99"/>
      <c r="AI204" s="99" t="s">
        <v>302</v>
      </c>
      <c r="AJ204" s="99"/>
      <c r="AK204" s="99"/>
      <c r="AL204" s="99"/>
      <c r="AM204" s="99" t="s">
        <v>302</v>
      </c>
      <c r="AN204" s="99"/>
      <c r="AO204" s="99"/>
      <c r="AP204" s="99"/>
      <c r="AQ204" s="99"/>
      <c r="AR204" s="99"/>
      <c r="AS204" s="99"/>
      <c r="AT204" s="99"/>
      <c r="AU204" s="99"/>
      <c r="AV204" s="99"/>
      <c r="AW204" s="99"/>
      <c r="AX204" s="99"/>
      <c r="AY204" s="99" t="s">
        <v>402</v>
      </c>
    </row>
    <row r="205" spans="1:51" ht="129.6" x14ac:dyDescent="0.3">
      <c r="A205" s="98">
        <v>42158.335358796299</v>
      </c>
      <c r="B205" s="99" t="s">
        <v>1049</v>
      </c>
      <c r="C205" s="99" t="s">
        <v>799</v>
      </c>
      <c r="D205" s="99" t="s">
        <v>331</v>
      </c>
      <c r="E205" s="99" t="s">
        <v>3</v>
      </c>
      <c r="F205" s="99"/>
      <c r="G205" s="99" t="s">
        <v>340</v>
      </c>
      <c r="H205" s="99" t="s">
        <v>5</v>
      </c>
      <c r="I205" s="99" t="s">
        <v>309</v>
      </c>
      <c r="J205" s="99" t="s">
        <v>721</v>
      </c>
      <c r="K205" s="99" t="s">
        <v>328</v>
      </c>
      <c r="L205" s="99" t="s">
        <v>719</v>
      </c>
      <c r="M205" s="99" t="s">
        <v>314</v>
      </c>
      <c r="N205" s="99" t="s">
        <v>313</v>
      </c>
      <c r="O205" s="99" t="s">
        <v>313</v>
      </c>
      <c r="P205" s="99" t="s">
        <v>4</v>
      </c>
      <c r="Q205" s="99" t="s">
        <v>411</v>
      </c>
      <c r="R205" s="99" t="s">
        <v>327</v>
      </c>
      <c r="S205" s="99" t="s">
        <v>912</v>
      </c>
      <c r="T205" s="99" t="s">
        <v>312</v>
      </c>
      <c r="U205" s="99" t="s">
        <v>373</v>
      </c>
      <c r="V205" s="99" t="s">
        <v>1550</v>
      </c>
      <c r="W205" s="99" t="s">
        <v>370</v>
      </c>
      <c r="X205" s="99" t="s">
        <v>310</v>
      </c>
      <c r="Y205" s="99" t="s">
        <v>316</v>
      </c>
      <c r="Z205" s="99" t="s">
        <v>316</v>
      </c>
      <c r="AA205" s="99" t="s">
        <v>410</v>
      </c>
      <c r="AB205" s="99" t="s">
        <v>376</v>
      </c>
      <c r="AC205" s="99" t="s">
        <v>307</v>
      </c>
      <c r="AD205" s="99" t="s">
        <v>1252</v>
      </c>
      <c r="AE205" s="99" t="s">
        <v>532</v>
      </c>
      <c r="AF205" s="99" t="s">
        <v>1072</v>
      </c>
      <c r="AG205" s="99"/>
      <c r="AH205" s="99" t="s">
        <v>302</v>
      </c>
      <c r="AI205" s="99" t="s">
        <v>302</v>
      </c>
      <c r="AJ205" s="99"/>
      <c r="AK205" s="99" t="s">
        <v>303</v>
      </c>
      <c r="AL205" s="99" t="s">
        <v>302</v>
      </c>
      <c r="AM205" s="99" t="s">
        <v>305</v>
      </c>
      <c r="AN205" s="99" t="s">
        <v>302</v>
      </c>
      <c r="AO205" s="99" t="s">
        <v>302</v>
      </c>
      <c r="AP205" s="99" t="s">
        <v>302</v>
      </c>
      <c r="AQ205" s="99" t="s">
        <v>302</v>
      </c>
      <c r="AR205" s="99" t="s">
        <v>378</v>
      </c>
      <c r="AS205" s="99" t="s">
        <v>300</v>
      </c>
      <c r="AT205" s="99" t="s">
        <v>355</v>
      </c>
      <c r="AU205" s="99" t="s">
        <v>320</v>
      </c>
      <c r="AV205" s="99" t="s">
        <v>547</v>
      </c>
      <c r="AW205" s="99" t="s">
        <v>324</v>
      </c>
      <c r="AX205" s="99" t="s">
        <v>319</v>
      </c>
      <c r="AY205" s="99" t="s">
        <v>1551</v>
      </c>
    </row>
    <row r="206" spans="1:51" ht="86.4" x14ac:dyDescent="0.3">
      <c r="A206" s="98">
        <v>42158.346307870372</v>
      </c>
      <c r="B206" s="99" t="s">
        <v>1049</v>
      </c>
      <c r="C206" s="99" t="s">
        <v>1108</v>
      </c>
      <c r="D206" s="99" t="s">
        <v>700</v>
      </c>
      <c r="E206" s="99" t="s">
        <v>330</v>
      </c>
      <c r="F206" s="99" t="s">
        <v>317</v>
      </c>
      <c r="G206" s="99" t="s">
        <v>918</v>
      </c>
      <c r="H206" s="99" t="s">
        <v>5</v>
      </c>
      <c r="I206" s="99" t="s">
        <v>345</v>
      </c>
      <c r="J206" s="99" t="s">
        <v>1161</v>
      </c>
      <c r="K206" s="99" t="s">
        <v>315</v>
      </c>
      <c r="L206" s="99" t="s">
        <v>411</v>
      </c>
      <c r="M206" s="99" t="s">
        <v>651</v>
      </c>
      <c r="N206" s="99" t="s">
        <v>374</v>
      </c>
      <c r="O206" s="99" t="s">
        <v>327</v>
      </c>
      <c r="P206" s="99" t="s">
        <v>4</v>
      </c>
      <c r="Q206" s="99" t="s">
        <v>707</v>
      </c>
      <c r="R206" s="99" t="s">
        <v>327</v>
      </c>
      <c r="S206" s="99" t="s">
        <v>600</v>
      </c>
      <c r="T206" s="99" t="s">
        <v>326</v>
      </c>
      <c r="U206" s="99" t="s">
        <v>530</v>
      </c>
      <c r="V206" s="99" t="s">
        <v>339</v>
      </c>
      <c r="W206" s="99" t="s">
        <v>325</v>
      </c>
      <c r="X206" s="99" t="s">
        <v>337</v>
      </c>
      <c r="Y206" s="99" t="s">
        <v>316</v>
      </c>
      <c r="Z206" s="99" t="s">
        <v>316</v>
      </c>
      <c r="AA206" s="99" t="s">
        <v>705</v>
      </c>
      <c r="AB206" s="99" t="s">
        <v>308</v>
      </c>
      <c r="AC206" s="99" t="s">
        <v>307</v>
      </c>
      <c r="AD206" s="99" t="s">
        <v>448</v>
      </c>
      <c r="AE206" s="99" t="s">
        <v>532</v>
      </c>
      <c r="AF206" s="99" t="s">
        <v>1130</v>
      </c>
      <c r="AG206" s="99" t="s">
        <v>304</v>
      </c>
      <c r="AH206" s="99" t="s">
        <v>302</v>
      </c>
      <c r="AI206" s="99" t="s">
        <v>303</v>
      </c>
      <c r="AJ206" s="99" t="s">
        <v>302</v>
      </c>
      <c r="AK206" s="99" t="s">
        <v>6</v>
      </c>
      <c r="AL206" s="99" t="s">
        <v>304</v>
      </c>
      <c r="AM206" s="99" t="s">
        <v>303</v>
      </c>
      <c r="AN206" s="99" t="s">
        <v>302</v>
      </c>
      <c r="AO206" s="99" t="s">
        <v>302</v>
      </c>
      <c r="AP206" s="99" t="s">
        <v>302</v>
      </c>
      <c r="AQ206" s="99" t="s">
        <v>302</v>
      </c>
      <c r="AR206" s="99" t="s">
        <v>301</v>
      </c>
      <c r="AS206" s="99" t="s">
        <v>350</v>
      </c>
      <c r="AT206" s="99" t="s">
        <v>321</v>
      </c>
      <c r="AU206" s="99" t="s">
        <v>320</v>
      </c>
      <c r="AV206" s="99" t="s">
        <v>536</v>
      </c>
      <c r="AW206" s="99" t="s">
        <v>307</v>
      </c>
      <c r="AX206" s="99" t="s">
        <v>319</v>
      </c>
      <c r="AY206" s="99" t="s">
        <v>649</v>
      </c>
    </row>
    <row r="207" spans="1:51" ht="86.4" x14ac:dyDescent="0.3">
      <c r="A207" s="98">
        <v>42158.347222222219</v>
      </c>
      <c r="B207" s="99" t="s">
        <v>1049</v>
      </c>
      <c r="C207" s="99" t="s">
        <v>1108</v>
      </c>
      <c r="D207" s="99" t="s">
        <v>331</v>
      </c>
      <c r="E207" s="99" t="s">
        <v>330</v>
      </c>
      <c r="F207" s="99" t="s">
        <v>317</v>
      </c>
      <c r="G207" s="99" t="s">
        <v>407</v>
      </c>
      <c r="H207" s="99" t="s">
        <v>5</v>
      </c>
      <c r="I207" s="99" t="s">
        <v>345</v>
      </c>
      <c r="J207" s="99" t="s">
        <v>1165</v>
      </c>
      <c r="K207" s="99" t="s">
        <v>354</v>
      </c>
      <c r="L207" s="99" t="s">
        <v>439</v>
      </c>
      <c r="M207" s="99" t="s">
        <v>314</v>
      </c>
      <c r="N207" s="99" t="s">
        <v>4</v>
      </c>
      <c r="O207" s="99" t="s">
        <v>313</v>
      </c>
      <c r="P207" s="99" t="s">
        <v>4</v>
      </c>
      <c r="Q207" s="99" t="s">
        <v>421</v>
      </c>
      <c r="R207" s="99" t="s">
        <v>313</v>
      </c>
      <c r="S207" s="99" t="s">
        <v>438</v>
      </c>
      <c r="T207" s="99" t="s">
        <v>366</v>
      </c>
      <c r="U207" s="99" t="s">
        <v>311</v>
      </c>
      <c r="V207" s="99"/>
      <c r="W207" s="99" t="s">
        <v>325</v>
      </c>
      <c r="X207" s="99" t="s">
        <v>352</v>
      </c>
      <c r="Y207" s="99" t="s">
        <v>316</v>
      </c>
      <c r="Z207" s="99" t="s">
        <v>316</v>
      </c>
      <c r="AA207" s="99" t="s">
        <v>685</v>
      </c>
      <c r="AB207" s="99" t="s">
        <v>336</v>
      </c>
      <c r="AC207" s="99" t="s">
        <v>324</v>
      </c>
      <c r="AD207" s="99" t="s">
        <v>642</v>
      </c>
      <c r="AE207" s="99" t="s">
        <v>535</v>
      </c>
      <c r="AF207" s="99" t="s">
        <v>814</v>
      </c>
      <c r="AG207" s="99" t="s">
        <v>304</v>
      </c>
      <c r="AH207" s="99" t="s">
        <v>304</v>
      </c>
      <c r="AI207" s="99" t="s">
        <v>304</v>
      </c>
      <c r="AJ207" s="99" t="s">
        <v>304</v>
      </c>
      <c r="AK207" s="99" t="s">
        <v>303</v>
      </c>
      <c r="AL207" s="99" t="s">
        <v>304</v>
      </c>
      <c r="AM207" s="99" t="s">
        <v>302</v>
      </c>
      <c r="AN207" s="99" t="s">
        <v>304</v>
      </c>
      <c r="AO207" s="99" t="s">
        <v>303</v>
      </c>
      <c r="AP207" s="99" t="s">
        <v>303</v>
      </c>
      <c r="AQ207" s="99" t="s">
        <v>304</v>
      </c>
      <c r="AR207" s="99" t="s">
        <v>322</v>
      </c>
      <c r="AS207" s="99" t="s">
        <v>300</v>
      </c>
      <c r="AT207" s="99" t="s">
        <v>321</v>
      </c>
      <c r="AU207" s="99" t="s">
        <v>320</v>
      </c>
      <c r="AV207" s="99" t="s">
        <v>364</v>
      </c>
      <c r="AW207" s="99" t="s">
        <v>324</v>
      </c>
      <c r="AX207" s="99" t="s">
        <v>341</v>
      </c>
      <c r="AY207" s="99" t="s">
        <v>456</v>
      </c>
    </row>
    <row r="208" spans="1:51" ht="115.2" x14ac:dyDescent="0.3">
      <c r="A208" s="98">
        <v>42158.347349537034</v>
      </c>
      <c r="B208" s="99" t="s">
        <v>1049</v>
      </c>
      <c r="C208" s="99" t="s">
        <v>1108</v>
      </c>
      <c r="D208" s="99" t="s">
        <v>331</v>
      </c>
      <c r="E208" s="99" t="s">
        <v>3</v>
      </c>
      <c r="F208" s="99" t="s">
        <v>317</v>
      </c>
      <c r="G208" s="99" t="s">
        <v>407</v>
      </c>
      <c r="H208" s="99" t="s">
        <v>5</v>
      </c>
      <c r="I208" s="99" t="s">
        <v>309</v>
      </c>
      <c r="J208" s="99" t="s">
        <v>329</v>
      </c>
      <c r="K208" s="99" t="s">
        <v>354</v>
      </c>
      <c r="L208" s="99" t="s">
        <v>439</v>
      </c>
      <c r="M208" s="99" t="s">
        <v>314</v>
      </c>
      <c r="N208" s="99" t="s">
        <v>4</v>
      </c>
      <c r="O208" s="99" t="s">
        <v>327</v>
      </c>
      <c r="P208" s="99" t="s">
        <v>313</v>
      </c>
      <c r="Q208" s="99" t="s">
        <v>411</v>
      </c>
      <c r="R208" s="99" t="s">
        <v>4</v>
      </c>
      <c r="S208" s="99" t="s">
        <v>1552</v>
      </c>
      <c r="T208" s="99" t="s">
        <v>326</v>
      </c>
      <c r="U208" s="99" t="s">
        <v>373</v>
      </c>
      <c r="V208" s="99" t="s">
        <v>362</v>
      </c>
      <c r="W208" s="99" t="s">
        <v>325</v>
      </c>
      <c r="X208" s="99" t="s">
        <v>352</v>
      </c>
      <c r="Y208" s="99" t="s">
        <v>316</v>
      </c>
      <c r="Z208" s="99" t="s">
        <v>316</v>
      </c>
      <c r="AA208" s="99" t="s">
        <v>395</v>
      </c>
      <c r="AB208" s="99" t="s">
        <v>336</v>
      </c>
      <c r="AC208" s="99" t="s">
        <v>307</v>
      </c>
      <c r="AD208" s="99" t="s">
        <v>357</v>
      </c>
      <c r="AE208" s="99" t="s">
        <v>539</v>
      </c>
      <c r="AF208" s="99" t="s">
        <v>1113</v>
      </c>
      <c r="AG208" s="99" t="s">
        <v>323</v>
      </c>
      <c r="AH208" s="99" t="s">
        <v>304</v>
      </c>
      <c r="AI208" s="99"/>
      <c r="AJ208" s="99" t="s">
        <v>303</v>
      </c>
      <c r="AK208" s="99" t="s">
        <v>304</v>
      </c>
      <c r="AL208" s="99" t="s">
        <v>304</v>
      </c>
      <c r="AM208" s="99" t="s">
        <v>304</v>
      </c>
      <c r="AN208" s="99" t="s">
        <v>302</v>
      </c>
      <c r="AO208" s="99" t="s">
        <v>303</v>
      </c>
      <c r="AP208" s="99" t="s">
        <v>304</v>
      </c>
      <c r="AQ208" s="99" t="s">
        <v>6</v>
      </c>
      <c r="AR208" s="99" t="s">
        <v>365</v>
      </c>
      <c r="AS208" s="99" t="s">
        <v>300</v>
      </c>
      <c r="AT208" s="99" t="s">
        <v>360</v>
      </c>
      <c r="AU208" s="99" t="s">
        <v>320</v>
      </c>
      <c r="AV208" s="99" t="s">
        <v>364</v>
      </c>
      <c r="AW208" s="99" t="s">
        <v>307</v>
      </c>
      <c r="AX208" s="99" t="s">
        <v>534</v>
      </c>
      <c r="AY208" s="99" t="s">
        <v>499</v>
      </c>
    </row>
    <row r="209" spans="1:51" ht="100.8" x14ac:dyDescent="0.3">
      <c r="A209" s="98">
        <v>42158.348773148151</v>
      </c>
      <c r="B209" s="99" t="s">
        <v>1049</v>
      </c>
      <c r="C209" s="99" t="s">
        <v>1108</v>
      </c>
      <c r="D209" s="99" t="s">
        <v>560</v>
      </c>
      <c r="E209" s="99" t="s">
        <v>330</v>
      </c>
      <c r="F209" s="99" t="s">
        <v>372</v>
      </c>
      <c r="G209" s="99" t="s">
        <v>1207</v>
      </c>
      <c r="H209" s="99" t="s">
        <v>5</v>
      </c>
      <c r="I209" s="99" t="s">
        <v>494</v>
      </c>
      <c r="J209" s="99" t="s">
        <v>1235</v>
      </c>
      <c r="K209" s="99" t="s">
        <v>315</v>
      </c>
      <c r="L209" s="99" t="s">
        <v>475</v>
      </c>
      <c r="M209" s="99" t="s">
        <v>562</v>
      </c>
      <c r="N209" s="99" t="s">
        <v>327</v>
      </c>
      <c r="O209" s="99" t="s">
        <v>313</v>
      </c>
      <c r="P209" s="99" t="s">
        <v>313</v>
      </c>
      <c r="Q209" s="99" t="s">
        <v>421</v>
      </c>
      <c r="R209" s="99" t="s">
        <v>374</v>
      </c>
      <c r="S209" s="99"/>
      <c r="T209" s="99" t="s">
        <v>380</v>
      </c>
      <c r="U209" s="99" t="s">
        <v>373</v>
      </c>
      <c r="V209" s="99"/>
      <c r="W209" s="99" t="s">
        <v>338</v>
      </c>
      <c r="X209" s="99" t="s">
        <v>352</v>
      </c>
      <c r="Y209" s="99" t="s">
        <v>316</v>
      </c>
      <c r="Z209" s="99" t="s">
        <v>316</v>
      </c>
      <c r="AA209" s="99" t="s">
        <v>596</v>
      </c>
      <c r="AB209" s="99" t="s">
        <v>336</v>
      </c>
      <c r="AC209" s="99" t="s">
        <v>351</v>
      </c>
      <c r="AD209" s="99" t="s">
        <v>426</v>
      </c>
      <c r="AE209" s="99" t="s">
        <v>532</v>
      </c>
      <c r="AF209" s="99" t="s">
        <v>1553</v>
      </c>
      <c r="AG209" s="99" t="s">
        <v>323</v>
      </c>
      <c r="AH209" s="99" t="s">
        <v>304</v>
      </c>
      <c r="AI209" s="99" t="s">
        <v>304</v>
      </c>
      <c r="AJ209" s="99" t="s">
        <v>303</v>
      </c>
      <c r="AK209" s="99" t="s">
        <v>304</v>
      </c>
      <c r="AL209" s="99" t="s">
        <v>303</v>
      </c>
      <c r="AM209" s="99" t="s">
        <v>303</v>
      </c>
      <c r="AN209" s="99" t="s">
        <v>6</v>
      </c>
      <c r="AO209" s="99" t="s">
        <v>303</v>
      </c>
      <c r="AP209" s="99" t="s">
        <v>304</v>
      </c>
      <c r="AQ209" s="99" t="s">
        <v>304</v>
      </c>
      <c r="AR209" s="99" t="s">
        <v>322</v>
      </c>
      <c r="AS209" s="99" t="s">
        <v>350</v>
      </c>
      <c r="AT209" s="99" t="s">
        <v>360</v>
      </c>
      <c r="AU209" s="99" t="s">
        <v>342</v>
      </c>
      <c r="AV209" s="99" t="s">
        <v>364</v>
      </c>
      <c r="AW209" s="99" t="s">
        <v>324</v>
      </c>
      <c r="AX209" s="99" t="s">
        <v>341</v>
      </c>
      <c r="AY209" s="99" t="s">
        <v>449</v>
      </c>
    </row>
    <row r="210" spans="1:51" ht="172.8" x14ac:dyDescent="0.3">
      <c r="A210" s="98">
        <v>42158.349895833337</v>
      </c>
      <c r="B210" s="99" t="s">
        <v>1049</v>
      </c>
      <c r="C210" s="99" t="s">
        <v>1108</v>
      </c>
      <c r="D210" s="99" t="s">
        <v>529</v>
      </c>
      <c r="E210" s="99" t="s">
        <v>3</v>
      </c>
      <c r="F210" s="99" t="s">
        <v>317</v>
      </c>
      <c r="G210" s="99" t="s">
        <v>655</v>
      </c>
      <c r="H210" s="99" t="s">
        <v>5</v>
      </c>
      <c r="I210" s="99" t="s">
        <v>309</v>
      </c>
      <c r="J210" s="99" t="s">
        <v>1063</v>
      </c>
      <c r="K210" s="99" t="s">
        <v>328</v>
      </c>
      <c r="L210" s="99" t="s">
        <v>421</v>
      </c>
      <c r="M210" s="99" t="s">
        <v>314</v>
      </c>
      <c r="N210" s="99" t="s">
        <v>313</v>
      </c>
      <c r="O210" s="99" t="s">
        <v>313</v>
      </c>
      <c r="P210" s="99" t="s">
        <v>313</v>
      </c>
      <c r="Q210" s="99" t="s">
        <v>450</v>
      </c>
      <c r="R210" s="99" t="s">
        <v>327</v>
      </c>
      <c r="S210" s="99" t="s">
        <v>1554</v>
      </c>
      <c r="T210" s="99" t="s">
        <v>366</v>
      </c>
      <c r="U210" s="99" t="s">
        <v>530</v>
      </c>
      <c r="V210" s="99" t="s">
        <v>1229</v>
      </c>
      <c r="W210" s="99" t="s">
        <v>325</v>
      </c>
      <c r="X210" s="99" t="s">
        <v>310</v>
      </c>
      <c r="Y210" s="99" t="s">
        <v>316</v>
      </c>
      <c r="Z210" s="99" t="s">
        <v>316</v>
      </c>
      <c r="AA210" s="99" t="s">
        <v>646</v>
      </c>
      <c r="AB210" s="99" t="s">
        <v>358</v>
      </c>
      <c r="AC210" s="99" t="s">
        <v>307</v>
      </c>
      <c r="AD210" s="99" t="s">
        <v>642</v>
      </c>
      <c r="AE210" s="99" t="s">
        <v>532</v>
      </c>
      <c r="AF210" s="99" t="s">
        <v>626</v>
      </c>
      <c r="AG210" s="99" t="s">
        <v>304</v>
      </c>
      <c r="AH210" s="99" t="s">
        <v>303</v>
      </c>
      <c r="AI210" s="99" t="s">
        <v>303</v>
      </c>
      <c r="AJ210" s="99" t="s">
        <v>303</v>
      </c>
      <c r="AK210" s="99" t="s">
        <v>304</v>
      </c>
      <c r="AL210" s="99" t="s">
        <v>303</v>
      </c>
      <c r="AM210" s="99" t="s">
        <v>304</v>
      </c>
      <c r="AN210" s="99" t="s">
        <v>303</v>
      </c>
      <c r="AO210" s="99" t="s">
        <v>303</v>
      </c>
      <c r="AP210" s="99" t="s">
        <v>303</v>
      </c>
      <c r="AQ210" s="99" t="s">
        <v>304</v>
      </c>
      <c r="AR210" s="99" t="s">
        <v>391</v>
      </c>
      <c r="AS210" s="99" t="s">
        <v>300</v>
      </c>
      <c r="AT210" s="99" t="s">
        <v>355</v>
      </c>
      <c r="AU210" s="99" t="s">
        <v>342</v>
      </c>
      <c r="AV210" s="99" t="s">
        <v>333</v>
      </c>
      <c r="AW210" s="99" t="s">
        <v>307</v>
      </c>
      <c r="AX210" s="99" t="s">
        <v>534</v>
      </c>
      <c r="AY210" s="99" t="s">
        <v>873</v>
      </c>
    </row>
    <row r="211" spans="1:51" ht="144" x14ac:dyDescent="0.3">
      <c r="A211" s="98">
        <v>42158.351817129631</v>
      </c>
      <c r="B211" s="99" t="s">
        <v>1049</v>
      </c>
      <c r="C211" s="99" t="s">
        <v>1108</v>
      </c>
      <c r="D211" s="99" t="s">
        <v>331</v>
      </c>
      <c r="E211" s="99" t="s">
        <v>3</v>
      </c>
      <c r="F211" s="99" t="s">
        <v>317</v>
      </c>
      <c r="G211" s="99" t="s">
        <v>412</v>
      </c>
      <c r="H211" s="99" t="s">
        <v>5</v>
      </c>
      <c r="I211" s="99" t="s">
        <v>309</v>
      </c>
      <c r="J211" s="99" t="s">
        <v>565</v>
      </c>
      <c r="K211" s="99" t="s">
        <v>328</v>
      </c>
      <c r="L211" s="99" t="s">
        <v>396</v>
      </c>
      <c r="M211" s="99" t="s">
        <v>314</v>
      </c>
      <c r="N211" s="99" t="s">
        <v>4</v>
      </c>
      <c r="O211" s="99" t="s">
        <v>4</v>
      </c>
      <c r="P211" s="99" t="s">
        <v>4</v>
      </c>
      <c r="Q211" s="99" t="s">
        <v>791</v>
      </c>
      <c r="R211" s="99" t="s">
        <v>327</v>
      </c>
      <c r="S211" s="99" t="s">
        <v>465</v>
      </c>
      <c r="T211" s="99" t="s">
        <v>326</v>
      </c>
      <c r="U211" s="99" t="s">
        <v>530</v>
      </c>
      <c r="V211" s="99" t="s">
        <v>362</v>
      </c>
      <c r="W211" s="99" t="s">
        <v>338</v>
      </c>
      <c r="X211" s="99" t="s">
        <v>346</v>
      </c>
      <c r="Y211" s="99" t="s">
        <v>316</v>
      </c>
      <c r="Z211" s="99" t="s">
        <v>316</v>
      </c>
      <c r="AA211" s="99" t="s">
        <v>803</v>
      </c>
      <c r="AB211" s="99" t="s">
        <v>389</v>
      </c>
      <c r="AC211" s="99" t="s">
        <v>307</v>
      </c>
      <c r="AD211" s="99" t="s">
        <v>361</v>
      </c>
      <c r="AE211" s="99" t="s">
        <v>532</v>
      </c>
      <c r="AF211" s="99" t="s">
        <v>1269</v>
      </c>
      <c r="AG211" s="99"/>
      <c r="AH211" s="99" t="s">
        <v>304</v>
      </c>
      <c r="AI211" s="99" t="s">
        <v>303</v>
      </c>
      <c r="AJ211" s="99" t="s">
        <v>303</v>
      </c>
      <c r="AK211" s="99" t="s">
        <v>303</v>
      </c>
      <c r="AL211" s="99" t="s">
        <v>303</v>
      </c>
      <c r="AM211" s="99" t="s">
        <v>304</v>
      </c>
      <c r="AN211" s="99" t="s">
        <v>303</v>
      </c>
      <c r="AO211" s="99" t="s">
        <v>303</v>
      </c>
      <c r="AP211" s="99" t="s">
        <v>303</v>
      </c>
      <c r="AQ211" s="99" t="s">
        <v>303</v>
      </c>
      <c r="AR211" s="99" t="s">
        <v>391</v>
      </c>
      <c r="AS211" s="99" t="s">
        <v>300</v>
      </c>
      <c r="AT211" s="99" t="s">
        <v>321</v>
      </c>
      <c r="AU211" s="99" t="s">
        <v>660</v>
      </c>
      <c r="AV211" s="99" t="s">
        <v>333</v>
      </c>
      <c r="AW211" s="99"/>
      <c r="AX211" s="99"/>
      <c r="AY211" s="99" t="s">
        <v>1555</v>
      </c>
    </row>
    <row r="212" spans="1:51" ht="187.2" x14ac:dyDescent="0.3">
      <c r="A212" s="98">
        <v>42158.352199074077</v>
      </c>
      <c r="B212" s="99" t="s">
        <v>1049</v>
      </c>
      <c r="C212" s="99" t="s">
        <v>1108</v>
      </c>
      <c r="D212" s="99" t="s">
        <v>560</v>
      </c>
      <c r="E212" s="99" t="s">
        <v>330</v>
      </c>
      <c r="F212" s="99" t="s">
        <v>317</v>
      </c>
      <c r="G212" s="99" t="s">
        <v>1151</v>
      </c>
      <c r="H212" s="99" t="s">
        <v>5</v>
      </c>
      <c r="I212" s="99" t="s">
        <v>309</v>
      </c>
      <c r="J212" s="99" t="s">
        <v>1235</v>
      </c>
      <c r="K212" s="99" t="s">
        <v>315</v>
      </c>
      <c r="L212" s="99" t="s">
        <v>1556</v>
      </c>
      <c r="M212" s="99" t="s">
        <v>363</v>
      </c>
      <c r="N212" s="99" t="s">
        <v>327</v>
      </c>
      <c r="O212" s="99" t="s">
        <v>4</v>
      </c>
      <c r="P212" s="99" t="s">
        <v>327</v>
      </c>
      <c r="Q212" s="99" t="s">
        <v>566</v>
      </c>
      <c r="R212" s="99" t="s">
        <v>327</v>
      </c>
      <c r="S212" s="99" t="s">
        <v>500</v>
      </c>
      <c r="T212" s="99" t="s">
        <v>366</v>
      </c>
      <c r="U212" s="99" t="s">
        <v>530</v>
      </c>
      <c r="V212" s="99" t="s">
        <v>415</v>
      </c>
      <c r="W212" s="99" t="s">
        <v>325</v>
      </c>
      <c r="X212" s="99" t="s">
        <v>310</v>
      </c>
      <c r="Y212" s="99" t="s">
        <v>345</v>
      </c>
      <c r="Z212" s="99" t="s">
        <v>316</v>
      </c>
      <c r="AA212" s="99" t="s">
        <v>1557</v>
      </c>
      <c r="AB212" s="99" t="s">
        <v>308</v>
      </c>
      <c r="AC212" s="99" t="s">
        <v>307</v>
      </c>
      <c r="AD212" s="99" t="s">
        <v>1041</v>
      </c>
      <c r="AE212" s="99" t="s">
        <v>532</v>
      </c>
      <c r="AF212" s="99" t="s">
        <v>866</v>
      </c>
      <c r="AG212" s="99" t="s">
        <v>323</v>
      </c>
      <c r="AH212" s="99" t="s">
        <v>303</v>
      </c>
      <c r="AI212" s="99" t="s">
        <v>303</v>
      </c>
      <c r="AJ212" s="99" t="s">
        <v>303</v>
      </c>
      <c r="AK212" s="99" t="s">
        <v>6</v>
      </c>
      <c r="AL212" s="99" t="s">
        <v>303</v>
      </c>
      <c r="AM212" s="99" t="s">
        <v>304</v>
      </c>
      <c r="AN212" s="99" t="s">
        <v>303</v>
      </c>
      <c r="AO212" s="99" t="s">
        <v>302</v>
      </c>
      <c r="AP212" s="99" t="s">
        <v>303</v>
      </c>
      <c r="AQ212" s="99" t="s">
        <v>304</v>
      </c>
      <c r="AR212" s="99" t="s">
        <v>365</v>
      </c>
      <c r="AS212" s="99" t="s">
        <v>350</v>
      </c>
      <c r="AT212" s="99" t="s">
        <v>355</v>
      </c>
      <c r="AU212" s="99" t="s">
        <v>342</v>
      </c>
      <c r="AV212" s="99" t="s">
        <v>364</v>
      </c>
      <c r="AW212" s="99" t="s">
        <v>307</v>
      </c>
      <c r="AX212" s="99" t="s">
        <v>341</v>
      </c>
      <c r="AY212" s="99" t="s">
        <v>683</v>
      </c>
    </row>
    <row r="213" spans="1:51" ht="216" x14ac:dyDescent="0.3">
      <c r="A213" s="98">
        <v>42158.35224537037</v>
      </c>
      <c r="B213" s="99" t="s">
        <v>1049</v>
      </c>
      <c r="C213" s="99" t="s">
        <v>1108</v>
      </c>
      <c r="D213" s="99" t="s">
        <v>700</v>
      </c>
      <c r="E213" s="99" t="s">
        <v>3</v>
      </c>
      <c r="F213" s="99" t="s">
        <v>317</v>
      </c>
      <c r="G213" s="99" t="s">
        <v>423</v>
      </c>
      <c r="H213" s="99" t="s">
        <v>5</v>
      </c>
      <c r="I213" s="99" t="s">
        <v>309</v>
      </c>
      <c r="J213" s="99" t="s">
        <v>565</v>
      </c>
      <c r="K213" s="99" t="s">
        <v>384</v>
      </c>
      <c r="L213" s="99" t="s">
        <v>878</v>
      </c>
      <c r="M213" s="99" t="s">
        <v>348</v>
      </c>
      <c r="N213" s="99" t="s">
        <v>313</v>
      </c>
      <c r="O213" s="99" t="s">
        <v>374</v>
      </c>
      <c r="P213" s="99" t="s">
        <v>313</v>
      </c>
      <c r="Q213" s="99" t="s">
        <v>1060</v>
      </c>
      <c r="R213" s="99" t="s">
        <v>327</v>
      </c>
      <c r="S213" s="99" t="s">
        <v>668</v>
      </c>
      <c r="T213" s="99" t="s">
        <v>380</v>
      </c>
      <c r="U213" s="99" t="s">
        <v>530</v>
      </c>
      <c r="V213" s="99"/>
      <c r="W213" s="99" t="s">
        <v>338</v>
      </c>
      <c r="X213" s="99" t="s">
        <v>346</v>
      </c>
      <c r="Y213" s="99" t="s">
        <v>316</v>
      </c>
      <c r="Z213" s="99" t="s">
        <v>316</v>
      </c>
      <c r="AA213" s="99" t="s">
        <v>705</v>
      </c>
      <c r="AB213" s="99" t="s">
        <v>358</v>
      </c>
      <c r="AC213" s="99" t="s">
        <v>296</v>
      </c>
      <c r="AD213" s="99" t="s">
        <v>426</v>
      </c>
      <c r="AE213" s="99" t="s">
        <v>532</v>
      </c>
      <c r="AF213" s="99" t="s">
        <v>1558</v>
      </c>
      <c r="AG213" s="99" t="s">
        <v>323</v>
      </c>
      <c r="AH213" s="99" t="s">
        <v>303</v>
      </c>
      <c r="AI213" s="99" t="s">
        <v>303</v>
      </c>
      <c r="AJ213" s="99" t="s">
        <v>303</v>
      </c>
      <c r="AK213" s="99" t="s">
        <v>303</v>
      </c>
      <c r="AL213" s="99" t="s">
        <v>304</v>
      </c>
      <c r="AM213" s="99" t="s">
        <v>303</v>
      </c>
      <c r="AN213" s="99" t="s">
        <v>303</v>
      </c>
      <c r="AO213" s="99" t="s">
        <v>302</v>
      </c>
      <c r="AP213" s="99" t="s">
        <v>303</v>
      </c>
      <c r="AQ213" s="99" t="s">
        <v>302</v>
      </c>
      <c r="AR213" s="99" t="s">
        <v>322</v>
      </c>
      <c r="AS213" s="99" t="s">
        <v>300</v>
      </c>
      <c r="AT213" s="99" t="s">
        <v>355</v>
      </c>
      <c r="AU213" s="99" t="s">
        <v>660</v>
      </c>
      <c r="AV213" s="99" t="s">
        <v>333</v>
      </c>
      <c r="AW213" s="99" t="s">
        <v>324</v>
      </c>
      <c r="AX213" s="99" t="s">
        <v>319</v>
      </c>
      <c r="AY213" s="99" t="s">
        <v>385</v>
      </c>
    </row>
    <row r="214" spans="1:51" ht="187.2" x14ac:dyDescent="0.3">
      <c r="A214" s="98">
        <v>42158.352592592593</v>
      </c>
      <c r="B214" s="99" t="s">
        <v>1049</v>
      </c>
      <c r="C214" s="99" t="s">
        <v>1108</v>
      </c>
      <c r="D214" s="99" t="s">
        <v>331</v>
      </c>
      <c r="E214" s="99" t="s">
        <v>3</v>
      </c>
      <c r="F214" s="99" t="s">
        <v>317</v>
      </c>
      <c r="G214" s="99" t="s">
        <v>451</v>
      </c>
      <c r="H214" s="99" t="s">
        <v>5</v>
      </c>
      <c r="I214" s="99" t="s">
        <v>309</v>
      </c>
      <c r="J214" s="99" t="s">
        <v>699</v>
      </c>
      <c r="K214" s="99" t="s">
        <v>354</v>
      </c>
      <c r="L214" s="99" t="s">
        <v>439</v>
      </c>
      <c r="M214" s="99" t="s">
        <v>363</v>
      </c>
      <c r="N214" s="99" t="s">
        <v>4</v>
      </c>
      <c r="O214" s="99" t="s">
        <v>313</v>
      </c>
      <c r="P214" s="99" t="s">
        <v>313</v>
      </c>
      <c r="Q214" s="99" t="s">
        <v>411</v>
      </c>
      <c r="R214" s="99" t="s">
        <v>4</v>
      </c>
      <c r="S214" s="99" t="s">
        <v>433</v>
      </c>
      <c r="T214" s="99" t="s">
        <v>312</v>
      </c>
      <c r="U214" s="99" t="s">
        <v>373</v>
      </c>
      <c r="V214" s="99" t="s">
        <v>379</v>
      </c>
      <c r="W214" s="99" t="s">
        <v>338</v>
      </c>
      <c r="X214" s="99" t="s">
        <v>346</v>
      </c>
      <c r="Y214" s="99" t="s">
        <v>316</v>
      </c>
      <c r="Z214" s="99" t="s">
        <v>316</v>
      </c>
      <c r="AA214" s="99" t="s">
        <v>653</v>
      </c>
      <c r="AB214" s="99" t="s">
        <v>389</v>
      </c>
      <c r="AC214" s="99" t="s">
        <v>324</v>
      </c>
      <c r="AD214" s="99" t="s">
        <v>426</v>
      </c>
      <c r="AE214" s="99" t="s">
        <v>532</v>
      </c>
      <c r="AF214" s="99" t="s">
        <v>1559</v>
      </c>
      <c r="AG214" s="99" t="s">
        <v>323</v>
      </c>
      <c r="AH214" s="99" t="s">
        <v>304</v>
      </c>
      <c r="AI214" s="99" t="s">
        <v>304</v>
      </c>
      <c r="AJ214" s="99" t="s">
        <v>303</v>
      </c>
      <c r="AK214" s="99" t="s">
        <v>303</v>
      </c>
      <c r="AL214" s="99" t="s">
        <v>303</v>
      </c>
      <c r="AM214" s="99" t="s">
        <v>303</v>
      </c>
      <c r="AN214" s="99" t="s">
        <v>303</v>
      </c>
      <c r="AO214" s="99" t="s">
        <v>302</v>
      </c>
      <c r="AP214" s="99" t="s">
        <v>304</v>
      </c>
      <c r="AQ214" s="99" t="s">
        <v>302</v>
      </c>
      <c r="AR214" s="99" t="s">
        <v>391</v>
      </c>
      <c r="AS214" s="99" t="s">
        <v>350</v>
      </c>
      <c r="AT214" s="99" t="s">
        <v>360</v>
      </c>
      <c r="AU214" s="99" t="s">
        <v>342</v>
      </c>
      <c r="AV214" s="99" t="s">
        <v>392</v>
      </c>
      <c r="AW214" s="99" t="s">
        <v>307</v>
      </c>
      <c r="AX214" s="99" t="s">
        <v>534</v>
      </c>
      <c r="AY214" s="99" t="s">
        <v>482</v>
      </c>
    </row>
    <row r="215" spans="1:51" ht="100.8" x14ac:dyDescent="0.3">
      <c r="A215" s="98">
        <v>42158.353368055556</v>
      </c>
      <c r="B215" s="99" t="s">
        <v>1049</v>
      </c>
      <c r="C215" s="99" t="s">
        <v>1108</v>
      </c>
      <c r="D215" s="99" t="s">
        <v>560</v>
      </c>
      <c r="E215" s="99" t="s">
        <v>3</v>
      </c>
      <c r="F215" s="99" t="s">
        <v>383</v>
      </c>
      <c r="G215" s="99" t="s">
        <v>407</v>
      </c>
      <c r="H215" s="99" t="s">
        <v>5</v>
      </c>
      <c r="I215" s="99" t="s">
        <v>345</v>
      </c>
      <c r="J215" s="99" t="s">
        <v>1263</v>
      </c>
      <c r="K215" s="99" t="s">
        <v>328</v>
      </c>
      <c r="L215" s="99" t="s">
        <v>450</v>
      </c>
      <c r="M215" s="99" t="s">
        <v>314</v>
      </c>
      <c r="N215" s="99" t="s">
        <v>313</v>
      </c>
      <c r="O215" s="99" t="s">
        <v>313</v>
      </c>
      <c r="P215" s="99" t="s">
        <v>327</v>
      </c>
      <c r="Q215" s="99" t="s">
        <v>670</v>
      </c>
      <c r="R215" s="99" t="s">
        <v>327</v>
      </c>
      <c r="S215" s="99" t="s">
        <v>1560</v>
      </c>
      <c r="T215" s="99" t="s">
        <v>366</v>
      </c>
      <c r="U215" s="99" t="s">
        <v>311</v>
      </c>
      <c r="V215" s="99" t="s">
        <v>1011</v>
      </c>
      <c r="W215" s="99" t="s">
        <v>338</v>
      </c>
      <c r="X215" s="99" t="s">
        <v>352</v>
      </c>
      <c r="Y215" s="99" t="s">
        <v>345</v>
      </c>
      <c r="Z215" s="99" t="s">
        <v>316</v>
      </c>
      <c r="AA215" s="99" t="s">
        <v>496</v>
      </c>
      <c r="AB215" s="99" t="s">
        <v>336</v>
      </c>
      <c r="AC215" s="99" t="s">
        <v>307</v>
      </c>
      <c r="AD215" s="99" t="s">
        <v>414</v>
      </c>
      <c r="AE215" s="99" t="s">
        <v>535</v>
      </c>
      <c r="AF215" s="99" t="s">
        <v>945</v>
      </c>
      <c r="AG215" s="99" t="s">
        <v>323</v>
      </c>
      <c r="AH215" s="99" t="s">
        <v>303</v>
      </c>
      <c r="AI215" s="99" t="s">
        <v>302</v>
      </c>
      <c r="AJ215" s="99" t="s">
        <v>302</v>
      </c>
      <c r="AK215" s="99" t="s">
        <v>304</v>
      </c>
      <c r="AL215" s="99" t="s">
        <v>302</v>
      </c>
      <c r="AM215" s="99" t="s">
        <v>304</v>
      </c>
      <c r="AN215" s="99" t="s">
        <v>302</v>
      </c>
      <c r="AO215" s="99" t="s">
        <v>302</v>
      </c>
      <c r="AP215" s="99" t="s">
        <v>303</v>
      </c>
      <c r="AQ215" s="99" t="s">
        <v>303</v>
      </c>
      <c r="AR215" s="99" t="s">
        <v>365</v>
      </c>
      <c r="AS215" s="99" t="s">
        <v>350</v>
      </c>
      <c r="AT215" s="99" t="s">
        <v>355</v>
      </c>
      <c r="AU215" s="99" t="s">
        <v>320</v>
      </c>
      <c r="AV215" s="99" t="s">
        <v>364</v>
      </c>
      <c r="AW215" s="99" t="s">
        <v>307</v>
      </c>
      <c r="AX215" s="99" t="s">
        <v>319</v>
      </c>
      <c r="AY215" s="99" t="s">
        <v>456</v>
      </c>
    </row>
    <row r="216" spans="1:51" ht="115.2" x14ac:dyDescent="0.3">
      <c r="A216" s="98">
        <v>42158.354004629633</v>
      </c>
      <c r="B216" s="99" t="s">
        <v>1049</v>
      </c>
      <c r="C216" s="99" t="s">
        <v>1108</v>
      </c>
      <c r="D216" s="99" t="s">
        <v>529</v>
      </c>
      <c r="E216" s="99" t="s">
        <v>330</v>
      </c>
      <c r="F216" s="99" t="s">
        <v>317</v>
      </c>
      <c r="G216" s="99" t="s">
        <v>446</v>
      </c>
      <c r="H216" s="99" t="s">
        <v>5</v>
      </c>
      <c r="I216" s="99" t="s">
        <v>309</v>
      </c>
      <c r="J216" s="99" t="s">
        <v>1542</v>
      </c>
      <c r="K216" s="99" t="s">
        <v>384</v>
      </c>
      <c r="L216" s="99" t="s">
        <v>450</v>
      </c>
      <c r="M216" s="99" t="s">
        <v>314</v>
      </c>
      <c r="N216" s="99" t="s">
        <v>4</v>
      </c>
      <c r="O216" s="99" t="s">
        <v>313</v>
      </c>
      <c r="P216" s="99" t="s">
        <v>4</v>
      </c>
      <c r="Q216" s="99" t="s">
        <v>450</v>
      </c>
      <c r="R216" s="99" t="s">
        <v>327</v>
      </c>
      <c r="S216" s="99" t="s">
        <v>1561</v>
      </c>
      <c r="T216" s="99"/>
      <c r="U216" s="99" t="s">
        <v>373</v>
      </c>
      <c r="V216" s="99" t="s">
        <v>362</v>
      </c>
      <c r="W216" s="99" t="s">
        <v>325</v>
      </c>
      <c r="X216" s="99" t="s">
        <v>352</v>
      </c>
      <c r="Y216" s="99" t="s">
        <v>345</v>
      </c>
      <c r="Z216" s="99" t="s">
        <v>316</v>
      </c>
      <c r="AA216" s="99" t="s">
        <v>395</v>
      </c>
      <c r="AB216" s="99" t="s">
        <v>376</v>
      </c>
      <c r="AC216" s="99" t="s">
        <v>307</v>
      </c>
      <c r="AD216" s="99" t="s">
        <v>846</v>
      </c>
      <c r="AE216" s="99" t="s">
        <v>532</v>
      </c>
      <c r="AF216" s="99" t="s">
        <v>1562</v>
      </c>
      <c r="AG216" s="99" t="s">
        <v>323</v>
      </c>
      <c r="AH216" s="99" t="s">
        <v>303</v>
      </c>
      <c r="AI216" s="99" t="s">
        <v>304</v>
      </c>
      <c r="AJ216" s="99" t="s">
        <v>304</v>
      </c>
      <c r="AK216" s="99" t="s">
        <v>304</v>
      </c>
      <c r="AL216" s="99" t="s">
        <v>303</v>
      </c>
      <c r="AM216" s="99" t="s">
        <v>304</v>
      </c>
      <c r="AN216" s="99" t="s">
        <v>304</v>
      </c>
      <c r="AO216" s="99" t="s">
        <v>303</v>
      </c>
      <c r="AP216" s="99" t="s">
        <v>303</v>
      </c>
      <c r="AQ216" s="99" t="s">
        <v>303</v>
      </c>
      <c r="AR216" s="99" t="s">
        <v>343</v>
      </c>
      <c r="AS216" s="99" t="s">
        <v>300</v>
      </c>
      <c r="AT216" s="99" t="s">
        <v>355</v>
      </c>
      <c r="AU216" s="99" t="s">
        <v>320</v>
      </c>
      <c r="AV216" s="99" t="s">
        <v>547</v>
      </c>
      <c r="AW216" s="99" t="s">
        <v>324</v>
      </c>
      <c r="AX216" s="99" t="s">
        <v>534</v>
      </c>
      <c r="AY216" s="99" t="s">
        <v>332</v>
      </c>
    </row>
    <row r="217" spans="1:51" ht="158.4" x14ac:dyDescent="0.3">
      <c r="A217" s="98">
        <v>42158.354097222225</v>
      </c>
      <c r="B217" s="99" t="s">
        <v>1049</v>
      </c>
      <c r="C217" s="99" t="s">
        <v>1108</v>
      </c>
      <c r="D217" s="99" t="s">
        <v>529</v>
      </c>
      <c r="E217" s="99" t="s">
        <v>3</v>
      </c>
      <c r="F217" s="99" t="s">
        <v>317</v>
      </c>
      <c r="G217" s="99" t="s">
        <v>493</v>
      </c>
      <c r="H217" s="99" t="s">
        <v>5</v>
      </c>
      <c r="I217" s="99" t="s">
        <v>309</v>
      </c>
      <c r="J217" s="99" t="s">
        <v>1563</v>
      </c>
      <c r="K217" s="99" t="s">
        <v>315</v>
      </c>
      <c r="L217" s="99" t="s">
        <v>801</v>
      </c>
      <c r="M217" s="99" t="s">
        <v>314</v>
      </c>
      <c r="N217" s="99" t="s">
        <v>4</v>
      </c>
      <c r="O217" s="99" t="s">
        <v>4</v>
      </c>
      <c r="P217" s="99" t="s">
        <v>4</v>
      </c>
      <c r="Q217" s="99" t="s">
        <v>411</v>
      </c>
      <c r="R217" s="99" t="s">
        <v>327</v>
      </c>
      <c r="S217" s="99" t="s">
        <v>742</v>
      </c>
      <c r="T217" s="99" t="s">
        <v>366</v>
      </c>
      <c r="U217" s="99" t="s">
        <v>530</v>
      </c>
      <c r="V217" s="99" t="s">
        <v>437</v>
      </c>
      <c r="W217" s="99" t="s">
        <v>338</v>
      </c>
      <c r="X217" s="99" t="s">
        <v>337</v>
      </c>
      <c r="Y217" s="99" t="s">
        <v>316</v>
      </c>
      <c r="Z217" s="99" t="s">
        <v>316</v>
      </c>
      <c r="AA217" s="99" t="s">
        <v>1297</v>
      </c>
      <c r="AB217" s="99" t="s">
        <v>336</v>
      </c>
      <c r="AC217" s="99" t="s">
        <v>307</v>
      </c>
      <c r="AD217" s="99" t="s">
        <v>1564</v>
      </c>
      <c r="AE217" s="99" t="s">
        <v>539</v>
      </c>
      <c r="AF217" s="99" t="s">
        <v>1565</v>
      </c>
      <c r="AG217" s="99" t="s">
        <v>304</v>
      </c>
      <c r="AH217" s="99" t="s">
        <v>304</v>
      </c>
      <c r="AI217" s="99" t="s">
        <v>303</v>
      </c>
      <c r="AJ217" s="99" t="s">
        <v>303</v>
      </c>
      <c r="AK217" s="99" t="s">
        <v>303</v>
      </c>
      <c r="AL217" s="99" t="s">
        <v>303</v>
      </c>
      <c r="AM217" s="99" t="s">
        <v>304</v>
      </c>
      <c r="AN217" s="99" t="s">
        <v>303</v>
      </c>
      <c r="AO217" s="99" t="s">
        <v>303</v>
      </c>
      <c r="AP217" s="99" t="s">
        <v>303</v>
      </c>
      <c r="AQ217" s="99" t="s">
        <v>303</v>
      </c>
      <c r="AR217" s="99" t="s">
        <v>391</v>
      </c>
      <c r="AS217" s="99" t="s">
        <v>300</v>
      </c>
      <c r="AT217" s="99" t="s">
        <v>321</v>
      </c>
      <c r="AU217" s="99" t="s">
        <v>342</v>
      </c>
      <c r="AV217" s="99" t="s">
        <v>536</v>
      </c>
      <c r="AW217" s="99"/>
      <c r="AX217" s="99"/>
      <c r="AY217" s="99" t="s">
        <v>717</v>
      </c>
    </row>
    <row r="218" spans="1:51" ht="172.8" x14ac:dyDescent="0.3">
      <c r="A218" s="98">
        <v>42158.354884259257</v>
      </c>
      <c r="B218" s="99" t="s">
        <v>1049</v>
      </c>
      <c r="C218" s="99" t="s">
        <v>1108</v>
      </c>
      <c r="D218" s="99" t="s">
        <v>700</v>
      </c>
      <c r="E218" s="99" t="s">
        <v>3</v>
      </c>
      <c r="F218" s="99" t="s">
        <v>317</v>
      </c>
      <c r="G218" s="99" t="s">
        <v>407</v>
      </c>
      <c r="H218" s="99" t="s">
        <v>5</v>
      </c>
      <c r="I218" s="99" t="s">
        <v>345</v>
      </c>
      <c r="J218" s="99" t="s">
        <v>1140</v>
      </c>
      <c r="K218" s="99" t="s">
        <v>354</v>
      </c>
      <c r="L218" s="99" t="s">
        <v>572</v>
      </c>
      <c r="M218" s="99" t="s">
        <v>367</v>
      </c>
      <c r="N218" s="99" t="s">
        <v>4</v>
      </c>
      <c r="O218" s="99" t="s">
        <v>4</v>
      </c>
      <c r="P218" s="99" t="s">
        <v>4</v>
      </c>
      <c r="Q218" s="99" t="s">
        <v>417</v>
      </c>
      <c r="R218" s="99" t="s">
        <v>327</v>
      </c>
      <c r="S218" s="99" t="s">
        <v>1069</v>
      </c>
      <c r="T218" s="99" t="s">
        <v>312</v>
      </c>
      <c r="U218" s="99" t="s">
        <v>530</v>
      </c>
      <c r="V218" s="99" t="s">
        <v>1229</v>
      </c>
      <c r="W218" s="99" t="s">
        <v>338</v>
      </c>
      <c r="X218" s="99" t="s">
        <v>337</v>
      </c>
      <c r="Y218" s="99" t="s">
        <v>345</v>
      </c>
      <c r="Z218" s="99" t="s">
        <v>316</v>
      </c>
      <c r="AA218" s="99" t="s">
        <v>432</v>
      </c>
      <c r="AB218" s="99" t="s">
        <v>308</v>
      </c>
      <c r="AC218" s="99" t="s">
        <v>307</v>
      </c>
      <c r="AD218" s="99" t="s">
        <v>448</v>
      </c>
      <c r="AE218" s="99" t="s">
        <v>532</v>
      </c>
      <c r="AF218" s="99" t="s">
        <v>661</v>
      </c>
      <c r="AG218" s="99" t="s">
        <v>304</v>
      </c>
      <c r="AH218" s="99" t="s">
        <v>304</v>
      </c>
      <c r="AI218" s="99" t="s">
        <v>304</v>
      </c>
      <c r="AJ218" s="99" t="s">
        <v>303</v>
      </c>
      <c r="AK218" s="99" t="s">
        <v>305</v>
      </c>
      <c r="AL218" s="99" t="s">
        <v>303</v>
      </c>
      <c r="AM218" s="99" t="s">
        <v>305</v>
      </c>
      <c r="AN218" s="99" t="s">
        <v>304</v>
      </c>
      <c r="AO218" s="99" t="s">
        <v>304</v>
      </c>
      <c r="AP218" s="99" t="s">
        <v>303</v>
      </c>
      <c r="AQ218" s="99" t="s">
        <v>304</v>
      </c>
      <c r="AR218" s="99" t="s">
        <v>322</v>
      </c>
      <c r="AS218" s="99" t="s">
        <v>350</v>
      </c>
      <c r="AT218" s="99" t="s">
        <v>355</v>
      </c>
      <c r="AU218" s="99" t="s">
        <v>320</v>
      </c>
      <c r="AV218" s="99" t="s">
        <v>297</v>
      </c>
      <c r="AW218" s="99" t="s">
        <v>307</v>
      </c>
      <c r="AX218" s="99" t="s">
        <v>319</v>
      </c>
      <c r="AY218" s="99" t="s">
        <v>644</v>
      </c>
    </row>
    <row r="219" spans="1:51" ht="100.8" x14ac:dyDescent="0.3">
      <c r="A219" s="98">
        <v>42158.355729166666</v>
      </c>
      <c r="B219" s="99" t="s">
        <v>1049</v>
      </c>
      <c r="C219" s="99" t="s">
        <v>1108</v>
      </c>
      <c r="D219" s="99" t="s">
        <v>529</v>
      </c>
      <c r="E219" s="99" t="s">
        <v>3</v>
      </c>
      <c r="F219" s="99"/>
      <c r="G219" s="99" t="s">
        <v>412</v>
      </c>
      <c r="H219" s="99" t="s">
        <v>390</v>
      </c>
      <c r="I219" s="99" t="s">
        <v>309</v>
      </c>
      <c r="J219" s="99" t="s">
        <v>721</v>
      </c>
      <c r="K219" s="99" t="s">
        <v>315</v>
      </c>
      <c r="L219" s="99" t="s">
        <v>463</v>
      </c>
      <c r="M219" s="99" t="s">
        <v>348</v>
      </c>
      <c r="N219" s="99" t="s">
        <v>327</v>
      </c>
      <c r="O219" s="99" t="s">
        <v>313</v>
      </c>
      <c r="P219" s="99" t="s">
        <v>313</v>
      </c>
      <c r="Q219" s="99" t="s">
        <v>791</v>
      </c>
      <c r="R219" s="99" t="s">
        <v>327</v>
      </c>
      <c r="S219" s="99" t="s">
        <v>465</v>
      </c>
      <c r="T219" s="99" t="s">
        <v>380</v>
      </c>
      <c r="U219" s="99" t="s">
        <v>530</v>
      </c>
      <c r="V219" s="99" t="s">
        <v>556</v>
      </c>
      <c r="W219" s="99" t="s">
        <v>325</v>
      </c>
      <c r="X219" s="99" t="s">
        <v>337</v>
      </c>
      <c r="Y219" s="99" t="s">
        <v>316</v>
      </c>
      <c r="Z219" s="99" t="s">
        <v>316</v>
      </c>
      <c r="AA219" s="99" t="s">
        <v>678</v>
      </c>
      <c r="AB219" s="99" t="s">
        <v>308</v>
      </c>
      <c r="AC219" s="99" t="s">
        <v>307</v>
      </c>
      <c r="AD219" s="99" t="s">
        <v>388</v>
      </c>
      <c r="AE219" s="99" t="s">
        <v>532</v>
      </c>
      <c r="AF219" s="99" t="s">
        <v>805</v>
      </c>
      <c r="AG219" s="99" t="s">
        <v>306</v>
      </c>
      <c r="AH219" s="99" t="s">
        <v>304</v>
      </c>
      <c r="AI219" s="99" t="s">
        <v>303</v>
      </c>
      <c r="AJ219" s="99" t="s">
        <v>302</v>
      </c>
      <c r="AK219" s="99" t="s">
        <v>303</v>
      </c>
      <c r="AL219" s="99" t="s">
        <v>303</v>
      </c>
      <c r="AM219" s="99" t="s">
        <v>302</v>
      </c>
      <c r="AN219" s="99" t="s">
        <v>303</v>
      </c>
      <c r="AO219" s="99" t="s">
        <v>302</v>
      </c>
      <c r="AP219" s="99" t="s">
        <v>303</v>
      </c>
      <c r="AQ219" s="99" t="s">
        <v>303</v>
      </c>
      <c r="AR219" s="99" t="s">
        <v>391</v>
      </c>
      <c r="AS219" s="99" t="s">
        <v>300</v>
      </c>
      <c r="AT219" s="99" t="s">
        <v>355</v>
      </c>
      <c r="AU219" s="99" t="s">
        <v>320</v>
      </c>
      <c r="AV219" s="99" t="s">
        <v>547</v>
      </c>
      <c r="AW219" s="99" t="s">
        <v>307</v>
      </c>
      <c r="AX219" s="99" t="s">
        <v>534</v>
      </c>
      <c r="AY219" s="99" t="s">
        <v>402</v>
      </c>
    </row>
    <row r="220" spans="1:51" ht="172.8" x14ac:dyDescent="0.3">
      <c r="A220" s="98" t="s">
        <v>1566</v>
      </c>
      <c r="B220" s="99" t="s">
        <v>528</v>
      </c>
      <c r="C220" s="99" t="s">
        <v>580</v>
      </c>
      <c r="D220" s="99" t="s">
        <v>529</v>
      </c>
      <c r="E220" s="99" t="s">
        <v>330</v>
      </c>
      <c r="F220" s="99" t="s">
        <v>317</v>
      </c>
      <c r="G220" s="99" t="s">
        <v>423</v>
      </c>
      <c r="H220" s="99" t="s">
        <v>5</v>
      </c>
      <c r="I220" s="99" t="s">
        <v>309</v>
      </c>
      <c r="J220" s="99" t="s">
        <v>859</v>
      </c>
      <c r="K220" s="99" t="s">
        <v>315</v>
      </c>
      <c r="L220" s="99" t="s">
        <v>450</v>
      </c>
      <c r="M220" s="99" t="s">
        <v>353</v>
      </c>
      <c r="N220" s="99" t="s">
        <v>4</v>
      </c>
      <c r="O220" s="99" t="s">
        <v>327</v>
      </c>
      <c r="P220" s="99" t="s">
        <v>4</v>
      </c>
      <c r="Q220" s="99" t="s">
        <v>450</v>
      </c>
      <c r="R220" s="99" t="s">
        <v>4</v>
      </c>
      <c r="S220" s="99" t="s">
        <v>1567</v>
      </c>
      <c r="T220" s="99" t="s">
        <v>366</v>
      </c>
      <c r="U220" s="99" t="s">
        <v>530</v>
      </c>
      <c r="V220" s="99" t="s">
        <v>1568</v>
      </c>
      <c r="W220" s="99" t="s">
        <v>338</v>
      </c>
      <c r="X220" s="99" t="s">
        <v>346</v>
      </c>
      <c r="Y220" s="99" t="s">
        <v>316</v>
      </c>
      <c r="Z220" s="99" t="s">
        <v>316</v>
      </c>
      <c r="AA220" s="99" t="s">
        <v>490</v>
      </c>
      <c r="AB220" s="99" t="s">
        <v>336</v>
      </c>
      <c r="AC220" s="99" t="s">
        <v>307</v>
      </c>
      <c r="AD220" s="99" t="s">
        <v>462</v>
      </c>
      <c r="AE220" s="99" t="s">
        <v>545</v>
      </c>
      <c r="AF220" s="99" t="s">
        <v>1569</v>
      </c>
      <c r="AG220" s="99" t="s">
        <v>306</v>
      </c>
      <c r="AH220" s="99" t="s">
        <v>302</v>
      </c>
      <c r="AI220" s="99" t="s">
        <v>302</v>
      </c>
      <c r="AJ220" s="99" t="s">
        <v>302</v>
      </c>
      <c r="AK220" s="99" t="s">
        <v>304</v>
      </c>
      <c r="AL220" s="99" t="s">
        <v>303</v>
      </c>
      <c r="AM220" s="99" t="s">
        <v>295</v>
      </c>
      <c r="AN220" s="99" t="s">
        <v>303</v>
      </c>
      <c r="AO220" s="99" t="s">
        <v>304</v>
      </c>
      <c r="AP220" s="99" t="s">
        <v>304</v>
      </c>
      <c r="AQ220" s="99" t="s">
        <v>303</v>
      </c>
      <c r="AR220" s="99" t="s">
        <v>365</v>
      </c>
      <c r="AS220" s="99" t="s">
        <v>350</v>
      </c>
      <c r="AT220" s="99" t="s">
        <v>334</v>
      </c>
      <c r="AU220" s="99" t="s">
        <v>342</v>
      </c>
      <c r="AV220" s="99" t="s">
        <v>536</v>
      </c>
      <c r="AW220" s="99" t="s">
        <v>307</v>
      </c>
      <c r="AX220" s="99" t="s">
        <v>341</v>
      </c>
      <c r="AY220" s="99" t="s">
        <v>425</v>
      </c>
    </row>
    <row r="221" spans="1:51" ht="43.2" x14ac:dyDescent="0.3">
      <c r="A221" s="98" t="s">
        <v>1570</v>
      </c>
      <c r="B221" s="99" t="s">
        <v>528</v>
      </c>
      <c r="C221" s="99" t="s">
        <v>580</v>
      </c>
      <c r="D221" s="99" t="s">
        <v>529</v>
      </c>
      <c r="E221" s="99" t="s">
        <v>330</v>
      </c>
      <c r="F221" s="99" t="s">
        <v>317</v>
      </c>
      <c r="G221" s="99" t="s">
        <v>655</v>
      </c>
      <c r="H221" s="99"/>
      <c r="I221" s="99"/>
      <c r="J221" s="99"/>
      <c r="K221" s="99"/>
      <c r="L221" s="99"/>
      <c r="M221" s="99"/>
      <c r="N221" s="99"/>
      <c r="O221" s="99"/>
      <c r="P221" s="99"/>
      <c r="Q221" s="99"/>
      <c r="R221" s="99"/>
      <c r="S221" s="99"/>
      <c r="T221" s="99"/>
      <c r="U221" s="99"/>
      <c r="V221" s="99"/>
      <c r="W221" s="99"/>
      <c r="X221" s="99" t="s">
        <v>310</v>
      </c>
      <c r="Y221" s="99" t="s">
        <v>316</v>
      </c>
      <c r="Z221" s="99" t="s">
        <v>316</v>
      </c>
      <c r="AA221" s="99"/>
      <c r="AB221" s="99" t="s">
        <v>376</v>
      </c>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row>
    <row r="222" spans="1:51" ht="172.8" x14ac:dyDescent="0.3">
      <c r="A222" s="98" t="s">
        <v>1571</v>
      </c>
      <c r="B222" s="99" t="s">
        <v>528</v>
      </c>
      <c r="C222" s="99" t="s">
        <v>580</v>
      </c>
      <c r="D222" s="99" t="s">
        <v>529</v>
      </c>
      <c r="E222" s="99" t="s">
        <v>3</v>
      </c>
      <c r="F222" s="99" t="s">
        <v>383</v>
      </c>
      <c r="G222" s="99" t="s">
        <v>794</v>
      </c>
      <c r="H222" s="99" t="s">
        <v>390</v>
      </c>
      <c r="I222" s="99" t="s">
        <v>309</v>
      </c>
      <c r="J222" s="99" t="s">
        <v>1572</v>
      </c>
      <c r="K222" s="99" t="s">
        <v>384</v>
      </c>
      <c r="L222" s="99" t="s">
        <v>450</v>
      </c>
      <c r="M222" s="99" t="s">
        <v>348</v>
      </c>
      <c r="N222" s="99" t="s">
        <v>327</v>
      </c>
      <c r="O222" s="99" t="s">
        <v>327</v>
      </c>
      <c r="P222" s="99" t="s">
        <v>327</v>
      </c>
      <c r="Q222" s="99" t="s">
        <v>411</v>
      </c>
      <c r="R222" s="99" t="s">
        <v>327</v>
      </c>
      <c r="S222" s="99" t="s">
        <v>912</v>
      </c>
      <c r="T222" s="99" t="s">
        <v>380</v>
      </c>
      <c r="U222" s="99" t="s">
        <v>347</v>
      </c>
      <c r="V222" s="99" t="s">
        <v>570</v>
      </c>
      <c r="W222" s="99"/>
      <c r="X222" s="99" t="s">
        <v>346</v>
      </c>
      <c r="Y222" s="99" t="s">
        <v>316</v>
      </c>
      <c r="Z222" s="99" t="s">
        <v>316</v>
      </c>
      <c r="AA222" s="99" t="s">
        <v>691</v>
      </c>
      <c r="AB222" s="99" t="s">
        <v>308</v>
      </c>
      <c r="AC222" s="99" t="s">
        <v>307</v>
      </c>
      <c r="AD222" s="99" t="s">
        <v>388</v>
      </c>
      <c r="AE222" s="99" t="s">
        <v>539</v>
      </c>
      <c r="AF222" s="99" t="s">
        <v>1130</v>
      </c>
      <c r="AG222" s="99" t="s">
        <v>323</v>
      </c>
      <c r="AH222" s="99"/>
      <c r="AI222" s="99"/>
      <c r="AJ222" s="99" t="s">
        <v>303</v>
      </c>
      <c r="AK222" s="99" t="s">
        <v>303</v>
      </c>
      <c r="AL222" s="99" t="s">
        <v>303</v>
      </c>
      <c r="AM222" s="99" t="s">
        <v>303</v>
      </c>
      <c r="AN222" s="99" t="s">
        <v>303</v>
      </c>
      <c r="AO222" s="99" t="s">
        <v>303</v>
      </c>
      <c r="AP222" s="99" t="s">
        <v>304</v>
      </c>
      <c r="AQ222" s="99" t="s">
        <v>305</v>
      </c>
      <c r="AR222" s="99" t="s">
        <v>301</v>
      </c>
      <c r="AS222" s="99" t="s">
        <v>540</v>
      </c>
      <c r="AT222" s="99" t="s">
        <v>321</v>
      </c>
      <c r="AU222" s="99" t="s">
        <v>342</v>
      </c>
      <c r="AV222" s="99" t="s">
        <v>297</v>
      </c>
      <c r="AW222" s="99" t="s">
        <v>307</v>
      </c>
      <c r="AX222" s="99" t="s">
        <v>341</v>
      </c>
      <c r="AY222" s="99" t="s">
        <v>418</v>
      </c>
    </row>
    <row r="223" spans="1:51" ht="144" x14ac:dyDescent="0.3">
      <c r="A223" s="98" t="s">
        <v>1573</v>
      </c>
      <c r="B223" s="99" t="s">
        <v>528</v>
      </c>
      <c r="C223" s="99" t="s">
        <v>580</v>
      </c>
      <c r="D223" s="99" t="s">
        <v>529</v>
      </c>
      <c r="E223" s="99" t="s">
        <v>3</v>
      </c>
      <c r="F223" s="99" t="s">
        <v>372</v>
      </c>
      <c r="G223" s="99" t="s">
        <v>407</v>
      </c>
      <c r="H223" s="99" t="s">
        <v>390</v>
      </c>
      <c r="I223" s="99" t="s">
        <v>309</v>
      </c>
      <c r="J223" s="99" t="s">
        <v>454</v>
      </c>
      <c r="K223" s="99" t="s">
        <v>384</v>
      </c>
      <c r="L223" s="99" t="s">
        <v>463</v>
      </c>
      <c r="M223" s="99" t="s">
        <v>314</v>
      </c>
      <c r="N223" s="99" t="s">
        <v>327</v>
      </c>
      <c r="O223" s="99" t="s">
        <v>313</v>
      </c>
      <c r="P223" s="99" t="s">
        <v>313</v>
      </c>
      <c r="Q223" s="99" t="s">
        <v>450</v>
      </c>
      <c r="R223" s="99" t="s">
        <v>327</v>
      </c>
      <c r="S223" s="99" t="s">
        <v>975</v>
      </c>
      <c r="T223" s="99" t="s">
        <v>326</v>
      </c>
      <c r="U223" s="99" t="s">
        <v>530</v>
      </c>
      <c r="V223" s="99" t="s">
        <v>379</v>
      </c>
      <c r="W223" s="99" t="s">
        <v>338</v>
      </c>
      <c r="X223" s="99" t="s">
        <v>352</v>
      </c>
      <c r="Y223" s="99" t="s">
        <v>316</v>
      </c>
      <c r="Z223" s="99" t="s">
        <v>316</v>
      </c>
      <c r="AA223" s="99" t="s">
        <v>685</v>
      </c>
      <c r="AB223" s="99" t="s">
        <v>389</v>
      </c>
      <c r="AC223" s="99" t="s">
        <v>324</v>
      </c>
      <c r="AD223" s="99" t="s">
        <v>414</v>
      </c>
      <c r="AE223" s="99" t="s">
        <v>539</v>
      </c>
      <c r="AF223" s="99" t="s">
        <v>738</v>
      </c>
      <c r="AG223" s="99" t="s">
        <v>323</v>
      </c>
      <c r="AH223" s="99"/>
      <c r="AI223" s="99"/>
      <c r="AJ223" s="99" t="s">
        <v>303</v>
      </c>
      <c r="AK223" s="99" t="s">
        <v>304</v>
      </c>
      <c r="AL223" s="99" t="s">
        <v>303</v>
      </c>
      <c r="AM223" s="99" t="s">
        <v>302</v>
      </c>
      <c r="AN223" s="99" t="s">
        <v>302</v>
      </c>
      <c r="AO223" s="99" t="s">
        <v>302</v>
      </c>
      <c r="AP223" s="99" t="s">
        <v>302</v>
      </c>
      <c r="AQ223" s="99" t="s">
        <v>303</v>
      </c>
      <c r="AR223" s="99" t="s">
        <v>301</v>
      </c>
      <c r="AS223" s="99" t="s">
        <v>350</v>
      </c>
      <c r="AT223" s="99" t="s">
        <v>360</v>
      </c>
      <c r="AU223" s="99" t="s">
        <v>342</v>
      </c>
      <c r="AV223" s="99" t="s">
        <v>392</v>
      </c>
      <c r="AW223" s="99" t="s">
        <v>324</v>
      </c>
      <c r="AX223" s="99" t="s">
        <v>341</v>
      </c>
      <c r="AY223" s="99" t="s">
        <v>480</v>
      </c>
    </row>
    <row r="224" spans="1:51" ht="86.4" x14ac:dyDescent="0.3">
      <c r="A224" s="98" t="s">
        <v>1574</v>
      </c>
      <c r="B224" s="99" t="s">
        <v>528</v>
      </c>
      <c r="C224" s="99" t="s">
        <v>580</v>
      </c>
      <c r="D224" s="99" t="s">
        <v>331</v>
      </c>
      <c r="E224" s="99" t="s">
        <v>330</v>
      </c>
      <c r="F224" s="99" t="s">
        <v>317</v>
      </c>
      <c r="G224" s="99" t="s">
        <v>407</v>
      </c>
      <c r="H224" s="99" t="s">
        <v>390</v>
      </c>
      <c r="I224" s="99" t="s">
        <v>309</v>
      </c>
      <c r="J224" s="99" t="s">
        <v>1575</v>
      </c>
      <c r="K224" s="99" t="s">
        <v>315</v>
      </c>
      <c r="L224" s="99" t="s">
        <v>450</v>
      </c>
      <c r="M224" s="99" t="s">
        <v>651</v>
      </c>
      <c r="N224" s="99" t="s">
        <v>4</v>
      </c>
      <c r="O224" s="99" t="s">
        <v>313</v>
      </c>
      <c r="P224" s="99" t="s">
        <v>313</v>
      </c>
      <c r="Q224" s="99" t="s">
        <v>566</v>
      </c>
      <c r="R224" s="99" t="s">
        <v>4</v>
      </c>
      <c r="S224" s="99" t="s">
        <v>656</v>
      </c>
      <c r="T224" s="99" t="s">
        <v>312</v>
      </c>
      <c r="U224" s="99" t="s">
        <v>373</v>
      </c>
      <c r="V224" s="99" t="s">
        <v>853</v>
      </c>
      <c r="W224" s="99" t="s">
        <v>325</v>
      </c>
      <c r="X224" s="99" t="s">
        <v>352</v>
      </c>
      <c r="Y224" s="99" t="s">
        <v>316</v>
      </c>
      <c r="Z224" s="99" t="s">
        <v>316</v>
      </c>
      <c r="AA224" s="99" t="s">
        <v>650</v>
      </c>
      <c r="AB224" s="99" t="s">
        <v>336</v>
      </c>
      <c r="AC224" s="99" t="s">
        <v>324</v>
      </c>
      <c r="AD224" s="99" t="s">
        <v>426</v>
      </c>
      <c r="AE224" s="99" t="s">
        <v>532</v>
      </c>
      <c r="AF224" s="99" t="s">
        <v>1330</v>
      </c>
      <c r="AG224" s="99" t="s">
        <v>323</v>
      </c>
      <c r="AH224" s="99" t="s">
        <v>302</v>
      </c>
      <c r="AI224" s="99"/>
      <c r="AJ224" s="99" t="s">
        <v>303</v>
      </c>
      <c r="AK224" s="99" t="s">
        <v>304</v>
      </c>
      <c r="AL224" s="99"/>
      <c r="AM224" s="99" t="s">
        <v>303</v>
      </c>
      <c r="AN224" s="99" t="s">
        <v>303</v>
      </c>
      <c r="AO224" s="99" t="s">
        <v>6</v>
      </c>
      <c r="AP224" s="99" t="s">
        <v>6</v>
      </c>
      <c r="AQ224" s="99" t="s">
        <v>302</v>
      </c>
      <c r="AR224" s="99" t="s">
        <v>378</v>
      </c>
      <c r="AS224" s="99" t="s">
        <v>540</v>
      </c>
      <c r="AT224" s="99" t="s">
        <v>321</v>
      </c>
      <c r="AU224" s="99" t="s">
        <v>298</v>
      </c>
      <c r="AV224" s="99" t="s">
        <v>536</v>
      </c>
      <c r="AW224" s="99" t="s">
        <v>324</v>
      </c>
      <c r="AX224" s="99" t="s">
        <v>341</v>
      </c>
      <c r="AY224" s="99" t="s">
        <v>644</v>
      </c>
    </row>
    <row r="225" spans="1:51" ht="115.2" x14ac:dyDescent="0.3">
      <c r="A225" s="98" t="s">
        <v>1576</v>
      </c>
      <c r="B225" s="99" t="s">
        <v>528</v>
      </c>
      <c r="C225" s="99" t="s">
        <v>580</v>
      </c>
      <c r="D225" s="99" t="s">
        <v>529</v>
      </c>
      <c r="E225" s="99" t="s">
        <v>330</v>
      </c>
      <c r="F225" s="99" t="s">
        <v>317</v>
      </c>
      <c r="G225" s="99" t="s">
        <v>655</v>
      </c>
      <c r="H225" s="99" t="s">
        <v>5</v>
      </c>
      <c r="I225" s="99" t="s">
        <v>345</v>
      </c>
      <c r="J225" s="99" t="s">
        <v>916</v>
      </c>
      <c r="K225" s="99" t="s">
        <v>384</v>
      </c>
      <c r="L225" s="99" t="s">
        <v>450</v>
      </c>
      <c r="M225" s="99" t="s">
        <v>314</v>
      </c>
      <c r="N225" s="99" t="s">
        <v>4</v>
      </c>
      <c r="O225" s="99" t="s">
        <v>374</v>
      </c>
      <c r="P225" s="99" t="s">
        <v>4</v>
      </c>
      <c r="Q225" s="99" t="s">
        <v>471</v>
      </c>
      <c r="R225" s="99" t="s">
        <v>4</v>
      </c>
      <c r="S225" s="99" t="s">
        <v>1577</v>
      </c>
      <c r="T225" s="99" t="s">
        <v>326</v>
      </c>
      <c r="U225" s="99" t="s">
        <v>530</v>
      </c>
      <c r="V225" s="99" t="s">
        <v>853</v>
      </c>
      <c r="W225" s="99" t="s">
        <v>325</v>
      </c>
      <c r="X225" s="99" t="s">
        <v>352</v>
      </c>
      <c r="Y225" s="99" t="s">
        <v>316</v>
      </c>
      <c r="Z225" s="99" t="s">
        <v>316</v>
      </c>
      <c r="AA225" s="99" t="s">
        <v>408</v>
      </c>
      <c r="AB225" s="99" t="s">
        <v>358</v>
      </c>
      <c r="AC225" s="99" t="s">
        <v>307</v>
      </c>
      <c r="AD225" s="99" t="s">
        <v>462</v>
      </c>
      <c r="AE225" s="99" t="s">
        <v>535</v>
      </c>
      <c r="AF225" s="99" t="s">
        <v>740</v>
      </c>
      <c r="AG225" s="99" t="s">
        <v>323</v>
      </c>
      <c r="AH225" s="99" t="s">
        <v>303</v>
      </c>
      <c r="AI225" s="99" t="s">
        <v>6</v>
      </c>
      <c r="AJ225" s="99" t="s">
        <v>302</v>
      </c>
      <c r="AK225" s="99" t="s">
        <v>302</v>
      </c>
      <c r="AL225" s="99" t="s">
        <v>302</v>
      </c>
      <c r="AM225" s="99" t="s">
        <v>303</v>
      </c>
      <c r="AN225" s="99" t="s">
        <v>304</v>
      </c>
      <c r="AO225" s="99" t="s">
        <v>304</v>
      </c>
      <c r="AP225" s="99" t="s">
        <v>303</v>
      </c>
      <c r="AQ225" s="99" t="s">
        <v>303</v>
      </c>
      <c r="AR225" s="99" t="s">
        <v>391</v>
      </c>
      <c r="AS225" s="99" t="s">
        <v>300</v>
      </c>
      <c r="AT225" s="99" t="s">
        <v>360</v>
      </c>
      <c r="AU225" s="99" t="s">
        <v>342</v>
      </c>
      <c r="AV225" s="99" t="s">
        <v>297</v>
      </c>
      <c r="AW225" s="99" t="s">
        <v>324</v>
      </c>
      <c r="AX225" s="99" t="s">
        <v>341</v>
      </c>
      <c r="AY225" s="99" t="s">
        <v>644</v>
      </c>
    </row>
    <row r="226" spans="1:51" ht="144" x14ac:dyDescent="0.3">
      <c r="A226" s="98" t="s">
        <v>1578</v>
      </c>
      <c r="B226" s="99" t="s">
        <v>528</v>
      </c>
      <c r="C226" s="99" t="s">
        <v>580</v>
      </c>
      <c r="D226" s="99" t="s">
        <v>529</v>
      </c>
      <c r="E226" s="99" t="s">
        <v>3</v>
      </c>
      <c r="F226" s="99" t="s">
        <v>317</v>
      </c>
      <c r="G226" s="99" t="s">
        <v>407</v>
      </c>
      <c r="H226" s="99" t="s">
        <v>349</v>
      </c>
      <c r="I226" s="99" t="s">
        <v>309</v>
      </c>
      <c r="J226" s="99" t="s">
        <v>537</v>
      </c>
      <c r="K226" s="99" t="s">
        <v>354</v>
      </c>
      <c r="L226" s="99" t="s">
        <v>1579</v>
      </c>
      <c r="M226" s="99" t="s">
        <v>353</v>
      </c>
      <c r="N226" s="99" t="s">
        <v>327</v>
      </c>
      <c r="O226" s="99" t="s">
        <v>374</v>
      </c>
      <c r="P226" s="99" t="s">
        <v>313</v>
      </c>
      <c r="Q226" s="99" t="s">
        <v>411</v>
      </c>
      <c r="R226" s="99" t="s">
        <v>4</v>
      </c>
      <c r="S226" s="99" t="s">
        <v>387</v>
      </c>
      <c r="T226" s="99" t="s">
        <v>326</v>
      </c>
      <c r="U226" s="99" t="s">
        <v>373</v>
      </c>
      <c r="V226" s="99" t="s">
        <v>672</v>
      </c>
      <c r="W226" s="99" t="s">
        <v>338</v>
      </c>
      <c r="X226" s="99" t="s">
        <v>352</v>
      </c>
      <c r="Y226" s="99" t="s">
        <v>316</v>
      </c>
      <c r="Z226" s="99" t="s">
        <v>316</v>
      </c>
      <c r="AA226" s="99" t="s">
        <v>588</v>
      </c>
      <c r="AB226" s="99" t="s">
        <v>389</v>
      </c>
      <c r="AC226" s="99" t="s">
        <v>324</v>
      </c>
      <c r="AD226" s="99" t="s">
        <v>426</v>
      </c>
      <c r="AE226" s="99" t="s">
        <v>532</v>
      </c>
      <c r="AF226" s="99" t="s">
        <v>1580</v>
      </c>
      <c r="AG226" s="99" t="s">
        <v>369</v>
      </c>
      <c r="AH226" s="99" t="s">
        <v>6</v>
      </c>
      <c r="AI226" s="99" t="s">
        <v>6</v>
      </c>
      <c r="AJ226" s="99" t="s">
        <v>304</v>
      </c>
      <c r="AK226" s="99" t="s">
        <v>295</v>
      </c>
      <c r="AL226" s="99" t="s">
        <v>295</v>
      </c>
      <c r="AM226" s="99" t="s">
        <v>295</v>
      </c>
      <c r="AN226" s="99" t="s">
        <v>295</v>
      </c>
      <c r="AO226" s="99" t="s">
        <v>295</v>
      </c>
      <c r="AP226" s="99" t="s">
        <v>295</v>
      </c>
      <c r="AQ226" s="99" t="s">
        <v>304</v>
      </c>
      <c r="AR226" s="99" t="s">
        <v>558</v>
      </c>
      <c r="AS226" s="99" t="s">
        <v>300</v>
      </c>
      <c r="AT226" s="99" t="s">
        <v>334</v>
      </c>
      <c r="AU226" s="99" t="s">
        <v>660</v>
      </c>
      <c r="AV226" s="99" t="s">
        <v>297</v>
      </c>
      <c r="AW226" s="99" t="s">
        <v>324</v>
      </c>
      <c r="AX226" s="99" t="s">
        <v>375</v>
      </c>
      <c r="AY226" s="99" t="s">
        <v>480</v>
      </c>
    </row>
    <row r="227" spans="1:51" ht="115.2" x14ac:dyDescent="0.3">
      <c r="A227" s="98" t="s">
        <v>1578</v>
      </c>
      <c r="B227" s="99" t="s">
        <v>528</v>
      </c>
      <c r="C227" s="99" t="s">
        <v>580</v>
      </c>
      <c r="D227" s="99" t="s">
        <v>529</v>
      </c>
      <c r="E227" s="99" t="s">
        <v>3</v>
      </c>
      <c r="F227" s="99" t="s">
        <v>372</v>
      </c>
      <c r="G227" s="99" t="s">
        <v>686</v>
      </c>
      <c r="H227" s="99" t="s">
        <v>5</v>
      </c>
      <c r="I227" s="99" t="s">
        <v>345</v>
      </c>
      <c r="J227" s="99" t="s">
        <v>569</v>
      </c>
      <c r="K227" s="99" t="s">
        <v>315</v>
      </c>
      <c r="L227" s="99" t="s">
        <v>468</v>
      </c>
      <c r="M227" s="99" t="s">
        <v>314</v>
      </c>
      <c r="N227" s="99" t="s">
        <v>313</v>
      </c>
      <c r="O227" s="99" t="s">
        <v>4</v>
      </c>
      <c r="P227" s="99" t="s">
        <v>4</v>
      </c>
      <c r="Q227" s="99" t="s">
        <v>471</v>
      </c>
      <c r="R227" s="99" t="s">
        <v>4</v>
      </c>
      <c r="S227" s="99"/>
      <c r="T227" s="99" t="s">
        <v>380</v>
      </c>
      <c r="U227" s="99" t="s">
        <v>530</v>
      </c>
      <c r="V227" s="99" t="s">
        <v>404</v>
      </c>
      <c r="W227" s="99" t="s">
        <v>325</v>
      </c>
      <c r="X227" s="99" t="s">
        <v>352</v>
      </c>
      <c r="Y227" s="99" t="s">
        <v>316</v>
      </c>
      <c r="Z227" s="99" t="s">
        <v>316</v>
      </c>
      <c r="AA227" s="99" t="s">
        <v>481</v>
      </c>
      <c r="AB227" s="99" t="s">
        <v>389</v>
      </c>
      <c r="AC227" s="99" t="s">
        <v>324</v>
      </c>
      <c r="AD227" s="99" t="s">
        <v>462</v>
      </c>
      <c r="AE227" s="99" t="s">
        <v>542</v>
      </c>
      <c r="AF227" s="99" t="s">
        <v>1104</v>
      </c>
      <c r="AG227" s="99" t="s">
        <v>304</v>
      </c>
      <c r="AH227" s="99" t="s">
        <v>6</v>
      </c>
      <c r="AI227" s="99" t="s">
        <v>6</v>
      </c>
      <c r="AJ227" s="99" t="s">
        <v>303</v>
      </c>
      <c r="AK227" s="99" t="s">
        <v>302</v>
      </c>
      <c r="AL227" s="99" t="s">
        <v>304</v>
      </c>
      <c r="AM227" s="99" t="s">
        <v>304</v>
      </c>
      <c r="AN227" s="99" t="s">
        <v>304</v>
      </c>
      <c r="AO227" s="99" t="s">
        <v>295</v>
      </c>
      <c r="AP227" s="99" t="s">
        <v>304</v>
      </c>
      <c r="AQ227" s="99" t="s">
        <v>304</v>
      </c>
      <c r="AR227" s="99" t="s">
        <v>365</v>
      </c>
      <c r="AS227" s="99" t="s">
        <v>563</v>
      </c>
      <c r="AT227" s="99" t="s">
        <v>360</v>
      </c>
      <c r="AU227" s="99" t="s">
        <v>298</v>
      </c>
      <c r="AV227" s="99" t="s">
        <v>333</v>
      </c>
      <c r="AW227" s="99" t="s">
        <v>324</v>
      </c>
      <c r="AX227" s="99" t="s">
        <v>341</v>
      </c>
      <c r="AY227" s="99" t="s">
        <v>413</v>
      </c>
    </row>
    <row r="228" spans="1:51" ht="201.6" x14ac:dyDescent="0.3">
      <c r="A228" s="98" t="s">
        <v>1581</v>
      </c>
      <c r="B228" s="99" t="s">
        <v>528</v>
      </c>
      <c r="C228" s="99" t="s">
        <v>580</v>
      </c>
      <c r="D228" s="99" t="s">
        <v>529</v>
      </c>
      <c r="E228" s="99" t="s">
        <v>330</v>
      </c>
      <c r="F228" s="99" t="s">
        <v>317</v>
      </c>
      <c r="G228" s="99" t="s">
        <v>412</v>
      </c>
      <c r="H228" s="99" t="s">
        <v>5</v>
      </c>
      <c r="I228" s="99" t="s">
        <v>309</v>
      </c>
      <c r="J228" s="99" t="s">
        <v>916</v>
      </c>
      <c r="K228" s="99" t="s">
        <v>315</v>
      </c>
      <c r="L228" s="99" t="s">
        <v>1582</v>
      </c>
      <c r="M228" s="99" t="s">
        <v>367</v>
      </c>
      <c r="N228" s="99" t="s">
        <v>4</v>
      </c>
      <c r="O228" s="99" t="s">
        <v>4</v>
      </c>
      <c r="P228" s="99" t="s">
        <v>4</v>
      </c>
      <c r="Q228" s="99" t="s">
        <v>566</v>
      </c>
      <c r="R228" s="99" t="s">
        <v>4</v>
      </c>
      <c r="S228" s="99" t="s">
        <v>1583</v>
      </c>
      <c r="T228" s="99" t="s">
        <v>326</v>
      </c>
      <c r="U228" s="99" t="s">
        <v>530</v>
      </c>
      <c r="V228" s="99" t="s">
        <v>739</v>
      </c>
      <c r="W228" s="99" t="s">
        <v>338</v>
      </c>
      <c r="X228" s="99" t="s">
        <v>352</v>
      </c>
      <c r="Y228" s="99" t="s">
        <v>316</v>
      </c>
      <c r="Z228" s="99" t="s">
        <v>316</v>
      </c>
      <c r="AA228" s="99" t="s">
        <v>490</v>
      </c>
      <c r="AB228" s="99" t="s">
        <v>358</v>
      </c>
      <c r="AC228" s="99" t="s">
        <v>307</v>
      </c>
      <c r="AD228" s="99" t="s">
        <v>414</v>
      </c>
      <c r="AE228" s="99" t="s">
        <v>535</v>
      </c>
      <c r="AF228" s="99" t="s">
        <v>1584</v>
      </c>
      <c r="AG228" s="99" t="s">
        <v>323</v>
      </c>
      <c r="AH228" s="99" t="s">
        <v>303</v>
      </c>
      <c r="AI228" s="99"/>
      <c r="AJ228" s="99" t="s">
        <v>303</v>
      </c>
      <c r="AK228" s="99" t="s">
        <v>303</v>
      </c>
      <c r="AL228" s="99" t="s">
        <v>302</v>
      </c>
      <c r="AM228" s="99" t="s">
        <v>303</v>
      </c>
      <c r="AN228" s="99" t="s">
        <v>303</v>
      </c>
      <c r="AO228" s="99" t="s">
        <v>304</v>
      </c>
      <c r="AP228" s="99" t="s">
        <v>304</v>
      </c>
      <c r="AQ228" s="99" t="s">
        <v>303</v>
      </c>
      <c r="AR228" s="99" t="s">
        <v>343</v>
      </c>
      <c r="AS228" s="99" t="s">
        <v>300</v>
      </c>
      <c r="AT228" s="99" t="s">
        <v>360</v>
      </c>
      <c r="AU228" s="99" t="s">
        <v>320</v>
      </c>
      <c r="AV228" s="99" t="s">
        <v>547</v>
      </c>
      <c r="AW228" s="99" t="s">
        <v>307</v>
      </c>
      <c r="AX228" s="99" t="s">
        <v>534</v>
      </c>
      <c r="AY228" s="99" t="s">
        <v>1266</v>
      </c>
    </row>
    <row r="229" spans="1:51" ht="100.8" x14ac:dyDescent="0.3">
      <c r="A229" s="98" t="s">
        <v>1585</v>
      </c>
      <c r="B229" s="99" t="s">
        <v>528</v>
      </c>
      <c r="C229" s="99" t="s">
        <v>580</v>
      </c>
      <c r="D229" s="99" t="s">
        <v>529</v>
      </c>
      <c r="E229" s="99" t="s">
        <v>330</v>
      </c>
      <c r="F229" s="99" t="s">
        <v>372</v>
      </c>
      <c r="G229" s="99" t="s">
        <v>412</v>
      </c>
      <c r="H229" s="99" t="s">
        <v>390</v>
      </c>
      <c r="I229" s="99" t="s">
        <v>494</v>
      </c>
      <c r="J229" s="99" t="s">
        <v>568</v>
      </c>
      <c r="K229" s="99" t="s">
        <v>315</v>
      </c>
      <c r="L229" s="99" t="s">
        <v>439</v>
      </c>
      <c r="M229" s="99" t="s">
        <v>314</v>
      </c>
      <c r="N229" s="99" t="s">
        <v>4</v>
      </c>
      <c r="O229" s="99" t="s">
        <v>4</v>
      </c>
      <c r="P229" s="99" t="s">
        <v>4</v>
      </c>
      <c r="Q229" s="99" t="s">
        <v>421</v>
      </c>
      <c r="R229" s="99" t="s">
        <v>313</v>
      </c>
      <c r="S229" s="99" t="s">
        <v>677</v>
      </c>
      <c r="T229" s="99" t="s">
        <v>380</v>
      </c>
      <c r="U229" s="99" t="s">
        <v>373</v>
      </c>
      <c r="V229" s="99" t="s">
        <v>681</v>
      </c>
      <c r="W229" s="99" t="s">
        <v>325</v>
      </c>
      <c r="X229" s="99" t="s">
        <v>352</v>
      </c>
      <c r="Y229" s="99" t="s">
        <v>316</v>
      </c>
      <c r="Z229" s="99" t="s">
        <v>316</v>
      </c>
      <c r="AA229" s="99" t="s">
        <v>574</v>
      </c>
      <c r="AB229" s="99" t="s">
        <v>336</v>
      </c>
      <c r="AC229" s="99" t="s">
        <v>351</v>
      </c>
      <c r="AD229" s="99" t="s">
        <v>357</v>
      </c>
      <c r="AE229" s="99" t="s">
        <v>532</v>
      </c>
      <c r="AF229" s="99" t="s">
        <v>1203</v>
      </c>
      <c r="AG229" s="99" t="s">
        <v>323</v>
      </c>
      <c r="AH229" s="99" t="s">
        <v>303</v>
      </c>
      <c r="AI229" s="99" t="s">
        <v>6</v>
      </c>
      <c r="AJ229" s="99" t="s">
        <v>303</v>
      </c>
      <c r="AK229" s="99" t="s">
        <v>303</v>
      </c>
      <c r="AL229" s="99" t="s">
        <v>303</v>
      </c>
      <c r="AM229" s="99" t="s">
        <v>303</v>
      </c>
      <c r="AN229" s="99" t="s">
        <v>6</v>
      </c>
      <c r="AO229" s="99" t="s">
        <v>6</v>
      </c>
      <c r="AP229" s="99" t="s">
        <v>6</v>
      </c>
      <c r="AQ229" s="99" t="s">
        <v>303</v>
      </c>
      <c r="AR229" s="99" t="s">
        <v>558</v>
      </c>
      <c r="AS229" s="99" t="s">
        <v>335</v>
      </c>
      <c r="AT229" s="99" t="s">
        <v>299</v>
      </c>
      <c r="AU229" s="99" t="s">
        <v>342</v>
      </c>
      <c r="AV229" s="99" t="s">
        <v>297</v>
      </c>
      <c r="AW229" s="99" t="s">
        <v>381</v>
      </c>
      <c r="AX229" s="99" t="s">
        <v>375</v>
      </c>
      <c r="AY229" s="99" t="s">
        <v>717</v>
      </c>
    </row>
    <row r="230" spans="1:51" ht="100.8" x14ac:dyDescent="0.3">
      <c r="A230" s="98" t="s">
        <v>1586</v>
      </c>
      <c r="B230" s="99" t="s">
        <v>528</v>
      </c>
      <c r="C230" s="99" t="s">
        <v>580</v>
      </c>
      <c r="D230" s="99" t="s">
        <v>529</v>
      </c>
      <c r="E230" s="99" t="s">
        <v>330</v>
      </c>
      <c r="F230" s="99" t="s">
        <v>372</v>
      </c>
      <c r="G230" s="99" t="s">
        <v>407</v>
      </c>
      <c r="H230" s="99" t="s">
        <v>390</v>
      </c>
      <c r="I230" s="99" t="s">
        <v>309</v>
      </c>
      <c r="J230" s="99" t="s">
        <v>557</v>
      </c>
      <c r="K230" s="99" t="s">
        <v>328</v>
      </c>
      <c r="L230" s="99" t="s">
        <v>1587</v>
      </c>
      <c r="M230" s="99" t="s">
        <v>353</v>
      </c>
      <c r="N230" s="99" t="s">
        <v>4</v>
      </c>
      <c r="O230" s="99" t="s">
        <v>313</v>
      </c>
      <c r="P230" s="99" t="s">
        <v>4</v>
      </c>
      <c r="Q230" s="99" t="s">
        <v>1150</v>
      </c>
      <c r="R230" s="99" t="s">
        <v>327</v>
      </c>
      <c r="S230" s="99" t="s">
        <v>433</v>
      </c>
      <c r="T230" s="99" t="s">
        <v>366</v>
      </c>
      <c r="U230" s="99" t="s">
        <v>347</v>
      </c>
      <c r="V230" s="99" t="s">
        <v>645</v>
      </c>
      <c r="W230" s="99" t="s">
        <v>325</v>
      </c>
      <c r="X230" s="99" t="s">
        <v>352</v>
      </c>
      <c r="Y230" s="99" t="s">
        <v>316</v>
      </c>
      <c r="Z230" s="99" t="s">
        <v>316</v>
      </c>
      <c r="AA230" s="99" t="s">
        <v>691</v>
      </c>
      <c r="AB230" s="99" t="s">
        <v>336</v>
      </c>
      <c r="AC230" s="99" t="s">
        <v>351</v>
      </c>
      <c r="AD230" s="99" t="s">
        <v>462</v>
      </c>
      <c r="AE230" s="99" t="s">
        <v>532</v>
      </c>
      <c r="AF230" s="99" t="s">
        <v>932</v>
      </c>
      <c r="AG230" s="99" t="s">
        <v>323</v>
      </c>
      <c r="AH230" s="99" t="s">
        <v>303</v>
      </c>
      <c r="AI230" s="99" t="s">
        <v>6</v>
      </c>
      <c r="AJ230" s="99" t="s">
        <v>303</v>
      </c>
      <c r="AK230" s="99" t="s">
        <v>303</v>
      </c>
      <c r="AL230" s="99" t="s">
        <v>303</v>
      </c>
      <c r="AM230" s="99" t="s">
        <v>304</v>
      </c>
      <c r="AN230" s="99" t="s">
        <v>6</v>
      </c>
      <c r="AO230" s="99" t="s">
        <v>6</v>
      </c>
      <c r="AP230" s="99" t="s">
        <v>6</v>
      </c>
      <c r="AQ230" s="99" t="s">
        <v>302</v>
      </c>
      <c r="AR230" s="99" t="s">
        <v>378</v>
      </c>
      <c r="AS230" s="99" t="s">
        <v>350</v>
      </c>
      <c r="AT230" s="99" t="s">
        <v>355</v>
      </c>
      <c r="AU230" s="99" t="s">
        <v>342</v>
      </c>
      <c r="AV230" s="99" t="s">
        <v>364</v>
      </c>
      <c r="AW230" s="99" t="s">
        <v>324</v>
      </c>
      <c r="AX230" s="99" t="s">
        <v>341</v>
      </c>
      <c r="AY230" s="99" t="s">
        <v>436</v>
      </c>
    </row>
    <row r="231" spans="1:51" ht="172.8" x14ac:dyDescent="0.3">
      <c r="A231" s="98" t="s">
        <v>1588</v>
      </c>
      <c r="B231" s="99" t="s">
        <v>528</v>
      </c>
      <c r="C231" s="99" t="s">
        <v>580</v>
      </c>
      <c r="D231" s="99" t="s">
        <v>560</v>
      </c>
      <c r="E231" s="99" t="s">
        <v>330</v>
      </c>
      <c r="F231" s="99" t="s">
        <v>317</v>
      </c>
      <c r="G231" s="99" t="s">
        <v>407</v>
      </c>
      <c r="H231" s="99" t="s">
        <v>390</v>
      </c>
      <c r="I231" s="99" t="s">
        <v>345</v>
      </c>
      <c r="J231" s="99" t="s">
        <v>857</v>
      </c>
      <c r="K231" s="99" t="s">
        <v>328</v>
      </c>
      <c r="L231" s="99" t="s">
        <v>409</v>
      </c>
      <c r="M231" s="99" t="s">
        <v>353</v>
      </c>
      <c r="N231" s="99" t="s">
        <v>4</v>
      </c>
      <c r="O231" s="99" t="s">
        <v>327</v>
      </c>
      <c r="P231" s="99" t="s">
        <v>4</v>
      </c>
      <c r="Q231" s="99" t="s">
        <v>1589</v>
      </c>
      <c r="R231" s="99" t="s">
        <v>327</v>
      </c>
      <c r="S231" s="99" t="s">
        <v>601</v>
      </c>
      <c r="T231" s="99" t="s">
        <v>312</v>
      </c>
      <c r="U231" s="99" t="s">
        <v>373</v>
      </c>
      <c r="V231" s="99" t="s">
        <v>867</v>
      </c>
      <c r="W231" s="99" t="s">
        <v>1278</v>
      </c>
      <c r="X231" s="99" t="s">
        <v>310</v>
      </c>
      <c r="Y231" s="99" t="s">
        <v>316</v>
      </c>
      <c r="Z231" s="99" t="s">
        <v>316</v>
      </c>
      <c r="AA231" s="99" t="s">
        <v>691</v>
      </c>
      <c r="AB231" s="99" t="s">
        <v>308</v>
      </c>
      <c r="AC231" s="99" t="s">
        <v>324</v>
      </c>
      <c r="AD231" s="99" t="s">
        <v>448</v>
      </c>
      <c r="AE231" s="99" t="s">
        <v>533</v>
      </c>
      <c r="AF231" s="99" t="s">
        <v>840</v>
      </c>
      <c r="AG231" s="99" t="s">
        <v>304</v>
      </c>
      <c r="AH231" s="99" t="s">
        <v>303</v>
      </c>
      <c r="AI231" s="99" t="s">
        <v>6</v>
      </c>
      <c r="AJ231" s="99" t="s">
        <v>303</v>
      </c>
      <c r="AK231" s="99" t="s">
        <v>302</v>
      </c>
      <c r="AL231" s="99" t="s">
        <v>303</v>
      </c>
      <c r="AM231" s="99" t="s">
        <v>302</v>
      </c>
      <c r="AN231" s="99" t="s">
        <v>302</v>
      </c>
      <c r="AO231" s="99" t="s">
        <v>303</v>
      </c>
      <c r="AP231" s="99" t="s">
        <v>304</v>
      </c>
      <c r="AQ231" s="99" t="s">
        <v>303</v>
      </c>
      <c r="AR231" s="99" t="s">
        <v>365</v>
      </c>
      <c r="AS231" s="99" t="s">
        <v>350</v>
      </c>
      <c r="AT231" s="99" t="s">
        <v>355</v>
      </c>
      <c r="AU231" s="99" t="s">
        <v>342</v>
      </c>
      <c r="AV231" s="99" t="s">
        <v>536</v>
      </c>
      <c r="AW231" s="99" t="s">
        <v>307</v>
      </c>
      <c r="AX231" s="99" t="s">
        <v>534</v>
      </c>
      <c r="AY231" s="99" t="s">
        <v>683</v>
      </c>
    </row>
    <row r="232" spans="1:51" ht="100.8" x14ac:dyDescent="0.3">
      <c r="A232" s="98" t="s">
        <v>1590</v>
      </c>
      <c r="B232" s="99" t="s">
        <v>528</v>
      </c>
      <c r="C232" s="99" t="s">
        <v>580</v>
      </c>
      <c r="D232" s="99" t="s">
        <v>331</v>
      </c>
      <c r="E232" s="99" t="s">
        <v>330</v>
      </c>
      <c r="F232" s="99" t="s">
        <v>317</v>
      </c>
      <c r="G232" s="99" t="s">
        <v>407</v>
      </c>
      <c r="H232" s="99" t="s">
        <v>390</v>
      </c>
      <c r="I232" s="99" t="s">
        <v>345</v>
      </c>
      <c r="J232" s="99" t="s">
        <v>1359</v>
      </c>
      <c r="K232" s="99" t="s">
        <v>315</v>
      </c>
      <c r="L232" s="99" t="s">
        <v>427</v>
      </c>
      <c r="M232" s="99" t="s">
        <v>314</v>
      </c>
      <c r="N232" s="99" t="s">
        <v>313</v>
      </c>
      <c r="O232" s="99" t="s">
        <v>4</v>
      </c>
      <c r="P232" s="99" t="s">
        <v>4</v>
      </c>
      <c r="Q232" s="99" t="s">
        <v>566</v>
      </c>
      <c r="R232" s="99" t="s">
        <v>4</v>
      </c>
      <c r="S232" s="99" t="s">
        <v>1591</v>
      </c>
      <c r="T232" s="99" t="s">
        <v>366</v>
      </c>
      <c r="U232" s="99" t="s">
        <v>373</v>
      </c>
      <c r="V232" s="99" t="s">
        <v>936</v>
      </c>
      <c r="W232" s="99" t="s">
        <v>419</v>
      </c>
      <c r="X232" s="99" t="s">
        <v>346</v>
      </c>
      <c r="Y232" s="99" t="s">
        <v>316</v>
      </c>
      <c r="Z232" s="99" t="s">
        <v>316</v>
      </c>
      <c r="AA232" s="99" t="s">
        <v>1025</v>
      </c>
      <c r="AB232" s="99" t="s">
        <v>308</v>
      </c>
      <c r="AC232" s="99" t="s">
        <v>324</v>
      </c>
      <c r="AD232" s="99" t="s">
        <v>642</v>
      </c>
      <c r="AE232" s="99" t="s">
        <v>535</v>
      </c>
      <c r="AF232" s="99" t="s">
        <v>802</v>
      </c>
      <c r="AG232" s="99" t="s">
        <v>323</v>
      </c>
      <c r="AH232" s="99" t="s">
        <v>303</v>
      </c>
      <c r="AI232" s="99" t="s">
        <v>6</v>
      </c>
      <c r="AJ232" s="99" t="s">
        <v>303</v>
      </c>
      <c r="AK232" s="99" t="s">
        <v>303</v>
      </c>
      <c r="AL232" s="99" t="s">
        <v>304</v>
      </c>
      <c r="AM232" s="99" t="s">
        <v>303</v>
      </c>
      <c r="AN232" s="99" t="s">
        <v>303</v>
      </c>
      <c r="AO232" s="99" t="s">
        <v>303</v>
      </c>
      <c r="AP232" s="99" t="s">
        <v>303</v>
      </c>
      <c r="AQ232" s="99" t="s">
        <v>303</v>
      </c>
      <c r="AR232" s="99" t="s">
        <v>365</v>
      </c>
      <c r="AS232" s="99" t="s">
        <v>350</v>
      </c>
      <c r="AT232" s="99" t="s">
        <v>360</v>
      </c>
      <c r="AU232" s="99" t="s">
        <v>342</v>
      </c>
      <c r="AV232" s="99" t="s">
        <v>297</v>
      </c>
      <c r="AW232" s="99" t="s">
        <v>307</v>
      </c>
      <c r="AX232" s="99" t="s">
        <v>534</v>
      </c>
      <c r="AY232" s="99" t="s">
        <v>1592</v>
      </c>
    </row>
    <row r="233" spans="1:51" ht="115.2" x14ac:dyDescent="0.3">
      <c r="A233" s="98" t="s">
        <v>1593</v>
      </c>
      <c r="B233" s="99" t="s">
        <v>528</v>
      </c>
      <c r="C233" s="99" t="s">
        <v>580</v>
      </c>
      <c r="D233" s="99" t="s">
        <v>560</v>
      </c>
      <c r="E233" s="99" t="s">
        <v>3</v>
      </c>
      <c r="F233" s="99" t="s">
        <v>317</v>
      </c>
      <c r="G233" s="99" t="s">
        <v>430</v>
      </c>
      <c r="H233" s="99" t="s">
        <v>5</v>
      </c>
      <c r="I233" s="99" t="s">
        <v>309</v>
      </c>
      <c r="J233" s="99" t="s">
        <v>1594</v>
      </c>
      <c r="K233" s="99" t="s">
        <v>315</v>
      </c>
      <c r="L233" s="99" t="s">
        <v>434</v>
      </c>
      <c r="M233" s="99" t="s">
        <v>353</v>
      </c>
      <c r="N233" s="99" t="s">
        <v>4</v>
      </c>
      <c r="O233" s="99" t="s">
        <v>4</v>
      </c>
      <c r="P233" s="99" t="s">
        <v>374</v>
      </c>
      <c r="Q233" s="99" t="s">
        <v>667</v>
      </c>
      <c r="R233" s="99" t="s">
        <v>327</v>
      </c>
      <c r="S233" s="99" t="s">
        <v>1164</v>
      </c>
      <c r="T233" s="99" t="s">
        <v>312</v>
      </c>
      <c r="U233" s="99" t="s">
        <v>311</v>
      </c>
      <c r="V233" s="99" t="s">
        <v>1056</v>
      </c>
      <c r="W233" s="99" t="s">
        <v>338</v>
      </c>
      <c r="X233" s="99" t="s">
        <v>352</v>
      </c>
      <c r="Y233" s="99" t="s">
        <v>316</v>
      </c>
      <c r="Z233" s="99" t="s">
        <v>316</v>
      </c>
      <c r="AA233" s="99" t="s">
        <v>531</v>
      </c>
      <c r="AB233" s="99" t="s">
        <v>358</v>
      </c>
      <c r="AC233" s="99" t="s">
        <v>324</v>
      </c>
      <c r="AD233" s="99" t="s">
        <v>426</v>
      </c>
      <c r="AE233" s="99" t="s">
        <v>535</v>
      </c>
      <c r="AF233" s="99" t="s">
        <v>962</v>
      </c>
      <c r="AG233" s="99" t="s">
        <v>304</v>
      </c>
      <c r="AH233" s="99" t="s">
        <v>304</v>
      </c>
      <c r="AI233" s="99" t="s">
        <v>304</v>
      </c>
      <c r="AJ233" s="99" t="s">
        <v>304</v>
      </c>
      <c r="AK233" s="99" t="s">
        <v>303</v>
      </c>
      <c r="AL233" s="99" t="s">
        <v>303</v>
      </c>
      <c r="AM233" s="99" t="s">
        <v>303</v>
      </c>
      <c r="AN233" s="99" t="s">
        <v>304</v>
      </c>
      <c r="AO233" s="99" t="s">
        <v>304</v>
      </c>
      <c r="AP233" s="99" t="s">
        <v>304</v>
      </c>
      <c r="AQ233" s="99" t="s">
        <v>303</v>
      </c>
      <c r="AR233" s="99" t="s">
        <v>391</v>
      </c>
      <c r="AS233" s="99" t="s">
        <v>300</v>
      </c>
      <c r="AT233" s="99" t="s">
        <v>360</v>
      </c>
      <c r="AU233" s="99" t="s">
        <v>342</v>
      </c>
      <c r="AV233" s="99" t="s">
        <v>364</v>
      </c>
      <c r="AW233" s="99" t="s">
        <v>307</v>
      </c>
      <c r="AX233" s="99" t="s">
        <v>341</v>
      </c>
      <c r="AY233" s="99" t="s">
        <v>683</v>
      </c>
    </row>
    <row r="234" spans="1:51" ht="72" x14ac:dyDescent="0.3">
      <c r="A234" s="98" t="s">
        <v>1595</v>
      </c>
      <c r="B234" s="99" t="s">
        <v>528</v>
      </c>
      <c r="C234" s="99" t="s">
        <v>580</v>
      </c>
      <c r="D234" s="99" t="s">
        <v>529</v>
      </c>
      <c r="E234" s="99" t="s">
        <v>330</v>
      </c>
      <c r="F234" s="99" t="s">
        <v>919</v>
      </c>
      <c r="G234" s="99" t="s">
        <v>407</v>
      </c>
      <c r="H234" s="99" t="s">
        <v>390</v>
      </c>
      <c r="I234" s="99" t="s">
        <v>345</v>
      </c>
      <c r="J234" s="99" t="s">
        <v>1596</v>
      </c>
      <c r="K234" s="99" t="s">
        <v>315</v>
      </c>
      <c r="L234" s="99" t="s">
        <v>427</v>
      </c>
      <c r="M234" s="99" t="s">
        <v>353</v>
      </c>
      <c r="N234" s="99" t="s">
        <v>313</v>
      </c>
      <c r="O234" s="99" t="s">
        <v>4</v>
      </c>
      <c r="P234" s="99" t="s">
        <v>327</v>
      </c>
      <c r="Q234" s="99" t="s">
        <v>421</v>
      </c>
      <c r="R234" s="99" t="s">
        <v>327</v>
      </c>
      <c r="S234" s="99" t="s">
        <v>677</v>
      </c>
      <c r="T234" s="99" t="s">
        <v>312</v>
      </c>
      <c r="U234" s="99" t="s">
        <v>373</v>
      </c>
      <c r="V234" s="99" t="s">
        <v>553</v>
      </c>
      <c r="W234" s="99" t="s">
        <v>325</v>
      </c>
      <c r="X234" s="99" t="s">
        <v>352</v>
      </c>
      <c r="Y234" s="99" t="s">
        <v>316</v>
      </c>
      <c r="Z234" s="99" t="s">
        <v>316</v>
      </c>
      <c r="AA234" s="99" t="s">
        <v>472</v>
      </c>
      <c r="AB234" s="99" t="s">
        <v>389</v>
      </c>
      <c r="AC234" s="99" t="s">
        <v>324</v>
      </c>
      <c r="AD234" s="99" t="s">
        <v>426</v>
      </c>
      <c r="AE234" s="99" t="s">
        <v>539</v>
      </c>
      <c r="AF234" s="99" t="s">
        <v>835</v>
      </c>
      <c r="AG234" s="99" t="s">
        <v>304</v>
      </c>
      <c r="AH234" s="99" t="s">
        <v>303</v>
      </c>
      <c r="AI234" s="99" t="s">
        <v>303</v>
      </c>
      <c r="AJ234" s="99" t="s">
        <v>304</v>
      </c>
      <c r="AK234" s="99" t="s">
        <v>302</v>
      </c>
      <c r="AL234" s="99" t="s">
        <v>304</v>
      </c>
      <c r="AM234" s="99" t="s">
        <v>302</v>
      </c>
      <c r="AN234" s="99" t="s">
        <v>303</v>
      </c>
      <c r="AO234" s="99" t="s">
        <v>303</v>
      </c>
      <c r="AP234" s="99" t="s">
        <v>303</v>
      </c>
      <c r="AQ234" s="99" t="s">
        <v>304</v>
      </c>
      <c r="AR234" s="99" t="s">
        <v>301</v>
      </c>
      <c r="AS234" s="99" t="s">
        <v>350</v>
      </c>
      <c r="AT234" s="99" t="s">
        <v>355</v>
      </c>
      <c r="AU234" s="99" t="s">
        <v>320</v>
      </c>
      <c r="AV234" s="99" t="s">
        <v>297</v>
      </c>
      <c r="AW234" s="99" t="s">
        <v>307</v>
      </c>
      <c r="AX234" s="99" t="s">
        <v>341</v>
      </c>
      <c r="AY234" s="99" t="s">
        <v>356</v>
      </c>
    </row>
    <row r="235" spans="1:51" ht="230.4" x14ac:dyDescent="0.3">
      <c r="A235" s="98" t="s">
        <v>1597</v>
      </c>
      <c r="B235" s="99" t="s">
        <v>528</v>
      </c>
      <c r="C235" s="99" t="s">
        <v>580</v>
      </c>
      <c r="D235" s="99" t="s">
        <v>529</v>
      </c>
      <c r="E235" s="99" t="s">
        <v>330</v>
      </c>
      <c r="F235" s="99" t="s">
        <v>317</v>
      </c>
      <c r="G235" s="99" t="s">
        <v>435</v>
      </c>
      <c r="H235" s="99" t="s">
        <v>390</v>
      </c>
      <c r="I235" s="99" t="s">
        <v>309</v>
      </c>
      <c r="J235" s="99" t="s">
        <v>440</v>
      </c>
      <c r="K235" s="99" t="s">
        <v>315</v>
      </c>
      <c r="L235" s="99" t="s">
        <v>594</v>
      </c>
      <c r="M235" s="99" t="s">
        <v>363</v>
      </c>
      <c r="N235" s="99" t="s">
        <v>327</v>
      </c>
      <c r="O235" s="99" t="s">
        <v>4</v>
      </c>
      <c r="P235" s="99" t="s">
        <v>4</v>
      </c>
      <c r="Q235" s="99" t="s">
        <v>429</v>
      </c>
      <c r="R235" s="99" t="s">
        <v>327</v>
      </c>
      <c r="S235" s="99" t="s">
        <v>1277</v>
      </c>
      <c r="T235" s="99" t="s">
        <v>326</v>
      </c>
      <c r="U235" s="99" t="s">
        <v>373</v>
      </c>
      <c r="V235" s="99" t="s">
        <v>1452</v>
      </c>
      <c r="W235" s="99" t="s">
        <v>338</v>
      </c>
      <c r="X235" s="99" t="s">
        <v>346</v>
      </c>
      <c r="Y235" s="99" t="s">
        <v>316</v>
      </c>
      <c r="Z235" s="99" t="s">
        <v>316</v>
      </c>
      <c r="AA235" s="99" t="s">
        <v>1598</v>
      </c>
      <c r="AB235" s="99" t="s">
        <v>389</v>
      </c>
      <c r="AC235" s="99" t="s">
        <v>324</v>
      </c>
      <c r="AD235" s="99" t="s">
        <v>1599</v>
      </c>
      <c r="AE235" s="99" t="s">
        <v>535</v>
      </c>
      <c r="AF235" s="99" t="s">
        <v>1600</v>
      </c>
      <c r="AG235" s="99" t="s">
        <v>304</v>
      </c>
      <c r="AH235" s="99" t="s">
        <v>302</v>
      </c>
      <c r="AI235" s="99" t="s">
        <v>303</v>
      </c>
      <c r="AJ235" s="99" t="s">
        <v>304</v>
      </c>
      <c r="AK235" s="99" t="s">
        <v>304</v>
      </c>
      <c r="AL235" s="99" t="s">
        <v>303</v>
      </c>
      <c r="AM235" s="99" t="s">
        <v>305</v>
      </c>
      <c r="AN235" s="99" t="s">
        <v>303</v>
      </c>
      <c r="AO235" s="99" t="s">
        <v>303</v>
      </c>
      <c r="AP235" s="99" t="s">
        <v>302</v>
      </c>
      <c r="AQ235" s="99" t="s">
        <v>303</v>
      </c>
      <c r="AR235" s="99" t="s">
        <v>365</v>
      </c>
      <c r="AS235" s="99" t="s">
        <v>350</v>
      </c>
      <c r="AT235" s="99" t="s">
        <v>321</v>
      </c>
      <c r="AU235" s="99" t="s">
        <v>342</v>
      </c>
      <c r="AV235" s="99" t="s">
        <v>297</v>
      </c>
      <c r="AW235" s="99" t="s">
        <v>307</v>
      </c>
      <c r="AX235" s="99" t="s">
        <v>534</v>
      </c>
      <c r="AY235" s="99" t="s">
        <v>1601</v>
      </c>
    </row>
    <row r="236" spans="1:51" ht="144" x14ac:dyDescent="0.3">
      <c r="A236" s="98" t="s">
        <v>1602</v>
      </c>
      <c r="B236" s="99" t="s">
        <v>528</v>
      </c>
      <c r="C236" s="99" t="s">
        <v>580</v>
      </c>
      <c r="D236" s="99" t="s">
        <v>529</v>
      </c>
      <c r="E236" s="99" t="s">
        <v>330</v>
      </c>
      <c r="F236" s="99" t="s">
        <v>317</v>
      </c>
      <c r="G236" s="99" t="s">
        <v>655</v>
      </c>
      <c r="H236" s="99" t="s">
        <v>5</v>
      </c>
      <c r="I236" s="99" t="s">
        <v>309</v>
      </c>
      <c r="J236" s="99" t="s">
        <v>623</v>
      </c>
      <c r="K236" s="99" t="s">
        <v>368</v>
      </c>
      <c r="L236" s="99" t="s">
        <v>1603</v>
      </c>
      <c r="M236" s="99" t="s">
        <v>353</v>
      </c>
      <c r="N236" s="99" t="s">
        <v>327</v>
      </c>
      <c r="O236" s="99" t="s">
        <v>4</v>
      </c>
      <c r="P236" s="99" t="s">
        <v>4</v>
      </c>
      <c r="Q236" s="99" t="s">
        <v>399</v>
      </c>
      <c r="R236" s="99" t="s">
        <v>327</v>
      </c>
      <c r="S236" s="99" t="s">
        <v>1604</v>
      </c>
      <c r="T236" s="99" t="s">
        <v>380</v>
      </c>
      <c r="U236" s="99" t="s">
        <v>530</v>
      </c>
      <c r="V236" s="99" t="s">
        <v>863</v>
      </c>
      <c r="W236" s="99" t="s">
        <v>550</v>
      </c>
      <c r="X236" s="99" t="s">
        <v>310</v>
      </c>
      <c r="Y236" s="99" t="s">
        <v>316</v>
      </c>
      <c r="Z236" s="99" t="s">
        <v>316</v>
      </c>
      <c r="AA236" s="99" t="s">
        <v>408</v>
      </c>
      <c r="AB236" s="99" t="s">
        <v>376</v>
      </c>
      <c r="AC236" s="99" t="s">
        <v>324</v>
      </c>
      <c r="AD236" s="99" t="s">
        <v>431</v>
      </c>
      <c r="AE236" s="99" t="s">
        <v>532</v>
      </c>
      <c r="AF236" s="99" t="s">
        <v>1605</v>
      </c>
      <c r="AG236" s="99" t="s">
        <v>323</v>
      </c>
      <c r="AH236" s="99" t="s">
        <v>303</v>
      </c>
      <c r="AI236" s="99" t="s">
        <v>303</v>
      </c>
      <c r="AJ236" s="99"/>
      <c r="AK236" s="99" t="s">
        <v>303</v>
      </c>
      <c r="AL236" s="99" t="s">
        <v>303</v>
      </c>
      <c r="AM236" s="99" t="s">
        <v>303</v>
      </c>
      <c r="AN236" s="99" t="s">
        <v>303</v>
      </c>
      <c r="AO236" s="99" t="s">
        <v>303</v>
      </c>
      <c r="AP236" s="99" t="s">
        <v>303</v>
      </c>
      <c r="AQ236" s="99" t="s">
        <v>303</v>
      </c>
      <c r="AR236" s="99" t="s">
        <v>301</v>
      </c>
      <c r="AS236" s="99"/>
      <c r="AT236" s="99" t="s">
        <v>321</v>
      </c>
      <c r="AU236" s="99" t="s">
        <v>320</v>
      </c>
      <c r="AV236" s="99" t="s">
        <v>536</v>
      </c>
      <c r="AW236" s="99" t="s">
        <v>307</v>
      </c>
      <c r="AX236" s="99" t="s">
        <v>319</v>
      </c>
      <c r="AY236" s="99" t="s">
        <v>447</v>
      </c>
    </row>
    <row r="237" spans="1:51" ht="86.4" x14ac:dyDescent="0.3">
      <c r="A237" s="98">
        <v>42099.213541666664</v>
      </c>
      <c r="B237" s="99" t="s">
        <v>528</v>
      </c>
      <c r="C237" s="99" t="s">
        <v>552</v>
      </c>
      <c r="D237" s="99" t="s">
        <v>331</v>
      </c>
      <c r="E237" s="99" t="s">
        <v>330</v>
      </c>
      <c r="F237" s="99" t="s">
        <v>372</v>
      </c>
      <c r="G237" s="99" t="s">
        <v>407</v>
      </c>
      <c r="H237" s="99" t="s">
        <v>390</v>
      </c>
      <c r="I237" s="99" t="s">
        <v>494</v>
      </c>
      <c r="J237" s="99" t="s">
        <v>634</v>
      </c>
      <c r="K237" s="99" t="s">
        <v>315</v>
      </c>
      <c r="L237" s="99" t="s">
        <v>1131</v>
      </c>
      <c r="M237" s="99" t="s">
        <v>562</v>
      </c>
      <c r="N237" s="99" t="s">
        <v>313</v>
      </c>
      <c r="O237" s="99" t="s">
        <v>374</v>
      </c>
      <c r="P237" s="99" t="s">
        <v>374</v>
      </c>
      <c r="Q237" s="99" t="s">
        <v>1360</v>
      </c>
      <c r="R237" s="99" t="s">
        <v>374</v>
      </c>
      <c r="S237" s="99"/>
      <c r="T237" s="99"/>
      <c r="U237" s="99" t="s">
        <v>373</v>
      </c>
      <c r="V237" s="99"/>
      <c r="W237" s="99" t="s">
        <v>325</v>
      </c>
      <c r="X237" s="99" t="s">
        <v>352</v>
      </c>
      <c r="Y237" s="99" t="s">
        <v>316</v>
      </c>
      <c r="Z237" s="99" t="s">
        <v>316</v>
      </c>
      <c r="AA237" s="99" t="s">
        <v>574</v>
      </c>
      <c r="AB237" s="99" t="s">
        <v>358</v>
      </c>
      <c r="AC237" s="99" t="s">
        <v>324</v>
      </c>
      <c r="AD237" s="99" t="s">
        <v>426</v>
      </c>
      <c r="AE237" s="99" t="s">
        <v>535</v>
      </c>
      <c r="AF237" s="99" t="s">
        <v>1330</v>
      </c>
      <c r="AG237" s="99" t="s">
        <v>304</v>
      </c>
      <c r="AH237" s="99" t="s">
        <v>6</v>
      </c>
      <c r="AI237" s="99" t="s">
        <v>6</v>
      </c>
      <c r="AJ237" s="99" t="s">
        <v>304</v>
      </c>
      <c r="AK237" s="99" t="s">
        <v>304</v>
      </c>
      <c r="AL237" s="99" t="s">
        <v>303</v>
      </c>
      <c r="AM237" s="99" t="s">
        <v>304</v>
      </c>
      <c r="AN237" s="99" t="s">
        <v>304</v>
      </c>
      <c r="AO237" s="99" t="s">
        <v>304</v>
      </c>
      <c r="AP237" s="99" t="s">
        <v>6</v>
      </c>
      <c r="AQ237" s="99" t="s">
        <v>303</v>
      </c>
      <c r="AR237" s="99" t="s">
        <v>541</v>
      </c>
      <c r="AS237" s="99" t="s">
        <v>335</v>
      </c>
      <c r="AT237" s="99" t="s">
        <v>334</v>
      </c>
      <c r="AU237" s="99" t="s">
        <v>320</v>
      </c>
      <c r="AV237" s="99" t="s">
        <v>297</v>
      </c>
      <c r="AW237" s="99" t="s">
        <v>324</v>
      </c>
      <c r="AX237" s="99" t="s">
        <v>534</v>
      </c>
      <c r="AY237" s="99" t="s">
        <v>1606</v>
      </c>
    </row>
    <row r="238" spans="1:51" ht="144" x14ac:dyDescent="0.3">
      <c r="A238" s="98">
        <v>42099.217013888891</v>
      </c>
      <c r="B238" s="99" t="s">
        <v>528</v>
      </c>
      <c r="C238" s="99" t="s">
        <v>552</v>
      </c>
      <c r="D238" s="99" t="s">
        <v>560</v>
      </c>
      <c r="E238" s="99" t="s">
        <v>330</v>
      </c>
      <c r="F238" s="99" t="s">
        <v>372</v>
      </c>
      <c r="G238" s="99" t="s">
        <v>451</v>
      </c>
      <c r="H238" s="99" t="s">
        <v>5</v>
      </c>
      <c r="I238" s="99" t="s">
        <v>345</v>
      </c>
      <c r="J238" s="99" t="s">
        <v>1607</v>
      </c>
      <c r="K238" s="99" t="s">
        <v>354</v>
      </c>
      <c r="L238" s="99" t="s">
        <v>463</v>
      </c>
      <c r="M238" s="99" t="s">
        <v>314</v>
      </c>
      <c r="N238" s="99" t="s">
        <v>4</v>
      </c>
      <c r="O238" s="99" t="s">
        <v>327</v>
      </c>
      <c r="P238" s="99" t="s">
        <v>313</v>
      </c>
      <c r="Q238" s="99" t="s">
        <v>885</v>
      </c>
      <c r="R238" s="99" t="s">
        <v>313</v>
      </c>
      <c r="S238" s="99" t="s">
        <v>1185</v>
      </c>
      <c r="T238" s="99" t="s">
        <v>380</v>
      </c>
      <c r="U238" s="99" t="s">
        <v>373</v>
      </c>
      <c r="V238" s="99" t="s">
        <v>339</v>
      </c>
      <c r="W238" s="99" t="s">
        <v>1608</v>
      </c>
      <c r="X238" s="99" t="s">
        <v>352</v>
      </c>
      <c r="Y238" s="99" t="s">
        <v>316</v>
      </c>
      <c r="Z238" s="99" t="s">
        <v>316</v>
      </c>
      <c r="AA238" s="99" t="s">
        <v>1609</v>
      </c>
      <c r="AB238" s="99" t="s">
        <v>358</v>
      </c>
      <c r="AC238" s="99" t="s">
        <v>324</v>
      </c>
      <c r="AD238" s="99" t="s">
        <v>604</v>
      </c>
      <c r="AE238" s="99" t="s">
        <v>539</v>
      </c>
      <c r="AF238" s="99" t="s">
        <v>1107</v>
      </c>
      <c r="AG238" s="99" t="s">
        <v>304</v>
      </c>
      <c r="AH238" s="99" t="s">
        <v>6</v>
      </c>
      <c r="AI238" s="99" t="s">
        <v>6</v>
      </c>
      <c r="AJ238" s="99" t="s">
        <v>304</v>
      </c>
      <c r="AK238" s="99" t="s">
        <v>304</v>
      </c>
      <c r="AL238" s="99" t="s">
        <v>304</v>
      </c>
      <c r="AM238" s="99" t="s">
        <v>303</v>
      </c>
      <c r="AN238" s="99" t="s">
        <v>304</v>
      </c>
      <c r="AO238" s="99" t="s">
        <v>305</v>
      </c>
      <c r="AP238" s="99" t="s">
        <v>305</v>
      </c>
      <c r="AQ238" s="99" t="s">
        <v>304</v>
      </c>
      <c r="AR238" s="99" t="s">
        <v>301</v>
      </c>
      <c r="AS238" s="99" t="s">
        <v>300</v>
      </c>
      <c r="AT238" s="99" t="s">
        <v>334</v>
      </c>
      <c r="AU238" s="99" t="s">
        <v>342</v>
      </c>
      <c r="AV238" s="99" t="s">
        <v>333</v>
      </c>
      <c r="AW238" s="99" t="s">
        <v>324</v>
      </c>
      <c r="AX238" s="99" t="s">
        <v>341</v>
      </c>
      <c r="AY238" s="99" t="s">
        <v>643</v>
      </c>
    </row>
    <row r="239" spans="1:51" ht="115.2" x14ac:dyDescent="0.3">
      <c r="A239" s="98">
        <v>42099.217129629629</v>
      </c>
      <c r="B239" s="99" t="s">
        <v>528</v>
      </c>
      <c r="C239" s="99" t="s">
        <v>552</v>
      </c>
      <c r="D239" s="99" t="s">
        <v>331</v>
      </c>
      <c r="E239" s="99" t="s">
        <v>3</v>
      </c>
      <c r="F239" s="99" t="s">
        <v>317</v>
      </c>
      <c r="G239" s="99" t="s">
        <v>407</v>
      </c>
      <c r="H239" s="99" t="s">
        <v>390</v>
      </c>
      <c r="I239" s="99" t="s">
        <v>309</v>
      </c>
      <c r="J239" s="99" t="s">
        <v>1263</v>
      </c>
      <c r="K239" s="99" t="s">
        <v>315</v>
      </c>
      <c r="L239" s="99" t="s">
        <v>411</v>
      </c>
      <c r="M239" s="99" t="s">
        <v>367</v>
      </c>
      <c r="N239" s="99" t="s">
        <v>4</v>
      </c>
      <c r="O239" s="99" t="s">
        <v>313</v>
      </c>
      <c r="P239" s="99" t="s">
        <v>313</v>
      </c>
      <c r="Q239" s="99" t="s">
        <v>411</v>
      </c>
      <c r="R239" s="99" t="s">
        <v>4</v>
      </c>
      <c r="S239" s="99" t="s">
        <v>1610</v>
      </c>
      <c r="T239" s="99" t="s">
        <v>326</v>
      </c>
      <c r="U239" s="99" t="s">
        <v>373</v>
      </c>
      <c r="V239" s="99" t="s">
        <v>1039</v>
      </c>
      <c r="W239" s="99" t="s">
        <v>325</v>
      </c>
      <c r="X239" s="99" t="s">
        <v>352</v>
      </c>
      <c r="Y239" s="99" t="s">
        <v>316</v>
      </c>
      <c r="Z239" s="99" t="s">
        <v>316</v>
      </c>
      <c r="AA239" s="99" t="s">
        <v>490</v>
      </c>
      <c r="AB239" s="99" t="s">
        <v>376</v>
      </c>
      <c r="AC239" s="99" t="s">
        <v>324</v>
      </c>
      <c r="AD239" s="99" t="s">
        <v>426</v>
      </c>
      <c r="AE239" s="99" t="s">
        <v>545</v>
      </c>
      <c r="AF239" s="99" t="s">
        <v>1107</v>
      </c>
      <c r="AG239" s="99" t="s">
        <v>323</v>
      </c>
      <c r="AH239" s="99" t="s">
        <v>303</v>
      </c>
      <c r="AI239" s="99"/>
      <c r="AJ239" s="99" t="s">
        <v>303</v>
      </c>
      <c r="AK239" s="99" t="s">
        <v>303</v>
      </c>
      <c r="AL239" s="99" t="s">
        <v>303</v>
      </c>
      <c r="AM239" s="99" t="s">
        <v>304</v>
      </c>
      <c r="AN239" s="99" t="s">
        <v>304</v>
      </c>
      <c r="AO239" s="99" t="s">
        <v>303</v>
      </c>
      <c r="AP239" s="99" t="s">
        <v>303</v>
      </c>
      <c r="AQ239" s="99" t="s">
        <v>303</v>
      </c>
      <c r="AR239" s="99" t="s">
        <v>391</v>
      </c>
      <c r="AS239" s="99" t="s">
        <v>540</v>
      </c>
      <c r="AT239" s="99" t="s">
        <v>360</v>
      </c>
      <c r="AU239" s="99" t="s">
        <v>320</v>
      </c>
      <c r="AV239" s="99" t="s">
        <v>364</v>
      </c>
      <c r="AW239" s="99" t="s">
        <v>307</v>
      </c>
      <c r="AX239" s="99" t="s">
        <v>341</v>
      </c>
      <c r="AY239" s="99" t="s">
        <v>1611</v>
      </c>
    </row>
    <row r="240" spans="1:51" ht="201.6" x14ac:dyDescent="0.3">
      <c r="A240" s="98">
        <v>42099.217615740738</v>
      </c>
      <c r="B240" s="99" t="s">
        <v>528</v>
      </c>
      <c r="C240" s="99" t="s">
        <v>552</v>
      </c>
      <c r="D240" s="99" t="s">
        <v>529</v>
      </c>
      <c r="E240" s="99" t="s">
        <v>3</v>
      </c>
      <c r="F240" s="99" t="s">
        <v>317</v>
      </c>
      <c r="G240" s="99" t="s">
        <v>430</v>
      </c>
      <c r="H240" s="99" t="s">
        <v>823</v>
      </c>
      <c r="I240" s="99" t="s">
        <v>309</v>
      </c>
      <c r="J240" s="99" t="s">
        <v>568</v>
      </c>
      <c r="K240" s="99" t="s">
        <v>359</v>
      </c>
      <c r="L240" s="99" t="s">
        <v>450</v>
      </c>
      <c r="M240" s="99" t="s">
        <v>348</v>
      </c>
      <c r="N240" s="99" t="s">
        <v>4</v>
      </c>
      <c r="O240" s="99" t="s">
        <v>313</v>
      </c>
      <c r="P240" s="99" t="s">
        <v>327</v>
      </c>
      <c r="Q240" s="99" t="s">
        <v>411</v>
      </c>
      <c r="R240" s="99" t="s">
        <v>327</v>
      </c>
      <c r="S240" s="99" t="s">
        <v>820</v>
      </c>
      <c r="T240" s="99" t="s">
        <v>312</v>
      </c>
      <c r="U240" s="99" t="s">
        <v>373</v>
      </c>
      <c r="V240" s="99" t="s">
        <v>1612</v>
      </c>
      <c r="W240" s="99" t="s">
        <v>338</v>
      </c>
      <c r="X240" s="99" t="s">
        <v>346</v>
      </c>
      <c r="Y240" s="99" t="s">
        <v>316</v>
      </c>
      <c r="Z240" s="99" t="s">
        <v>316</v>
      </c>
      <c r="AA240" s="99" t="s">
        <v>685</v>
      </c>
      <c r="AB240" s="99" t="s">
        <v>389</v>
      </c>
      <c r="AC240" s="99" t="s">
        <v>307</v>
      </c>
      <c r="AD240" s="99"/>
      <c r="AE240" s="99" t="s">
        <v>539</v>
      </c>
      <c r="AF240" s="99" t="s">
        <v>792</v>
      </c>
      <c r="AG240" s="99" t="s">
        <v>306</v>
      </c>
      <c r="AH240" s="99" t="s">
        <v>302</v>
      </c>
      <c r="AI240" s="99" t="s">
        <v>6</v>
      </c>
      <c r="AJ240" s="99" t="s">
        <v>303</v>
      </c>
      <c r="AK240" s="99" t="s">
        <v>302</v>
      </c>
      <c r="AL240" s="99" t="s">
        <v>302</v>
      </c>
      <c r="AM240" s="99" t="s">
        <v>302</v>
      </c>
      <c r="AN240" s="99" t="s">
        <v>303</v>
      </c>
      <c r="AO240" s="99" t="s">
        <v>303</v>
      </c>
      <c r="AP240" s="99" t="s">
        <v>303</v>
      </c>
      <c r="AQ240" s="99" t="s">
        <v>302</v>
      </c>
      <c r="AR240" s="99" t="s">
        <v>391</v>
      </c>
      <c r="AS240" s="99" t="s">
        <v>300</v>
      </c>
      <c r="AT240" s="99" t="s">
        <v>321</v>
      </c>
      <c r="AU240" s="99" t="s">
        <v>342</v>
      </c>
      <c r="AV240" s="99" t="s">
        <v>333</v>
      </c>
      <c r="AW240" s="99" t="s">
        <v>307</v>
      </c>
      <c r="AX240" s="99" t="s">
        <v>341</v>
      </c>
      <c r="AY240" s="99" t="s">
        <v>482</v>
      </c>
    </row>
    <row r="241" spans="1:51" ht="72" x14ac:dyDescent="0.3">
      <c r="A241" s="98">
        <v>42099.217766203707</v>
      </c>
      <c r="B241" s="99" t="s">
        <v>528</v>
      </c>
      <c r="C241" s="99" t="s">
        <v>552</v>
      </c>
      <c r="D241" s="99" t="s">
        <v>529</v>
      </c>
      <c r="E241" s="99" t="s">
        <v>330</v>
      </c>
      <c r="F241" s="99" t="s">
        <v>372</v>
      </c>
      <c r="G241" s="99" t="s">
        <v>407</v>
      </c>
      <c r="H241" s="99" t="s">
        <v>390</v>
      </c>
      <c r="I241" s="99" t="s">
        <v>345</v>
      </c>
      <c r="J241" s="99" t="s">
        <v>1455</v>
      </c>
      <c r="K241" s="99" t="s">
        <v>368</v>
      </c>
      <c r="L241" s="99" t="s">
        <v>868</v>
      </c>
      <c r="M241" s="99" t="s">
        <v>377</v>
      </c>
      <c r="N241" s="99" t="s">
        <v>313</v>
      </c>
      <c r="O241" s="99" t="s">
        <v>327</v>
      </c>
      <c r="P241" s="99" t="s">
        <v>313</v>
      </c>
      <c r="Q241" s="99" t="s">
        <v>399</v>
      </c>
      <c r="R241" s="99" t="s">
        <v>327</v>
      </c>
      <c r="S241" s="99" t="s">
        <v>397</v>
      </c>
      <c r="T241" s="99" t="s">
        <v>380</v>
      </c>
      <c r="U241" s="99" t="s">
        <v>373</v>
      </c>
      <c r="V241" s="99"/>
      <c r="W241" s="99" t="s">
        <v>338</v>
      </c>
      <c r="X241" s="99" t="s">
        <v>352</v>
      </c>
      <c r="Y241" s="99" t="s">
        <v>316</v>
      </c>
      <c r="Z241" s="99" t="s">
        <v>316</v>
      </c>
      <c r="AA241" s="99" t="s">
        <v>432</v>
      </c>
      <c r="AB241" s="99" t="s">
        <v>308</v>
      </c>
      <c r="AC241" s="99" t="s">
        <v>324</v>
      </c>
      <c r="AD241" s="99" t="s">
        <v>599</v>
      </c>
      <c r="AE241" s="99" t="s">
        <v>545</v>
      </c>
      <c r="AF241" s="99" t="s">
        <v>1613</v>
      </c>
      <c r="AG241" s="99" t="s">
        <v>304</v>
      </c>
      <c r="AH241" s="99" t="s">
        <v>303</v>
      </c>
      <c r="AI241" s="99" t="s">
        <v>6</v>
      </c>
      <c r="AJ241" s="99" t="s">
        <v>303</v>
      </c>
      <c r="AK241" s="99" t="s">
        <v>303</v>
      </c>
      <c r="AL241" s="99" t="s">
        <v>304</v>
      </c>
      <c r="AM241" s="99" t="s">
        <v>303</v>
      </c>
      <c r="AN241" s="99" t="s">
        <v>6</v>
      </c>
      <c r="AO241" s="99" t="s">
        <v>304</v>
      </c>
      <c r="AP241" s="99" t="s">
        <v>6</v>
      </c>
      <c r="AQ241" s="99" t="s">
        <v>303</v>
      </c>
      <c r="AR241" s="99" t="s">
        <v>391</v>
      </c>
      <c r="AS241" s="99" t="s">
        <v>350</v>
      </c>
      <c r="AT241" s="99" t="s">
        <v>355</v>
      </c>
      <c r="AU241" s="99" t="s">
        <v>320</v>
      </c>
      <c r="AV241" s="99" t="s">
        <v>333</v>
      </c>
      <c r="AW241" s="99" t="s">
        <v>307</v>
      </c>
      <c r="AX241" s="99" t="s">
        <v>341</v>
      </c>
      <c r="AY241" s="99" t="s">
        <v>332</v>
      </c>
    </row>
    <row r="242" spans="1:51" ht="115.2" x14ac:dyDescent="0.3">
      <c r="A242" s="98">
        <v>42099.217962962961</v>
      </c>
      <c r="B242" s="99" t="s">
        <v>528</v>
      </c>
      <c r="C242" s="99" t="s">
        <v>552</v>
      </c>
      <c r="D242" s="99" t="s">
        <v>529</v>
      </c>
      <c r="E242" s="99" t="s">
        <v>330</v>
      </c>
      <c r="F242" s="99" t="s">
        <v>317</v>
      </c>
      <c r="G242" s="99" t="s">
        <v>423</v>
      </c>
      <c r="H242" s="99" t="s">
        <v>5</v>
      </c>
      <c r="I242" s="99" t="s">
        <v>309</v>
      </c>
      <c r="J242" s="99" t="s">
        <v>567</v>
      </c>
      <c r="K242" s="99" t="s">
        <v>315</v>
      </c>
      <c r="L242" s="99" t="s">
        <v>450</v>
      </c>
      <c r="M242" s="99" t="s">
        <v>314</v>
      </c>
      <c r="N242" s="99" t="s">
        <v>4</v>
      </c>
      <c r="O242" s="99" t="s">
        <v>4</v>
      </c>
      <c r="P242" s="99" t="s">
        <v>4</v>
      </c>
      <c r="Q242" s="99" t="s">
        <v>411</v>
      </c>
      <c r="R242" s="99" t="s">
        <v>4</v>
      </c>
      <c r="S242" s="99" t="s">
        <v>460</v>
      </c>
      <c r="T242" s="99" t="s">
        <v>326</v>
      </c>
      <c r="U242" s="99" t="s">
        <v>373</v>
      </c>
      <c r="V242" s="99" t="s">
        <v>824</v>
      </c>
      <c r="W242" s="99" t="s">
        <v>1278</v>
      </c>
      <c r="X242" s="99" t="s">
        <v>352</v>
      </c>
      <c r="Y242" s="99" t="s">
        <v>316</v>
      </c>
      <c r="Z242" s="99" t="s">
        <v>316</v>
      </c>
      <c r="AA242" s="99" t="s">
        <v>408</v>
      </c>
      <c r="AB242" s="99" t="s">
        <v>389</v>
      </c>
      <c r="AC242" s="99" t="s">
        <v>324</v>
      </c>
      <c r="AD242" s="99" t="s">
        <v>1006</v>
      </c>
      <c r="AE242" s="99" t="s">
        <v>532</v>
      </c>
      <c r="AF242" s="99" t="s">
        <v>1614</v>
      </c>
      <c r="AG242" s="99" t="s">
        <v>323</v>
      </c>
      <c r="AH242" s="99" t="s">
        <v>303</v>
      </c>
      <c r="AI242" s="99" t="s">
        <v>6</v>
      </c>
      <c r="AJ242" s="99" t="s">
        <v>303</v>
      </c>
      <c r="AK242" s="99" t="s">
        <v>302</v>
      </c>
      <c r="AL242" s="99" t="s">
        <v>302</v>
      </c>
      <c r="AM242" s="99" t="s">
        <v>302</v>
      </c>
      <c r="AN242" s="99" t="s">
        <v>302</v>
      </c>
      <c r="AO242" s="99" t="s">
        <v>302</v>
      </c>
      <c r="AP242" s="99" t="s">
        <v>302</v>
      </c>
      <c r="AQ242" s="99" t="s">
        <v>303</v>
      </c>
      <c r="AR242" s="99" t="s">
        <v>378</v>
      </c>
      <c r="AS242" s="99" t="s">
        <v>300</v>
      </c>
      <c r="AT242" s="99" t="s">
        <v>321</v>
      </c>
      <c r="AU242" s="99" t="s">
        <v>320</v>
      </c>
      <c r="AV242" s="99" t="s">
        <v>547</v>
      </c>
      <c r="AW242" s="99" t="s">
        <v>324</v>
      </c>
      <c r="AX242" s="99" t="s">
        <v>341</v>
      </c>
      <c r="AY242" s="99" t="s">
        <v>441</v>
      </c>
    </row>
    <row r="243" spans="1:51" ht="158.4" x14ac:dyDescent="0.3">
      <c r="A243" s="98">
        <v>42099.218171296299</v>
      </c>
      <c r="B243" s="99" t="s">
        <v>528</v>
      </c>
      <c r="C243" s="99" t="s">
        <v>552</v>
      </c>
      <c r="D243" s="99" t="s">
        <v>331</v>
      </c>
      <c r="E243" s="99" t="s">
        <v>3</v>
      </c>
      <c r="F243" s="99" t="s">
        <v>317</v>
      </c>
      <c r="G243" s="99" t="s">
        <v>407</v>
      </c>
      <c r="H243" s="99" t="s">
        <v>390</v>
      </c>
      <c r="I243" s="99" t="s">
        <v>309</v>
      </c>
      <c r="J243" s="99" t="s">
        <v>1615</v>
      </c>
      <c r="K243" s="99" t="s">
        <v>315</v>
      </c>
      <c r="L243" s="99" t="s">
        <v>450</v>
      </c>
      <c r="M243" s="99" t="s">
        <v>348</v>
      </c>
      <c r="N243" s="99" t="s">
        <v>313</v>
      </c>
      <c r="O243" s="99" t="s">
        <v>327</v>
      </c>
      <c r="P243" s="99" t="s">
        <v>313</v>
      </c>
      <c r="Q243" s="99" t="s">
        <v>450</v>
      </c>
      <c r="R243" s="99" t="s">
        <v>327</v>
      </c>
      <c r="S243" s="99" t="s">
        <v>1616</v>
      </c>
      <c r="T243" s="99" t="s">
        <v>326</v>
      </c>
      <c r="U243" s="99" t="s">
        <v>530</v>
      </c>
      <c r="V243" s="99" t="s">
        <v>1114</v>
      </c>
      <c r="W243" s="99" t="s">
        <v>338</v>
      </c>
      <c r="X243" s="99" t="s">
        <v>346</v>
      </c>
      <c r="Y243" s="99" t="s">
        <v>316</v>
      </c>
      <c r="Z243" s="99" t="s">
        <v>316</v>
      </c>
      <c r="AA243" s="99" t="s">
        <v>1204</v>
      </c>
      <c r="AB243" s="99" t="s">
        <v>376</v>
      </c>
      <c r="AC243" s="99" t="s">
        <v>381</v>
      </c>
      <c r="AD243" s="99" t="s">
        <v>414</v>
      </c>
      <c r="AE243" s="99" t="s">
        <v>539</v>
      </c>
      <c r="AF243" s="99" t="s">
        <v>1617</v>
      </c>
      <c r="AG243" s="99" t="s">
        <v>306</v>
      </c>
      <c r="AH243" s="99" t="s">
        <v>302</v>
      </c>
      <c r="AI243" s="99"/>
      <c r="AJ243" s="99" t="s">
        <v>302</v>
      </c>
      <c r="AK243" s="99" t="s">
        <v>303</v>
      </c>
      <c r="AL243" s="99" t="s">
        <v>303</v>
      </c>
      <c r="AM243" s="99" t="s">
        <v>302</v>
      </c>
      <c r="AN243" s="99" t="s">
        <v>303</v>
      </c>
      <c r="AO243" s="99" t="s">
        <v>302</v>
      </c>
      <c r="AP243" s="99" t="s">
        <v>303</v>
      </c>
      <c r="AQ243" s="99" t="s">
        <v>303</v>
      </c>
      <c r="AR243" s="99" t="s">
        <v>322</v>
      </c>
      <c r="AS243" s="99" t="s">
        <v>300</v>
      </c>
      <c r="AT243" s="99" t="s">
        <v>360</v>
      </c>
      <c r="AU243" s="99" t="s">
        <v>342</v>
      </c>
      <c r="AV243" s="99" t="s">
        <v>547</v>
      </c>
      <c r="AW243" s="99" t="s">
        <v>307</v>
      </c>
      <c r="AX243" s="99" t="s">
        <v>319</v>
      </c>
      <c r="AY243" s="99" t="s">
        <v>482</v>
      </c>
    </row>
    <row r="244" spans="1:51" ht="115.2" x14ac:dyDescent="0.3">
      <c r="A244" s="98">
        <v>42099.218425925923</v>
      </c>
      <c r="B244" s="99" t="s">
        <v>528</v>
      </c>
      <c r="C244" s="99" t="s">
        <v>552</v>
      </c>
      <c r="D244" s="99" t="s">
        <v>529</v>
      </c>
      <c r="E244" s="99" t="s">
        <v>330</v>
      </c>
      <c r="F244" s="99" t="s">
        <v>372</v>
      </c>
      <c r="G244" s="99" t="s">
        <v>451</v>
      </c>
      <c r="H244" s="99" t="s">
        <v>390</v>
      </c>
      <c r="I244" s="99" t="s">
        <v>494</v>
      </c>
      <c r="J244" s="99" t="s">
        <v>623</v>
      </c>
      <c r="K244" s="99"/>
      <c r="L244" s="99" t="s">
        <v>657</v>
      </c>
      <c r="M244" s="99" t="s">
        <v>314</v>
      </c>
      <c r="N244" s="99" t="s">
        <v>327</v>
      </c>
      <c r="O244" s="99" t="s">
        <v>4</v>
      </c>
      <c r="P244" s="99" t="s">
        <v>327</v>
      </c>
      <c r="Q244" s="99" t="s">
        <v>1618</v>
      </c>
      <c r="R244" s="99" t="s">
        <v>327</v>
      </c>
      <c r="S244" s="99" t="s">
        <v>1619</v>
      </c>
      <c r="T244" s="99" t="s">
        <v>366</v>
      </c>
      <c r="U244" s="99" t="s">
        <v>347</v>
      </c>
      <c r="V244" s="99" t="s">
        <v>1620</v>
      </c>
      <c r="W244" s="99" t="s">
        <v>419</v>
      </c>
      <c r="X244" s="99" t="s">
        <v>346</v>
      </c>
      <c r="Y244" s="99" t="s">
        <v>316</v>
      </c>
      <c r="Z244" s="99" t="s">
        <v>316</v>
      </c>
      <c r="AA244" s="99" t="s">
        <v>490</v>
      </c>
      <c r="AB244" s="99" t="s">
        <v>376</v>
      </c>
      <c r="AC244" s="99" t="s">
        <v>351</v>
      </c>
      <c r="AD244" s="99" t="s">
        <v>414</v>
      </c>
      <c r="AE244" s="99" t="s">
        <v>535</v>
      </c>
      <c r="AF244" s="99" t="s">
        <v>492</v>
      </c>
      <c r="AG244" s="99" t="s">
        <v>323</v>
      </c>
      <c r="AH244" s="99" t="s">
        <v>302</v>
      </c>
      <c r="AI244" s="99" t="s">
        <v>6</v>
      </c>
      <c r="AJ244" s="99" t="s">
        <v>303</v>
      </c>
      <c r="AK244" s="99" t="s">
        <v>302</v>
      </c>
      <c r="AL244" s="99" t="s">
        <v>302</v>
      </c>
      <c r="AM244" s="99" t="s">
        <v>304</v>
      </c>
      <c r="AN244" s="99" t="s">
        <v>304</v>
      </c>
      <c r="AO244" s="99" t="s">
        <v>303</v>
      </c>
      <c r="AP244" s="99" t="s">
        <v>304</v>
      </c>
      <c r="AQ244" s="99" t="s">
        <v>303</v>
      </c>
      <c r="AR244" s="99" t="s">
        <v>391</v>
      </c>
      <c r="AS244" s="99" t="s">
        <v>300</v>
      </c>
      <c r="AT244" s="99" t="s">
        <v>355</v>
      </c>
      <c r="AU244" s="99" t="s">
        <v>342</v>
      </c>
      <c r="AV244" s="99" t="s">
        <v>333</v>
      </c>
      <c r="AW244" s="99" t="s">
        <v>307</v>
      </c>
      <c r="AX244" s="99" t="s">
        <v>534</v>
      </c>
      <c r="AY244" s="99" t="s">
        <v>499</v>
      </c>
    </row>
    <row r="245" spans="1:51" ht="158.4" x14ac:dyDescent="0.3">
      <c r="A245" s="98">
        <v>42099.218530092592</v>
      </c>
      <c r="B245" s="99" t="s">
        <v>528</v>
      </c>
      <c r="C245" s="99" t="s">
        <v>552</v>
      </c>
      <c r="D245" s="99" t="s">
        <v>331</v>
      </c>
      <c r="E245" s="99" t="s">
        <v>330</v>
      </c>
      <c r="F245" s="99" t="s">
        <v>317</v>
      </c>
      <c r="G245" s="99" t="s">
        <v>451</v>
      </c>
      <c r="H245" s="99" t="s">
        <v>5</v>
      </c>
      <c r="I245" s="99" t="s">
        <v>309</v>
      </c>
      <c r="J245" s="99" t="s">
        <v>1621</v>
      </c>
      <c r="K245" s="99" t="s">
        <v>354</v>
      </c>
      <c r="L245" s="99" t="s">
        <v>1396</v>
      </c>
      <c r="M245" s="99" t="s">
        <v>348</v>
      </c>
      <c r="N245" s="99" t="s">
        <v>4</v>
      </c>
      <c r="O245" s="99" t="s">
        <v>4</v>
      </c>
      <c r="P245" s="99" t="s">
        <v>4</v>
      </c>
      <c r="Q245" s="99" t="s">
        <v>1622</v>
      </c>
      <c r="R245" s="99" t="s">
        <v>313</v>
      </c>
      <c r="S245" s="99" t="s">
        <v>900</v>
      </c>
      <c r="T245" s="99" t="s">
        <v>366</v>
      </c>
      <c r="U245" s="99" t="s">
        <v>530</v>
      </c>
      <c r="V245" s="99" t="s">
        <v>1623</v>
      </c>
      <c r="W245" s="99" t="s">
        <v>338</v>
      </c>
      <c r="X245" s="99" t="s">
        <v>352</v>
      </c>
      <c r="Y245" s="99" t="s">
        <v>316</v>
      </c>
      <c r="Z245" s="99" t="s">
        <v>316</v>
      </c>
      <c r="AA245" s="99" t="s">
        <v>1624</v>
      </c>
      <c r="AB245" s="99" t="s">
        <v>308</v>
      </c>
      <c r="AC245" s="99" t="s">
        <v>324</v>
      </c>
      <c r="AD245" s="99" t="s">
        <v>414</v>
      </c>
      <c r="AE245" s="99" t="s">
        <v>532</v>
      </c>
      <c r="AF245" s="99" t="s">
        <v>1625</v>
      </c>
      <c r="AG245" s="99" t="s">
        <v>304</v>
      </c>
      <c r="AH245" s="99"/>
      <c r="AI245" s="99"/>
      <c r="AJ245" s="99" t="s">
        <v>305</v>
      </c>
      <c r="AK245" s="99" t="s">
        <v>304</v>
      </c>
      <c r="AL245" s="99" t="s">
        <v>304</v>
      </c>
      <c r="AM245" s="99" t="s">
        <v>303</v>
      </c>
      <c r="AN245" s="99" t="s">
        <v>304</v>
      </c>
      <c r="AO245" s="99" t="s">
        <v>304</v>
      </c>
      <c r="AP245" s="99" t="s">
        <v>303</v>
      </c>
      <c r="AQ245" s="99" t="s">
        <v>304</v>
      </c>
      <c r="AR245" s="99" t="s">
        <v>322</v>
      </c>
      <c r="AS245" s="99" t="s">
        <v>350</v>
      </c>
      <c r="AT245" s="99" t="s">
        <v>360</v>
      </c>
      <c r="AU245" s="99" t="s">
        <v>320</v>
      </c>
      <c r="AV245" s="99" t="s">
        <v>392</v>
      </c>
      <c r="AW245" s="99" t="s">
        <v>307</v>
      </c>
      <c r="AX245" s="99" t="s">
        <v>341</v>
      </c>
      <c r="AY245" s="99" t="s">
        <v>449</v>
      </c>
    </row>
    <row r="246" spans="1:51" ht="144" x14ac:dyDescent="0.3">
      <c r="A246" s="98">
        <v>42099.218819444446</v>
      </c>
      <c r="B246" s="99" t="s">
        <v>528</v>
      </c>
      <c r="C246" s="99" t="s">
        <v>552</v>
      </c>
      <c r="D246" s="99" t="s">
        <v>331</v>
      </c>
      <c r="E246" s="99" t="s">
        <v>3</v>
      </c>
      <c r="F246" s="99" t="s">
        <v>317</v>
      </c>
      <c r="G246" s="99" t="s">
        <v>423</v>
      </c>
      <c r="H246" s="99" t="s">
        <v>390</v>
      </c>
      <c r="I246" s="99" t="s">
        <v>309</v>
      </c>
      <c r="J246" s="99" t="s">
        <v>544</v>
      </c>
      <c r="K246" s="99" t="s">
        <v>354</v>
      </c>
      <c r="L246" s="99" t="s">
        <v>429</v>
      </c>
      <c r="M246" s="99" t="s">
        <v>348</v>
      </c>
      <c r="N246" s="99"/>
      <c r="O246" s="99" t="s">
        <v>313</v>
      </c>
      <c r="P246" s="99" t="s">
        <v>313</v>
      </c>
      <c r="Q246" s="99" t="s">
        <v>1626</v>
      </c>
      <c r="R246" s="99" t="s">
        <v>4</v>
      </c>
      <c r="S246" s="99" t="s">
        <v>1627</v>
      </c>
      <c r="T246" s="99" t="s">
        <v>366</v>
      </c>
      <c r="U246" s="99" t="s">
        <v>347</v>
      </c>
      <c r="V246" s="99" t="s">
        <v>645</v>
      </c>
      <c r="W246" s="99" t="s">
        <v>338</v>
      </c>
      <c r="X246" s="99" t="s">
        <v>310</v>
      </c>
      <c r="Y246" s="99" t="s">
        <v>316</v>
      </c>
      <c r="Z246" s="99" t="s">
        <v>316</v>
      </c>
      <c r="AA246" s="99" t="s">
        <v>678</v>
      </c>
      <c r="AB246" s="99" t="s">
        <v>308</v>
      </c>
      <c r="AC246" s="99" t="s">
        <v>351</v>
      </c>
      <c r="AD246" s="99" t="s">
        <v>431</v>
      </c>
      <c r="AE246" s="99" t="s">
        <v>532</v>
      </c>
      <c r="AF246" s="99" t="s">
        <v>698</v>
      </c>
      <c r="AG246" s="99" t="s">
        <v>304</v>
      </c>
      <c r="AH246" s="99" t="s">
        <v>304</v>
      </c>
      <c r="AI246" s="99" t="s">
        <v>6</v>
      </c>
      <c r="AJ246" s="99" t="s">
        <v>304</v>
      </c>
      <c r="AK246" s="99" t="s">
        <v>305</v>
      </c>
      <c r="AL246" s="99" t="s">
        <v>6</v>
      </c>
      <c r="AM246" s="99" t="s">
        <v>303</v>
      </c>
      <c r="AN246" s="99" t="s">
        <v>304</v>
      </c>
      <c r="AO246" s="99" t="s">
        <v>303</v>
      </c>
      <c r="AP246" s="99" t="s">
        <v>304</v>
      </c>
      <c r="AQ246" s="99" t="s">
        <v>302</v>
      </c>
      <c r="AR246" s="99" t="s">
        <v>301</v>
      </c>
      <c r="AS246" s="99" t="s">
        <v>300</v>
      </c>
      <c r="AT246" s="99" t="s">
        <v>321</v>
      </c>
      <c r="AU246" s="99" t="s">
        <v>342</v>
      </c>
      <c r="AV246" s="99" t="s">
        <v>333</v>
      </c>
      <c r="AW246" s="99" t="s">
        <v>381</v>
      </c>
      <c r="AX246" s="99" t="s">
        <v>375</v>
      </c>
      <c r="AY246" s="99" t="s">
        <v>710</v>
      </c>
    </row>
    <row r="247" spans="1:51" ht="129.6" x14ac:dyDescent="0.3">
      <c r="A247" s="98">
        <v>42099.219548611109</v>
      </c>
      <c r="B247" s="99" t="s">
        <v>528</v>
      </c>
      <c r="C247" s="99" t="s">
        <v>552</v>
      </c>
      <c r="D247" s="99" t="s">
        <v>560</v>
      </c>
      <c r="E247" s="99" t="s">
        <v>330</v>
      </c>
      <c r="F247" s="99" t="s">
        <v>317</v>
      </c>
      <c r="G247" s="99" t="s">
        <v>407</v>
      </c>
      <c r="H247" s="99" t="s">
        <v>390</v>
      </c>
      <c r="I247" s="99" t="s">
        <v>345</v>
      </c>
      <c r="J247" s="99" t="s">
        <v>568</v>
      </c>
      <c r="K247" s="99" t="s">
        <v>315</v>
      </c>
      <c r="L247" s="99" t="s">
        <v>702</v>
      </c>
      <c r="M247" s="99" t="s">
        <v>353</v>
      </c>
      <c r="N247" s="99" t="s">
        <v>327</v>
      </c>
      <c r="O247" s="99" t="s">
        <v>313</v>
      </c>
      <c r="P247" s="99" t="s">
        <v>4</v>
      </c>
      <c r="Q247" s="99" t="s">
        <v>566</v>
      </c>
      <c r="R247" s="99" t="s">
        <v>327</v>
      </c>
      <c r="S247" s="99" t="s">
        <v>1420</v>
      </c>
      <c r="T247" s="99" t="s">
        <v>326</v>
      </c>
      <c r="U247" s="99" t="s">
        <v>530</v>
      </c>
      <c r="V247" s="99" t="s">
        <v>606</v>
      </c>
      <c r="W247" s="99" t="s">
        <v>370</v>
      </c>
      <c r="X247" s="99" t="s">
        <v>337</v>
      </c>
      <c r="Y247" s="99" t="s">
        <v>316</v>
      </c>
      <c r="Z247" s="99" t="s">
        <v>316</v>
      </c>
      <c r="AA247" s="99" t="s">
        <v>410</v>
      </c>
      <c r="AB247" s="99" t="s">
        <v>308</v>
      </c>
      <c r="AC247" s="99" t="s">
        <v>324</v>
      </c>
      <c r="AD247" s="99" t="s">
        <v>1079</v>
      </c>
      <c r="AE247" s="99" t="s">
        <v>532</v>
      </c>
      <c r="AF247" s="99" t="s">
        <v>1628</v>
      </c>
      <c r="AG247" s="99" t="s">
        <v>323</v>
      </c>
      <c r="AH247" s="99" t="s">
        <v>303</v>
      </c>
      <c r="AI247" s="99" t="s">
        <v>303</v>
      </c>
      <c r="AJ247" s="99" t="s">
        <v>303</v>
      </c>
      <c r="AK247" s="99" t="s">
        <v>304</v>
      </c>
      <c r="AL247" s="99" t="s">
        <v>304</v>
      </c>
      <c r="AM247" s="99" t="s">
        <v>302</v>
      </c>
      <c r="AN247" s="99" t="s">
        <v>303</v>
      </c>
      <c r="AO247" s="99" t="s">
        <v>302</v>
      </c>
      <c r="AP247" s="99" t="s">
        <v>303</v>
      </c>
      <c r="AQ247" s="99" t="s">
        <v>302</v>
      </c>
      <c r="AR247" s="99" t="s">
        <v>301</v>
      </c>
      <c r="AS247" s="99" t="s">
        <v>300</v>
      </c>
      <c r="AT247" s="99" t="s">
        <v>355</v>
      </c>
      <c r="AU247" s="99" t="s">
        <v>660</v>
      </c>
      <c r="AV247" s="99" t="s">
        <v>333</v>
      </c>
      <c r="AW247" s="99" t="s">
        <v>324</v>
      </c>
      <c r="AX247" s="99" t="s">
        <v>341</v>
      </c>
      <c r="AY247" s="99" t="s">
        <v>413</v>
      </c>
    </row>
    <row r="248" spans="1:51" ht="129.6" x14ac:dyDescent="0.3">
      <c r="A248" s="98">
        <v>42099.219618055555</v>
      </c>
      <c r="B248" s="99" t="s">
        <v>528</v>
      </c>
      <c r="C248" s="99" t="s">
        <v>552</v>
      </c>
      <c r="D248" s="99" t="s">
        <v>529</v>
      </c>
      <c r="E248" s="99" t="s">
        <v>330</v>
      </c>
      <c r="F248" s="99" t="s">
        <v>383</v>
      </c>
      <c r="G248" s="99" t="s">
        <v>655</v>
      </c>
      <c r="H248" s="99" t="s">
        <v>390</v>
      </c>
      <c r="I248" s="99" t="s">
        <v>494</v>
      </c>
      <c r="J248" s="99" t="s">
        <v>458</v>
      </c>
      <c r="K248" s="99" t="s">
        <v>359</v>
      </c>
      <c r="L248" s="99" t="s">
        <v>1629</v>
      </c>
      <c r="M248" s="99" t="s">
        <v>314</v>
      </c>
      <c r="N248" s="99" t="s">
        <v>313</v>
      </c>
      <c r="O248" s="99" t="s">
        <v>374</v>
      </c>
      <c r="P248" s="99" t="s">
        <v>4</v>
      </c>
      <c r="Q248" s="99" t="s">
        <v>670</v>
      </c>
      <c r="R248" s="99" t="s">
        <v>374</v>
      </c>
      <c r="S248" s="99" t="s">
        <v>483</v>
      </c>
      <c r="T248" s="99" t="s">
        <v>326</v>
      </c>
      <c r="U248" s="99" t="s">
        <v>530</v>
      </c>
      <c r="V248" s="99" t="s">
        <v>339</v>
      </c>
      <c r="W248" s="99" t="s">
        <v>338</v>
      </c>
      <c r="X248" s="99" t="s">
        <v>352</v>
      </c>
      <c r="Y248" s="99" t="s">
        <v>316</v>
      </c>
      <c r="Z248" s="99" t="s">
        <v>316</v>
      </c>
      <c r="AA248" s="99" t="s">
        <v>1025</v>
      </c>
      <c r="AB248" s="99" t="s">
        <v>336</v>
      </c>
      <c r="AC248" s="99" t="s">
        <v>324</v>
      </c>
      <c r="AD248" s="99" t="s">
        <v>414</v>
      </c>
      <c r="AE248" s="99" t="s">
        <v>545</v>
      </c>
      <c r="AF248" s="99" t="s">
        <v>1630</v>
      </c>
      <c r="AG248" s="99" t="s">
        <v>304</v>
      </c>
      <c r="AH248" s="99" t="s">
        <v>304</v>
      </c>
      <c r="AI248" s="99" t="s">
        <v>304</v>
      </c>
      <c r="AJ248" s="99" t="s">
        <v>303</v>
      </c>
      <c r="AK248" s="99" t="s">
        <v>304</v>
      </c>
      <c r="AL248" s="99" t="s">
        <v>304</v>
      </c>
      <c r="AM248" s="99" t="s">
        <v>303</v>
      </c>
      <c r="AN248" s="99" t="s">
        <v>302</v>
      </c>
      <c r="AO248" s="99" t="s">
        <v>303</v>
      </c>
      <c r="AP248" s="99" t="s">
        <v>304</v>
      </c>
      <c r="AQ248" s="99" t="s">
        <v>302</v>
      </c>
      <c r="AR248" s="99" t="s">
        <v>343</v>
      </c>
      <c r="AS248" s="99" t="s">
        <v>335</v>
      </c>
      <c r="AT248" s="99" t="s">
        <v>360</v>
      </c>
      <c r="AU248" s="99" t="s">
        <v>320</v>
      </c>
      <c r="AV248" s="99" t="s">
        <v>333</v>
      </c>
      <c r="AW248" s="99" t="s">
        <v>324</v>
      </c>
      <c r="AX248" s="99" t="s">
        <v>549</v>
      </c>
      <c r="AY248" s="99" t="s">
        <v>1024</v>
      </c>
    </row>
    <row r="249" spans="1:51" ht="129.6" x14ac:dyDescent="0.3">
      <c r="A249" s="98">
        <v>42099.22</v>
      </c>
      <c r="B249" s="99" t="s">
        <v>528</v>
      </c>
      <c r="C249" s="99" t="s">
        <v>552</v>
      </c>
      <c r="D249" s="99" t="s">
        <v>560</v>
      </c>
      <c r="E249" s="99" t="s">
        <v>3</v>
      </c>
      <c r="F249" s="99" t="s">
        <v>317</v>
      </c>
      <c r="G249" s="99" t="s">
        <v>407</v>
      </c>
      <c r="H249" s="99" t="s">
        <v>390</v>
      </c>
      <c r="I249" s="99" t="s">
        <v>309</v>
      </c>
      <c r="J249" s="99" t="s">
        <v>591</v>
      </c>
      <c r="K249" s="99" t="s">
        <v>328</v>
      </c>
      <c r="L249" s="99" t="s">
        <v>417</v>
      </c>
      <c r="M249" s="99" t="s">
        <v>367</v>
      </c>
      <c r="N249" s="99" t="s">
        <v>327</v>
      </c>
      <c r="O249" s="99" t="s">
        <v>327</v>
      </c>
      <c r="P249" s="99" t="s">
        <v>4</v>
      </c>
      <c r="Q249" s="99" t="s">
        <v>1038</v>
      </c>
      <c r="R249" s="99" t="s">
        <v>327</v>
      </c>
      <c r="S249" s="99" t="s">
        <v>1631</v>
      </c>
      <c r="T249" s="99" t="s">
        <v>326</v>
      </c>
      <c r="U249" s="99" t="s">
        <v>311</v>
      </c>
      <c r="V249" s="99" t="s">
        <v>1434</v>
      </c>
      <c r="W249" s="99" t="s">
        <v>419</v>
      </c>
      <c r="X249" s="99" t="s">
        <v>310</v>
      </c>
      <c r="Y249" s="99" t="s">
        <v>309</v>
      </c>
      <c r="Z249" s="99" t="s">
        <v>309</v>
      </c>
      <c r="AA249" s="99" t="s">
        <v>732</v>
      </c>
      <c r="AB249" s="99" t="s">
        <v>376</v>
      </c>
      <c r="AC249" s="99" t="s">
        <v>296</v>
      </c>
      <c r="AD249" s="99" t="s">
        <v>603</v>
      </c>
      <c r="AE249" s="99" t="s">
        <v>533</v>
      </c>
      <c r="AF249" s="99" t="s">
        <v>443</v>
      </c>
      <c r="AG249" s="99" t="s">
        <v>400</v>
      </c>
      <c r="AH249" s="99" t="s">
        <v>303</v>
      </c>
      <c r="AI249" s="99" t="s">
        <v>6</v>
      </c>
      <c r="AJ249" s="99" t="s">
        <v>302</v>
      </c>
      <c r="AK249" s="99" t="s">
        <v>302</v>
      </c>
      <c r="AL249" s="99" t="s">
        <v>302</v>
      </c>
      <c r="AM249" s="99" t="s">
        <v>303</v>
      </c>
      <c r="AN249" s="99" t="s">
        <v>302</v>
      </c>
      <c r="AO249" s="99" t="s">
        <v>302</v>
      </c>
      <c r="AP249" s="99" t="s">
        <v>302</v>
      </c>
      <c r="AQ249" s="99" t="s">
        <v>302</v>
      </c>
      <c r="AR249" s="99" t="s">
        <v>391</v>
      </c>
      <c r="AS249" s="99" t="s">
        <v>729</v>
      </c>
      <c r="AT249" s="99" t="s">
        <v>355</v>
      </c>
      <c r="AU249" s="99" t="s">
        <v>320</v>
      </c>
      <c r="AV249" s="99" t="s">
        <v>547</v>
      </c>
      <c r="AW249" s="99" t="s">
        <v>296</v>
      </c>
      <c r="AX249" s="99" t="s">
        <v>319</v>
      </c>
      <c r="AY249" s="99" t="s">
        <v>1632</v>
      </c>
    </row>
    <row r="250" spans="1:51" ht="115.2" x14ac:dyDescent="0.3">
      <c r="A250" s="98">
        <v>42099.220879629633</v>
      </c>
      <c r="B250" s="99" t="s">
        <v>528</v>
      </c>
      <c r="C250" s="99" t="s">
        <v>552</v>
      </c>
      <c r="D250" s="99" t="s">
        <v>529</v>
      </c>
      <c r="E250" s="99" t="s">
        <v>3</v>
      </c>
      <c r="F250" s="99" t="s">
        <v>383</v>
      </c>
      <c r="G250" s="99" t="s">
        <v>446</v>
      </c>
      <c r="H250" s="99" t="s">
        <v>390</v>
      </c>
      <c r="I250" s="99" t="s">
        <v>309</v>
      </c>
      <c r="J250" s="99" t="s">
        <v>567</v>
      </c>
      <c r="K250" s="99" t="s">
        <v>315</v>
      </c>
      <c r="L250" s="99" t="s">
        <v>450</v>
      </c>
      <c r="M250" s="99" t="s">
        <v>314</v>
      </c>
      <c r="N250" s="99" t="s">
        <v>327</v>
      </c>
      <c r="O250" s="99" t="s">
        <v>327</v>
      </c>
      <c r="P250" s="99" t="s">
        <v>327</v>
      </c>
      <c r="Q250" s="99" t="s">
        <v>396</v>
      </c>
      <c r="R250" s="99" t="s">
        <v>327</v>
      </c>
      <c r="S250" s="99" t="s">
        <v>1633</v>
      </c>
      <c r="T250" s="99" t="s">
        <v>366</v>
      </c>
      <c r="U250" s="99" t="s">
        <v>373</v>
      </c>
      <c r="V250" s="99" t="s">
        <v>1634</v>
      </c>
      <c r="W250" s="99" t="s">
        <v>338</v>
      </c>
      <c r="X250" s="99" t="s">
        <v>346</v>
      </c>
      <c r="Y250" s="99" t="s">
        <v>316</v>
      </c>
      <c r="Z250" s="99" t="s">
        <v>316</v>
      </c>
      <c r="AA250" s="99"/>
      <c r="AB250" s="99" t="s">
        <v>358</v>
      </c>
      <c r="AC250" s="99" t="s">
        <v>307</v>
      </c>
      <c r="AD250" s="99" t="s">
        <v>1006</v>
      </c>
      <c r="AE250" s="99" t="s">
        <v>533</v>
      </c>
      <c r="AF250" s="99" t="s">
        <v>945</v>
      </c>
      <c r="AG250" s="99" t="s">
        <v>323</v>
      </c>
      <c r="AH250" s="99" t="s">
        <v>304</v>
      </c>
      <c r="AI250" s="99" t="s">
        <v>6</v>
      </c>
      <c r="AJ250" s="99" t="s">
        <v>303</v>
      </c>
      <c r="AK250" s="99" t="s">
        <v>302</v>
      </c>
      <c r="AL250" s="99" t="s">
        <v>302</v>
      </c>
      <c r="AM250" s="99" t="s">
        <v>302</v>
      </c>
      <c r="AN250" s="99" t="s">
        <v>304</v>
      </c>
      <c r="AO250" s="99" t="s">
        <v>303</v>
      </c>
      <c r="AP250" s="99" t="s">
        <v>305</v>
      </c>
      <c r="AQ250" s="99" t="s">
        <v>302</v>
      </c>
      <c r="AR250" s="99" t="s">
        <v>343</v>
      </c>
      <c r="AS250" s="99" t="s">
        <v>300</v>
      </c>
      <c r="AT250" s="99" t="s">
        <v>321</v>
      </c>
      <c r="AU250" s="99" t="s">
        <v>298</v>
      </c>
      <c r="AV250" s="99" t="s">
        <v>536</v>
      </c>
      <c r="AW250" s="99" t="s">
        <v>307</v>
      </c>
      <c r="AX250" s="99" t="s">
        <v>341</v>
      </c>
      <c r="AY250" s="99" t="s">
        <v>854</v>
      </c>
    </row>
    <row r="251" spans="1:51" ht="86.4" x14ac:dyDescent="0.3">
      <c r="A251" s="98">
        <v>42099.222060185188</v>
      </c>
      <c r="B251" s="99" t="s">
        <v>528</v>
      </c>
      <c r="C251" s="99" t="s">
        <v>552</v>
      </c>
      <c r="D251" s="99" t="s">
        <v>529</v>
      </c>
      <c r="E251" s="99" t="s">
        <v>3</v>
      </c>
      <c r="F251" s="99" t="s">
        <v>317</v>
      </c>
      <c r="G251" s="99" t="s">
        <v>407</v>
      </c>
      <c r="H251" s="99" t="s">
        <v>390</v>
      </c>
      <c r="I251" s="99" t="s">
        <v>309</v>
      </c>
      <c r="J251" s="99" t="s">
        <v>957</v>
      </c>
      <c r="K251" s="99" t="s">
        <v>315</v>
      </c>
      <c r="L251" s="99" t="s">
        <v>429</v>
      </c>
      <c r="M251" s="99" t="s">
        <v>353</v>
      </c>
      <c r="N251" s="99" t="s">
        <v>4</v>
      </c>
      <c r="O251" s="99" t="s">
        <v>4</v>
      </c>
      <c r="P251" s="99" t="s">
        <v>4</v>
      </c>
      <c r="Q251" s="99" t="s">
        <v>421</v>
      </c>
      <c r="R251" s="99" t="s">
        <v>4</v>
      </c>
      <c r="S251" s="99" t="s">
        <v>900</v>
      </c>
      <c r="T251" s="99" t="s">
        <v>326</v>
      </c>
      <c r="U251" s="99" t="s">
        <v>373</v>
      </c>
      <c r="V251" s="99" t="s">
        <v>853</v>
      </c>
      <c r="W251" s="99" t="s">
        <v>338</v>
      </c>
      <c r="X251" s="99" t="s">
        <v>352</v>
      </c>
      <c r="Y251" s="99" t="s">
        <v>316</v>
      </c>
      <c r="Z251" s="99" t="s">
        <v>316</v>
      </c>
      <c r="AA251" s="99" t="s">
        <v>490</v>
      </c>
      <c r="AB251" s="99" t="s">
        <v>308</v>
      </c>
      <c r="AC251" s="99" t="s">
        <v>324</v>
      </c>
      <c r="AD251" s="99" t="s">
        <v>414</v>
      </c>
      <c r="AE251" s="99" t="s">
        <v>535</v>
      </c>
      <c r="AF251" s="99" t="s">
        <v>635</v>
      </c>
      <c r="AG251" s="99" t="s">
        <v>323</v>
      </c>
      <c r="AH251" s="99" t="s">
        <v>302</v>
      </c>
      <c r="AI251" s="99"/>
      <c r="AJ251" s="99" t="s">
        <v>302</v>
      </c>
      <c r="AK251" s="99" t="s">
        <v>303</v>
      </c>
      <c r="AL251" s="99" t="s">
        <v>302</v>
      </c>
      <c r="AM251" s="99" t="s">
        <v>302</v>
      </c>
      <c r="AN251" s="99" t="s">
        <v>303</v>
      </c>
      <c r="AO251" s="99" t="s">
        <v>303</v>
      </c>
      <c r="AP251" s="99" t="s">
        <v>302</v>
      </c>
      <c r="AQ251" s="99" t="s">
        <v>302</v>
      </c>
      <c r="AR251" s="99" t="s">
        <v>391</v>
      </c>
      <c r="AS251" s="99" t="s">
        <v>350</v>
      </c>
      <c r="AT251" s="99" t="s">
        <v>321</v>
      </c>
      <c r="AU251" s="99" t="s">
        <v>320</v>
      </c>
      <c r="AV251" s="99" t="s">
        <v>364</v>
      </c>
      <c r="AW251" s="99" t="s">
        <v>307</v>
      </c>
      <c r="AX251" s="99"/>
      <c r="AY251" s="99" t="s">
        <v>484</v>
      </c>
    </row>
    <row r="252" spans="1:51" ht="216" x14ac:dyDescent="0.3">
      <c r="A252" s="98">
        <v>42099.222384259258</v>
      </c>
      <c r="B252" s="99" t="s">
        <v>528</v>
      </c>
      <c r="C252" s="99" t="s">
        <v>552</v>
      </c>
      <c r="D252" s="99" t="s">
        <v>560</v>
      </c>
      <c r="E252" s="99" t="s">
        <v>330</v>
      </c>
      <c r="F252" s="99" t="s">
        <v>317</v>
      </c>
      <c r="G252" s="99" t="s">
        <v>497</v>
      </c>
      <c r="H252" s="99" t="s">
        <v>349</v>
      </c>
      <c r="I252" s="99" t="s">
        <v>309</v>
      </c>
      <c r="J252" s="99" t="s">
        <v>1635</v>
      </c>
      <c r="K252" s="99" t="s">
        <v>354</v>
      </c>
      <c r="L252" s="99" t="s">
        <v>731</v>
      </c>
      <c r="M252" s="99" t="s">
        <v>651</v>
      </c>
      <c r="N252" s="99" t="s">
        <v>327</v>
      </c>
      <c r="O252" s="99" t="s">
        <v>313</v>
      </c>
      <c r="P252" s="99" t="s">
        <v>4</v>
      </c>
      <c r="Q252" s="99" t="s">
        <v>405</v>
      </c>
      <c r="R252" s="99" t="s">
        <v>327</v>
      </c>
      <c r="S252" s="99" t="s">
        <v>1636</v>
      </c>
      <c r="T252" s="99" t="s">
        <v>312</v>
      </c>
      <c r="U252" s="99" t="s">
        <v>347</v>
      </c>
      <c r="V252" s="99" t="s">
        <v>703</v>
      </c>
      <c r="W252" s="99" t="s">
        <v>419</v>
      </c>
      <c r="X252" s="99" t="s">
        <v>337</v>
      </c>
      <c r="Y252" s="99"/>
      <c r="Z252" s="99" t="s">
        <v>316</v>
      </c>
      <c r="AA252" s="99" t="s">
        <v>490</v>
      </c>
      <c r="AB252" s="99" t="s">
        <v>358</v>
      </c>
      <c r="AC252" s="99" t="s">
        <v>307</v>
      </c>
      <c r="AD252" s="99" t="s">
        <v>462</v>
      </c>
      <c r="AE252" s="99" t="s">
        <v>532</v>
      </c>
      <c r="AF252" s="99" t="s">
        <v>930</v>
      </c>
      <c r="AG252" s="99" t="s">
        <v>306</v>
      </c>
      <c r="AH252" s="99" t="s">
        <v>303</v>
      </c>
      <c r="AI252" s="99" t="s">
        <v>303</v>
      </c>
      <c r="AJ252" s="99" t="s">
        <v>303</v>
      </c>
      <c r="AK252" s="99" t="s">
        <v>303</v>
      </c>
      <c r="AL252" s="99" t="s">
        <v>302</v>
      </c>
      <c r="AM252" s="99" t="s">
        <v>302</v>
      </c>
      <c r="AN252" s="99" t="s">
        <v>303</v>
      </c>
      <c r="AO252" s="99" t="s">
        <v>302</v>
      </c>
      <c r="AP252" s="99" t="s">
        <v>303</v>
      </c>
      <c r="AQ252" s="99" t="s">
        <v>302</v>
      </c>
      <c r="AR252" s="99" t="s">
        <v>391</v>
      </c>
      <c r="AS252" s="99" t="s">
        <v>350</v>
      </c>
      <c r="AT252" s="99" t="s">
        <v>321</v>
      </c>
      <c r="AU252" s="99" t="s">
        <v>320</v>
      </c>
      <c r="AV252" s="99" t="s">
        <v>364</v>
      </c>
      <c r="AW252" s="99" t="s">
        <v>307</v>
      </c>
      <c r="AX252" s="99" t="s">
        <v>341</v>
      </c>
      <c r="AY252" s="99" t="s">
        <v>385</v>
      </c>
    </row>
    <row r="253" spans="1:51" ht="129.6" x14ac:dyDescent="0.3">
      <c r="A253" s="98">
        <v>42099.222928240742</v>
      </c>
      <c r="B253" s="99" t="s">
        <v>528</v>
      </c>
      <c r="C253" s="99" t="s">
        <v>552</v>
      </c>
      <c r="D253" s="99" t="s">
        <v>331</v>
      </c>
      <c r="E253" s="99" t="s">
        <v>3</v>
      </c>
      <c r="F253" s="99" t="s">
        <v>317</v>
      </c>
      <c r="G253" s="99" t="s">
        <v>407</v>
      </c>
      <c r="H253" s="99" t="s">
        <v>5</v>
      </c>
      <c r="I253" s="99" t="s">
        <v>309</v>
      </c>
      <c r="J253" s="99" t="s">
        <v>544</v>
      </c>
      <c r="K253" s="99" t="s">
        <v>368</v>
      </c>
      <c r="L253" s="99" t="s">
        <v>396</v>
      </c>
      <c r="M253" s="99" t="s">
        <v>363</v>
      </c>
      <c r="N253" s="99" t="s">
        <v>4</v>
      </c>
      <c r="O253" s="99" t="s">
        <v>4</v>
      </c>
      <c r="P253" s="99" t="s">
        <v>4</v>
      </c>
      <c r="Q253" s="99" t="s">
        <v>1017</v>
      </c>
      <c r="R253" s="99" t="s">
        <v>327</v>
      </c>
      <c r="S253" s="99" t="s">
        <v>1380</v>
      </c>
      <c r="T253" s="99" t="s">
        <v>326</v>
      </c>
      <c r="U253" s="99" t="s">
        <v>530</v>
      </c>
      <c r="V253" s="99" t="s">
        <v>404</v>
      </c>
      <c r="W253" s="99" t="s">
        <v>338</v>
      </c>
      <c r="X253" s="99" t="s">
        <v>352</v>
      </c>
      <c r="Y253" s="99" t="s">
        <v>316</v>
      </c>
      <c r="Z253" s="99" t="s">
        <v>316</v>
      </c>
      <c r="AA253" s="99" t="s">
        <v>432</v>
      </c>
      <c r="AB253" s="99" t="s">
        <v>308</v>
      </c>
      <c r="AC253" s="99" t="s">
        <v>307</v>
      </c>
      <c r="AD253" s="99" t="s">
        <v>388</v>
      </c>
      <c r="AE253" s="99" t="s">
        <v>539</v>
      </c>
      <c r="AF253" s="99" t="s">
        <v>635</v>
      </c>
      <c r="AG253" s="99" t="s">
        <v>323</v>
      </c>
      <c r="AH253" s="99" t="s">
        <v>6</v>
      </c>
      <c r="AI253" s="99" t="s">
        <v>6</v>
      </c>
      <c r="AJ253" s="99" t="s">
        <v>303</v>
      </c>
      <c r="AK253" s="99" t="s">
        <v>303</v>
      </c>
      <c r="AL253" s="99" t="s">
        <v>303</v>
      </c>
      <c r="AM253" s="99" t="s">
        <v>303</v>
      </c>
      <c r="AN253" s="99" t="s">
        <v>303</v>
      </c>
      <c r="AO253" s="99" t="s">
        <v>303</v>
      </c>
      <c r="AP253" s="99" t="s">
        <v>303</v>
      </c>
      <c r="AQ253" s="99" t="s">
        <v>303</v>
      </c>
      <c r="AR253" s="99" t="s">
        <v>541</v>
      </c>
      <c r="AS253" s="99" t="s">
        <v>350</v>
      </c>
      <c r="AT253" s="99" t="s">
        <v>355</v>
      </c>
      <c r="AU253" s="99" t="s">
        <v>320</v>
      </c>
      <c r="AV253" s="99" t="s">
        <v>364</v>
      </c>
      <c r="AW253" s="99" t="s">
        <v>307</v>
      </c>
      <c r="AX253" s="99" t="s">
        <v>319</v>
      </c>
      <c r="AY253" s="99" t="s">
        <v>482</v>
      </c>
    </row>
    <row r="254" spans="1:51" ht="100.8" x14ac:dyDescent="0.3">
      <c r="A254" s="98">
        <v>42099.223645833335</v>
      </c>
      <c r="B254" s="99" t="s">
        <v>528</v>
      </c>
      <c r="C254" s="99" t="s">
        <v>552</v>
      </c>
      <c r="D254" s="99" t="s">
        <v>331</v>
      </c>
      <c r="E254" s="99" t="s">
        <v>3</v>
      </c>
      <c r="F254" s="99" t="s">
        <v>317</v>
      </c>
      <c r="G254" s="99" t="s">
        <v>407</v>
      </c>
      <c r="H254" s="99" t="s">
        <v>390</v>
      </c>
      <c r="I254" s="99" t="s">
        <v>309</v>
      </c>
      <c r="J254" s="99" t="s">
        <v>1637</v>
      </c>
      <c r="K254" s="99"/>
      <c r="L254" s="99" t="s">
        <v>450</v>
      </c>
      <c r="M254" s="99" t="s">
        <v>314</v>
      </c>
      <c r="N254" s="99" t="s">
        <v>313</v>
      </c>
      <c r="O254" s="99" t="s">
        <v>313</v>
      </c>
      <c r="P254" s="99" t="s">
        <v>313</v>
      </c>
      <c r="Q254" s="99" t="s">
        <v>450</v>
      </c>
      <c r="R254" s="99" t="s">
        <v>327</v>
      </c>
      <c r="S254" s="99" t="s">
        <v>1329</v>
      </c>
      <c r="T254" s="99" t="s">
        <v>326</v>
      </c>
      <c r="U254" s="99" t="s">
        <v>530</v>
      </c>
      <c r="V254" s="99" t="s">
        <v>645</v>
      </c>
      <c r="W254" s="99" t="s">
        <v>1192</v>
      </c>
      <c r="X254" s="99" t="s">
        <v>310</v>
      </c>
      <c r="Y254" s="99" t="s">
        <v>316</v>
      </c>
      <c r="Z254" s="99" t="s">
        <v>316</v>
      </c>
      <c r="AA254" s="99" t="s">
        <v>1204</v>
      </c>
      <c r="AB254" s="99" t="s">
        <v>376</v>
      </c>
      <c r="AC254" s="99" t="s">
        <v>324</v>
      </c>
      <c r="AD254" s="99" t="s">
        <v>414</v>
      </c>
      <c r="AE254" s="99" t="s">
        <v>535</v>
      </c>
      <c r="AF254" s="99" t="s">
        <v>945</v>
      </c>
      <c r="AG254" s="99" t="s">
        <v>306</v>
      </c>
      <c r="AH254" s="99" t="s">
        <v>303</v>
      </c>
      <c r="AI254" s="99"/>
      <c r="AJ254" s="99" t="s">
        <v>303</v>
      </c>
      <c r="AK254" s="99" t="s">
        <v>302</v>
      </c>
      <c r="AL254" s="99" t="s">
        <v>303</v>
      </c>
      <c r="AM254" s="99" t="s">
        <v>302</v>
      </c>
      <c r="AN254" s="99" t="s">
        <v>303</v>
      </c>
      <c r="AO254" s="99" t="s">
        <v>302</v>
      </c>
      <c r="AP254" s="99" t="s">
        <v>302</v>
      </c>
      <c r="AQ254" s="99" t="s">
        <v>303</v>
      </c>
      <c r="AR254" s="99" t="s">
        <v>301</v>
      </c>
      <c r="AS254" s="99" t="s">
        <v>300</v>
      </c>
      <c r="AT254" s="99" t="s">
        <v>360</v>
      </c>
      <c r="AU254" s="99" t="s">
        <v>342</v>
      </c>
      <c r="AV254" s="99" t="s">
        <v>547</v>
      </c>
      <c r="AW254" s="99"/>
      <c r="AX254" s="99" t="s">
        <v>319</v>
      </c>
      <c r="AY254" s="99" t="s">
        <v>482</v>
      </c>
    </row>
    <row r="255" spans="1:51" ht="129.6" x14ac:dyDescent="0.3">
      <c r="A255" s="98">
        <v>42099.223923611113</v>
      </c>
      <c r="B255" s="99" t="s">
        <v>528</v>
      </c>
      <c r="C255" s="99" t="s">
        <v>552</v>
      </c>
      <c r="D255" s="99" t="s">
        <v>331</v>
      </c>
      <c r="E255" s="99" t="s">
        <v>3</v>
      </c>
      <c r="F255" s="99" t="s">
        <v>317</v>
      </c>
      <c r="G255" s="99" t="s">
        <v>407</v>
      </c>
      <c r="H255" s="99" t="s">
        <v>390</v>
      </c>
      <c r="I255" s="99" t="s">
        <v>309</v>
      </c>
      <c r="J255" s="99" t="s">
        <v>695</v>
      </c>
      <c r="K255" s="99" t="s">
        <v>384</v>
      </c>
      <c r="L255" s="99" t="s">
        <v>406</v>
      </c>
      <c r="M255" s="99"/>
      <c r="N255" s="99" t="s">
        <v>327</v>
      </c>
      <c r="O255" s="99" t="s">
        <v>327</v>
      </c>
      <c r="P255" s="99" t="s">
        <v>327</v>
      </c>
      <c r="Q255" s="99" t="s">
        <v>411</v>
      </c>
      <c r="R255" s="99" t="s">
        <v>327</v>
      </c>
      <c r="S255" s="99" t="s">
        <v>1007</v>
      </c>
      <c r="T255" s="99" t="s">
        <v>366</v>
      </c>
      <c r="U255" s="99" t="s">
        <v>530</v>
      </c>
      <c r="V255" s="99" t="s">
        <v>1048</v>
      </c>
      <c r="W255" s="99" t="s">
        <v>338</v>
      </c>
      <c r="X255" s="99" t="s">
        <v>337</v>
      </c>
      <c r="Y255" s="99" t="s">
        <v>316</v>
      </c>
      <c r="Z255" s="99" t="s">
        <v>316</v>
      </c>
      <c r="AA255" s="99" t="s">
        <v>910</v>
      </c>
      <c r="AB255" s="99" t="s">
        <v>358</v>
      </c>
      <c r="AC255" s="99" t="s">
        <v>307</v>
      </c>
      <c r="AD255" s="99" t="s">
        <v>694</v>
      </c>
      <c r="AE255" s="99" t="s">
        <v>539</v>
      </c>
      <c r="AF255" s="99" t="s">
        <v>935</v>
      </c>
      <c r="AG255" s="99" t="s">
        <v>306</v>
      </c>
      <c r="AH255" s="99" t="s">
        <v>303</v>
      </c>
      <c r="AI255" s="99" t="s">
        <v>6</v>
      </c>
      <c r="AJ255" s="99" t="s">
        <v>303</v>
      </c>
      <c r="AK255" s="99" t="s">
        <v>302</v>
      </c>
      <c r="AL255" s="99" t="s">
        <v>302</v>
      </c>
      <c r="AM255" s="99" t="s">
        <v>302</v>
      </c>
      <c r="AN255" s="99" t="s">
        <v>302</v>
      </c>
      <c r="AO255" s="99" t="s">
        <v>302</v>
      </c>
      <c r="AP255" s="99" t="s">
        <v>302</v>
      </c>
      <c r="AQ255" s="99" t="s">
        <v>303</v>
      </c>
      <c r="AR255" s="99" t="s">
        <v>301</v>
      </c>
      <c r="AS255" s="99" t="s">
        <v>300</v>
      </c>
      <c r="AT255" s="99" t="s">
        <v>355</v>
      </c>
      <c r="AU255" s="99" t="s">
        <v>320</v>
      </c>
      <c r="AV255" s="99" t="s">
        <v>392</v>
      </c>
      <c r="AW255" s="99" t="s">
        <v>307</v>
      </c>
      <c r="AX255" s="99" t="s">
        <v>319</v>
      </c>
      <c r="AY255" s="99" t="s">
        <v>482</v>
      </c>
    </row>
    <row r="256" spans="1:51" ht="187.2" x14ac:dyDescent="0.3">
      <c r="A256" s="98">
        <v>42099.346550925926</v>
      </c>
      <c r="B256" s="99" t="s">
        <v>528</v>
      </c>
      <c r="C256" s="99" t="s">
        <v>552</v>
      </c>
      <c r="D256" s="99" t="s">
        <v>331</v>
      </c>
      <c r="E256" s="99" t="s">
        <v>3</v>
      </c>
      <c r="F256" s="99" t="s">
        <v>317</v>
      </c>
      <c r="G256" s="99" t="s">
        <v>407</v>
      </c>
      <c r="H256" s="99" t="s">
        <v>390</v>
      </c>
      <c r="I256" s="99" t="s">
        <v>345</v>
      </c>
      <c r="J256" s="99" t="s">
        <v>454</v>
      </c>
      <c r="K256" s="99" t="s">
        <v>368</v>
      </c>
      <c r="L256" s="99" t="s">
        <v>1288</v>
      </c>
      <c r="M256" s="99" t="s">
        <v>314</v>
      </c>
      <c r="N256" s="99" t="s">
        <v>313</v>
      </c>
      <c r="O256" s="99" t="s">
        <v>327</v>
      </c>
      <c r="P256" s="99" t="s">
        <v>4</v>
      </c>
      <c r="Q256" s="99" t="s">
        <v>421</v>
      </c>
      <c r="R256" s="99" t="s">
        <v>4</v>
      </c>
      <c r="S256" s="99" t="s">
        <v>500</v>
      </c>
      <c r="T256" s="99" t="s">
        <v>380</v>
      </c>
      <c r="U256" s="99" t="s">
        <v>373</v>
      </c>
      <c r="V256" s="99" t="s">
        <v>556</v>
      </c>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row>
    <row r="257" spans="1:51" ht="144" x14ac:dyDescent="0.3">
      <c r="A257" s="98">
        <v>42099.349849537037</v>
      </c>
      <c r="B257" s="99" t="s">
        <v>528</v>
      </c>
      <c r="C257" s="99" t="s">
        <v>552</v>
      </c>
      <c r="D257" s="99" t="s">
        <v>529</v>
      </c>
      <c r="E257" s="99" t="s">
        <v>330</v>
      </c>
      <c r="F257" s="99" t="s">
        <v>372</v>
      </c>
      <c r="G257" s="99" t="s">
        <v>1276</v>
      </c>
      <c r="H257" s="99" t="s">
        <v>390</v>
      </c>
      <c r="I257" s="99" t="s">
        <v>345</v>
      </c>
      <c r="J257" s="99" t="s">
        <v>864</v>
      </c>
      <c r="K257" s="99" t="s">
        <v>328</v>
      </c>
      <c r="L257" s="99" t="s">
        <v>598</v>
      </c>
      <c r="M257" s="99" t="s">
        <v>314</v>
      </c>
      <c r="N257" s="99" t="s">
        <v>313</v>
      </c>
      <c r="O257" s="99" t="s">
        <v>374</v>
      </c>
      <c r="P257" s="99" t="s">
        <v>374</v>
      </c>
      <c r="Q257" s="99" t="s">
        <v>1127</v>
      </c>
      <c r="R257" s="99" t="s">
        <v>4</v>
      </c>
      <c r="S257" s="99" t="s">
        <v>1638</v>
      </c>
      <c r="T257" s="99" t="s">
        <v>380</v>
      </c>
      <c r="U257" s="99" t="s">
        <v>373</v>
      </c>
      <c r="V257" s="99" t="s">
        <v>362</v>
      </c>
      <c r="W257" s="99"/>
      <c r="X257" s="99" t="s">
        <v>337</v>
      </c>
      <c r="Y257" s="99" t="s">
        <v>316</v>
      </c>
      <c r="Z257" s="99" t="s">
        <v>316</v>
      </c>
      <c r="AA257" s="99" t="s">
        <v>410</v>
      </c>
      <c r="AB257" s="99" t="s">
        <v>336</v>
      </c>
      <c r="AC257" s="99" t="s">
        <v>381</v>
      </c>
      <c r="AD257" s="99" t="s">
        <v>426</v>
      </c>
      <c r="AE257" s="99" t="s">
        <v>539</v>
      </c>
      <c r="AF257" s="99" t="s">
        <v>1301</v>
      </c>
      <c r="AG257" s="99" t="s">
        <v>304</v>
      </c>
      <c r="AH257" s="99" t="s">
        <v>304</v>
      </c>
      <c r="AI257" s="99"/>
      <c r="AJ257" s="99" t="s">
        <v>303</v>
      </c>
      <c r="AK257" s="99" t="s">
        <v>302</v>
      </c>
      <c r="AL257" s="99" t="s">
        <v>305</v>
      </c>
      <c r="AM257" s="99" t="s">
        <v>304</v>
      </c>
      <c r="AN257" s="99" t="s">
        <v>295</v>
      </c>
      <c r="AO257" s="99" t="s">
        <v>305</v>
      </c>
      <c r="AP257" s="99" t="s">
        <v>304</v>
      </c>
      <c r="AQ257" s="99" t="s">
        <v>303</v>
      </c>
      <c r="AR257" s="99" t="s">
        <v>343</v>
      </c>
      <c r="AS257" s="99" t="s">
        <v>335</v>
      </c>
      <c r="AT257" s="99" t="s">
        <v>360</v>
      </c>
      <c r="AU257" s="99" t="s">
        <v>320</v>
      </c>
      <c r="AV257" s="99" t="s">
        <v>333</v>
      </c>
      <c r="AW257" s="99" t="s">
        <v>324</v>
      </c>
      <c r="AX257" s="99" t="s">
        <v>341</v>
      </c>
      <c r="AY257" s="99" t="s">
        <v>332</v>
      </c>
    </row>
    <row r="258" spans="1:51" ht="187.2" x14ac:dyDescent="0.3">
      <c r="A258" s="98">
        <v>42099.34988425926</v>
      </c>
      <c r="B258" s="99" t="s">
        <v>528</v>
      </c>
      <c r="C258" s="99" t="s">
        <v>552</v>
      </c>
      <c r="D258" s="99" t="s">
        <v>529</v>
      </c>
      <c r="E258" s="99" t="s">
        <v>330</v>
      </c>
      <c r="F258" s="99" t="s">
        <v>317</v>
      </c>
      <c r="G258" s="99" t="s">
        <v>446</v>
      </c>
      <c r="H258" s="99" t="s">
        <v>390</v>
      </c>
      <c r="I258" s="99" t="s">
        <v>309</v>
      </c>
      <c r="J258" s="99" t="s">
        <v>454</v>
      </c>
      <c r="K258" s="99" t="s">
        <v>328</v>
      </c>
      <c r="L258" s="99" t="s">
        <v>422</v>
      </c>
      <c r="M258" s="99" t="s">
        <v>367</v>
      </c>
      <c r="N258" s="99" t="s">
        <v>327</v>
      </c>
      <c r="O258" s="99" t="s">
        <v>327</v>
      </c>
      <c r="P258" s="99" t="s">
        <v>4</v>
      </c>
      <c r="Q258" s="99" t="s">
        <v>422</v>
      </c>
      <c r="R258" s="99" t="s">
        <v>327</v>
      </c>
      <c r="S258" s="99" t="s">
        <v>500</v>
      </c>
      <c r="T258" s="99" t="s">
        <v>326</v>
      </c>
      <c r="U258" s="99" t="s">
        <v>311</v>
      </c>
      <c r="V258" s="99" t="s">
        <v>889</v>
      </c>
      <c r="W258" s="99" t="s">
        <v>1192</v>
      </c>
      <c r="X258" s="99" t="s">
        <v>352</v>
      </c>
      <c r="Y258" s="99" t="s">
        <v>316</v>
      </c>
      <c r="Z258" s="99" t="s">
        <v>316</v>
      </c>
      <c r="AA258" s="99" t="s">
        <v>408</v>
      </c>
      <c r="AB258" s="99" t="s">
        <v>308</v>
      </c>
      <c r="AC258" s="99" t="s">
        <v>324</v>
      </c>
      <c r="AD258" s="99" t="s">
        <v>414</v>
      </c>
      <c r="AE258" s="99" t="s">
        <v>535</v>
      </c>
      <c r="AF258" s="99" t="s">
        <v>802</v>
      </c>
      <c r="AG258" s="99" t="s">
        <v>400</v>
      </c>
      <c r="AH258" s="99" t="s">
        <v>304</v>
      </c>
      <c r="AI258" s="99"/>
      <c r="AJ258" s="99" t="s">
        <v>303</v>
      </c>
      <c r="AK258" s="99" t="s">
        <v>304</v>
      </c>
      <c r="AL258" s="99" t="s">
        <v>304</v>
      </c>
      <c r="AM258" s="99" t="s">
        <v>304</v>
      </c>
      <c r="AN258" s="99" t="s">
        <v>305</v>
      </c>
      <c r="AO258" s="99" t="s">
        <v>305</v>
      </c>
      <c r="AP258" s="99" t="s">
        <v>304</v>
      </c>
      <c r="AQ258" s="99" t="s">
        <v>304</v>
      </c>
      <c r="AR258" s="99" t="s">
        <v>343</v>
      </c>
      <c r="AS258" s="99" t="s">
        <v>350</v>
      </c>
      <c r="AT258" s="99" t="s">
        <v>321</v>
      </c>
      <c r="AU258" s="99" t="s">
        <v>342</v>
      </c>
      <c r="AV258" s="99" t="s">
        <v>333</v>
      </c>
      <c r="AW258" s="99" t="s">
        <v>324</v>
      </c>
      <c r="AX258" s="99" t="s">
        <v>375</v>
      </c>
      <c r="AY258" s="99" t="s">
        <v>436</v>
      </c>
    </row>
    <row r="259" spans="1:51" ht="259.2" x14ac:dyDescent="0.3">
      <c r="A259" s="98">
        <v>42099.349965277775</v>
      </c>
      <c r="B259" s="99" t="s">
        <v>528</v>
      </c>
      <c r="C259" s="99" t="s">
        <v>552</v>
      </c>
      <c r="D259" s="99" t="s">
        <v>529</v>
      </c>
      <c r="E259" s="99" t="s">
        <v>3</v>
      </c>
      <c r="F259" s="99" t="s">
        <v>317</v>
      </c>
      <c r="G259" s="99" t="s">
        <v>451</v>
      </c>
      <c r="H259" s="99" t="s">
        <v>5</v>
      </c>
      <c r="I259" s="99" t="s">
        <v>309</v>
      </c>
      <c r="J259" s="99" t="s">
        <v>559</v>
      </c>
      <c r="K259" s="99" t="s">
        <v>384</v>
      </c>
      <c r="L259" s="99" t="s">
        <v>657</v>
      </c>
      <c r="M259" s="99" t="s">
        <v>314</v>
      </c>
      <c r="N259" s="99" t="s">
        <v>327</v>
      </c>
      <c r="O259" s="99" t="s">
        <v>4</v>
      </c>
      <c r="P259" s="99" t="s">
        <v>327</v>
      </c>
      <c r="Q259" s="99" t="s">
        <v>1005</v>
      </c>
      <c r="R259" s="99" t="s">
        <v>327</v>
      </c>
      <c r="S259" s="99" t="s">
        <v>500</v>
      </c>
      <c r="T259" s="99" t="s">
        <v>366</v>
      </c>
      <c r="U259" s="99" t="s">
        <v>530</v>
      </c>
      <c r="V259" s="99" t="s">
        <v>1081</v>
      </c>
      <c r="W259" s="99" t="s">
        <v>1278</v>
      </c>
      <c r="X259" s="99" t="s">
        <v>346</v>
      </c>
      <c r="Y259" s="99" t="s">
        <v>309</v>
      </c>
      <c r="Z259" s="99" t="s">
        <v>345</v>
      </c>
      <c r="AA259" s="99" t="s">
        <v>432</v>
      </c>
      <c r="AB259" s="99" t="s">
        <v>376</v>
      </c>
      <c r="AC259" s="99" t="s">
        <v>307</v>
      </c>
      <c r="AD259" s="99" t="s">
        <v>642</v>
      </c>
      <c r="AE259" s="99" t="s">
        <v>535</v>
      </c>
      <c r="AF259" s="99" t="s">
        <v>946</v>
      </c>
      <c r="AG259" s="99" t="s">
        <v>323</v>
      </c>
      <c r="AH259" s="99" t="s">
        <v>304</v>
      </c>
      <c r="AI259" s="99" t="s">
        <v>303</v>
      </c>
      <c r="AJ259" s="99" t="s">
        <v>305</v>
      </c>
      <c r="AK259" s="99" t="s">
        <v>302</v>
      </c>
      <c r="AL259" s="99" t="s">
        <v>302</v>
      </c>
      <c r="AM259" s="99" t="s">
        <v>303</v>
      </c>
      <c r="AN259" s="99" t="s">
        <v>303</v>
      </c>
      <c r="AO259" s="99" t="s">
        <v>302</v>
      </c>
      <c r="AP259" s="99" t="s">
        <v>302</v>
      </c>
      <c r="AQ259" s="99" t="s">
        <v>303</v>
      </c>
      <c r="AR259" s="99" t="s">
        <v>378</v>
      </c>
      <c r="AS259" s="99" t="s">
        <v>300</v>
      </c>
      <c r="AT259" s="99" t="s">
        <v>355</v>
      </c>
      <c r="AU259" s="99" t="s">
        <v>320</v>
      </c>
      <c r="AV259" s="99" t="s">
        <v>547</v>
      </c>
      <c r="AW259" s="99" t="s">
        <v>296</v>
      </c>
      <c r="AX259" s="99" t="s">
        <v>319</v>
      </c>
      <c r="AY259" s="99" t="s">
        <v>1639</v>
      </c>
    </row>
    <row r="260" spans="1:51" ht="129.6" x14ac:dyDescent="0.3">
      <c r="A260" s="98">
        <v>42099.35</v>
      </c>
      <c r="B260" s="99" t="s">
        <v>528</v>
      </c>
      <c r="C260" s="99" t="s">
        <v>552</v>
      </c>
      <c r="D260" s="99" t="s">
        <v>529</v>
      </c>
      <c r="E260" s="99" t="s">
        <v>3</v>
      </c>
      <c r="F260" s="99" t="s">
        <v>317</v>
      </c>
      <c r="G260" s="99" t="s">
        <v>722</v>
      </c>
      <c r="H260" s="99" t="s">
        <v>390</v>
      </c>
      <c r="I260" s="99" t="s">
        <v>309</v>
      </c>
      <c r="J260" s="99" t="s">
        <v>457</v>
      </c>
      <c r="K260" s="99" t="s">
        <v>315</v>
      </c>
      <c r="L260" s="99" t="s">
        <v>475</v>
      </c>
      <c r="M260" s="99" t="s">
        <v>314</v>
      </c>
      <c r="N260" s="99" t="s">
        <v>4</v>
      </c>
      <c r="O260" s="99" t="s">
        <v>313</v>
      </c>
      <c r="P260" s="99" t="s">
        <v>4</v>
      </c>
      <c r="Q260" s="99" t="s">
        <v>429</v>
      </c>
      <c r="R260" s="99" t="s">
        <v>327</v>
      </c>
      <c r="S260" s="99" t="s">
        <v>1640</v>
      </c>
      <c r="T260" s="99" t="s">
        <v>326</v>
      </c>
      <c r="U260" s="99" t="s">
        <v>311</v>
      </c>
      <c r="V260" s="99" t="s">
        <v>1320</v>
      </c>
      <c r="W260" s="99" t="s">
        <v>338</v>
      </c>
      <c r="X260" s="99" t="s">
        <v>346</v>
      </c>
      <c r="Y260" s="99" t="s">
        <v>316</v>
      </c>
      <c r="Z260" s="99" t="s">
        <v>316</v>
      </c>
      <c r="AA260" s="99" t="s">
        <v>705</v>
      </c>
      <c r="AB260" s="99" t="s">
        <v>389</v>
      </c>
      <c r="AC260" s="99" t="s">
        <v>324</v>
      </c>
      <c r="AD260" s="99" t="s">
        <v>426</v>
      </c>
      <c r="AE260" s="99" t="s">
        <v>535</v>
      </c>
      <c r="AF260" s="99" t="s">
        <v>706</v>
      </c>
      <c r="AG260" s="99" t="s">
        <v>323</v>
      </c>
      <c r="AH260" s="99" t="s">
        <v>303</v>
      </c>
      <c r="AI260" s="99"/>
      <c r="AJ260" s="99" t="s">
        <v>303</v>
      </c>
      <c r="AK260" s="99" t="s">
        <v>302</v>
      </c>
      <c r="AL260" s="99" t="s">
        <v>304</v>
      </c>
      <c r="AM260" s="99" t="s">
        <v>304</v>
      </c>
      <c r="AN260" s="99" t="s">
        <v>303</v>
      </c>
      <c r="AO260" s="99" t="s">
        <v>303</v>
      </c>
      <c r="AP260" s="99" t="s">
        <v>302</v>
      </c>
      <c r="AQ260" s="99" t="s">
        <v>303</v>
      </c>
      <c r="AR260" s="99" t="s">
        <v>301</v>
      </c>
      <c r="AS260" s="99" t="s">
        <v>300</v>
      </c>
      <c r="AT260" s="99" t="s">
        <v>321</v>
      </c>
      <c r="AU260" s="99" t="s">
        <v>342</v>
      </c>
      <c r="AV260" s="99" t="s">
        <v>364</v>
      </c>
      <c r="AW260" s="99" t="s">
        <v>351</v>
      </c>
      <c r="AX260" s="99" t="s">
        <v>375</v>
      </c>
      <c r="AY260" s="99" t="s">
        <v>1033</v>
      </c>
    </row>
    <row r="261" spans="1:51" ht="129.6" x14ac:dyDescent="0.3">
      <c r="A261" s="98">
        <v>42099.350370370368</v>
      </c>
      <c r="B261" s="99" t="s">
        <v>528</v>
      </c>
      <c r="C261" s="99" t="s">
        <v>552</v>
      </c>
      <c r="D261" s="99" t="s">
        <v>529</v>
      </c>
      <c r="E261" s="99" t="s">
        <v>330</v>
      </c>
      <c r="F261" s="99" t="s">
        <v>317</v>
      </c>
      <c r="G261" s="99" t="s">
        <v>423</v>
      </c>
      <c r="H261" s="99" t="s">
        <v>390</v>
      </c>
      <c r="I261" s="99" t="s">
        <v>309</v>
      </c>
      <c r="J261" s="99" t="s">
        <v>445</v>
      </c>
      <c r="K261" s="99" t="s">
        <v>315</v>
      </c>
      <c r="L261" s="99" t="s">
        <v>417</v>
      </c>
      <c r="M261" s="99" t="s">
        <v>367</v>
      </c>
      <c r="N261" s="99" t="s">
        <v>327</v>
      </c>
      <c r="O261" s="99" t="s">
        <v>313</v>
      </c>
      <c r="P261" s="99" t="s">
        <v>313</v>
      </c>
      <c r="Q261" s="99" t="s">
        <v>652</v>
      </c>
      <c r="R261" s="99" t="s">
        <v>4</v>
      </c>
      <c r="S261" s="99" t="s">
        <v>1504</v>
      </c>
      <c r="T261" s="99" t="s">
        <v>312</v>
      </c>
      <c r="U261" s="99" t="s">
        <v>530</v>
      </c>
      <c r="V261" s="99" t="s">
        <v>1092</v>
      </c>
      <c r="W261" s="99" t="s">
        <v>1278</v>
      </c>
      <c r="X261" s="99" t="s">
        <v>310</v>
      </c>
      <c r="Y261" s="99" t="s">
        <v>316</v>
      </c>
      <c r="Z261" s="99" t="s">
        <v>316</v>
      </c>
      <c r="AA261" s="99" t="s">
        <v>627</v>
      </c>
      <c r="AB261" s="99" t="s">
        <v>376</v>
      </c>
      <c r="AC261" s="99" t="s">
        <v>324</v>
      </c>
      <c r="AD261" s="99" t="s">
        <v>414</v>
      </c>
      <c r="AE261" s="99" t="s">
        <v>532</v>
      </c>
      <c r="AF261" s="99" t="s">
        <v>1641</v>
      </c>
      <c r="AG261" s="99" t="s">
        <v>304</v>
      </c>
      <c r="AH261" s="99"/>
      <c r="AI261" s="99"/>
      <c r="AJ261" s="99" t="s">
        <v>303</v>
      </c>
      <c r="AK261" s="99" t="s">
        <v>303</v>
      </c>
      <c r="AL261" s="99" t="s">
        <v>304</v>
      </c>
      <c r="AM261" s="99" t="s">
        <v>6</v>
      </c>
      <c r="AN261" s="99" t="s">
        <v>305</v>
      </c>
      <c r="AO261" s="99" t="s">
        <v>305</v>
      </c>
      <c r="AP261" s="99" t="s">
        <v>303</v>
      </c>
      <c r="AQ261" s="99" t="s">
        <v>304</v>
      </c>
      <c r="AR261" s="99" t="s">
        <v>343</v>
      </c>
      <c r="AS261" s="99" t="s">
        <v>350</v>
      </c>
      <c r="AT261" s="99" t="s">
        <v>360</v>
      </c>
      <c r="AU261" s="99" t="s">
        <v>342</v>
      </c>
      <c r="AV261" s="99" t="s">
        <v>333</v>
      </c>
      <c r="AW261" s="99" t="s">
        <v>324</v>
      </c>
      <c r="AX261" s="99" t="s">
        <v>375</v>
      </c>
      <c r="AY261" s="99" t="s">
        <v>644</v>
      </c>
    </row>
    <row r="262" spans="1:51" ht="216" x14ac:dyDescent="0.3">
      <c r="A262" s="98">
        <v>42099.350763888891</v>
      </c>
      <c r="B262" s="99" t="s">
        <v>528</v>
      </c>
      <c r="C262" s="99" t="s">
        <v>552</v>
      </c>
      <c r="D262" s="99" t="s">
        <v>331</v>
      </c>
      <c r="E262" s="99" t="s">
        <v>3</v>
      </c>
      <c r="F262" s="99" t="s">
        <v>317</v>
      </c>
      <c r="G262" s="99" t="s">
        <v>407</v>
      </c>
      <c r="H262" s="99" t="s">
        <v>390</v>
      </c>
      <c r="I262" s="99" t="s">
        <v>309</v>
      </c>
      <c r="J262" s="99" t="s">
        <v>569</v>
      </c>
      <c r="K262" s="99" t="s">
        <v>315</v>
      </c>
      <c r="L262" s="99" t="s">
        <v>475</v>
      </c>
      <c r="M262" s="99" t="s">
        <v>651</v>
      </c>
      <c r="N262" s="99" t="s">
        <v>327</v>
      </c>
      <c r="O262" s="99" t="s">
        <v>4</v>
      </c>
      <c r="P262" s="99" t="s">
        <v>313</v>
      </c>
      <c r="Q262" s="99" t="s">
        <v>943</v>
      </c>
      <c r="R262" s="99"/>
      <c r="S262" s="99" t="s">
        <v>500</v>
      </c>
      <c r="T262" s="99"/>
      <c r="U262" s="99" t="s">
        <v>311</v>
      </c>
      <c r="V262" s="99" t="s">
        <v>1144</v>
      </c>
      <c r="W262" s="99" t="s">
        <v>338</v>
      </c>
      <c r="X262" s="99" t="s">
        <v>337</v>
      </c>
      <c r="Y262" s="99"/>
      <c r="Z262" s="99" t="s">
        <v>316</v>
      </c>
      <c r="AA262" s="99" t="s">
        <v>408</v>
      </c>
      <c r="AB262" s="99" t="s">
        <v>376</v>
      </c>
      <c r="AC262" s="99" t="s">
        <v>324</v>
      </c>
      <c r="AD262" s="99" t="s">
        <v>426</v>
      </c>
      <c r="AE262" s="99" t="s">
        <v>545</v>
      </c>
      <c r="AF262" s="99" t="s">
        <v>1090</v>
      </c>
      <c r="AG262" s="99" t="s">
        <v>306</v>
      </c>
      <c r="AH262" s="99" t="s">
        <v>304</v>
      </c>
      <c r="AI262" s="99" t="s">
        <v>304</v>
      </c>
      <c r="AJ262" s="99" t="s">
        <v>302</v>
      </c>
      <c r="AK262" s="99" t="s">
        <v>302</v>
      </c>
      <c r="AL262" s="99" t="s">
        <v>304</v>
      </c>
      <c r="AM262" s="99"/>
      <c r="AN262" s="99" t="s">
        <v>6</v>
      </c>
      <c r="AO262" s="99" t="s">
        <v>303</v>
      </c>
      <c r="AP262" s="99" t="s">
        <v>302</v>
      </c>
      <c r="AQ262" s="99" t="s">
        <v>303</v>
      </c>
      <c r="AR262" s="99" t="s">
        <v>343</v>
      </c>
      <c r="AS262" s="99" t="s">
        <v>350</v>
      </c>
      <c r="AT262" s="99" t="s">
        <v>360</v>
      </c>
      <c r="AU262" s="99" t="s">
        <v>320</v>
      </c>
      <c r="AV262" s="99" t="s">
        <v>536</v>
      </c>
      <c r="AW262" s="99" t="s">
        <v>307</v>
      </c>
      <c r="AX262" s="99" t="s">
        <v>549</v>
      </c>
      <c r="AY262" s="99" t="s">
        <v>449</v>
      </c>
    </row>
    <row r="263" spans="1:51" ht="57.6" x14ac:dyDescent="0.3">
      <c r="A263" s="98">
        <v>42099.351273148146</v>
      </c>
      <c r="B263" s="99" t="s">
        <v>528</v>
      </c>
      <c r="C263" s="99" t="s">
        <v>552</v>
      </c>
      <c r="D263" s="99" t="s">
        <v>331</v>
      </c>
      <c r="E263" s="99" t="s">
        <v>3</v>
      </c>
      <c r="F263" s="99" t="s">
        <v>372</v>
      </c>
      <c r="G263" s="99" t="s">
        <v>451</v>
      </c>
      <c r="H263" s="99" t="s">
        <v>5</v>
      </c>
      <c r="I263" s="99" t="s">
        <v>309</v>
      </c>
      <c r="J263" s="99" t="s">
        <v>1642</v>
      </c>
      <c r="K263" s="99" t="s">
        <v>368</v>
      </c>
      <c r="L263" s="99" t="s">
        <v>791</v>
      </c>
      <c r="M263" s="99" t="s">
        <v>367</v>
      </c>
      <c r="N263" s="99" t="s">
        <v>4</v>
      </c>
      <c r="O263" s="99" t="s">
        <v>327</v>
      </c>
      <c r="P263" s="99" t="s">
        <v>313</v>
      </c>
      <c r="Q263" s="99" t="s">
        <v>417</v>
      </c>
      <c r="R263" s="99" t="s">
        <v>313</v>
      </c>
      <c r="S263" s="99" t="s">
        <v>397</v>
      </c>
      <c r="T263" s="99" t="s">
        <v>312</v>
      </c>
      <c r="U263" s="99" t="s">
        <v>373</v>
      </c>
      <c r="V263" s="99"/>
      <c r="W263" s="99" t="s">
        <v>338</v>
      </c>
      <c r="X263" s="99"/>
      <c r="Y263" s="99" t="s">
        <v>316</v>
      </c>
      <c r="Z263" s="99" t="s">
        <v>316</v>
      </c>
      <c r="AA263" s="99" t="s">
        <v>795</v>
      </c>
      <c r="AB263" s="99" t="s">
        <v>358</v>
      </c>
      <c r="AC263" s="99" t="s">
        <v>381</v>
      </c>
      <c r="AD263" s="99" t="s">
        <v>388</v>
      </c>
      <c r="AE263" s="99" t="s">
        <v>535</v>
      </c>
      <c r="AF263" s="99" t="s">
        <v>635</v>
      </c>
      <c r="AG263" s="99" t="s">
        <v>400</v>
      </c>
      <c r="AH263" s="99" t="s">
        <v>304</v>
      </c>
      <c r="AI263" s="99" t="s">
        <v>304</v>
      </c>
      <c r="AJ263" s="99" t="s">
        <v>304</v>
      </c>
      <c r="AK263" s="99" t="s">
        <v>305</v>
      </c>
      <c r="AL263" s="99" t="s">
        <v>304</v>
      </c>
      <c r="AM263" s="99" t="s">
        <v>302</v>
      </c>
      <c r="AN263" s="99" t="s">
        <v>304</v>
      </c>
      <c r="AO263" s="99" t="s">
        <v>305</v>
      </c>
      <c r="AP263" s="99" t="s">
        <v>305</v>
      </c>
      <c r="AQ263" s="99" t="s">
        <v>304</v>
      </c>
      <c r="AR263" s="99" t="s">
        <v>541</v>
      </c>
      <c r="AS263" s="99" t="s">
        <v>350</v>
      </c>
      <c r="AT263" s="99" t="s">
        <v>360</v>
      </c>
      <c r="AU263" s="99" t="s">
        <v>342</v>
      </c>
      <c r="AV263" s="99" t="s">
        <v>333</v>
      </c>
      <c r="AW263" s="99" t="s">
        <v>324</v>
      </c>
      <c r="AX263" s="99" t="s">
        <v>375</v>
      </c>
      <c r="AY263" s="99" t="s">
        <v>482</v>
      </c>
    </row>
    <row r="264" spans="1:51" ht="144" x14ac:dyDescent="0.3">
      <c r="A264" s="98">
        <v>42099.351446759261</v>
      </c>
      <c r="B264" s="99" t="s">
        <v>528</v>
      </c>
      <c r="C264" s="99" t="s">
        <v>552</v>
      </c>
      <c r="D264" s="99" t="s">
        <v>529</v>
      </c>
      <c r="E264" s="99" t="s">
        <v>3</v>
      </c>
      <c r="F264" s="99" t="s">
        <v>317</v>
      </c>
      <c r="G264" s="99" t="s">
        <v>435</v>
      </c>
      <c r="H264" s="99" t="s">
        <v>390</v>
      </c>
      <c r="I264" s="99" t="s">
        <v>309</v>
      </c>
      <c r="J264" s="99" t="s">
        <v>567</v>
      </c>
      <c r="K264" s="99" t="s">
        <v>328</v>
      </c>
      <c r="L264" s="99" t="s">
        <v>427</v>
      </c>
      <c r="M264" s="99" t="s">
        <v>363</v>
      </c>
      <c r="N264" s="99" t="s">
        <v>327</v>
      </c>
      <c r="O264" s="99" t="s">
        <v>313</v>
      </c>
      <c r="P264" s="99" t="s">
        <v>327</v>
      </c>
      <c r="Q264" s="99" t="s">
        <v>885</v>
      </c>
      <c r="R264" s="99" t="s">
        <v>4</v>
      </c>
      <c r="S264" s="99" t="s">
        <v>1643</v>
      </c>
      <c r="T264" s="99" t="s">
        <v>312</v>
      </c>
      <c r="U264" s="99" t="s">
        <v>530</v>
      </c>
      <c r="V264" s="99" t="s">
        <v>1467</v>
      </c>
      <c r="W264" s="99" t="s">
        <v>325</v>
      </c>
      <c r="X264" s="99" t="s">
        <v>352</v>
      </c>
      <c r="Y264" s="99" t="s">
        <v>345</v>
      </c>
      <c r="Z264" s="99" t="s">
        <v>316</v>
      </c>
      <c r="AA264" s="99" t="s">
        <v>588</v>
      </c>
      <c r="AB264" s="99" t="s">
        <v>376</v>
      </c>
      <c r="AC264" s="99" t="s">
        <v>307</v>
      </c>
      <c r="AD264" s="99" t="s">
        <v>647</v>
      </c>
      <c r="AE264" s="99" t="s">
        <v>539</v>
      </c>
      <c r="AF264" s="99" t="s">
        <v>1203</v>
      </c>
      <c r="AG264" s="99" t="s">
        <v>323</v>
      </c>
      <c r="AH264" s="99" t="s">
        <v>304</v>
      </c>
      <c r="AI264" s="99"/>
      <c r="AJ264" s="99" t="s">
        <v>304</v>
      </c>
      <c r="AK264" s="99" t="s">
        <v>303</v>
      </c>
      <c r="AL264" s="99" t="s">
        <v>303</v>
      </c>
      <c r="AM264" s="99" t="s">
        <v>304</v>
      </c>
      <c r="AN264" s="99" t="s">
        <v>303</v>
      </c>
      <c r="AO264" s="99" t="s">
        <v>305</v>
      </c>
      <c r="AP264" s="99" t="s">
        <v>302</v>
      </c>
      <c r="AQ264" s="99" t="s">
        <v>295</v>
      </c>
      <c r="AR264" s="99" t="s">
        <v>378</v>
      </c>
      <c r="AS264" s="99" t="s">
        <v>540</v>
      </c>
      <c r="AT264" s="99" t="s">
        <v>360</v>
      </c>
      <c r="AU264" s="99" t="s">
        <v>320</v>
      </c>
      <c r="AV264" s="99" t="s">
        <v>364</v>
      </c>
      <c r="AW264" s="99" t="s">
        <v>307</v>
      </c>
      <c r="AX264" s="99" t="s">
        <v>534</v>
      </c>
      <c r="AY264" s="99" t="s">
        <v>449</v>
      </c>
    </row>
    <row r="265" spans="1:51" ht="216" x14ac:dyDescent="0.3">
      <c r="A265" s="98">
        <v>42099.351643518516</v>
      </c>
      <c r="B265" s="99" t="s">
        <v>528</v>
      </c>
      <c r="C265" s="99" t="s">
        <v>552</v>
      </c>
      <c r="D265" s="99" t="s">
        <v>331</v>
      </c>
      <c r="E265" s="99" t="s">
        <v>3</v>
      </c>
      <c r="F265" s="99" t="s">
        <v>317</v>
      </c>
      <c r="G265" s="99" t="s">
        <v>407</v>
      </c>
      <c r="H265" s="99" t="s">
        <v>390</v>
      </c>
      <c r="I265" s="99" t="s">
        <v>309</v>
      </c>
      <c r="J265" s="99" t="s">
        <v>569</v>
      </c>
      <c r="K265" s="99" t="s">
        <v>315</v>
      </c>
      <c r="L265" s="99" t="s">
        <v>450</v>
      </c>
      <c r="M265" s="99" t="s">
        <v>348</v>
      </c>
      <c r="N265" s="99" t="s">
        <v>4</v>
      </c>
      <c r="O265" s="99" t="s">
        <v>313</v>
      </c>
      <c r="P265" s="99" t="s">
        <v>327</v>
      </c>
      <c r="Q265" s="99" t="s">
        <v>555</v>
      </c>
      <c r="R265" s="99" t="s">
        <v>327</v>
      </c>
      <c r="S265" s="99" t="s">
        <v>1554</v>
      </c>
      <c r="T265" s="99" t="s">
        <v>312</v>
      </c>
      <c r="U265" s="99" t="s">
        <v>530</v>
      </c>
      <c r="V265" s="99" t="s">
        <v>1078</v>
      </c>
      <c r="W265" s="99" t="s">
        <v>338</v>
      </c>
      <c r="X265" s="99" t="s">
        <v>352</v>
      </c>
      <c r="Y265" s="99" t="s">
        <v>316</v>
      </c>
      <c r="Z265" s="99" t="s">
        <v>316</v>
      </c>
      <c r="AA265" s="99" t="s">
        <v>410</v>
      </c>
      <c r="AB265" s="99" t="s">
        <v>308</v>
      </c>
      <c r="AC265" s="99" t="s">
        <v>324</v>
      </c>
      <c r="AD265" s="99" t="s">
        <v>467</v>
      </c>
      <c r="AE265" s="99" t="s">
        <v>532</v>
      </c>
      <c r="AF265" s="99" t="s">
        <v>1021</v>
      </c>
      <c r="AG265" s="99" t="s">
        <v>304</v>
      </c>
      <c r="AH265" s="99" t="s">
        <v>304</v>
      </c>
      <c r="AI265" s="99" t="s">
        <v>6</v>
      </c>
      <c r="AJ265" s="99" t="s">
        <v>303</v>
      </c>
      <c r="AK265" s="99" t="s">
        <v>303</v>
      </c>
      <c r="AL265" s="99" t="s">
        <v>303</v>
      </c>
      <c r="AM265" s="99" t="s">
        <v>302</v>
      </c>
      <c r="AN265" s="99" t="s">
        <v>303</v>
      </c>
      <c r="AO265" s="99" t="s">
        <v>304</v>
      </c>
      <c r="AP265" s="99" t="s">
        <v>303</v>
      </c>
      <c r="AQ265" s="99" t="s">
        <v>303</v>
      </c>
      <c r="AR265" s="99" t="s">
        <v>322</v>
      </c>
      <c r="AS265" s="99" t="s">
        <v>300</v>
      </c>
      <c r="AT265" s="99" t="s">
        <v>355</v>
      </c>
      <c r="AU265" s="99" t="s">
        <v>320</v>
      </c>
      <c r="AV265" s="99" t="s">
        <v>364</v>
      </c>
      <c r="AW265" s="99" t="s">
        <v>307</v>
      </c>
      <c r="AX265" s="99" t="s">
        <v>319</v>
      </c>
      <c r="AY265" s="99" t="s">
        <v>1033</v>
      </c>
    </row>
    <row r="266" spans="1:51" ht="259.2" x14ac:dyDescent="0.3">
      <c r="A266" s="98">
        <v>42099.351666666669</v>
      </c>
      <c r="B266" s="99" t="s">
        <v>528</v>
      </c>
      <c r="C266" s="99" t="s">
        <v>552</v>
      </c>
      <c r="D266" s="99" t="s">
        <v>529</v>
      </c>
      <c r="E266" s="99" t="s">
        <v>330</v>
      </c>
      <c r="F266" s="99" t="s">
        <v>317</v>
      </c>
      <c r="G266" s="99" t="s">
        <v>446</v>
      </c>
      <c r="H266" s="99" t="s">
        <v>390</v>
      </c>
      <c r="I266" s="99" t="s">
        <v>345</v>
      </c>
      <c r="J266" s="99" t="s">
        <v>965</v>
      </c>
      <c r="K266" s="99" t="s">
        <v>368</v>
      </c>
      <c r="L266" s="99" t="s">
        <v>1288</v>
      </c>
      <c r="M266" s="99" t="s">
        <v>314</v>
      </c>
      <c r="N266" s="99" t="s">
        <v>4</v>
      </c>
      <c r="O266" s="99" t="s">
        <v>4</v>
      </c>
      <c r="P266" s="99" t="s">
        <v>327</v>
      </c>
      <c r="Q266" s="99" t="s">
        <v>670</v>
      </c>
      <c r="R266" s="99" t="s">
        <v>327</v>
      </c>
      <c r="S266" s="99" t="s">
        <v>988</v>
      </c>
      <c r="T266" s="99" t="s">
        <v>366</v>
      </c>
      <c r="U266" s="99" t="s">
        <v>311</v>
      </c>
      <c r="V266" s="99" t="s">
        <v>1644</v>
      </c>
      <c r="W266" s="99" t="s">
        <v>325</v>
      </c>
      <c r="X266" s="99" t="s">
        <v>310</v>
      </c>
      <c r="Y266" s="99" t="s">
        <v>316</v>
      </c>
      <c r="Z266" s="99" t="s">
        <v>316</v>
      </c>
      <c r="AA266" s="99" t="s">
        <v>850</v>
      </c>
      <c r="AB266" s="99" t="s">
        <v>358</v>
      </c>
      <c r="AC266" s="99" t="s">
        <v>324</v>
      </c>
      <c r="AD266" s="99" t="s">
        <v>344</v>
      </c>
      <c r="AE266" s="99" t="s">
        <v>539</v>
      </c>
      <c r="AF266" s="99" t="s">
        <v>1483</v>
      </c>
      <c r="AG266" s="99" t="s">
        <v>323</v>
      </c>
      <c r="AH266" s="99" t="s">
        <v>6</v>
      </c>
      <c r="AI266" s="99" t="s">
        <v>6</v>
      </c>
      <c r="AJ266" s="99" t="s">
        <v>303</v>
      </c>
      <c r="AK266" s="99" t="s">
        <v>303</v>
      </c>
      <c r="AL266" s="99" t="s">
        <v>303</v>
      </c>
      <c r="AM266" s="99" t="s">
        <v>303</v>
      </c>
      <c r="AN266" s="99" t="s">
        <v>303</v>
      </c>
      <c r="AO266" s="99" t="s">
        <v>303</v>
      </c>
      <c r="AP266" s="99" t="s">
        <v>304</v>
      </c>
      <c r="AQ266" s="99" t="s">
        <v>303</v>
      </c>
      <c r="AR266" s="99" t="s">
        <v>378</v>
      </c>
      <c r="AS266" s="99" t="s">
        <v>350</v>
      </c>
      <c r="AT266" s="99" t="s">
        <v>355</v>
      </c>
      <c r="AU266" s="99" t="s">
        <v>320</v>
      </c>
      <c r="AV266" s="99" t="s">
        <v>392</v>
      </c>
      <c r="AW266" s="99" t="s">
        <v>307</v>
      </c>
      <c r="AX266" s="99" t="s">
        <v>319</v>
      </c>
      <c r="AY266" s="99" t="s">
        <v>436</v>
      </c>
    </row>
    <row r="267" spans="1:51" ht="201.6" x14ac:dyDescent="0.3">
      <c r="A267" s="98">
        <v>42099.351747685185</v>
      </c>
      <c r="B267" s="99" t="s">
        <v>528</v>
      </c>
      <c r="C267" s="99" t="s">
        <v>552</v>
      </c>
      <c r="D267" s="99" t="s">
        <v>331</v>
      </c>
      <c r="E267" s="99" t="s">
        <v>330</v>
      </c>
      <c r="F267" s="99" t="s">
        <v>317</v>
      </c>
      <c r="G267" s="99" t="s">
        <v>1076</v>
      </c>
      <c r="H267" s="99" t="s">
        <v>390</v>
      </c>
      <c r="I267" s="99" t="s">
        <v>309</v>
      </c>
      <c r="J267" s="99" t="s">
        <v>1645</v>
      </c>
      <c r="K267" s="99" t="s">
        <v>328</v>
      </c>
      <c r="L267" s="99" t="s">
        <v>450</v>
      </c>
      <c r="M267" s="99" t="s">
        <v>353</v>
      </c>
      <c r="N267" s="99" t="s">
        <v>4</v>
      </c>
      <c r="O267" s="99" t="s">
        <v>327</v>
      </c>
      <c r="P267" s="99" t="s">
        <v>4</v>
      </c>
      <c r="Q267" s="99" t="s">
        <v>1646</v>
      </c>
      <c r="R267" s="99" t="s">
        <v>327</v>
      </c>
      <c r="S267" s="99" t="s">
        <v>1647</v>
      </c>
      <c r="T267" s="99" t="s">
        <v>326</v>
      </c>
      <c r="U267" s="99" t="s">
        <v>530</v>
      </c>
      <c r="V267" s="99" t="s">
        <v>1648</v>
      </c>
      <c r="W267" s="99" t="s">
        <v>325</v>
      </c>
      <c r="X267" s="99" t="s">
        <v>346</v>
      </c>
      <c r="Y267" s="99" t="s">
        <v>316</v>
      </c>
      <c r="Z267" s="99" t="s">
        <v>316</v>
      </c>
      <c r="AA267" s="99" t="s">
        <v>410</v>
      </c>
      <c r="AB267" s="99" t="s">
        <v>308</v>
      </c>
      <c r="AC267" s="99" t="s">
        <v>324</v>
      </c>
      <c r="AD267" s="99" t="s">
        <v>414</v>
      </c>
      <c r="AE267" s="99" t="s">
        <v>535</v>
      </c>
      <c r="AF267" s="99" t="s">
        <v>908</v>
      </c>
      <c r="AG267" s="99" t="s">
        <v>323</v>
      </c>
      <c r="AH267" s="99" t="s">
        <v>303</v>
      </c>
      <c r="AI267" s="99" t="s">
        <v>303</v>
      </c>
      <c r="AJ267" s="99" t="s">
        <v>303</v>
      </c>
      <c r="AK267" s="99" t="s">
        <v>302</v>
      </c>
      <c r="AL267" s="99" t="s">
        <v>302</v>
      </c>
      <c r="AM267" s="99" t="s">
        <v>302</v>
      </c>
      <c r="AN267" s="99" t="s">
        <v>303</v>
      </c>
      <c r="AO267" s="99" t="s">
        <v>303</v>
      </c>
      <c r="AP267" s="99" t="s">
        <v>303</v>
      </c>
      <c r="AQ267" s="99" t="s">
        <v>304</v>
      </c>
      <c r="AR267" s="99" t="s">
        <v>391</v>
      </c>
      <c r="AS267" s="99" t="s">
        <v>350</v>
      </c>
      <c r="AT267" s="99" t="s">
        <v>321</v>
      </c>
      <c r="AU267" s="99" t="s">
        <v>342</v>
      </c>
      <c r="AV267" s="99" t="s">
        <v>364</v>
      </c>
      <c r="AW267" s="99" t="s">
        <v>307</v>
      </c>
      <c r="AX267" s="99" t="s">
        <v>341</v>
      </c>
      <c r="AY267" s="99" t="s">
        <v>1441</v>
      </c>
    </row>
    <row r="268" spans="1:51" ht="259.2" x14ac:dyDescent="0.3">
      <c r="A268" s="98">
        <v>42099.35193287037</v>
      </c>
      <c r="B268" s="99" t="s">
        <v>528</v>
      </c>
      <c r="C268" s="99" t="s">
        <v>552</v>
      </c>
      <c r="D268" s="99" t="s">
        <v>529</v>
      </c>
      <c r="E268" s="99" t="s">
        <v>330</v>
      </c>
      <c r="F268" s="99" t="s">
        <v>317</v>
      </c>
      <c r="G268" s="99" t="s">
        <v>446</v>
      </c>
      <c r="H268" s="99" t="s">
        <v>390</v>
      </c>
      <c r="I268" s="99" t="s">
        <v>345</v>
      </c>
      <c r="J268" s="99" t="s">
        <v>965</v>
      </c>
      <c r="K268" s="99" t="s">
        <v>368</v>
      </c>
      <c r="L268" s="99" t="s">
        <v>1288</v>
      </c>
      <c r="M268" s="99" t="s">
        <v>314</v>
      </c>
      <c r="N268" s="99" t="s">
        <v>4</v>
      </c>
      <c r="O268" s="99" t="s">
        <v>4</v>
      </c>
      <c r="P268" s="99" t="s">
        <v>327</v>
      </c>
      <c r="Q268" s="99" t="s">
        <v>670</v>
      </c>
      <c r="R268" s="99" t="s">
        <v>327</v>
      </c>
      <c r="S268" s="99" t="s">
        <v>988</v>
      </c>
      <c r="T268" s="99" t="s">
        <v>366</v>
      </c>
      <c r="U268" s="99" t="s">
        <v>311</v>
      </c>
      <c r="V268" s="99" t="s">
        <v>1644</v>
      </c>
      <c r="W268" s="99" t="s">
        <v>325</v>
      </c>
      <c r="X268" s="99" t="s">
        <v>310</v>
      </c>
      <c r="Y268" s="99" t="s">
        <v>316</v>
      </c>
      <c r="Z268" s="99" t="s">
        <v>316</v>
      </c>
      <c r="AA268" s="99" t="s">
        <v>850</v>
      </c>
      <c r="AB268" s="99" t="s">
        <v>358</v>
      </c>
      <c r="AC268" s="99" t="s">
        <v>324</v>
      </c>
      <c r="AD268" s="99" t="s">
        <v>344</v>
      </c>
      <c r="AE268" s="99" t="s">
        <v>539</v>
      </c>
      <c r="AF268" s="99" t="s">
        <v>1483</v>
      </c>
      <c r="AG268" s="99" t="s">
        <v>323</v>
      </c>
      <c r="AH268" s="99" t="s">
        <v>6</v>
      </c>
      <c r="AI268" s="99" t="s">
        <v>6</v>
      </c>
      <c r="AJ268" s="99" t="s">
        <v>303</v>
      </c>
      <c r="AK268" s="99" t="s">
        <v>303</v>
      </c>
      <c r="AL268" s="99" t="s">
        <v>303</v>
      </c>
      <c r="AM268" s="99" t="s">
        <v>303</v>
      </c>
      <c r="AN268" s="99" t="s">
        <v>303</v>
      </c>
      <c r="AO268" s="99" t="s">
        <v>303</v>
      </c>
      <c r="AP268" s="99" t="s">
        <v>304</v>
      </c>
      <c r="AQ268" s="99" t="s">
        <v>303</v>
      </c>
      <c r="AR268" s="99" t="s">
        <v>378</v>
      </c>
      <c r="AS268" s="99" t="s">
        <v>350</v>
      </c>
      <c r="AT268" s="99" t="s">
        <v>355</v>
      </c>
      <c r="AU268" s="99" t="s">
        <v>320</v>
      </c>
      <c r="AV268" s="99" t="s">
        <v>392</v>
      </c>
      <c r="AW268" s="99" t="s">
        <v>307</v>
      </c>
      <c r="AX268" s="99" t="s">
        <v>319</v>
      </c>
      <c r="AY268" s="99" t="s">
        <v>436</v>
      </c>
    </row>
    <row r="269" spans="1:51" ht="230.4" x14ac:dyDescent="0.3">
      <c r="A269" s="98">
        <v>42099.354513888888</v>
      </c>
      <c r="B269" s="99" t="s">
        <v>528</v>
      </c>
      <c r="C269" s="99" t="s">
        <v>552</v>
      </c>
      <c r="D269" s="99" t="s">
        <v>529</v>
      </c>
      <c r="E269" s="99" t="s">
        <v>330</v>
      </c>
      <c r="F269" s="99" t="s">
        <v>317</v>
      </c>
      <c r="G269" s="99" t="s">
        <v>407</v>
      </c>
      <c r="H269" s="99" t="s">
        <v>349</v>
      </c>
      <c r="I269" s="99" t="s">
        <v>309</v>
      </c>
      <c r="J269" s="99" t="s">
        <v>1649</v>
      </c>
      <c r="K269" s="99"/>
      <c r="L269" s="99" t="s">
        <v>450</v>
      </c>
      <c r="M269" s="99" t="s">
        <v>314</v>
      </c>
      <c r="N269" s="99" t="s">
        <v>327</v>
      </c>
      <c r="O269" s="99" t="s">
        <v>4</v>
      </c>
      <c r="P269" s="99" t="s">
        <v>313</v>
      </c>
      <c r="Q269" s="99" t="s">
        <v>670</v>
      </c>
      <c r="R269" s="99" t="s">
        <v>327</v>
      </c>
      <c r="S269" s="99" t="s">
        <v>500</v>
      </c>
      <c r="T269" s="99" t="s">
        <v>312</v>
      </c>
      <c r="U269" s="99" t="s">
        <v>530</v>
      </c>
      <c r="V269" s="99" t="s">
        <v>1650</v>
      </c>
      <c r="W269" s="99" t="s">
        <v>370</v>
      </c>
      <c r="X269" s="99" t="s">
        <v>346</v>
      </c>
      <c r="Y269" s="99" t="s">
        <v>316</v>
      </c>
      <c r="Z269" s="99" t="s">
        <v>316</v>
      </c>
      <c r="AA269" s="99" t="s">
        <v>685</v>
      </c>
      <c r="AB269" s="99" t="s">
        <v>308</v>
      </c>
      <c r="AC269" s="99" t="s">
        <v>381</v>
      </c>
      <c r="AD269" s="99" t="s">
        <v>1006</v>
      </c>
      <c r="AE269" s="99" t="s">
        <v>545</v>
      </c>
      <c r="AF269" s="99" t="s">
        <v>403</v>
      </c>
      <c r="AG269" s="99" t="s">
        <v>323</v>
      </c>
      <c r="AH269" s="99" t="s">
        <v>302</v>
      </c>
      <c r="AI269" s="99" t="s">
        <v>302</v>
      </c>
      <c r="AJ269" s="99" t="s">
        <v>303</v>
      </c>
      <c r="AK269" s="99" t="s">
        <v>303</v>
      </c>
      <c r="AL269" s="99" t="s">
        <v>302</v>
      </c>
      <c r="AM269" s="99" t="s">
        <v>303</v>
      </c>
      <c r="AN269" s="99" t="s">
        <v>304</v>
      </c>
      <c r="AO269" s="99" t="s">
        <v>303</v>
      </c>
      <c r="AP269" s="99" t="s">
        <v>302</v>
      </c>
      <c r="AQ269" s="99" t="s">
        <v>303</v>
      </c>
      <c r="AR269" s="99" t="s">
        <v>378</v>
      </c>
      <c r="AS269" s="99" t="s">
        <v>300</v>
      </c>
      <c r="AT269" s="99" t="s">
        <v>321</v>
      </c>
      <c r="AU269" s="99" t="s">
        <v>320</v>
      </c>
      <c r="AV269" s="99" t="s">
        <v>536</v>
      </c>
      <c r="AW269" s="99" t="s">
        <v>307</v>
      </c>
      <c r="AX269" s="99" t="s">
        <v>319</v>
      </c>
      <c r="AY269" s="99" t="s">
        <v>1651</v>
      </c>
    </row>
    <row r="270" spans="1:51" ht="158.4" x14ac:dyDescent="0.3">
      <c r="A270" s="98">
        <v>42099.355219907404</v>
      </c>
      <c r="B270" s="99" t="s">
        <v>528</v>
      </c>
      <c r="C270" s="99" t="s">
        <v>552</v>
      </c>
      <c r="D270" s="99" t="s">
        <v>331</v>
      </c>
      <c r="E270" s="99" t="s">
        <v>3</v>
      </c>
      <c r="F270" s="99" t="s">
        <v>317</v>
      </c>
      <c r="G270" s="99" t="s">
        <v>407</v>
      </c>
      <c r="H270" s="99" t="s">
        <v>390</v>
      </c>
      <c r="I270" s="99" t="s">
        <v>345</v>
      </c>
      <c r="J270" s="99" t="s">
        <v>454</v>
      </c>
      <c r="K270" s="99" t="s">
        <v>354</v>
      </c>
      <c r="L270" s="99" t="s">
        <v>1652</v>
      </c>
      <c r="M270" s="99" t="s">
        <v>314</v>
      </c>
      <c r="N270" s="99" t="s">
        <v>4</v>
      </c>
      <c r="O270" s="99" t="s">
        <v>327</v>
      </c>
      <c r="P270" s="99" t="s">
        <v>4</v>
      </c>
      <c r="Q270" s="99" t="s">
        <v>1522</v>
      </c>
      <c r="R270" s="99" t="s">
        <v>4</v>
      </c>
      <c r="S270" s="99" t="s">
        <v>387</v>
      </c>
      <c r="T270" s="99" t="s">
        <v>380</v>
      </c>
      <c r="U270" s="99" t="s">
        <v>373</v>
      </c>
      <c r="V270" s="99" t="s">
        <v>556</v>
      </c>
      <c r="W270" s="99" t="s">
        <v>370</v>
      </c>
      <c r="X270" s="99" t="s">
        <v>346</v>
      </c>
      <c r="Y270" s="99" t="s">
        <v>316</v>
      </c>
      <c r="Z270" s="99" t="s">
        <v>316</v>
      </c>
      <c r="AA270" s="99" t="s">
        <v>490</v>
      </c>
      <c r="AB270" s="99" t="s">
        <v>358</v>
      </c>
      <c r="AC270" s="99" t="s">
        <v>381</v>
      </c>
      <c r="AD270" s="99" t="s">
        <v>477</v>
      </c>
      <c r="AE270" s="99" t="s">
        <v>533</v>
      </c>
      <c r="AF270" s="99" t="s">
        <v>1526</v>
      </c>
      <c r="AG270" s="99" t="s">
        <v>306</v>
      </c>
      <c r="AH270" s="99" t="s">
        <v>304</v>
      </c>
      <c r="AI270" s="99" t="s">
        <v>6</v>
      </c>
      <c r="AJ270" s="99" t="s">
        <v>302</v>
      </c>
      <c r="AK270" s="99" t="s">
        <v>303</v>
      </c>
      <c r="AL270" s="99" t="s">
        <v>303</v>
      </c>
      <c r="AM270" s="99" t="s">
        <v>295</v>
      </c>
      <c r="AN270" s="99" t="s">
        <v>302</v>
      </c>
      <c r="AO270" s="99" t="s">
        <v>302</v>
      </c>
      <c r="AP270" s="99" t="s">
        <v>302</v>
      </c>
      <c r="AQ270" s="99" t="s">
        <v>302</v>
      </c>
      <c r="AR270" s="99" t="s">
        <v>365</v>
      </c>
      <c r="AS270" s="99" t="s">
        <v>300</v>
      </c>
      <c r="AT270" s="99" t="s">
        <v>299</v>
      </c>
      <c r="AU270" s="99" t="s">
        <v>342</v>
      </c>
      <c r="AV270" s="99" t="s">
        <v>333</v>
      </c>
      <c r="AW270" s="99" t="s">
        <v>381</v>
      </c>
      <c r="AX270" s="99" t="s">
        <v>319</v>
      </c>
      <c r="AY270" s="99" t="s">
        <v>1653</v>
      </c>
    </row>
    <row r="271" spans="1:51" ht="288" x14ac:dyDescent="0.3">
      <c r="A271" s="98">
        <v>42099.356180555558</v>
      </c>
      <c r="B271" s="99" t="s">
        <v>528</v>
      </c>
      <c r="C271" s="99" t="s">
        <v>552</v>
      </c>
      <c r="D271" s="99" t="s">
        <v>529</v>
      </c>
      <c r="E271" s="99" t="s">
        <v>330</v>
      </c>
      <c r="F271" s="99" t="s">
        <v>317</v>
      </c>
      <c r="G271" s="99" t="s">
        <v>412</v>
      </c>
      <c r="H271" s="99"/>
      <c r="I271" s="99" t="s">
        <v>309</v>
      </c>
      <c r="J271" s="99" t="s">
        <v>591</v>
      </c>
      <c r="K271" s="99" t="s">
        <v>315</v>
      </c>
      <c r="L271" s="99" t="s">
        <v>406</v>
      </c>
      <c r="M271" s="99" t="s">
        <v>314</v>
      </c>
      <c r="N271" s="99" t="s">
        <v>4</v>
      </c>
      <c r="O271" s="99" t="s">
        <v>4</v>
      </c>
      <c r="P271" s="99" t="s">
        <v>327</v>
      </c>
      <c r="Q271" s="99" t="s">
        <v>417</v>
      </c>
      <c r="R271" s="99" t="s">
        <v>327</v>
      </c>
      <c r="S271" s="99" t="s">
        <v>715</v>
      </c>
      <c r="T271" s="99" t="s">
        <v>366</v>
      </c>
      <c r="U271" s="99" t="s">
        <v>311</v>
      </c>
      <c r="V271" s="99" t="s">
        <v>1517</v>
      </c>
      <c r="W271" s="99" t="s">
        <v>550</v>
      </c>
      <c r="X271" s="99" t="s">
        <v>352</v>
      </c>
      <c r="Y271" s="99" t="s">
        <v>316</v>
      </c>
      <c r="Z271" s="99" t="s">
        <v>316</v>
      </c>
      <c r="AA271" s="99" t="s">
        <v>472</v>
      </c>
      <c r="AB271" s="99" t="s">
        <v>308</v>
      </c>
      <c r="AC271" s="99" t="s">
        <v>324</v>
      </c>
      <c r="AD271" s="99" t="s">
        <v>444</v>
      </c>
      <c r="AE271" s="99" t="s">
        <v>535</v>
      </c>
      <c r="AF271" s="99" t="s">
        <v>620</v>
      </c>
      <c r="AG271" s="99" t="s">
        <v>304</v>
      </c>
      <c r="AH271" s="99" t="s">
        <v>303</v>
      </c>
      <c r="AI271" s="99"/>
      <c r="AJ271" s="99" t="s">
        <v>302</v>
      </c>
      <c r="AK271" s="99" t="s">
        <v>303</v>
      </c>
      <c r="AL271" s="99" t="s">
        <v>302</v>
      </c>
      <c r="AM271" s="99" t="s">
        <v>305</v>
      </c>
      <c r="AN271" s="99" t="s">
        <v>303</v>
      </c>
      <c r="AO271" s="99" t="s">
        <v>304</v>
      </c>
      <c r="AP271" s="99" t="s">
        <v>303</v>
      </c>
      <c r="AQ271" s="99" t="s">
        <v>304</v>
      </c>
      <c r="AR271" s="99" t="s">
        <v>378</v>
      </c>
      <c r="AS271" s="99" t="s">
        <v>300</v>
      </c>
      <c r="AT271" s="99" t="s">
        <v>355</v>
      </c>
      <c r="AU271" s="99" t="s">
        <v>320</v>
      </c>
      <c r="AV271" s="99" t="s">
        <v>364</v>
      </c>
      <c r="AW271" s="99" t="s">
        <v>324</v>
      </c>
      <c r="AX271" s="99" t="s">
        <v>341</v>
      </c>
      <c r="AY271" s="99" t="s">
        <v>436</v>
      </c>
    </row>
    <row r="272" spans="1:51" ht="115.2" x14ac:dyDescent="0.3">
      <c r="A272" s="98">
        <v>42099.358275462961</v>
      </c>
      <c r="B272" s="99" t="s">
        <v>528</v>
      </c>
      <c r="C272" s="99" t="s">
        <v>552</v>
      </c>
      <c r="D272" s="99" t="s">
        <v>529</v>
      </c>
      <c r="E272" s="99" t="s">
        <v>3</v>
      </c>
      <c r="F272" s="99" t="s">
        <v>317</v>
      </c>
      <c r="G272" s="99" t="s">
        <v>446</v>
      </c>
      <c r="H272" s="99" t="s">
        <v>390</v>
      </c>
      <c r="I272" s="99" t="s">
        <v>309</v>
      </c>
      <c r="J272" s="99" t="s">
        <v>1034</v>
      </c>
      <c r="K272" s="99" t="s">
        <v>315</v>
      </c>
      <c r="L272" s="99" t="s">
        <v>598</v>
      </c>
      <c r="M272" s="99" t="s">
        <v>367</v>
      </c>
      <c r="N272" s="99" t="s">
        <v>327</v>
      </c>
      <c r="O272" s="99" t="s">
        <v>313</v>
      </c>
      <c r="P272" s="99" t="s">
        <v>313</v>
      </c>
      <c r="Q272" s="99" t="s">
        <v>903</v>
      </c>
      <c r="R272" s="99" t="s">
        <v>327</v>
      </c>
      <c r="S272" s="99" t="s">
        <v>1654</v>
      </c>
      <c r="T272" s="99" t="s">
        <v>312</v>
      </c>
      <c r="U272" s="99" t="s">
        <v>373</v>
      </c>
      <c r="V272" s="99"/>
      <c r="W272" s="99" t="s">
        <v>338</v>
      </c>
      <c r="X272" s="99" t="s">
        <v>337</v>
      </c>
      <c r="Y272" s="99" t="s">
        <v>316</v>
      </c>
      <c r="Z272" s="99" t="s">
        <v>316</v>
      </c>
      <c r="AA272" s="99" t="s">
        <v>653</v>
      </c>
      <c r="AB272" s="99" t="s">
        <v>389</v>
      </c>
      <c r="AC272" s="99" t="s">
        <v>307</v>
      </c>
      <c r="AD272" s="99" t="s">
        <v>467</v>
      </c>
      <c r="AE272" s="99" t="s">
        <v>535</v>
      </c>
      <c r="AF272" s="99" t="s">
        <v>706</v>
      </c>
      <c r="AG272" s="99" t="s">
        <v>304</v>
      </c>
      <c r="AH272" s="99" t="s">
        <v>303</v>
      </c>
      <c r="AI272" s="99" t="s">
        <v>6</v>
      </c>
      <c r="AJ272" s="99" t="s">
        <v>303</v>
      </c>
      <c r="AK272" s="99" t="s">
        <v>303</v>
      </c>
      <c r="AL272" s="99" t="s">
        <v>302</v>
      </c>
      <c r="AM272" s="99" t="s">
        <v>305</v>
      </c>
      <c r="AN272" s="99" t="s">
        <v>304</v>
      </c>
      <c r="AO272" s="99" t="s">
        <v>302</v>
      </c>
      <c r="AP272" s="99" t="s">
        <v>303</v>
      </c>
      <c r="AQ272" s="99" t="s">
        <v>305</v>
      </c>
      <c r="AR272" s="99" t="s">
        <v>391</v>
      </c>
      <c r="AS272" s="99" t="s">
        <v>335</v>
      </c>
      <c r="AT272" s="99" t="s">
        <v>360</v>
      </c>
      <c r="AU272" s="99" t="s">
        <v>320</v>
      </c>
      <c r="AV272" s="99" t="s">
        <v>392</v>
      </c>
      <c r="AW272" s="99" t="s">
        <v>324</v>
      </c>
      <c r="AX272" s="99" t="s">
        <v>534</v>
      </c>
      <c r="AY272" s="99" t="s">
        <v>654</v>
      </c>
    </row>
    <row r="273" spans="1:51" ht="129.6" x14ac:dyDescent="0.3">
      <c r="A273" s="98">
        <v>42099.360856481479</v>
      </c>
      <c r="B273" s="99" t="s">
        <v>528</v>
      </c>
      <c r="C273" s="99" t="s">
        <v>552</v>
      </c>
      <c r="D273" s="99" t="s">
        <v>331</v>
      </c>
      <c r="E273" s="99" t="s">
        <v>3</v>
      </c>
      <c r="F273" s="99" t="s">
        <v>317</v>
      </c>
      <c r="G273" s="99" t="s">
        <v>446</v>
      </c>
      <c r="H273" s="99" t="s">
        <v>5</v>
      </c>
      <c r="I273" s="99" t="s">
        <v>309</v>
      </c>
      <c r="J273" s="99" t="s">
        <v>1655</v>
      </c>
      <c r="K273" s="99" t="s">
        <v>315</v>
      </c>
      <c r="L273" s="99" t="s">
        <v>427</v>
      </c>
      <c r="M273" s="99" t="s">
        <v>367</v>
      </c>
      <c r="N273" s="99"/>
      <c r="O273" s="99" t="s">
        <v>327</v>
      </c>
      <c r="P273" s="99" t="s">
        <v>4</v>
      </c>
      <c r="Q273" s="99" t="s">
        <v>652</v>
      </c>
      <c r="R273" s="99" t="s">
        <v>327</v>
      </c>
      <c r="S273" s="99" t="s">
        <v>1047</v>
      </c>
      <c r="T273" s="99" t="s">
        <v>312</v>
      </c>
      <c r="U273" s="99" t="s">
        <v>530</v>
      </c>
      <c r="V273" s="99" t="s">
        <v>632</v>
      </c>
      <c r="W273" s="99" t="s">
        <v>550</v>
      </c>
      <c r="X273" s="99" t="s">
        <v>346</v>
      </c>
      <c r="Y273" s="99" t="s">
        <v>316</v>
      </c>
      <c r="Z273" s="99" t="s">
        <v>316</v>
      </c>
      <c r="AA273" s="99" t="s">
        <v>490</v>
      </c>
      <c r="AB273" s="99" t="s">
        <v>358</v>
      </c>
      <c r="AC273" s="99" t="s">
        <v>324</v>
      </c>
      <c r="AD273" s="99" t="s">
        <v>431</v>
      </c>
      <c r="AE273" s="99" t="s">
        <v>535</v>
      </c>
      <c r="AF273" s="99" t="s">
        <v>1656</v>
      </c>
      <c r="AG273" s="99" t="s">
        <v>323</v>
      </c>
      <c r="AH273" s="99" t="s">
        <v>303</v>
      </c>
      <c r="AI273" s="99" t="s">
        <v>303</v>
      </c>
      <c r="AJ273" s="99" t="s">
        <v>303</v>
      </c>
      <c r="AK273" s="99" t="s">
        <v>302</v>
      </c>
      <c r="AL273" s="99" t="s">
        <v>303</v>
      </c>
      <c r="AM273" s="99" t="s">
        <v>304</v>
      </c>
      <c r="AN273" s="99" t="s">
        <v>303</v>
      </c>
      <c r="AO273" s="99" t="s">
        <v>303</v>
      </c>
      <c r="AP273" s="99" t="s">
        <v>304</v>
      </c>
      <c r="AQ273" s="99" t="s">
        <v>303</v>
      </c>
      <c r="AR273" s="99" t="s">
        <v>541</v>
      </c>
      <c r="AS273" s="99" t="s">
        <v>540</v>
      </c>
      <c r="AT273" s="99" t="s">
        <v>360</v>
      </c>
      <c r="AU273" s="99" t="s">
        <v>342</v>
      </c>
      <c r="AV273" s="99" t="s">
        <v>297</v>
      </c>
      <c r="AW273" s="99" t="s">
        <v>307</v>
      </c>
      <c r="AX273" s="99" t="s">
        <v>341</v>
      </c>
      <c r="AY273" s="99" t="s">
        <v>447</v>
      </c>
    </row>
    <row r="274" spans="1:51" ht="259.2" x14ac:dyDescent="0.3">
      <c r="A274" s="98">
        <v>42099.367638888885</v>
      </c>
      <c r="B274" s="99" t="s">
        <v>528</v>
      </c>
      <c r="C274" s="99" t="s">
        <v>552</v>
      </c>
      <c r="D274" s="99" t="s">
        <v>529</v>
      </c>
      <c r="E274" s="99" t="s">
        <v>330</v>
      </c>
      <c r="F274" s="99" t="s">
        <v>317</v>
      </c>
      <c r="G274" s="99" t="s">
        <v>446</v>
      </c>
      <c r="H274" s="99" t="s">
        <v>390</v>
      </c>
      <c r="I274" s="99" t="s">
        <v>345</v>
      </c>
      <c r="J274" s="99" t="s">
        <v>965</v>
      </c>
      <c r="K274" s="99" t="s">
        <v>368</v>
      </c>
      <c r="L274" s="99" t="s">
        <v>1288</v>
      </c>
      <c r="M274" s="99" t="s">
        <v>314</v>
      </c>
      <c r="N274" s="99" t="s">
        <v>4</v>
      </c>
      <c r="O274" s="99" t="s">
        <v>4</v>
      </c>
      <c r="P274" s="99" t="s">
        <v>327</v>
      </c>
      <c r="Q274" s="99" t="s">
        <v>670</v>
      </c>
      <c r="R274" s="99" t="s">
        <v>327</v>
      </c>
      <c r="S274" s="99" t="s">
        <v>988</v>
      </c>
      <c r="T274" s="99" t="s">
        <v>366</v>
      </c>
      <c r="U274" s="99" t="s">
        <v>311</v>
      </c>
      <c r="V274" s="99" t="s">
        <v>1644</v>
      </c>
      <c r="W274" s="99" t="s">
        <v>325</v>
      </c>
      <c r="X274" s="99" t="s">
        <v>310</v>
      </c>
      <c r="Y274" s="99" t="s">
        <v>316</v>
      </c>
      <c r="Z274" s="99" t="s">
        <v>316</v>
      </c>
      <c r="AA274" s="99" t="s">
        <v>850</v>
      </c>
      <c r="AB274" s="99" t="s">
        <v>358</v>
      </c>
      <c r="AC274" s="99" t="s">
        <v>324</v>
      </c>
      <c r="AD274" s="99" t="s">
        <v>344</v>
      </c>
      <c r="AE274" s="99" t="s">
        <v>539</v>
      </c>
      <c r="AF274" s="99" t="s">
        <v>1483</v>
      </c>
      <c r="AG274" s="99" t="s">
        <v>323</v>
      </c>
      <c r="AH274" s="99" t="s">
        <v>6</v>
      </c>
      <c r="AI274" s="99" t="s">
        <v>6</v>
      </c>
      <c r="AJ274" s="99" t="s">
        <v>303</v>
      </c>
      <c r="AK274" s="99" t="s">
        <v>303</v>
      </c>
      <c r="AL274" s="99" t="s">
        <v>303</v>
      </c>
      <c r="AM274" s="99" t="s">
        <v>303</v>
      </c>
      <c r="AN274" s="99" t="s">
        <v>303</v>
      </c>
      <c r="AO274" s="99" t="s">
        <v>303</v>
      </c>
      <c r="AP274" s="99" t="s">
        <v>304</v>
      </c>
      <c r="AQ274" s="99" t="s">
        <v>303</v>
      </c>
      <c r="AR274" s="99" t="s">
        <v>378</v>
      </c>
      <c r="AS274" s="99" t="s">
        <v>350</v>
      </c>
      <c r="AT274" s="99" t="s">
        <v>355</v>
      </c>
      <c r="AU274" s="99" t="s">
        <v>320</v>
      </c>
      <c r="AV274" s="99" t="s">
        <v>392</v>
      </c>
      <c r="AW274" s="99" t="s">
        <v>307</v>
      </c>
      <c r="AX274" s="99" t="s">
        <v>319</v>
      </c>
      <c r="AY274" s="99" t="s">
        <v>436</v>
      </c>
    </row>
    <row r="275" spans="1:51" ht="129.6" x14ac:dyDescent="0.3">
      <c r="A275" s="98">
        <v>42099.369803240741</v>
      </c>
      <c r="B275" s="99" t="s">
        <v>528</v>
      </c>
      <c r="C275" s="99" t="s">
        <v>552</v>
      </c>
      <c r="D275" s="99" t="s">
        <v>331</v>
      </c>
      <c r="E275" s="99" t="s">
        <v>3</v>
      </c>
      <c r="F275" s="99" t="s">
        <v>317</v>
      </c>
      <c r="G275" s="99" t="s">
        <v>446</v>
      </c>
      <c r="H275" s="99" t="s">
        <v>5</v>
      </c>
      <c r="I275" s="99" t="s">
        <v>309</v>
      </c>
      <c r="J275" s="99" t="s">
        <v>544</v>
      </c>
      <c r="K275" s="99" t="s">
        <v>315</v>
      </c>
      <c r="L275" s="99" t="s">
        <v>411</v>
      </c>
      <c r="M275" s="99" t="s">
        <v>367</v>
      </c>
      <c r="N275" s="99" t="s">
        <v>327</v>
      </c>
      <c r="O275" s="99" t="s">
        <v>327</v>
      </c>
      <c r="P275" s="99" t="s">
        <v>327</v>
      </c>
      <c r="Q275" s="99" t="s">
        <v>411</v>
      </c>
      <c r="R275" s="99" t="s">
        <v>327</v>
      </c>
      <c r="S275" s="99" t="s">
        <v>1657</v>
      </c>
      <c r="T275" s="99" t="s">
        <v>326</v>
      </c>
      <c r="U275" s="99" t="s">
        <v>311</v>
      </c>
      <c r="V275" s="99" t="s">
        <v>1092</v>
      </c>
      <c r="W275" s="99" t="s">
        <v>1278</v>
      </c>
      <c r="X275" s="99" t="s">
        <v>337</v>
      </c>
      <c r="Y275" s="99" t="s">
        <v>316</v>
      </c>
      <c r="Z275" s="99" t="s">
        <v>316</v>
      </c>
      <c r="AA275" s="99" t="s">
        <v>490</v>
      </c>
      <c r="AB275" s="99" t="s">
        <v>308</v>
      </c>
      <c r="AC275" s="99" t="s">
        <v>324</v>
      </c>
      <c r="AD275" s="99" t="s">
        <v>414</v>
      </c>
      <c r="AE275" s="99" t="s">
        <v>532</v>
      </c>
      <c r="AF275" s="99" t="s">
        <v>1656</v>
      </c>
      <c r="AG275" s="99" t="s">
        <v>323</v>
      </c>
      <c r="AH275" s="99" t="s">
        <v>303</v>
      </c>
      <c r="AI275" s="99" t="s">
        <v>303</v>
      </c>
      <c r="AJ275" s="99"/>
      <c r="AK275" s="99" t="s">
        <v>303</v>
      </c>
      <c r="AL275" s="99" t="s">
        <v>303</v>
      </c>
      <c r="AM275" s="99" t="s">
        <v>304</v>
      </c>
      <c r="AN275" s="99" t="s">
        <v>303</v>
      </c>
      <c r="AO275" s="99" t="s">
        <v>303</v>
      </c>
      <c r="AP275" s="99" t="s">
        <v>304</v>
      </c>
      <c r="AQ275" s="99" t="s">
        <v>302</v>
      </c>
      <c r="AR275" s="99" t="s">
        <v>391</v>
      </c>
      <c r="AS275" s="99" t="s">
        <v>350</v>
      </c>
      <c r="AT275" s="99" t="s">
        <v>360</v>
      </c>
      <c r="AU275" s="99" t="s">
        <v>342</v>
      </c>
      <c r="AV275" s="99" t="s">
        <v>297</v>
      </c>
      <c r="AW275" s="99" t="s">
        <v>307</v>
      </c>
      <c r="AX275" s="99" t="s">
        <v>341</v>
      </c>
      <c r="AY275" s="99" t="s">
        <v>447</v>
      </c>
    </row>
    <row r="276" spans="1:51" ht="43.2" x14ac:dyDescent="0.3">
      <c r="A276" s="98">
        <v>42190.348715277774</v>
      </c>
      <c r="B276" s="99" t="s">
        <v>528</v>
      </c>
      <c r="C276" s="99" t="s">
        <v>580</v>
      </c>
      <c r="D276" s="99" t="s">
        <v>529</v>
      </c>
      <c r="E276" s="99" t="s">
        <v>330</v>
      </c>
      <c r="F276" s="99" t="s">
        <v>317</v>
      </c>
      <c r="G276" s="99" t="s">
        <v>423</v>
      </c>
      <c r="H276" s="99" t="s">
        <v>349</v>
      </c>
      <c r="I276" s="99" t="s">
        <v>309</v>
      </c>
      <c r="J276" s="99" t="s">
        <v>1658</v>
      </c>
      <c r="K276" s="99"/>
      <c r="L276" s="99" t="s">
        <v>411</v>
      </c>
      <c r="M276" s="99" t="s">
        <v>314</v>
      </c>
      <c r="N276" s="99" t="s">
        <v>4</v>
      </c>
      <c r="O276" s="99"/>
      <c r="P276" s="99"/>
      <c r="Q276" s="99"/>
      <c r="R276" s="99"/>
      <c r="S276" s="99"/>
      <c r="T276" s="99"/>
      <c r="U276" s="99"/>
      <c r="V276" s="99"/>
      <c r="W276" s="99"/>
      <c r="X276" s="99"/>
      <c r="Y276" s="99"/>
      <c r="Z276" s="99"/>
      <c r="AA276" s="99"/>
      <c r="AB276" s="99"/>
      <c r="AC276" s="99"/>
      <c r="AD276" s="99"/>
      <c r="AE276" s="99"/>
      <c r="AF276" s="99"/>
      <c r="AG276" s="99"/>
      <c r="AH276" s="99"/>
      <c r="AI276" s="99" t="s">
        <v>6</v>
      </c>
      <c r="AJ276" s="99"/>
      <c r="AK276" s="99"/>
      <c r="AL276" s="99"/>
      <c r="AM276" s="99"/>
      <c r="AN276" s="99"/>
      <c r="AO276" s="99"/>
      <c r="AP276" s="99"/>
      <c r="AQ276" s="99"/>
      <c r="AR276" s="99"/>
      <c r="AS276" s="99"/>
      <c r="AT276" s="99"/>
      <c r="AU276" s="99"/>
      <c r="AV276" s="99"/>
      <c r="AW276" s="99"/>
      <c r="AX276" s="99"/>
      <c r="AY276" s="99"/>
    </row>
    <row r="277" spans="1:51" ht="100.8" x14ac:dyDescent="0.3">
      <c r="A277" s="98">
        <v>42190.352303240739</v>
      </c>
      <c r="B277" s="99" t="s">
        <v>528</v>
      </c>
      <c r="C277" s="99" t="s">
        <v>580</v>
      </c>
      <c r="D277" s="99" t="s">
        <v>331</v>
      </c>
      <c r="E277" s="99" t="s">
        <v>3</v>
      </c>
      <c r="F277" s="99" t="s">
        <v>317</v>
      </c>
      <c r="G277" s="99" t="s">
        <v>561</v>
      </c>
      <c r="H277" s="99" t="s">
        <v>679</v>
      </c>
      <c r="I277" s="99" t="s">
        <v>309</v>
      </c>
      <c r="J277" s="99" t="s">
        <v>692</v>
      </c>
      <c r="K277" s="99" t="s">
        <v>315</v>
      </c>
      <c r="L277" s="99" t="s">
        <v>439</v>
      </c>
      <c r="M277" s="99" t="s">
        <v>348</v>
      </c>
      <c r="N277" s="99"/>
      <c r="O277" s="99" t="s">
        <v>327</v>
      </c>
      <c r="P277" s="99" t="s">
        <v>313</v>
      </c>
      <c r="Q277" s="99" t="s">
        <v>411</v>
      </c>
      <c r="R277" s="99" t="s">
        <v>4</v>
      </c>
      <c r="S277" s="99" t="s">
        <v>624</v>
      </c>
      <c r="T277" s="99" t="s">
        <v>312</v>
      </c>
      <c r="U277" s="99" t="s">
        <v>530</v>
      </c>
      <c r="V277" s="99" t="s">
        <v>382</v>
      </c>
      <c r="W277" s="99" t="s">
        <v>338</v>
      </c>
      <c r="X277" s="99" t="s">
        <v>352</v>
      </c>
      <c r="Y277" s="99" t="s">
        <v>316</v>
      </c>
      <c r="Z277" s="99" t="s">
        <v>316</v>
      </c>
      <c r="AA277" s="99" t="s">
        <v>432</v>
      </c>
      <c r="AB277" s="99" t="s">
        <v>336</v>
      </c>
      <c r="AC277" s="99" t="s">
        <v>324</v>
      </c>
      <c r="AD277" s="99" t="s">
        <v>462</v>
      </c>
      <c r="AE277" s="99" t="s">
        <v>532</v>
      </c>
      <c r="AF277" s="99" t="s">
        <v>953</v>
      </c>
      <c r="AG277" s="99" t="s">
        <v>304</v>
      </c>
      <c r="AH277" s="99" t="s">
        <v>303</v>
      </c>
      <c r="AI277" s="99" t="s">
        <v>304</v>
      </c>
      <c r="AJ277" s="99" t="s">
        <v>304</v>
      </c>
      <c r="AK277" s="99" t="s">
        <v>304</v>
      </c>
      <c r="AL277" s="99"/>
      <c r="AM277" s="99" t="s">
        <v>303</v>
      </c>
      <c r="AN277" s="99" t="s">
        <v>303</v>
      </c>
      <c r="AO277" s="99" t="s">
        <v>304</v>
      </c>
      <c r="AP277" s="99" t="s">
        <v>303</v>
      </c>
      <c r="AQ277" s="99" t="s">
        <v>303</v>
      </c>
      <c r="AR277" s="99" t="s">
        <v>343</v>
      </c>
      <c r="AS277" s="99" t="s">
        <v>563</v>
      </c>
      <c r="AT277" s="99" t="s">
        <v>360</v>
      </c>
      <c r="AU277" s="99" t="s">
        <v>342</v>
      </c>
      <c r="AV277" s="99" t="s">
        <v>392</v>
      </c>
      <c r="AW277" s="99" t="s">
        <v>324</v>
      </c>
      <c r="AX277" s="99" t="s">
        <v>534</v>
      </c>
      <c r="AY277" s="99" t="s">
        <v>418</v>
      </c>
    </row>
    <row r="278" spans="1:51" ht="129.6" x14ac:dyDescent="0.3">
      <c r="A278" s="98">
        <v>42190.352824074071</v>
      </c>
      <c r="B278" s="99" t="s">
        <v>528</v>
      </c>
      <c r="C278" s="99" t="s">
        <v>580</v>
      </c>
      <c r="D278" s="99" t="s">
        <v>529</v>
      </c>
      <c r="E278" s="99" t="s">
        <v>3</v>
      </c>
      <c r="F278" s="99" t="s">
        <v>317</v>
      </c>
      <c r="G278" s="99" t="s">
        <v>340</v>
      </c>
      <c r="H278" s="99" t="s">
        <v>390</v>
      </c>
      <c r="I278" s="99" t="s">
        <v>309</v>
      </c>
      <c r="J278" s="99" t="s">
        <v>623</v>
      </c>
      <c r="K278" s="99" t="s">
        <v>354</v>
      </c>
      <c r="L278" s="99" t="s">
        <v>450</v>
      </c>
      <c r="M278" s="99" t="s">
        <v>348</v>
      </c>
      <c r="N278" s="99" t="s">
        <v>4</v>
      </c>
      <c r="O278" s="99" t="s">
        <v>313</v>
      </c>
      <c r="P278" s="99" t="s">
        <v>313</v>
      </c>
      <c r="Q278" s="99" t="s">
        <v>411</v>
      </c>
      <c r="R278" s="99" t="s">
        <v>4</v>
      </c>
      <c r="S278" s="99" t="s">
        <v>1659</v>
      </c>
      <c r="T278" s="99" t="s">
        <v>380</v>
      </c>
      <c r="U278" s="99" t="s">
        <v>373</v>
      </c>
      <c r="V278" s="99" t="s">
        <v>362</v>
      </c>
      <c r="W278" s="99" t="s">
        <v>338</v>
      </c>
      <c r="X278" s="99" t="s">
        <v>352</v>
      </c>
      <c r="Y278" s="99" t="s">
        <v>316</v>
      </c>
      <c r="Z278" s="99" t="s">
        <v>316</v>
      </c>
      <c r="AA278" s="99" t="s">
        <v>408</v>
      </c>
      <c r="AB278" s="99" t="s">
        <v>308</v>
      </c>
      <c r="AC278" s="99" t="s">
        <v>324</v>
      </c>
      <c r="AD278" s="99" t="s">
        <v>426</v>
      </c>
      <c r="AE278" s="99" t="s">
        <v>532</v>
      </c>
      <c r="AF278" s="99" t="s">
        <v>1064</v>
      </c>
      <c r="AG278" s="99" t="s">
        <v>304</v>
      </c>
      <c r="AH278" s="99" t="s">
        <v>303</v>
      </c>
      <c r="AI278" s="99" t="s">
        <v>303</v>
      </c>
      <c r="AJ278" s="99" t="s">
        <v>303</v>
      </c>
      <c r="AK278" s="99" t="s">
        <v>304</v>
      </c>
      <c r="AL278" s="99" t="s">
        <v>303</v>
      </c>
      <c r="AM278" s="99" t="s">
        <v>304</v>
      </c>
      <c r="AN278" s="99" t="s">
        <v>303</v>
      </c>
      <c r="AO278" s="99" t="s">
        <v>304</v>
      </c>
      <c r="AP278" s="99" t="s">
        <v>304</v>
      </c>
      <c r="AQ278" s="99" t="s">
        <v>303</v>
      </c>
      <c r="AR278" s="99" t="s">
        <v>343</v>
      </c>
      <c r="AS278" s="99" t="s">
        <v>300</v>
      </c>
      <c r="AT278" s="99" t="s">
        <v>360</v>
      </c>
      <c r="AU278" s="99" t="s">
        <v>342</v>
      </c>
      <c r="AV278" s="99" t="s">
        <v>297</v>
      </c>
      <c r="AW278" s="99" t="s">
        <v>307</v>
      </c>
      <c r="AX278" s="99" t="s">
        <v>341</v>
      </c>
      <c r="AY278" s="99" t="s">
        <v>654</v>
      </c>
    </row>
    <row r="279" spans="1:51" ht="129.6" x14ac:dyDescent="0.3">
      <c r="A279" s="98">
        <v>42190.352835648147</v>
      </c>
      <c r="B279" s="99" t="s">
        <v>528</v>
      </c>
      <c r="C279" s="99" t="s">
        <v>580</v>
      </c>
      <c r="D279" s="99" t="s">
        <v>529</v>
      </c>
      <c r="E279" s="99" t="s">
        <v>330</v>
      </c>
      <c r="F279" s="99" t="s">
        <v>317</v>
      </c>
      <c r="G279" s="99" t="s">
        <v>407</v>
      </c>
      <c r="H279" s="99" t="s">
        <v>349</v>
      </c>
      <c r="I279" s="99" t="s">
        <v>494</v>
      </c>
      <c r="J279" s="99" t="s">
        <v>1660</v>
      </c>
      <c r="K279" s="99" t="s">
        <v>384</v>
      </c>
      <c r="L279" s="99" t="s">
        <v>396</v>
      </c>
      <c r="M279" s="99" t="s">
        <v>314</v>
      </c>
      <c r="N279" s="99" t="s">
        <v>4</v>
      </c>
      <c r="O279" s="99" t="s">
        <v>313</v>
      </c>
      <c r="P279" s="99" t="s">
        <v>4</v>
      </c>
      <c r="Q279" s="99" t="s">
        <v>411</v>
      </c>
      <c r="R279" s="99" t="s">
        <v>327</v>
      </c>
      <c r="S279" s="99" t="s">
        <v>1089</v>
      </c>
      <c r="T279" s="99" t="s">
        <v>366</v>
      </c>
      <c r="U279" s="99" t="s">
        <v>373</v>
      </c>
      <c r="V279" s="99" t="s">
        <v>1620</v>
      </c>
      <c r="W279" s="99" t="s">
        <v>325</v>
      </c>
      <c r="X279" s="99" t="s">
        <v>352</v>
      </c>
      <c r="Y279" s="99" t="s">
        <v>316</v>
      </c>
      <c r="Z279" s="99" t="s">
        <v>316</v>
      </c>
      <c r="AA279" s="99" t="s">
        <v>410</v>
      </c>
      <c r="AB279" s="99" t="s">
        <v>308</v>
      </c>
      <c r="AC279" s="99" t="s">
        <v>381</v>
      </c>
      <c r="AD279" s="99" t="s">
        <v>462</v>
      </c>
      <c r="AE279" s="99" t="s">
        <v>545</v>
      </c>
      <c r="AF279" s="99" t="s">
        <v>1661</v>
      </c>
      <c r="AG279" s="99" t="s">
        <v>323</v>
      </c>
      <c r="AH279" s="99" t="s">
        <v>6</v>
      </c>
      <c r="AI279" s="99" t="s">
        <v>6</v>
      </c>
      <c r="AJ279" s="99" t="s">
        <v>303</v>
      </c>
      <c r="AK279" s="99" t="s">
        <v>304</v>
      </c>
      <c r="AL279" s="99" t="s">
        <v>302</v>
      </c>
      <c r="AM279" s="99" t="s">
        <v>303</v>
      </c>
      <c r="AN279" s="99" t="s">
        <v>303</v>
      </c>
      <c r="AO279" s="99" t="s">
        <v>304</v>
      </c>
      <c r="AP279" s="99" t="s">
        <v>303</v>
      </c>
      <c r="AQ279" s="99" t="s">
        <v>303</v>
      </c>
      <c r="AR279" s="99" t="s">
        <v>343</v>
      </c>
      <c r="AS279" s="99" t="s">
        <v>300</v>
      </c>
      <c r="AT279" s="99" t="s">
        <v>360</v>
      </c>
      <c r="AU279" s="99" t="s">
        <v>298</v>
      </c>
      <c r="AV279" s="99" t="s">
        <v>364</v>
      </c>
      <c r="AW279" s="99" t="s">
        <v>307</v>
      </c>
      <c r="AX279" s="99" t="s">
        <v>534</v>
      </c>
      <c r="AY279" s="99" t="s">
        <v>1051</v>
      </c>
    </row>
    <row r="280" spans="1:51" ht="216" x14ac:dyDescent="0.3">
      <c r="A280" s="98">
        <v>42190.353344907409</v>
      </c>
      <c r="B280" s="99" t="s">
        <v>528</v>
      </c>
      <c r="C280" s="99" t="s">
        <v>580</v>
      </c>
      <c r="D280" s="99" t="s">
        <v>529</v>
      </c>
      <c r="E280" s="99" t="s">
        <v>3</v>
      </c>
      <c r="F280" s="99" t="s">
        <v>317</v>
      </c>
      <c r="G280" s="99" t="s">
        <v>446</v>
      </c>
      <c r="H280" s="99" t="s">
        <v>5</v>
      </c>
      <c r="I280" s="99" t="s">
        <v>345</v>
      </c>
      <c r="J280" s="99" t="s">
        <v>818</v>
      </c>
      <c r="K280" s="99" t="s">
        <v>384</v>
      </c>
      <c r="L280" s="99" t="s">
        <v>1507</v>
      </c>
      <c r="M280" s="99" t="s">
        <v>367</v>
      </c>
      <c r="N280" s="99" t="s">
        <v>4</v>
      </c>
      <c r="O280" s="99" t="s">
        <v>327</v>
      </c>
      <c r="P280" s="99" t="s">
        <v>313</v>
      </c>
      <c r="Q280" s="99" t="s">
        <v>421</v>
      </c>
      <c r="R280" s="99" t="s">
        <v>4</v>
      </c>
      <c r="S280" s="99" t="s">
        <v>998</v>
      </c>
      <c r="T280" s="99" t="s">
        <v>326</v>
      </c>
      <c r="U280" s="99" t="s">
        <v>530</v>
      </c>
      <c r="V280" s="99" t="s">
        <v>645</v>
      </c>
      <c r="W280" s="99" t="s">
        <v>338</v>
      </c>
      <c r="X280" s="99" t="s">
        <v>346</v>
      </c>
      <c r="Y280" s="99" t="s">
        <v>316</v>
      </c>
      <c r="Z280" s="99" t="s">
        <v>316</v>
      </c>
      <c r="AA280" s="99" t="s">
        <v>432</v>
      </c>
      <c r="AB280" s="99" t="s">
        <v>376</v>
      </c>
      <c r="AC280" s="99" t="s">
        <v>324</v>
      </c>
      <c r="AD280" s="99" t="s">
        <v>1662</v>
      </c>
      <c r="AE280" s="99" t="s">
        <v>532</v>
      </c>
      <c r="AF280" s="99" t="s">
        <v>1663</v>
      </c>
      <c r="AG280" s="99" t="s">
        <v>323</v>
      </c>
      <c r="AH280" s="99" t="s">
        <v>303</v>
      </c>
      <c r="AI280" s="99" t="s">
        <v>303</v>
      </c>
      <c r="AJ280" s="99" t="s">
        <v>302</v>
      </c>
      <c r="AK280" s="99" t="s">
        <v>303</v>
      </c>
      <c r="AL280" s="99" t="s">
        <v>302</v>
      </c>
      <c r="AM280" s="99" t="s">
        <v>302</v>
      </c>
      <c r="AN280" s="99" t="s">
        <v>304</v>
      </c>
      <c r="AO280" s="99" t="s">
        <v>302</v>
      </c>
      <c r="AP280" s="99" t="s">
        <v>303</v>
      </c>
      <c r="AQ280" s="99" t="s">
        <v>302</v>
      </c>
      <c r="AR280" s="99" t="s">
        <v>301</v>
      </c>
      <c r="AS280" s="99"/>
      <c r="AT280" s="99" t="s">
        <v>321</v>
      </c>
      <c r="AU280" s="99" t="s">
        <v>342</v>
      </c>
      <c r="AV280" s="99" t="s">
        <v>547</v>
      </c>
      <c r="AW280" s="99" t="s">
        <v>307</v>
      </c>
      <c r="AX280" s="99" t="s">
        <v>319</v>
      </c>
      <c r="AY280" s="99" t="s">
        <v>1043</v>
      </c>
    </row>
    <row r="281" spans="1:51" ht="187.2" x14ac:dyDescent="0.3">
      <c r="A281" s="98">
        <v>42190.353842592594</v>
      </c>
      <c r="B281" s="99" t="s">
        <v>528</v>
      </c>
      <c r="C281" s="99" t="s">
        <v>580</v>
      </c>
      <c r="D281" s="99" t="s">
        <v>529</v>
      </c>
      <c r="E281" s="99" t="s">
        <v>330</v>
      </c>
      <c r="F281" s="99" t="s">
        <v>317</v>
      </c>
      <c r="G281" s="99" t="s">
        <v>446</v>
      </c>
      <c r="H281" s="99" t="s">
        <v>390</v>
      </c>
      <c r="I281" s="99" t="s">
        <v>309</v>
      </c>
      <c r="J281" s="99" t="s">
        <v>623</v>
      </c>
      <c r="K281" s="99" t="s">
        <v>315</v>
      </c>
      <c r="L281" s="99" t="s">
        <v>577</v>
      </c>
      <c r="M281" s="99" t="s">
        <v>363</v>
      </c>
      <c r="N281" s="99" t="s">
        <v>4</v>
      </c>
      <c r="O281" s="99" t="s">
        <v>4</v>
      </c>
      <c r="P281" s="99" t="s">
        <v>4</v>
      </c>
      <c r="Q281" s="99" t="s">
        <v>421</v>
      </c>
      <c r="R281" s="99" t="s">
        <v>327</v>
      </c>
      <c r="S281" s="99" t="s">
        <v>964</v>
      </c>
      <c r="T281" s="99" t="s">
        <v>312</v>
      </c>
      <c r="U281" s="99" t="s">
        <v>347</v>
      </c>
      <c r="V281" s="99" t="s">
        <v>1664</v>
      </c>
      <c r="W281" s="99" t="s">
        <v>325</v>
      </c>
      <c r="X281" s="99" t="s">
        <v>352</v>
      </c>
      <c r="Y281" s="99" t="s">
        <v>316</v>
      </c>
      <c r="Z281" s="99" t="s">
        <v>316</v>
      </c>
      <c r="AA281" s="99" t="s">
        <v>685</v>
      </c>
      <c r="AB281" s="99" t="s">
        <v>308</v>
      </c>
      <c r="AC281" s="99" t="s">
        <v>351</v>
      </c>
      <c r="AD281" s="99" t="s">
        <v>344</v>
      </c>
      <c r="AE281" s="99" t="s">
        <v>532</v>
      </c>
      <c r="AF281" s="99" t="s">
        <v>1665</v>
      </c>
      <c r="AG281" s="99" t="s">
        <v>304</v>
      </c>
      <c r="AH281" s="99" t="s">
        <v>304</v>
      </c>
      <c r="AI281" s="99" t="s">
        <v>6</v>
      </c>
      <c r="AJ281" s="99" t="s">
        <v>304</v>
      </c>
      <c r="AK281" s="99" t="s">
        <v>303</v>
      </c>
      <c r="AL281" s="99" t="s">
        <v>304</v>
      </c>
      <c r="AM281" s="99" t="s">
        <v>305</v>
      </c>
      <c r="AN281" s="99" t="s">
        <v>304</v>
      </c>
      <c r="AO281" s="99" t="s">
        <v>304</v>
      </c>
      <c r="AP281" s="99" t="s">
        <v>303</v>
      </c>
      <c r="AQ281" s="99" t="s">
        <v>304</v>
      </c>
      <c r="AR281" s="99" t="s">
        <v>301</v>
      </c>
      <c r="AS281" s="99" t="s">
        <v>335</v>
      </c>
      <c r="AT281" s="99" t="s">
        <v>321</v>
      </c>
      <c r="AU281" s="99" t="s">
        <v>320</v>
      </c>
      <c r="AV281" s="99" t="s">
        <v>333</v>
      </c>
      <c r="AW281" s="99" t="s">
        <v>324</v>
      </c>
      <c r="AX281" s="99" t="s">
        <v>341</v>
      </c>
      <c r="AY281" s="99" t="s">
        <v>649</v>
      </c>
    </row>
    <row r="282" spans="1:51" ht="129.6" x14ac:dyDescent="0.3">
      <c r="A282" s="98">
        <v>42190.354085648149</v>
      </c>
      <c r="B282" s="99" t="s">
        <v>528</v>
      </c>
      <c r="C282" s="99" t="s">
        <v>580</v>
      </c>
      <c r="D282" s="99" t="s">
        <v>529</v>
      </c>
      <c r="E282" s="99" t="s">
        <v>330</v>
      </c>
      <c r="F282" s="99" t="s">
        <v>317</v>
      </c>
      <c r="G282" s="99" t="s">
        <v>412</v>
      </c>
      <c r="H282" s="99" t="s">
        <v>390</v>
      </c>
      <c r="I282" s="99" t="s">
        <v>309</v>
      </c>
      <c r="J282" s="99" t="s">
        <v>559</v>
      </c>
      <c r="K282" s="99" t="s">
        <v>354</v>
      </c>
      <c r="L282" s="99" t="s">
        <v>427</v>
      </c>
      <c r="M282" s="99" t="s">
        <v>314</v>
      </c>
      <c r="N282" s="99" t="s">
        <v>327</v>
      </c>
      <c r="O282" s="99" t="s">
        <v>4</v>
      </c>
      <c r="P282" s="99" t="s">
        <v>313</v>
      </c>
      <c r="Q282" s="99" t="s">
        <v>885</v>
      </c>
      <c r="R282" s="99" t="s">
        <v>327</v>
      </c>
      <c r="S282" s="99" t="s">
        <v>460</v>
      </c>
      <c r="T282" s="99" t="s">
        <v>366</v>
      </c>
      <c r="U282" s="99" t="s">
        <v>530</v>
      </c>
      <c r="V282" s="99" t="s">
        <v>551</v>
      </c>
      <c r="W282" s="99" t="s">
        <v>325</v>
      </c>
      <c r="X282" s="99" t="s">
        <v>352</v>
      </c>
      <c r="Y282" s="99" t="s">
        <v>316</v>
      </c>
      <c r="Z282" s="99" t="s">
        <v>316</v>
      </c>
      <c r="AA282" s="99" t="s">
        <v>478</v>
      </c>
      <c r="AB282" s="99" t="s">
        <v>308</v>
      </c>
      <c r="AC282" s="99" t="s">
        <v>324</v>
      </c>
      <c r="AD282" s="99" t="s">
        <v>414</v>
      </c>
      <c r="AE282" s="99" t="s">
        <v>532</v>
      </c>
      <c r="AF282" s="99" t="s">
        <v>738</v>
      </c>
      <c r="AG282" s="99" t="s">
        <v>323</v>
      </c>
      <c r="AH282" s="99" t="s">
        <v>304</v>
      </c>
      <c r="AI282" s="99" t="s">
        <v>6</v>
      </c>
      <c r="AJ282" s="99" t="s">
        <v>303</v>
      </c>
      <c r="AK282" s="99" t="s">
        <v>302</v>
      </c>
      <c r="AL282" s="99" t="s">
        <v>303</v>
      </c>
      <c r="AM282" s="99" t="s">
        <v>305</v>
      </c>
      <c r="AN282" s="99" t="s">
        <v>304</v>
      </c>
      <c r="AO282" s="99" t="s">
        <v>303</v>
      </c>
      <c r="AP282" s="99" t="s">
        <v>303</v>
      </c>
      <c r="AQ282" s="99" t="s">
        <v>302</v>
      </c>
      <c r="AR282" s="99" t="s">
        <v>378</v>
      </c>
      <c r="AS282" s="99" t="s">
        <v>300</v>
      </c>
      <c r="AT282" s="99" t="s">
        <v>355</v>
      </c>
      <c r="AU282" s="99" t="s">
        <v>342</v>
      </c>
      <c r="AV282" s="99" t="s">
        <v>536</v>
      </c>
      <c r="AW282" s="99" t="s">
        <v>324</v>
      </c>
      <c r="AX282" s="99" t="s">
        <v>341</v>
      </c>
      <c r="AY282" s="99" t="s">
        <v>491</v>
      </c>
    </row>
    <row r="283" spans="1:51" ht="201.6" x14ac:dyDescent="0.3">
      <c r="A283" s="98">
        <v>42190.354201388887</v>
      </c>
      <c r="B283" s="99" t="s">
        <v>528</v>
      </c>
      <c r="C283" s="99" t="s">
        <v>580</v>
      </c>
      <c r="D283" s="99" t="s">
        <v>529</v>
      </c>
      <c r="E283" s="99" t="s">
        <v>3</v>
      </c>
      <c r="F283" s="99" t="s">
        <v>317</v>
      </c>
      <c r="G283" s="99" t="s">
        <v>407</v>
      </c>
      <c r="H283" s="99" t="s">
        <v>390</v>
      </c>
      <c r="I283" s="99" t="s">
        <v>345</v>
      </c>
      <c r="J283" s="99" t="s">
        <v>615</v>
      </c>
      <c r="K283" s="99" t="s">
        <v>328</v>
      </c>
      <c r="L283" s="99" t="s">
        <v>463</v>
      </c>
      <c r="M283" s="99" t="s">
        <v>314</v>
      </c>
      <c r="N283" s="99" t="s">
        <v>374</v>
      </c>
      <c r="O283" s="99" t="s">
        <v>313</v>
      </c>
      <c r="P283" s="99" t="s">
        <v>313</v>
      </c>
      <c r="Q283" s="99" t="s">
        <v>405</v>
      </c>
      <c r="R283" s="99" t="s">
        <v>4</v>
      </c>
      <c r="S283" s="99" t="s">
        <v>933</v>
      </c>
      <c r="T283" s="99" t="s">
        <v>312</v>
      </c>
      <c r="U283" s="99" t="s">
        <v>530</v>
      </c>
      <c r="V283" s="99" t="s">
        <v>739</v>
      </c>
      <c r="W283" s="99" t="s">
        <v>1278</v>
      </c>
      <c r="X283" s="99" t="s">
        <v>352</v>
      </c>
      <c r="Y283" s="99" t="s">
        <v>309</v>
      </c>
      <c r="Z283" s="99" t="s">
        <v>345</v>
      </c>
      <c r="AA283" s="99" t="s">
        <v>472</v>
      </c>
      <c r="AB283" s="99" t="s">
        <v>308</v>
      </c>
      <c r="AC283" s="99" t="s">
        <v>307</v>
      </c>
      <c r="AD283" s="99" t="s">
        <v>1044</v>
      </c>
      <c r="AE283" s="99" t="s">
        <v>539</v>
      </c>
      <c r="AF283" s="99" t="s">
        <v>1666</v>
      </c>
      <c r="AG283" s="99" t="s">
        <v>304</v>
      </c>
      <c r="AH283" s="99" t="s">
        <v>303</v>
      </c>
      <c r="AI283" s="99" t="s">
        <v>6</v>
      </c>
      <c r="AJ283" s="99" t="s">
        <v>304</v>
      </c>
      <c r="AK283" s="99" t="s">
        <v>304</v>
      </c>
      <c r="AL283" s="99" t="s">
        <v>302</v>
      </c>
      <c r="AM283" s="99" t="s">
        <v>304</v>
      </c>
      <c r="AN283" s="99" t="s">
        <v>302</v>
      </c>
      <c r="AO283" s="99" t="s">
        <v>304</v>
      </c>
      <c r="AP283" s="99" t="s">
        <v>303</v>
      </c>
      <c r="AQ283" s="99" t="s">
        <v>304</v>
      </c>
      <c r="AR283" s="99" t="s">
        <v>301</v>
      </c>
      <c r="AS283" s="99" t="s">
        <v>350</v>
      </c>
      <c r="AT283" s="99" t="s">
        <v>360</v>
      </c>
      <c r="AU283" s="99" t="s">
        <v>342</v>
      </c>
      <c r="AV283" s="99" t="s">
        <v>392</v>
      </c>
      <c r="AW283" s="99" t="s">
        <v>324</v>
      </c>
      <c r="AX283" s="99" t="s">
        <v>341</v>
      </c>
      <c r="AY283" s="99" t="s">
        <v>1080</v>
      </c>
    </row>
    <row r="284" spans="1:51" ht="144" x14ac:dyDescent="0.3">
      <c r="A284" s="98">
        <v>42190.354201388887</v>
      </c>
      <c r="B284" s="99" t="s">
        <v>528</v>
      </c>
      <c r="C284" s="99" t="s">
        <v>580</v>
      </c>
      <c r="D284" s="99" t="s">
        <v>529</v>
      </c>
      <c r="E284" s="99" t="s">
        <v>330</v>
      </c>
      <c r="F284" s="99"/>
      <c r="G284" s="99" t="s">
        <v>407</v>
      </c>
      <c r="H284" s="99" t="s">
        <v>5</v>
      </c>
      <c r="I284" s="99" t="s">
        <v>345</v>
      </c>
      <c r="J284" s="99" t="s">
        <v>454</v>
      </c>
      <c r="K284" s="99" t="s">
        <v>315</v>
      </c>
      <c r="L284" s="99" t="s">
        <v>652</v>
      </c>
      <c r="M284" s="99" t="s">
        <v>377</v>
      </c>
      <c r="N284" s="99" t="s">
        <v>313</v>
      </c>
      <c r="O284" s="99" t="s">
        <v>4</v>
      </c>
      <c r="P284" s="99" t="s">
        <v>313</v>
      </c>
      <c r="Q284" s="99" t="s">
        <v>471</v>
      </c>
      <c r="R284" s="99" t="s">
        <v>4</v>
      </c>
      <c r="S284" s="99" t="s">
        <v>944</v>
      </c>
      <c r="T284" s="99" t="s">
        <v>326</v>
      </c>
      <c r="U284" s="99" t="s">
        <v>530</v>
      </c>
      <c r="V284" s="99"/>
      <c r="W284" s="99" t="s">
        <v>325</v>
      </c>
      <c r="X284" s="99" t="s">
        <v>352</v>
      </c>
      <c r="Y284" s="99" t="s">
        <v>316</v>
      </c>
      <c r="Z284" s="99" t="s">
        <v>316</v>
      </c>
      <c r="AA284" s="99" t="s">
        <v>410</v>
      </c>
      <c r="AB284" s="99" t="s">
        <v>336</v>
      </c>
      <c r="AC284" s="99" t="s">
        <v>324</v>
      </c>
      <c r="AD284" s="99" t="s">
        <v>357</v>
      </c>
      <c r="AE284" s="99" t="s">
        <v>539</v>
      </c>
      <c r="AF284" s="99" t="s">
        <v>740</v>
      </c>
      <c r="AG284" s="99" t="s">
        <v>304</v>
      </c>
      <c r="AH284" s="99" t="s">
        <v>303</v>
      </c>
      <c r="AI284" s="99" t="s">
        <v>6</v>
      </c>
      <c r="AJ284" s="99" t="s">
        <v>304</v>
      </c>
      <c r="AK284" s="99" t="s">
        <v>304</v>
      </c>
      <c r="AL284" s="99" t="s">
        <v>303</v>
      </c>
      <c r="AM284" s="99" t="s">
        <v>304</v>
      </c>
      <c r="AN284" s="99" t="s">
        <v>303</v>
      </c>
      <c r="AO284" s="99" t="s">
        <v>303</v>
      </c>
      <c r="AP284" s="99" t="s">
        <v>303</v>
      </c>
      <c r="AQ284" s="99" t="s">
        <v>304</v>
      </c>
      <c r="AR284" s="99" t="s">
        <v>558</v>
      </c>
      <c r="AS284" s="99" t="s">
        <v>335</v>
      </c>
      <c r="AT284" s="99" t="s">
        <v>360</v>
      </c>
      <c r="AU284" s="99" t="s">
        <v>342</v>
      </c>
      <c r="AV284" s="99" t="s">
        <v>297</v>
      </c>
      <c r="AW284" s="99" t="s">
        <v>324</v>
      </c>
      <c r="AX284" s="99" t="s">
        <v>341</v>
      </c>
      <c r="AY284" s="99" t="s">
        <v>413</v>
      </c>
    </row>
    <row r="285" spans="1:51" ht="187.2" x14ac:dyDescent="0.3">
      <c r="A285" s="98">
        <v>42190.354837962965</v>
      </c>
      <c r="B285" s="99" t="s">
        <v>528</v>
      </c>
      <c r="C285" s="99" t="s">
        <v>580</v>
      </c>
      <c r="D285" s="99" t="s">
        <v>529</v>
      </c>
      <c r="E285" s="99" t="s">
        <v>330</v>
      </c>
      <c r="F285" s="99" t="s">
        <v>317</v>
      </c>
      <c r="G285" s="99" t="s">
        <v>497</v>
      </c>
      <c r="H285" s="99" t="s">
        <v>390</v>
      </c>
      <c r="I285" s="99" t="s">
        <v>309</v>
      </c>
      <c r="J285" s="99" t="s">
        <v>818</v>
      </c>
      <c r="K285" s="99" t="s">
        <v>354</v>
      </c>
      <c r="L285" s="99" t="s">
        <v>427</v>
      </c>
      <c r="M285" s="99" t="s">
        <v>353</v>
      </c>
      <c r="N285" s="99" t="s">
        <v>4</v>
      </c>
      <c r="O285" s="99" t="s">
        <v>4</v>
      </c>
      <c r="P285" s="99" t="s">
        <v>327</v>
      </c>
      <c r="Q285" s="99" t="s">
        <v>411</v>
      </c>
      <c r="R285" s="99" t="s">
        <v>327</v>
      </c>
      <c r="S285" s="99" t="s">
        <v>1667</v>
      </c>
      <c r="T285" s="99" t="s">
        <v>366</v>
      </c>
      <c r="U285" s="99" t="s">
        <v>530</v>
      </c>
      <c r="V285" s="99" t="s">
        <v>1668</v>
      </c>
      <c r="W285" s="99" t="s">
        <v>325</v>
      </c>
      <c r="X285" s="99" t="s">
        <v>352</v>
      </c>
      <c r="Y285" s="99" t="s">
        <v>316</v>
      </c>
      <c r="Z285" s="99" t="s">
        <v>316</v>
      </c>
      <c r="AA285" s="99" t="s">
        <v>490</v>
      </c>
      <c r="AB285" s="99" t="s">
        <v>336</v>
      </c>
      <c r="AC285" s="99" t="s">
        <v>307</v>
      </c>
      <c r="AD285" s="99" t="s">
        <v>603</v>
      </c>
      <c r="AE285" s="99" t="s">
        <v>542</v>
      </c>
      <c r="AF285" s="99" t="s">
        <v>443</v>
      </c>
      <c r="AG285" s="99" t="s">
        <v>323</v>
      </c>
      <c r="AH285" s="99" t="s">
        <v>304</v>
      </c>
      <c r="AI285" s="99" t="s">
        <v>6</v>
      </c>
      <c r="AJ285" s="99" t="s">
        <v>303</v>
      </c>
      <c r="AK285" s="99" t="s">
        <v>304</v>
      </c>
      <c r="AL285" s="99" t="s">
        <v>302</v>
      </c>
      <c r="AM285" s="99" t="s">
        <v>303</v>
      </c>
      <c r="AN285" s="99" t="s">
        <v>303</v>
      </c>
      <c r="AO285" s="99" t="s">
        <v>302</v>
      </c>
      <c r="AP285" s="99" t="s">
        <v>303</v>
      </c>
      <c r="AQ285" s="99" t="s">
        <v>302</v>
      </c>
      <c r="AR285" s="99" t="s">
        <v>301</v>
      </c>
      <c r="AS285" s="99" t="s">
        <v>335</v>
      </c>
      <c r="AT285" s="99" t="s">
        <v>321</v>
      </c>
      <c r="AU285" s="99" t="s">
        <v>342</v>
      </c>
      <c r="AV285" s="99" t="s">
        <v>364</v>
      </c>
      <c r="AW285" s="99" t="s">
        <v>307</v>
      </c>
      <c r="AX285" s="99" t="s">
        <v>534</v>
      </c>
      <c r="AY285" s="99" t="s">
        <v>649</v>
      </c>
    </row>
    <row r="286" spans="1:51" ht="100.8" x14ac:dyDescent="0.3">
      <c r="A286" s="98">
        <v>42190.354849537034</v>
      </c>
      <c r="B286" s="99" t="s">
        <v>528</v>
      </c>
      <c r="C286" s="99" t="s">
        <v>580</v>
      </c>
      <c r="D286" s="99" t="s">
        <v>529</v>
      </c>
      <c r="E286" s="99" t="s">
        <v>3</v>
      </c>
      <c r="F286" s="99" t="s">
        <v>317</v>
      </c>
      <c r="G286" s="99" t="s">
        <v>423</v>
      </c>
      <c r="H286" s="99" t="s">
        <v>390</v>
      </c>
      <c r="I286" s="99" t="s">
        <v>309</v>
      </c>
      <c r="J286" s="99" t="s">
        <v>1669</v>
      </c>
      <c r="K286" s="99" t="s">
        <v>315</v>
      </c>
      <c r="L286" s="99" t="s">
        <v>1582</v>
      </c>
      <c r="M286" s="99" t="s">
        <v>314</v>
      </c>
      <c r="N286" s="99" t="s">
        <v>4</v>
      </c>
      <c r="O286" s="99" t="s">
        <v>4</v>
      </c>
      <c r="P286" s="99" t="s">
        <v>313</v>
      </c>
      <c r="Q286" s="99" t="s">
        <v>411</v>
      </c>
      <c r="R286" s="99" t="s">
        <v>313</v>
      </c>
      <c r="S286" s="99" t="s">
        <v>952</v>
      </c>
      <c r="T286" s="99" t="s">
        <v>380</v>
      </c>
      <c r="U286" s="99" t="s">
        <v>373</v>
      </c>
      <c r="V286" s="99" t="s">
        <v>379</v>
      </c>
      <c r="W286" s="99"/>
      <c r="X286" s="99" t="s">
        <v>352</v>
      </c>
      <c r="Y286" s="99" t="s">
        <v>316</v>
      </c>
      <c r="Z286" s="99" t="s">
        <v>316</v>
      </c>
      <c r="AA286" s="99" t="s">
        <v>1122</v>
      </c>
      <c r="AB286" s="99" t="s">
        <v>336</v>
      </c>
      <c r="AC286" s="99" t="s">
        <v>307</v>
      </c>
      <c r="AD286" s="99" t="s">
        <v>675</v>
      </c>
      <c r="AE286" s="99" t="s">
        <v>535</v>
      </c>
      <c r="AF286" s="99" t="s">
        <v>1104</v>
      </c>
      <c r="AG286" s="99" t="s">
        <v>323</v>
      </c>
      <c r="AH286" s="99" t="s">
        <v>303</v>
      </c>
      <c r="AI286" s="99" t="s">
        <v>303</v>
      </c>
      <c r="AJ286" s="99" t="s">
        <v>304</v>
      </c>
      <c r="AK286" s="99" t="s">
        <v>303</v>
      </c>
      <c r="AL286" s="99" t="s">
        <v>303</v>
      </c>
      <c r="AM286" s="99" t="s">
        <v>303</v>
      </c>
      <c r="AN286" s="99" t="s">
        <v>303</v>
      </c>
      <c r="AO286" s="99" t="s">
        <v>303</v>
      </c>
      <c r="AP286" s="99" t="s">
        <v>303</v>
      </c>
      <c r="AQ286" s="99" t="s">
        <v>303</v>
      </c>
      <c r="AR286" s="99" t="s">
        <v>541</v>
      </c>
      <c r="AS286" s="99" t="s">
        <v>300</v>
      </c>
      <c r="AT286" s="99" t="s">
        <v>360</v>
      </c>
      <c r="AU286" s="99" t="s">
        <v>320</v>
      </c>
      <c r="AV286" s="99" t="s">
        <v>364</v>
      </c>
      <c r="AW286" s="99" t="s">
        <v>307</v>
      </c>
      <c r="AX286" s="99" t="s">
        <v>341</v>
      </c>
      <c r="AY286" s="99" t="s">
        <v>332</v>
      </c>
    </row>
    <row r="287" spans="1:51" ht="100.8" x14ac:dyDescent="0.3">
      <c r="A287" s="98">
        <v>42190.354849537034</v>
      </c>
      <c r="B287" s="99" t="s">
        <v>528</v>
      </c>
      <c r="C287" s="99" t="s">
        <v>580</v>
      </c>
      <c r="D287" s="99" t="s">
        <v>529</v>
      </c>
      <c r="E287" s="99" t="s">
        <v>330</v>
      </c>
      <c r="F287" s="99" t="s">
        <v>317</v>
      </c>
      <c r="G287" s="99" t="s">
        <v>423</v>
      </c>
      <c r="H287" s="99" t="s">
        <v>349</v>
      </c>
      <c r="I287" s="99" t="s">
        <v>309</v>
      </c>
      <c r="J287" s="99" t="s">
        <v>1658</v>
      </c>
      <c r="K287" s="99"/>
      <c r="L287" s="99" t="s">
        <v>411</v>
      </c>
      <c r="M287" s="99" t="s">
        <v>314</v>
      </c>
      <c r="N287" s="99" t="s">
        <v>4</v>
      </c>
      <c r="O287" s="99" t="s">
        <v>313</v>
      </c>
      <c r="P287" s="99" t="s">
        <v>4</v>
      </c>
      <c r="Q287" s="99" t="s">
        <v>411</v>
      </c>
      <c r="R287" s="99" t="s">
        <v>4</v>
      </c>
      <c r="S287" s="99" t="s">
        <v>1670</v>
      </c>
      <c r="T287" s="99" t="s">
        <v>312</v>
      </c>
      <c r="U287" s="99" t="s">
        <v>530</v>
      </c>
      <c r="V287" s="99" t="s">
        <v>339</v>
      </c>
      <c r="W287" s="99" t="s">
        <v>1278</v>
      </c>
      <c r="X287" s="99" t="s">
        <v>352</v>
      </c>
      <c r="Y287" s="99" t="s">
        <v>316</v>
      </c>
      <c r="Z287" s="99" t="s">
        <v>316</v>
      </c>
      <c r="AA287" s="99" t="s">
        <v>490</v>
      </c>
      <c r="AB287" s="99" t="s">
        <v>336</v>
      </c>
      <c r="AC287" s="99" t="s">
        <v>324</v>
      </c>
      <c r="AD287" s="99" t="s">
        <v>642</v>
      </c>
      <c r="AE287" s="99" t="s">
        <v>535</v>
      </c>
      <c r="AF287" s="99" t="s">
        <v>887</v>
      </c>
      <c r="AG287" s="99" t="s">
        <v>304</v>
      </c>
      <c r="AH287" s="99" t="s">
        <v>303</v>
      </c>
      <c r="AI287" s="99" t="s">
        <v>6</v>
      </c>
      <c r="AJ287" s="99" t="s">
        <v>303</v>
      </c>
      <c r="AK287" s="99" t="s">
        <v>303</v>
      </c>
      <c r="AL287" s="99" t="s">
        <v>303</v>
      </c>
      <c r="AM287" s="99" t="s">
        <v>303</v>
      </c>
      <c r="AN287" s="99" t="s">
        <v>303</v>
      </c>
      <c r="AO287" s="99" t="s">
        <v>305</v>
      </c>
      <c r="AP287" s="99" t="s">
        <v>304</v>
      </c>
      <c r="AQ287" s="99" t="s">
        <v>303</v>
      </c>
      <c r="AR287" s="99" t="s">
        <v>365</v>
      </c>
      <c r="AS287" s="99" t="s">
        <v>350</v>
      </c>
      <c r="AT287" s="99" t="s">
        <v>360</v>
      </c>
      <c r="AU287" s="99" t="s">
        <v>320</v>
      </c>
      <c r="AV287" s="99" t="s">
        <v>297</v>
      </c>
      <c r="AW287" s="99" t="s">
        <v>307</v>
      </c>
      <c r="AX287" s="99" t="s">
        <v>534</v>
      </c>
      <c r="AY287" s="99" t="s">
        <v>441</v>
      </c>
    </row>
    <row r="288" spans="1:51" ht="100.8" x14ac:dyDescent="0.3">
      <c r="A288" s="98">
        <v>42190.35497685185</v>
      </c>
      <c r="B288" s="99" t="s">
        <v>528</v>
      </c>
      <c r="C288" s="99" t="s">
        <v>580</v>
      </c>
      <c r="D288" s="99" t="s">
        <v>529</v>
      </c>
      <c r="E288" s="99" t="s">
        <v>330</v>
      </c>
      <c r="F288" s="99" t="s">
        <v>317</v>
      </c>
      <c r="G288" s="99" t="s">
        <v>407</v>
      </c>
      <c r="H288" s="99" t="s">
        <v>390</v>
      </c>
      <c r="I288" s="99" t="s">
        <v>309</v>
      </c>
      <c r="J288" s="99" t="s">
        <v>1110</v>
      </c>
      <c r="K288" s="99" t="s">
        <v>315</v>
      </c>
      <c r="L288" s="99" t="s">
        <v>427</v>
      </c>
      <c r="M288" s="99" t="s">
        <v>314</v>
      </c>
      <c r="N288" s="99" t="s">
        <v>4</v>
      </c>
      <c r="O288" s="99" t="s">
        <v>4</v>
      </c>
      <c r="P288" s="99" t="s">
        <v>313</v>
      </c>
      <c r="Q288" s="99" t="s">
        <v>411</v>
      </c>
      <c r="R288" s="99" t="s">
        <v>4</v>
      </c>
      <c r="S288" s="99" t="s">
        <v>1089</v>
      </c>
      <c r="T288" s="99" t="s">
        <v>326</v>
      </c>
      <c r="U288" s="99" t="s">
        <v>373</v>
      </c>
      <c r="V288" s="99" t="s">
        <v>553</v>
      </c>
      <c r="W288" s="99" t="s">
        <v>338</v>
      </c>
      <c r="X288" s="99" t="s">
        <v>310</v>
      </c>
      <c r="Y288" s="99" t="s">
        <v>316</v>
      </c>
      <c r="Z288" s="99" t="s">
        <v>316</v>
      </c>
      <c r="AA288" s="99" t="s">
        <v>705</v>
      </c>
      <c r="AB288" s="99" t="s">
        <v>308</v>
      </c>
      <c r="AC288" s="99" t="s">
        <v>324</v>
      </c>
      <c r="AD288" s="99" t="s">
        <v>675</v>
      </c>
      <c r="AE288" s="99" t="s">
        <v>542</v>
      </c>
      <c r="AF288" s="99" t="s">
        <v>805</v>
      </c>
      <c r="AG288" s="99" t="s">
        <v>306</v>
      </c>
      <c r="AH288" s="99" t="s">
        <v>302</v>
      </c>
      <c r="AI288" s="99"/>
      <c r="AJ288" s="99" t="s">
        <v>302</v>
      </c>
      <c r="AK288" s="99" t="s">
        <v>302</v>
      </c>
      <c r="AL288" s="99" t="s">
        <v>302</v>
      </c>
      <c r="AM288" s="99" t="s">
        <v>302</v>
      </c>
      <c r="AN288" s="99" t="s">
        <v>303</v>
      </c>
      <c r="AO288" s="99" t="s">
        <v>302</v>
      </c>
      <c r="AP288" s="99" t="s">
        <v>302</v>
      </c>
      <c r="AQ288" s="99" t="s">
        <v>303</v>
      </c>
      <c r="AR288" s="99" t="s">
        <v>391</v>
      </c>
      <c r="AS288" s="99" t="s">
        <v>350</v>
      </c>
      <c r="AT288" s="99" t="s">
        <v>360</v>
      </c>
      <c r="AU288" s="99" t="s">
        <v>342</v>
      </c>
      <c r="AV288" s="99" t="s">
        <v>536</v>
      </c>
      <c r="AW288" s="99" t="s">
        <v>307</v>
      </c>
      <c r="AX288" s="99" t="s">
        <v>341</v>
      </c>
      <c r="AY288" s="99" t="s">
        <v>999</v>
      </c>
    </row>
    <row r="289" spans="1:51" ht="144" x14ac:dyDescent="0.3">
      <c r="A289" s="98">
        <v>42190.355254629627</v>
      </c>
      <c r="B289" s="99" t="s">
        <v>528</v>
      </c>
      <c r="C289" s="99" t="s">
        <v>580</v>
      </c>
      <c r="D289" s="99" t="s">
        <v>529</v>
      </c>
      <c r="E289" s="99" t="s">
        <v>3</v>
      </c>
      <c r="F289" s="99" t="s">
        <v>372</v>
      </c>
      <c r="G289" s="99" t="s">
        <v>412</v>
      </c>
      <c r="H289" s="99" t="s">
        <v>390</v>
      </c>
      <c r="I289" s="99" t="s">
        <v>309</v>
      </c>
      <c r="J289" s="99" t="s">
        <v>1671</v>
      </c>
      <c r="K289" s="99" t="s">
        <v>384</v>
      </c>
      <c r="L289" s="99" t="s">
        <v>439</v>
      </c>
      <c r="M289" s="99" t="s">
        <v>367</v>
      </c>
      <c r="N289" s="99" t="s">
        <v>4</v>
      </c>
      <c r="O289" s="99" t="s">
        <v>4</v>
      </c>
      <c r="P289" s="99" t="s">
        <v>4</v>
      </c>
      <c r="Q289" s="99" t="s">
        <v>463</v>
      </c>
      <c r="R289" s="99" t="s">
        <v>327</v>
      </c>
      <c r="S289" s="99" t="s">
        <v>465</v>
      </c>
      <c r="T289" s="99" t="s">
        <v>312</v>
      </c>
      <c r="U289" s="99" t="s">
        <v>530</v>
      </c>
      <c r="V289" s="99" t="s">
        <v>1672</v>
      </c>
      <c r="W289" s="99" t="s">
        <v>1278</v>
      </c>
      <c r="X289" s="99" t="s">
        <v>352</v>
      </c>
      <c r="Y289" s="99" t="s">
        <v>316</v>
      </c>
      <c r="Z289" s="99" t="s">
        <v>316</v>
      </c>
      <c r="AA289" s="99" t="s">
        <v>581</v>
      </c>
      <c r="AB289" s="99" t="s">
        <v>389</v>
      </c>
      <c r="AC289" s="99" t="s">
        <v>324</v>
      </c>
      <c r="AD289" s="99" t="s">
        <v>605</v>
      </c>
      <c r="AE289" s="99" t="s">
        <v>532</v>
      </c>
      <c r="AF289" s="99" t="s">
        <v>1673</v>
      </c>
      <c r="AG289" s="99" t="s">
        <v>323</v>
      </c>
      <c r="AH289" s="99" t="s">
        <v>303</v>
      </c>
      <c r="AI289" s="99" t="s">
        <v>302</v>
      </c>
      <c r="AJ289" s="99" t="s">
        <v>302</v>
      </c>
      <c r="AK289" s="99" t="s">
        <v>302</v>
      </c>
      <c r="AL289" s="99" t="s">
        <v>302</v>
      </c>
      <c r="AM289" s="99" t="s">
        <v>302</v>
      </c>
      <c r="AN289" s="99" t="s">
        <v>302</v>
      </c>
      <c r="AO289" s="99" t="s">
        <v>303</v>
      </c>
      <c r="AP289" s="99" t="s">
        <v>303</v>
      </c>
      <c r="AQ289" s="99" t="s">
        <v>303</v>
      </c>
      <c r="AR289" s="99" t="s">
        <v>391</v>
      </c>
      <c r="AS289" s="99" t="s">
        <v>300</v>
      </c>
      <c r="AT289" s="99" t="s">
        <v>334</v>
      </c>
      <c r="AU289" s="99" t="s">
        <v>342</v>
      </c>
      <c r="AV289" s="99" t="s">
        <v>333</v>
      </c>
      <c r="AW289" s="99" t="s">
        <v>307</v>
      </c>
      <c r="AX289" s="99" t="s">
        <v>341</v>
      </c>
      <c r="AY289" s="99" t="s">
        <v>418</v>
      </c>
    </row>
    <row r="290" spans="1:51" ht="216" x14ac:dyDescent="0.3">
      <c r="A290" s="98">
        <v>42190.355381944442</v>
      </c>
      <c r="B290" s="99" t="s">
        <v>528</v>
      </c>
      <c r="C290" s="99" t="s">
        <v>580</v>
      </c>
      <c r="D290" s="99" t="s">
        <v>529</v>
      </c>
      <c r="E290" s="99" t="s">
        <v>330</v>
      </c>
      <c r="F290" s="99" t="s">
        <v>383</v>
      </c>
      <c r="G290" s="99" t="s">
        <v>407</v>
      </c>
      <c r="H290" s="99" t="s">
        <v>390</v>
      </c>
      <c r="I290" s="99" t="s">
        <v>309</v>
      </c>
      <c r="J290" s="99" t="s">
        <v>329</v>
      </c>
      <c r="K290" s="99" t="s">
        <v>354</v>
      </c>
      <c r="L290" s="99" t="s">
        <v>1674</v>
      </c>
      <c r="M290" s="99" t="s">
        <v>651</v>
      </c>
      <c r="N290" s="99" t="s">
        <v>327</v>
      </c>
      <c r="O290" s="99" t="s">
        <v>4</v>
      </c>
      <c r="P290" s="99" t="s">
        <v>4</v>
      </c>
      <c r="Q290" s="99" t="s">
        <v>1675</v>
      </c>
      <c r="R290" s="99" t="s">
        <v>327</v>
      </c>
      <c r="S290" s="99" t="s">
        <v>898</v>
      </c>
      <c r="T290" s="99" t="s">
        <v>380</v>
      </c>
      <c r="U290" s="99" t="s">
        <v>373</v>
      </c>
      <c r="V290" s="99" t="s">
        <v>664</v>
      </c>
      <c r="W290" s="99" t="s">
        <v>325</v>
      </c>
      <c r="X290" s="99" t="s">
        <v>352</v>
      </c>
      <c r="Y290" s="99" t="s">
        <v>316</v>
      </c>
      <c r="Z290" s="99" t="s">
        <v>316</v>
      </c>
      <c r="AA290" s="99" t="s">
        <v>459</v>
      </c>
      <c r="AB290" s="99" t="s">
        <v>358</v>
      </c>
      <c r="AC290" s="99" t="s">
        <v>324</v>
      </c>
      <c r="AD290" s="99" t="s">
        <v>846</v>
      </c>
      <c r="AE290" s="99" t="s">
        <v>532</v>
      </c>
      <c r="AF290" s="99" t="s">
        <v>1676</v>
      </c>
      <c r="AG290" s="99" t="s">
        <v>400</v>
      </c>
      <c r="AH290" s="99" t="s">
        <v>304</v>
      </c>
      <c r="AI290" s="99" t="s">
        <v>6</v>
      </c>
      <c r="AJ290" s="99" t="s">
        <v>305</v>
      </c>
      <c r="AK290" s="99" t="s">
        <v>304</v>
      </c>
      <c r="AL290" s="99" t="s">
        <v>304</v>
      </c>
      <c r="AM290" s="99" t="s">
        <v>304</v>
      </c>
      <c r="AN290" s="99" t="s">
        <v>304</v>
      </c>
      <c r="AO290" s="99" t="s">
        <v>305</v>
      </c>
      <c r="AP290" s="99" t="s">
        <v>305</v>
      </c>
      <c r="AQ290" s="99" t="s">
        <v>304</v>
      </c>
      <c r="AR290" s="99" t="s">
        <v>558</v>
      </c>
      <c r="AS290" s="99" t="s">
        <v>300</v>
      </c>
      <c r="AT290" s="99" t="s">
        <v>355</v>
      </c>
      <c r="AU290" s="99" t="s">
        <v>320</v>
      </c>
      <c r="AV290" s="99" t="s">
        <v>333</v>
      </c>
      <c r="AW290" s="99" t="s">
        <v>307</v>
      </c>
      <c r="AX290" s="99" t="s">
        <v>375</v>
      </c>
      <c r="AY290" s="99" t="s">
        <v>890</v>
      </c>
    </row>
    <row r="291" spans="1:51" ht="86.4" x14ac:dyDescent="0.3">
      <c r="A291" s="98">
        <v>42190.355405092596</v>
      </c>
      <c r="B291" s="99" t="s">
        <v>528</v>
      </c>
      <c r="C291" s="99" t="s">
        <v>580</v>
      </c>
      <c r="D291" s="99" t="s">
        <v>560</v>
      </c>
      <c r="E291" s="99" t="s">
        <v>3</v>
      </c>
      <c r="F291" s="99" t="s">
        <v>317</v>
      </c>
      <c r="G291" s="99" t="s">
        <v>1276</v>
      </c>
      <c r="H291" s="99" t="s">
        <v>390</v>
      </c>
      <c r="I291" s="99" t="s">
        <v>309</v>
      </c>
      <c r="J291" s="99" t="s">
        <v>634</v>
      </c>
      <c r="K291" s="99" t="s">
        <v>315</v>
      </c>
      <c r="L291" s="99" t="s">
        <v>793</v>
      </c>
      <c r="M291" s="99" t="s">
        <v>353</v>
      </c>
      <c r="N291" s="99" t="s">
        <v>313</v>
      </c>
      <c r="O291" s="99" t="s">
        <v>313</v>
      </c>
      <c r="P291" s="99" t="s">
        <v>313</v>
      </c>
      <c r="Q291" s="99" t="s">
        <v>417</v>
      </c>
      <c r="R291" s="99" t="s">
        <v>313</v>
      </c>
      <c r="S291" s="99" t="s">
        <v>978</v>
      </c>
      <c r="T291" s="99" t="s">
        <v>380</v>
      </c>
      <c r="U291" s="99" t="s">
        <v>373</v>
      </c>
      <c r="V291" s="99"/>
      <c r="W291" s="99" t="s">
        <v>325</v>
      </c>
      <c r="X291" s="99" t="s">
        <v>352</v>
      </c>
      <c r="Y291" s="99" t="s">
        <v>316</v>
      </c>
      <c r="Z291" s="99" t="s">
        <v>316</v>
      </c>
      <c r="AA291" s="99" t="s">
        <v>408</v>
      </c>
      <c r="AB291" s="99" t="s">
        <v>389</v>
      </c>
      <c r="AC291" s="99" t="s">
        <v>324</v>
      </c>
      <c r="AD291" s="99" t="s">
        <v>462</v>
      </c>
      <c r="AE291" s="99" t="s">
        <v>532</v>
      </c>
      <c r="AF291" s="99" t="s">
        <v>488</v>
      </c>
      <c r="AG291" s="99" t="s">
        <v>323</v>
      </c>
      <c r="AH291" s="99" t="s">
        <v>303</v>
      </c>
      <c r="AI291" s="99"/>
      <c r="AJ291" s="99" t="s">
        <v>303</v>
      </c>
      <c r="AK291" s="99" t="s">
        <v>303</v>
      </c>
      <c r="AL291" s="99" t="s">
        <v>303</v>
      </c>
      <c r="AM291" s="99" t="s">
        <v>303</v>
      </c>
      <c r="AN291" s="99" t="s">
        <v>303</v>
      </c>
      <c r="AO291" s="99" t="s">
        <v>303</v>
      </c>
      <c r="AP291" s="99" t="s">
        <v>303</v>
      </c>
      <c r="AQ291" s="99" t="s">
        <v>302</v>
      </c>
      <c r="AR291" s="99" t="s">
        <v>343</v>
      </c>
      <c r="AS291" s="99" t="s">
        <v>300</v>
      </c>
      <c r="AT291" s="99" t="s">
        <v>360</v>
      </c>
      <c r="AU291" s="99" t="s">
        <v>320</v>
      </c>
      <c r="AV291" s="99" t="s">
        <v>364</v>
      </c>
      <c r="AW291" s="99" t="s">
        <v>307</v>
      </c>
      <c r="AX291" s="99" t="s">
        <v>375</v>
      </c>
      <c r="AY291" s="99" t="s">
        <v>480</v>
      </c>
    </row>
    <row r="292" spans="1:51" ht="72" x14ac:dyDescent="0.3">
      <c r="A292" s="98">
        <v>42190.355497685188</v>
      </c>
      <c r="B292" s="99" t="s">
        <v>528</v>
      </c>
      <c r="C292" s="99" t="s">
        <v>580</v>
      </c>
      <c r="D292" s="99" t="s">
        <v>331</v>
      </c>
      <c r="E292" s="99" t="s">
        <v>330</v>
      </c>
      <c r="F292" s="99" t="s">
        <v>317</v>
      </c>
      <c r="G292" s="99" t="s">
        <v>340</v>
      </c>
      <c r="H292" s="99" t="s">
        <v>390</v>
      </c>
      <c r="I292" s="99" t="s">
        <v>345</v>
      </c>
      <c r="J292" s="99" t="s">
        <v>1677</v>
      </c>
      <c r="K292" s="99" t="s">
        <v>328</v>
      </c>
      <c r="L292" s="99" t="s">
        <v>406</v>
      </c>
      <c r="M292" s="99" t="s">
        <v>314</v>
      </c>
      <c r="N292" s="99" t="s">
        <v>313</v>
      </c>
      <c r="O292" s="99" t="s">
        <v>4</v>
      </c>
      <c r="P292" s="99" t="s">
        <v>327</v>
      </c>
      <c r="Q292" s="99" t="s">
        <v>421</v>
      </c>
      <c r="R292" s="99" t="s">
        <v>313</v>
      </c>
      <c r="S292" s="99" t="s">
        <v>601</v>
      </c>
      <c r="T292" s="99" t="s">
        <v>326</v>
      </c>
      <c r="U292" s="99" t="s">
        <v>373</v>
      </c>
      <c r="V292" s="99" t="s">
        <v>362</v>
      </c>
      <c r="W292" s="99" t="s">
        <v>325</v>
      </c>
      <c r="X292" s="99" t="s">
        <v>310</v>
      </c>
      <c r="Y292" s="99" t="s">
        <v>316</v>
      </c>
      <c r="Z292" s="99" t="s">
        <v>316</v>
      </c>
      <c r="AA292" s="99" t="s">
        <v>961</v>
      </c>
      <c r="AB292" s="99" t="s">
        <v>308</v>
      </c>
      <c r="AC292" s="99" t="s">
        <v>324</v>
      </c>
      <c r="AD292" s="99" t="s">
        <v>414</v>
      </c>
      <c r="AE292" s="99" t="s">
        <v>545</v>
      </c>
      <c r="AF292" s="99" t="s">
        <v>1678</v>
      </c>
      <c r="AG292" s="99" t="s">
        <v>323</v>
      </c>
      <c r="AH292" s="99" t="s">
        <v>303</v>
      </c>
      <c r="AI292" s="99" t="s">
        <v>6</v>
      </c>
      <c r="AJ292" s="99" t="s">
        <v>303</v>
      </c>
      <c r="AK292" s="99" t="s">
        <v>303</v>
      </c>
      <c r="AL292" s="99" t="s">
        <v>303</v>
      </c>
      <c r="AM292" s="99" t="s">
        <v>303</v>
      </c>
      <c r="AN292" s="99" t="s">
        <v>303</v>
      </c>
      <c r="AO292" s="99" t="s">
        <v>302</v>
      </c>
      <c r="AP292" s="99" t="s">
        <v>303</v>
      </c>
      <c r="AQ292" s="99" t="s">
        <v>303</v>
      </c>
      <c r="AR292" s="99" t="s">
        <v>343</v>
      </c>
      <c r="AS292" s="99" t="s">
        <v>398</v>
      </c>
      <c r="AT292" s="99" t="s">
        <v>321</v>
      </c>
      <c r="AU292" s="99" t="s">
        <v>342</v>
      </c>
      <c r="AV292" s="99" t="s">
        <v>364</v>
      </c>
      <c r="AW292" s="99" t="s">
        <v>307</v>
      </c>
      <c r="AX292" s="99" t="s">
        <v>341</v>
      </c>
      <c r="AY292" s="99" t="s">
        <v>491</v>
      </c>
    </row>
    <row r="293" spans="1:51" ht="144" x14ac:dyDescent="0.3">
      <c r="A293" s="98">
        <v>42190.356249999997</v>
      </c>
      <c r="B293" s="99" t="s">
        <v>528</v>
      </c>
      <c r="C293" s="99" t="s">
        <v>580</v>
      </c>
      <c r="D293" s="99" t="s">
        <v>529</v>
      </c>
      <c r="E293" s="99" t="s">
        <v>330</v>
      </c>
      <c r="F293" s="99" t="s">
        <v>372</v>
      </c>
      <c r="G293" s="99" t="s">
        <v>407</v>
      </c>
      <c r="H293" s="99" t="s">
        <v>390</v>
      </c>
      <c r="I293" s="99" t="s">
        <v>345</v>
      </c>
      <c r="J293" s="99" t="s">
        <v>537</v>
      </c>
      <c r="K293" s="99" t="s">
        <v>354</v>
      </c>
      <c r="L293" s="99" t="s">
        <v>422</v>
      </c>
      <c r="M293" s="99" t="s">
        <v>651</v>
      </c>
      <c r="N293" s="99" t="s">
        <v>4</v>
      </c>
      <c r="O293" s="99" t="s">
        <v>4</v>
      </c>
      <c r="P293" s="99" t="s">
        <v>313</v>
      </c>
      <c r="Q293" s="99" t="s">
        <v>421</v>
      </c>
      <c r="R293" s="99" t="s">
        <v>4</v>
      </c>
      <c r="S293" s="99" t="s">
        <v>618</v>
      </c>
      <c r="T293" s="99" t="s">
        <v>312</v>
      </c>
      <c r="U293" s="99" t="s">
        <v>373</v>
      </c>
      <c r="V293" s="99" t="s">
        <v>382</v>
      </c>
      <c r="W293" s="99" t="s">
        <v>1192</v>
      </c>
      <c r="X293" s="99" t="s">
        <v>352</v>
      </c>
      <c r="Y293" s="99" t="s">
        <v>316</v>
      </c>
      <c r="Z293" s="99" t="s">
        <v>316</v>
      </c>
      <c r="AA293" s="99" t="s">
        <v>408</v>
      </c>
      <c r="AB293" s="99" t="s">
        <v>389</v>
      </c>
      <c r="AC293" s="99" t="s">
        <v>381</v>
      </c>
      <c r="AD293" s="99" t="s">
        <v>426</v>
      </c>
      <c r="AE293" s="99" t="s">
        <v>532</v>
      </c>
      <c r="AF293" s="99" t="s">
        <v>713</v>
      </c>
      <c r="AG293" s="99" t="s">
        <v>323</v>
      </c>
      <c r="AH293" s="99" t="s">
        <v>304</v>
      </c>
      <c r="AI293" s="99" t="s">
        <v>6</v>
      </c>
      <c r="AJ293" s="99" t="s">
        <v>304</v>
      </c>
      <c r="AK293" s="99" t="s">
        <v>303</v>
      </c>
      <c r="AL293" s="99" t="s">
        <v>303</v>
      </c>
      <c r="AM293" s="99" t="s">
        <v>303</v>
      </c>
      <c r="AN293" s="99" t="s">
        <v>305</v>
      </c>
      <c r="AO293" s="99" t="s">
        <v>304</v>
      </c>
      <c r="AP293" s="99" t="s">
        <v>304</v>
      </c>
      <c r="AQ293" s="99" t="s">
        <v>304</v>
      </c>
      <c r="AR293" s="99" t="s">
        <v>301</v>
      </c>
      <c r="AS293" s="99" t="s">
        <v>300</v>
      </c>
      <c r="AT293" s="99" t="s">
        <v>360</v>
      </c>
      <c r="AU293" s="99" t="s">
        <v>342</v>
      </c>
      <c r="AV293" s="99" t="s">
        <v>364</v>
      </c>
      <c r="AW293" s="99" t="s">
        <v>324</v>
      </c>
      <c r="AX293" s="99" t="s">
        <v>375</v>
      </c>
      <c r="AY293" s="99" t="s">
        <v>332</v>
      </c>
    </row>
    <row r="294" spans="1:51" ht="115.2" x14ac:dyDescent="0.3">
      <c r="A294" s="98">
        <v>42190.356307870374</v>
      </c>
      <c r="B294" s="99" t="s">
        <v>528</v>
      </c>
      <c r="C294" s="99" t="s">
        <v>580</v>
      </c>
      <c r="D294" s="99" t="s">
        <v>529</v>
      </c>
      <c r="E294" s="99" t="s">
        <v>330</v>
      </c>
      <c r="F294" s="99" t="s">
        <v>317</v>
      </c>
      <c r="G294" s="99" t="s">
        <v>340</v>
      </c>
      <c r="H294" s="99" t="s">
        <v>5</v>
      </c>
      <c r="I294" s="99" t="s">
        <v>309</v>
      </c>
      <c r="J294" s="99" t="s">
        <v>615</v>
      </c>
      <c r="K294" s="99" t="s">
        <v>315</v>
      </c>
      <c r="L294" s="99" t="s">
        <v>411</v>
      </c>
      <c r="M294" s="99" t="s">
        <v>363</v>
      </c>
      <c r="N294" s="99" t="s">
        <v>327</v>
      </c>
      <c r="O294" s="99" t="s">
        <v>4</v>
      </c>
      <c r="P294" s="99" t="s">
        <v>4</v>
      </c>
      <c r="Q294" s="99" t="s">
        <v>411</v>
      </c>
      <c r="R294" s="99" t="s">
        <v>4</v>
      </c>
      <c r="S294" s="99" t="s">
        <v>1106</v>
      </c>
      <c r="T294" s="99" t="s">
        <v>312</v>
      </c>
      <c r="U294" s="99" t="s">
        <v>373</v>
      </c>
      <c r="V294" s="99" t="s">
        <v>415</v>
      </c>
      <c r="W294" s="99" t="s">
        <v>325</v>
      </c>
      <c r="X294" s="99" t="s">
        <v>352</v>
      </c>
      <c r="Y294" s="99" t="s">
        <v>316</v>
      </c>
      <c r="Z294" s="99" t="s">
        <v>316</v>
      </c>
      <c r="AA294" s="99" t="s">
        <v>1025</v>
      </c>
      <c r="AB294" s="99" t="s">
        <v>308</v>
      </c>
      <c r="AC294" s="99" t="s">
        <v>324</v>
      </c>
      <c r="AD294" s="99" t="s">
        <v>462</v>
      </c>
      <c r="AE294" s="99" t="s">
        <v>545</v>
      </c>
      <c r="AF294" s="99" t="s">
        <v>578</v>
      </c>
      <c r="AG294" s="99" t="s">
        <v>323</v>
      </c>
      <c r="AH294" s="99" t="s">
        <v>303</v>
      </c>
      <c r="AI294" s="99" t="s">
        <v>304</v>
      </c>
      <c r="AJ294" s="99" t="s">
        <v>303</v>
      </c>
      <c r="AK294" s="99" t="s">
        <v>302</v>
      </c>
      <c r="AL294" s="99" t="s">
        <v>303</v>
      </c>
      <c r="AM294" s="99" t="s">
        <v>303</v>
      </c>
      <c r="AN294" s="99" t="s">
        <v>303</v>
      </c>
      <c r="AO294" s="99" t="s">
        <v>303</v>
      </c>
      <c r="AP294" s="99" t="s">
        <v>302</v>
      </c>
      <c r="AQ294" s="99" t="s">
        <v>304</v>
      </c>
      <c r="AR294" s="99" t="s">
        <v>391</v>
      </c>
      <c r="AS294" s="99" t="s">
        <v>300</v>
      </c>
      <c r="AT294" s="99" t="s">
        <v>321</v>
      </c>
      <c r="AU294" s="99" t="s">
        <v>342</v>
      </c>
      <c r="AV294" s="99" t="s">
        <v>536</v>
      </c>
      <c r="AW294" s="99" t="s">
        <v>307</v>
      </c>
      <c r="AX294" s="99" t="s">
        <v>341</v>
      </c>
      <c r="AY294" s="99" t="s">
        <v>1679</v>
      </c>
    </row>
    <row r="295" spans="1:51" ht="244.8" x14ac:dyDescent="0.3">
      <c r="A295" s="98">
        <v>42190.356863425928</v>
      </c>
      <c r="B295" s="99" t="s">
        <v>528</v>
      </c>
      <c r="C295" s="99" t="s">
        <v>580</v>
      </c>
      <c r="D295" s="99" t="s">
        <v>529</v>
      </c>
      <c r="E295" s="99" t="s">
        <v>330</v>
      </c>
      <c r="F295" s="99" t="s">
        <v>317</v>
      </c>
      <c r="G295" s="99" t="s">
        <v>487</v>
      </c>
      <c r="H295" s="99" t="s">
        <v>390</v>
      </c>
      <c r="I295" s="99" t="s">
        <v>309</v>
      </c>
      <c r="J295" s="99" t="s">
        <v>440</v>
      </c>
      <c r="K295" s="99" t="s">
        <v>315</v>
      </c>
      <c r="L295" s="99" t="s">
        <v>546</v>
      </c>
      <c r="M295" s="99" t="s">
        <v>348</v>
      </c>
      <c r="N295" s="99" t="s">
        <v>327</v>
      </c>
      <c r="O295" s="99" t="s">
        <v>4</v>
      </c>
      <c r="P295" s="99" t="s">
        <v>327</v>
      </c>
      <c r="Q295" s="99" t="s">
        <v>652</v>
      </c>
      <c r="R295" s="99" t="s">
        <v>327</v>
      </c>
      <c r="S295" s="99" t="s">
        <v>948</v>
      </c>
      <c r="T295" s="99" t="s">
        <v>366</v>
      </c>
      <c r="U295" s="99" t="s">
        <v>311</v>
      </c>
      <c r="V295" s="99" t="s">
        <v>1680</v>
      </c>
      <c r="W295" s="99" t="s">
        <v>338</v>
      </c>
      <c r="X295" s="99" t="s">
        <v>352</v>
      </c>
      <c r="Y295" s="99" t="s">
        <v>316</v>
      </c>
      <c r="Z295" s="99" t="s">
        <v>316</v>
      </c>
      <c r="AA295" s="99" t="s">
        <v>472</v>
      </c>
      <c r="AB295" s="99" t="s">
        <v>308</v>
      </c>
      <c r="AC295" s="99" t="s">
        <v>307</v>
      </c>
      <c r="AD295" s="99" t="s">
        <v>426</v>
      </c>
      <c r="AE295" s="99" t="s">
        <v>535</v>
      </c>
      <c r="AF295" s="99" t="s">
        <v>1681</v>
      </c>
      <c r="AG295" s="99" t="s">
        <v>304</v>
      </c>
      <c r="AH295" s="99" t="s">
        <v>304</v>
      </c>
      <c r="AI295" s="99" t="s">
        <v>6</v>
      </c>
      <c r="AJ295" s="99" t="s">
        <v>304</v>
      </c>
      <c r="AK295" s="99" t="s">
        <v>304</v>
      </c>
      <c r="AL295" s="99" t="s">
        <v>304</v>
      </c>
      <c r="AM295" s="99" t="s">
        <v>305</v>
      </c>
      <c r="AN295" s="99" t="s">
        <v>304</v>
      </c>
      <c r="AO295" s="99" t="s">
        <v>304</v>
      </c>
      <c r="AP295" s="99" t="s">
        <v>304</v>
      </c>
      <c r="AQ295" s="99" t="s">
        <v>304</v>
      </c>
      <c r="AR295" s="99" t="s">
        <v>301</v>
      </c>
      <c r="AS295" s="99" t="s">
        <v>300</v>
      </c>
      <c r="AT295" s="99" t="s">
        <v>321</v>
      </c>
      <c r="AU295" s="99" t="s">
        <v>320</v>
      </c>
      <c r="AV295" s="99" t="s">
        <v>297</v>
      </c>
      <c r="AW295" s="99" t="s">
        <v>324</v>
      </c>
      <c r="AX295" s="99" t="s">
        <v>534</v>
      </c>
      <c r="AY295" s="99" t="s">
        <v>491</v>
      </c>
    </row>
    <row r="296" spans="1:51" ht="115.2" x14ac:dyDescent="0.3">
      <c r="A296" s="98">
        <v>42190.357569444444</v>
      </c>
      <c r="B296" s="99" t="s">
        <v>528</v>
      </c>
      <c r="C296" s="99" t="s">
        <v>580</v>
      </c>
      <c r="D296" s="99" t="s">
        <v>529</v>
      </c>
      <c r="E296" s="99" t="s">
        <v>3</v>
      </c>
      <c r="F296" s="99" t="s">
        <v>317</v>
      </c>
      <c r="G296" s="99" t="s">
        <v>561</v>
      </c>
      <c r="H296" s="99" t="s">
        <v>390</v>
      </c>
      <c r="I296" s="99" t="s">
        <v>309</v>
      </c>
      <c r="J296" s="99" t="s">
        <v>1137</v>
      </c>
      <c r="K296" s="99" t="s">
        <v>368</v>
      </c>
      <c r="L296" s="99" t="s">
        <v>429</v>
      </c>
      <c r="M296" s="99" t="s">
        <v>348</v>
      </c>
      <c r="N296" s="99" t="s">
        <v>327</v>
      </c>
      <c r="O296" s="99" t="s">
        <v>327</v>
      </c>
      <c r="P296" s="99" t="s">
        <v>313</v>
      </c>
      <c r="Q296" s="99" t="s">
        <v>1360</v>
      </c>
      <c r="R296" s="99" t="s">
        <v>4</v>
      </c>
      <c r="S296" s="99" t="s">
        <v>1682</v>
      </c>
      <c r="T296" s="99" t="s">
        <v>326</v>
      </c>
      <c r="U296" s="99" t="s">
        <v>530</v>
      </c>
      <c r="V296" s="99" t="s">
        <v>1011</v>
      </c>
      <c r="W296" s="99" t="s">
        <v>338</v>
      </c>
      <c r="X296" s="99" t="s">
        <v>337</v>
      </c>
      <c r="Y296" s="99" t="s">
        <v>316</v>
      </c>
      <c r="Z296" s="99" t="s">
        <v>316</v>
      </c>
      <c r="AA296" s="99" t="s">
        <v>395</v>
      </c>
      <c r="AB296" s="99" t="s">
        <v>358</v>
      </c>
      <c r="AC296" s="99" t="s">
        <v>307</v>
      </c>
      <c r="AD296" s="99" t="s">
        <v>426</v>
      </c>
      <c r="AE296" s="99" t="s">
        <v>542</v>
      </c>
      <c r="AF296" s="99" t="s">
        <v>730</v>
      </c>
      <c r="AG296" s="99" t="s">
        <v>306</v>
      </c>
      <c r="AH296" s="99" t="s">
        <v>302</v>
      </c>
      <c r="AI296" s="99"/>
      <c r="AJ296" s="99" t="s">
        <v>302</v>
      </c>
      <c r="AK296" s="99" t="s">
        <v>302</v>
      </c>
      <c r="AL296" s="99" t="s">
        <v>302</v>
      </c>
      <c r="AM296" s="99" t="s">
        <v>302</v>
      </c>
      <c r="AN296" s="99" t="s">
        <v>302</v>
      </c>
      <c r="AO296" s="99" t="s">
        <v>302</v>
      </c>
      <c r="AP296" s="99" t="s">
        <v>302</v>
      </c>
      <c r="AQ296" s="99" t="s">
        <v>302</v>
      </c>
      <c r="AR296" s="99" t="s">
        <v>301</v>
      </c>
      <c r="AS296" s="99"/>
      <c r="AT296" s="99" t="s">
        <v>334</v>
      </c>
      <c r="AU296" s="99" t="s">
        <v>342</v>
      </c>
      <c r="AV296" s="99" t="s">
        <v>392</v>
      </c>
      <c r="AW296" s="99" t="s">
        <v>296</v>
      </c>
      <c r="AX296" s="99" t="s">
        <v>534</v>
      </c>
      <c r="AY296" s="99" t="s">
        <v>1147</v>
      </c>
    </row>
    <row r="297" spans="1:51" ht="28.8" x14ac:dyDescent="0.3">
      <c r="A297" s="98">
        <v>42283.357210648152</v>
      </c>
      <c r="B297" s="99" t="s">
        <v>689</v>
      </c>
      <c r="C297" s="99" t="s">
        <v>552</v>
      </c>
      <c r="D297" s="99" t="s">
        <v>529</v>
      </c>
      <c r="E297" s="99" t="s">
        <v>330</v>
      </c>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row>
    <row r="298" spans="1:51" ht="187.2" x14ac:dyDescent="0.3">
      <c r="A298" s="98">
        <v>42283.364062499997</v>
      </c>
      <c r="B298" s="99" t="s">
        <v>689</v>
      </c>
      <c r="C298" s="99" t="s">
        <v>552</v>
      </c>
      <c r="D298" s="99" t="s">
        <v>529</v>
      </c>
      <c r="E298" s="99" t="s">
        <v>3</v>
      </c>
      <c r="F298" s="99" t="s">
        <v>317</v>
      </c>
      <c r="G298" s="99" t="s">
        <v>407</v>
      </c>
      <c r="H298" s="99" t="s">
        <v>5</v>
      </c>
      <c r="I298" s="99" t="s">
        <v>309</v>
      </c>
      <c r="J298" s="99" t="s">
        <v>1141</v>
      </c>
      <c r="K298" s="99" t="s">
        <v>328</v>
      </c>
      <c r="L298" s="99" t="s">
        <v>406</v>
      </c>
      <c r="M298" s="99" t="s">
        <v>363</v>
      </c>
      <c r="N298" s="99" t="s">
        <v>327</v>
      </c>
      <c r="O298" s="99" t="s">
        <v>4</v>
      </c>
      <c r="P298" s="99" t="s">
        <v>4</v>
      </c>
      <c r="Q298" s="99" t="s">
        <v>811</v>
      </c>
      <c r="R298" s="99" t="s">
        <v>327</v>
      </c>
      <c r="S298" s="99" t="s">
        <v>500</v>
      </c>
      <c r="T298" s="99" t="s">
        <v>312</v>
      </c>
      <c r="U298" s="99" t="s">
        <v>311</v>
      </c>
      <c r="V298" s="99" t="s">
        <v>1683</v>
      </c>
      <c r="W298" s="99" t="s">
        <v>1608</v>
      </c>
      <c r="X298" s="99" t="s">
        <v>310</v>
      </c>
      <c r="Y298" s="99" t="s">
        <v>345</v>
      </c>
      <c r="Z298" s="99"/>
      <c r="AA298" s="99" t="s">
        <v>1025</v>
      </c>
      <c r="AB298" s="99" t="s">
        <v>393</v>
      </c>
      <c r="AC298" s="99" t="s">
        <v>307</v>
      </c>
      <c r="AD298" s="99" t="s">
        <v>604</v>
      </c>
      <c r="AE298" s="99" t="s">
        <v>545</v>
      </c>
      <c r="AF298" s="99" t="s">
        <v>1174</v>
      </c>
      <c r="AG298" s="99"/>
      <c r="AH298" s="99" t="s">
        <v>303</v>
      </c>
      <c r="AI298" s="99" t="s">
        <v>303</v>
      </c>
      <c r="AJ298" s="99" t="s">
        <v>302</v>
      </c>
      <c r="AK298" s="99"/>
      <c r="AL298" s="99" t="s">
        <v>302</v>
      </c>
      <c r="AM298" s="99" t="s">
        <v>302</v>
      </c>
      <c r="AN298" s="99" t="s">
        <v>302</v>
      </c>
      <c r="AO298" s="99" t="s">
        <v>302</v>
      </c>
      <c r="AP298" s="99" t="s">
        <v>302</v>
      </c>
      <c r="AQ298" s="99" t="s">
        <v>303</v>
      </c>
      <c r="AR298" s="99" t="s">
        <v>301</v>
      </c>
      <c r="AS298" s="99" t="s">
        <v>398</v>
      </c>
      <c r="AT298" s="99" t="s">
        <v>355</v>
      </c>
      <c r="AU298" s="99" t="s">
        <v>320</v>
      </c>
      <c r="AV298" s="99" t="s">
        <v>364</v>
      </c>
      <c r="AW298" s="99" t="s">
        <v>296</v>
      </c>
      <c r="AX298" s="99" t="s">
        <v>534</v>
      </c>
      <c r="AY298" s="99" t="s">
        <v>1684</v>
      </c>
    </row>
    <row r="299" spans="1:51" ht="129.6" x14ac:dyDescent="0.3">
      <c r="A299" s="98">
        <v>42283.364270833335</v>
      </c>
      <c r="B299" s="99" t="s">
        <v>689</v>
      </c>
      <c r="C299" s="99" t="s">
        <v>552</v>
      </c>
      <c r="D299" s="99" t="s">
        <v>529</v>
      </c>
      <c r="E299" s="99" t="s">
        <v>3</v>
      </c>
      <c r="F299" s="99" t="s">
        <v>317</v>
      </c>
      <c r="G299" s="99" t="s">
        <v>340</v>
      </c>
      <c r="H299" s="99" t="s">
        <v>390</v>
      </c>
      <c r="I299" s="99" t="s">
        <v>309</v>
      </c>
      <c r="J299" s="99" t="s">
        <v>544</v>
      </c>
      <c r="K299" s="99" t="s">
        <v>328</v>
      </c>
      <c r="L299" s="99" t="s">
        <v>572</v>
      </c>
      <c r="M299" s="99" t="s">
        <v>314</v>
      </c>
      <c r="N299" s="99" t="s">
        <v>4</v>
      </c>
      <c r="O299" s="99" t="s">
        <v>4</v>
      </c>
      <c r="P299" s="99" t="s">
        <v>4</v>
      </c>
      <c r="Q299" s="99" t="s">
        <v>429</v>
      </c>
      <c r="R299" s="99" t="s">
        <v>327</v>
      </c>
      <c r="S299" s="99" t="s">
        <v>1685</v>
      </c>
      <c r="T299" s="99" t="s">
        <v>312</v>
      </c>
      <c r="U299" s="99" t="s">
        <v>311</v>
      </c>
      <c r="V299" s="99" t="s">
        <v>382</v>
      </c>
      <c r="W299" s="99" t="s">
        <v>338</v>
      </c>
      <c r="X299" s="99" t="s">
        <v>352</v>
      </c>
      <c r="Y299" s="99" t="s">
        <v>316</v>
      </c>
      <c r="Z299" s="99" t="s">
        <v>316</v>
      </c>
      <c r="AA299" s="99" t="s">
        <v>685</v>
      </c>
      <c r="AB299" s="99" t="s">
        <v>376</v>
      </c>
      <c r="AC299" s="99" t="s">
        <v>351</v>
      </c>
      <c r="AD299" s="99" t="s">
        <v>388</v>
      </c>
      <c r="AE299" s="99" t="s">
        <v>533</v>
      </c>
      <c r="AF299" s="99" t="s">
        <v>492</v>
      </c>
      <c r="AG299" s="99" t="s">
        <v>304</v>
      </c>
      <c r="AH299" s="99" t="s">
        <v>303</v>
      </c>
      <c r="AI299" s="99" t="s">
        <v>302</v>
      </c>
      <c r="AJ299" s="99" t="s">
        <v>6</v>
      </c>
      <c r="AK299" s="99" t="s">
        <v>303</v>
      </c>
      <c r="AL299" s="99" t="s">
        <v>303</v>
      </c>
      <c r="AM299" s="99" t="s">
        <v>304</v>
      </c>
      <c r="AN299" s="99" t="s">
        <v>304</v>
      </c>
      <c r="AO299" s="99" t="s">
        <v>303</v>
      </c>
      <c r="AP299" s="99" t="s">
        <v>302</v>
      </c>
      <c r="AQ299" s="99" t="s">
        <v>303</v>
      </c>
      <c r="AR299" s="99" t="s">
        <v>343</v>
      </c>
      <c r="AS299" s="99" t="s">
        <v>300</v>
      </c>
      <c r="AT299" s="99" t="s">
        <v>321</v>
      </c>
      <c r="AU299" s="99" t="s">
        <v>298</v>
      </c>
      <c r="AV299" s="99" t="s">
        <v>536</v>
      </c>
      <c r="AW299" s="99"/>
      <c r="AX299" s="99" t="s">
        <v>341</v>
      </c>
      <c r="AY299" s="99" t="s">
        <v>1686</v>
      </c>
    </row>
    <row r="300" spans="1:51" ht="144" x14ac:dyDescent="0.3">
      <c r="A300" s="98">
        <v>42283.365057870367</v>
      </c>
      <c r="B300" s="99" t="s">
        <v>689</v>
      </c>
      <c r="C300" s="99" t="s">
        <v>552</v>
      </c>
      <c r="D300" s="99" t="s">
        <v>560</v>
      </c>
      <c r="E300" s="99" t="s">
        <v>330</v>
      </c>
      <c r="F300" s="99" t="s">
        <v>317</v>
      </c>
      <c r="G300" s="99" t="s">
        <v>446</v>
      </c>
      <c r="H300" s="99" t="s">
        <v>390</v>
      </c>
      <c r="I300" s="99" t="s">
        <v>309</v>
      </c>
      <c r="J300" s="99" t="s">
        <v>454</v>
      </c>
      <c r="K300" s="99" t="s">
        <v>368</v>
      </c>
      <c r="L300" s="99" t="s">
        <v>427</v>
      </c>
      <c r="M300" s="99" t="s">
        <v>367</v>
      </c>
      <c r="N300" s="99" t="s">
        <v>313</v>
      </c>
      <c r="O300" s="99" t="s">
        <v>313</v>
      </c>
      <c r="P300" s="99" t="s">
        <v>327</v>
      </c>
      <c r="Q300" s="99" t="s">
        <v>709</v>
      </c>
      <c r="R300" s="99" t="s">
        <v>327</v>
      </c>
      <c r="S300" s="99" t="s">
        <v>881</v>
      </c>
      <c r="T300" s="99" t="s">
        <v>312</v>
      </c>
      <c r="U300" s="99" t="s">
        <v>530</v>
      </c>
      <c r="V300" s="99" t="s">
        <v>551</v>
      </c>
      <c r="W300" s="99" t="s">
        <v>1192</v>
      </c>
      <c r="X300" s="99" t="s">
        <v>310</v>
      </c>
      <c r="Y300" s="99" t="s">
        <v>316</v>
      </c>
      <c r="Z300" s="99" t="s">
        <v>316</v>
      </c>
      <c r="AA300" s="99" t="s">
        <v>410</v>
      </c>
      <c r="AB300" s="99" t="s">
        <v>358</v>
      </c>
      <c r="AC300" s="99" t="s">
        <v>324</v>
      </c>
      <c r="AD300" s="99" t="s">
        <v>426</v>
      </c>
      <c r="AE300" s="99" t="s">
        <v>532</v>
      </c>
      <c r="AF300" s="99" t="s">
        <v>1687</v>
      </c>
      <c r="AG300" s="99" t="s">
        <v>304</v>
      </c>
      <c r="AH300" s="99" t="s">
        <v>303</v>
      </c>
      <c r="AI300" s="99" t="s">
        <v>303</v>
      </c>
      <c r="AJ300" s="99" t="s">
        <v>302</v>
      </c>
      <c r="AK300" s="99" t="s">
        <v>302</v>
      </c>
      <c r="AL300" s="99" t="s">
        <v>302</v>
      </c>
      <c r="AM300" s="99" t="s">
        <v>303</v>
      </c>
      <c r="AN300" s="99" t="s">
        <v>302</v>
      </c>
      <c r="AO300" s="99" t="s">
        <v>302</v>
      </c>
      <c r="AP300" s="99" t="s">
        <v>303</v>
      </c>
      <c r="AQ300" s="99" t="s">
        <v>302</v>
      </c>
      <c r="AR300" s="99" t="s">
        <v>322</v>
      </c>
      <c r="AS300" s="99" t="s">
        <v>300</v>
      </c>
      <c r="AT300" s="99" t="s">
        <v>360</v>
      </c>
      <c r="AU300" s="99" t="s">
        <v>342</v>
      </c>
      <c r="AV300" s="99" t="s">
        <v>364</v>
      </c>
      <c r="AW300" s="99" t="s">
        <v>324</v>
      </c>
      <c r="AX300" s="99" t="s">
        <v>341</v>
      </c>
      <c r="AY300" s="99" t="s">
        <v>413</v>
      </c>
    </row>
    <row r="301" spans="1:51" ht="288" x14ac:dyDescent="0.3">
      <c r="A301" s="98">
        <v>42283.365347222221</v>
      </c>
      <c r="B301" s="99" t="s">
        <v>689</v>
      </c>
      <c r="C301" s="99" t="s">
        <v>552</v>
      </c>
      <c r="D301" s="99" t="s">
        <v>529</v>
      </c>
      <c r="E301" s="99" t="s">
        <v>330</v>
      </c>
      <c r="F301" s="99" t="s">
        <v>317</v>
      </c>
      <c r="G301" s="99" t="s">
        <v>423</v>
      </c>
      <c r="H301" s="99" t="s">
        <v>390</v>
      </c>
      <c r="I301" s="99" t="s">
        <v>494</v>
      </c>
      <c r="J301" s="99" t="s">
        <v>454</v>
      </c>
      <c r="K301" s="99" t="s">
        <v>328</v>
      </c>
      <c r="L301" s="99" t="s">
        <v>1313</v>
      </c>
      <c r="M301" s="99" t="s">
        <v>314</v>
      </c>
      <c r="N301" s="99" t="s">
        <v>327</v>
      </c>
      <c r="O301" s="99" t="s">
        <v>4</v>
      </c>
      <c r="P301" s="99" t="s">
        <v>4</v>
      </c>
      <c r="Q301" s="99" t="s">
        <v>417</v>
      </c>
      <c r="R301" s="99" t="s">
        <v>4</v>
      </c>
      <c r="S301" s="99" t="s">
        <v>1299</v>
      </c>
      <c r="T301" s="99" t="s">
        <v>312</v>
      </c>
      <c r="U301" s="99" t="s">
        <v>311</v>
      </c>
      <c r="V301" s="99" t="s">
        <v>1688</v>
      </c>
      <c r="W301" s="99" t="s">
        <v>338</v>
      </c>
      <c r="X301" s="99" t="s">
        <v>337</v>
      </c>
      <c r="Y301" s="99" t="s">
        <v>316</v>
      </c>
      <c r="Z301" s="99" t="s">
        <v>316</v>
      </c>
      <c r="AA301" s="99" t="s">
        <v>395</v>
      </c>
      <c r="AB301" s="99" t="s">
        <v>376</v>
      </c>
      <c r="AC301" s="99" t="s">
        <v>351</v>
      </c>
      <c r="AD301" s="99" t="s">
        <v>474</v>
      </c>
      <c r="AE301" s="99" t="s">
        <v>535</v>
      </c>
      <c r="AF301" s="99" t="s">
        <v>443</v>
      </c>
      <c r="AG301" s="99" t="s">
        <v>323</v>
      </c>
      <c r="AH301" s="99" t="s">
        <v>303</v>
      </c>
      <c r="AI301" s="99" t="s">
        <v>303</v>
      </c>
      <c r="AJ301" s="99" t="s">
        <v>303</v>
      </c>
      <c r="AK301" s="99" t="s">
        <v>303</v>
      </c>
      <c r="AL301" s="99" t="s">
        <v>302</v>
      </c>
      <c r="AM301" s="99" t="s">
        <v>295</v>
      </c>
      <c r="AN301" s="99" t="s">
        <v>302</v>
      </c>
      <c r="AO301" s="99" t="s">
        <v>302</v>
      </c>
      <c r="AP301" s="99" t="s">
        <v>302</v>
      </c>
      <c r="AQ301" s="99" t="s">
        <v>302</v>
      </c>
      <c r="AR301" s="99" t="s">
        <v>378</v>
      </c>
      <c r="AS301" s="99" t="s">
        <v>300</v>
      </c>
      <c r="AT301" s="99" t="s">
        <v>355</v>
      </c>
      <c r="AU301" s="99" t="s">
        <v>320</v>
      </c>
      <c r="AV301" s="99" t="s">
        <v>536</v>
      </c>
      <c r="AW301" s="99" t="s">
        <v>307</v>
      </c>
      <c r="AX301" s="99" t="s">
        <v>549</v>
      </c>
      <c r="AY301" s="99" t="s">
        <v>436</v>
      </c>
    </row>
    <row r="302" spans="1:51" ht="129.6" x14ac:dyDescent="0.3">
      <c r="A302" s="98">
        <v>42283.365671296298</v>
      </c>
      <c r="B302" s="99" t="s">
        <v>689</v>
      </c>
      <c r="C302" s="99" t="s">
        <v>552</v>
      </c>
      <c r="D302" s="99" t="s">
        <v>529</v>
      </c>
      <c r="E302" s="99" t="s">
        <v>330</v>
      </c>
      <c r="F302" s="99" t="s">
        <v>383</v>
      </c>
      <c r="G302" s="99" t="s">
        <v>435</v>
      </c>
      <c r="H302" s="99" t="s">
        <v>564</v>
      </c>
      <c r="I302" s="99" t="s">
        <v>345</v>
      </c>
      <c r="J302" s="99" t="s">
        <v>699</v>
      </c>
      <c r="K302" s="99" t="s">
        <v>315</v>
      </c>
      <c r="L302" s="99" t="s">
        <v>667</v>
      </c>
      <c r="M302" s="99" t="s">
        <v>367</v>
      </c>
      <c r="N302" s="99" t="s">
        <v>4</v>
      </c>
      <c r="O302" s="99" t="s">
        <v>4</v>
      </c>
      <c r="P302" s="99" t="s">
        <v>327</v>
      </c>
      <c r="Q302" s="99" t="s">
        <v>417</v>
      </c>
      <c r="R302" s="99" t="s">
        <v>327</v>
      </c>
      <c r="S302" s="99" t="s">
        <v>394</v>
      </c>
      <c r="T302" s="99" t="s">
        <v>366</v>
      </c>
      <c r="U302" s="99" t="s">
        <v>311</v>
      </c>
      <c r="V302" s="99" t="s">
        <v>382</v>
      </c>
      <c r="W302" s="99" t="s">
        <v>338</v>
      </c>
      <c r="X302" s="99" t="s">
        <v>337</v>
      </c>
      <c r="Y302" s="99" t="s">
        <v>316</v>
      </c>
      <c r="Z302" s="99" t="s">
        <v>316</v>
      </c>
      <c r="AA302" s="99" t="s">
        <v>408</v>
      </c>
      <c r="AB302" s="99" t="s">
        <v>308</v>
      </c>
      <c r="AC302" s="99" t="s">
        <v>324</v>
      </c>
      <c r="AD302" s="99" t="s">
        <v>1044</v>
      </c>
      <c r="AE302" s="99" t="s">
        <v>539</v>
      </c>
      <c r="AF302" s="99" t="s">
        <v>706</v>
      </c>
      <c r="AG302" s="99" t="s">
        <v>400</v>
      </c>
      <c r="AH302" s="99" t="s">
        <v>304</v>
      </c>
      <c r="AI302" s="99" t="s">
        <v>304</v>
      </c>
      <c r="AJ302" s="99" t="s">
        <v>304</v>
      </c>
      <c r="AK302" s="99" t="s">
        <v>6</v>
      </c>
      <c r="AL302" s="99" t="s">
        <v>304</v>
      </c>
      <c r="AM302" s="99" t="s">
        <v>295</v>
      </c>
      <c r="AN302" s="99" t="s">
        <v>305</v>
      </c>
      <c r="AO302" s="99" t="s">
        <v>303</v>
      </c>
      <c r="AP302" s="99" t="s">
        <v>304</v>
      </c>
      <c r="AQ302" s="99" t="s">
        <v>304</v>
      </c>
      <c r="AR302" s="99" t="s">
        <v>541</v>
      </c>
      <c r="AS302" s="99" t="s">
        <v>350</v>
      </c>
      <c r="AT302" s="99" t="s">
        <v>321</v>
      </c>
      <c r="AU302" s="99" t="s">
        <v>320</v>
      </c>
      <c r="AV302" s="99" t="s">
        <v>333</v>
      </c>
      <c r="AW302" s="99" t="s">
        <v>324</v>
      </c>
      <c r="AX302" s="99" t="s">
        <v>341</v>
      </c>
      <c r="AY302" s="99" t="s">
        <v>499</v>
      </c>
    </row>
    <row r="303" spans="1:51" ht="172.8" x14ac:dyDescent="0.3">
      <c r="A303" s="98">
        <v>42283.365810185183</v>
      </c>
      <c r="B303" s="99" t="s">
        <v>689</v>
      </c>
      <c r="C303" s="99" t="s">
        <v>552</v>
      </c>
      <c r="D303" s="99" t="s">
        <v>529</v>
      </c>
      <c r="E303" s="99" t="s">
        <v>3</v>
      </c>
      <c r="F303" s="99" t="s">
        <v>317</v>
      </c>
      <c r="G303" s="99" t="s">
        <v>407</v>
      </c>
      <c r="H303" s="99" t="s">
        <v>390</v>
      </c>
      <c r="I303" s="99" t="s">
        <v>345</v>
      </c>
      <c r="J303" s="99" t="s">
        <v>965</v>
      </c>
      <c r="K303" s="99" t="s">
        <v>315</v>
      </c>
      <c r="L303" s="99" t="s">
        <v>450</v>
      </c>
      <c r="M303" s="99" t="s">
        <v>314</v>
      </c>
      <c r="N303" s="99"/>
      <c r="O303" s="99" t="s">
        <v>4</v>
      </c>
      <c r="P303" s="99" t="s">
        <v>4</v>
      </c>
      <c r="Q303" s="99" t="s">
        <v>411</v>
      </c>
      <c r="R303" s="99" t="s">
        <v>4</v>
      </c>
      <c r="S303" s="99" t="s">
        <v>870</v>
      </c>
      <c r="T303" s="99" t="s">
        <v>312</v>
      </c>
      <c r="U303" s="99" t="s">
        <v>311</v>
      </c>
      <c r="V303" s="99" t="s">
        <v>1229</v>
      </c>
      <c r="W303" s="99" t="s">
        <v>325</v>
      </c>
      <c r="X303" s="99" t="s">
        <v>352</v>
      </c>
      <c r="Y303" s="99" t="s">
        <v>316</v>
      </c>
      <c r="Z303" s="99" t="s">
        <v>316</v>
      </c>
      <c r="AA303" s="99" t="s">
        <v>971</v>
      </c>
      <c r="AB303" s="99" t="s">
        <v>308</v>
      </c>
      <c r="AC303" s="99" t="s">
        <v>351</v>
      </c>
      <c r="AD303" s="99" t="s">
        <v>361</v>
      </c>
      <c r="AE303" s="99" t="s">
        <v>545</v>
      </c>
      <c r="AF303" s="99" t="s">
        <v>461</v>
      </c>
      <c r="AG303" s="99" t="s">
        <v>323</v>
      </c>
      <c r="AH303" s="99" t="s">
        <v>303</v>
      </c>
      <c r="AI303" s="99" t="s">
        <v>304</v>
      </c>
      <c r="AJ303" s="99" t="s">
        <v>304</v>
      </c>
      <c r="AK303" s="99" t="s">
        <v>304</v>
      </c>
      <c r="AL303" s="99" t="s">
        <v>303</v>
      </c>
      <c r="AM303" s="99" t="s">
        <v>303</v>
      </c>
      <c r="AN303" s="99" t="s">
        <v>304</v>
      </c>
      <c r="AO303" s="99" t="s">
        <v>303</v>
      </c>
      <c r="AP303" s="99" t="s">
        <v>303</v>
      </c>
      <c r="AQ303" s="99" t="s">
        <v>304</v>
      </c>
      <c r="AR303" s="99" t="s">
        <v>301</v>
      </c>
      <c r="AS303" s="99" t="s">
        <v>489</v>
      </c>
      <c r="AT303" s="99" t="s">
        <v>321</v>
      </c>
      <c r="AU303" s="99" t="s">
        <v>320</v>
      </c>
      <c r="AV303" s="99" t="s">
        <v>536</v>
      </c>
      <c r="AW303" s="99" t="s">
        <v>307</v>
      </c>
      <c r="AX303" s="99" t="s">
        <v>341</v>
      </c>
      <c r="AY303" s="99" t="s">
        <v>456</v>
      </c>
    </row>
    <row r="304" spans="1:51" ht="115.2" x14ac:dyDescent="0.3">
      <c r="A304" s="98">
        <v>42283.367175925923</v>
      </c>
      <c r="B304" s="99" t="s">
        <v>689</v>
      </c>
      <c r="C304" s="99" t="s">
        <v>552</v>
      </c>
      <c r="D304" s="99" t="s">
        <v>529</v>
      </c>
      <c r="E304" s="99" t="s">
        <v>330</v>
      </c>
      <c r="F304" s="99" t="s">
        <v>317</v>
      </c>
      <c r="G304" s="99" t="s">
        <v>407</v>
      </c>
      <c r="H304" s="99" t="s">
        <v>390</v>
      </c>
      <c r="I304" s="99" t="s">
        <v>494</v>
      </c>
      <c r="J304" s="99" t="s">
        <v>458</v>
      </c>
      <c r="K304" s="99" t="s">
        <v>328</v>
      </c>
      <c r="L304" s="99" t="s">
        <v>1689</v>
      </c>
      <c r="M304" s="99" t="s">
        <v>363</v>
      </c>
      <c r="N304" s="99" t="s">
        <v>313</v>
      </c>
      <c r="O304" s="99" t="s">
        <v>313</v>
      </c>
      <c r="P304" s="99" t="s">
        <v>374</v>
      </c>
      <c r="Q304" s="99" t="s">
        <v>749</v>
      </c>
      <c r="R304" s="99" t="s">
        <v>374</v>
      </c>
      <c r="S304" s="99" t="s">
        <v>433</v>
      </c>
      <c r="T304" s="99" t="s">
        <v>380</v>
      </c>
      <c r="U304" s="99" t="s">
        <v>530</v>
      </c>
      <c r="V304" s="99" t="s">
        <v>404</v>
      </c>
      <c r="W304" s="99" t="s">
        <v>338</v>
      </c>
      <c r="X304" s="99" t="s">
        <v>352</v>
      </c>
      <c r="Y304" s="99" t="s">
        <v>316</v>
      </c>
      <c r="Z304" s="99" t="s">
        <v>316</v>
      </c>
      <c r="AA304" s="99" t="s">
        <v>408</v>
      </c>
      <c r="AB304" s="99" t="s">
        <v>389</v>
      </c>
      <c r="AC304" s="99" t="s">
        <v>324</v>
      </c>
      <c r="AD304" s="99" t="s">
        <v>426</v>
      </c>
      <c r="AE304" s="99" t="s">
        <v>539</v>
      </c>
      <c r="AF304" s="99" t="s">
        <v>1214</v>
      </c>
      <c r="AG304" s="99" t="s">
        <v>304</v>
      </c>
      <c r="AH304" s="99" t="s">
        <v>304</v>
      </c>
      <c r="AI304" s="99" t="s">
        <v>304</v>
      </c>
      <c r="AJ304" s="99" t="s">
        <v>303</v>
      </c>
      <c r="AK304" s="99" t="s">
        <v>304</v>
      </c>
      <c r="AL304" s="99" t="s">
        <v>302</v>
      </c>
      <c r="AM304" s="99" t="s">
        <v>302</v>
      </c>
      <c r="AN304" s="99" t="s">
        <v>304</v>
      </c>
      <c r="AO304" s="99" t="s">
        <v>304</v>
      </c>
      <c r="AP304" s="99" t="s">
        <v>304</v>
      </c>
      <c r="AQ304" s="99" t="s">
        <v>303</v>
      </c>
      <c r="AR304" s="99" t="s">
        <v>322</v>
      </c>
      <c r="AS304" s="99" t="s">
        <v>350</v>
      </c>
      <c r="AT304" s="99" t="s">
        <v>299</v>
      </c>
      <c r="AU304" s="99" t="s">
        <v>342</v>
      </c>
      <c r="AV304" s="99" t="s">
        <v>536</v>
      </c>
      <c r="AW304" s="99" t="s">
        <v>324</v>
      </c>
      <c r="AX304" s="99" t="s">
        <v>341</v>
      </c>
      <c r="AY304" s="99" t="s">
        <v>356</v>
      </c>
    </row>
    <row r="305" spans="1:51" ht="144" x14ac:dyDescent="0.3">
      <c r="A305" s="98">
        <v>42283.368483796294</v>
      </c>
      <c r="B305" s="99" t="s">
        <v>689</v>
      </c>
      <c r="C305" s="99" t="s">
        <v>552</v>
      </c>
      <c r="D305" s="99" t="s">
        <v>331</v>
      </c>
      <c r="E305" s="99" t="s">
        <v>3</v>
      </c>
      <c r="F305" s="99" t="s">
        <v>317</v>
      </c>
      <c r="G305" s="99" t="s">
        <v>446</v>
      </c>
      <c r="H305" s="99" t="s">
        <v>564</v>
      </c>
      <c r="I305" s="99" t="s">
        <v>309</v>
      </c>
      <c r="J305" s="99" t="s">
        <v>454</v>
      </c>
      <c r="K305" s="99" t="s">
        <v>368</v>
      </c>
      <c r="L305" s="99" t="s">
        <v>572</v>
      </c>
      <c r="M305" s="99" t="s">
        <v>314</v>
      </c>
      <c r="N305" s="99" t="s">
        <v>327</v>
      </c>
      <c r="O305" s="99" t="s">
        <v>313</v>
      </c>
      <c r="P305" s="99" t="s">
        <v>327</v>
      </c>
      <c r="Q305" s="99" t="s">
        <v>670</v>
      </c>
      <c r="R305" s="99" t="s">
        <v>327</v>
      </c>
      <c r="S305" s="99" t="s">
        <v>483</v>
      </c>
      <c r="T305" s="99" t="s">
        <v>312</v>
      </c>
      <c r="U305" s="99"/>
      <c r="V305" s="99" t="s">
        <v>664</v>
      </c>
      <c r="W305" s="99" t="s">
        <v>419</v>
      </c>
      <c r="X305" s="99" t="s">
        <v>310</v>
      </c>
      <c r="Y305" s="99" t="s">
        <v>316</v>
      </c>
      <c r="Z305" s="99" t="s">
        <v>316</v>
      </c>
      <c r="AA305" s="99" t="s">
        <v>588</v>
      </c>
      <c r="AB305" s="99" t="s">
        <v>389</v>
      </c>
      <c r="AC305" s="99" t="s">
        <v>324</v>
      </c>
      <c r="AD305" s="99" t="s">
        <v>388</v>
      </c>
      <c r="AE305" s="99" t="s">
        <v>539</v>
      </c>
      <c r="AF305" s="99" t="s">
        <v>1690</v>
      </c>
      <c r="AG305" s="99" t="s">
        <v>304</v>
      </c>
      <c r="AH305" s="99" t="s">
        <v>6</v>
      </c>
      <c r="AI305" s="99" t="s">
        <v>304</v>
      </c>
      <c r="AJ305" s="99" t="s">
        <v>295</v>
      </c>
      <c r="AK305" s="99" t="s">
        <v>303</v>
      </c>
      <c r="AL305" s="99" t="s">
        <v>295</v>
      </c>
      <c r="AM305" s="99" t="s">
        <v>302</v>
      </c>
      <c r="AN305" s="99"/>
      <c r="AO305" s="99"/>
      <c r="AP305" s="99"/>
      <c r="AQ305" s="99" t="s">
        <v>304</v>
      </c>
      <c r="AR305" s="99" t="s">
        <v>391</v>
      </c>
      <c r="AS305" s="99" t="s">
        <v>489</v>
      </c>
      <c r="AT305" s="99" t="s">
        <v>360</v>
      </c>
      <c r="AU305" s="99" t="s">
        <v>298</v>
      </c>
      <c r="AV305" s="99" t="s">
        <v>297</v>
      </c>
      <c r="AW305" s="99" t="s">
        <v>381</v>
      </c>
      <c r="AX305" s="99" t="s">
        <v>534</v>
      </c>
      <c r="AY305" s="99" t="s">
        <v>890</v>
      </c>
    </row>
    <row r="306" spans="1:51" ht="244.8" x14ac:dyDescent="0.3">
      <c r="A306" s="98">
        <v>42283.369212962964</v>
      </c>
      <c r="B306" s="99" t="s">
        <v>689</v>
      </c>
      <c r="C306" s="99" t="s">
        <v>552</v>
      </c>
      <c r="D306" s="99" t="s">
        <v>560</v>
      </c>
      <c r="E306" s="99" t="s">
        <v>330</v>
      </c>
      <c r="F306" s="99" t="s">
        <v>317</v>
      </c>
      <c r="G306" s="99" t="s">
        <v>446</v>
      </c>
      <c r="H306" s="99" t="s">
        <v>390</v>
      </c>
      <c r="I306" s="99" t="s">
        <v>345</v>
      </c>
      <c r="J306" s="99" t="s">
        <v>544</v>
      </c>
      <c r="K306" s="99" t="s">
        <v>368</v>
      </c>
      <c r="L306" s="99" t="s">
        <v>566</v>
      </c>
      <c r="M306" s="99" t="s">
        <v>353</v>
      </c>
      <c r="N306" s="99"/>
      <c r="O306" s="99" t="s">
        <v>4</v>
      </c>
      <c r="P306" s="99" t="s">
        <v>327</v>
      </c>
      <c r="Q306" s="99" t="s">
        <v>566</v>
      </c>
      <c r="R306" s="99" t="s">
        <v>327</v>
      </c>
      <c r="S306" s="99" t="s">
        <v>1420</v>
      </c>
      <c r="T306" s="99" t="s">
        <v>366</v>
      </c>
      <c r="U306" s="99" t="s">
        <v>311</v>
      </c>
      <c r="V306" s="99" t="s">
        <v>1163</v>
      </c>
      <c r="W306" s="99" t="s">
        <v>338</v>
      </c>
      <c r="X306" s="99" t="s">
        <v>352</v>
      </c>
      <c r="Y306" s="99" t="s">
        <v>316</v>
      </c>
      <c r="Z306" s="99" t="s">
        <v>316</v>
      </c>
      <c r="AA306" s="99" t="s">
        <v>472</v>
      </c>
      <c r="AB306" s="99" t="s">
        <v>358</v>
      </c>
      <c r="AC306" s="99" t="s">
        <v>324</v>
      </c>
      <c r="AD306" s="99" t="s">
        <v>448</v>
      </c>
      <c r="AE306" s="99" t="s">
        <v>535</v>
      </c>
      <c r="AF306" s="99" t="s">
        <v>420</v>
      </c>
      <c r="AG306" s="99" t="s">
        <v>304</v>
      </c>
      <c r="AH306" s="99" t="s">
        <v>303</v>
      </c>
      <c r="AI306" s="99" t="s">
        <v>303</v>
      </c>
      <c r="AJ306" s="99" t="s">
        <v>303</v>
      </c>
      <c r="AK306" s="99" t="s">
        <v>305</v>
      </c>
      <c r="AL306" s="99" t="s">
        <v>302</v>
      </c>
      <c r="AM306" s="99" t="s">
        <v>303</v>
      </c>
      <c r="AN306" s="99" t="s">
        <v>303</v>
      </c>
      <c r="AO306" s="99" t="s">
        <v>304</v>
      </c>
      <c r="AP306" s="99" t="s">
        <v>302</v>
      </c>
      <c r="AQ306" s="99" t="s">
        <v>303</v>
      </c>
      <c r="AR306" s="99" t="s">
        <v>343</v>
      </c>
      <c r="AS306" s="99" t="s">
        <v>350</v>
      </c>
      <c r="AT306" s="99" t="s">
        <v>355</v>
      </c>
      <c r="AU306" s="99" t="s">
        <v>320</v>
      </c>
      <c r="AV306" s="99"/>
      <c r="AW306" s="99" t="s">
        <v>307</v>
      </c>
      <c r="AX306" s="99" t="s">
        <v>319</v>
      </c>
      <c r="AY306" s="99" t="s">
        <v>449</v>
      </c>
    </row>
    <row r="307" spans="1:51" ht="115.2" x14ac:dyDescent="0.3">
      <c r="A307" s="98">
        <v>42283.369340277779</v>
      </c>
      <c r="B307" s="99" t="s">
        <v>689</v>
      </c>
      <c r="C307" s="99" t="s">
        <v>552</v>
      </c>
      <c r="D307" s="99" t="s">
        <v>529</v>
      </c>
      <c r="E307" s="99" t="s">
        <v>3</v>
      </c>
      <c r="F307" s="99" t="s">
        <v>317</v>
      </c>
      <c r="G307" s="99" t="s">
        <v>423</v>
      </c>
      <c r="H307" s="99" t="s">
        <v>5</v>
      </c>
      <c r="I307" s="99" t="s">
        <v>309</v>
      </c>
      <c r="J307" s="99" t="s">
        <v>1136</v>
      </c>
      <c r="K307" s="99" t="s">
        <v>328</v>
      </c>
      <c r="L307" s="99" t="s">
        <v>903</v>
      </c>
      <c r="M307" s="99" t="s">
        <v>314</v>
      </c>
      <c r="N307" s="99" t="s">
        <v>4</v>
      </c>
      <c r="O307" s="99" t="s">
        <v>4</v>
      </c>
      <c r="P307" s="99" t="s">
        <v>313</v>
      </c>
      <c r="Q307" s="99" t="s">
        <v>652</v>
      </c>
      <c r="R307" s="99" t="s">
        <v>327</v>
      </c>
      <c r="S307" s="99" t="s">
        <v>1691</v>
      </c>
      <c r="T307" s="99" t="s">
        <v>312</v>
      </c>
      <c r="U307" s="99" t="s">
        <v>311</v>
      </c>
      <c r="V307" s="99" t="s">
        <v>1422</v>
      </c>
      <c r="W307" s="99" t="s">
        <v>338</v>
      </c>
      <c r="X307" s="99" t="s">
        <v>337</v>
      </c>
      <c r="Y307" s="99" t="s">
        <v>316</v>
      </c>
      <c r="Z307" s="99" t="s">
        <v>316</v>
      </c>
      <c r="AA307" s="99" t="s">
        <v>472</v>
      </c>
      <c r="AB307" s="99" t="s">
        <v>389</v>
      </c>
      <c r="AC307" s="99" t="s">
        <v>324</v>
      </c>
      <c r="AD307" s="99" t="s">
        <v>448</v>
      </c>
      <c r="AE307" s="99" t="s">
        <v>542</v>
      </c>
      <c r="AF307" s="99" t="s">
        <v>1692</v>
      </c>
      <c r="AG307" s="99" t="s">
        <v>306</v>
      </c>
      <c r="AH307" s="99" t="s">
        <v>303</v>
      </c>
      <c r="AI307" s="99" t="s">
        <v>304</v>
      </c>
      <c r="AJ307" s="99" t="s">
        <v>303</v>
      </c>
      <c r="AK307" s="99" t="s">
        <v>304</v>
      </c>
      <c r="AL307" s="99" t="s">
        <v>303</v>
      </c>
      <c r="AM307" s="99" t="s">
        <v>303</v>
      </c>
      <c r="AN307" s="99" t="s">
        <v>304</v>
      </c>
      <c r="AO307" s="99" t="s">
        <v>302</v>
      </c>
      <c r="AP307" s="99" t="s">
        <v>303</v>
      </c>
      <c r="AQ307" s="99" t="s">
        <v>302</v>
      </c>
      <c r="AR307" s="99" t="s">
        <v>365</v>
      </c>
      <c r="AS307" s="99" t="s">
        <v>300</v>
      </c>
      <c r="AT307" s="99" t="s">
        <v>360</v>
      </c>
      <c r="AU307" s="99" t="s">
        <v>320</v>
      </c>
      <c r="AV307" s="99" t="s">
        <v>297</v>
      </c>
      <c r="AW307" s="99" t="s">
        <v>324</v>
      </c>
      <c r="AX307" s="99" t="s">
        <v>534</v>
      </c>
      <c r="AY307" s="99" t="s">
        <v>402</v>
      </c>
    </row>
    <row r="308" spans="1:51" ht="115.2" x14ac:dyDescent="0.3">
      <c r="A308" s="98">
        <v>42283.369375000002</v>
      </c>
      <c r="B308" s="99" t="s">
        <v>689</v>
      </c>
      <c r="C308" s="99" t="s">
        <v>552</v>
      </c>
      <c r="D308" s="99" t="s">
        <v>560</v>
      </c>
      <c r="E308" s="99" t="s">
        <v>330</v>
      </c>
      <c r="F308" s="99" t="s">
        <v>317</v>
      </c>
      <c r="G308" s="99" t="s">
        <v>407</v>
      </c>
      <c r="H308" s="99" t="s">
        <v>390</v>
      </c>
      <c r="I308" s="99" t="s">
        <v>345</v>
      </c>
      <c r="J308" s="99" t="s">
        <v>623</v>
      </c>
      <c r="K308" s="99" t="s">
        <v>315</v>
      </c>
      <c r="L308" s="99" t="s">
        <v>1689</v>
      </c>
      <c r="M308" s="99" t="s">
        <v>353</v>
      </c>
      <c r="N308" s="99" t="s">
        <v>313</v>
      </c>
      <c r="O308" s="99" t="s">
        <v>374</v>
      </c>
      <c r="P308" s="99" t="s">
        <v>313</v>
      </c>
      <c r="Q308" s="99" t="s">
        <v>471</v>
      </c>
      <c r="R308" s="99" t="s">
        <v>4</v>
      </c>
      <c r="S308" s="99" t="s">
        <v>1693</v>
      </c>
      <c r="T308" s="99" t="s">
        <v>326</v>
      </c>
      <c r="U308" s="99" t="s">
        <v>311</v>
      </c>
      <c r="V308" s="99" t="s">
        <v>382</v>
      </c>
      <c r="W308" s="99" t="s">
        <v>338</v>
      </c>
      <c r="X308" s="99" t="s">
        <v>337</v>
      </c>
      <c r="Y308" s="99" t="s">
        <v>316</v>
      </c>
      <c r="Z308" s="99" t="s">
        <v>316</v>
      </c>
      <c r="AA308" s="99" t="s">
        <v>432</v>
      </c>
      <c r="AB308" s="99" t="s">
        <v>308</v>
      </c>
      <c r="AC308" s="99" t="s">
        <v>351</v>
      </c>
      <c r="AD308" s="99" t="s">
        <v>414</v>
      </c>
      <c r="AE308" s="99" t="s">
        <v>535</v>
      </c>
      <c r="AF308" s="99" t="s">
        <v>716</v>
      </c>
      <c r="AG308" s="99" t="s">
        <v>304</v>
      </c>
      <c r="AH308" s="99" t="s">
        <v>303</v>
      </c>
      <c r="AI308" s="99" t="s">
        <v>303</v>
      </c>
      <c r="AJ308" s="99" t="s">
        <v>303</v>
      </c>
      <c r="AK308" s="99" t="s">
        <v>302</v>
      </c>
      <c r="AL308" s="99" t="s">
        <v>303</v>
      </c>
      <c r="AM308" s="99" t="s">
        <v>302</v>
      </c>
      <c r="AN308" s="99" t="s">
        <v>304</v>
      </c>
      <c r="AO308" s="99" t="s">
        <v>304</v>
      </c>
      <c r="AP308" s="99" t="s">
        <v>302</v>
      </c>
      <c r="AQ308" s="99" t="s">
        <v>303</v>
      </c>
      <c r="AR308" s="99" t="s">
        <v>301</v>
      </c>
      <c r="AS308" s="99" t="s">
        <v>350</v>
      </c>
      <c r="AT308" s="99" t="s">
        <v>321</v>
      </c>
      <c r="AU308" s="99" t="s">
        <v>320</v>
      </c>
      <c r="AV308" s="99" t="s">
        <v>392</v>
      </c>
      <c r="AW308" s="99" t="s">
        <v>324</v>
      </c>
      <c r="AX308" s="99" t="s">
        <v>341</v>
      </c>
      <c r="AY308" s="99" t="s">
        <v>425</v>
      </c>
    </row>
    <row r="309" spans="1:51" ht="187.2" x14ac:dyDescent="0.3">
      <c r="A309" s="98">
        <v>42283.369872685187</v>
      </c>
      <c r="B309" s="99" t="s">
        <v>689</v>
      </c>
      <c r="C309" s="99" t="s">
        <v>552</v>
      </c>
      <c r="D309" s="99" t="s">
        <v>331</v>
      </c>
      <c r="E309" s="99" t="s">
        <v>3</v>
      </c>
      <c r="F309" s="99" t="s">
        <v>317</v>
      </c>
      <c r="G309" s="99" t="s">
        <v>407</v>
      </c>
      <c r="H309" s="99" t="s">
        <v>5</v>
      </c>
      <c r="I309" s="99" t="s">
        <v>309</v>
      </c>
      <c r="J309" s="99" t="s">
        <v>454</v>
      </c>
      <c r="K309" s="99" t="s">
        <v>384</v>
      </c>
      <c r="L309" s="99" t="s">
        <v>429</v>
      </c>
      <c r="M309" s="99" t="s">
        <v>314</v>
      </c>
      <c r="N309" s="99" t="s">
        <v>327</v>
      </c>
      <c r="O309" s="99" t="s">
        <v>313</v>
      </c>
      <c r="P309" s="99" t="s">
        <v>4</v>
      </c>
      <c r="Q309" s="99" t="s">
        <v>1694</v>
      </c>
      <c r="R309" s="99" t="s">
        <v>327</v>
      </c>
      <c r="S309" s="99" t="s">
        <v>1069</v>
      </c>
      <c r="T309" s="99" t="s">
        <v>312</v>
      </c>
      <c r="U309" s="99" t="s">
        <v>530</v>
      </c>
      <c r="V309" s="99" t="s">
        <v>1695</v>
      </c>
      <c r="W309" s="99" t="s">
        <v>325</v>
      </c>
      <c r="X309" s="99" t="s">
        <v>346</v>
      </c>
      <c r="Y309" s="99" t="s">
        <v>316</v>
      </c>
      <c r="Z309" s="99" t="s">
        <v>316</v>
      </c>
      <c r="AA309" s="99" t="s">
        <v>1162</v>
      </c>
      <c r="AB309" s="99" t="s">
        <v>308</v>
      </c>
      <c r="AC309" s="99" t="s">
        <v>296</v>
      </c>
      <c r="AD309" s="99" t="s">
        <v>414</v>
      </c>
      <c r="AE309" s="99" t="s">
        <v>535</v>
      </c>
      <c r="AF309" s="99" t="s">
        <v>476</v>
      </c>
      <c r="AG309" s="99" t="s">
        <v>306</v>
      </c>
      <c r="AH309" s="99" t="s">
        <v>303</v>
      </c>
      <c r="AI309" s="99" t="s">
        <v>303</v>
      </c>
      <c r="AJ309" s="99" t="s">
        <v>302</v>
      </c>
      <c r="AK309" s="99" t="s">
        <v>303</v>
      </c>
      <c r="AL309" s="99" t="s">
        <v>302</v>
      </c>
      <c r="AM309" s="99" t="s">
        <v>302</v>
      </c>
      <c r="AN309" s="99" t="s">
        <v>303</v>
      </c>
      <c r="AO309" s="99" t="s">
        <v>303</v>
      </c>
      <c r="AP309" s="99" t="s">
        <v>302</v>
      </c>
      <c r="AQ309" s="99" t="s">
        <v>302</v>
      </c>
      <c r="AR309" s="99" t="s">
        <v>391</v>
      </c>
      <c r="AS309" s="99" t="s">
        <v>350</v>
      </c>
      <c r="AT309" s="99" t="s">
        <v>355</v>
      </c>
      <c r="AU309" s="99" t="s">
        <v>320</v>
      </c>
      <c r="AV309" s="99" t="s">
        <v>536</v>
      </c>
      <c r="AW309" s="99" t="s">
        <v>296</v>
      </c>
      <c r="AX309" s="99" t="s">
        <v>319</v>
      </c>
      <c r="AY309" s="99" t="s">
        <v>402</v>
      </c>
    </row>
    <row r="310" spans="1:51" ht="72" x14ac:dyDescent="0.3">
      <c r="A310" s="98">
        <v>42283.370127314818</v>
      </c>
      <c r="B310" s="99" t="s">
        <v>689</v>
      </c>
      <c r="C310" s="99" t="s">
        <v>552</v>
      </c>
      <c r="D310" s="99" t="s">
        <v>331</v>
      </c>
      <c r="E310" s="99" t="s">
        <v>330</v>
      </c>
      <c r="F310" s="99" t="s">
        <v>317</v>
      </c>
      <c r="G310" s="99" t="s">
        <v>340</v>
      </c>
      <c r="H310" s="99" t="s">
        <v>564</v>
      </c>
      <c r="I310" s="99" t="s">
        <v>345</v>
      </c>
      <c r="J310" s="99" t="s">
        <v>1455</v>
      </c>
      <c r="K310" s="99" t="s">
        <v>315</v>
      </c>
      <c r="L310" s="99" t="s">
        <v>1696</v>
      </c>
      <c r="M310" s="99" t="s">
        <v>314</v>
      </c>
      <c r="N310" s="99" t="s">
        <v>313</v>
      </c>
      <c r="O310" s="99"/>
      <c r="P310" s="99" t="s">
        <v>4</v>
      </c>
      <c r="Q310" s="99" t="s">
        <v>625</v>
      </c>
      <c r="R310" s="99" t="s">
        <v>4</v>
      </c>
      <c r="S310" s="99" t="s">
        <v>469</v>
      </c>
      <c r="T310" s="99"/>
      <c r="U310" s="99"/>
      <c r="V310" s="99" t="s">
        <v>362</v>
      </c>
      <c r="W310" s="99" t="s">
        <v>325</v>
      </c>
      <c r="X310" s="99" t="s">
        <v>337</v>
      </c>
      <c r="Y310" s="99" t="s">
        <v>316</v>
      </c>
      <c r="Z310" s="99" t="s">
        <v>316</v>
      </c>
      <c r="AA310" s="99" t="s">
        <v>1697</v>
      </c>
      <c r="AB310" s="99" t="s">
        <v>393</v>
      </c>
      <c r="AC310" s="99" t="s">
        <v>324</v>
      </c>
      <c r="AD310" s="99" t="s">
        <v>361</v>
      </c>
      <c r="AE310" s="99" t="s">
        <v>532</v>
      </c>
      <c r="AF310" s="99" t="s">
        <v>1012</v>
      </c>
      <c r="AG310" s="99" t="s">
        <v>369</v>
      </c>
      <c r="AH310" s="99" t="s">
        <v>6</v>
      </c>
      <c r="AI310" s="99" t="s">
        <v>6</v>
      </c>
      <c r="AJ310" s="99" t="s">
        <v>305</v>
      </c>
      <c r="AK310" s="99" t="s">
        <v>6</v>
      </c>
      <c r="AL310" s="99" t="s">
        <v>303</v>
      </c>
      <c r="AM310" s="99" t="s">
        <v>304</v>
      </c>
      <c r="AN310" s="99" t="s">
        <v>304</v>
      </c>
      <c r="AO310" s="99" t="s">
        <v>302</v>
      </c>
      <c r="AP310" s="99" t="s">
        <v>303</v>
      </c>
      <c r="AQ310" s="99" t="s">
        <v>302</v>
      </c>
      <c r="AR310" s="99" t="s">
        <v>301</v>
      </c>
      <c r="AS310" s="99" t="s">
        <v>300</v>
      </c>
      <c r="AT310" s="99"/>
      <c r="AU310" s="99" t="s">
        <v>298</v>
      </c>
      <c r="AV310" s="99" t="s">
        <v>392</v>
      </c>
      <c r="AW310" s="99" t="s">
        <v>307</v>
      </c>
      <c r="AX310" s="99" t="s">
        <v>375</v>
      </c>
      <c r="AY310" s="99" t="s">
        <v>871</v>
      </c>
    </row>
    <row r="311" spans="1:51" ht="115.2" x14ac:dyDescent="0.3">
      <c r="A311" s="98">
        <v>42283.370752314811</v>
      </c>
      <c r="B311" s="99" t="s">
        <v>689</v>
      </c>
      <c r="C311" s="99" t="s">
        <v>552</v>
      </c>
      <c r="D311" s="99" t="s">
        <v>529</v>
      </c>
      <c r="E311" s="99" t="s">
        <v>3</v>
      </c>
      <c r="F311" s="99" t="s">
        <v>317</v>
      </c>
      <c r="G311" s="99" t="s">
        <v>561</v>
      </c>
      <c r="H311" s="99" t="s">
        <v>390</v>
      </c>
      <c r="I311" s="99" t="s">
        <v>494</v>
      </c>
      <c r="J311" s="99" t="s">
        <v>838</v>
      </c>
      <c r="K311" s="99" t="s">
        <v>315</v>
      </c>
      <c r="L311" s="99" t="s">
        <v>1698</v>
      </c>
      <c r="M311" s="99" t="s">
        <v>348</v>
      </c>
      <c r="N311" s="99" t="s">
        <v>4</v>
      </c>
      <c r="O311" s="99" t="s">
        <v>4</v>
      </c>
      <c r="P311" s="99" t="s">
        <v>313</v>
      </c>
      <c r="Q311" s="99" t="s">
        <v>411</v>
      </c>
      <c r="R311" s="99" t="s">
        <v>313</v>
      </c>
      <c r="S311" s="99" t="s">
        <v>804</v>
      </c>
      <c r="T311" s="99" t="s">
        <v>326</v>
      </c>
      <c r="U311" s="99" t="s">
        <v>311</v>
      </c>
      <c r="V311" s="99" t="s">
        <v>386</v>
      </c>
      <c r="W311" s="99" t="s">
        <v>325</v>
      </c>
      <c r="X311" s="99" t="s">
        <v>352</v>
      </c>
      <c r="Y311" s="99" t="s">
        <v>316</v>
      </c>
      <c r="Z311" s="99" t="s">
        <v>316</v>
      </c>
      <c r="AA311" s="99" t="s">
        <v>472</v>
      </c>
      <c r="AB311" s="99" t="s">
        <v>308</v>
      </c>
      <c r="AC311" s="99" t="s">
        <v>324</v>
      </c>
      <c r="AD311" s="99" t="s">
        <v>599</v>
      </c>
      <c r="AE311" s="99" t="s">
        <v>539</v>
      </c>
      <c r="AF311" s="99" t="s">
        <v>476</v>
      </c>
      <c r="AG311" s="99" t="s">
        <v>323</v>
      </c>
      <c r="AH311" s="99" t="s">
        <v>303</v>
      </c>
      <c r="AI311" s="99" t="s">
        <v>303</v>
      </c>
      <c r="AJ311" s="99" t="s">
        <v>304</v>
      </c>
      <c r="AK311" s="99" t="s">
        <v>305</v>
      </c>
      <c r="AL311" s="99" t="s">
        <v>304</v>
      </c>
      <c r="AM311" s="99" t="s">
        <v>303</v>
      </c>
      <c r="AN311" s="99" t="s">
        <v>304</v>
      </c>
      <c r="AO311" s="99" t="s">
        <v>303</v>
      </c>
      <c r="AP311" s="99" t="s">
        <v>303</v>
      </c>
      <c r="AQ311" s="99" t="s">
        <v>303</v>
      </c>
      <c r="AR311" s="99" t="s">
        <v>541</v>
      </c>
      <c r="AS311" s="99" t="s">
        <v>398</v>
      </c>
      <c r="AT311" s="99" t="s">
        <v>360</v>
      </c>
      <c r="AU311" s="99" t="s">
        <v>320</v>
      </c>
      <c r="AV311" s="99" t="s">
        <v>297</v>
      </c>
      <c r="AW311" s="99" t="s">
        <v>324</v>
      </c>
      <c r="AX311" s="99" t="s">
        <v>341</v>
      </c>
      <c r="AY311" s="99" t="s">
        <v>356</v>
      </c>
    </row>
    <row r="312" spans="1:51" ht="144" x14ac:dyDescent="0.3">
      <c r="A312" s="98">
        <v>42283.370775462965</v>
      </c>
      <c r="B312" s="99" t="s">
        <v>689</v>
      </c>
      <c r="C312" s="99" t="s">
        <v>552</v>
      </c>
      <c r="D312" s="99" t="s">
        <v>331</v>
      </c>
      <c r="E312" s="99" t="s">
        <v>3</v>
      </c>
      <c r="F312" s="99" t="s">
        <v>317</v>
      </c>
      <c r="G312" s="99" t="s">
        <v>451</v>
      </c>
      <c r="H312" s="99" t="s">
        <v>5</v>
      </c>
      <c r="I312" s="99" t="s">
        <v>309</v>
      </c>
      <c r="J312" s="99" t="s">
        <v>565</v>
      </c>
      <c r="K312" s="99" t="s">
        <v>359</v>
      </c>
      <c r="L312" s="99" t="s">
        <v>434</v>
      </c>
      <c r="M312" s="99" t="s">
        <v>363</v>
      </c>
      <c r="N312" s="99" t="s">
        <v>4</v>
      </c>
      <c r="O312" s="99" t="s">
        <v>313</v>
      </c>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t="s">
        <v>302</v>
      </c>
      <c r="AP312" s="99" t="s">
        <v>302</v>
      </c>
      <c r="AQ312" s="99" t="s">
        <v>302</v>
      </c>
      <c r="AR312" s="99" t="s">
        <v>322</v>
      </c>
      <c r="AS312" s="99" t="s">
        <v>350</v>
      </c>
      <c r="AT312" s="99" t="s">
        <v>355</v>
      </c>
      <c r="AU312" s="99" t="s">
        <v>298</v>
      </c>
      <c r="AV312" s="99" t="s">
        <v>536</v>
      </c>
      <c r="AW312" s="99" t="s">
        <v>381</v>
      </c>
      <c r="AX312" s="99"/>
      <c r="AY312" s="99" t="s">
        <v>1699</v>
      </c>
    </row>
    <row r="313" spans="1:51" ht="129.6" x14ac:dyDescent="0.3">
      <c r="A313" s="98">
        <v>42283.37290509259</v>
      </c>
      <c r="B313" s="99" t="s">
        <v>689</v>
      </c>
      <c r="C313" s="99" t="s">
        <v>552</v>
      </c>
      <c r="D313" s="99" t="s">
        <v>331</v>
      </c>
      <c r="E313" s="99" t="s">
        <v>330</v>
      </c>
      <c r="F313" s="99" t="s">
        <v>317</v>
      </c>
      <c r="G313" s="99" t="s">
        <v>407</v>
      </c>
      <c r="H313" s="99" t="s">
        <v>349</v>
      </c>
      <c r="I313" s="99" t="s">
        <v>309</v>
      </c>
      <c r="J313" s="99" t="s">
        <v>440</v>
      </c>
      <c r="K313" s="99" t="s">
        <v>368</v>
      </c>
      <c r="L313" s="99" t="s">
        <v>594</v>
      </c>
      <c r="M313" s="99" t="s">
        <v>353</v>
      </c>
      <c r="N313" s="99" t="s">
        <v>4</v>
      </c>
      <c r="O313" s="99" t="s">
        <v>313</v>
      </c>
      <c r="P313" s="99" t="s">
        <v>313</v>
      </c>
      <c r="Q313" s="99" t="s">
        <v>471</v>
      </c>
      <c r="R313" s="99" t="s">
        <v>4</v>
      </c>
      <c r="S313" s="99" t="s">
        <v>1515</v>
      </c>
      <c r="T313" s="99" t="s">
        <v>312</v>
      </c>
      <c r="U313" s="99" t="s">
        <v>530</v>
      </c>
      <c r="V313" s="99" t="s">
        <v>1035</v>
      </c>
      <c r="W313" s="99" t="s">
        <v>338</v>
      </c>
      <c r="X313" s="99" t="s">
        <v>352</v>
      </c>
      <c r="Y313" s="99" t="s">
        <v>316</v>
      </c>
      <c r="Z313" s="99" t="s">
        <v>316</v>
      </c>
      <c r="AA313" s="99" t="s">
        <v>1624</v>
      </c>
      <c r="AB313" s="99" t="s">
        <v>389</v>
      </c>
      <c r="AC313" s="99" t="s">
        <v>351</v>
      </c>
      <c r="AD313" s="99" t="s">
        <v>448</v>
      </c>
      <c r="AE313" s="99" t="s">
        <v>532</v>
      </c>
      <c r="AF313" s="99" t="s">
        <v>593</v>
      </c>
      <c r="AG313" s="99" t="s">
        <v>304</v>
      </c>
      <c r="AH313" s="99" t="s">
        <v>304</v>
      </c>
      <c r="AI313" s="99" t="s">
        <v>304</v>
      </c>
      <c r="AJ313" s="99" t="s">
        <v>304</v>
      </c>
      <c r="AK313" s="99" t="s">
        <v>303</v>
      </c>
      <c r="AL313" s="99" t="s">
        <v>303</v>
      </c>
      <c r="AM313" s="99" t="s">
        <v>304</v>
      </c>
      <c r="AN313" s="99" t="s">
        <v>304</v>
      </c>
      <c r="AO313" s="99" t="s">
        <v>305</v>
      </c>
      <c r="AP313" s="99" t="s">
        <v>303</v>
      </c>
      <c r="AQ313" s="99" t="s">
        <v>302</v>
      </c>
      <c r="AR313" s="99"/>
      <c r="AS313" s="99"/>
      <c r="AT313" s="99" t="s">
        <v>321</v>
      </c>
      <c r="AU313" s="99" t="s">
        <v>320</v>
      </c>
      <c r="AV313" s="99" t="s">
        <v>536</v>
      </c>
      <c r="AW313" s="99" t="s">
        <v>324</v>
      </c>
      <c r="AX313" s="99" t="s">
        <v>341</v>
      </c>
      <c r="AY313" s="99" t="s">
        <v>890</v>
      </c>
    </row>
    <row r="314" spans="1:51" ht="144" x14ac:dyDescent="0.3">
      <c r="A314" s="98">
        <v>42283.373796296299</v>
      </c>
      <c r="B314" s="99" t="s">
        <v>689</v>
      </c>
      <c r="C314" s="99" t="s">
        <v>552</v>
      </c>
      <c r="D314" s="99" t="s">
        <v>529</v>
      </c>
      <c r="E314" s="99" t="s">
        <v>330</v>
      </c>
      <c r="F314" s="99" t="s">
        <v>317</v>
      </c>
      <c r="G314" s="99" t="s">
        <v>407</v>
      </c>
      <c r="H314" s="99" t="s">
        <v>390</v>
      </c>
      <c r="I314" s="99"/>
      <c r="J314" s="99" t="s">
        <v>724</v>
      </c>
      <c r="K314" s="99" t="s">
        <v>354</v>
      </c>
      <c r="L314" s="99" t="s">
        <v>417</v>
      </c>
      <c r="M314" s="99" t="s">
        <v>363</v>
      </c>
      <c r="N314" s="99" t="s">
        <v>327</v>
      </c>
      <c r="O314" s="99" t="s">
        <v>4</v>
      </c>
      <c r="P314" s="99" t="s">
        <v>4</v>
      </c>
      <c r="Q314" s="99" t="s">
        <v>417</v>
      </c>
      <c r="R314" s="99" t="s">
        <v>327</v>
      </c>
      <c r="S314" s="99" t="s">
        <v>882</v>
      </c>
      <c r="T314" s="99" t="s">
        <v>366</v>
      </c>
      <c r="U314" s="99" t="s">
        <v>311</v>
      </c>
      <c r="V314" s="99" t="s">
        <v>1085</v>
      </c>
      <c r="W314" s="99" t="s">
        <v>338</v>
      </c>
      <c r="X314" s="99" t="s">
        <v>352</v>
      </c>
      <c r="Y314" s="99" t="s">
        <v>316</v>
      </c>
      <c r="Z314" s="99" t="s">
        <v>316</v>
      </c>
      <c r="AA314" s="99" t="s">
        <v>395</v>
      </c>
      <c r="AB314" s="99" t="s">
        <v>308</v>
      </c>
      <c r="AC314" s="99" t="s">
        <v>307</v>
      </c>
      <c r="AD314" s="99" t="s">
        <v>462</v>
      </c>
      <c r="AE314" s="99" t="s">
        <v>535</v>
      </c>
      <c r="AF314" s="99" t="s">
        <v>1553</v>
      </c>
      <c r="AG314" s="99" t="s">
        <v>323</v>
      </c>
      <c r="AH314" s="99" t="s">
        <v>303</v>
      </c>
      <c r="AI314" s="99" t="s">
        <v>303</v>
      </c>
      <c r="AJ314" s="99" t="s">
        <v>302</v>
      </c>
      <c r="AK314" s="99" t="s">
        <v>303</v>
      </c>
      <c r="AL314" s="99" t="s">
        <v>302</v>
      </c>
      <c r="AM314" s="99" t="s">
        <v>302</v>
      </c>
      <c r="AN314" s="99" t="s">
        <v>302</v>
      </c>
      <c r="AO314" s="99" t="s">
        <v>303</v>
      </c>
      <c r="AP314" s="99" t="s">
        <v>303</v>
      </c>
      <c r="AQ314" s="99" t="s">
        <v>303</v>
      </c>
      <c r="AR314" s="99" t="s">
        <v>301</v>
      </c>
      <c r="AS314" s="99" t="s">
        <v>350</v>
      </c>
      <c r="AT314" s="99" t="s">
        <v>321</v>
      </c>
      <c r="AU314" s="99" t="s">
        <v>320</v>
      </c>
      <c r="AV314" s="99" t="s">
        <v>536</v>
      </c>
      <c r="AW314" s="99" t="s">
        <v>296</v>
      </c>
      <c r="AX314" s="99" t="s">
        <v>341</v>
      </c>
      <c r="AY314" s="99" t="s">
        <v>418</v>
      </c>
    </row>
    <row r="315" spans="1:51" ht="115.2" x14ac:dyDescent="0.3">
      <c r="A315" s="98">
        <v>42283.374756944446</v>
      </c>
      <c r="B315" s="99" t="s">
        <v>689</v>
      </c>
      <c r="C315" s="99" t="s">
        <v>552</v>
      </c>
      <c r="D315" s="99" t="s">
        <v>331</v>
      </c>
      <c r="E315" s="99" t="s">
        <v>3</v>
      </c>
      <c r="F315" s="99" t="s">
        <v>317</v>
      </c>
      <c r="G315" s="99" t="s">
        <v>423</v>
      </c>
      <c r="H315" s="99" t="s">
        <v>390</v>
      </c>
      <c r="I315" s="99" t="s">
        <v>345</v>
      </c>
      <c r="J315" s="99" t="s">
        <v>1700</v>
      </c>
      <c r="K315" s="99" t="s">
        <v>315</v>
      </c>
      <c r="L315" s="99" t="s">
        <v>434</v>
      </c>
      <c r="M315" s="99" t="s">
        <v>314</v>
      </c>
      <c r="N315" s="99" t="s">
        <v>327</v>
      </c>
      <c r="O315" s="99" t="s">
        <v>4</v>
      </c>
      <c r="P315" s="99" t="s">
        <v>313</v>
      </c>
      <c r="Q315" s="99" t="s">
        <v>468</v>
      </c>
      <c r="R315" s="99" t="s">
        <v>327</v>
      </c>
      <c r="S315" s="99" t="s">
        <v>394</v>
      </c>
      <c r="T315" s="99" t="s">
        <v>312</v>
      </c>
      <c r="U315" s="99" t="s">
        <v>530</v>
      </c>
      <c r="V315" s="99" t="s">
        <v>437</v>
      </c>
      <c r="W315" s="99" t="s">
        <v>338</v>
      </c>
      <c r="X315" s="99" t="s">
        <v>352</v>
      </c>
      <c r="Y315" s="99" t="s">
        <v>316</v>
      </c>
      <c r="Z315" s="99" t="s">
        <v>316</v>
      </c>
      <c r="AA315" s="99" t="s">
        <v>803</v>
      </c>
      <c r="AB315" s="99" t="s">
        <v>389</v>
      </c>
      <c r="AC315" s="99" t="s">
        <v>307</v>
      </c>
      <c r="AD315" s="99" t="s">
        <v>388</v>
      </c>
      <c r="AE315" s="99" t="s">
        <v>535</v>
      </c>
      <c r="AF315" s="99" t="s">
        <v>1291</v>
      </c>
      <c r="AG315" s="99" t="s">
        <v>323</v>
      </c>
      <c r="AH315" s="99" t="s">
        <v>6</v>
      </c>
      <c r="AI315" s="99" t="s">
        <v>6</v>
      </c>
      <c r="AJ315" s="99" t="s">
        <v>302</v>
      </c>
      <c r="AK315" s="99" t="s">
        <v>6</v>
      </c>
      <c r="AL315" s="99" t="s">
        <v>302</v>
      </c>
      <c r="AM315" s="99" t="s">
        <v>302</v>
      </c>
      <c r="AN315" s="99" t="s">
        <v>303</v>
      </c>
      <c r="AO315" s="99" t="s">
        <v>303</v>
      </c>
      <c r="AP315" s="99" t="s">
        <v>302</v>
      </c>
      <c r="AQ315" s="99" t="s">
        <v>303</v>
      </c>
      <c r="AR315" s="99" t="s">
        <v>378</v>
      </c>
      <c r="AS315" s="99" t="s">
        <v>350</v>
      </c>
      <c r="AT315" s="99" t="s">
        <v>321</v>
      </c>
      <c r="AU315" s="99" t="s">
        <v>320</v>
      </c>
      <c r="AV315" s="99" t="s">
        <v>297</v>
      </c>
      <c r="AW315" s="99" t="s">
        <v>324</v>
      </c>
      <c r="AX315" s="99" t="s">
        <v>549</v>
      </c>
      <c r="AY315" s="99" t="s">
        <v>418</v>
      </c>
    </row>
    <row r="316" spans="1:51" ht="129.6" x14ac:dyDescent="0.3">
      <c r="A316" s="98">
        <v>42283.414988425924</v>
      </c>
      <c r="B316" s="99" t="s">
        <v>689</v>
      </c>
      <c r="C316" s="99" t="s">
        <v>580</v>
      </c>
      <c r="D316" s="99" t="s">
        <v>529</v>
      </c>
      <c r="E316" s="99" t="s">
        <v>3</v>
      </c>
      <c r="F316" s="99" t="s">
        <v>317</v>
      </c>
      <c r="G316" s="99" t="s">
        <v>412</v>
      </c>
      <c r="H316" s="99" t="s">
        <v>390</v>
      </c>
      <c r="I316" s="99" t="s">
        <v>309</v>
      </c>
      <c r="J316" s="99" t="s">
        <v>544</v>
      </c>
      <c r="K316" s="99" t="s">
        <v>315</v>
      </c>
      <c r="L316" s="99" t="s">
        <v>450</v>
      </c>
      <c r="M316" s="99" t="s">
        <v>314</v>
      </c>
      <c r="N316" s="99" t="s">
        <v>327</v>
      </c>
      <c r="O316" s="99" t="s">
        <v>4</v>
      </c>
      <c r="P316" s="99" t="s">
        <v>4</v>
      </c>
      <c r="Q316" s="99" t="s">
        <v>411</v>
      </c>
      <c r="R316" s="99"/>
      <c r="S316" s="99" t="s">
        <v>1701</v>
      </c>
      <c r="T316" s="99" t="s">
        <v>366</v>
      </c>
      <c r="U316" s="99" t="s">
        <v>530</v>
      </c>
      <c r="V316" s="99" t="s">
        <v>1039</v>
      </c>
      <c r="W316" s="99" t="s">
        <v>325</v>
      </c>
      <c r="X316" s="99" t="s">
        <v>310</v>
      </c>
      <c r="Y316" s="99" t="s">
        <v>316</v>
      </c>
      <c r="Z316" s="99" t="s">
        <v>316</v>
      </c>
      <c r="AA316" s="99" t="s">
        <v>685</v>
      </c>
      <c r="AB316" s="99" t="s">
        <v>376</v>
      </c>
      <c r="AC316" s="99" t="s">
        <v>296</v>
      </c>
      <c r="AD316" s="99" t="s">
        <v>462</v>
      </c>
      <c r="AE316" s="99" t="s">
        <v>545</v>
      </c>
      <c r="AF316" s="99" t="s">
        <v>1330</v>
      </c>
      <c r="AG316" s="99" t="s">
        <v>306</v>
      </c>
      <c r="AH316" s="99" t="s">
        <v>304</v>
      </c>
      <c r="AI316" s="99"/>
      <c r="AJ316" s="99" t="s">
        <v>302</v>
      </c>
      <c r="AK316" s="99" t="s">
        <v>303</v>
      </c>
      <c r="AL316" s="99" t="s">
        <v>302</v>
      </c>
      <c r="AM316" s="99" t="s">
        <v>302</v>
      </c>
      <c r="AN316" s="99" t="s">
        <v>303</v>
      </c>
      <c r="AO316" s="99" t="s">
        <v>302</v>
      </c>
      <c r="AP316" s="99"/>
      <c r="AQ316" s="99"/>
      <c r="AR316" s="99" t="s">
        <v>343</v>
      </c>
      <c r="AS316" s="99" t="s">
        <v>300</v>
      </c>
      <c r="AT316" s="99" t="s">
        <v>355</v>
      </c>
      <c r="AU316" s="99" t="s">
        <v>342</v>
      </c>
      <c r="AV316" s="99" t="s">
        <v>547</v>
      </c>
      <c r="AW316" s="99" t="s">
        <v>296</v>
      </c>
      <c r="AX316" s="99" t="s">
        <v>341</v>
      </c>
      <c r="AY316" s="99" t="s">
        <v>413</v>
      </c>
    </row>
    <row r="317" spans="1:51" ht="288" x14ac:dyDescent="0.3">
      <c r="A317" s="98">
        <v>42283.41615740741</v>
      </c>
      <c r="B317" s="99" t="s">
        <v>689</v>
      </c>
      <c r="C317" s="99" t="s">
        <v>580</v>
      </c>
      <c r="D317" s="99" t="s">
        <v>529</v>
      </c>
      <c r="E317" s="99" t="s">
        <v>330</v>
      </c>
      <c r="F317" s="99" t="s">
        <v>317</v>
      </c>
      <c r="G317" s="99" t="s">
        <v>561</v>
      </c>
      <c r="H317" s="99" t="s">
        <v>564</v>
      </c>
      <c r="I317" s="99" t="s">
        <v>309</v>
      </c>
      <c r="J317" s="99" t="s">
        <v>1343</v>
      </c>
      <c r="K317" s="99" t="s">
        <v>354</v>
      </c>
      <c r="L317" s="99" t="s">
        <v>657</v>
      </c>
      <c r="M317" s="99" t="s">
        <v>363</v>
      </c>
      <c r="N317" s="99" t="s">
        <v>327</v>
      </c>
      <c r="O317" s="99" t="s">
        <v>313</v>
      </c>
      <c r="P317" s="99" t="s">
        <v>327</v>
      </c>
      <c r="Q317" s="99" t="s">
        <v>670</v>
      </c>
      <c r="R317" s="99" t="s">
        <v>327</v>
      </c>
      <c r="S317" s="99" t="s">
        <v>663</v>
      </c>
      <c r="T317" s="99" t="s">
        <v>366</v>
      </c>
      <c r="U317" s="99" t="s">
        <v>347</v>
      </c>
      <c r="V317" s="99" t="s">
        <v>1688</v>
      </c>
      <c r="W317" s="99" t="s">
        <v>550</v>
      </c>
      <c r="X317" s="99" t="s">
        <v>310</v>
      </c>
      <c r="Y317" s="99" t="s">
        <v>316</v>
      </c>
      <c r="Z317" s="99" t="s">
        <v>316</v>
      </c>
      <c r="AA317" s="99" t="s">
        <v>574</v>
      </c>
      <c r="AB317" s="99" t="s">
        <v>308</v>
      </c>
      <c r="AC317" s="99" t="s">
        <v>351</v>
      </c>
      <c r="AD317" s="99" t="s">
        <v>462</v>
      </c>
      <c r="AE317" s="99" t="s">
        <v>539</v>
      </c>
      <c r="AF317" s="99" t="s">
        <v>1702</v>
      </c>
      <c r="AG317" s="99" t="s">
        <v>323</v>
      </c>
      <c r="AH317" s="99" t="s">
        <v>304</v>
      </c>
      <c r="AI317" s="99" t="s">
        <v>303</v>
      </c>
      <c r="AJ317" s="99" t="s">
        <v>303</v>
      </c>
      <c r="AK317" s="99" t="s">
        <v>6</v>
      </c>
      <c r="AL317" s="99" t="s">
        <v>302</v>
      </c>
      <c r="AM317" s="99" t="s">
        <v>302</v>
      </c>
      <c r="AN317" s="99" t="s">
        <v>303</v>
      </c>
      <c r="AO317" s="99" t="s">
        <v>302</v>
      </c>
      <c r="AP317" s="99" t="s">
        <v>302</v>
      </c>
      <c r="AQ317" s="99" t="s">
        <v>303</v>
      </c>
      <c r="AR317" s="99" t="s">
        <v>301</v>
      </c>
      <c r="AS317" s="99" t="s">
        <v>350</v>
      </c>
      <c r="AT317" s="99" t="s">
        <v>355</v>
      </c>
      <c r="AU317" s="99" t="s">
        <v>298</v>
      </c>
      <c r="AV317" s="99" t="s">
        <v>297</v>
      </c>
      <c r="AW317" s="99" t="s">
        <v>307</v>
      </c>
      <c r="AX317" s="99" t="s">
        <v>534</v>
      </c>
      <c r="AY317" s="99" t="s">
        <v>449</v>
      </c>
    </row>
    <row r="318" spans="1:51" ht="144" x14ac:dyDescent="0.3">
      <c r="A318" s="98">
        <v>42283.416168981479</v>
      </c>
      <c r="B318" s="99" t="s">
        <v>689</v>
      </c>
      <c r="C318" s="99" t="s">
        <v>580</v>
      </c>
      <c r="D318" s="99" t="s">
        <v>529</v>
      </c>
      <c r="E318" s="99" t="s">
        <v>330</v>
      </c>
      <c r="F318" s="99" t="s">
        <v>317</v>
      </c>
      <c r="G318" s="99" t="s">
        <v>407</v>
      </c>
      <c r="H318" s="99" t="s">
        <v>564</v>
      </c>
      <c r="I318" s="99" t="s">
        <v>309</v>
      </c>
      <c r="J318" s="99" t="s">
        <v>565</v>
      </c>
      <c r="K318" s="99" t="s">
        <v>328</v>
      </c>
      <c r="L318" s="99" t="s">
        <v>411</v>
      </c>
      <c r="M318" s="99" t="s">
        <v>314</v>
      </c>
      <c r="N318" s="99" t="s">
        <v>327</v>
      </c>
      <c r="O318" s="99" t="s">
        <v>4</v>
      </c>
      <c r="P318" s="99" t="s">
        <v>313</v>
      </c>
      <c r="Q318" s="99" t="s">
        <v>411</v>
      </c>
      <c r="R318" s="99" t="s">
        <v>327</v>
      </c>
      <c r="S318" s="99" t="s">
        <v>677</v>
      </c>
      <c r="T318" s="99" t="s">
        <v>326</v>
      </c>
      <c r="U318" s="99" t="s">
        <v>530</v>
      </c>
      <c r="V318" s="99" t="s">
        <v>362</v>
      </c>
      <c r="W318" s="99" t="s">
        <v>1278</v>
      </c>
      <c r="X318" s="99" t="s">
        <v>352</v>
      </c>
      <c r="Y318" s="99" t="s">
        <v>316</v>
      </c>
      <c r="Z318" s="99" t="s">
        <v>316</v>
      </c>
      <c r="AA318" s="99" t="s">
        <v>685</v>
      </c>
      <c r="AB318" s="99" t="s">
        <v>376</v>
      </c>
      <c r="AC318" s="99" t="s">
        <v>351</v>
      </c>
      <c r="AD318" s="99" t="s">
        <v>361</v>
      </c>
      <c r="AE318" s="99" t="s">
        <v>539</v>
      </c>
      <c r="AF318" s="99" t="s">
        <v>1703</v>
      </c>
      <c r="AG318" s="99" t="s">
        <v>369</v>
      </c>
      <c r="AH318" s="99" t="s">
        <v>6</v>
      </c>
      <c r="AI318" s="99" t="s">
        <v>6</v>
      </c>
      <c r="AJ318" s="99" t="s">
        <v>304</v>
      </c>
      <c r="AK318" s="99" t="s">
        <v>6</v>
      </c>
      <c r="AL318" s="99" t="s">
        <v>303</v>
      </c>
      <c r="AM318" s="99" t="s">
        <v>305</v>
      </c>
      <c r="AN318" s="99" t="s">
        <v>304</v>
      </c>
      <c r="AO318" s="99" t="s">
        <v>303</v>
      </c>
      <c r="AP318" s="99" t="s">
        <v>304</v>
      </c>
      <c r="AQ318" s="99" t="s">
        <v>304</v>
      </c>
      <c r="AR318" s="99" t="s">
        <v>343</v>
      </c>
      <c r="AS318" s="99" t="s">
        <v>300</v>
      </c>
      <c r="AT318" s="99" t="s">
        <v>360</v>
      </c>
      <c r="AU318" s="99" t="s">
        <v>320</v>
      </c>
      <c r="AV318" s="99" t="s">
        <v>536</v>
      </c>
      <c r="AW318" s="99" t="s">
        <v>324</v>
      </c>
      <c r="AX318" s="99" t="s">
        <v>341</v>
      </c>
      <c r="AY318" s="99" t="s">
        <v>436</v>
      </c>
    </row>
    <row r="319" spans="1:51" ht="129.6" x14ac:dyDescent="0.3">
      <c r="A319" s="98">
        <v>42283.416550925926</v>
      </c>
      <c r="B319" s="99" t="s">
        <v>689</v>
      </c>
      <c r="C319" s="99" t="s">
        <v>580</v>
      </c>
      <c r="D319" s="99" t="s">
        <v>331</v>
      </c>
      <c r="E319" s="99" t="s">
        <v>3</v>
      </c>
      <c r="F319" s="99" t="s">
        <v>317</v>
      </c>
      <c r="G319" s="99" t="s">
        <v>446</v>
      </c>
      <c r="H319" s="99" t="s">
        <v>390</v>
      </c>
      <c r="I319" s="99" t="s">
        <v>309</v>
      </c>
      <c r="J319" s="99" t="s">
        <v>695</v>
      </c>
      <c r="K319" s="99" t="s">
        <v>328</v>
      </c>
      <c r="L319" s="99" t="s">
        <v>429</v>
      </c>
      <c r="M319" s="99" t="s">
        <v>314</v>
      </c>
      <c r="N319" s="99" t="s">
        <v>4</v>
      </c>
      <c r="O319" s="99" t="s">
        <v>313</v>
      </c>
      <c r="P319" s="99" t="s">
        <v>4</v>
      </c>
      <c r="Q319" s="99" t="s">
        <v>429</v>
      </c>
      <c r="R319" s="99" t="s">
        <v>327</v>
      </c>
      <c r="S319" s="99" t="s">
        <v>1704</v>
      </c>
      <c r="T319" s="99" t="s">
        <v>312</v>
      </c>
      <c r="U319" s="99" t="s">
        <v>311</v>
      </c>
      <c r="V319" s="99" t="s">
        <v>1623</v>
      </c>
      <c r="W319" s="99" t="s">
        <v>338</v>
      </c>
      <c r="X319" s="99"/>
      <c r="Y319" s="99" t="s">
        <v>316</v>
      </c>
      <c r="Z319" s="99" t="s">
        <v>316</v>
      </c>
      <c r="AA319" s="99" t="s">
        <v>459</v>
      </c>
      <c r="AB319" s="99" t="s">
        <v>376</v>
      </c>
      <c r="AC319" s="99" t="s">
        <v>307</v>
      </c>
      <c r="AD319" s="99" t="s">
        <v>448</v>
      </c>
      <c r="AE319" s="99" t="s">
        <v>535</v>
      </c>
      <c r="AF319" s="99" t="s">
        <v>1032</v>
      </c>
      <c r="AG319" s="99" t="s">
        <v>304</v>
      </c>
      <c r="AH319" s="99" t="s">
        <v>304</v>
      </c>
      <c r="AI319" s="99" t="s">
        <v>304</v>
      </c>
      <c r="AJ319" s="99" t="s">
        <v>303</v>
      </c>
      <c r="AK319" s="99" t="s">
        <v>303</v>
      </c>
      <c r="AL319" s="99" t="s">
        <v>303</v>
      </c>
      <c r="AM319" s="99" t="s">
        <v>302</v>
      </c>
      <c r="AN319" s="99" t="s">
        <v>303</v>
      </c>
      <c r="AO319" s="99" t="s">
        <v>303</v>
      </c>
      <c r="AP319" s="99" t="s">
        <v>303</v>
      </c>
      <c r="AQ319" s="99" t="s">
        <v>303</v>
      </c>
      <c r="AR319" s="99" t="s">
        <v>378</v>
      </c>
      <c r="AS319" s="99"/>
      <c r="AT319" s="99" t="s">
        <v>321</v>
      </c>
      <c r="AU319" s="99" t="s">
        <v>320</v>
      </c>
      <c r="AV319" s="99" t="s">
        <v>297</v>
      </c>
      <c r="AW319" s="99" t="s">
        <v>324</v>
      </c>
      <c r="AX319" s="99" t="s">
        <v>534</v>
      </c>
      <c r="AY319" s="99" t="s">
        <v>418</v>
      </c>
    </row>
    <row r="320" spans="1:51" ht="201.6" x14ac:dyDescent="0.3">
      <c r="A320" s="98">
        <v>42283.416898148149</v>
      </c>
      <c r="B320" s="99" t="s">
        <v>689</v>
      </c>
      <c r="C320" s="99" t="s">
        <v>580</v>
      </c>
      <c r="D320" s="99" t="s">
        <v>331</v>
      </c>
      <c r="E320" s="99" t="s">
        <v>330</v>
      </c>
      <c r="F320" s="99" t="s">
        <v>317</v>
      </c>
      <c r="G320" s="99" t="s">
        <v>407</v>
      </c>
      <c r="H320" s="99" t="s">
        <v>390</v>
      </c>
      <c r="I320" s="99" t="s">
        <v>309</v>
      </c>
      <c r="J320" s="99" t="s">
        <v>695</v>
      </c>
      <c r="K320" s="99" t="s">
        <v>368</v>
      </c>
      <c r="L320" s="99" t="s">
        <v>434</v>
      </c>
      <c r="M320" s="99" t="s">
        <v>363</v>
      </c>
      <c r="N320" s="99" t="s">
        <v>327</v>
      </c>
      <c r="O320" s="99" t="s">
        <v>4</v>
      </c>
      <c r="P320" s="99" t="s">
        <v>4</v>
      </c>
      <c r="Q320" s="99" t="s">
        <v>411</v>
      </c>
      <c r="R320" s="99" t="s">
        <v>327</v>
      </c>
      <c r="S320" s="99" t="s">
        <v>1069</v>
      </c>
      <c r="T320" s="99" t="s">
        <v>312</v>
      </c>
      <c r="U320" s="99" t="s">
        <v>311</v>
      </c>
      <c r="V320" s="99" t="s">
        <v>1055</v>
      </c>
      <c r="W320" s="99" t="s">
        <v>338</v>
      </c>
      <c r="X320" s="99" t="s">
        <v>352</v>
      </c>
      <c r="Y320" s="99" t="s">
        <v>345</v>
      </c>
      <c r="Z320" s="99" t="s">
        <v>316</v>
      </c>
      <c r="AA320" s="99" t="s">
        <v>1025</v>
      </c>
      <c r="AB320" s="99" t="s">
        <v>358</v>
      </c>
      <c r="AC320" s="99" t="s">
        <v>307</v>
      </c>
      <c r="AD320" s="99" t="s">
        <v>1386</v>
      </c>
      <c r="AE320" s="99" t="s">
        <v>545</v>
      </c>
      <c r="AF320" s="99" t="s">
        <v>716</v>
      </c>
      <c r="AG320" s="99" t="s">
        <v>323</v>
      </c>
      <c r="AH320" s="99" t="s">
        <v>304</v>
      </c>
      <c r="AI320" s="99" t="s">
        <v>304</v>
      </c>
      <c r="AJ320" s="99" t="s">
        <v>304</v>
      </c>
      <c r="AK320" s="99" t="s">
        <v>303</v>
      </c>
      <c r="AL320" s="99" t="s">
        <v>303</v>
      </c>
      <c r="AM320" s="99" t="s">
        <v>303</v>
      </c>
      <c r="AN320" s="99" t="s">
        <v>303</v>
      </c>
      <c r="AO320" s="99" t="s">
        <v>302</v>
      </c>
      <c r="AP320" s="99" t="s">
        <v>303</v>
      </c>
      <c r="AQ320" s="99" t="s">
        <v>303</v>
      </c>
      <c r="AR320" s="99" t="s">
        <v>301</v>
      </c>
      <c r="AS320" s="99" t="s">
        <v>350</v>
      </c>
      <c r="AT320" s="99" t="s">
        <v>321</v>
      </c>
      <c r="AU320" s="99" t="s">
        <v>320</v>
      </c>
      <c r="AV320" s="99" t="s">
        <v>364</v>
      </c>
      <c r="AW320" s="99" t="s">
        <v>307</v>
      </c>
      <c r="AX320" s="99" t="s">
        <v>534</v>
      </c>
      <c r="AY320" s="99" t="s">
        <v>644</v>
      </c>
    </row>
    <row r="321" spans="1:51" ht="288" x14ac:dyDescent="0.3">
      <c r="A321" s="98">
        <v>42283.417314814818</v>
      </c>
      <c r="B321" s="99" t="s">
        <v>689</v>
      </c>
      <c r="C321" s="99" t="s">
        <v>580</v>
      </c>
      <c r="D321" s="99" t="s">
        <v>529</v>
      </c>
      <c r="E321" s="99" t="s">
        <v>3</v>
      </c>
      <c r="F321" s="99" t="s">
        <v>317</v>
      </c>
      <c r="G321" s="99" t="s">
        <v>1705</v>
      </c>
      <c r="H321" s="99" t="s">
        <v>5</v>
      </c>
      <c r="I321" s="99" t="s">
        <v>309</v>
      </c>
      <c r="J321" s="99" t="s">
        <v>454</v>
      </c>
      <c r="K321" s="99" t="s">
        <v>328</v>
      </c>
      <c r="L321" s="99" t="s">
        <v>475</v>
      </c>
      <c r="M321" s="99" t="s">
        <v>314</v>
      </c>
      <c r="N321" s="99" t="s">
        <v>4</v>
      </c>
      <c r="O321" s="99" t="s">
        <v>327</v>
      </c>
      <c r="P321" s="99" t="s">
        <v>327</v>
      </c>
      <c r="Q321" s="99" t="s">
        <v>450</v>
      </c>
      <c r="R321" s="99" t="s">
        <v>327</v>
      </c>
      <c r="S321" s="99" t="s">
        <v>1706</v>
      </c>
      <c r="T321" s="99" t="s">
        <v>366</v>
      </c>
      <c r="U321" s="99" t="s">
        <v>311</v>
      </c>
      <c r="V321" s="99" t="s">
        <v>1517</v>
      </c>
      <c r="W321" s="99" t="s">
        <v>338</v>
      </c>
      <c r="X321" s="99" t="s">
        <v>310</v>
      </c>
      <c r="Y321" s="99" t="s">
        <v>316</v>
      </c>
      <c r="Z321" s="99" t="s">
        <v>316</v>
      </c>
      <c r="AA321" s="99" t="s">
        <v>408</v>
      </c>
      <c r="AB321" s="99" t="s">
        <v>376</v>
      </c>
      <c r="AC321" s="99" t="s">
        <v>307</v>
      </c>
      <c r="AD321" s="99" t="s">
        <v>426</v>
      </c>
      <c r="AE321" s="99" t="s">
        <v>545</v>
      </c>
      <c r="AF321" s="99" t="s">
        <v>443</v>
      </c>
      <c r="AG321" s="99" t="s">
        <v>323</v>
      </c>
      <c r="AH321" s="99" t="s">
        <v>295</v>
      </c>
      <c r="AI321" s="99" t="s">
        <v>295</v>
      </c>
      <c r="AJ321" s="99" t="s">
        <v>303</v>
      </c>
      <c r="AK321" s="99" t="s">
        <v>304</v>
      </c>
      <c r="AL321" s="99" t="s">
        <v>302</v>
      </c>
      <c r="AM321" s="99" t="s">
        <v>302</v>
      </c>
      <c r="AN321" s="99" t="s">
        <v>302</v>
      </c>
      <c r="AO321" s="99" t="s">
        <v>303</v>
      </c>
      <c r="AP321" s="99" t="s">
        <v>302</v>
      </c>
      <c r="AQ321" s="99" t="s">
        <v>302</v>
      </c>
      <c r="AR321" s="99" t="s">
        <v>673</v>
      </c>
      <c r="AS321" s="99" t="s">
        <v>300</v>
      </c>
      <c r="AT321" s="99" t="s">
        <v>355</v>
      </c>
      <c r="AU321" s="99" t="s">
        <v>298</v>
      </c>
      <c r="AV321" s="99" t="s">
        <v>547</v>
      </c>
      <c r="AW321" s="99" t="s">
        <v>307</v>
      </c>
      <c r="AX321" s="99" t="s">
        <v>534</v>
      </c>
      <c r="AY321" s="99" t="s">
        <v>418</v>
      </c>
    </row>
    <row r="322" spans="1:51" ht="144" x14ac:dyDescent="0.3">
      <c r="A322" s="98">
        <v>42283.417407407411</v>
      </c>
      <c r="B322" s="99" t="s">
        <v>689</v>
      </c>
      <c r="C322" s="99" t="s">
        <v>580</v>
      </c>
      <c r="D322" s="99" t="s">
        <v>560</v>
      </c>
      <c r="E322" s="99" t="s">
        <v>330</v>
      </c>
      <c r="F322" s="99" t="s">
        <v>317</v>
      </c>
      <c r="G322" s="99" t="s">
        <v>435</v>
      </c>
      <c r="H322" s="99" t="s">
        <v>390</v>
      </c>
      <c r="I322" s="99" t="s">
        <v>309</v>
      </c>
      <c r="J322" s="99" t="s">
        <v>718</v>
      </c>
      <c r="K322" s="99" t="s">
        <v>315</v>
      </c>
      <c r="L322" s="99" t="s">
        <v>411</v>
      </c>
      <c r="M322" s="99" t="s">
        <v>353</v>
      </c>
      <c r="N322" s="99" t="s">
        <v>327</v>
      </c>
      <c r="O322" s="99" t="s">
        <v>4</v>
      </c>
      <c r="P322" s="99" t="s">
        <v>4</v>
      </c>
      <c r="Q322" s="99" t="s">
        <v>652</v>
      </c>
      <c r="R322" s="99" t="s">
        <v>327</v>
      </c>
      <c r="S322" s="99" t="s">
        <v>460</v>
      </c>
      <c r="T322" s="99" t="s">
        <v>312</v>
      </c>
      <c r="U322" s="99" t="s">
        <v>530</v>
      </c>
      <c r="V322" s="99" t="s">
        <v>984</v>
      </c>
      <c r="W322" s="99" t="s">
        <v>325</v>
      </c>
      <c r="X322" s="99" t="s">
        <v>352</v>
      </c>
      <c r="Y322" s="99" t="s">
        <v>316</v>
      </c>
      <c r="Z322" s="99" t="s">
        <v>316</v>
      </c>
      <c r="AA322" s="99" t="s">
        <v>490</v>
      </c>
      <c r="AB322" s="99" t="s">
        <v>376</v>
      </c>
      <c r="AC322" s="99" t="s">
        <v>307</v>
      </c>
      <c r="AD322" s="99" t="s">
        <v>462</v>
      </c>
      <c r="AE322" s="99" t="s">
        <v>535</v>
      </c>
      <c r="AF322" s="99" t="s">
        <v>1105</v>
      </c>
      <c r="AG322" s="99" t="s">
        <v>323</v>
      </c>
      <c r="AH322" s="99" t="s">
        <v>303</v>
      </c>
      <c r="AI322" s="99" t="s">
        <v>303</v>
      </c>
      <c r="AJ322" s="99" t="s">
        <v>302</v>
      </c>
      <c r="AK322" s="99" t="s">
        <v>303</v>
      </c>
      <c r="AL322" s="99" t="s">
        <v>302</v>
      </c>
      <c r="AM322" s="99" t="s">
        <v>303</v>
      </c>
      <c r="AN322" s="99" t="s">
        <v>303</v>
      </c>
      <c r="AO322" s="99" t="s">
        <v>303</v>
      </c>
      <c r="AP322" s="99" t="s">
        <v>303</v>
      </c>
      <c r="AQ322" s="99" t="s">
        <v>302</v>
      </c>
      <c r="AR322" s="99" t="s">
        <v>301</v>
      </c>
      <c r="AS322" s="99" t="s">
        <v>350</v>
      </c>
      <c r="AT322" s="99" t="s">
        <v>321</v>
      </c>
      <c r="AU322" s="99" t="s">
        <v>342</v>
      </c>
      <c r="AV322" s="99" t="s">
        <v>364</v>
      </c>
      <c r="AW322" s="99" t="s">
        <v>307</v>
      </c>
      <c r="AX322" s="99" t="s">
        <v>534</v>
      </c>
      <c r="AY322" s="99" t="s">
        <v>854</v>
      </c>
    </row>
    <row r="323" spans="1:51" ht="273.60000000000002" x14ac:dyDescent="0.3">
      <c r="A323" s="98">
        <v>42283.417673611111</v>
      </c>
      <c r="B323" s="99" t="s">
        <v>689</v>
      </c>
      <c r="C323" s="99" t="s">
        <v>580</v>
      </c>
      <c r="D323" s="99" t="s">
        <v>529</v>
      </c>
      <c r="E323" s="99" t="s">
        <v>3</v>
      </c>
      <c r="F323" s="99" t="s">
        <v>317</v>
      </c>
      <c r="G323" s="99" t="s">
        <v>407</v>
      </c>
      <c r="H323" s="99" t="s">
        <v>390</v>
      </c>
      <c r="I323" s="99" t="s">
        <v>309</v>
      </c>
      <c r="J323" s="99" t="s">
        <v>537</v>
      </c>
      <c r="K323" s="99" t="s">
        <v>315</v>
      </c>
      <c r="L323" s="99" t="s">
        <v>450</v>
      </c>
      <c r="M323" s="99" t="s">
        <v>314</v>
      </c>
      <c r="N323" s="99" t="s">
        <v>4</v>
      </c>
      <c r="O323" s="99" t="s">
        <v>4</v>
      </c>
      <c r="P323" s="99" t="s">
        <v>4</v>
      </c>
      <c r="Q323" s="99" t="s">
        <v>670</v>
      </c>
      <c r="R323" s="99" t="s">
        <v>327</v>
      </c>
      <c r="S323" s="99" t="s">
        <v>1554</v>
      </c>
      <c r="T323" s="99" t="s">
        <v>312</v>
      </c>
      <c r="U323" s="99" t="s">
        <v>311</v>
      </c>
      <c r="V323" s="99" t="s">
        <v>1707</v>
      </c>
      <c r="W323" s="99" t="s">
        <v>1192</v>
      </c>
      <c r="X323" s="99" t="s">
        <v>352</v>
      </c>
      <c r="Y323" s="99" t="s">
        <v>309</v>
      </c>
      <c r="Z323" s="99" t="s">
        <v>316</v>
      </c>
      <c r="AA323" s="99" t="s">
        <v>832</v>
      </c>
      <c r="AB323" s="99" t="s">
        <v>358</v>
      </c>
      <c r="AC323" s="99" t="s">
        <v>307</v>
      </c>
      <c r="AD323" s="99" t="s">
        <v>1006</v>
      </c>
      <c r="AE323" s="99" t="s">
        <v>545</v>
      </c>
      <c r="AF323" s="99" t="s">
        <v>728</v>
      </c>
      <c r="AG323" s="99" t="s">
        <v>323</v>
      </c>
      <c r="AH323" s="99" t="s">
        <v>295</v>
      </c>
      <c r="AI323" s="99" t="s">
        <v>305</v>
      </c>
      <c r="AJ323" s="99" t="s">
        <v>303</v>
      </c>
      <c r="AK323" s="99" t="s">
        <v>304</v>
      </c>
      <c r="AL323" s="99" t="s">
        <v>303</v>
      </c>
      <c r="AM323" s="99" t="s">
        <v>304</v>
      </c>
      <c r="AN323" s="99" t="s">
        <v>302</v>
      </c>
      <c r="AO323" s="99" t="s">
        <v>302</v>
      </c>
      <c r="AP323" s="99" t="s">
        <v>302</v>
      </c>
      <c r="AQ323" s="99" t="s">
        <v>304</v>
      </c>
      <c r="AR323" s="99" t="s">
        <v>673</v>
      </c>
      <c r="AS323" s="99" t="s">
        <v>350</v>
      </c>
      <c r="AT323" s="99" t="s">
        <v>355</v>
      </c>
      <c r="AU323" s="99" t="s">
        <v>298</v>
      </c>
      <c r="AV323" s="99" t="s">
        <v>297</v>
      </c>
      <c r="AW323" s="99" t="s">
        <v>296</v>
      </c>
      <c r="AX323" s="99" t="s">
        <v>534</v>
      </c>
      <c r="AY323" s="99" t="s">
        <v>1046</v>
      </c>
    </row>
    <row r="324" spans="1:51" ht="129.6" x14ac:dyDescent="0.3">
      <c r="A324" s="98">
        <v>42283.417962962965</v>
      </c>
      <c r="B324" s="99" t="s">
        <v>689</v>
      </c>
      <c r="C324" s="99" t="s">
        <v>580</v>
      </c>
      <c r="D324" s="99" t="s">
        <v>529</v>
      </c>
      <c r="E324" s="99" t="s">
        <v>3</v>
      </c>
      <c r="F324" s="99" t="s">
        <v>317</v>
      </c>
      <c r="G324" s="99" t="s">
        <v>918</v>
      </c>
      <c r="H324" s="99" t="s">
        <v>5</v>
      </c>
      <c r="I324" s="99" t="s">
        <v>345</v>
      </c>
      <c r="J324" s="99" t="s">
        <v>1708</v>
      </c>
      <c r="K324" s="99" t="s">
        <v>315</v>
      </c>
      <c r="L324" s="99" t="s">
        <v>450</v>
      </c>
      <c r="M324" s="99" t="s">
        <v>314</v>
      </c>
      <c r="N324" s="99" t="s">
        <v>313</v>
      </c>
      <c r="O324" s="99" t="s">
        <v>327</v>
      </c>
      <c r="P324" s="99" t="s">
        <v>4</v>
      </c>
      <c r="Q324" s="99" t="s">
        <v>652</v>
      </c>
      <c r="R324" s="99" t="s">
        <v>4</v>
      </c>
      <c r="S324" s="99" t="s">
        <v>1053</v>
      </c>
      <c r="T324" s="99" t="s">
        <v>312</v>
      </c>
      <c r="U324" s="99" t="s">
        <v>373</v>
      </c>
      <c r="V324" s="99" t="s">
        <v>909</v>
      </c>
      <c r="W324" s="99" t="s">
        <v>338</v>
      </c>
      <c r="X324" s="99" t="s">
        <v>310</v>
      </c>
      <c r="Y324" s="99" t="s">
        <v>316</v>
      </c>
      <c r="Z324" s="99" t="s">
        <v>316</v>
      </c>
      <c r="AA324" s="99" t="s">
        <v>678</v>
      </c>
      <c r="AB324" s="99" t="s">
        <v>358</v>
      </c>
      <c r="AC324" s="99" t="s">
        <v>324</v>
      </c>
      <c r="AD324" s="99" t="s">
        <v>448</v>
      </c>
      <c r="AE324" s="99" t="s">
        <v>532</v>
      </c>
      <c r="AF324" s="99" t="s">
        <v>476</v>
      </c>
      <c r="AG324" s="99" t="s">
        <v>304</v>
      </c>
      <c r="AH324" s="99" t="s">
        <v>303</v>
      </c>
      <c r="AI324" s="99" t="s">
        <v>303</v>
      </c>
      <c r="AJ324" s="99" t="s">
        <v>303</v>
      </c>
      <c r="AK324" s="99" t="s">
        <v>304</v>
      </c>
      <c r="AL324" s="99" t="s">
        <v>304</v>
      </c>
      <c r="AM324" s="99" t="s">
        <v>303</v>
      </c>
      <c r="AN324" s="99" t="s">
        <v>303</v>
      </c>
      <c r="AO324" s="99" t="s">
        <v>304</v>
      </c>
      <c r="AP324" s="99" t="s">
        <v>303</v>
      </c>
      <c r="AQ324" s="99" t="s">
        <v>303</v>
      </c>
      <c r="AR324" s="99" t="s">
        <v>391</v>
      </c>
      <c r="AS324" s="99" t="s">
        <v>300</v>
      </c>
      <c r="AT324" s="99" t="s">
        <v>360</v>
      </c>
      <c r="AU324" s="99" t="s">
        <v>320</v>
      </c>
      <c r="AV324" s="99" t="s">
        <v>297</v>
      </c>
      <c r="AW324" s="99" t="s">
        <v>307</v>
      </c>
      <c r="AX324" s="99" t="s">
        <v>534</v>
      </c>
      <c r="AY324" s="99" t="s">
        <v>884</v>
      </c>
    </row>
    <row r="325" spans="1:51" ht="187.2" x14ac:dyDescent="0.3">
      <c r="A325" s="98">
        <v>42283.418344907404</v>
      </c>
      <c r="B325" s="99" t="s">
        <v>689</v>
      </c>
      <c r="C325" s="99" t="s">
        <v>580</v>
      </c>
      <c r="D325" s="99" t="s">
        <v>331</v>
      </c>
      <c r="E325" s="99" t="s">
        <v>330</v>
      </c>
      <c r="F325" s="99" t="s">
        <v>317</v>
      </c>
      <c r="G325" s="99" t="s">
        <v>407</v>
      </c>
      <c r="H325" s="99" t="s">
        <v>390</v>
      </c>
      <c r="I325" s="99" t="s">
        <v>309</v>
      </c>
      <c r="J325" s="99" t="s">
        <v>1709</v>
      </c>
      <c r="K325" s="99"/>
      <c r="L325" s="99" t="s">
        <v>450</v>
      </c>
      <c r="M325" s="99" t="s">
        <v>314</v>
      </c>
      <c r="N325" s="99" t="s">
        <v>327</v>
      </c>
      <c r="O325" s="99" t="s">
        <v>313</v>
      </c>
      <c r="P325" s="99" t="s">
        <v>313</v>
      </c>
      <c r="Q325" s="99" t="s">
        <v>417</v>
      </c>
      <c r="R325" s="99" t="s">
        <v>327</v>
      </c>
      <c r="S325" s="99" t="s">
        <v>500</v>
      </c>
      <c r="T325" s="99" t="s">
        <v>366</v>
      </c>
      <c r="U325" s="99" t="s">
        <v>373</v>
      </c>
      <c r="V325" s="99" t="s">
        <v>659</v>
      </c>
      <c r="W325" s="99" t="s">
        <v>325</v>
      </c>
      <c r="X325" s="99" t="s">
        <v>310</v>
      </c>
      <c r="Y325" s="99" t="s">
        <v>345</v>
      </c>
      <c r="Z325" s="99" t="s">
        <v>345</v>
      </c>
      <c r="AA325" s="99" t="s">
        <v>472</v>
      </c>
      <c r="AB325" s="99" t="s">
        <v>393</v>
      </c>
      <c r="AC325" s="99" t="s">
        <v>307</v>
      </c>
      <c r="AD325" s="99" t="s">
        <v>806</v>
      </c>
      <c r="AE325" s="99" t="s">
        <v>533</v>
      </c>
      <c r="AF325" s="99" t="s">
        <v>814</v>
      </c>
      <c r="AG325" s="99" t="s">
        <v>304</v>
      </c>
      <c r="AH325" s="99" t="s">
        <v>6</v>
      </c>
      <c r="AI325" s="99" t="s">
        <v>304</v>
      </c>
      <c r="AJ325" s="99" t="s">
        <v>303</v>
      </c>
      <c r="AK325" s="99" t="s">
        <v>6</v>
      </c>
      <c r="AL325" s="99" t="s">
        <v>302</v>
      </c>
      <c r="AM325" s="99" t="s">
        <v>303</v>
      </c>
      <c r="AN325" s="99" t="s">
        <v>303</v>
      </c>
      <c r="AO325" s="99" t="s">
        <v>302</v>
      </c>
      <c r="AP325" s="99" t="s">
        <v>303</v>
      </c>
      <c r="AQ325" s="99" t="s">
        <v>304</v>
      </c>
      <c r="AR325" s="99" t="s">
        <v>673</v>
      </c>
      <c r="AS325" s="99" t="s">
        <v>398</v>
      </c>
      <c r="AT325" s="99" t="s">
        <v>321</v>
      </c>
      <c r="AU325" s="99" t="s">
        <v>320</v>
      </c>
      <c r="AV325" s="99" t="s">
        <v>364</v>
      </c>
      <c r="AW325" s="99" t="s">
        <v>307</v>
      </c>
      <c r="AX325" s="99" t="s">
        <v>319</v>
      </c>
      <c r="AY325" s="99" t="s">
        <v>441</v>
      </c>
    </row>
    <row r="326" spans="1:51" ht="158.4" x14ac:dyDescent="0.3">
      <c r="A326" s="98">
        <v>42283.418437499997</v>
      </c>
      <c r="B326" s="99" t="s">
        <v>689</v>
      </c>
      <c r="C326" s="99" t="s">
        <v>580</v>
      </c>
      <c r="D326" s="99" t="s">
        <v>529</v>
      </c>
      <c r="E326" s="99" t="s">
        <v>3</v>
      </c>
      <c r="F326" s="99" t="s">
        <v>317</v>
      </c>
      <c r="G326" s="99" t="s">
        <v>407</v>
      </c>
      <c r="H326" s="99" t="s">
        <v>390</v>
      </c>
      <c r="I326" s="99" t="s">
        <v>309</v>
      </c>
      <c r="J326" s="99" t="s">
        <v>1649</v>
      </c>
      <c r="K326" s="99" t="s">
        <v>315</v>
      </c>
      <c r="L326" s="99" t="s">
        <v>702</v>
      </c>
      <c r="M326" s="99" t="s">
        <v>314</v>
      </c>
      <c r="N326" s="99" t="s">
        <v>4</v>
      </c>
      <c r="O326" s="99" t="s">
        <v>327</v>
      </c>
      <c r="P326" s="99" t="s">
        <v>4</v>
      </c>
      <c r="Q326" s="99" t="s">
        <v>411</v>
      </c>
      <c r="R326" s="99" t="s">
        <v>327</v>
      </c>
      <c r="S326" s="99" t="s">
        <v>1710</v>
      </c>
      <c r="T326" s="99" t="s">
        <v>312</v>
      </c>
      <c r="U326" s="99" t="s">
        <v>530</v>
      </c>
      <c r="V326" s="99" t="s">
        <v>839</v>
      </c>
      <c r="W326" s="99" t="s">
        <v>338</v>
      </c>
      <c r="X326" s="99" t="s">
        <v>352</v>
      </c>
      <c r="Y326" s="99" t="s">
        <v>316</v>
      </c>
      <c r="Z326" s="99" t="s">
        <v>316</v>
      </c>
      <c r="AA326" s="99" t="s">
        <v>596</v>
      </c>
      <c r="AB326" s="99" t="s">
        <v>376</v>
      </c>
      <c r="AC326" s="99" t="s">
        <v>296</v>
      </c>
      <c r="AD326" s="99" t="s">
        <v>604</v>
      </c>
      <c r="AE326" s="99" t="s">
        <v>545</v>
      </c>
      <c r="AF326" s="99" t="s">
        <v>443</v>
      </c>
      <c r="AG326" s="99" t="s">
        <v>323</v>
      </c>
      <c r="AH326" s="99" t="s">
        <v>303</v>
      </c>
      <c r="AI326" s="99" t="s">
        <v>303</v>
      </c>
      <c r="AJ326" s="99" t="s">
        <v>303</v>
      </c>
      <c r="AK326" s="99" t="s">
        <v>302</v>
      </c>
      <c r="AL326" s="99" t="s">
        <v>304</v>
      </c>
      <c r="AM326" s="99" t="s">
        <v>303</v>
      </c>
      <c r="AN326" s="99" t="s">
        <v>303</v>
      </c>
      <c r="AO326" s="99" t="s">
        <v>302</v>
      </c>
      <c r="AP326" s="99"/>
      <c r="AQ326" s="99" t="s">
        <v>302</v>
      </c>
      <c r="AR326" s="99" t="s">
        <v>343</v>
      </c>
      <c r="AS326" s="99" t="s">
        <v>398</v>
      </c>
      <c r="AT326" s="99" t="s">
        <v>355</v>
      </c>
      <c r="AU326" s="99" t="s">
        <v>320</v>
      </c>
      <c r="AV326" s="99" t="s">
        <v>364</v>
      </c>
      <c r="AW326" s="99" t="s">
        <v>307</v>
      </c>
      <c r="AX326" s="99" t="s">
        <v>319</v>
      </c>
      <c r="AY326" s="99" t="s">
        <v>484</v>
      </c>
    </row>
    <row r="327" spans="1:51" ht="273.60000000000002" x14ac:dyDescent="0.3">
      <c r="A327" s="98">
        <v>42283.418449074074</v>
      </c>
      <c r="B327" s="99" t="s">
        <v>689</v>
      </c>
      <c r="C327" s="99" t="s">
        <v>580</v>
      </c>
      <c r="D327" s="99" t="s">
        <v>529</v>
      </c>
      <c r="E327" s="99" t="s">
        <v>3</v>
      </c>
      <c r="F327" s="99" t="s">
        <v>317</v>
      </c>
      <c r="G327" s="99" t="s">
        <v>446</v>
      </c>
      <c r="H327" s="99" t="s">
        <v>390</v>
      </c>
      <c r="I327" s="99" t="s">
        <v>309</v>
      </c>
      <c r="J327" s="99" t="s">
        <v>544</v>
      </c>
      <c r="K327" s="99" t="s">
        <v>328</v>
      </c>
      <c r="L327" s="99" t="s">
        <v>427</v>
      </c>
      <c r="M327" s="99" t="s">
        <v>314</v>
      </c>
      <c r="N327" s="99" t="s">
        <v>4</v>
      </c>
      <c r="O327" s="99" t="s">
        <v>4</v>
      </c>
      <c r="P327" s="99" t="s">
        <v>4</v>
      </c>
      <c r="Q327" s="99" t="s">
        <v>427</v>
      </c>
      <c r="R327" s="99" t="s">
        <v>327</v>
      </c>
      <c r="S327" s="99" t="s">
        <v>1711</v>
      </c>
      <c r="T327" s="99" t="s">
        <v>366</v>
      </c>
      <c r="U327" s="99" t="s">
        <v>311</v>
      </c>
      <c r="V327" s="99" t="s">
        <v>1712</v>
      </c>
      <c r="W327" s="99" t="s">
        <v>338</v>
      </c>
      <c r="X327" s="99" t="s">
        <v>310</v>
      </c>
      <c r="Y327" s="99" t="s">
        <v>345</v>
      </c>
      <c r="Z327" s="99" t="s">
        <v>316</v>
      </c>
      <c r="AA327" s="99" t="s">
        <v>732</v>
      </c>
      <c r="AB327" s="99" t="s">
        <v>336</v>
      </c>
      <c r="AC327" s="99" t="s">
        <v>307</v>
      </c>
      <c r="AD327" s="99" t="s">
        <v>474</v>
      </c>
      <c r="AE327" s="99" t="s">
        <v>535</v>
      </c>
      <c r="AF327" s="99" t="s">
        <v>974</v>
      </c>
      <c r="AG327" s="99" t="s">
        <v>323</v>
      </c>
      <c r="AH327" s="99" t="s">
        <v>304</v>
      </c>
      <c r="AI327" s="99" t="s">
        <v>304</v>
      </c>
      <c r="AJ327" s="99" t="s">
        <v>303</v>
      </c>
      <c r="AK327" s="99" t="s">
        <v>304</v>
      </c>
      <c r="AL327" s="99" t="s">
        <v>303</v>
      </c>
      <c r="AM327" s="99" t="s">
        <v>303</v>
      </c>
      <c r="AN327" s="99" t="s">
        <v>304</v>
      </c>
      <c r="AO327" s="99" t="s">
        <v>303</v>
      </c>
      <c r="AP327" s="99" t="s">
        <v>304</v>
      </c>
      <c r="AQ327" s="99" t="s">
        <v>304</v>
      </c>
      <c r="AR327" s="99" t="s">
        <v>673</v>
      </c>
      <c r="AS327" s="99" t="s">
        <v>300</v>
      </c>
      <c r="AT327" s="99" t="s">
        <v>321</v>
      </c>
      <c r="AU327" s="99" t="s">
        <v>342</v>
      </c>
      <c r="AV327" s="99" t="s">
        <v>364</v>
      </c>
      <c r="AW327" s="99" t="s">
        <v>307</v>
      </c>
      <c r="AX327" s="99" t="s">
        <v>319</v>
      </c>
      <c r="AY327" s="99" t="s">
        <v>1713</v>
      </c>
    </row>
    <row r="328" spans="1:51" ht="144" x14ac:dyDescent="0.3">
      <c r="A328" s="98">
        <v>42283.41851851852</v>
      </c>
      <c r="B328" s="99" t="s">
        <v>689</v>
      </c>
      <c r="C328" s="99" t="s">
        <v>580</v>
      </c>
      <c r="D328" s="99" t="s">
        <v>529</v>
      </c>
      <c r="E328" s="99" t="s">
        <v>3</v>
      </c>
      <c r="F328" s="99" t="s">
        <v>317</v>
      </c>
      <c r="G328" s="99" t="s">
        <v>407</v>
      </c>
      <c r="H328" s="99" t="s">
        <v>390</v>
      </c>
      <c r="I328" s="99" t="s">
        <v>345</v>
      </c>
      <c r="J328" s="99" t="s">
        <v>724</v>
      </c>
      <c r="K328" s="99" t="s">
        <v>315</v>
      </c>
      <c r="L328" s="99" t="s">
        <v>434</v>
      </c>
      <c r="M328" s="99" t="s">
        <v>314</v>
      </c>
      <c r="N328" s="99" t="s">
        <v>4</v>
      </c>
      <c r="O328" s="99" t="s">
        <v>313</v>
      </c>
      <c r="P328" s="99" t="s">
        <v>327</v>
      </c>
      <c r="Q328" s="99" t="s">
        <v>943</v>
      </c>
      <c r="R328" s="99" t="s">
        <v>327</v>
      </c>
      <c r="S328" s="99" t="s">
        <v>1714</v>
      </c>
      <c r="T328" s="99" t="s">
        <v>326</v>
      </c>
      <c r="U328" s="99" t="s">
        <v>311</v>
      </c>
      <c r="V328" s="99" t="s">
        <v>969</v>
      </c>
      <c r="W328" s="99" t="s">
        <v>338</v>
      </c>
      <c r="X328" s="99" t="s">
        <v>352</v>
      </c>
      <c r="Y328" s="99" t="s">
        <v>309</v>
      </c>
      <c r="Z328" s="99" t="s">
        <v>316</v>
      </c>
      <c r="AA328" s="99" t="s">
        <v>705</v>
      </c>
      <c r="AB328" s="99" t="s">
        <v>308</v>
      </c>
      <c r="AC328" s="99" t="s">
        <v>307</v>
      </c>
      <c r="AD328" s="99" t="s">
        <v>414</v>
      </c>
      <c r="AE328" s="99" t="s">
        <v>535</v>
      </c>
      <c r="AF328" s="99" t="s">
        <v>1715</v>
      </c>
      <c r="AG328" s="99" t="s">
        <v>304</v>
      </c>
      <c r="AH328" s="99" t="s">
        <v>303</v>
      </c>
      <c r="AI328" s="99" t="s">
        <v>303</v>
      </c>
      <c r="AJ328" s="99" t="s">
        <v>303</v>
      </c>
      <c r="AK328" s="99" t="s">
        <v>304</v>
      </c>
      <c r="AL328" s="99" t="s">
        <v>302</v>
      </c>
      <c r="AM328" s="99" t="s">
        <v>303</v>
      </c>
      <c r="AN328" s="99" t="s">
        <v>302</v>
      </c>
      <c r="AO328" s="99" t="s">
        <v>304</v>
      </c>
      <c r="AP328" s="99" t="s">
        <v>303</v>
      </c>
      <c r="AQ328" s="99" t="s">
        <v>303</v>
      </c>
      <c r="AR328" s="99" t="s">
        <v>365</v>
      </c>
      <c r="AS328" s="99" t="s">
        <v>540</v>
      </c>
      <c r="AT328" s="99" t="s">
        <v>355</v>
      </c>
      <c r="AU328" s="99" t="s">
        <v>342</v>
      </c>
      <c r="AV328" s="99" t="s">
        <v>536</v>
      </c>
      <c r="AW328" s="99" t="s">
        <v>307</v>
      </c>
      <c r="AX328" s="99" t="s">
        <v>341</v>
      </c>
      <c r="AY328" s="99" t="s">
        <v>890</v>
      </c>
    </row>
    <row r="329" spans="1:51" ht="115.2" x14ac:dyDescent="0.3">
      <c r="A329" s="98">
        <v>42283.420277777775</v>
      </c>
      <c r="B329" s="99" t="s">
        <v>689</v>
      </c>
      <c r="C329" s="99" t="s">
        <v>580</v>
      </c>
      <c r="D329" s="99" t="s">
        <v>529</v>
      </c>
      <c r="E329" s="99" t="s">
        <v>330</v>
      </c>
      <c r="F329" s="99" t="s">
        <v>317</v>
      </c>
      <c r="G329" s="99" t="s">
        <v>412</v>
      </c>
      <c r="H329" s="99" t="s">
        <v>390</v>
      </c>
      <c r="I329" s="99" t="s">
        <v>309</v>
      </c>
      <c r="J329" s="99" t="s">
        <v>695</v>
      </c>
      <c r="K329" s="99" t="s">
        <v>315</v>
      </c>
      <c r="L329" s="99" t="s">
        <v>427</v>
      </c>
      <c r="M329" s="99" t="s">
        <v>367</v>
      </c>
      <c r="N329" s="99" t="s">
        <v>327</v>
      </c>
      <c r="O329" s="99" t="s">
        <v>4</v>
      </c>
      <c r="P329" s="99" t="s">
        <v>4</v>
      </c>
      <c r="Q329" s="99" t="s">
        <v>411</v>
      </c>
      <c r="R329" s="99" t="s">
        <v>327</v>
      </c>
      <c r="S329" s="99" t="s">
        <v>1716</v>
      </c>
      <c r="T329" s="99" t="s">
        <v>366</v>
      </c>
      <c r="U329" s="99" t="s">
        <v>311</v>
      </c>
      <c r="V329" s="99" t="s">
        <v>645</v>
      </c>
      <c r="W329" s="99" t="s">
        <v>1192</v>
      </c>
      <c r="X329" s="99" t="s">
        <v>346</v>
      </c>
      <c r="Y329" s="99" t="s">
        <v>316</v>
      </c>
      <c r="Z329" s="99" t="s">
        <v>316</v>
      </c>
      <c r="AA329" s="99" t="s">
        <v>685</v>
      </c>
      <c r="AB329" s="99" t="s">
        <v>308</v>
      </c>
      <c r="AC329" s="99" t="s">
        <v>307</v>
      </c>
      <c r="AD329" s="99" t="s">
        <v>694</v>
      </c>
      <c r="AE329" s="99" t="s">
        <v>535</v>
      </c>
      <c r="AF329" s="99" t="s">
        <v>830</v>
      </c>
      <c r="AG329" s="99" t="s">
        <v>323</v>
      </c>
      <c r="AH329" s="99" t="s">
        <v>303</v>
      </c>
      <c r="AI329" s="99" t="s">
        <v>304</v>
      </c>
      <c r="AJ329" s="99" t="s">
        <v>303</v>
      </c>
      <c r="AK329" s="99" t="s">
        <v>303</v>
      </c>
      <c r="AL329" s="99"/>
      <c r="AM329" s="99"/>
      <c r="AN329" s="99"/>
      <c r="AO329" s="99"/>
      <c r="AP329" s="99" t="s">
        <v>303</v>
      </c>
      <c r="AQ329" s="99" t="s">
        <v>302</v>
      </c>
      <c r="AR329" s="99" t="s">
        <v>301</v>
      </c>
      <c r="AS329" s="99" t="s">
        <v>350</v>
      </c>
      <c r="AT329" s="99" t="s">
        <v>355</v>
      </c>
      <c r="AU329" s="99" t="s">
        <v>320</v>
      </c>
      <c r="AV329" s="99" t="s">
        <v>536</v>
      </c>
      <c r="AW329" s="99" t="s">
        <v>324</v>
      </c>
      <c r="AX329" s="99" t="s">
        <v>534</v>
      </c>
      <c r="AY329" s="99" t="s">
        <v>644</v>
      </c>
    </row>
    <row r="330" spans="1:51" ht="115.2" x14ac:dyDescent="0.3">
      <c r="A330" s="98">
        <v>42283.420717592591</v>
      </c>
      <c r="B330" s="99" t="s">
        <v>689</v>
      </c>
      <c r="C330" s="99" t="s">
        <v>580</v>
      </c>
      <c r="D330" s="99" t="s">
        <v>331</v>
      </c>
      <c r="E330" s="99" t="s">
        <v>330</v>
      </c>
      <c r="F330" s="99" t="s">
        <v>317</v>
      </c>
      <c r="G330" s="99" t="s">
        <v>407</v>
      </c>
      <c r="H330" s="99" t="s">
        <v>390</v>
      </c>
      <c r="I330" s="99" t="s">
        <v>345</v>
      </c>
      <c r="J330" s="99" t="s">
        <v>1717</v>
      </c>
      <c r="K330" s="99" t="s">
        <v>315</v>
      </c>
      <c r="L330" s="99" t="s">
        <v>1718</v>
      </c>
      <c r="M330" s="99" t="s">
        <v>363</v>
      </c>
      <c r="N330" s="99" t="s">
        <v>313</v>
      </c>
      <c r="O330" s="99" t="s">
        <v>374</v>
      </c>
      <c r="P330" s="99" t="s">
        <v>313</v>
      </c>
      <c r="Q330" s="99" t="s">
        <v>555</v>
      </c>
      <c r="R330" s="99" t="s">
        <v>4</v>
      </c>
      <c r="S330" s="99" t="s">
        <v>483</v>
      </c>
      <c r="T330" s="99" t="s">
        <v>326</v>
      </c>
      <c r="U330" s="99" t="s">
        <v>530</v>
      </c>
      <c r="V330" s="99" t="s">
        <v>339</v>
      </c>
      <c r="W330" s="99" t="s">
        <v>325</v>
      </c>
      <c r="X330" s="99" t="s">
        <v>352</v>
      </c>
      <c r="Y330" s="99" t="s">
        <v>316</v>
      </c>
      <c r="Z330" s="99" t="s">
        <v>316</v>
      </c>
      <c r="AA330" s="99" t="s">
        <v>531</v>
      </c>
      <c r="AB330" s="99" t="s">
        <v>336</v>
      </c>
      <c r="AC330" s="99" t="s">
        <v>324</v>
      </c>
      <c r="AD330" s="99" t="s">
        <v>1135</v>
      </c>
      <c r="AE330" s="99" t="s">
        <v>532</v>
      </c>
      <c r="AF330" s="99" t="s">
        <v>680</v>
      </c>
      <c r="AG330" s="99" t="s">
        <v>323</v>
      </c>
      <c r="AH330" s="99" t="s">
        <v>304</v>
      </c>
      <c r="AI330" s="99" t="s">
        <v>304</v>
      </c>
      <c r="AJ330" s="99" t="s">
        <v>304</v>
      </c>
      <c r="AK330" s="99" t="s">
        <v>304</v>
      </c>
      <c r="AL330" s="99" t="s">
        <v>303</v>
      </c>
      <c r="AM330" s="99" t="s">
        <v>295</v>
      </c>
      <c r="AN330" s="99" t="s">
        <v>304</v>
      </c>
      <c r="AO330" s="99" t="s">
        <v>304</v>
      </c>
      <c r="AP330" s="99" t="s">
        <v>303</v>
      </c>
      <c r="AQ330" s="99" t="s">
        <v>304</v>
      </c>
      <c r="AR330" s="99" t="s">
        <v>322</v>
      </c>
      <c r="AS330" s="99" t="s">
        <v>350</v>
      </c>
      <c r="AT330" s="99" t="s">
        <v>360</v>
      </c>
      <c r="AU330" s="99" t="s">
        <v>320</v>
      </c>
      <c r="AV330" s="99" t="s">
        <v>333</v>
      </c>
      <c r="AW330" s="99" t="s">
        <v>381</v>
      </c>
      <c r="AX330" s="99" t="s">
        <v>341</v>
      </c>
      <c r="AY330" s="99" t="s">
        <v>1719</v>
      </c>
    </row>
    <row r="331" spans="1:51" ht="187.2" x14ac:dyDescent="0.3">
      <c r="A331" s="98">
        <v>42283.421909722223</v>
      </c>
      <c r="B331" s="99" t="s">
        <v>689</v>
      </c>
      <c r="C331" s="99" t="s">
        <v>580</v>
      </c>
      <c r="D331" s="99" t="s">
        <v>331</v>
      </c>
      <c r="E331" s="99" t="s">
        <v>3</v>
      </c>
      <c r="F331" s="99" t="s">
        <v>317</v>
      </c>
      <c r="G331" s="99" t="s">
        <v>407</v>
      </c>
      <c r="H331" s="99" t="s">
        <v>390</v>
      </c>
      <c r="I331" s="99" t="s">
        <v>345</v>
      </c>
      <c r="J331" s="99" t="s">
        <v>544</v>
      </c>
      <c r="K331" s="99" t="s">
        <v>315</v>
      </c>
      <c r="L331" s="99" t="s">
        <v>427</v>
      </c>
      <c r="M331" s="99" t="s">
        <v>562</v>
      </c>
      <c r="N331" s="99" t="s">
        <v>374</v>
      </c>
      <c r="O331" s="99" t="s">
        <v>313</v>
      </c>
      <c r="P331" s="99" t="s">
        <v>313</v>
      </c>
      <c r="Q331" s="99" t="s">
        <v>450</v>
      </c>
      <c r="R331" s="99" t="s">
        <v>4</v>
      </c>
      <c r="S331" s="99" t="s">
        <v>500</v>
      </c>
      <c r="T331" s="99" t="s">
        <v>326</v>
      </c>
      <c r="U331" s="99" t="s">
        <v>530</v>
      </c>
      <c r="V331" s="99" t="s">
        <v>809</v>
      </c>
      <c r="W331" s="99" t="s">
        <v>1192</v>
      </c>
      <c r="X331" s="99" t="s">
        <v>310</v>
      </c>
      <c r="Y331" s="99" t="s">
        <v>309</v>
      </c>
      <c r="Z331" s="99" t="s">
        <v>316</v>
      </c>
      <c r="AA331" s="99" t="s">
        <v>432</v>
      </c>
      <c r="AB331" s="99" t="s">
        <v>336</v>
      </c>
      <c r="AC331" s="99" t="s">
        <v>296</v>
      </c>
      <c r="AD331" s="99" t="s">
        <v>467</v>
      </c>
      <c r="AE331" s="99" t="s">
        <v>545</v>
      </c>
      <c r="AF331" s="99" t="s">
        <v>1720</v>
      </c>
      <c r="AG331" s="99" t="s">
        <v>304</v>
      </c>
      <c r="AH331" s="99" t="s">
        <v>304</v>
      </c>
      <c r="AI331" s="99" t="s">
        <v>304</v>
      </c>
      <c r="AJ331" s="99" t="s">
        <v>304</v>
      </c>
      <c r="AK331" s="99" t="s">
        <v>304</v>
      </c>
      <c r="AL331" s="99" t="s">
        <v>304</v>
      </c>
      <c r="AM331" s="99" t="s">
        <v>303</v>
      </c>
      <c r="AN331" s="99" t="s">
        <v>303</v>
      </c>
      <c r="AO331" s="99" t="s">
        <v>302</v>
      </c>
      <c r="AP331" s="99" t="s">
        <v>302</v>
      </c>
      <c r="AQ331" s="99" t="s">
        <v>304</v>
      </c>
      <c r="AR331" s="99" t="s">
        <v>558</v>
      </c>
      <c r="AS331" s="99" t="s">
        <v>335</v>
      </c>
      <c r="AT331" s="99" t="s">
        <v>321</v>
      </c>
      <c r="AU331" s="99" t="s">
        <v>342</v>
      </c>
      <c r="AV331" s="99" t="s">
        <v>297</v>
      </c>
      <c r="AW331" s="99" t="s">
        <v>324</v>
      </c>
      <c r="AX331" s="99" t="s">
        <v>534</v>
      </c>
      <c r="AY331" s="99" t="s">
        <v>1080</v>
      </c>
    </row>
    <row r="332" spans="1:51" ht="144" x14ac:dyDescent="0.3">
      <c r="A332" s="98">
        <v>42314.290949074071</v>
      </c>
      <c r="B332" s="99" t="s">
        <v>689</v>
      </c>
      <c r="C332" s="99" t="s">
        <v>552</v>
      </c>
      <c r="D332" s="99" t="s">
        <v>529</v>
      </c>
      <c r="E332" s="99" t="s">
        <v>3</v>
      </c>
      <c r="F332" s="99" t="s">
        <v>317</v>
      </c>
      <c r="G332" s="99" t="s">
        <v>451</v>
      </c>
      <c r="H332" s="99" t="s">
        <v>390</v>
      </c>
      <c r="I332" s="99" t="s">
        <v>345</v>
      </c>
      <c r="J332" s="99" t="s">
        <v>565</v>
      </c>
      <c r="K332" s="99" t="s">
        <v>368</v>
      </c>
      <c r="L332" s="99" t="s">
        <v>475</v>
      </c>
      <c r="M332" s="99" t="s">
        <v>363</v>
      </c>
      <c r="N332" s="99" t="s">
        <v>327</v>
      </c>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row>
    <row r="333" spans="1:51" ht="230.4" x14ac:dyDescent="0.3">
      <c r="A333" s="98">
        <v>42314.293807870374</v>
      </c>
      <c r="B333" s="99" t="s">
        <v>689</v>
      </c>
      <c r="C333" s="99" t="s">
        <v>552</v>
      </c>
      <c r="D333" s="99" t="s">
        <v>331</v>
      </c>
      <c r="E333" s="99" t="s">
        <v>3</v>
      </c>
      <c r="F333" s="99" t="s">
        <v>317</v>
      </c>
      <c r="G333" s="99" t="s">
        <v>446</v>
      </c>
      <c r="H333" s="99" t="s">
        <v>349</v>
      </c>
      <c r="I333" s="99" t="s">
        <v>309</v>
      </c>
      <c r="J333" s="99" t="s">
        <v>1708</v>
      </c>
      <c r="K333" s="99" t="s">
        <v>384</v>
      </c>
      <c r="L333" s="99" t="s">
        <v>1721</v>
      </c>
      <c r="M333" s="99" t="s">
        <v>314</v>
      </c>
      <c r="N333" s="99" t="s">
        <v>4</v>
      </c>
      <c r="O333" s="99" t="s">
        <v>313</v>
      </c>
      <c r="P333" s="99" t="s">
        <v>313</v>
      </c>
      <c r="Q333" s="99" t="s">
        <v>1722</v>
      </c>
      <c r="R333" s="99" t="s">
        <v>327</v>
      </c>
      <c r="S333" s="99" t="s">
        <v>500</v>
      </c>
      <c r="T333" s="99" t="s">
        <v>312</v>
      </c>
      <c r="U333" s="99" t="s">
        <v>530</v>
      </c>
      <c r="V333" s="99" t="s">
        <v>1723</v>
      </c>
      <c r="W333" s="99" t="s">
        <v>325</v>
      </c>
      <c r="X333" s="99" t="s">
        <v>310</v>
      </c>
      <c r="Y333" s="99" t="s">
        <v>309</v>
      </c>
      <c r="Z333" s="99" t="s">
        <v>309</v>
      </c>
      <c r="AA333" s="99" t="s">
        <v>1724</v>
      </c>
      <c r="AB333" s="99" t="s">
        <v>358</v>
      </c>
      <c r="AC333" s="99" t="s">
        <v>296</v>
      </c>
      <c r="AD333" s="99" t="s">
        <v>1725</v>
      </c>
      <c r="AE333" s="99" t="s">
        <v>532</v>
      </c>
      <c r="AF333" s="99" t="s">
        <v>963</v>
      </c>
      <c r="AG333" s="99" t="s">
        <v>323</v>
      </c>
      <c r="AH333" s="99" t="s">
        <v>302</v>
      </c>
      <c r="AI333" s="99" t="s">
        <v>302</v>
      </c>
      <c r="AJ333" s="99" t="s">
        <v>302</v>
      </c>
      <c r="AK333" s="99" t="s">
        <v>303</v>
      </c>
      <c r="AL333" s="99" t="s">
        <v>302</v>
      </c>
      <c r="AM333" s="99" t="s">
        <v>302</v>
      </c>
      <c r="AN333" s="99" t="s">
        <v>302</v>
      </c>
      <c r="AO333" s="99" t="s">
        <v>302</v>
      </c>
      <c r="AP333" s="99" t="s">
        <v>302</v>
      </c>
      <c r="AQ333" s="99" t="s">
        <v>303</v>
      </c>
      <c r="AR333" s="99" t="s">
        <v>391</v>
      </c>
      <c r="AS333" s="99" t="s">
        <v>350</v>
      </c>
      <c r="AT333" s="99" t="s">
        <v>321</v>
      </c>
      <c r="AU333" s="99" t="s">
        <v>320</v>
      </c>
      <c r="AV333" s="99" t="s">
        <v>547</v>
      </c>
      <c r="AW333" s="99" t="s">
        <v>307</v>
      </c>
      <c r="AX333" s="99" t="s">
        <v>534</v>
      </c>
      <c r="AY333" s="99" t="s">
        <v>1726</v>
      </c>
    </row>
    <row r="334" spans="1:51" ht="288" x14ac:dyDescent="0.3">
      <c r="A334" s="98">
        <v>42314.294236111113</v>
      </c>
      <c r="B334" s="99" t="s">
        <v>689</v>
      </c>
      <c r="C334" s="99" t="s">
        <v>552</v>
      </c>
      <c r="D334" s="99" t="s">
        <v>560</v>
      </c>
      <c r="E334" s="99" t="s">
        <v>330</v>
      </c>
      <c r="F334" s="99" t="s">
        <v>317</v>
      </c>
      <c r="G334" s="99" t="s">
        <v>722</v>
      </c>
      <c r="H334" s="99" t="s">
        <v>5</v>
      </c>
      <c r="I334" s="99" t="s">
        <v>309</v>
      </c>
      <c r="J334" s="99" t="s">
        <v>454</v>
      </c>
      <c r="K334" s="99" t="s">
        <v>354</v>
      </c>
      <c r="L334" s="99" t="s">
        <v>657</v>
      </c>
      <c r="M334" s="99" t="s">
        <v>314</v>
      </c>
      <c r="N334" s="99" t="s">
        <v>327</v>
      </c>
      <c r="O334" s="99" t="s">
        <v>313</v>
      </c>
      <c r="P334" s="99" t="s">
        <v>327</v>
      </c>
      <c r="Q334" s="99" t="s">
        <v>670</v>
      </c>
      <c r="R334" s="99" t="s">
        <v>327</v>
      </c>
      <c r="S334" s="99" t="s">
        <v>688</v>
      </c>
      <c r="T334" s="99" t="s">
        <v>366</v>
      </c>
      <c r="U334" s="99" t="s">
        <v>311</v>
      </c>
      <c r="V334" s="99" t="s">
        <v>1517</v>
      </c>
      <c r="W334" s="99" t="s">
        <v>338</v>
      </c>
      <c r="X334" s="99" t="s">
        <v>310</v>
      </c>
      <c r="Y334" s="99" t="s">
        <v>316</v>
      </c>
      <c r="Z334" s="99" t="s">
        <v>316</v>
      </c>
      <c r="AA334" s="99" t="s">
        <v>410</v>
      </c>
      <c r="AB334" s="99" t="s">
        <v>336</v>
      </c>
      <c r="AC334" s="99" t="s">
        <v>324</v>
      </c>
      <c r="AD334" s="99" t="s">
        <v>414</v>
      </c>
      <c r="AE334" s="99" t="s">
        <v>535</v>
      </c>
      <c r="AF334" s="99" t="s">
        <v>1703</v>
      </c>
      <c r="AG334" s="99" t="s">
        <v>323</v>
      </c>
      <c r="AH334" s="99" t="s">
        <v>303</v>
      </c>
      <c r="AI334" s="99" t="s">
        <v>302</v>
      </c>
      <c r="AJ334" s="99" t="s">
        <v>304</v>
      </c>
      <c r="AK334" s="99" t="s">
        <v>303</v>
      </c>
      <c r="AL334" s="99" t="s">
        <v>302</v>
      </c>
      <c r="AM334" s="99" t="s">
        <v>303</v>
      </c>
      <c r="AN334" s="99" t="s">
        <v>304</v>
      </c>
      <c r="AO334" s="99" t="s">
        <v>304</v>
      </c>
      <c r="AP334" s="99" t="s">
        <v>303</v>
      </c>
      <c r="AQ334" s="99" t="s">
        <v>302</v>
      </c>
      <c r="AR334" s="99" t="s">
        <v>322</v>
      </c>
      <c r="AS334" s="99" t="s">
        <v>398</v>
      </c>
      <c r="AT334" s="99" t="s">
        <v>355</v>
      </c>
      <c r="AU334" s="99" t="s">
        <v>320</v>
      </c>
      <c r="AV334" s="99" t="s">
        <v>364</v>
      </c>
      <c r="AW334" s="99" t="s">
        <v>324</v>
      </c>
      <c r="AX334" s="99" t="s">
        <v>319</v>
      </c>
      <c r="AY334" s="99" t="s">
        <v>449</v>
      </c>
    </row>
    <row r="335" spans="1:51" ht="288" x14ac:dyDescent="0.3">
      <c r="A335" s="98">
        <v>42314.294224537036</v>
      </c>
      <c r="B335" s="99" t="s">
        <v>689</v>
      </c>
      <c r="C335" s="99" t="s">
        <v>552</v>
      </c>
      <c r="D335" s="99" t="s">
        <v>529</v>
      </c>
      <c r="E335" s="99" t="s">
        <v>330</v>
      </c>
      <c r="F335" s="99" t="s">
        <v>317</v>
      </c>
      <c r="G335" s="99" t="s">
        <v>430</v>
      </c>
      <c r="H335" s="99" t="s">
        <v>390</v>
      </c>
      <c r="I335" s="99" t="s">
        <v>309</v>
      </c>
      <c r="J335" s="99" t="s">
        <v>454</v>
      </c>
      <c r="K335" s="99" t="s">
        <v>384</v>
      </c>
      <c r="L335" s="99" t="s">
        <v>1727</v>
      </c>
      <c r="M335" s="99" t="s">
        <v>314</v>
      </c>
      <c r="N335" s="99" t="s">
        <v>327</v>
      </c>
      <c r="O335" s="99" t="s">
        <v>4</v>
      </c>
      <c r="P335" s="99"/>
      <c r="Q335" s="99" t="s">
        <v>1728</v>
      </c>
      <c r="R335" s="99" t="s">
        <v>327</v>
      </c>
      <c r="S335" s="99" t="s">
        <v>1729</v>
      </c>
      <c r="T335" s="99" t="s">
        <v>312</v>
      </c>
      <c r="U335" s="99" t="s">
        <v>530</v>
      </c>
      <c r="V335" s="99" t="s">
        <v>553</v>
      </c>
      <c r="W335" s="99" t="s">
        <v>338</v>
      </c>
      <c r="X335" s="99" t="s">
        <v>310</v>
      </c>
      <c r="Y335" s="99" t="s">
        <v>316</v>
      </c>
      <c r="Z335" s="99" t="s">
        <v>316</v>
      </c>
      <c r="AA335" s="99" t="s">
        <v>1730</v>
      </c>
      <c r="AB335" s="99" t="s">
        <v>358</v>
      </c>
      <c r="AC335" s="99" t="s">
        <v>307</v>
      </c>
      <c r="AD335" s="99" t="s">
        <v>986</v>
      </c>
      <c r="AE335" s="99" t="s">
        <v>532</v>
      </c>
      <c r="AF335" s="99" t="s">
        <v>1731</v>
      </c>
      <c r="AG335" s="99" t="s">
        <v>306</v>
      </c>
      <c r="AH335" s="99" t="s">
        <v>304</v>
      </c>
      <c r="AI335" s="99" t="s">
        <v>303</v>
      </c>
      <c r="AJ335" s="99"/>
      <c r="AK335" s="99" t="s">
        <v>305</v>
      </c>
      <c r="AL335" s="99" t="s">
        <v>302</v>
      </c>
      <c r="AM335" s="99" t="s">
        <v>303</v>
      </c>
      <c r="AN335" s="99" t="s">
        <v>305</v>
      </c>
      <c r="AO335" s="99" t="s">
        <v>302</v>
      </c>
      <c r="AP335" s="99" t="s">
        <v>303</v>
      </c>
      <c r="AQ335" s="99" t="s">
        <v>303</v>
      </c>
      <c r="AR335" s="99" t="s">
        <v>322</v>
      </c>
      <c r="AS335" s="99" t="s">
        <v>300</v>
      </c>
      <c r="AT335" s="99" t="s">
        <v>321</v>
      </c>
      <c r="AU335" s="99" t="s">
        <v>342</v>
      </c>
      <c r="AV335" s="99" t="s">
        <v>547</v>
      </c>
      <c r="AW335" s="99" t="s">
        <v>351</v>
      </c>
      <c r="AX335" s="99" t="s">
        <v>319</v>
      </c>
      <c r="AY335" s="99" t="s">
        <v>449</v>
      </c>
    </row>
    <row r="336" spans="1:51" ht="100.8" x14ac:dyDescent="0.3">
      <c r="A336" s="98">
        <v>42314.2971412037</v>
      </c>
      <c r="B336" s="99" t="s">
        <v>689</v>
      </c>
      <c r="C336" s="99" t="s">
        <v>552</v>
      </c>
      <c r="D336" s="99" t="s">
        <v>529</v>
      </c>
      <c r="E336" s="99" t="s">
        <v>3</v>
      </c>
      <c r="F336" s="99" t="s">
        <v>317</v>
      </c>
      <c r="G336" s="99" t="s">
        <v>561</v>
      </c>
      <c r="H336" s="99" t="s">
        <v>5</v>
      </c>
      <c r="I336" s="99" t="s">
        <v>309</v>
      </c>
      <c r="J336" s="99" t="s">
        <v>473</v>
      </c>
      <c r="K336" s="99" t="s">
        <v>328</v>
      </c>
      <c r="L336" s="99" t="s">
        <v>396</v>
      </c>
      <c r="M336" s="99" t="s">
        <v>314</v>
      </c>
      <c r="N336" s="99" t="s">
        <v>327</v>
      </c>
      <c r="O336" s="99" t="s">
        <v>313</v>
      </c>
      <c r="P336" s="99" t="s">
        <v>327</v>
      </c>
      <c r="Q336" s="99" t="s">
        <v>791</v>
      </c>
      <c r="R336" s="99" t="s">
        <v>327</v>
      </c>
      <c r="S336" s="99" t="s">
        <v>465</v>
      </c>
      <c r="T336" s="99" t="s">
        <v>366</v>
      </c>
      <c r="U336" s="99" t="s">
        <v>311</v>
      </c>
      <c r="V336" s="99" t="s">
        <v>640</v>
      </c>
      <c r="W336" s="99" t="s">
        <v>325</v>
      </c>
      <c r="X336" s="99" t="s">
        <v>346</v>
      </c>
      <c r="Y336" s="99" t="s">
        <v>316</v>
      </c>
      <c r="Z336" s="99" t="s">
        <v>316</v>
      </c>
      <c r="AA336" s="99" t="s">
        <v>410</v>
      </c>
      <c r="AB336" s="99" t="s">
        <v>336</v>
      </c>
      <c r="AC336" s="99" t="s">
        <v>307</v>
      </c>
      <c r="AD336" s="99" t="s">
        <v>414</v>
      </c>
      <c r="AE336" s="99" t="s">
        <v>539</v>
      </c>
      <c r="AF336" s="99" t="s">
        <v>1259</v>
      </c>
      <c r="AG336" s="99" t="s">
        <v>323</v>
      </c>
      <c r="AH336" s="99" t="s">
        <v>303</v>
      </c>
      <c r="AI336" s="99" t="s">
        <v>303</v>
      </c>
      <c r="AJ336" s="99" t="s">
        <v>303</v>
      </c>
      <c r="AK336" s="99" t="s">
        <v>304</v>
      </c>
      <c r="AL336" s="99" t="s">
        <v>303</v>
      </c>
      <c r="AM336" s="99" t="s">
        <v>303</v>
      </c>
      <c r="AN336" s="99" t="s">
        <v>302</v>
      </c>
      <c r="AO336" s="99" t="s">
        <v>303</v>
      </c>
      <c r="AP336" s="99" t="s">
        <v>303</v>
      </c>
      <c r="AQ336" s="99" t="s">
        <v>302</v>
      </c>
      <c r="AR336" s="99" t="s">
        <v>301</v>
      </c>
      <c r="AS336" s="99" t="s">
        <v>300</v>
      </c>
      <c r="AT336" s="99" t="s">
        <v>355</v>
      </c>
      <c r="AU336" s="99" t="s">
        <v>320</v>
      </c>
      <c r="AV336" s="99" t="s">
        <v>297</v>
      </c>
      <c r="AW336" s="99" t="s">
        <v>307</v>
      </c>
      <c r="AX336" s="99" t="s">
        <v>341</v>
      </c>
      <c r="AY336" s="99"/>
    </row>
    <row r="337" spans="1:51" ht="302.39999999999998" x14ac:dyDescent="0.3">
      <c r="A337" s="98">
        <v>42314.297592592593</v>
      </c>
      <c r="B337" s="99" t="s">
        <v>689</v>
      </c>
      <c r="C337" s="99" t="s">
        <v>552</v>
      </c>
      <c r="D337" s="99" t="s">
        <v>560</v>
      </c>
      <c r="E337" s="99" t="s">
        <v>3</v>
      </c>
      <c r="F337" s="99" t="s">
        <v>317</v>
      </c>
      <c r="G337" s="99" t="s">
        <v>407</v>
      </c>
      <c r="H337" s="99" t="s">
        <v>390</v>
      </c>
      <c r="I337" s="99" t="s">
        <v>316</v>
      </c>
      <c r="J337" s="99" t="s">
        <v>454</v>
      </c>
      <c r="K337" s="99" t="s">
        <v>315</v>
      </c>
      <c r="L337" s="99" t="s">
        <v>1732</v>
      </c>
      <c r="M337" s="99" t="s">
        <v>651</v>
      </c>
      <c r="N337" s="99" t="s">
        <v>4</v>
      </c>
      <c r="O337" s="99" t="s">
        <v>313</v>
      </c>
      <c r="P337" s="99" t="s">
        <v>327</v>
      </c>
      <c r="Q337" s="99" t="s">
        <v>1733</v>
      </c>
      <c r="R337" s="99" t="s">
        <v>327</v>
      </c>
      <c r="S337" s="99" t="s">
        <v>1734</v>
      </c>
      <c r="T337" s="99" t="s">
        <v>312</v>
      </c>
      <c r="U337" s="99" t="s">
        <v>311</v>
      </c>
      <c r="V337" s="99" t="s">
        <v>1486</v>
      </c>
      <c r="W337" s="99" t="s">
        <v>338</v>
      </c>
      <c r="X337" s="99" t="s">
        <v>310</v>
      </c>
      <c r="Y337" s="99" t="s">
        <v>309</v>
      </c>
      <c r="Z337" s="99" t="s">
        <v>316</v>
      </c>
      <c r="AA337" s="99" t="s">
        <v>981</v>
      </c>
      <c r="AB337" s="99" t="s">
        <v>389</v>
      </c>
      <c r="AC337" s="99" t="s">
        <v>307</v>
      </c>
      <c r="AD337" s="99" t="s">
        <v>607</v>
      </c>
      <c r="AE337" s="99" t="s">
        <v>539</v>
      </c>
      <c r="AF337" s="99" t="s">
        <v>1661</v>
      </c>
      <c r="AG337" s="99" t="s">
        <v>369</v>
      </c>
      <c r="AH337" s="99" t="s">
        <v>295</v>
      </c>
      <c r="AI337" s="99" t="s">
        <v>295</v>
      </c>
      <c r="AJ337" s="99" t="s">
        <v>295</v>
      </c>
      <c r="AK337" s="99" t="s">
        <v>295</v>
      </c>
      <c r="AL337" s="99" t="s">
        <v>295</v>
      </c>
      <c r="AM337" s="99" t="s">
        <v>295</v>
      </c>
      <c r="AN337" s="99" t="s">
        <v>295</v>
      </c>
      <c r="AO337" s="99" t="s">
        <v>295</v>
      </c>
      <c r="AP337" s="99" t="s">
        <v>295</v>
      </c>
      <c r="AQ337" s="99" t="s">
        <v>295</v>
      </c>
      <c r="AR337" s="99" t="s">
        <v>558</v>
      </c>
      <c r="AS337" s="99" t="s">
        <v>335</v>
      </c>
      <c r="AT337" s="99" t="s">
        <v>355</v>
      </c>
      <c r="AU337" s="99" t="s">
        <v>660</v>
      </c>
      <c r="AV337" s="99" t="s">
        <v>333</v>
      </c>
      <c r="AW337" s="99" t="s">
        <v>324</v>
      </c>
      <c r="AX337" s="99" t="s">
        <v>341</v>
      </c>
      <c r="AY337" s="99" t="s">
        <v>356</v>
      </c>
    </row>
    <row r="338" spans="1:51" ht="158.4" x14ac:dyDescent="0.3">
      <c r="A338" s="98">
        <v>42314.298437500001</v>
      </c>
      <c r="B338" s="99" t="s">
        <v>689</v>
      </c>
      <c r="C338" s="99" t="s">
        <v>552</v>
      </c>
      <c r="D338" s="99" t="s">
        <v>529</v>
      </c>
      <c r="E338" s="99" t="s">
        <v>3</v>
      </c>
      <c r="F338" s="99" t="s">
        <v>317</v>
      </c>
      <c r="G338" s="99" t="s">
        <v>451</v>
      </c>
      <c r="H338" s="99" t="s">
        <v>390</v>
      </c>
      <c r="I338" s="99" t="s">
        <v>345</v>
      </c>
      <c r="J338" s="99" t="s">
        <v>565</v>
      </c>
      <c r="K338" s="99" t="s">
        <v>368</v>
      </c>
      <c r="L338" s="99" t="s">
        <v>475</v>
      </c>
      <c r="M338" s="99" t="s">
        <v>363</v>
      </c>
      <c r="N338" s="99" t="s">
        <v>327</v>
      </c>
      <c r="O338" s="99" t="s">
        <v>327</v>
      </c>
      <c r="P338" s="99" t="s">
        <v>313</v>
      </c>
      <c r="Q338" s="99" t="s">
        <v>429</v>
      </c>
      <c r="R338" s="99" t="s">
        <v>4</v>
      </c>
      <c r="S338" s="99" t="s">
        <v>1735</v>
      </c>
      <c r="T338" s="99" t="s">
        <v>326</v>
      </c>
      <c r="U338" s="99" t="s">
        <v>530</v>
      </c>
      <c r="V338" s="99" t="s">
        <v>556</v>
      </c>
      <c r="W338" s="99" t="s">
        <v>338</v>
      </c>
      <c r="X338" s="99" t="s">
        <v>352</v>
      </c>
      <c r="Y338" s="99" t="s">
        <v>316</v>
      </c>
      <c r="Z338" s="99" t="s">
        <v>316</v>
      </c>
      <c r="AA338" s="99" t="s">
        <v>432</v>
      </c>
      <c r="AB338" s="99" t="s">
        <v>389</v>
      </c>
      <c r="AC338" s="99" t="s">
        <v>324</v>
      </c>
      <c r="AD338" s="99" t="s">
        <v>357</v>
      </c>
      <c r="AE338" s="99" t="s">
        <v>535</v>
      </c>
      <c r="AF338" s="99" t="s">
        <v>876</v>
      </c>
      <c r="AG338" s="99" t="s">
        <v>304</v>
      </c>
      <c r="AH338" s="99" t="s">
        <v>304</v>
      </c>
      <c r="AI338" s="99" t="s">
        <v>304</v>
      </c>
      <c r="AJ338" s="99" t="s">
        <v>304</v>
      </c>
      <c r="AK338" s="99" t="s">
        <v>295</v>
      </c>
      <c r="AL338" s="99" t="s">
        <v>304</v>
      </c>
      <c r="AM338" s="99" t="s">
        <v>304</v>
      </c>
      <c r="AN338" s="99" t="s">
        <v>304</v>
      </c>
      <c r="AO338" s="99" t="s">
        <v>304</v>
      </c>
      <c r="AP338" s="99" t="s">
        <v>304</v>
      </c>
      <c r="AQ338" s="99" t="s">
        <v>304</v>
      </c>
      <c r="AR338" s="99" t="s">
        <v>558</v>
      </c>
      <c r="AS338" s="99" t="s">
        <v>489</v>
      </c>
      <c r="AT338" s="99" t="s">
        <v>360</v>
      </c>
      <c r="AU338" s="99" t="s">
        <v>320</v>
      </c>
      <c r="AV338" s="99" t="s">
        <v>333</v>
      </c>
      <c r="AW338" s="99" t="s">
        <v>351</v>
      </c>
      <c r="AX338" s="99" t="s">
        <v>375</v>
      </c>
      <c r="AY338" s="99" t="s">
        <v>484</v>
      </c>
    </row>
    <row r="339" spans="1:51" ht="129.6" x14ac:dyDescent="0.3">
      <c r="A339" s="98">
        <v>42314.298541666663</v>
      </c>
      <c r="B339" s="99" t="s">
        <v>689</v>
      </c>
      <c r="C339" s="99" t="s">
        <v>552</v>
      </c>
      <c r="D339" s="99" t="s">
        <v>529</v>
      </c>
      <c r="E339" s="99" t="s">
        <v>330</v>
      </c>
      <c r="F339" s="99" t="s">
        <v>317</v>
      </c>
      <c r="G339" s="99" t="s">
        <v>407</v>
      </c>
      <c r="H339" s="99" t="s">
        <v>390</v>
      </c>
      <c r="I339" s="99" t="s">
        <v>494</v>
      </c>
      <c r="J339" s="99" t="s">
        <v>544</v>
      </c>
      <c r="K339" s="99" t="s">
        <v>384</v>
      </c>
      <c r="L339" s="99" t="s">
        <v>1736</v>
      </c>
      <c r="M339" s="99" t="s">
        <v>353</v>
      </c>
      <c r="N339" s="99" t="s">
        <v>327</v>
      </c>
      <c r="O339" s="99" t="s">
        <v>327</v>
      </c>
      <c r="P339" s="99"/>
      <c r="Q339" s="99" t="s">
        <v>1737</v>
      </c>
      <c r="R339" s="99" t="s">
        <v>327</v>
      </c>
      <c r="S339" s="99" t="s">
        <v>1738</v>
      </c>
      <c r="T339" s="99" t="s">
        <v>312</v>
      </c>
      <c r="U339" s="99" t="s">
        <v>530</v>
      </c>
      <c r="V339" s="99" t="s">
        <v>1739</v>
      </c>
      <c r="W339" s="99" t="s">
        <v>338</v>
      </c>
      <c r="X339" s="99" t="s">
        <v>310</v>
      </c>
      <c r="Y339" s="99" t="s">
        <v>316</v>
      </c>
      <c r="Z339" s="99" t="s">
        <v>316</v>
      </c>
      <c r="AA339" s="99" t="s">
        <v>395</v>
      </c>
      <c r="AB339" s="99" t="s">
        <v>389</v>
      </c>
      <c r="AC339" s="99" t="s">
        <v>381</v>
      </c>
      <c r="AD339" s="99" t="s">
        <v>344</v>
      </c>
      <c r="AE339" s="99" t="s">
        <v>532</v>
      </c>
      <c r="AF339" s="99" t="s">
        <v>635</v>
      </c>
      <c r="AG339" s="99" t="s">
        <v>369</v>
      </c>
      <c r="AH339" s="99" t="s">
        <v>295</v>
      </c>
      <c r="AI339" s="99" t="s">
        <v>295</v>
      </c>
      <c r="AJ339" s="99" t="s">
        <v>295</v>
      </c>
      <c r="AK339" s="99" t="s">
        <v>295</v>
      </c>
      <c r="AL339" s="99" t="s">
        <v>295</v>
      </c>
      <c r="AM339" s="99" t="s">
        <v>295</v>
      </c>
      <c r="AN339" s="99" t="s">
        <v>295</v>
      </c>
      <c r="AO339" s="99" t="s">
        <v>295</v>
      </c>
      <c r="AP339" s="99" t="s">
        <v>295</v>
      </c>
      <c r="AQ339" s="99" t="s">
        <v>295</v>
      </c>
      <c r="AR339" s="99" t="s">
        <v>301</v>
      </c>
      <c r="AS339" s="99" t="s">
        <v>300</v>
      </c>
      <c r="AT339" s="99" t="s">
        <v>299</v>
      </c>
      <c r="AU339" s="99" t="s">
        <v>660</v>
      </c>
      <c r="AV339" s="99" t="s">
        <v>392</v>
      </c>
      <c r="AW339" s="99" t="s">
        <v>381</v>
      </c>
      <c r="AX339" s="99" t="s">
        <v>341</v>
      </c>
      <c r="AY339" s="99" t="s">
        <v>871</v>
      </c>
    </row>
    <row r="340" spans="1:51" ht="187.2" x14ac:dyDescent="0.3">
      <c r="A340" s="98">
        <v>42314.298692129632</v>
      </c>
      <c r="B340" s="99" t="s">
        <v>689</v>
      </c>
      <c r="C340" s="99" t="s">
        <v>552</v>
      </c>
      <c r="D340" s="99" t="s">
        <v>529</v>
      </c>
      <c r="E340" s="99" t="s">
        <v>330</v>
      </c>
      <c r="F340" s="99" t="s">
        <v>317</v>
      </c>
      <c r="G340" s="99" t="s">
        <v>446</v>
      </c>
      <c r="H340" s="99" t="s">
        <v>390</v>
      </c>
      <c r="I340" s="99" t="s">
        <v>309</v>
      </c>
      <c r="J340" s="99" t="s">
        <v>565</v>
      </c>
      <c r="K340" s="99" t="s">
        <v>315</v>
      </c>
      <c r="L340" s="99" t="s">
        <v>1740</v>
      </c>
      <c r="M340" s="99" t="s">
        <v>353</v>
      </c>
      <c r="N340" s="99" t="s">
        <v>327</v>
      </c>
      <c r="O340" s="99" t="s">
        <v>4</v>
      </c>
      <c r="P340" s="99" t="s">
        <v>4</v>
      </c>
      <c r="Q340" s="99" t="s">
        <v>950</v>
      </c>
      <c r="R340" s="99" t="s">
        <v>327</v>
      </c>
      <c r="S340" s="99" t="s">
        <v>1142</v>
      </c>
      <c r="T340" s="99" t="s">
        <v>366</v>
      </c>
      <c r="U340" s="99" t="s">
        <v>530</v>
      </c>
      <c r="V340" s="99" t="s">
        <v>810</v>
      </c>
      <c r="W340" s="99" t="s">
        <v>1278</v>
      </c>
      <c r="X340" s="99" t="s">
        <v>352</v>
      </c>
      <c r="Y340" s="99" t="s">
        <v>316</v>
      </c>
      <c r="Z340" s="99" t="s">
        <v>316</v>
      </c>
      <c r="AA340" s="99" t="s">
        <v>691</v>
      </c>
      <c r="AB340" s="99" t="s">
        <v>308</v>
      </c>
      <c r="AC340" s="99" t="s">
        <v>324</v>
      </c>
      <c r="AD340" s="99" t="s">
        <v>607</v>
      </c>
      <c r="AE340" s="99" t="s">
        <v>533</v>
      </c>
      <c r="AF340" s="99" t="s">
        <v>648</v>
      </c>
      <c r="AG340" s="99" t="s">
        <v>369</v>
      </c>
      <c r="AH340" s="99" t="s">
        <v>295</v>
      </c>
      <c r="AI340" s="99" t="s">
        <v>295</v>
      </c>
      <c r="AJ340" s="99" t="s">
        <v>304</v>
      </c>
      <c r="AK340" s="99" t="s">
        <v>304</v>
      </c>
      <c r="AL340" s="99" t="s">
        <v>303</v>
      </c>
      <c r="AM340" s="99" t="s">
        <v>303</v>
      </c>
      <c r="AN340" s="99" t="s">
        <v>303</v>
      </c>
      <c r="AO340" s="99" t="s">
        <v>304</v>
      </c>
      <c r="AP340" s="99" t="s">
        <v>303</v>
      </c>
      <c r="AQ340" s="99" t="s">
        <v>305</v>
      </c>
      <c r="AR340" s="99" t="s">
        <v>673</v>
      </c>
      <c r="AS340" s="99" t="s">
        <v>350</v>
      </c>
      <c r="AT340" s="99" t="s">
        <v>355</v>
      </c>
      <c r="AU340" s="99" t="s">
        <v>342</v>
      </c>
      <c r="AV340" s="99" t="s">
        <v>333</v>
      </c>
      <c r="AW340" s="99" t="s">
        <v>381</v>
      </c>
      <c r="AX340" s="99" t="s">
        <v>341</v>
      </c>
      <c r="AY340" s="99" t="s">
        <v>491</v>
      </c>
    </row>
    <row r="341" spans="1:51" ht="172.8" x14ac:dyDescent="0.3">
      <c r="A341" s="98">
        <v>42314.298692129632</v>
      </c>
      <c r="B341" s="99" t="s">
        <v>689</v>
      </c>
      <c r="C341" s="99" t="s">
        <v>552</v>
      </c>
      <c r="D341" s="99" t="s">
        <v>529</v>
      </c>
      <c r="E341" s="99" t="s">
        <v>330</v>
      </c>
      <c r="F341" s="99" t="s">
        <v>317</v>
      </c>
      <c r="G341" s="99" t="s">
        <v>407</v>
      </c>
      <c r="H341" s="99" t="s">
        <v>564</v>
      </c>
      <c r="I341" s="99" t="s">
        <v>494</v>
      </c>
      <c r="J341" s="99" t="s">
        <v>544</v>
      </c>
      <c r="K341" s="99" t="s">
        <v>315</v>
      </c>
      <c r="L341" s="99" t="s">
        <v>396</v>
      </c>
      <c r="M341" s="99" t="s">
        <v>353</v>
      </c>
      <c r="N341" s="99" t="s">
        <v>4</v>
      </c>
      <c r="O341" s="99" t="s">
        <v>4</v>
      </c>
      <c r="P341" s="99" t="s">
        <v>4</v>
      </c>
      <c r="Q341" s="99" t="s">
        <v>1722</v>
      </c>
      <c r="R341" s="99" t="s">
        <v>327</v>
      </c>
      <c r="S341" s="99" t="s">
        <v>677</v>
      </c>
      <c r="T341" s="99" t="s">
        <v>326</v>
      </c>
      <c r="U341" s="99" t="s">
        <v>530</v>
      </c>
      <c r="V341" s="99" t="s">
        <v>741</v>
      </c>
      <c r="W341" s="99" t="s">
        <v>325</v>
      </c>
      <c r="X341" s="99" t="s">
        <v>352</v>
      </c>
      <c r="Y341" s="99" t="s">
        <v>316</v>
      </c>
      <c r="Z341" s="99" t="s">
        <v>316</v>
      </c>
      <c r="AA341" s="99" t="s">
        <v>395</v>
      </c>
      <c r="AB341" s="99" t="s">
        <v>308</v>
      </c>
      <c r="AC341" s="99" t="s">
        <v>351</v>
      </c>
      <c r="AD341" s="99" t="s">
        <v>599</v>
      </c>
      <c r="AE341" s="99" t="s">
        <v>533</v>
      </c>
      <c r="AF341" s="99" t="s">
        <v>994</v>
      </c>
      <c r="AG341" s="99" t="s">
        <v>400</v>
      </c>
      <c r="AH341" s="99" t="s">
        <v>295</v>
      </c>
      <c r="AI341" s="99" t="s">
        <v>295</v>
      </c>
      <c r="AJ341" s="99" t="s">
        <v>304</v>
      </c>
      <c r="AK341" s="99" t="s">
        <v>304</v>
      </c>
      <c r="AL341" s="99" t="s">
        <v>303</v>
      </c>
      <c r="AM341" s="99" t="s">
        <v>303</v>
      </c>
      <c r="AN341" s="99" t="s">
        <v>303</v>
      </c>
      <c r="AO341" s="99" t="s">
        <v>304</v>
      </c>
      <c r="AP341" s="99" t="s">
        <v>303</v>
      </c>
      <c r="AQ341" s="99" t="s">
        <v>303</v>
      </c>
      <c r="AR341" s="99" t="s">
        <v>673</v>
      </c>
      <c r="AS341" s="99" t="s">
        <v>350</v>
      </c>
      <c r="AT341" s="99" t="s">
        <v>355</v>
      </c>
      <c r="AU341" s="99" t="s">
        <v>320</v>
      </c>
      <c r="AV341" s="99" t="s">
        <v>333</v>
      </c>
      <c r="AW341" s="99" t="s">
        <v>324</v>
      </c>
      <c r="AX341" s="99" t="s">
        <v>341</v>
      </c>
      <c r="AY341" s="99" t="s">
        <v>491</v>
      </c>
    </row>
    <row r="342" spans="1:51" ht="129.6" x14ac:dyDescent="0.3">
      <c r="A342" s="98">
        <v>42314.298761574071</v>
      </c>
      <c r="B342" s="99" t="s">
        <v>689</v>
      </c>
      <c r="C342" s="99" t="s">
        <v>552</v>
      </c>
      <c r="D342" s="99" t="s">
        <v>529</v>
      </c>
      <c r="E342" s="99" t="s">
        <v>3</v>
      </c>
      <c r="F342" s="99" t="s">
        <v>317</v>
      </c>
      <c r="G342" s="99" t="s">
        <v>446</v>
      </c>
      <c r="H342" s="99" t="s">
        <v>390</v>
      </c>
      <c r="I342" s="99" t="s">
        <v>309</v>
      </c>
      <c r="J342" s="99" t="s">
        <v>1093</v>
      </c>
      <c r="K342" s="99" t="s">
        <v>315</v>
      </c>
      <c r="L342" s="99" t="s">
        <v>868</v>
      </c>
      <c r="M342" s="99" t="s">
        <v>314</v>
      </c>
      <c r="N342" s="99"/>
      <c r="O342" s="99"/>
      <c r="P342" s="99"/>
      <c r="Q342" s="99" t="s">
        <v>555</v>
      </c>
      <c r="R342" s="99" t="s">
        <v>327</v>
      </c>
      <c r="S342" s="99" t="s">
        <v>1657</v>
      </c>
      <c r="T342" s="99" t="s">
        <v>312</v>
      </c>
      <c r="U342" s="99" t="s">
        <v>530</v>
      </c>
      <c r="V342" s="99" t="s">
        <v>606</v>
      </c>
      <c r="W342" s="99" t="s">
        <v>338</v>
      </c>
      <c r="X342" s="99" t="s">
        <v>352</v>
      </c>
      <c r="Y342" s="99" t="s">
        <v>316</v>
      </c>
      <c r="Z342" s="99"/>
      <c r="AA342" s="99" t="s">
        <v>410</v>
      </c>
      <c r="AB342" s="99" t="s">
        <v>308</v>
      </c>
      <c r="AC342" s="99" t="s">
        <v>296</v>
      </c>
      <c r="AD342" s="99" t="s">
        <v>388</v>
      </c>
      <c r="AE342" s="99" t="s">
        <v>535</v>
      </c>
      <c r="AF342" s="99" t="s">
        <v>1214</v>
      </c>
      <c r="AG342" s="99" t="s">
        <v>306</v>
      </c>
      <c r="AH342" s="99" t="s">
        <v>303</v>
      </c>
      <c r="AI342" s="99" t="s">
        <v>303</v>
      </c>
      <c r="AJ342" s="99" t="s">
        <v>302</v>
      </c>
      <c r="AK342" s="99" t="s">
        <v>302</v>
      </c>
      <c r="AL342" s="99" t="s">
        <v>302</v>
      </c>
      <c r="AM342" s="99" t="s">
        <v>302</v>
      </c>
      <c r="AN342" s="99" t="s">
        <v>302</v>
      </c>
      <c r="AO342" s="99" t="s">
        <v>302</v>
      </c>
      <c r="AP342" s="99" t="s">
        <v>302</v>
      </c>
      <c r="AQ342" s="99" t="s">
        <v>302</v>
      </c>
      <c r="AR342" s="99" t="s">
        <v>558</v>
      </c>
      <c r="AS342" s="99" t="s">
        <v>300</v>
      </c>
      <c r="AT342" s="99" t="s">
        <v>355</v>
      </c>
      <c r="AU342" s="99" t="s">
        <v>320</v>
      </c>
      <c r="AV342" s="99" t="s">
        <v>297</v>
      </c>
      <c r="AW342" s="99" t="s">
        <v>351</v>
      </c>
      <c r="AX342" s="99" t="s">
        <v>341</v>
      </c>
      <c r="AY342" s="99" t="s">
        <v>573</v>
      </c>
    </row>
    <row r="343" spans="1:51" ht="201.6" x14ac:dyDescent="0.3">
      <c r="A343" s="98">
        <v>42314.300983796296</v>
      </c>
      <c r="B343" s="99" t="s">
        <v>689</v>
      </c>
      <c r="C343" s="99" t="s">
        <v>552</v>
      </c>
      <c r="D343" s="99" t="s">
        <v>529</v>
      </c>
      <c r="E343" s="99" t="s">
        <v>330</v>
      </c>
      <c r="F343" s="99" t="s">
        <v>317</v>
      </c>
      <c r="G343" s="99" t="s">
        <v>446</v>
      </c>
      <c r="H343" s="99" t="s">
        <v>390</v>
      </c>
      <c r="I343" s="99" t="s">
        <v>309</v>
      </c>
      <c r="J343" s="99" t="s">
        <v>544</v>
      </c>
      <c r="K343" s="99" t="s">
        <v>328</v>
      </c>
      <c r="L343" s="99" t="s">
        <v>427</v>
      </c>
      <c r="M343" s="99" t="s">
        <v>314</v>
      </c>
      <c r="N343" s="99" t="s">
        <v>327</v>
      </c>
      <c r="O343" s="99" t="s">
        <v>4</v>
      </c>
      <c r="P343" s="99" t="s">
        <v>4</v>
      </c>
      <c r="Q343" s="99" t="s">
        <v>450</v>
      </c>
      <c r="R343" s="99" t="s">
        <v>327</v>
      </c>
      <c r="S343" s="99" t="s">
        <v>1741</v>
      </c>
      <c r="T343" s="99" t="s">
        <v>366</v>
      </c>
      <c r="U343" s="99" t="s">
        <v>530</v>
      </c>
      <c r="V343" s="99" t="s">
        <v>1742</v>
      </c>
      <c r="W343" s="99" t="s">
        <v>325</v>
      </c>
      <c r="X343" s="99" t="s">
        <v>352</v>
      </c>
      <c r="Y343" s="99" t="s">
        <v>316</v>
      </c>
      <c r="Z343" s="99" t="s">
        <v>316</v>
      </c>
      <c r="AA343" s="99" t="s">
        <v>531</v>
      </c>
      <c r="AB343" s="99" t="s">
        <v>376</v>
      </c>
      <c r="AC343" s="99" t="s">
        <v>307</v>
      </c>
      <c r="AD343" s="99" t="s">
        <v>414</v>
      </c>
      <c r="AE343" s="99" t="s">
        <v>535</v>
      </c>
      <c r="AF343" s="99" t="s">
        <v>835</v>
      </c>
      <c r="AG343" s="99" t="s">
        <v>323</v>
      </c>
      <c r="AH343" s="99" t="s">
        <v>303</v>
      </c>
      <c r="AI343" s="99" t="s">
        <v>303</v>
      </c>
      <c r="AJ343" s="99" t="s">
        <v>304</v>
      </c>
      <c r="AK343" s="99" t="s">
        <v>304</v>
      </c>
      <c r="AL343" s="99" t="s">
        <v>303</v>
      </c>
      <c r="AM343" s="99" t="s">
        <v>303</v>
      </c>
      <c r="AN343" s="99" t="s">
        <v>303</v>
      </c>
      <c r="AO343" s="99" t="s">
        <v>302</v>
      </c>
      <c r="AP343" s="99" t="s">
        <v>303</v>
      </c>
      <c r="AQ343" s="99" t="s">
        <v>304</v>
      </c>
      <c r="AR343" s="99" t="s">
        <v>391</v>
      </c>
      <c r="AS343" s="99" t="s">
        <v>350</v>
      </c>
      <c r="AT343" s="99" t="s">
        <v>321</v>
      </c>
      <c r="AU343" s="99" t="s">
        <v>320</v>
      </c>
      <c r="AV343" s="99" t="s">
        <v>364</v>
      </c>
      <c r="AW343" s="99" t="s">
        <v>307</v>
      </c>
      <c r="AX343" s="99" t="s">
        <v>319</v>
      </c>
      <c r="AY343" s="99" t="s">
        <v>573</v>
      </c>
    </row>
    <row r="344" spans="1:51" ht="115.2" x14ac:dyDescent="0.3">
      <c r="A344" s="98">
        <v>42314.301203703704</v>
      </c>
      <c r="B344" s="99" t="s">
        <v>528</v>
      </c>
      <c r="C344" s="99" t="s">
        <v>552</v>
      </c>
      <c r="D344" s="99" t="s">
        <v>560</v>
      </c>
      <c r="E344" s="99" t="s">
        <v>3</v>
      </c>
      <c r="F344" s="99" t="s">
        <v>372</v>
      </c>
      <c r="G344" s="99" t="s">
        <v>487</v>
      </c>
      <c r="H344" s="99" t="s">
        <v>390</v>
      </c>
      <c r="I344" s="99" t="s">
        <v>309</v>
      </c>
      <c r="J344" s="99" t="s">
        <v>947</v>
      </c>
      <c r="K344" s="99" t="s">
        <v>328</v>
      </c>
      <c r="L344" s="99" t="s">
        <v>1743</v>
      </c>
      <c r="M344" s="99" t="s">
        <v>363</v>
      </c>
      <c r="N344" s="99" t="s">
        <v>327</v>
      </c>
      <c r="O344" s="99" t="s">
        <v>313</v>
      </c>
      <c r="P344" s="99" t="s">
        <v>327</v>
      </c>
      <c r="Q344" s="99" t="s">
        <v>793</v>
      </c>
      <c r="R344" s="99" t="s">
        <v>374</v>
      </c>
      <c r="S344" s="99" t="s">
        <v>1744</v>
      </c>
      <c r="T344" s="99" t="s">
        <v>380</v>
      </c>
      <c r="U344" s="99" t="s">
        <v>373</v>
      </c>
      <c r="V344" s="99" t="s">
        <v>362</v>
      </c>
      <c r="W344" s="99" t="s">
        <v>325</v>
      </c>
      <c r="X344" s="99" t="s">
        <v>352</v>
      </c>
      <c r="Y344" s="99" t="s">
        <v>316</v>
      </c>
      <c r="Z344" s="99" t="s">
        <v>316</v>
      </c>
      <c r="AA344" s="99" t="s">
        <v>1031</v>
      </c>
      <c r="AB344" s="99" t="s">
        <v>376</v>
      </c>
      <c r="AC344" s="99" t="s">
        <v>381</v>
      </c>
      <c r="AD344" s="99" t="s">
        <v>642</v>
      </c>
      <c r="AE344" s="99" t="s">
        <v>535</v>
      </c>
      <c r="AF344" s="99" t="s">
        <v>680</v>
      </c>
      <c r="AG344" s="99" t="s">
        <v>306</v>
      </c>
      <c r="AH344" s="99" t="s">
        <v>303</v>
      </c>
      <c r="AI344" s="99" t="s">
        <v>303</v>
      </c>
      <c r="AJ344" s="99" t="s">
        <v>303</v>
      </c>
      <c r="AK344" s="99" t="s">
        <v>303</v>
      </c>
      <c r="AL344" s="99" t="s">
        <v>303</v>
      </c>
      <c r="AM344" s="99" t="s">
        <v>302</v>
      </c>
      <c r="AN344" s="99" t="s">
        <v>303</v>
      </c>
      <c r="AO344" s="99" t="s">
        <v>302</v>
      </c>
      <c r="AP344" s="99" t="s">
        <v>302</v>
      </c>
      <c r="AQ344" s="99" t="s">
        <v>304</v>
      </c>
      <c r="AR344" s="99" t="s">
        <v>558</v>
      </c>
      <c r="AS344" s="99" t="s">
        <v>350</v>
      </c>
      <c r="AT344" s="99" t="s">
        <v>299</v>
      </c>
      <c r="AU344" s="99" t="s">
        <v>342</v>
      </c>
      <c r="AV344" s="99" t="s">
        <v>536</v>
      </c>
      <c r="AW344" s="99" t="s">
        <v>307</v>
      </c>
      <c r="AX344" s="99" t="s">
        <v>534</v>
      </c>
      <c r="AY344" s="99" t="s">
        <v>456</v>
      </c>
    </row>
    <row r="345" spans="1:51" ht="201.6" x14ac:dyDescent="0.3">
      <c r="A345" s="98">
        <v>42314.303124999999</v>
      </c>
      <c r="B345" s="99" t="s">
        <v>689</v>
      </c>
      <c r="C345" s="99" t="s">
        <v>552</v>
      </c>
      <c r="D345" s="99" t="s">
        <v>529</v>
      </c>
      <c r="E345" s="99" t="s">
        <v>3</v>
      </c>
      <c r="F345" s="99" t="s">
        <v>317</v>
      </c>
      <c r="G345" s="99" t="s">
        <v>407</v>
      </c>
      <c r="H345" s="99" t="s">
        <v>390</v>
      </c>
      <c r="I345" s="99" t="s">
        <v>309</v>
      </c>
      <c r="J345" s="99" t="s">
        <v>454</v>
      </c>
      <c r="K345" s="99" t="s">
        <v>328</v>
      </c>
      <c r="L345" s="99" t="s">
        <v>1445</v>
      </c>
      <c r="M345" s="99" t="s">
        <v>377</v>
      </c>
      <c r="N345" s="99" t="s">
        <v>4</v>
      </c>
      <c r="O345" s="99" t="s">
        <v>4</v>
      </c>
      <c r="P345" s="99" t="s">
        <v>4</v>
      </c>
      <c r="Q345" s="99" t="s">
        <v>731</v>
      </c>
      <c r="R345" s="99" t="s">
        <v>4</v>
      </c>
      <c r="S345" s="99" t="s">
        <v>500</v>
      </c>
      <c r="T345" s="99" t="s">
        <v>326</v>
      </c>
      <c r="U345" s="99" t="s">
        <v>530</v>
      </c>
      <c r="V345" s="99" t="s">
        <v>739</v>
      </c>
      <c r="W345" s="99" t="s">
        <v>338</v>
      </c>
      <c r="X345" s="99" t="s">
        <v>310</v>
      </c>
      <c r="Y345" s="99" t="s">
        <v>316</v>
      </c>
      <c r="Z345" s="99" t="s">
        <v>316</v>
      </c>
      <c r="AA345" s="99" t="s">
        <v>678</v>
      </c>
      <c r="AB345" s="99" t="s">
        <v>308</v>
      </c>
      <c r="AC345" s="99" t="s">
        <v>324</v>
      </c>
      <c r="AD345" s="99" t="s">
        <v>414</v>
      </c>
      <c r="AE345" s="99" t="s">
        <v>533</v>
      </c>
      <c r="AF345" s="99" t="s">
        <v>1745</v>
      </c>
      <c r="AG345" s="99" t="s">
        <v>304</v>
      </c>
      <c r="AH345" s="99" t="s">
        <v>304</v>
      </c>
      <c r="AI345" s="99" t="s">
        <v>304</v>
      </c>
      <c r="AJ345" s="99" t="s">
        <v>303</v>
      </c>
      <c r="AK345" s="99" t="s">
        <v>304</v>
      </c>
      <c r="AL345" s="99" t="s">
        <v>303</v>
      </c>
      <c r="AM345" s="99" t="s">
        <v>303</v>
      </c>
      <c r="AN345" s="99" t="s">
        <v>304</v>
      </c>
      <c r="AO345" s="99" t="s">
        <v>303</v>
      </c>
      <c r="AP345" s="99" t="s">
        <v>303</v>
      </c>
      <c r="AQ345" s="99" t="s">
        <v>304</v>
      </c>
      <c r="AR345" s="99" t="s">
        <v>391</v>
      </c>
      <c r="AS345" s="99" t="s">
        <v>350</v>
      </c>
      <c r="AT345" s="99" t="s">
        <v>355</v>
      </c>
      <c r="AU345" s="99" t="s">
        <v>298</v>
      </c>
      <c r="AV345" s="99" t="s">
        <v>297</v>
      </c>
      <c r="AW345" s="99" t="s">
        <v>307</v>
      </c>
      <c r="AX345" s="99" t="s">
        <v>534</v>
      </c>
      <c r="AY345" s="99" t="s">
        <v>683</v>
      </c>
    </row>
    <row r="346" spans="1:51" ht="144" x14ac:dyDescent="0.3">
      <c r="A346" s="98">
        <v>42314.303402777776</v>
      </c>
      <c r="B346" s="99" t="s">
        <v>689</v>
      </c>
      <c r="C346" s="99" t="s">
        <v>552</v>
      </c>
      <c r="D346" s="99" t="s">
        <v>529</v>
      </c>
      <c r="E346" s="99" t="s">
        <v>3</v>
      </c>
      <c r="F346" s="99" t="s">
        <v>317</v>
      </c>
      <c r="G346" s="99" t="s">
        <v>412</v>
      </c>
      <c r="H346" s="99" t="s">
        <v>390</v>
      </c>
      <c r="I346" s="99" t="s">
        <v>309</v>
      </c>
      <c r="J346" s="99" t="s">
        <v>565</v>
      </c>
      <c r="K346" s="99" t="s">
        <v>315</v>
      </c>
      <c r="L346" s="99" t="s">
        <v>475</v>
      </c>
      <c r="M346" s="99" t="s">
        <v>353</v>
      </c>
      <c r="N346" s="99" t="s">
        <v>327</v>
      </c>
      <c r="O346" s="99" t="s">
        <v>4</v>
      </c>
      <c r="P346" s="99" t="s">
        <v>4</v>
      </c>
      <c r="Q346" s="99" t="s">
        <v>1088</v>
      </c>
      <c r="R346" s="99" t="s">
        <v>327</v>
      </c>
      <c r="S346" s="99" t="s">
        <v>1746</v>
      </c>
      <c r="T346" s="99" t="s">
        <v>366</v>
      </c>
      <c r="U346" s="99" t="s">
        <v>530</v>
      </c>
      <c r="V346" s="99" t="s">
        <v>1747</v>
      </c>
      <c r="W346" s="99" t="s">
        <v>338</v>
      </c>
      <c r="X346" s="99" t="s">
        <v>352</v>
      </c>
      <c r="Y346" s="99" t="s">
        <v>316</v>
      </c>
      <c r="Z346" s="99"/>
      <c r="AA346" s="99" t="s">
        <v>490</v>
      </c>
      <c r="AB346" s="99" t="s">
        <v>389</v>
      </c>
      <c r="AC346" s="99" t="s">
        <v>324</v>
      </c>
      <c r="AD346" s="99" t="s">
        <v>426</v>
      </c>
      <c r="AE346" s="99" t="s">
        <v>535</v>
      </c>
      <c r="AF346" s="99" t="s">
        <v>635</v>
      </c>
      <c r="AG346" s="99" t="s">
        <v>304</v>
      </c>
      <c r="AH346" s="99" t="s">
        <v>305</v>
      </c>
      <c r="AI346" s="99" t="s">
        <v>295</v>
      </c>
      <c r="AJ346" s="99" t="s">
        <v>305</v>
      </c>
      <c r="AK346" s="99" t="s">
        <v>295</v>
      </c>
      <c r="AL346" s="99" t="s">
        <v>305</v>
      </c>
      <c r="AM346" s="99" t="s">
        <v>305</v>
      </c>
      <c r="AN346" s="99" t="s">
        <v>295</v>
      </c>
      <c r="AO346" s="99" t="s">
        <v>295</v>
      </c>
      <c r="AP346" s="99" t="s">
        <v>303</v>
      </c>
      <c r="AQ346" s="99" t="s">
        <v>303</v>
      </c>
      <c r="AR346" s="99" t="s">
        <v>365</v>
      </c>
      <c r="AS346" s="99" t="s">
        <v>300</v>
      </c>
      <c r="AT346" s="99" t="s">
        <v>355</v>
      </c>
      <c r="AU346" s="99" t="s">
        <v>320</v>
      </c>
      <c r="AV346" s="99" t="s">
        <v>364</v>
      </c>
      <c r="AW346" s="99" t="s">
        <v>324</v>
      </c>
      <c r="AX346" s="99" t="s">
        <v>375</v>
      </c>
      <c r="AY346" s="99" t="s">
        <v>418</v>
      </c>
    </row>
    <row r="347" spans="1:51" ht="129.6" x14ac:dyDescent="0.3">
      <c r="A347" s="98">
        <v>42314.30369212963</v>
      </c>
      <c r="B347" s="99" t="s">
        <v>689</v>
      </c>
      <c r="C347" s="99" t="s">
        <v>552</v>
      </c>
      <c r="D347" s="99" t="s">
        <v>529</v>
      </c>
      <c r="E347" s="99" t="s">
        <v>3</v>
      </c>
      <c r="F347" s="99" t="s">
        <v>317</v>
      </c>
      <c r="G347" s="99" t="s">
        <v>407</v>
      </c>
      <c r="H347" s="99" t="s">
        <v>5</v>
      </c>
      <c r="I347" s="99" t="s">
        <v>309</v>
      </c>
      <c r="J347" s="99" t="s">
        <v>544</v>
      </c>
      <c r="K347" s="99" t="s">
        <v>328</v>
      </c>
      <c r="L347" s="99" t="s">
        <v>475</v>
      </c>
      <c r="M347" s="99" t="s">
        <v>314</v>
      </c>
      <c r="N347" s="99" t="s">
        <v>4</v>
      </c>
      <c r="O347" s="99" t="s">
        <v>4</v>
      </c>
      <c r="P347" s="99" t="s">
        <v>4</v>
      </c>
      <c r="Q347" s="99" t="s">
        <v>411</v>
      </c>
      <c r="R347" s="99" t="s">
        <v>4</v>
      </c>
      <c r="S347" s="99" t="s">
        <v>394</v>
      </c>
      <c r="T347" s="99" t="s">
        <v>312</v>
      </c>
      <c r="U347" s="99" t="s">
        <v>311</v>
      </c>
      <c r="V347" s="99" t="s">
        <v>339</v>
      </c>
      <c r="W347" s="99" t="s">
        <v>338</v>
      </c>
      <c r="X347" s="99" t="s">
        <v>346</v>
      </c>
      <c r="Y347" s="99" t="s">
        <v>316</v>
      </c>
      <c r="Z347" s="99" t="s">
        <v>316</v>
      </c>
      <c r="AA347" s="99" t="s">
        <v>459</v>
      </c>
      <c r="AB347" s="99"/>
      <c r="AC347" s="99" t="s">
        <v>351</v>
      </c>
      <c r="AD347" s="99" t="s">
        <v>467</v>
      </c>
      <c r="AE347" s="99" t="s">
        <v>542</v>
      </c>
      <c r="AF347" s="99" t="s">
        <v>403</v>
      </c>
      <c r="AG347" s="99" t="s">
        <v>323</v>
      </c>
      <c r="AH347" s="99" t="s">
        <v>303</v>
      </c>
      <c r="AI347" s="99" t="s">
        <v>303</v>
      </c>
      <c r="AJ347" s="99" t="s">
        <v>304</v>
      </c>
      <c r="AK347" s="99" t="s">
        <v>304</v>
      </c>
      <c r="AL347" s="99" t="s">
        <v>303</v>
      </c>
      <c r="AM347" s="99" t="s">
        <v>302</v>
      </c>
      <c r="AN347" s="99" t="s">
        <v>304</v>
      </c>
      <c r="AO347" s="99" t="s">
        <v>303</v>
      </c>
      <c r="AP347" s="99" t="s">
        <v>304</v>
      </c>
      <c r="AQ347" s="99" t="s">
        <v>304</v>
      </c>
      <c r="AR347" s="99" t="s">
        <v>541</v>
      </c>
      <c r="AS347" s="99" t="s">
        <v>300</v>
      </c>
      <c r="AT347" s="99" t="s">
        <v>360</v>
      </c>
      <c r="AU347" s="99" t="s">
        <v>320</v>
      </c>
      <c r="AV347" s="99" t="s">
        <v>547</v>
      </c>
      <c r="AW347" s="99" t="s">
        <v>307</v>
      </c>
      <c r="AX347" s="99" t="s">
        <v>341</v>
      </c>
      <c r="AY347" s="99" t="s">
        <v>654</v>
      </c>
    </row>
    <row r="348" spans="1:51" ht="129.6" x14ac:dyDescent="0.3">
      <c r="A348" s="98">
        <v>42314.303761574076</v>
      </c>
      <c r="B348" s="99" t="s">
        <v>689</v>
      </c>
      <c r="C348" s="99" t="s">
        <v>552</v>
      </c>
      <c r="D348" s="99" t="s">
        <v>529</v>
      </c>
      <c r="E348" s="99" t="s">
        <v>3</v>
      </c>
      <c r="F348" s="99" t="s">
        <v>317</v>
      </c>
      <c r="G348" s="99" t="s">
        <v>407</v>
      </c>
      <c r="H348" s="99" t="s">
        <v>5</v>
      </c>
      <c r="I348" s="99" t="s">
        <v>309</v>
      </c>
      <c r="J348" s="99" t="s">
        <v>544</v>
      </c>
      <c r="K348" s="99" t="s">
        <v>328</v>
      </c>
      <c r="L348" s="99" t="s">
        <v>475</v>
      </c>
      <c r="M348" s="99" t="s">
        <v>314</v>
      </c>
      <c r="N348" s="99" t="s">
        <v>4</v>
      </c>
      <c r="O348" s="99" t="s">
        <v>4</v>
      </c>
      <c r="P348" s="99" t="s">
        <v>4</v>
      </c>
      <c r="Q348" s="99" t="s">
        <v>411</v>
      </c>
      <c r="R348" s="99" t="s">
        <v>4</v>
      </c>
      <c r="S348" s="99" t="s">
        <v>394</v>
      </c>
      <c r="T348" s="99" t="s">
        <v>312</v>
      </c>
      <c r="U348" s="99" t="s">
        <v>311</v>
      </c>
      <c r="V348" s="99" t="s">
        <v>339</v>
      </c>
      <c r="W348" s="99" t="s">
        <v>338</v>
      </c>
      <c r="X348" s="99" t="s">
        <v>346</v>
      </c>
      <c r="Y348" s="99" t="s">
        <v>316</v>
      </c>
      <c r="Z348" s="99" t="s">
        <v>316</v>
      </c>
      <c r="AA348" s="99" t="s">
        <v>459</v>
      </c>
      <c r="AB348" s="99"/>
      <c r="AC348" s="99" t="s">
        <v>351</v>
      </c>
      <c r="AD348" s="99" t="s">
        <v>467</v>
      </c>
      <c r="AE348" s="99" t="s">
        <v>542</v>
      </c>
      <c r="AF348" s="99" t="s">
        <v>403</v>
      </c>
      <c r="AG348" s="99" t="s">
        <v>323</v>
      </c>
      <c r="AH348" s="99" t="s">
        <v>303</v>
      </c>
      <c r="AI348" s="99" t="s">
        <v>303</v>
      </c>
      <c r="AJ348" s="99" t="s">
        <v>304</v>
      </c>
      <c r="AK348" s="99" t="s">
        <v>304</v>
      </c>
      <c r="AL348" s="99" t="s">
        <v>303</v>
      </c>
      <c r="AM348" s="99" t="s">
        <v>302</v>
      </c>
      <c r="AN348" s="99" t="s">
        <v>304</v>
      </c>
      <c r="AO348" s="99" t="s">
        <v>303</v>
      </c>
      <c r="AP348" s="99" t="s">
        <v>304</v>
      </c>
      <c r="AQ348" s="99" t="s">
        <v>304</v>
      </c>
      <c r="AR348" s="99" t="s">
        <v>541</v>
      </c>
      <c r="AS348" s="99" t="s">
        <v>300</v>
      </c>
      <c r="AT348" s="99" t="s">
        <v>360</v>
      </c>
      <c r="AU348" s="99" t="s">
        <v>320</v>
      </c>
      <c r="AV348" s="99" t="s">
        <v>547</v>
      </c>
      <c r="AW348" s="99" t="s">
        <v>307</v>
      </c>
      <c r="AX348" s="99" t="s">
        <v>341</v>
      </c>
      <c r="AY348" s="99" t="s">
        <v>654</v>
      </c>
    </row>
    <row r="349" spans="1:51" ht="374.4" x14ac:dyDescent="0.3">
      <c r="A349" s="98">
        <v>42314.303946759261</v>
      </c>
      <c r="B349" s="99" t="s">
        <v>689</v>
      </c>
      <c r="C349" s="99" t="s">
        <v>552</v>
      </c>
      <c r="D349" s="99" t="s">
        <v>529</v>
      </c>
      <c r="E349" s="99" t="s">
        <v>330</v>
      </c>
      <c r="F349" s="99" t="s">
        <v>317</v>
      </c>
      <c r="G349" s="99" t="s">
        <v>407</v>
      </c>
      <c r="H349" s="99" t="s">
        <v>564</v>
      </c>
      <c r="I349" s="99" t="s">
        <v>309</v>
      </c>
      <c r="J349" s="99" t="s">
        <v>454</v>
      </c>
      <c r="K349" s="99" t="s">
        <v>315</v>
      </c>
      <c r="L349" s="99" t="s">
        <v>880</v>
      </c>
      <c r="M349" s="99" t="s">
        <v>353</v>
      </c>
      <c r="N349" s="99"/>
      <c r="O349" s="99"/>
      <c r="P349" s="99" t="s">
        <v>327</v>
      </c>
      <c r="Q349" s="99" t="s">
        <v>548</v>
      </c>
      <c r="R349" s="99" t="s">
        <v>327</v>
      </c>
      <c r="S349" s="99" t="s">
        <v>500</v>
      </c>
      <c r="T349" s="99" t="s">
        <v>366</v>
      </c>
      <c r="U349" s="99" t="s">
        <v>311</v>
      </c>
      <c r="V349" s="99" t="s">
        <v>842</v>
      </c>
      <c r="W349" s="99" t="s">
        <v>571</v>
      </c>
      <c r="X349" s="99" t="s">
        <v>310</v>
      </c>
      <c r="Y349" s="99" t="s">
        <v>316</v>
      </c>
      <c r="Z349" s="99" t="s">
        <v>316</v>
      </c>
      <c r="AA349" s="99" t="s">
        <v>490</v>
      </c>
      <c r="AB349" s="99" t="s">
        <v>308</v>
      </c>
      <c r="AC349" s="99" t="s">
        <v>296</v>
      </c>
      <c r="AD349" s="99" t="s">
        <v>675</v>
      </c>
      <c r="AE349" s="99" t="s">
        <v>533</v>
      </c>
      <c r="AF349" s="99" t="s">
        <v>1584</v>
      </c>
      <c r="AG349" s="99" t="s">
        <v>306</v>
      </c>
      <c r="AH349" s="99" t="s">
        <v>304</v>
      </c>
      <c r="AI349" s="99" t="s">
        <v>304</v>
      </c>
      <c r="AJ349" s="99" t="s">
        <v>303</v>
      </c>
      <c r="AK349" s="99" t="s">
        <v>304</v>
      </c>
      <c r="AL349" s="99" t="s">
        <v>303</v>
      </c>
      <c r="AM349" s="99" t="s">
        <v>302</v>
      </c>
      <c r="AN349" s="99" t="s">
        <v>302</v>
      </c>
      <c r="AO349" s="99" t="s">
        <v>303</v>
      </c>
      <c r="AP349" s="99" t="s">
        <v>302</v>
      </c>
      <c r="AQ349" s="99" t="s">
        <v>302</v>
      </c>
      <c r="AR349" s="99" t="s">
        <v>391</v>
      </c>
      <c r="AS349" s="99" t="s">
        <v>350</v>
      </c>
      <c r="AT349" s="99" t="s">
        <v>355</v>
      </c>
      <c r="AU349" s="99" t="s">
        <v>320</v>
      </c>
      <c r="AV349" s="99" t="s">
        <v>547</v>
      </c>
      <c r="AW349" s="99" t="s">
        <v>296</v>
      </c>
      <c r="AX349" s="99" t="s">
        <v>319</v>
      </c>
      <c r="AY349" s="99" t="s">
        <v>1073</v>
      </c>
    </row>
    <row r="350" spans="1:51" ht="100.8" x14ac:dyDescent="0.3">
      <c r="A350" s="98">
        <v>42314.313981481479</v>
      </c>
      <c r="B350" s="99" t="s">
        <v>689</v>
      </c>
      <c r="C350" s="99" t="s">
        <v>552</v>
      </c>
      <c r="D350" s="99" t="s">
        <v>560</v>
      </c>
      <c r="E350" s="99" t="s">
        <v>3</v>
      </c>
      <c r="F350" s="99" t="s">
        <v>317</v>
      </c>
      <c r="G350" s="99" t="s">
        <v>435</v>
      </c>
      <c r="H350" s="99" t="s">
        <v>390</v>
      </c>
      <c r="I350" s="99" t="s">
        <v>309</v>
      </c>
      <c r="J350" s="99" t="s">
        <v>591</v>
      </c>
      <c r="K350" s="99" t="s">
        <v>328</v>
      </c>
      <c r="L350" s="99" t="s">
        <v>450</v>
      </c>
      <c r="M350" s="99" t="s">
        <v>314</v>
      </c>
      <c r="N350" s="99" t="s">
        <v>313</v>
      </c>
      <c r="O350" s="99" t="s">
        <v>313</v>
      </c>
      <c r="P350" s="99" t="s">
        <v>327</v>
      </c>
      <c r="Q350" s="99" t="s">
        <v>690</v>
      </c>
      <c r="R350" s="99" t="s">
        <v>327</v>
      </c>
      <c r="S350" s="99" t="s">
        <v>796</v>
      </c>
      <c r="T350" s="99" t="s">
        <v>312</v>
      </c>
      <c r="U350" s="99" t="s">
        <v>311</v>
      </c>
      <c r="V350" s="99" t="s">
        <v>1171</v>
      </c>
      <c r="W350" s="99" t="s">
        <v>325</v>
      </c>
      <c r="X350" s="99" t="s">
        <v>310</v>
      </c>
      <c r="Y350" s="99"/>
      <c r="Z350" s="99" t="s">
        <v>316</v>
      </c>
      <c r="AA350" s="99" t="s">
        <v>650</v>
      </c>
      <c r="AB350" s="99" t="s">
        <v>308</v>
      </c>
      <c r="AC350" s="99" t="s">
        <v>324</v>
      </c>
      <c r="AD350" s="99" t="s">
        <v>414</v>
      </c>
      <c r="AE350" s="99" t="s">
        <v>539</v>
      </c>
      <c r="AF350" s="99" t="s">
        <v>1028</v>
      </c>
      <c r="AG350" s="99" t="s">
        <v>306</v>
      </c>
      <c r="AH350" s="99" t="s">
        <v>303</v>
      </c>
      <c r="AI350" s="99" t="s">
        <v>303</v>
      </c>
      <c r="AJ350" s="99" t="s">
        <v>302</v>
      </c>
      <c r="AK350" s="99" t="s">
        <v>303</v>
      </c>
      <c r="AL350" s="99" t="s">
        <v>302</v>
      </c>
      <c r="AM350" s="99" t="s">
        <v>302</v>
      </c>
      <c r="AN350" s="99" t="s">
        <v>303</v>
      </c>
      <c r="AO350" s="99" t="s">
        <v>302</v>
      </c>
      <c r="AP350" s="99" t="s">
        <v>302</v>
      </c>
      <c r="AQ350" s="99" t="s">
        <v>302</v>
      </c>
      <c r="AR350" s="99" t="s">
        <v>301</v>
      </c>
      <c r="AS350" s="99" t="s">
        <v>350</v>
      </c>
      <c r="AT350" s="99" t="s">
        <v>360</v>
      </c>
      <c r="AU350" s="99" t="s">
        <v>320</v>
      </c>
      <c r="AV350" s="99" t="s">
        <v>536</v>
      </c>
      <c r="AW350" s="99" t="s">
        <v>296</v>
      </c>
      <c r="AX350" s="99" t="s">
        <v>341</v>
      </c>
      <c r="AY350" s="99" t="s">
        <v>402</v>
      </c>
    </row>
    <row r="351" spans="1:51" ht="129.6" x14ac:dyDescent="0.3">
      <c r="A351" s="98">
        <v>42314.384675925925</v>
      </c>
      <c r="B351" s="99" t="s">
        <v>689</v>
      </c>
      <c r="C351" s="99" t="s">
        <v>580</v>
      </c>
      <c r="D351" s="99" t="s">
        <v>529</v>
      </c>
      <c r="E351" s="99" t="s">
        <v>330</v>
      </c>
      <c r="F351" s="99" t="s">
        <v>317</v>
      </c>
      <c r="G351" s="99" t="s">
        <v>407</v>
      </c>
      <c r="H351" s="99" t="s">
        <v>349</v>
      </c>
      <c r="I351" s="99" t="s">
        <v>309</v>
      </c>
      <c r="J351" s="99" t="s">
        <v>575</v>
      </c>
      <c r="K351" s="99" t="s">
        <v>315</v>
      </c>
      <c r="L351" s="99" t="s">
        <v>657</v>
      </c>
      <c r="M351" s="99" t="s">
        <v>353</v>
      </c>
      <c r="N351" s="99" t="s">
        <v>327</v>
      </c>
      <c r="O351" s="99" t="s">
        <v>327</v>
      </c>
      <c r="P351" s="99" t="s">
        <v>327</v>
      </c>
      <c r="Q351" s="99" t="s">
        <v>1748</v>
      </c>
      <c r="R351" s="99" t="s">
        <v>327</v>
      </c>
      <c r="S351" s="99" t="s">
        <v>1749</v>
      </c>
      <c r="T351" s="99" t="s">
        <v>312</v>
      </c>
      <c r="U351" s="99" t="s">
        <v>311</v>
      </c>
      <c r="V351" s="99" t="s">
        <v>551</v>
      </c>
      <c r="W351" s="99" t="s">
        <v>325</v>
      </c>
      <c r="X351" s="99" t="s">
        <v>352</v>
      </c>
      <c r="Y351" s="99" t="s">
        <v>316</v>
      </c>
      <c r="Z351" s="99" t="s">
        <v>316</v>
      </c>
      <c r="AA351" s="99" t="s">
        <v>723</v>
      </c>
      <c r="AB351" s="99" t="s">
        <v>376</v>
      </c>
      <c r="AC351" s="99" t="s">
        <v>307</v>
      </c>
      <c r="AD351" s="99" t="s">
        <v>1750</v>
      </c>
      <c r="AE351" s="99" t="s">
        <v>533</v>
      </c>
      <c r="AF351" s="99" t="s">
        <v>1751</v>
      </c>
      <c r="AG351" s="99" t="s">
        <v>304</v>
      </c>
      <c r="AH351" s="99" t="s">
        <v>304</v>
      </c>
      <c r="AI351" s="99" t="s">
        <v>304</v>
      </c>
      <c r="AJ351" s="99" t="s">
        <v>302</v>
      </c>
      <c r="AK351" s="99" t="s">
        <v>6</v>
      </c>
      <c r="AL351" s="99" t="s">
        <v>303</v>
      </c>
      <c r="AM351" s="99" t="s">
        <v>303</v>
      </c>
      <c r="AN351" s="99" t="s">
        <v>303</v>
      </c>
      <c r="AO351" s="99"/>
      <c r="AP351" s="99" t="s">
        <v>303</v>
      </c>
      <c r="AQ351" s="99" t="s">
        <v>302</v>
      </c>
      <c r="AR351" s="99"/>
      <c r="AS351" s="99" t="s">
        <v>489</v>
      </c>
      <c r="AT351" s="99" t="s">
        <v>355</v>
      </c>
      <c r="AU351" s="99" t="s">
        <v>342</v>
      </c>
      <c r="AV351" s="99" t="s">
        <v>536</v>
      </c>
      <c r="AW351" s="99" t="s">
        <v>324</v>
      </c>
      <c r="AX351" s="99" t="s">
        <v>534</v>
      </c>
      <c r="AY351" s="99" t="s">
        <v>1441</v>
      </c>
    </row>
    <row r="352" spans="1:51" ht="129.6" x14ac:dyDescent="0.3">
      <c r="A352" s="98">
        <v>42314.386597222219</v>
      </c>
      <c r="B352" s="99" t="s">
        <v>689</v>
      </c>
      <c r="C352" s="99" t="s">
        <v>580</v>
      </c>
      <c r="D352" s="99" t="s">
        <v>529</v>
      </c>
      <c r="E352" s="99" t="s">
        <v>330</v>
      </c>
      <c r="F352" s="99" t="s">
        <v>317</v>
      </c>
      <c r="G352" s="99" t="s">
        <v>412</v>
      </c>
      <c r="H352" s="99" t="s">
        <v>5</v>
      </c>
      <c r="I352" s="99" t="s">
        <v>345</v>
      </c>
      <c r="J352" s="99" t="s">
        <v>708</v>
      </c>
      <c r="K352" s="99" t="s">
        <v>315</v>
      </c>
      <c r="L352" s="99" t="s">
        <v>427</v>
      </c>
      <c r="M352" s="99" t="s">
        <v>314</v>
      </c>
      <c r="N352" s="99" t="s">
        <v>4</v>
      </c>
      <c r="O352" s="99" t="s">
        <v>4</v>
      </c>
      <c r="P352" s="99" t="s">
        <v>4</v>
      </c>
      <c r="Q352" s="99" t="s">
        <v>690</v>
      </c>
      <c r="R352" s="99" t="s">
        <v>327</v>
      </c>
      <c r="S352" s="99" t="s">
        <v>822</v>
      </c>
      <c r="T352" s="99" t="s">
        <v>312</v>
      </c>
      <c r="U352" s="99" t="s">
        <v>311</v>
      </c>
      <c r="V352" s="99" t="s">
        <v>949</v>
      </c>
      <c r="W352" s="99" t="s">
        <v>325</v>
      </c>
      <c r="X352" s="99" t="s">
        <v>352</v>
      </c>
      <c r="Y352" s="99" t="s">
        <v>316</v>
      </c>
      <c r="Z352" s="99" t="s">
        <v>316</v>
      </c>
      <c r="AA352" s="99" t="s">
        <v>490</v>
      </c>
      <c r="AB352" s="99" t="s">
        <v>336</v>
      </c>
      <c r="AC352" s="99" t="s">
        <v>307</v>
      </c>
      <c r="AD352" s="99" t="s">
        <v>604</v>
      </c>
      <c r="AE352" s="99" t="s">
        <v>545</v>
      </c>
      <c r="AF352" s="99" t="s">
        <v>1009</v>
      </c>
      <c r="AG352" s="99" t="s">
        <v>306</v>
      </c>
      <c r="AH352" s="99" t="s">
        <v>304</v>
      </c>
      <c r="AI352" s="99" t="s">
        <v>304</v>
      </c>
      <c r="AJ352" s="99" t="s">
        <v>302</v>
      </c>
      <c r="AK352" s="99" t="s">
        <v>304</v>
      </c>
      <c r="AL352" s="99" t="s">
        <v>303</v>
      </c>
      <c r="AM352" s="99" t="s">
        <v>303</v>
      </c>
      <c r="AN352" s="99" t="s">
        <v>303</v>
      </c>
      <c r="AO352" s="99" t="s">
        <v>304</v>
      </c>
      <c r="AP352" s="99" t="s">
        <v>304</v>
      </c>
      <c r="AQ352" s="99" t="s">
        <v>303</v>
      </c>
      <c r="AR352" s="99" t="s">
        <v>301</v>
      </c>
      <c r="AS352" s="99" t="s">
        <v>350</v>
      </c>
      <c r="AT352" s="99" t="s">
        <v>355</v>
      </c>
      <c r="AU352" s="99" t="s">
        <v>320</v>
      </c>
      <c r="AV352" s="99" t="s">
        <v>547</v>
      </c>
      <c r="AW352" s="99" t="s">
        <v>307</v>
      </c>
      <c r="AX352" s="99" t="s">
        <v>341</v>
      </c>
      <c r="AY352" s="99" t="s">
        <v>491</v>
      </c>
    </row>
    <row r="353" spans="1:51" ht="144" x14ac:dyDescent="0.3">
      <c r="A353" s="98">
        <v>42314.386724537035</v>
      </c>
      <c r="B353" s="99" t="s">
        <v>689</v>
      </c>
      <c r="C353" s="99" t="s">
        <v>580</v>
      </c>
      <c r="D353" s="99" t="s">
        <v>529</v>
      </c>
      <c r="E353" s="99" t="s">
        <v>3</v>
      </c>
      <c r="F353" s="99" t="s">
        <v>317</v>
      </c>
      <c r="G353" s="99" t="s">
        <v>446</v>
      </c>
      <c r="H353" s="99" t="s">
        <v>390</v>
      </c>
      <c r="I353" s="99" t="s">
        <v>345</v>
      </c>
      <c r="J353" s="99" t="s">
        <v>896</v>
      </c>
      <c r="K353" s="99" t="s">
        <v>368</v>
      </c>
      <c r="L353" s="99" t="s">
        <v>1752</v>
      </c>
      <c r="M353" s="99"/>
      <c r="N353" s="99" t="s">
        <v>327</v>
      </c>
      <c r="O353" s="99" t="s">
        <v>327</v>
      </c>
      <c r="P353" s="99" t="s">
        <v>327</v>
      </c>
      <c r="Q353" s="99"/>
      <c r="R353" s="99" t="s">
        <v>327</v>
      </c>
      <c r="S353" s="99" t="s">
        <v>397</v>
      </c>
      <c r="T353" s="99" t="s">
        <v>326</v>
      </c>
      <c r="U353" s="99" t="s">
        <v>311</v>
      </c>
      <c r="V353" s="99" t="s">
        <v>428</v>
      </c>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row>
    <row r="354" spans="1:51" ht="129.6" x14ac:dyDescent="0.3">
      <c r="A354" s="98">
        <v>42314.386840277781</v>
      </c>
      <c r="B354" s="99" t="s">
        <v>689</v>
      </c>
      <c r="C354" s="99" t="s">
        <v>580</v>
      </c>
      <c r="D354" s="99" t="s">
        <v>560</v>
      </c>
      <c r="E354" s="99" t="s">
        <v>330</v>
      </c>
      <c r="F354" s="99" t="s">
        <v>317</v>
      </c>
      <c r="G354" s="99" t="s">
        <v>407</v>
      </c>
      <c r="H354" s="99" t="s">
        <v>564</v>
      </c>
      <c r="I354" s="99" t="s">
        <v>309</v>
      </c>
      <c r="J354" s="99" t="s">
        <v>544</v>
      </c>
      <c r="K354" s="99" t="s">
        <v>315</v>
      </c>
      <c r="L354" s="99" t="s">
        <v>406</v>
      </c>
      <c r="M354" s="99" t="s">
        <v>348</v>
      </c>
      <c r="N354" s="99" t="s">
        <v>327</v>
      </c>
      <c r="O354" s="99" t="s">
        <v>313</v>
      </c>
      <c r="P354" s="99" t="s">
        <v>4</v>
      </c>
      <c r="Q354" s="99" t="s">
        <v>411</v>
      </c>
      <c r="R354" s="99" t="s">
        <v>327</v>
      </c>
      <c r="S354" s="99" t="s">
        <v>465</v>
      </c>
      <c r="T354" s="99" t="s">
        <v>366</v>
      </c>
      <c r="U354" s="99" t="s">
        <v>530</v>
      </c>
      <c r="V354" s="99" t="s">
        <v>1753</v>
      </c>
      <c r="W354" s="99" t="s">
        <v>325</v>
      </c>
      <c r="X354" s="99" t="s">
        <v>352</v>
      </c>
      <c r="Y354" s="99" t="s">
        <v>316</v>
      </c>
      <c r="Z354" s="99" t="s">
        <v>316</v>
      </c>
      <c r="AA354" s="99" t="s">
        <v>490</v>
      </c>
      <c r="AB354" s="99" t="s">
        <v>358</v>
      </c>
      <c r="AC354" s="99" t="s">
        <v>324</v>
      </c>
      <c r="AD354" s="99" t="s">
        <v>675</v>
      </c>
      <c r="AE354" s="99" t="s">
        <v>532</v>
      </c>
      <c r="AF354" s="99" t="s">
        <v>461</v>
      </c>
      <c r="AG354" s="99" t="s">
        <v>304</v>
      </c>
      <c r="AH354" s="99" t="s">
        <v>304</v>
      </c>
      <c r="AI354" s="99" t="s">
        <v>304</v>
      </c>
      <c r="AJ354" s="99" t="s">
        <v>303</v>
      </c>
      <c r="AK354" s="99" t="s">
        <v>305</v>
      </c>
      <c r="AL354" s="99" t="s">
        <v>303</v>
      </c>
      <c r="AM354" s="99" t="s">
        <v>303</v>
      </c>
      <c r="AN354" s="99" t="s">
        <v>303</v>
      </c>
      <c r="AO354" s="99" t="s">
        <v>303</v>
      </c>
      <c r="AP354" s="99" t="s">
        <v>303</v>
      </c>
      <c r="AQ354" s="99" t="s">
        <v>303</v>
      </c>
      <c r="AR354" s="99" t="s">
        <v>301</v>
      </c>
      <c r="AS354" s="99" t="s">
        <v>350</v>
      </c>
      <c r="AT354" s="99" t="s">
        <v>355</v>
      </c>
      <c r="AU354" s="99" t="s">
        <v>342</v>
      </c>
      <c r="AV354" s="99" t="s">
        <v>297</v>
      </c>
      <c r="AW354" s="99" t="s">
        <v>307</v>
      </c>
      <c r="AX354" s="99" t="s">
        <v>341</v>
      </c>
      <c r="AY354" s="99" t="s">
        <v>1030</v>
      </c>
    </row>
    <row r="355" spans="1:51" ht="144" x14ac:dyDescent="0.3">
      <c r="A355" s="98">
        <v>42314.386944444443</v>
      </c>
      <c r="B355" s="99" t="s">
        <v>689</v>
      </c>
      <c r="C355" s="99" t="s">
        <v>580</v>
      </c>
      <c r="D355" s="99" t="s">
        <v>331</v>
      </c>
      <c r="E355" s="99" t="s">
        <v>3</v>
      </c>
      <c r="F355" s="99" t="s">
        <v>317</v>
      </c>
      <c r="G355" s="99" t="s">
        <v>340</v>
      </c>
      <c r="H355" s="99" t="s">
        <v>390</v>
      </c>
      <c r="I355" s="99" t="s">
        <v>345</v>
      </c>
      <c r="J355" s="99" t="s">
        <v>565</v>
      </c>
      <c r="K355" s="99" t="s">
        <v>315</v>
      </c>
      <c r="L355" s="99" t="s">
        <v>450</v>
      </c>
      <c r="M355" s="99" t="s">
        <v>314</v>
      </c>
      <c r="N355" s="99" t="s">
        <v>4</v>
      </c>
      <c r="O355" s="99" t="s">
        <v>4</v>
      </c>
      <c r="P355" s="99" t="s">
        <v>313</v>
      </c>
      <c r="Q355" s="99" t="s">
        <v>405</v>
      </c>
      <c r="R355" s="99" t="s">
        <v>313</v>
      </c>
      <c r="S355" s="99" t="s">
        <v>882</v>
      </c>
      <c r="T355" s="99" t="s">
        <v>312</v>
      </c>
      <c r="U355" s="99" t="s">
        <v>530</v>
      </c>
      <c r="V355" s="99" t="s">
        <v>339</v>
      </c>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row>
    <row r="356" spans="1:51" ht="72" x14ac:dyDescent="0.3">
      <c r="A356" s="98">
        <v>42314.387060185189</v>
      </c>
      <c r="B356" s="99" t="s">
        <v>689</v>
      </c>
      <c r="C356" s="99" t="s">
        <v>580</v>
      </c>
      <c r="D356" s="99" t="s">
        <v>560</v>
      </c>
      <c r="E356" s="99" t="s">
        <v>3</v>
      </c>
      <c r="F356" s="99" t="s">
        <v>317</v>
      </c>
      <c r="G356" s="99" t="s">
        <v>446</v>
      </c>
      <c r="H356" s="99" t="s">
        <v>390</v>
      </c>
      <c r="I356" s="99" t="s">
        <v>309</v>
      </c>
      <c r="J356" s="99" t="s">
        <v>1097</v>
      </c>
      <c r="K356" s="99" t="s">
        <v>368</v>
      </c>
      <c r="L356" s="99" t="s">
        <v>475</v>
      </c>
      <c r="M356" s="99" t="s">
        <v>651</v>
      </c>
      <c r="N356" s="99" t="s">
        <v>4</v>
      </c>
      <c r="O356" s="99" t="s">
        <v>313</v>
      </c>
      <c r="P356" s="99" t="s">
        <v>4</v>
      </c>
      <c r="Q356" s="99" t="s">
        <v>411</v>
      </c>
      <c r="R356" s="99" t="s">
        <v>327</v>
      </c>
      <c r="S356" s="99" t="s">
        <v>898</v>
      </c>
      <c r="T356" s="99" t="s">
        <v>326</v>
      </c>
      <c r="U356" s="99" t="s">
        <v>373</v>
      </c>
      <c r="V356" s="99" t="s">
        <v>386</v>
      </c>
      <c r="W356" s="99" t="s">
        <v>338</v>
      </c>
      <c r="X356" s="99" t="s">
        <v>352</v>
      </c>
      <c r="Y356" s="99" t="s">
        <v>316</v>
      </c>
      <c r="Z356" s="99" t="s">
        <v>316</v>
      </c>
      <c r="AA356" s="99" t="s">
        <v>685</v>
      </c>
      <c r="AB356" s="99" t="s">
        <v>358</v>
      </c>
      <c r="AC356" s="99" t="s">
        <v>324</v>
      </c>
      <c r="AD356" s="99" t="s">
        <v>448</v>
      </c>
      <c r="AE356" s="99" t="s">
        <v>535</v>
      </c>
      <c r="AF356" s="99" t="s">
        <v>1754</v>
      </c>
      <c r="AG356" s="99" t="s">
        <v>323</v>
      </c>
      <c r="AH356" s="99" t="s">
        <v>304</v>
      </c>
      <c r="AI356" s="99" t="s">
        <v>303</v>
      </c>
      <c r="AJ356" s="99" t="s">
        <v>302</v>
      </c>
      <c r="AK356" s="99" t="s">
        <v>304</v>
      </c>
      <c r="AL356" s="99" t="s">
        <v>302</v>
      </c>
      <c r="AM356" s="99" t="s">
        <v>303</v>
      </c>
      <c r="AN356" s="99" t="s">
        <v>304</v>
      </c>
      <c r="AO356" s="99" t="s">
        <v>303</v>
      </c>
      <c r="AP356" s="99" t="s">
        <v>303</v>
      </c>
      <c r="AQ356" s="99" t="s">
        <v>303</v>
      </c>
      <c r="AR356" s="99" t="s">
        <v>301</v>
      </c>
      <c r="AS356" s="99" t="s">
        <v>350</v>
      </c>
      <c r="AT356" s="99" t="s">
        <v>355</v>
      </c>
      <c r="AU356" s="99" t="s">
        <v>320</v>
      </c>
      <c r="AV356" s="99" t="s">
        <v>364</v>
      </c>
      <c r="AW356" s="99" t="s">
        <v>324</v>
      </c>
      <c r="AX356" s="99" t="s">
        <v>341</v>
      </c>
      <c r="AY356" s="99" t="s">
        <v>449</v>
      </c>
    </row>
    <row r="357" spans="1:51" ht="144" x14ac:dyDescent="0.3">
      <c r="A357" s="98">
        <v>42314.387743055559</v>
      </c>
      <c r="B357" s="99" t="s">
        <v>689</v>
      </c>
      <c r="C357" s="99" t="s">
        <v>580</v>
      </c>
      <c r="D357" s="99" t="s">
        <v>529</v>
      </c>
      <c r="E357" s="99" t="s">
        <v>3</v>
      </c>
      <c r="F357" s="99" t="s">
        <v>317</v>
      </c>
      <c r="G357" s="99" t="s">
        <v>446</v>
      </c>
      <c r="H357" s="99" t="s">
        <v>390</v>
      </c>
      <c r="I357" s="99" t="s">
        <v>309</v>
      </c>
      <c r="J357" s="99" t="s">
        <v>724</v>
      </c>
      <c r="K357" s="99" t="s">
        <v>315</v>
      </c>
      <c r="L357" s="99" t="s">
        <v>439</v>
      </c>
      <c r="M357" s="99" t="s">
        <v>314</v>
      </c>
      <c r="N357" s="99" t="s">
        <v>327</v>
      </c>
      <c r="O357" s="99" t="s">
        <v>4</v>
      </c>
      <c r="P357" s="99" t="s">
        <v>4</v>
      </c>
      <c r="Q357" s="99" t="s">
        <v>622</v>
      </c>
      <c r="R357" s="99" t="s">
        <v>4</v>
      </c>
      <c r="S357" s="99" t="s">
        <v>1426</v>
      </c>
      <c r="T357" s="99" t="s">
        <v>312</v>
      </c>
      <c r="U357" s="99" t="s">
        <v>311</v>
      </c>
      <c r="V357" s="99" t="s">
        <v>386</v>
      </c>
      <c r="W357" s="99" t="s">
        <v>338</v>
      </c>
      <c r="X357" s="99" t="s">
        <v>346</v>
      </c>
      <c r="Y357" s="99" t="s">
        <v>316</v>
      </c>
      <c r="Z357" s="99" t="s">
        <v>316</v>
      </c>
      <c r="AA357" s="99" t="s">
        <v>459</v>
      </c>
      <c r="AB357" s="99" t="s">
        <v>389</v>
      </c>
      <c r="AC357" s="99" t="s">
        <v>307</v>
      </c>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row>
    <row r="358" spans="1:51" ht="100.8" x14ac:dyDescent="0.3">
      <c r="A358" s="98">
        <v>42314.387962962966</v>
      </c>
      <c r="B358" s="99" t="s">
        <v>689</v>
      </c>
      <c r="C358" s="99" t="s">
        <v>580</v>
      </c>
      <c r="D358" s="99" t="s">
        <v>331</v>
      </c>
      <c r="E358" s="99" t="s">
        <v>330</v>
      </c>
      <c r="F358" s="99" t="s">
        <v>317</v>
      </c>
      <c r="G358" s="99" t="s">
        <v>918</v>
      </c>
      <c r="H358" s="99" t="s">
        <v>390</v>
      </c>
      <c r="I358" s="99" t="s">
        <v>309</v>
      </c>
      <c r="J358" s="99" t="s">
        <v>1110</v>
      </c>
      <c r="K358" s="99" t="s">
        <v>384</v>
      </c>
      <c r="L358" s="99" t="s">
        <v>1755</v>
      </c>
      <c r="M358" s="99" t="s">
        <v>314</v>
      </c>
      <c r="N358" s="99" t="s">
        <v>4</v>
      </c>
      <c r="O358" s="99" t="s">
        <v>313</v>
      </c>
      <c r="P358" s="99" t="s">
        <v>4</v>
      </c>
      <c r="Q358" s="99" t="s">
        <v>674</v>
      </c>
      <c r="R358" s="99" t="s">
        <v>327</v>
      </c>
      <c r="S358" s="99" t="s">
        <v>1756</v>
      </c>
      <c r="T358" s="99" t="s">
        <v>366</v>
      </c>
      <c r="U358" s="99" t="s">
        <v>311</v>
      </c>
      <c r="V358" s="99" t="s">
        <v>1683</v>
      </c>
      <c r="W358" s="99" t="s">
        <v>338</v>
      </c>
      <c r="X358" s="99" t="s">
        <v>352</v>
      </c>
      <c r="Y358" s="99" t="s">
        <v>345</v>
      </c>
      <c r="Z358" s="99" t="s">
        <v>316</v>
      </c>
      <c r="AA358" s="99" t="s">
        <v>732</v>
      </c>
      <c r="AB358" s="99" t="s">
        <v>336</v>
      </c>
      <c r="AC358" s="99" t="s">
        <v>307</v>
      </c>
      <c r="AD358" s="99" t="s">
        <v>1409</v>
      </c>
      <c r="AE358" s="99" t="s">
        <v>539</v>
      </c>
      <c r="AF358" s="99" t="s">
        <v>954</v>
      </c>
      <c r="AG358" s="99" t="s">
        <v>323</v>
      </c>
      <c r="AH358" s="99" t="s">
        <v>304</v>
      </c>
      <c r="AI358" s="99" t="s">
        <v>305</v>
      </c>
      <c r="AJ358" s="99" t="s">
        <v>303</v>
      </c>
      <c r="AK358" s="99" t="s">
        <v>305</v>
      </c>
      <c r="AL358" s="99" t="s">
        <v>303</v>
      </c>
      <c r="AM358" s="99" t="s">
        <v>303</v>
      </c>
      <c r="AN358" s="99" t="s">
        <v>304</v>
      </c>
      <c r="AO358" s="99" t="s">
        <v>302</v>
      </c>
      <c r="AP358" s="99" t="s">
        <v>302</v>
      </c>
      <c r="AQ358" s="99" t="s">
        <v>303</v>
      </c>
      <c r="AR358" s="99" t="s">
        <v>541</v>
      </c>
      <c r="AS358" s="99" t="s">
        <v>489</v>
      </c>
      <c r="AT358" s="99" t="s">
        <v>321</v>
      </c>
      <c r="AU358" s="99" t="s">
        <v>342</v>
      </c>
      <c r="AV358" s="99" t="s">
        <v>536</v>
      </c>
      <c r="AW358" s="99" t="s">
        <v>307</v>
      </c>
      <c r="AX358" s="99" t="s">
        <v>534</v>
      </c>
      <c r="AY358" s="99" t="s">
        <v>425</v>
      </c>
    </row>
    <row r="359" spans="1:51" ht="187.2" x14ac:dyDescent="0.3">
      <c r="A359" s="98">
        <v>42314.388124999998</v>
      </c>
      <c r="B359" s="99" t="s">
        <v>689</v>
      </c>
      <c r="C359" s="99" t="s">
        <v>580</v>
      </c>
      <c r="D359" s="99" t="s">
        <v>529</v>
      </c>
      <c r="E359" s="99" t="s">
        <v>3</v>
      </c>
      <c r="F359" s="99" t="s">
        <v>317</v>
      </c>
      <c r="G359" s="99" t="s">
        <v>435</v>
      </c>
      <c r="H359" s="99" t="s">
        <v>390</v>
      </c>
      <c r="I359" s="99" t="s">
        <v>345</v>
      </c>
      <c r="J359" s="99" t="s">
        <v>695</v>
      </c>
      <c r="K359" s="99" t="s">
        <v>315</v>
      </c>
      <c r="L359" s="99" t="s">
        <v>868</v>
      </c>
      <c r="M359" s="99" t="s">
        <v>314</v>
      </c>
      <c r="N359" s="99" t="s">
        <v>4</v>
      </c>
      <c r="O359" s="99" t="s">
        <v>313</v>
      </c>
      <c r="P359" s="99" t="s">
        <v>4</v>
      </c>
      <c r="Q359" s="99" t="s">
        <v>674</v>
      </c>
      <c r="R359" s="99" t="s">
        <v>327</v>
      </c>
      <c r="S359" s="99" t="s">
        <v>662</v>
      </c>
      <c r="T359" s="99" t="s">
        <v>312</v>
      </c>
      <c r="U359" s="99" t="s">
        <v>311</v>
      </c>
      <c r="V359" s="99" t="s">
        <v>1757</v>
      </c>
      <c r="W359" s="99" t="s">
        <v>338</v>
      </c>
      <c r="X359" s="99" t="s">
        <v>352</v>
      </c>
      <c r="Y359" s="99" t="s">
        <v>316</v>
      </c>
      <c r="Z359" s="99" t="s">
        <v>316</v>
      </c>
      <c r="AA359" s="99" t="s">
        <v>685</v>
      </c>
      <c r="AB359" s="99" t="s">
        <v>358</v>
      </c>
      <c r="AC359" s="99" t="s">
        <v>296</v>
      </c>
      <c r="AD359" s="99" t="s">
        <v>599</v>
      </c>
      <c r="AE359" s="99" t="s">
        <v>532</v>
      </c>
      <c r="AF359" s="99" t="s">
        <v>492</v>
      </c>
      <c r="AG359" s="99" t="s">
        <v>323</v>
      </c>
      <c r="AH359" s="99" t="s">
        <v>304</v>
      </c>
      <c r="AI359" s="99" t="s">
        <v>304</v>
      </c>
      <c r="AJ359" s="99" t="s">
        <v>302</v>
      </c>
      <c r="AK359" s="99" t="s">
        <v>303</v>
      </c>
      <c r="AL359" s="99" t="s">
        <v>302</v>
      </c>
      <c r="AM359" s="99" t="s">
        <v>302</v>
      </c>
      <c r="AN359" s="99" t="s">
        <v>303</v>
      </c>
      <c r="AO359" s="99" t="s">
        <v>303</v>
      </c>
      <c r="AP359" s="99" t="s">
        <v>302</v>
      </c>
      <c r="AQ359" s="99" t="s">
        <v>304</v>
      </c>
      <c r="AR359" s="99" t="s">
        <v>301</v>
      </c>
      <c r="AS359" s="99" t="s">
        <v>563</v>
      </c>
      <c r="AT359" s="99" t="s">
        <v>355</v>
      </c>
      <c r="AU359" s="99" t="s">
        <v>320</v>
      </c>
      <c r="AV359" s="99" t="s">
        <v>333</v>
      </c>
      <c r="AW359" s="99" t="s">
        <v>324</v>
      </c>
      <c r="AX359" s="99" t="s">
        <v>549</v>
      </c>
      <c r="AY359" s="99" t="s">
        <v>1758</v>
      </c>
    </row>
    <row r="360" spans="1:51" ht="244.8" x14ac:dyDescent="0.3">
      <c r="A360" s="98">
        <v>42314.388391203705</v>
      </c>
      <c r="B360" s="99" t="s">
        <v>689</v>
      </c>
      <c r="C360" s="99" t="s">
        <v>580</v>
      </c>
      <c r="D360" s="99" t="s">
        <v>560</v>
      </c>
      <c r="E360" s="99" t="s">
        <v>3</v>
      </c>
      <c r="F360" s="99" t="s">
        <v>317</v>
      </c>
      <c r="G360" s="99" t="s">
        <v>407</v>
      </c>
      <c r="H360" s="99" t="s">
        <v>390</v>
      </c>
      <c r="I360" s="99" t="s">
        <v>309</v>
      </c>
      <c r="J360" s="99" t="s">
        <v>454</v>
      </c>
      <c r="K360" s="99" t="s">
        <v>315</v>
      </c>
      <c r="L360" s="99" t="s">
        <v>427</v>
      </c>
      <c r="M360" s="99" t="s">
        <v>314</v>
      </c>
      <c r="N360" s="99" t="s">
        <v>4</v>
      </c>
      <c r="O360" s="99" t="s">
        <v>4</v>
      </c>
      <c r="P360" s="99" t="s">
        <v>327</v>
      </c>
      <c r="Q360" s="99" t="s">
        <v>450</v>
      </c>
      <c r="R360" s="99" t="s">
        <v>327</v>
      </c>
      <c r="S360" s="99" t="s">
        <v>500</v>
      </c>
      <c r="T360" s="99" t="s">
        <v>312</v>
      </c>
      <c r="U360" s="99" t="s">
        <v>311</v>
      </c>
      <c r="V360" s="99" t="s">
        <v>727</v>
      </c>
      <c r="W360" s="99" t="s">
        <v>325</v>
      </c>
      <c r="X360" s="99" t="s">
        <v>352</v>
      </c>
      <c r="Y360" s="99" t="s">
        <v>316</v>
      </c>
      <c r="Z360" s="99" t="s">
        <v>316</v>
      </c>
      <c r="AA360" s="99" t="s">
        <v>678</v>
      </c>
      <c r="AB360" s="99" t="s">
        <v>358</v>
      </c>
      <c r="AC360" s="99" t="s">
        <v>307</v>
      </c>
      <c r="AD360" s="99" t="s">
        <v>1044</v>
      </c>
      <c r="AE360" s="99" t="s">
        <v>535</v>
      </c>
      <c r="AF360" s="99" t="s">
        <v>1759</v>
      </c>
      <c r="AG360" s="99"/>
      <c r="AH360" s="99"/>
      <c r="AI360" s="99"/>
      <c r="AJ360" s="99"/>
      <c r="AK360" s="99"/>
      <c r="AL360" s="99"/>
      <c r="AM360" s="99"/>
      <c r="AN360" s="99"/>
      <c r="AO360" s="99"/>
      <c r="AP360" s="99"/>
      <c r="AQ360" s="99"/>
      <c r="AR360" s="99"/>
      <c r="AS360" s="99"/>
      <c r="AT360" s="99"/>
      <c r="AU360" s="99"/>
      <c r="AV360" s="99"/>
      <c r="AW360" s="99"/>
      <c r="AX360" s="99"/>
      <c r="AY360" s="99"/>
    </row>
    <row r="361" spans="1:51" ht="129.6" x14ac:dyDescent="0.3">
      <c r="A361" s="98">
        <v>42314.388402777775</v>
      </c>
      <c r="B361" s="99" t="s">
        <v>689</v>
      </c>
      <c r="C361" s="99" t="s">
        <v>580</v>
      </c>
      <c r="D361" s="99" t="s">
        <v>529</v>
      </c>
      <c r="E361" s="99" t="s">
        <v>3</v>
      </c>
      <c r="F361" s="99" t="s">
        <v>317</v>
      </c>
      <c r="G361" s="99" t="s">
        <v>446</v>
      </c>
      <c r="H361" s="99" t="s">
        <v>390</v>
      </c>
      <c r="I361" s="99" t="s">
        <v>309</v>
      </c>
      <c r="J361" s="99" t="s">
        <v>440</v>
      </c>
      <c r="K361" s="99" t="s">
        <v>368</v>
      </c>
      <c r="L361" s="99" t="s">
        <v>577</v>
      </c>
      <c r="M361" s="99" t="s">
        <v>314</v>
      </c>
      <c r="N361" s="99" t="s">
        <v>4</v>
      </c>
      <c r="O361" s="99" t="s">
        <v>313</v>
      </c>
      <c r="P361" s="99" t="s">
        <v>4</v>
      </c>
      <c r="Q361" s="99" t="s">
        <v>411</v>
      </c>
      <c r="R361" s="99" t="s">
        <v>4</v>
      </c>
      <c r="S361" s="99" t="s">
        <v>394</v>
      </c>
      <c r="T361" s="99" t="s">
        <v>380</v>
      </c>
      <c r="U361" s="99" t="s">
        <v>530</v>
      </c>
      <c r="V361" s="99" t="s">
        <v>339</v>
      </c>
      <c r="W361" s="99" t="s">
        <v>338</v>
      </c>
      <c r="X361" s="99" t="s">
        <v>352</v>
      </c>
      <c r="Y361" s="99" t="s">
        <v>316</v>
      </c>
      <c r="Z361" s="99" t="s">
        <v>316</v>
      </c>
      <c r="AA361" s="99" t="s">
        <v>685</v>
      </c>
      <c r="AB361" s="99" t="s">
        <v>308</v>
      </c>
      <c r="AC361" s="99" t="s">
        <v>324</v>
      </c>
      <c r="AD361" s="99" t="s">
        <v>426</v>
      </c>
      <c r="AE361" s="99" t="s">
        <v>532</v>
      </c>
      <c r="AF361" s="99" t="s">
        <v>974</v>
      </c>
      <c r="AG361" s="99" t="s">
        <v>323</v>
      </c>
      <c r="AH361" s="99" t="s">
        <v>305</v>
      </c>
      <c r="AI361" s="99" t="s">
        <v>305</v>
      </c>
      <c r="AJ361" s="99" t="s">
        <v>303</v>
      </c>
      <c r="AK361" s="99" t="s">
        <v>6</v>
      </c>
      <c r="AL361" s="99" t="s">
        <v>303</v>
      </c>
      <c r="AM361" s="99" t="s">
        <v>304</v>
      </c>
      <c r="AN361" s="99" t="s">
        <v>304</v>
      </c>
      <c r="AO361" s="99" t="s">
        <v>304</v>
      </c>
      <c r="AP361" s="99" t="s">
        <v>304</v>
      </c>
      <c r="AQ361" s="99" t="s">
        <v>304</v>
      </c>
      <c r="AR361" s="99" t="s">
        <v>322</v>
      </c>
      <c r="AS361" s="99" t="s">
        <v>300</v>
      </c>
      <c r="AT361" s="99" t="s">
        <v>360</v>
      </c>
      <c r="AU361" s="99" t="s">
        <v>298</v>
      </c>
      <c r="AV361" s="99" t="s">
        <v>333</v>
      </c>
      <c r="AW361" s="99" t="s">
        <v>324</v>
      </c>
      <c r="AX361" s="99" t="s">
        <v>375</v>
      </c>
      <c r="AY361" s="99" t="s">
        <v>649</v>
      </c>
    </row>
    <row r="362" spans="1:51" ht="244.8" x14ac:dyDescent="0.3">
      <c r="A362" s="98">
        <v>42314.389201388891</v>
      </c>
      <c r="B362" s="99" t="s">
        <v>689</v>
      </c>
      <c r="C362" s="99" t="s">
        <v>580</v>
      </c>
      <c r="D362" s="99" t="s">
        <v>331</v>
      </c>
      <c r="E362" s="99" t="s">
        <v>3</v>
      </c>
      <c r="F362" s="99" t="s">
        <v>317</v>
      </c>
      <c r="G362" s="99" t="s">
        <v>435</v>
      </c>
      <c r="H362" s="99" t="s">
        <v>390</v>
      </c>
      <c r="I362" s="99" t="s">
        <v>345</v>
      </c>
      <c r="J362" s="99" t="s">
        <v>1152</v>
      </c>
      <c r="K362" s="99" t="s">
        <v>359</v>
      </c>
      <c r="L362" s="99" t="s">
        <v>1098</v>
      </c>
      <c r="M362" s="99" t="s">
        <v>562</v>
      </c>
      <c r="N362" s="99" t="s">
        <v>4</v>
      </c>
      <c r="O362" s="99" t="s">
        <v>4</v>
      </c>
      <c r="P362" s="99" t="s">
        <v>313</v>
      </c>
      <c r="Q362" s="99" t="s">
        <v>411</v>
      </c>
      <c r="R362" s="99" t="s">
        <v>327</v>
      </c>
      <c r="S362" s="99" t="s">
        <v>1760</v>
      </c>
      <c r="T362" s="99" t="s">
        <v>312</v>
      </c>
      <c r="U362" s="99" t="s">
        <v>311</v>
      </c>
      <c r="V362" s="99" t="s">
        <v>1761</v>
      </c>
      <c r="W362" s="99" t="s">
        <v>338</v>
      </c>
      <c r="X362" s="99" t="s">
        <v>352</v>
      </c>
      <c r="Y362" s="99" t="s">
        <v>316</v>
      </c>
      <c r="Z362" s="99" t="s">
        <v>316</v>
      </c>
      <c r="AA362" s="99" t="s">
        <v>653</v>
      </c>
      <c r="AB362" s="99" t="s">
        <v>308</v>
      </c>
      <c r="AC362" s="99" t="s">
        <v>307</v>
      </c>
      <c r="AD362" s="99"/>
      <c r="AE362" s="99" t="s">
        <v>535</v>
      </c>
      <c r="AF362" s="99" t="s">
        <v>1762</v>
      </c>
      <c r="AG362" s="99" t="s">
        <v>323</v>
      </c>
      <c r="AH362" s="99" t="s">
        <v>303</v>
      </c>
      <c r="AI362" s="99" t="s">
        <v>304</v>
      </c>
      <c r="AJ362" s="99" t="s">
        <v>302</v>
      </c>
      <c r="AK362" s="99" t="s">
        <v>305</v>
      </c>
      <c r="AL362" s="99" t="s">
        <v>303</v>
      </c>
      <c r="AM362" s="99" t="s">
        <v>303</v>
      </c>
      <c r="AN362" s="99" t="s">
        <v>303</v>
      </c>
      <c r="AO362" s="99" t="s">
        <v>303</v>
      </c>
      <c r="AP362" s="99" t="s">
        <v>304</v>
      </c>
      <c r="AQ362" s="99" t="s">
        <v>302</v>
      </c>
      <c r="AR362" s="99" t="s">
        <v>365</v>
      </c>
      <c r="AS362" s="99" t="s">
        <v>350</v>
      </c>
      <c r="AT362" s="99" t="s">
        <v>355</v>
      </c>
      <c r="AU362" s="99" t="s">
        <v>320</v>
      </c>
      <c r="AV362" s="99" t="s">
        <v>364</v>
      </c>
      <c r="AW362" s="99" t="s">
        <v>296</v>
      </c>
      <c r="AX362" s="99" t="s">
        <v>534</v>
      </c>
      <c r="AY362" s="99" t="s">
        <v>1030</v>
      </c>
    </row>
    <row r="363" spans="1:51" ht="115.2" x14ac:dyDescent="0.3">
      <c r="A363" s="98">
        <v>42314.390208333331</v>
      </c>
      <c r="B363" s="99" t="s">
        <v>689</v>
      </c>
      <c r="C363" s="99" t="s">
        <v>580</v>
      </c>
      <c r="D363" s="99" t="s">
        <v>529</v>
      </c>
      <c r="E363" s="99" t="s">
        <v>330</v>
      </c>
      <c r="F363" s="99" t="s">
        <v>317</v>
      </c>
      <c r="G363" s="99" t="s">
        <v>407</v>
      </c>
      <c r="H363" s="99" t="s">
        <v>390</v>
      </c>
      <c r="I363" s="99" t="s">
        <v>309</v>
      </c>
      <c r="J363" s="99" t="s">
        <v>575</v>
      </c>
      <c r="K363" s="99" t="s">
        <v>328</v>
      </c>
      <c r="L363" s="99" t="s">
        <v>1763</v>
      </c>
      <c r="M363" s="99" t="s">
        <v>314</v>
      </c>
      <c r="N363" s="99" t="s">
        <v>4</v>
      </c>
      <c r="O363" s="99" t="s">
        <v>4</v>
      </c>
      <c r="P363" s="99" t="s">
        <v>4</v>
      </c>
      <c r="Q363" s="99" t="s">
        <v>1309</v>
      </c>
      <c r="R363" s="99" t="s">
        <v>327</v>
      </c>
      <c r="S363" s="99" t="s">
        <v>712</v>
      </c>
      <c r="T363" s="99" t="s">
        <v>366</v>
      </c>
      <c r="U363" s="99" t="s">
        <v>530</v>
      </c>
      <c r="V363" s="99" t="s">
        <v>911</v>
      </c>
      <c r="W363" s="99" t="s">
        <v>338</v>
      </c>
      <c r="X363" s="99" t="s">
        <v>352</v>
      </c>
      <c r="Y363" s="99" t="s">
        <v>309</v>
      </c>
      <c r="Z363" s="99" t="s">
        <v>316</v>
      </c>
      <c r="AA363" s="99" t="s">
        <v>490</v>
      </c>
      <c r="AB363" s="99" t="s">
        <v>308</v>
      </c>
      <c r="AC363" s="99" t="s">
        <v>307</v>
      </c>
      <c r="AD363" s="99" t="s">
        <v>462</v>
      </c>
      <c r="AE363" s="99" t="s">
        <v>539</v>
      </c>
      <c r="AF363" s="99" t="s">
        <v>1764</v>
      </c>
      <c r="AG363" s="99" t="s">
        <v>323</v>
      </c>
      <c r="AH363" s="99" t="s">
        <v>304</v>
      </c>
      <c r="AI363" s="99" t="s">
        <v>6</v>
      </c>
      <c r="AJ363" s="99" t="s">
        <v>304</v>
      </c>
      <c r="AK363" s="99" t="s">
        <v>304</v>
      </c>
      <c r="AL363" s="99" t="s">
        <v>303</v>
      </c>
      <c r="AM363" s="99" t="s">
        <v>303</v>
      </c>
      <c r="AN363" s="99" t="s">
        <v>303</v>
      </c>
      <c r="AO363" s="99" t="s">
        <v>303</v>
      </c>
      <c r="AP363" s="99" t="s">
        <v>303</v>
      </c>
      <c r="AQ363" s="99" t="s">
        <v>303</v>
      </c>
      <c r="AR363" s="99" t="s">
        <v>673</v>
      </c>
      <c r="AS363" s="99" t="s">
        <v>563</v>
      </c>
      <c r="AT363" s="99" t="s">
        <v>355</v>
      </c>
      <c r="AU363" s="99" t="s">
        <v>342</v>
      </c>
      <c r="AV363" s="99" t="s">
        <v>297</v>
      </c>
      <c r="AW363" s="99" t="s">
        <v>324</v>
      </c>
      <c r="AX363" s="99" t="s">
        <v>534</v>
      </c>
      <c r="AY363" s="99" t="s">
        <v>644</v>
      </c>
    </row>
    <row r="364" spans="1:51" ht="144" x14ac:dyDescent="0.3">
      <c r="A364" s="98">
        <v>42314.390972222223</v>
      </c>
      <c r="B364" s="99" t="s">
        <v>689</v>
      </c>
      <c r="C364" s="99" t="s">
        <v>580</v>
      </c>
      <c r="D364" s="99" t="s">
        <v>529</v>
      </c>
      <c r="E364" s="99" t="s">
        <v>330</v>
      </c>
      <c r="F364" s="99" t="s">
        <v>317</v>
      </c>
      <c r="G364" s="99" t="s">
        <v>407</v>
      </c>
      <c r="H364" s="99" t="s">
        <v>390</v>
      </c>
      <c r="I364" s="99" t="s">
        <v>345</v>
      </c>
      <c r="J364" s="99" t="s">
        <v>454</v>
      </c>
      <c r="K364" s="99" t="s">
        <v>315</v>
      </c>
      <c r="L364" s="99" t="s">
        <v>450</v>
      </c>
      <c r="M364" s="99" t="s">
        <v>314</v>
      </c>
      <c r="N364" s="99" t="s">
        <v>327</v>
      </c>
      <c r="O364" s="99" t="s">
        <v>4</v>
      </c>
      <c r="P364" s="99" t="s">
        <v>4</v>
      </c>
      <c r="Q364" s="99" t="s">
        <v>579</v>
      </c>
      <c r="R364" s="99" t="s">
        <v>327</v>
      </c>
      <c r="S364" s="99" t="s">
        <v>720</v>
      </c>
      <c r="T364" s="99" t="s">
        <v>312</v>
      </c>
      <c r="U364" s="99" t="s">
        <v>311</v>
      </c>
      <c r="V364" s="99" t="s">
        <v>672</v>
      </c>
      <c r="W364" s="99" t="s">
        <v>325</v>
      </c>
      <c r="X364" s="99" t="s">
        <v>352</v>
      </c>
      <c r="Y364" s="99" t="s">
        <v>316</v>
      </c>
      <c r="Z364" s="99" t="s">
        <v>316</v>
      </c>
      <c r="AA364" s="99" t="s">
        <v>685</v>
      </c>
      <c r="AB364" s="99" t="s">
        <v>308</v>
      </c>
      <c r="AC364" s="99" t="s">
        <v>324</v>
      </c>
      <c r="AD364" s="99" t="s">
        <v>357</v>
      </c>
      <c r="AE364" s="99" t="s">
        <v>539</v>
      </c>
      <c r="AF364" s="99" t="s">
        <v>1157</v>
      </c>
      <c r="AG364" s="99" t="s">
        <v>304</v>
      </c>
      <c r="AH364" s="99" t="s">
        <v>6</v>
      </c>
      <c r="AI364" s="99" t="s">
        <v>6</v>
      </c>
      <c r="AJ364" s="99" t="s">
        <v>304</v>
      </c>
      <c r="AK364" s="99" t="s">
        <v>304</v>
      </c>
      <c r="AL364" s="99" t="s">
        <v>303</v>
      </c>
      <c r="AM364" s="99" t="s">
        <v>304</v>
      </c>
      <c r="AN364" s="99" t="s">
        <v>303</v>
      </c>
      <c r="AO364" s="99" t="s">
        <v>303</v>
      </c>
      <c r="AP364" s="99" t="s">
        <v>303</v>
      </c>
      <c r="AQ364" s="99" t="s">
        <v>303</v>
      </c>
      <c r="AR364" s="99" t="s">
        <v>322</v>
      </c>
      <c r="AS364" s="99" t="s">
        <v>350</v>
      </c>
      <c r="AT364" s="99" t="s">
        <v>360</v>
      </c>
      <c r="AU364" s="99" t="s">
        <v>342</v>
      </c>
      <c r="AV364" s="99" t="s">
        <v>364</v>
      </c>
      <c r="AW364" s="99" t="s">
        <v>307</v>
      </c>
      <c r="AX364" s="99" t="s">
        <v>341</v>
      </c>
      <c r="AY364" s="99" t="s">
        <v>904</v>
      </c>
    </row>
    <row r="365" spans="1:51" ht="187.2" x14ac:dyDescent="0.3">
      <c r="A365" s="98">
        <v>42314.391018518516</v>
      </c>
      <c r="B365" s="99" t="s">
        <v>689</v>
      </c>
      <c r="C365" s="99" t="s">
        <v>580</v>
      </c>
      <c r="D365" s="99" t="s">
        <v>331</v>
      </c>
      <c r="E365" s="99" t="s">
        <v>330</v>
      </c>
      <c r="F365" s="99" t="s">
        <v>317</v>
      </c>
      <c r="G365" s="99" t="s">
        <v>407</v>
      </c>
      <c r="H365" s="99" t="s">
        <v>390</v>
      </c>
      <c r="I365" s="99" t="s">
        <v>309</v>
      </c>
      <c r="J365" s="99" t="s">
        <v>479</v>
      </c>
      <c r="K365" s="99" t="s">
        <v>315</v>
      </c>
      <c r="L365" s="99" t="s">
        <v>427</v>
      </c>
      <c r="M365" s="99" t="s">
        <v>353</v>
      </c>
      <c r="N365" s="99" t="s">
        <v>327</v>
      </c>
      <c r="O365" s="99" t="s">
        <v>4</v>
      </c>
      <c r="P365" s="99" t="s">
        <v>4</v>
      </c>
      <c r="Q365" s="99" t="s">
        <v>411</v>
      </c>
      <c r="R365" s="99" t="s">
        <v>327</v>
      </c>
      <c r="S365" s="99" t="s">
        <v>677</v>
      </c>
      <c r="T365" s="99" t="s">
        <v>312</v>
      </c>
      <c r="U365" s="99" t="s">
        <v>530</v>
      </c>
      <c r="V365" s="99" t="s">
        <v>1035</v>
      </c>
      <c r="W365" s="99" t="s">
        <v>325</v>
      </c>
      <c r="X365" s="99" t="s">
        <v>352</v>
      </c>
      <c r="Y365" s="99" t="s">
        <v>316</v>
      </c>
      <c r="Z365" s="99" t="s">
        <v>316</v>
      </c>
      <c r="AA365" s="99" t="s">
        <v>1765</v>
      </c>
      <c r="AB365" s="99" t="s">
        <v>336</v>
      </c>
      <c r="AC365" s="99" t="s">
        <v>307</v>
      </c>
      <c r="AD365" s="99" t="s">
        <v>361</v>
      </c>
      <c r="AE365" s="99" t="s">
        <v>535</v>
      </c>
      <c r="AF365" s="99" t="s">
        <v>420</v>
      </c>
      <c r="AG365" s="99" t="s">
        <v>304</v>
      </c>
      <c r="AH365" s="99" t="s">
        <v>304</v>
      </c>
      <c r="AI365" s="99" t="s">
        <v>304</v>
      </c>
      <c r="AJ365" s="99"/>
      <c r="AK365" s="99" t="s">
        <v>6</v>
      </c>
      <c r="AL365" s="99" t="s">
        <v>304</v>
      </c>
      <c r="AM365" s="99" t="s">
        <v>304</v>
      </c>
      <c r="AN365" s="99" t="s">
        <v>305</v>
      </c>
      <c r="AO365" s="99" t="s">
        <v>304</v>
      </c>
      <c r="AP365" s="99" t="s">
        <v>303</v>
      </c>
      <c r="AQ365" s="99" t="s">
        <v>303</v>
      </c>
      <c r="AR365" s="99" t="s">
        <v>301</v>
      </c>
      <c r="AS365" s="99" t="s">
        <v>350</v>
      </c>
      <c r="AT365" s="99" t="s">
        <v>321</v>
      </c>
      <c r="AU365" s="99" t="s">
        <v>342</v>
      </c>
      <c r="AV365" s="99" t="s">
        <v>392</v>
      </c>
      <c r="AW365" s="99"/>
      <c r="AX365" s="99" t="s">
        <v>534</v>
      </c>
      <c r="AY365" s="99" t="s">
        <v>436</v>
      </c>
    </row>
    <row r="366" spans="1:51" ht="158.4" x14ac:dyDescent="0.3">
      <c r="A366" s="98">
        <v>42314.395127314812</v>
      </c>
      <c r="B366" s="99" t="s">
        <v>689</v>
      </c>
      <c r="C366" s="99" t="s">
        <v>580</v>
      </c>
      <c r="D366" s="99" t="s">
        <v>529</v>
      </c>
      <c r="E366" s="99" t="s">
        <v>330</v>
      </c>
      <c r="F366" s="99" t="s">
        <v>317</v>
      </c>
      <c r="G366" s="99" t="s">
        <v>407</v>
      </c>
      <c r="H366" s="99" t="s">
        <v>390</v>
      </c>
      <c r="I366" s="99" t="s">
        <v>345</v>
      </c>
      <c r="J366" s="99" t="s">
        <v>544</v>
      </c>
      <c r="K366" s="99" t="s">
        <v>328</v>
      </c>
      <c r="L366" s="99" t="s">
        <v>427</v>
      </c>
      <c r="M366" s="99" t="s">
        <v>314</v>
      </c>
      <c r="N366" s="99" t="s">
        <v>327</v>
      </c>
      <c r="O366" s="99" t="s">
        <v>313</v>
      </c>
      <c r="P366" s="99" t="s">
        <v>4</v>
      </c>
      <c r="Q366" s="99" t="s">
        <v>411</v>
      </c>
      <c r="R366" s="99" t="s">
        <v>327</v>
      </c>
      <c r="S366" s="99" t="s">
        <v>1583</v>
      </c>
      <c r="T366" s="99" t="s">
        <v>312</v>
      </c>
      <c r="U366" s="99" t="s">
        <v>373</v>
      </c>
      <c r="V366" s="99" t="s">
        <v>1002</v>
      </c>
      <c r="W366" s="99" t="s">
        <v>325</v>
      </c>
      <c r="X366" s="99" t="s">
        <v>352</v>
      </c>
      <c r="Y366" s="99" t="s">
        <v>316</v>
      </c>
      <c r="Z366" s="99" t="s">
        <v>316</v>
      </c>
      <c r="AA366" s="99" t="s">
        <v>732</v>
      </c>
      <c r="AB366" s="99" t="s">
        <v>336</v>
      </c>
      <c r="AC366" s="99" t="s">
        <v>296</v>
      </c>
      <c r="AD366" s="99" t="s">
        <v>694</v>
      </c>
      <c r="AE366" s="99" t="s">
        <v>535</v>
      </c>
      <c r="AF366" s="99" t="s">
        <v>1766</v>
      </c>
      <c r="AG366" s="99" t="s">
        <v>400</v>
      </c>
      <c r="AH366" s="99" t="s">
        <v>295</v>
      </c>
      <c r="AI366" s="99" t="s">
        <v>295</v>
      </c>
      <c r="AJ366" s="99" t="s">
        <v>304</v>
      </c>
      <c r="AK366" s="99" t="s">
        <v>6</v>
      </c>
      <c r="AL366" s="99" t="s">
        <v>304</v>
      </c>
      <c r="AM366" s="99" t="s">
        <v>304</v>
      </c>
      <c r="AN366" s="99" t="s">
        <v>303</v>
      </c>
      <c r="AO366" s="99" t="s">
        <v>305</v>
      </c>
      <c r="AP366" s="99" t="s">
        <v>303</v>
      </c>
      <c r="AQ366" s="99" t="s">
        <v>304</v>
      </c>
      <c r="AR366" s="99" t="s">
        <v>378</v>
      </c>
      <c r="AS366" s="99" t="s">
        <v>489</v>
      </c>
      <c r="AT366" s="99" t="s">
        <v>355</v>
      </c>
      <c r="AU366" s="99" t="s">
        <v>342</v>
      </c>
      <c r="AV366" s="99" t="s">
        <v>547</v>
      </c>
      <c r="AW366" s="99" t="s">
        <v>324</v>
      </c>
      <c r="AX366" s="99" t="s">
        <v>534</v>
      </c>
      <c r="AY366" s="99" t="s">
        <v>491</v>
      </c>
    </row>
    <row r="367" spans="1:51" ht="144" x14ac:dyDescent="0.3">
      <c r="A367" s="98" t="s">
        <v>1767</v>
      </c>
      <c r="B367" s="99" t="s">
        <v>689</v>
      </c>
      <c r="C367" s="99" t="s">
        <v>799</v>
      </c>
      <c r="D367" s="99" t="s">
        <v>529</v>
      </c>
      <c r="E367" s="99" t="s">
        <v>3</v>
      </c>
      <c r="F367" s="99" t="s">
        <v>372</v>
      </c>
      <c r="G367" s="99" t="s">
        <v>340</v>
      </c>
      <c r="H367" s="99" t="s">
        <v>5</v>
      </c>
      <c r="I367" s="99" t="s">
        <v>309</v>
      </c>
      <c r="J367" s="99" t="s">
        <v>454</v>
      </c>
      <c r="K367" s="99" t="s">
        <v>315</v>
      </c>
      <c r="L367" s="99" t="s">
        <v>566</v>
      </c>
      <c r="M367" s="99" t="s">
        <v>353</v>
      </c>
      <c r="N367" s="99" t="s">
        <v>327</v>
      </c>
      <c r="O367" s="99" t="s">
        <v>4</v>
      </c>
      <c r="P367" s="99" t="s">
        <v>374</v>
      </c>
      <c r="Q367" s="99" t="s">
        <v>411</v>
      </c>
      <c r="R367" s="99" t="s">
        <v>374</v>
      </c>
      <c r="S367" s="99" t="s">
        <v>1134</v>
      </c>
      <c r="T367" s="99" t="s">
        <v>380</v>
      </c>
      <c r="U367" s="99" t="s">
        <v>373</v>
      </c>
      <c r="V367" s="99" t="s">
        <v>386</v>
      </c>
      <c r="W367" s="99" t="s">
        <v>325</v>
      </c>
      <c r="X367" s="99" t="s">
        <v>352</v>
      </c>
      <c r="Y367" s="99" t="s">
        <v>316</v>
      </c>
      <c r="Z367" s="99" t="s">
        <v>316</v>
      </c>
      <c r="AA367" s="99" t="s">
        <v>410</v>
      </c>
      <c r="AB367" s="99" t="s">
        <v>389</v>
      </c>
      <c r="AC367" s="99" t="s">
        <v>381</v>
      </c>
      <c r="AD367" s="99" t="s">
        <v>357</v>
      </c>
      <c r="AE367" s="99" t="s">
        <v>535</v>
      </c>
      <c r="AF367" s="99" t="s">
        <v>987</v>
      </c>
      <c r="AG367" s="99" t="s">
        <v>369</v>
      </c>
      <c r="AH367" s="99" t="s">
        <v>295</v>
      </c>
      <c r="AI367" s="99" t="s">
        <v>295</v>
      </c>
      <c r="AJ367" s="99" t="s">
        <v>295</v>
      </c>
      <c r="AK367" s="99" t="s">
        <v>295</v>
      </c>
      <c r="AL367" s="99" t="s">
        <v>295</v>
      </c>
      <c r="AM367" s="99" t="s">
        <v>304</v>
      </c>
      <c r="AN367" s="99" t="s">
        <v>295</v>
      </c>
      <c r="AO367" s="99" t="s">
        <v>295</v>
      </c>
      <c r="AP367" s="99" t="s">
        <v>295</v>
      </c>
      <c r="AQ367" s="99" t="s">
        <v>295</v>
      </c>
      <c r="AR367" s="99" t="s">
        <v>558</v>
      </c>
      <c r="AS367" s="99" t="s">
        <v>563</v>
      </c>
      <c r="AT367" s="99" t="s">
        <v>299</v>
      </c>
      <c r="AU367" s="99" t="s">
        <v>320</v>
      </c>
      <c r="AV367" s="99" t="s">
        <v>333</v>
      </c>
      <c r="AW367" s="99" t="s">
        <v>381</v>
      </c>
      <c r="AX367" s="99" t="s">
        <v>549</v>
      </c>
      <c r="AY367" s="99" t="s">
        <v>499</v>
      </c>
    </row>
    <row r="368" spans="1:51" ht="100.8" x14ac:dyDescent="0.3">
      <c r="A368" s="98" t="s">
        <v>1768</v>
      </c>
      <c r="B368" s="99" t="s">
        <v>689</v>
      </c>
      <c r="C368" s="99" t="s">
        <v>799</v>
      </c>
      <c r="D368" s="99" t="s">
        <v>700</v>
      </c>
      <c r="E368" s="99" t="s">
        <v>330</v>
      </c>
      <c r="F368" s="99" t="s">
        <v>372</v>
      </c>
      <c r="G368" s="99" t="s">
        <v>794</v>
      </c>
      <c r="H368" s="99" t="s">
        <v>390</v>
      </c>
      <c r="I368" s="99" t="s">
        <v>309</v>
      </c>
      <c r="J368" s="99" t="s">
        <v>479</v>
      </c>
      <c r="K368" s="99" t="s">
        <v>384</v>
      </c>
      <c r="L368" s="99" t="s">
        <v>1769</v>
      </c>
      <c r="M368" s="99" t="s">
        <v>363</v>
      </c>
      <c r="N368" s="99" t="s">
        <v>4</v>
      </c>
      <c r="O368" s="99" t="s">
        <v>374</v>
      </c>
      <c r="P368" s="99" t="s">
        <v>374</v>
      </c>
      <c r="Q368" s="99" t="s">
        <v>411</v>
      </c>
      <c r="R368" s="99" t="s">
        <v>327</v>
      </c>
      <c r="S368" s="99" t="s">
        <v>958</v>
      </c>
      <c r="T368" s="99" t="s">
        <v>380</v>
      </c>
      <c r="U368" s="99" t="s">
        <v>373</v>
      </c>
      <c r="V368" s="99" t="s">
        <v>339</v>
      </c>
      <c r="W368" s="99" t="s">
        <v>325</v>
      </c>
      <c r="X368" s="99" t="s">
        <v>352</v>
      </c>
      <c r="Y368" s="99" t="s">
        <v>316</v>
      </c>
      <c r="Z368" s="99" t="s">
        <v>316</v>
      </c>
      <c r="AA368" s="99" t="s">
        <v>408</v>
      </c>
      <c r="AB368" s="99" t="s">
        <v>376</v>
      </c>
      <c r="AC368" s="99" t="s">
        <v>307</v>
      </c>
      <c r="AD368" s="99" t="s">
        <v>1006</v>
      </c>
      <c r="AE368" s="99" t="s">
        <v>542</v>
      </c>
      <c r="AF368" s="99" t="s">
        <v>711</v>
      </c>
      <c r="AG368" s="99" t="s">
        <v>304</v>
      </c>
      <c r="AH368" s="99" t="s">
        <v>295</v>
      </c>
      <c r="AI368" s="99" t="s">
        <v>6</v>
      </c>
      <c r="AJ368" s="99" t="s">
        <v>304</v>
      </c>
      <c r="AK368" s="99" t="s">
        <v>303</v>
      </c>
      <c r="AL368" s="99" t="s">
        <v>302</v>
      </c>
      <c r="AM368" s="99" t="s">
        <v>303</v>
      </c>
      <c r="AN368" s="99" t="s">
        <v>303</v>
      </c>
      <c r="AO368" s="99" t="s">
        <v>302</v>
      </c>
      <c r="AP368" s="99" t="s">
        <v>302</v>
      </c>
      <c r="AQ368" s="99" t="s">
        <v>302</v>
      </c>
      <c r="AR368" s="99" t="s">
        <v>365</v>
      </c>
      <c r="AS368" s="99" t="s">
        <v>300</v>
      </c>
      <c r="AT368" s="99" t="s">
        <v>321</v>
      </c>
      <c r="AU368" s="99" t="s">
        <v>660</v>
      </c>
      <c r="AV368" s="99" t="s">
        <v>364</v>
      </c>
      <c r="AW368" s="99" t="s">
        <v>307</v>
      </c>
      <c r="AX368" s="99" t="s">
        <v>341</v>
      </c>
      <c r="AY368" s="99" t="s">
        <v>1167</v>
      </c>
    </row>
    <row r="369" spans="1:51" ht="86.4" x14ac:dyDescent="0.3">
      <c r="A369" s="98" t="s">
        <v>1770</v>
      </c>
      <c r="B369" s="99" t="s">
        <v>689</v>
      </c>
      <c r="C369" s="99" t="s">
        <v>799</v>
      </c>
      <c r="D369" s="99" t="s">
        <v>529</v>
      </c>
      <c r="E369" s="99" t="s">
        <v>330</v>
      </c>
      <c r="F369" s="99"/>
      <c r="G369" s="99" t="s">
        <v>435</v>
      </c>
      <c r="H369" s="99" t="s">
        <v>5</v>
      </c>
      <c r="I369" s="99" t="s">
        <v>309</v>
      </c>
      <c r="J369" s="99" t="s">
        <v>956</v>
      </c>
      <c r="K369" s="99" t="s">
        <v>315</v>
      </c>
      <c r="L369" s="99" t="s">
        <v>577</v>
      </c>
      <c r="M369" s="99" t="s">
        <v>314</v>
      </c>
      <c r="N369" s="99" t="s">
        <v>4</v>
      </c>
      <c r="O369" s="99" t="s">
        <v>4</v>
      </c>
      <c r="P369" s="99" t="s">
        <v>313</v>
      </c>
      <c r="Q369" s="99" t="s">
        <v>555</v>
      </c>
      <c r="R369" s="99"/>
      <c r="S369" s="99"/>
      <c r="T369" s="99" t="s">
        <v>380</v>
      </c>
      <c r="U369" s="99" t="s">
        <v>373</v>
      </c>
      <c r="V369" s="99"/>
      <c r="W369" s="99" t="s">
        <v>338</v>
      </c>
      <c r="X369" s="99" t="s">
        <v>352</v>
      </c>
      <c r="Y369" s="99" t="s">
        <v>316</v>
      </c>
      <c r="Z369" s="99" t="s">
        <v>316</v>
      </c>
      <c r="AA369" s="99" t="s">
        <v>472</v>
      </c>
      <c r="AB369" s="99" t="s">
        <v>376</v>
      </c>
      <c r="AC369" s="99" t="s">
        <v>381</v>
      </c>
      <c r="AD369" s="99" t="s">
        <v>357</v>
      </c>
      <c r="AE369" s="99" t="s">
        <v>545</v>
      </c>
      <c r="AF369" s="99" t="s">
        <v>706</v>
      </c>
      <c r="AG369" s="99" t="s">
        <v>400</v>
      </c>
      <c r="AH369" s="99" t="s">
        <v>6</v>
      </c>
      <c r="AI369" s="99" t="s">
        <v>6</v>
      </c>
      <c r="AJ369" s="99" t="s">
        <v>305</v>
      </c>
      <c r="AK369" s="99" t="s">
        <v>6</v>
      </c>
      <c r="AL369" s="99" t="s">
        <v>6</v>
      </c>
      <c r="AM369" s="99" t="s">
        <v>305</v>
      </c>
      <c r="AN369" s="99" t="s">
        <v>304</v>
      </c>
      <c r="AO369" s="99" t="s">
        <v>304</v>
      </c>
      <c r="AP369" s="99" t="s">
        <v>304</v>
      </c>
      <c r="AQ369" s="99" t="s">
        <v>305</v>
      </c>
      <c r="AR369" s="99" t="s">
        <v>391</v>
      </c>
      <c r="AS369" s="99" t="s">
        <v>563</v>
      </c>
      <c r="AT369" s="99" t="s">
        <v>334</v>
      </c>
      <c r="AU369" s="99" t="s">
        <v>320</v>
      </c>
      <c r="AV369" s="99" t="s">
        <v>333</v>
      </c>
      <c r="AW369" s="99" t="s">
        <v>324</v>
      </c>
      <c r="AX369" s="99" t="s">
        <v>341</v>
      </c>
      <c r="AY369" s="99" t="s">
        <v>418</v>
      </c>
    </row>
    <row r="370" spans="1:51" ht="129.6" x14ac:dyDescent="0.3">
      <c r="A370" s="98" t="s">
        <v>1771</v>
      </c>
      <c r="B370" s="99" t="s">
        <v>689</v>
      </c>
      <c r="C370" s="99" t="s">
        <v>799</v>
      </c>
      <c r="D370" s="99" t="s">
        <v>529</v>
      </c>
      <c r="E370" s="99" t="s">
        <v>330</v>
      </c>
      <c r="F370" s="99" t="s">
        <v>317</v>
      </c>
      <c r="G370" s="99" t="s">
        <v>430</v>
      </c>
      <c r="H370" s="99" t="s">
        <v>5</v>
      </c>
      <c r="I370" s="99" t="s">
        <v>309</v>
      </c>
      <c r="J370" s="99" t="s">
        <v>1158</v>
      </c>
      <c r="K370" s="99" t="s">
        <v>328</v>
      </c>
      <c r="L370" s="99" t="s">
        <v>421</v>
      </c>
      <c r="M370" s="99" t="s">
        <v>348</v>
      </c>
      <c r="N370" s="99" t="s">
        <v>4</v>
      </c>
      <c r="O370" s="99" t="s">
        <v>4</v>
      </c>
      <c r="P370" s="99" t="s">
        <v>327</v>
      </c>
      <c r="Q370" s="99" t="s">
        <v>468</v>
      </c>
      <c r="R370" s="99" t="s">
        <v>4</v>
      </c>
      <c r="S370" s="99" t="s">
        <v>465</v>
      </c>
      <c r="T370" s="99" t="s">
        <v>326</v>
      </c>
      <c r="U370" s="99" t="s">
        <v>530</v>
      </c>
      <c r="V370" s="99" t="s">
        <v>672</v>
      </c>
      <c r="W370" s="99" t="s">
        <v>325</v>
      </c>
      <c r="X370" s="99" t="s">
        <v>352</v>
      </c>
      <c r="Y370" s="99" t="s">
        <v>316</v>
      </c>
      <c r="Z370" s="99" t="s">
        <v>316</v>
      </c>
      <c r="AA370" s="99" t="s">
        <v>490</v>
      </c>
      <c r="AB370" s="99" t="s">
        <v>308</v>
      </c>
      <c r="AC370" s="99" t="s">
        <v>381</v>
      </c>
      <c r="AD370" s="99" t="s">
        <v>357</v>
      </c>
      <c r="AE370" s="99" t="s">
        <v>532</v>
      </c>
      <c r="AF370" s="99" t="s">
        <v>680</v>
      </c>
      <c r="AG370" s="99" t="s">
        <v>323</v>
      </c>
      <c r="AH370" s="99" t="s">
        <v>305</v>
      </c>
      <c r="AI370" s="99"/>
      <c r="AJ370" s="99" t="s">
        <v>303</v>
      </c>
      <c r="AK370" s="99" t="s">
        <v>6</v>
      </c>
      <c r="AL370" s="99" t="s">
        <v>303</v>
      </c>
      <c r="AM370" s="99" t="s">
        <v>303</v>
      </c>
      <c r="AN370" s="99" t="s">
        <v>6</v>
      </c>
      <c r="AO370" s="99" t="s">
        <v>303</v>
      </c>
      <c r="AP370" s="99" t="s">
        <v>303</v>
      </c>
      <c r="AQ370" s="99" t="s">
        <v>304</v>
      </c>
      <c r="AR370" s="99" t="s">
        <v>343</v>
      </c>
      <c r="AS370" s="99" t="s">
        <v>350</v>
      </c>
      <c r="AT370" s="99" t="s">
        <v>360</v>
      </c>
      <c r="AU370" s="99" t="s">
        <v>320</v>
      </c>
      <c r="AV370" s="99" t="s">
        <v>536</v>
      </c>
      <c r="AW370" s="99" t="s">
        <v>324</v>
      </c>
      <c r="AX370" s="99" t="s">
        <v>375</v>
      </c>
      <c r="AY370" s="99" t="s">
        <v>456</v>
      </c>
    </row>
    <row r="371" spans="1:51" ht="201.6" x14ac:dyDescent="0.3">
      <c r="A371" s="99" t="s">
        <v>1772</v>
      </c>
      <c r="B371" s="99" t="s">
        <v>689</v>
      </c>
      <c r="C371" s="99" t="s">
        <v>799</v>
      </c>
      <c r="D371" s="99" t="s">
        <v>529</v>
      </c>
      <c r="E371" s="99" t="s">
        <v>330</v>
      </c>
      <c r="F371" s="99" t="s">
        <v>317</v>
      </c>
      <c r="G371" s="99" t="s">
        <v>423</v>
      </c>
      <c r="H371" s="99" t="s">
        <v>390</v>
      </c>
      <c r="I371" s="99" t="s">
        <v>345</v>
      </c>
      <c r="J371" s="99" t="s">
        <v>479</v>
      </c>
      <c r="K371" s="99" t="s">
        <v>328</v>
      </c>
      <c r="L371" s="99" t="s">
        <v>411</v>
      </c>
      <c r="M371" s="99" t="s">
        <v>314</v>
      </c>
      <c r="N371" s="99" t="s">
        <v>4</v>
      </c>
      <c r="O371" s="99" t="s">
        <v>4</v>
      </c>
      <c r="P371" s="99" t="s">
        <v>313</v>
      </c>
      <c r="Q371" s="99" t="s">
        <v>411</v>
      </c>
      <c r="R371" s="99" t="s">
        <v>327</v>
      </c>
      <c r="S371" s="99" t="s">
        <v>1711</v>
      </c>
      <c r="T371" s="99" t="s">
        <v>326</v>
      </c>
      <c r="U371" s="99" t="s">
        <v>373</v>
      </c>
      <c r="V371" s="99" t="s">
        <v>839</v>
      </c>
      <c r="W371" s="99"/>
      <c r="X371" s="99" t="s">
        <v>310</v>
      </c>
      <c r="Y371" s="99" t="s">
        <v>316</v>
      </c>
      <c r="Z371" s="99" t="s">
        <v>316</v>
      </c>
      <c r="AA371" s="99" t="s">
        <v>472</v>
      </c>
      <c r="AB371" s="99" t="s">
        <v>358</v>
      </c>
      <c r="AC371" s="99" t="s">
        <v>324</v>
      </c>
      <c r="AD371" s="99" t="s">
        <v>414</v>
      </c>
      <c r="AE371" s="99" t="s">
        <v>539</v>
      </c>
      <c r="AF371" s="99" t="s">
        <v>1773</v>
      </c>
      <c r="AG371" s="99" t="s">
        <v>304</v>
      </c>
      <c r="AH371" s="99" t="s">
        <v>304</v>
      </c>
      <c r="AI371" s="99" t="s">
        <v>304</v>
      </c>
      <c r="AJ371" s="99" t="s">
        <v>303</v>
      </c>
      <c r="AK371" s="99" t="s">
        <v>304</v>
      </c>
      <c r="AL371" s="99" t="s">
        <v>303</v>
      </c>
      <c r="AM371" s="99" t="s">
        <v>303</v>
      </c>
      <c r="AN371" s="99" t="s">
        <v>304</v>
      </c>
      <c r="AO371" s="99" t="s">
        <v>302</v>
      </c>
      <c r="AP371" s="99" t="s">
        <v>302</v>
      </c>
      <c r="AQ371" s="99" t="s">
        <v>303</v>
      </c>
      <c r="AR371" s="99" t="s">
        <v>541</v>
      </c>
      <c r="AS371" s="99" t="s">
        <v>350</v>
      </c>
      <c r="AT371" s="99" t="s">
        <v>355</v>
      </c>
      <c r="AU371" s="99" t="s">
        <v>342</v>
      </c>
      <c r="AV371" s="99" t="s">
        <v>536</v>
      </c>
      <c r="AW371" s="99" t="s">
        <v>324</v>
      </c>
      <c r="AX371" s="99" t="s">
        <v>534</v>
      </c>
      <c r="AY371" s="99" t="s">
        <v>418</v>
      </c>
    </row>
    <row r="372" spans="1:51" ht="273.60000000000002" x14ac:dyDescent="0.3">
      <c r="A372" s="97" t="s">
        <v>1774</v>
      </c>
      <c r="B372" s="97" t="s">
        <v>689</v>
      </c>
      <c r="C372" s="97" t="s">
        <v>799</v>
      </c>
      <c r="D372" s="97" t="s">
        <v>529</v>
      </c>
      <c r="E372" s="97" t="s">
        <v>330</v>
      </c>
      <c r="F372" s="97" t="s">
        <v>317</v>
      </c>
      <c r="G372" s="97" t="s">
        <v>435</v>
      </c>
      <c r="H372" s="97" t="s">
        <v>5</v>
      </c>
      <c r="I372" s="97" t="s">
        <v>345</v>
      </c>
      <c r="J372" s="97" t="s">
        <v>454</v>
      </c>
      <c r="K372" s="97" t="s">
        <v>315</v>
      </c>
      <c r="L372" s="97" t="s">
        <v>411</v>
      </c>
      <c r="M372" s="97" t="s">
        <v>314</v>
      </c>
      <c r="N372" s="97" t="s">
        <v>327</v>
      </c>
      <c r="O372" s="97" t="s">
        <v>313</v>
      </c>
      <c r="P372" s="97" t="s">
        <v>4</v>
      </c>
      <c r="Q372" s="97" t="s">
        <v>411</v>
      </c>
      <c r="R372" s="97" t="s">
        <v>4</v>
      </c>
      <c r="S372" s="97" t="s">
        <v>1775</v>
      </c>
      <c r="T372" s="97" t="s">
        <v>312</v>
      </c>
      <c r="U372" s="97" t="s">
        <v>530</v>
      </c>
      <c r="V372" s="97" t="s">
        <v>1776</v>
      </c>
      <c r="W372" s="97" t="s">
        <v>325</v>
      </c>
      <c r="X372" s="97" t="s">
        <v>352</v>
      </c>
      <c r="Y372" s="97" t="s">
        <v>345</v>
      </c>
      <c r="Z372" s="97" t="s">
        <v>316</v>
      </c>
      <c r="AA372" s="97" t="s">
        <v>410</v>
      </c>
      <c r="AB372" s="97" t="s">
        <v>336</v>
      </c>
      <c r="AC372" s="97" t="s">
        <v>324</v>
      </c>
      <c r="AD372" s="97" t="s">
        <v>675</v>
      </c>
      <c r="AE372" s="97" t="s">
        <v>533</v>
      </c>
      <c r="AF372" s="97" t="s">
        <v>620</v>
      </c>
      <c r="AG372" s="97" t="s">
        <v>323</v>
      </c>
      <c r="AH372" s="97" t="s">
        <v>304</v>
      </c>
      <c r="AI372" s="97" t="s">
        <v>304</v>
      </c>
      <c r="AJ372" s="97" t="s">
        <v>303</v>
      </c>
      <c r="AK372" s="97" t="s">
        <v>295</v>
      </c>
      <c r="AL372" s="97" t="s">
        <v>303</v>
      </c>
      <c r="AM372" s="97" t="s">
        <v>304</v>
      </c>
      <c r="AN372" s="97" t="s">
        <v>304</v>
      </c>
      <c r="AO372" s="97" t="s">
        <v>303</v>
      </c>
      <c r="AP372" s="97" t="s">
        <v>303</v>
      </c>
      <c r="AQ372" s="97" t="s">
        <v>305</v>
      </c>
      <c r="AR372" s="97" t="s">
        <v>322</v>
      </c>
      <c r="AS372" s="97" t="s">
        <v>489</v>
      </c>
      <c r="AT372" s="97" t="s">
        <v>355</v>
      </c>
      <c r="AU372" s="97" t="s">
        <v>342</v>
      </c>
      <c r="AV372" s="97" t="s">
        <v>536</v>
      </c>
      <c r="AW372" s="97" t="s">
        <v>307</v>
      </c>
      <c r="AX372" s="97" t="s">
        <v>534</v>
      </c>
      <c r="AY372" s="97" t="s">
        <v>960</v>
      </c>
    </row>
    <row r="373" spans="1:51" ht="129.6" x14ac:dyDescent="0.3">
      <c r="A373" s="97" t="s">
        <v>1777</v>
      </c>
      <c r="B373" s="97" t="s">
        <v>689</v>
      </c>
      <c r="C373" s="97" t="s">
        <v>799</v>
      </c>
      <c r="D373" s="97" t="s">
        <v>529</v>
      </c>
      <c r="E373" s="97" t="s">
        <v>3</v>
      </c>
      <c r="F373" s="97" t="s">
        <v>317</v>
      </c>
      <c r="G373" s="97" t="s">
        <v>407</v>
      </c>
      <c r="H373" s="97" t="s">
        <v>564</v>
      </c>
      <c r="I373" s="97" t="s">
        <v>309</v>
      </c>
      <c r="J373" s="97" t="s">
        <v>544</v>
      </c>
      <c r="K373" s="97" t="s">
        <v>315</v>
      </c>
      <c r="L373" s="97" t="s">
        <v>475</v>
      </c>
      <c r="M373" s="97" t="s">
        <v>314</v>
      </c>
      <c r="N373" s="97" t="s">
        <v>4</v>
      </c>
      <c r="O373" s="97" t="s">
        <v>4</v>
      </c>
      <c r="P373" s="97" t="s">
        <v>313</v>
      </c>
      <c r="Q373" s="97" t="s">
        <v>417</v>
      </c>
      <c r="R373" s="97" t="s">
        <v>4</v>
      </c>
      <c r="S373" s="97" t="s">
        <v>688</v>
      </c>
      <c r="T373" s="97" t="s">
        <v>326</v>
      </c>
      <c r="U373" s="97" t="s">
        <v>530</v>
      </c>
      <c r="V373" s="97" t="s">
        <v>498</v>
      </c>
      <c r="W373" s="97" t="s">
        <v>338</v>
      </c>
      <c r="X373" s="97" t="s">
        <v>337</v>
      </c>
      <c r="Y373" s="97" t="s">
        <v>316</v>
      </c>
      <c r="Z373" s="97" t="s">
        <v>316</v>
      </c>
      <c r="AA373" s="97" t="s">
        <v>995</v>
      </c>
      <c r="AB373" s="97" t="s">
        <v>389</v>
      </c>
      <c r="AC373" s="97" t="s">
        <v>307</v>
      </c>
      <c r="AD373" s="97" t="s">
        <v>448</v>
      </c>
      <c r="AE373" s="97" t="s">
        <v>532</v>
      </c>
      <c r="AF373" s="97" t="s">
        <v>492</v>
      </c>
      <c r="AG373" s="97" t="s">
        <v>323</v>
      </c>
      <c r="AH373" s="97" t="s">
        <v>295</v>
      </c>
      <c r="AI373" s="97" t="s">
        <v>295</v>
      </c>
      <c r="AJ373" s="97" t="s">
        <v>304</v>
      </c>
      <c r="AL373" s="97" t="s">
        <v>304</v>
      </c>
      <c r="AM373" s="97" t="s">
        <v>303</v>
      </c>
      <c r="AN373" s="97" t="s">
        <v>304</v>
      </c>
      <c r="AO373" s="97" t="s">
        <v>303</v>
      </c>
      <c r="AP373" s="97" t="s">
        <v>303</v>
      </c>
      <c r="AQ373" s="97" t="s">
        <v>303</v>
      </c>
      <c r="AR373" s="97" t="s">
        <v>301</v>
      </c>
      <c r="AS373" s="97" t="s">
        <v>350</v>
      </c>
      <c r="AT373" s="97" t="s">
        <v>360</v>
      </c>
      <c r="AU373" s="97" t="s">
        <v>342</v>
      </c>
      <c r="AV373" s="97" t="s">
        <v>297</v>
      </c>
      <c r="AW373" s="97" t="s">
        <v>324</v>
      </c>
      <c r="AX373" s="97" t="s">
        <v>341</v>
      </c>
      <c r="AY373" s="97" t="s">
        <v>480</v>
      </c>
    </row>
    <row r="374" spans="1:51" ht="72" x14ac:dyDescent="0.3">
      <c r="A374" s="97" t="s">
        <v>1778</v>
      </c>
      <c r="B374" s="97" t="s">
        <v>689</v>
      </c>
      <c r="C374" s="97" t="s">
        <v>799</v>
      </c>
      <c r="D374" s="97" t="s">
        <v>331</v>
      </c>
      <c r="E374" s="97" t="s">
        <v>330</v>
      </c>
      <c r="F374" s="97" t="s">
        <v>383</v>
      </c>
      <c r="G374" s="97" t="s">
        <v>493</v>
      </c>
      <c r="H374" s="97" t="s">
        <v>390</v>
      </c>
      <c r="I374" s="97" t="s">
        <v>494</v>
      </c>
      <c r="J374" s="97" t="s">
        <v>1779</v>
      </c>
      <c r="K374" s="97" t="s">
        <v>328</v>
      </c>
      <c r="L374" s="97" t="s">
        <v>450</v>
      </c>
      <c r="M374" s="97" t="s">
        <v>314</v>
      </c>
      <c r="N374" s="97" t="s">
        <v>327</v>
      </c>
      <c r="O374" s="97" t="s">
        <v>313</v>
      </c>
      <c r="P374" s="97" t="s">
        <v>313</v>
      </c>
      <c r="Q374" s="97" t="s">
        <v>417</v>
      </c>
      <c r="R374" s="97" t="s">
        <v>327</v>
      </c>
      <c r="S374" s="97" t="s">
        <v>656</v>
      </c>
      <c r="T374" s="97" t="s">
        <v>366</v>
      </c>
      <c r="U374" s="97" t="s">
        <v>530</v>
      </c>
      <c r="V374" s="97" t="s">
        <v>437</v>
      </c>
      <c r="W374" s="97" t="s">
        <v>325</v>
      </c>
      <c r="X374" s="97" t="s">
        <v>352</v>
      </c>
      <c r="Y374" s="97" t="s">
        <v>309</v>
      </c>
      <c r="Z374" s="97" t="s">
        <v>316</v>
      </c>
      <c r="AA374" s="97" t="s">
        <v>472</v>
      </c>
      <c r="AB374" s="97" t="s">
        <v>336</v>
      </c>
      <c r="AD374" s="97" t="s">
        <v>444</v>
      </c>
      <c r="AE374" s="97" t="s">
        <v>539</v>
      </c>
      <c r="AF374" s="97" t="s">
        <v>1780</v>
      </c>
      <c r="AG374" s="97" t="s">
        <v>304</v>
      </c>
      <c r="AH374" s="97" t="s">
        <v>303</v>
      </c>
      <c r="AI374" s="97" t="s">
        <v>303</v>
      </c>
      <c r="AJ374" s="97" t="s">
        <v>304</v>
      </c>
      <c r="AK374" s="97" t="s">
        <v>304</v>
      </c>
      <c r="AL374" s="97" t="s">
        <v>303</v>
      </c>
      <c r="AM374" s="97" t="s">
        <v>302</v>
      </c>
      <c r="AN374" s="97" t="s">
        <v>304</v>
      </c>
      <c r="AO374" s="97" t="s">
        <v>303</v>
      </c>
      <c r="AP374" s="97" t="s">
        <v>303</v>
      </c>
      <c r="AQ374" s="97" t="s">
        <v>304</v>
      </c>
      <c r="AR374" s="97" t="s">
        <v>322</v>
      </c>
      <c r="AS374" s="97" t="s">
        <v>335</v>
      </c>
      <c r="AT374" s="97" t="s">
        <v>360</v>
      </c>
      <c r="AU374" s="97" t="s">
        <v>342</v>
      </c>
      <c r="AV374" s="97" t="s">
        <v>333</v>
      </c>
      <c r="AW374" s="97" t="s">
        <v>324</v>
      </c>
      <c r="AX374" s="97" t="s">
        <v>341</v>
      </c>
      <c r="AY374" s="97" t="s">
        <v>1145</v>
      </c>
    </row>
    <row r="375" spans="1:51" ht="216" x14ac:dyDescent="0.3">
      <c r="A375" s="97" t="s">
        <v>1781</v>
      </c>
      <c r="B375" s="97" t="s">
        <v>689</v>
      </c>
      <c r="C375" s="97" t="s">
        <v>799</v>
      </c>
      <c r="D375" s="97" t="s">
        <v>529</v>
      </c>
      <c r="E375" s="97" t="s">
        <v>3</v>
      </c>
      <c r="F375" s="97" t="s">
        <v>317</v>
      </c>
      <c r="G375" s="97" t="s">
        <v>446</v>
      </c>
      <c r="H375" s="97" t="s">
        <v>390</v>
      </c>
      <c r="I375" s="97" t="s">
        <v>309</v>
      </c>
      <c r="J375" s="97" t="s">
        <v>956</v>
      </c>
      <c r="K375" s="97" t="s">
        <v>359</v>
      </c>
      <c r="L375" s="97" t="s">
        <v>475</v>
      </c>
      <c r="M375" s="97" t="s">
        <v>562</v>
      </c>
      <c r="N375" s="97" t="s">
        <v>313</v>
      </c>
      <c r="O375" s="97" t="s">
        <v>4</v>
      </c>
      <c r="P375" s="97" t="s">
        <v>4</v>
      </c>
      <c r="Q375" s="97" t="s">
        <v>450</v>
      </c>
      <c r="R375" s="97" t="s">
        <v>327</v>
      </c>
      <c r="S375" s="97" t="s">
        <v>1187</v>
      </c>
      <c r="T375" s="97" t="s">
        <v>312</v>
      </c>
      <c r="U375" s="97" t="s">
        <v>347</v>
      </c>
      <c r="V375" s="97" t="s">
        <v>812</v>
      </c>
      <c r="W375" s="97" t="s">
        <v>1192</v>
      </c>
      <c r="X375" s="97" t="s">
        <v>346</v>
      </c>
      <c r="Y375" s="97" t="s">
        <v>316</v>
      </c>
      <c r="Z375" s="97" t="s">
        <v>316</v>
      </c>
      <c r="AA375" s="97" t="s">
        <v>596</v>
      </c>
      <c r="AB375" s="97" t="s">
        <v>376</v>
      </c>
      <c r="AC375" s="97" t="s">
        <v>381</v>
      </c>
      <c r="AD375" s="97" t="s">
        <v>448</v>
      </c>
      <c r="AE375" s="97" t="s">
        <v>539</v>
      </c>
      <c r="AF375" s="97" t="s">
        <v>728</v>
      </c>
      <c r="AG375" s="97" t="s">
        <v>304</v>
      </c>
      <c r="AH375" s="97" t="s">
        <v>295</v>
      </c>
      <c r="AI375" s="97" t="s">
        <v>305</v>
      </c>
      <c r="AJ375" s="97" t="s">
        <v>303</v>
      </c>
      <c r="AK375" s="97" t="s">
        <v>295</v>
      </c>
      <c r="AL375" s="97" t="s">
        <v>304</v>
      </c>
      <c r="AM375" s="97" t="s">
        <v>305</v>
      </c>
      <c r="AN375" s="97" t="s">
        <v>303</v>
      </c>
      <c r="AO375" s="97" t="s">
        <v>302</v>
      </c>
      <c r="AP375" s="97" t="s">
        <v>302</v>
      </c>
      <c r="AQ375" s="97" t="s">
        <v>302</v>
      </c>
      <c r="AR375" s="97" t="s">
        <v>365</v>
      </c>
      <c r="AS375" s="97" t="s">
        <v>300</v>
      </c>
      <c r="AT375" s="97" t="s">
        <v>334</v>
      </c>
      <c r="AU375" s="97" t="s">
        <v>342</v>
      </c>
      <c r="AV375" s="97" t="s">
        <v>547</v>
      </c>
      <c r="AW375" s="97" t="s">
        <v>307</v>
      </c>
      <c r="AX375" s="97" t="s">
        <v>534</v>
      </c>
      <c r="AY375" s="97" t="s">
        <v>418</v>
      </c>
    </row>
    <row r="376" spans="1:51" ht="288" x14ac:dyDescent="0.3">
      <c r="A376" s="97" t="s">
        <v>1782</v>
      </c>
      <c r="B376" s="97" t="s">
        <v>689</v>
      </c>
      <c r="C376" s="97" t="s">
        <v>799</v>
      </c>
      <c r="D376" s="97" t="s">
        <v>331</v>
      </c>
      <c r="E376" s="97" t="s">
        <v>3</v>
      </c>
      <c r="F376" s="97" t="s">
        <v>317</v>
      </c>
      <c r="G376" s="97" t="s">
        <v>1207</v>
      </c>
      <c r="H376" s="97" t="s">
        <v>564</v>
      </c>
      <c r="I376" s="97" t="s">
        <v>345</v>
      </c>
      <c r="J376" s="97" t="s">
        <v>457</v>
      </c>
      <c r="K376" s="97" t="s">
        <v>368</v>
      </c>
      <c r="L376" s="97" t="s">
        <v>1783</v>
      </c>
      <c r="M376" s="97" t="s">
        <v>367</v>
      </c>
      <c r="N376" s="97" t="s">
        <v>313</v>
      </c>
      <c r="O376" s="97" t="s">
        <v>4</v>
      </c>
      <c r="P376" s="97" t="s">
        <v>327</v>
      </c>
      <c r="Q376" s="97" t="s">
        <v>855</v>
      </c>
      <c r="R376" s="97" t="s">
        <v>327</v>
      </c>
      <c r="S376" s="97" t="s">
        <v>1784</v>
      </c>
      <c r="T376" s="97" t="s">
        <v>366</v>
      </c>
      <c r="U376" s="97" t="s">
        <v>347</v>
      </c>
      <c r="V376" s="97" t="s">
        <v>1125</v>
      </c>
      <c r="W376" s="97" t="s">
        <v>325</v>
      </c>
      <c r="Y376" s="97" t="s">
        <v>316</v>
      </c>
      <c r="Z376" s="97" t="s">
        <v>316</v>
      </c>
      <c r="AA376" s="97" t="s">
        <v>410</v>
      </c>
      <c r="AB376" s="97" t="s">
        <v>358</v>
      </c>
      <c r="AC376" s="97" t="s">
        <v>324</v>
      </c>
      <c r="AD376" s="97" t="s">
        <v>869</v>
      </c>
      <c r="AE376" s="97" t="s">
        <v>533</v>
      </c>
      <c r="AF376" s="97" t="s">
        <v>1495</v>
      </c>
      <c r="AG376" s="97" t="s">
        <v>304</v>
      </c>
      <c r="AH376" s="97" t="s">
        <v>295</v>
      </c>
      <c r="AI376" s="97" t="s">
        <v>303</v>
      </c>
      <c r="AJ376" s="97" t="s">
        <v>304</v>
      </c>
      <c r="AK376" s="97" t="s">
        <v>295</v>
      </c>
      <c r="AL376" s="97" t="s">
        <v>303</v>
      </c>
      <c r="AM376" s="97" t="s">
        <v>304</v>
      </c>
      <c r="AN376" s="97" t="s">
        <v>303</v>
      </c>
      <c r="AO376" s="97" t="s">
        <v>303</v>
      </c>
      <c r="AP376" s="97" t="s">
        <v>302</v>
      </c>
      <c r="AQ376" s="97" t="s">
        <v>304</v>
      </c>
      <c r="AR376" s="97" t="s">
        <v>365</v>
      </c>
      <c r="AS376" s="97" t="s">
        <v>300</v>
      </c>
      <c r="AT376" s="97" t="s">
        <v>355</v>
      </c>
      <c r="AU376" s="97" t="s">
        <v>342</v>
      </c>
      <c r="AV376" s="97" t="s">
        <v>392</v>
      </c>
      <c r="AW376" s="97" t="s">
        <v>351</v>
      </c>
      <c r="AX376" s="97" t="s">
        <v>534</v>
      </c>
      <c r="AY376" s="97" t="s">
        <v>1785</v>
      </c>
    </row>
    <row r="377" spans="1:51" ht="100.8" x14ac:dyDescent="0.3">
      <c r="A377" s="97" t="s">
        <v>1786</v>
      </c>
      <c r="B377" s="97" t="s">
        <v>689</v>
      </c>
      <c r="C377" s="97" t="s">
        <v>799</v>
      </c>
      <c r="D377" s="97" t="s">
        <v>700</v>
      </c>
      <c r="E377" s="97" t="s">
        <v>3</v>
      </c>
      <c r="F377" s="97" t="s">
        <v>317</v>
      </c>
      <c r="G377" s="97" t="s">
        <v>435</v>
      </c>
      <c r="H377" s="97" t="s">
        <v>679</v>
      </c>
      <c r="I377" s="97" t="s">
        <v>345</v>
      </c>
      <c r="J377" s="97" t="s">
        <v>1314</v>
      </c>
      <c r="K377" s="97" t="s">
        <v>315</v>
      </c>
      <c r="L377" s="97" t="s">
        <v>1787</v>
      </c>
      <c r="M377" s="97" t="s">
        <v>651</v>
      </c>
      <c r="N377" s="97" t="s">
        <v>327</v>
      </c>
      <c r="O377" s="97" t="s">
        <v>313</v>
      </c>
      <c r="P377" s="97" t="s">
        <v>4</v>
      </c>
      <c r="Q377" s="97" t="s">
        <v>811</v>
      </c>
      <c r="R377" s="97" t="s">
        <v>4</v>
      </c>
      <c r="S377" s="97" t="s">
        <v>893</v>
      </c>
      <c r="T377" s="97" t="s">
        <v>326</v>
      </c>
      <c r="U377" s="97" t="s">
        <v>311</v>
      </c>
      <c r="V377" s="97" t="s">
        <v>556</v>
      </c>
      <c r="W377" s="97" t="s">
        <v>370</v>
      </c>
      <c r="X377" s="97" t="s">
        <v>310</v>
      </c>
      <c r="Y377" s="97" t="s">
        <v>316</v>
      </c>
      <c r="Z377" s="97" t="s">
        <v>316</v>
      </c>
      <c r="AA377" s="97" t="s">
        <v>968</v>
      </c>
      <c r="AB377" s="97" t="s">
        <v>308</v>
      </c>
      <c r="AC377" s="97" t="s">
        <v>324</v>
      </c>
      <c r="AD377" s="97" t="s">
        <v>401</v>
      </c>
      <c r="AE377" s="97" t="s">
        <v>532</v>
      </c>
      <c r="AF377" s="97" t="s">
        <v>578</v>
      </c>
      <c r="AG377" s="97" t="s">
        <v>304</v>
      </c>
      <c r="AH377" s="97" t="s">
        <v>304</v>
      </c>
      <c r="AI377" s="97" t="s">
        <v>6</v>
      </c>
      <c r="AJ377" s="97" t="s">
        <v>295</v>
      </c>
      <c r="AK377" s="97" t="s">
        <v>304</v>
      </c>
      <c r="AL377" s="97" t="s">
        <v>304</v>
      </c>
      <c r="AM377" s="97" t="s">
        <v>303</v>
      </c>
      <c r="AN377" s="97" t="s">
        <v>302</v>
      </c>
      <c r="AO377" s="97" t="s">
        <v>303</v>
      </c>
      <c r="AP377" s="97" t="s">
        <v>303</v>
      </c>
      <c r="AQ377" s="97" t="s">
        <v>304</v>
      </c>
      <c r="AR377" s="97" t="s">
        <v>343</v>
      </c>
      <c r="AS377" s="97" t="s">
        <v>398</v>
      </c>
      <c r="AT377" s="97" t="s">
        <v>355</v>
      </c>
      <c r="AU377" s="97" t="s">
        <v>342</v>
      </c>
      <c r="AV377" s="97" t="s">
        <v>333</v>
      </c>
      <c r="AW377" s="97" t="s">
        <v>324</v>
      </c>
      <c r="AX377" s="97" t="s">
        <v>319</v>
      </c>
      <c r="AY377" s="97" t="s">
        <v>482</v>
      </c>
    </row>
    <row r="378" spans="1:51" ht="144" x14ac:dyDescent="0.3">
      <c r="A378" s="97" t="s">
        <v>1788</v>
      </c>
      <c r="B378" s="97" t="s">
        <v>689</v>
      </c>
      <c r="C378" s="97" t="s">
        <v>799</v>
      </c>
      <c r="D378" s="97" t="s">
        <v>529</v>
      </c>
      <c r="E378" s="97" t="s">
        <v>330</v>
      </c>
      <c r="F378" s="97" t="s">
        <v>317</v>
      </c>
      <c r="G378" s="97" t="s">
        <v>451</v>
      </c>
      <c r="H378" s="97" t="s">
        <v>5</v>
      </c>
      <c r="I378" s="97" t="s">
        <v>309</v>
      </c>
      <c r="J378" s="97" t="s">
        <v>537</v>
      </c>
      <c r="K378" s="97" t="s">
        <v>384</v>
      </c>
      <c r="L378" s="97" t="s">
        <v>411</v>
      </c>
      <c r="M378" s="97" t="s">
        <v>348</v>
      </c>
      <c r="N378" s="97" t="s">
        <v>327</v>
      </c>
      <c r="O378" s="97" t="s">
        <v>313</v>
      </c>
      <c r="P378" s="97" t="s">
        <v>4</v>
      </c>
      <c r="Q378" s="97" t="s">
        <v>417</v>
      </c>
      <c r="R378" s="97" t="s">
        <v>327</v>
      </c>
      <c r="S378" s="97" t="s">
        <v>1420</v>
      </c>
      <c r="T378" s="97" t="s">
        <v>326</v>
      </c>
      <c r="U378" s="97" t="s">
        <v>311</v>
      </c>
      <c r="V378" s="97" t="s">
        <v>415</v>
      </c>
      <c r="W378" s="97" t="s">
        <v>338</v>
      </c>
      <c r="X378" s="97" t="s">
        <v>310</v>
      </c>
      <c r="Y378" s="97" t="s">
        <v>316</v>
      </c>
      <c r="Z378" s="97" t="s">
        <v>316</v>
      </c>
      <c r="AA378" s="97" t="s">
        <v>490</v>
      </c>
      <c r="AB378" s="97" t="s">
        <v>308</v>
      </c>
      <c r="AC378" s="97" t="s">
        <v>324</v>
      </c>
      <c r="AD378" s="97" t="s">
        <v>675</v>
      </c>
      <c r="AE378" s="97" t="s">
        <v>545</v>
      </c>
      <c r="AF378" s="97" t="s">
        <v>974</v>
      </c>
      <c r="AG378" s="97" t="s">
        <v>323</v>
      </c>
      <c r="AH378" s="97" t="s">
        <v>304</v>
      </c>
      <c r="AI378" s="97" t="s">
        <v>304</v>
      </c>
      <c r="AJ378" s="97" t="s">
        <v>303</v>
      </c>
      <c r="AK378" s="97" t="s">
        <v>304</v>
      </c>
      <c r="AL378" s="97" t="s">
        <v>303</v>
      </c>
      <c r="AM378" s="97" t="s">
        <v>303</v>
      </c>
      <c r="AN378" s="97" t="s">
        <v>304</v>
      </c>
      <c r="AO378" s="97" t="s">
        <v>303</v>
      </c>
      <c r="AP378" s="97" t="s">
        <v>303</v>
      </c>
      <c r="AQ378" s="97" t="s">
        <v>303</v>
      </c>
      <c r="AR378" s="97" t="s">
        <v>301</v>
      </c>
      <c r="AS378" s="97" t="s">
        <v>350</v>
      </c>
      <c r="AT378" s="97" t="s">
        <v>360</v>
      </c>
      <c r="AU378" s="97" t="s">
        <v>342</v>
      </c>
      <c r="AV378" s="97" t="s">
        <v>364</v>
      </c>
      <c r="AW378" s="97" t="s">
        <v>307</v>
      </c>
      <c r="AX378" s="97" t="s">
        <v>341</v>
      </c>
      <c r="AY378" s="97" t="s">
        <v>573</v>
      </c>
    </row>
    <row r="379" spans="1:51" ht="259.2" x14ac:dyDescent="0.3">
      <c r="A379" s="97" t="s">
        <v>1789</v>
      </c>
      <c r="B379" s="97" t="s">
        <v>689</v>
      </c>
      <c r="C379" s="97" t="s">
        <v>799</v>
      </c>
      <c r="D379" s="97" t="s">
        <v>529</v>
      </c>
      <c r="E379" s="97" t="s">
        <v>3</v>
      </c>
      <c r="F379" s="97" t="s">
        <v>919</v>
      </c>
      <c r="G379" s="97" t="s">
        <v>446</v>
      </c>
      <c r="H379" s="97" t="s">
        <v>679</v>
      </c>
      <c r="I379" s="97" t="s">
        <v>316</v>
      </c>
      <c r="J379" s="97" t="s">
        <v>1790</v>
      </c>
      <c r="K379" s="97" t="s">
        <v>359</v>
      </c>
      <c r="L379" s="97" t="s">
        <v>1787</v>
      </c>
      <c r="M379" s="97" t="s">
        <v>377</v>
      </c>
      <c r="N379" s="97" t="s">
        <v>4</v>
      </c>
      <c r="O379" s="97" t="s">
        <v>4</v>
      </c>
      <c r="P379" s="97" t="s">
        <v>374</v>
      </c>
      <c r="Q379" s="97" t="s">
        <v>1522</v>
      </c>
      <c r="R379" s="97" t="s">
        <v>327</v>
      </c>
      <c r="S379" s="97" t="s">
        <v>1791</v>
      </c>
      <c r="T379" s="97" t="s">
        <v>366</v>
      </c>
      <c r="U379" s="97" t="s">
        <v>311</v>
      </c>
      <c r="V379" s="97" t="s">
        <v>1792</v>
      </c>
      <c r="W379" s="97" t="s">
        <v>325</v>
      </c>
      <c r="X379" s="97" t="s">
        <v>352</v>
      </c>
      <c r="Y379" s="97" t="s">
        <v>316</v>
      </c>
      <c r="Z379" s="97" t="s">
        <v>316</v>
      </c>
      <c r="AA379" s="97" t="s">
        <v>1793</v>
      </c>
      <c r="AB379" s="97" t="s">
        <v>358</v>
      </c>
      <c r="AC379" s="97" t="s">
        <v>307</v>
      </c>
      <c r="AD379" s="97" t="s">
        <v>357</v>
      </c>
      <c r="AE379" s="97" t="s">
        <v>532</v>
      </c>
      <c r="AF379" s="97" t="s">
        <v>1794</v>
      </c>
      <c r="AG379" s="97" t="s">
        <v>306</v>
      </c>
      <c r="AH379" s="97" t="s">
        <v>302</v>
      </c>
      <c r="AI379" s="97" t="s">
        <v>302</v>
      </c>
      <c r="AJ379" s="97" t="s">
        <v>302</v>
      </c>
      <c r="AK379" s="97" t="s">
        <v>6</v>
      </c>
      <c r="AL379" s="97" t="s">
        <v>302</v>
      </c>
      <c r="AM379" s="97" t="s">
        <v>302</v>
      </c>
      <c r="AN379" s="97" t="s">
        <v>302</v>
      </c>
      <c r="AO379" s="97" t="s">
        <v>302</v>
      </c>
      <c r="AP379" s="97" t="s">
        <v>302</v>
      </c>
      <c r="AQ379" s="97" t="s">
        <v>302</v>
      </c>
      <c r="AR379" s="97" t="s">
        <v>558</v>
      </c>
      <c r="AS379" s="97" t="s">
        <v>335</v>
      </c>
      <c r="AT379" s="97" t="s">
        <v>299</v>
      </c>
      <c r="AU379" s="97" t="s">
        <v>660</v>
      </c>
      <c r="AV379" s="97" t="s">
        <v>333</v>
      </c>
      <c r="AW379" s="97" t="s">
        <v>381</v>
      </c>
      <c r="AX379" s="97" t="s">
        <v>375</v>
      </c>
      <c r="AY379" s="97" t="s">
        <v>654</v>
      </c>
    </row>
    <row r="380" spans="1:51" ht="129.6" x14ac:dyDescent="0.3">
      <c r="A380" s="97" t="s">
        <v>1795</v>
      </c>
      <c r="B380" s="97" t="s">
        <v>689</v>
      </c>
      <c r="C380" s="97" t="s">
        <v>799</v>
      </c>
      <c r="D380" s="97" t="s">
        <v>529</v>
      </c>
      <c r="E380" s="97" t="s">
        <v>330</v>
      </c>
      <c r="F380" s="97" t="s">
        <v>372</v>
      </c>
      <c r="G380" s="97" t="s">
        <v>407</v>
      </c>
      <c r="H380" s="97" t="s">
        <v>390</v>
      </c>
      <c r="I380" s="97" t="s">
        <v>494</v>
      </c>
      <c r="J380" s="97" t="s">
        <v>479</v>
      </c>
      <c r="K380" s="97" t="s">
        <v>315</v>
      </c>
      <c r="L380" s="97" t="s">
        <v>1352</v>
      </c>
      <c r="M380" s="97" t="s">
        <v>367</v>
      </c>
      <c r="N380" s="97" t="s">
        <v>4</v>
      </c>
      <c r="O380" s="97" t="s">
        <v>374</v>
      </c>
      <c r="Q380" s="97" t="s">
        <v>405</v>
      </c>
      <c r="T380" s="97" t="s">
        <v>380</v>
      </c>
      <c r="U380" s="97" t="s">
        <v>373</v>
      </c>
      <c r="V380" s="97" t="s">
        <v>606</v>
      </c>
      <c r="W380" s="97" t="s">
        <v>550</v>
      </c>
      <c r="X380" s="97" t="s">
        <v>346</v>
      </c>
      <c r="Y380" s="97" t="s">
        <v>316</v>
      </c>
      <c r="Z380" s="97" t="s">
        <v>316</v>
      </c>
      <c r="AB380" s="97" t="s">
        <v>389</v>
      </c>
      <c r="AD380" s="97" t="s">
        <v>357</v>
      </c>
      <c r="AE380" s="97" t="s">
        <v>535</v>
      </c>
      <c r="AF380" s="97" t="s">
        <v>1628</v>
      </c>
      <c r="AH380" s="97" t="s">
        <v>6</v>
      </c>
      <c r="AI380" s="97" t="s">
        <v>6</v>
      </c>
      <c r="AK380" s="97" t="s">
        <v>6</v>
      </c>
      <c r="AL380" s="97" t="s">
        <v>304</v>
      </c>
      <c r="AM380" s="97" t="s">
        <v>305</v>
      </c>
      <c r="AN380" s="97" t="s">
        <v>305</v>
      </c>
      <c r="AO380" s="97" t="s">
        <v>303</v>
      </c>
      <c r="AP380" s="97" t="s">
        <v>305</v>
      </c>
      <c r="AQ380" s="97" t="s">
        <v>6</v>
      </c>
      <c r="AR380" s="97" t="s">
        <v>301</v>
      </c>
      <c r="AS380" s="97" t="s">
        <v>563</v>
      </c>
      <c r="AT380" s="97" t="s">
        <v>334</v>
      </c>
      <c r="AU380" s="97" t="s">
        <v>298</v>
      </c>
      <c r="AW380" s="97" t="s">
        <v>351</v>
      </c>
      <c r="AX380" s="97" t="s">
        <v>341</v>
      </c>
      <c r="AY380" s="97" t="s">
        <v>456</v>
      </c>
    </row>
    <row r="381" spans="1:51" ht="129.6" x14ac:dyDescent="0.3">
      <c r="A381" s="97" t="s">
        <v>1796</v>
      </c>
      <c r="B381" s="97" t="s">
        <v>689</v>
      </c>
      <c r="C381" s="97" t="s">
        <v>799</v>
      </c>
      <c r="D381" s="97" t="s">
        <v>529</v>
      </c>
      <c r="E381" s="97" t="s">
        <v>3</v>
      </c>
      <c r="F381" s="97" t="s">
        <v>317</v>
      </c>
      <c r="G381" s="97" t="s">
        <v>430</v>
      </c>
      <c r="H381" s="97" t="s">
        <v>390</v>
      </c>
      <c r="I381" s="97" t="s">
        <v>345</v>
      </c>
      <c r="J381" s="97" t="s">
        <v>457</v>
      </c>
      <c r="K381" s="97" t="s">
        <v>328</v>
      </c>
      <c r="L381" s="97" t="s">
        <v>1797</v>
      </c>
      <c r="M381" s="97" t="s">
        <v>353</v>
      </c>
      <c r="N381" s="97" t="s">
        <v>4</v>
      </c>
      <c r="O381" s="97" t="s">
        <v>4</v>
      </c>
      <c r="P381" s="97" t="s">
        <v>313</v>
      </c>
      <c r="Q381" s="97" t="s">
        <v>421</v>
      </c>
      <c r="R381" s="97" t="s">
        <v>374</v>
      </c>
      <c r="S381" s="97" t="s">
        <v>656</v>
      </c>
      <c r="T381" s="97" t="s">
        <v>380</v>
      </c>
      <c r="U381" s="97" t="s">
        <v>373</v>
      </c>
      <c r="V381" s="97" t="s">
        <v>379</v>
      </c>
      <c r="W381" s="97" t="s">
        <v>325</v>
      </c>
      <c r="X381" s="97" t="s">
        <v>352</v>
      </c>
      <c r="Y381" s="97" t="s">
        <v>316</v>
      </c>
      <c r="Z381" s="97" t="s">
        <v>316</v>
      </c>
      <c r="AA381" s="97" t="s">
        <v>531</v>
      </c>
      <c r="AB381" s="97" t="s">
        <v>336</v>
      </c>
      <c r="AC381" s="97" t="s">
        <v>324</v>
      </c>
      <c r="AD381" s="97" t="s">
        <v>426</v>
      </c>
      <c r="AE381" s="97" t="s">
        <v>532</v>
      </c>
      <c r="AF381" s="97" t="s">
        <v>609</v>
      </c>
      <c r="AG381" s="97" t="s">
        <v>323</v>
      </c>
      <c r="AH381" s="97" t="s">
        <v>6</v>
      </c>
      <c r="AI381" s="97" t="s">
        <v>303</v>
      </c>
      <c r="AJ381" s="97" t="s">
        <v>6</v>
      </c>
      <c r="AK381" s="97" t="s">
        <v>6</v>
      </c>
      <c r="AL381" s="97" t="s">
        <v>304</v>
      </c>
      <c r="AM381" s="97" t="s">
        <v>304</v>
      </c>
      <c r="AN381" s="97" t="s">
        <v>304</v>
      </c>
      <c r="AO381" s="97" t="s">
        <v>303</v>
      </c>
      <c r="AP381" s="97" t="s">
        <v>303</v>
      </c>
      <c r="AQ381" s="97" t="s">
        <v>303</v>
      </c>
      <c r="AR381" s="97" t="s">
        <v>541</v>
      </c>
      <c r="AS381" s="97" t="s">
        <v>350</v>
      </c>
      <c r="AT381" s="97" t="s">
        <v>334</v>
      </c>
      <c r="AU381" s="97" t="s">
        <v>342</v>
      </c>
      <c r="AV381" s="97" t="s">
        <v>536</v>
      </c>
      <c r="AW381" s="97" t="s">
        <v>324</v>
      </c>
      <c r="AX381" s="97" t="s">
        <v>341</v>
      </c>
      <c r="AY381" s="97" t="s">
        <v>1030</v>
      </c>
    </row>
    <row r="382" spans="1:51" ht="187.2" x14ac:dyDescent="0.3">
      <c r="A382" s="97" t="s">
        <v>1798</v>
      </c>
      <c r="B382" s="97" t="s">
        <v>689</v>
      </c>
      <c r="C382" s="97" t="s">
        <v>799</v>
      </c>
      <c r="D382" s="97" t="s">
        <v>529</v>
      </c>
      <c r="E382" s="97" t="s">
        <v>3</v>
      </c>
      <c r="F382" s="97" t="s">
        <v>372</v>
      </c>
      <c r="G382" s="97" t="s">
        <v>641</v>
      </c>
      <c r="H382" s="97" t="s">
        <v>349</v>
      </c>
      <c r="I382" s="97" t="s">
        <v>309</v>
      </c>
      <c r="J382" s="97" t="s">
        <v>454</v>
      </c>
      <c r="K382" s="97" t="s">
        <v>368</v>
      </c>
      <c r="L382" s="97" t="s">
        <v>598</v>
      </c>
      <c r="M382" s="97" t="s">
        <v>314</v>
      </c>
      <c r="N382" s="97" t="s">
        <v>4</v>
      </c>
      <c r="O382" s="97" t="s">
        <v>313</v>
      </c>
      <c r="P382" s="97" t="s">
        <v>4</v>
      </c>
      <c r="Q382" s="97" t="s">
        <v>670</v>
      </c>
      <c r="R382" s="97" t="s">
        <v>4</v>
      </c>
      <c r="S382" s="97" t="s">
        <v>500</v>
      </c>
      <c r="T382" s="97" t="s">
        <v>380</v>
      </c>
      <c r="U382" s="97" t="s">
        <v>373</v>
      </c>
      <c r="V382" s="97" t="s">
        <v>362</v>
      </c>
      <c r="W382" s="97" t="s">
        <v>325</v>
      </c>
      <c r="X382" s="97" t="s">
        <v>352</v>
      </c>
      <c r="Y382" s="97" t="s">
        <v>316</v>
      </c>
      <c r="Z382" s="97" t="s">
        <v>316</v>
      </c>
      <c r="AA382" s="97" t="s">
        <v>496</v>
      </c>
      <c r="AB382" s="97" t="s">
        <v>389</v>
      </c>
      <c r="AC382" s="97" t="s">
        <v>307</v>
      </c>
      <c r="AD382" s="97" t="s">
        <v>675</v>
      </c>
      <c r="AE382" s="97" t="s">
        <v>532</v>
      </c>
      <c r="AF382" s="97" t="s">
        <v>1104</v>
      </c>
      <c r="AG382" s="97" t="s">
        <v>323</v>
      </c>
      <c r="AH382" s="97" t="s">
        <v>304</v>
      </c>
      <c r="AI382" s="97" t="s">
        <v>6</v>
      </c>
      <c r="AJ382" s="97" t="s">
        <v>6</v>
      </c>
      <c r="AK382" s="97" t="s">
        <v>6</v>
      </c>
      <c r="AL382" s="97" t="s">
        <v>304</v>
      </c>
      <c r="AM382" s="97" t="s">
        <v>304</v>
      </c>
      <c r="AN382" s="97" t="s">
        <v>304</v>
      </c>
      <c r="AO382" s="97" t="s">
        <v>303</v>
      </c>
      <c r="AP382" s="97" t="s">
        <v>303</v>
      </c>
      <c r="AQ382" s="97" t="s">
        <v>303</v>
      </c>
      <c r="AR382" s="97" t="s">
        <v>391</v>
      </c>
      <c r="AS382" s="97" t="s">
        <v>350</v>
      </c>
      <c r="AT382" s="97" t="s">
        <v>334</v>
      </c>
      <c r="AU382" s="97" t="s">
        <v>342</v>
      </c>
      <c r="AV382" s="97" t="s">
        <v>536</v>
      </c>
      <c r="AW382" s="97" t="s">
        <v>307</v>
      </c>
      <c r="AX382" s="97" t="s">
        <v>534</v>
      </c>
      <c r="AY382" s="97" t="s">
        <v>1015</v>
      </c>
    </row>
    <row r="383" spans="1:51" ht="115.2" x14ac:dyDescent="0.3">
      <c r="A383" s="97" t="s">
        <v>1799</v>
      </c>
      <c r="B383" s="97" t="s">
        <v>689</v>
      </c>
      <c r="C383" s="97" t="s">
        <v>799</v>
      </c>
      <c r="D383" s="97" t="s">
        <v>331</v>
      </c>
      <c r="E383" s="97" t="s">
        <v>3</v>
      </c>
      <c r="F383" s="97" t="s">
        <v>317</v>
      </c>
      <c r="G383" s="97" t="s">
        <v>561</v>
      </c>
      <c r="H383" s="97" t="s">
        <v>390</v>
      </c>
      <c r="I383" s="97" t="s">
        <v>309</v>
      </c>
      <c r="J383" s="97" t="s">
        <v>965</v>
      </c>
      <c r="K383" s="97" t="s">
        <v>328</v>
      </c>
      <c r="L383" s="97" t="s">
        <v>450</v>
      </c>
      <c r="M383" s="97" t="s">
        <v>314</v>
      </c>
      <c r="N383" s="97" t="s">
        <v>4</v>
      </c>
      <c r="O383" s="97" t="s">
        <v>4</v>
      </c>
      <c r="P383" s="97" t="s">
        <v>4</v>
      </c>
      <c r="Q383" s="97" t="s">
        <v>411</v>
      </c>
      <c r="R383" s="97" t="s">
        <v>327</v>
      </c>
      <c r="S383" s="97" t="s">
        <v>665</v>
      </c>
      <c r="T383" s="97" t="s">
        <v>326</v>
      </c>
      <c r="U383" s="97" t="s">
        <v>530</v>
      </c>
      <c r="V383" s="97" t="s">
        <v>1039</v>
      </c>
      <c r="W383" s="97" t="s">
        <v>325</v>
      </c>
      <c r="X383" s="97" t="s">
        <v>352</v>
      </c>
      <c r="Y383" s="97" t="s">
        <v>316</v>
      </c>
      <c r="Z383" s="97" t="s">
        <v>316</v>
      </c>
      <c r="AA383" s="97" t="s">
        <v>490</v>
      </c>
      <c r="AB383" s="97" t="s">
        <v>308</v>
      </c>
      <c r="AC383" s="97" t="s">
        <v>324</v>
      </c>
      <c r="AD383" s="97" t="s">
        <v>426</v>
      </c>
      <c r="AE383" s="97" t="s">
        <v>545</v>
      </c>
      <c r="AF383" s="97" t="s">
        <v>935</v>
      </c>
      <c r="AG383" s="97" t="s">
        <v>323</v>
      </c>
      <c r="AH383" s="97" t="s">
        <v>6</v>
      </c>
      <c r="AI383" s="97" t="s">
        <v>304</v>
      </c>
      <c r="AJ383" s="97" t="s">
        <v>303</v>
      </c>
      <c r="AK383" s="97" t="s">
        <v>303</v>
      </c>
      <c r="AL383" s="97" t="s">
        <v>303</v>
      </c>
      <c r="AM383" s="97" t="s">
        <v>303</v>
      </c>
      <c r="AN383" s="97" t="s">
        <v>304</v>
      </c>
      <c r="AO383" s="97" t="s">
        <v>303</v>
      </c>
      <c r="AP383" s="97" t="s">
        <v>304</v>
      </c>
      <c r="AQ383" s="97" t="s">
        <v>304</v>
      </c>
      <c r="AR383" s="97" t="s">
        <v>558</v>
      </c>
      <c r="AS383" s="97" t="s">
        <v>300</v>
      </c>
      <c r="AT383" s="97" t="s">
        <v>321</v>
      </c>
      <c r="AU383" s="97" t="s">
        <v>342</v>
      </c>
      <c r="AV383" s="97" t="s">
        <v>297</v>
      </c>
      <c r="AW383" s="97" t="s">
        <v>307</v>
      </c>
      <c r="AX383" s="97" t="s">
        <v>341</v>
      </c>
      <c r="AY383" s="97" t="s">
        <v>1800</v>
      </c>
    </row>
    <row r="384" spans="1:51" ht="158.4" x14ac:dyDescent="0.3">
      <c r="A384" s="97" t="s">
        <v>1801</v>
      </c>
      <c r="B384" s="97" t="s">
        <v>689</v>
      </c>
      <c r="C384" s="97" t="s">
        <v>799</v>
      </c>
      <c r="D384" s="97" t="s">
        <v>529</v>
      </c>
      <c r="E384" s="97" t="s">
        <v>3</v>
      </c>
      <c r="F384" s="97" t="s">
        <v>317</v>
      </c>
      <c r="G384" s="97" t="s">
        <v>487</v>
      </c>
      <c r="H384" s="97" t="s">
        <v>5</v>
      </c>
      <c r="I384" s="97" t="s">
        <v>309</v>
      </c>
      <c r="J384" s="97" t="s">
        <v>479</v>
      </c>
      <c r="K384" s="97" t="s">
        <v>359</v>
      </c>
      <c r="L384" s="97" t="s">
        <v>427</v>
      </c>
      <c r="M384" s="97" t="s">
        <v>363</v>
      </c>
      <c r="N384" s="97" t="s">
        <v>327</v>
      </c>
      <c r="O384" s="97" t="s">
        <v>4</v>
      </c>
      <c r="P384" s="97" t="s">
        <v>4</v>
      </c>
      <c r="Q384" s="97" t="s">
        <v>1060</v>
      </c>
      <c r="R384" s="97" t="s">
        <v>4</v>
      </c>
      <c r="S384" s="97" t="s">
        <v>898</v>
      </c>
      <c r="T384" s="97" t="s">
        <v>366</v>
      </c>
      <c r="U384" s="97" t="s">
        <v>530</v>
      </c>
      <c r="V384" s="97" t="s">
        <v>1407</v>
      </c>
      <c r="W384" s="97" t="s">
        <v>338</v>
      </c>
      <c r="X384" s="97" t="s">
        <v>352</v>
      </c>
      <c r="Y384" s="97" t="s">
        <v>316</v>
      </c>
      <c r="Z384" s="97" t="s">
        <v>316</v>
      </c>
      <c r="AA384" s="97" t="s">
        <v>685</v>
      </c>
      <c r="AB384" s="97" t="s">
        <v>308</v>
      </c>
      <c r="AC384" s="97" t="s">
        <v>307</v>
      </c>
      <c r="AD384" s="97" t="s">
        <v>414</v>
      </c>
      <c r="AE384" s="97" t="s">
        <v>539</v>
      </c>
      <c r="AF384" s="97" t="s">
        <v>1802</v>
      </c>
      <c r="AG384" s="97" t="s">
        <v>323</v>
      </c>
      <c r="AH384" s="97" t="s">
        <v>303</v>
      </c>
      <c r="AI384" s="97" t="s">
        <v>302</v>
      </c>
      <c r="AJ384" s="97" t="s">
        <v>303</v>
      </c>
      <c r="AK384" s="97" t="s">
        <v>303</v>
      </c>
      <c r="AL384" s="97" t="s">
        <v>303</v>
      </c>
      <c r="AM384" s="97" t="s">
        <v>302</v>
      </c>
      <c r="AN384" s="97" t="s">
        <v>304</v>
      </c>
      <c r="AO384" s="97" t="s">
        <v>303</v>
      </c>
      <c r="AP384" s="97" t="s">
        <v>303</v>
      </c>
      <c r="AQ384" s="97" t="s">
        <v>303</v>
      </c>
      <c r="AR384" s="97" t="s">
        <v>301</v>
      </c>
      <c r="AS384" s="97" t="s">
        <v>350</v>
      </c>
      <c r="AT384" s="97" t="s">
        <v>321</v>
      </c>
      <c r="AU384" s="97" t="s">
        <v>342</v>
      </c>
      <c r="AV384" s="97" t="s">
        <v>364</v>
      </c>
      <c r="AW384" s="97" t="s">
        <v>307</v>
      </c>
      <c r="AX384" s="97" t="s">
        <v>534</v>
      </c>
      <c r="AY384" s="97" t="s">
        <v>854</v>
      </c>
    </row>
    <row r="385" spans="1:51" ht="216" x14ac:dyDescent="0.3">
      <c r="A385" s="97" t="s">
        <v>1803</v>
      </c>
      <c r="B385" s="97" t="s">
        <v>689</v>
      </c>
      <c r="C385" s="97" t="s">
        <v>799</v>
      </c>
      <c r="D385" s="97" t="s">
        <v>529</v>
      </c>
      <c r="E385" s="97" t="s">
        <v>3</v>
      </c>
      <c r="F385" s="97" t="s">
        <v>317</v>
      </c>
      <c r="G385" s="97" t="s">
        <v>435</v>
      </c>
      <c r="H385" s="97" t="s">
        <v>5</v>
      </c>
      <c r="I385" s="97" t="s">
        <v>309</v>
      </c>
      <c r="J385" s="97" t="s">
        <v>1034</v>
      </c>
      <c r="K385" s="97" t="s">
        <v>315</v>
      </c>
      <c r="L385" s="97" t="s">
        <v>427</v>
      </c>
      <c r="M385" s="97" t="s">
        <v>314</v>
      </c>
      <c r="N385" s="97" t="s">
        <v>4</v>
      </c>
      <c r="O385" s="97" t="s">
        <v>313</v>
      </c>
      <c r="P385" s="97" t="s">
        <v>4</v>
      </c>
      <c r="Q385" s="97" t="s">
        <v>427</v>
      </c>
      <c r="R385" s="97" t="s">
        <v>4</v>
      </c>
      <c r="S385" s="97" t="s">
        <v>1106</v>
      </c>
      <c r="T385" s="97" t="s">
        <v>366</v>
      </c>
      <c r="U385" s="97" t="s">
        <v>311</v>
      </c>
      <c r="V385" s="97" t="s">
        <v>812</v>
      </c>
      <c r="W385" s="97" t="s">
        <v>370</v>
      </c>
      <c r="X385" s="97" t="s">
        <v>337</v>
      </c>
      <c r="Y385" s="97" t="s">
        <v>345</v>
      </c>
      <c r="Z385" s="97" t="s">
        <v>316</v>
      </c>
      <c r="AA385" s="97" t="s">
        <v>1025</v>
      </c>
      <c r="AB385" s="97" t="s">
        <v>308</v>
      </c>
      <c r="AC385" s="97" t="s">
        <v>381</v>
      </c>
      <c r="AD385" s="97" t="s">
        <v>414</v>
      </c>
      <c r="AE385" s="97" t="s">
        <v>535</v>
      </c>
      <c r="AF385" s="97" t="s">
        <v>488</v>
      </c>
      <c r="AG385" s="97" t="s">
        <v>323</v>
      </c>
      <c r="AH385" s="97" t="s">
        <v>295</v>
      </c>
      <c r="AI385" s="97" t="s">
        <v>6</v>
      </c>
      <c r="AJ385" s="97" t="s">
        <v>303</v>
      </c>
      <c r="AK385" s="97" t="s">
        <v>295</v>
      </c>
      <c r="AL385" s="97" t="s">
        <v>303</v>
      </c>
      <c r="AM385" s="97" t="s">
        <v>295</v>
      </c>
      <c r="AN385" s="97" t="s">
        <v>304</v>
      </c>
      <c r="AO385" s="97" t="s">
        <v>304</v>
      </c>
      <c r="AP385" s="97" t="s">
        <v>304</v>
      </c>
      <c r="AQ385" s="97" t="s">
        <v>303</v>
      </c>
      <c r="AR385" s="97" t="s">
        <v>391</v>
      </c>
      <c r="AS385" s="97" t="s">
        <v>300</v>
      </c>
      <c r="AT385" s="97" t="s">
        <v>321</v>
      </c>
      <c r="AU385" s="97" t="s">
        <v>342</v>
      </c>
      <c r="AV385" s="97" t="s">
        <v>333</v>
      </c>
      <c r="AW385" s="97" t="s">
        <v>324</v>
      </c>
      <c r="AX385" s="97" t="s">
        <v>549</v>
      </c>
      <c r="AY385" s="97" t="s">
        <v>449</v>
      </c>
    </row>
    <row r="386" spans="1:51" ht="115.2" x14ac:dyDescent="0.3">
      <c r="A386" s="97" t="s">
        <v>1804</v>
      </c>
      <c r="B386" s="97" t="s">
        <v>689</v>
      </c>
      <c r="C386" s="97" t="s">
        <v>799</v>
      </c>
      <c r="D386" s="97" t="s">
        <v>331</v>
      </c>
      <c r="E386" s="97" t="s">
        <v>3</v>
      </c>
      <c r="F386" s="97" t="s">
        <v>317</v>
      </c>
      <c r="G386" s="97" t="s">
        <v>446</v>
      </c>
      <c r="H386" s="97" t="s">
        <v>5</v>
      </c>
      <c r="I386" s="97" t="s">
        <v>309</v>
      </c>
      <c r="J386" s="97" t="s">
        <v>1101</v>
      </c>
      <c r="K386" s="97" t="s">
        <v>315</v>
      </c>
      <c r="L386" s="97" t="s">
        <v>427</v>
      </c>
      <c r="M386" s="97" t="s">
        <v>353</v>
      </c>
      <c r="N386" s="97" t="s">
        <v>4</v>
      </c>
      <c r="O386" s="97" t="s">
        <v>4</v>
      </c>
      <c r="P386" s="97" t="s">
        <v>4</v>
      </c>
      <c r="Q386" s="97" t="s">
        <v>943</v>
      </c>
      <c r="R386" s="97" t="s">
        <v>327</v>
      </c>
      <c r="S386" s="97" t="s">
        <v>1805</v>
      </c>
      <c r="T386" s="97" t="s">
        <v>366</v>
      </c>
      <c r="U386" s="97" t="s">
        <v>530</v>
      </c>
      <c r="V386" s="97" t="s">
        <v>966</v>
      </c>
      <c r="W386" s="97" t="s">
        <v>486</v>
      </c>
      <c r="X386" s="97" t="s">
        <v>346</v>
      </c>
      <c r="Y386" s="97" t="s">
        <v>316</v>
      </c>
      <c r="Z386" s="97" t="s">
        <v>316</v>
      </c>
      <c r="AA386" s="97" t="s">
        <v>574</v>
      </c>
      <c r="AB386" s="97" t="s">
        <v>308</v>
      </c>
      <c r="AC386" s="97" t="s">
        <v>381</v>
      </c>
      <c r="AD386" s="97" t="s">
        <v>344</v>
      </c>
      <c r="AE386" s="97" t="s">
        <v>535</v>
      </c>
      <c r="AF386" s="97" t="s">
        <v>628</v>
      </c>
      <c r="AG386" s="97" t="s">
        <v>304</v>
      </c>
      <c r="AH386" s="97" t="s">
        <v>295</v>
      </c>
      <c r="AI386" s="97" t="s">
        <v>295</v>
      </c>
      <c r="AJ386" s="97" t="s">
        <v>303</v>
      </c>
      <c r="AK386" s="97" t="s">
        <v>6</v>
      </c>
      <c r="AL386" s="97" t="s">
        <v>304</v>
      </c>
      <c r="AM386" s="97" t="s">
        <v>305</v>
      </c>
      <c r="AN386" s="97" t="s">
        <v>303</v>
      </c>
      <c r="AO386" s="97" t="s">
        <v>303</v>
      </c>
      <c r="AP386" s="97" t="s">
        <v>303</v>
      </c>
      <c r="AQ386" s="97" t="s">
        <v>295</v>
      </c>
      <c r="AR386" s="97" t="s">
        <v>558</v>
      </c>
      <c r="AS386" s="97" t="s">
        <v>335</v>
      </c>
      <c r="AT386" s="97" t="s">
        <v>321</v>
      </c>
      <c r="AU386" s="97" t="s">
        <v>320</v>
      </c>
      <c r="AV386" s="97" t="s">
        <v>333</v>
      </c>
      <c r="AW386" s="97" t="s">
        <v>324</v>
      </c>
      <c r="AX386" s="97" t="s">
        <v>375</v>
      </c>
      <c r="AY386" s="97" t="s">
        <v>449</v>
      </c>
    </row>
    <row r="387" spans="1:51" ht="115.2" x14ac:dyDescent="0.3">
      <c r="A387" s="97" t="s">
        <v>1806</v>
      </c>
      <c r="B387" s="97" t="s">
        <v>689</v>
      </c>
      <c r="C387" s="97" t="s">
        <v>799</v>
      </c>
      <c r="D387" s="97" t="s">
        <v>331</v>
      </c>
      <c r="E387" s="97" t="s">
        <v>330</v>
      </c>
      <c r="F387" s="97" t="s">
        <v>317</v>
      </c>
      <c r="G387" s="97" t="s">
        <v>451</v>
      </c>
      <c r="H387" s="97" t="s">
        <v>5</v>
      </c>
      <c r="I387" s="97" t="s">
        <v>309</v>
      </c>
      <c r="J387" s="97" t="s">
        <v>693</v>
      </c>
      <c r="K387" s="97" t="s">
        <v>315</v>
      </c>
      <c r="L387" s="97" t="s">
        <v>657</v>
      </c>
      <c r="M387" s="97" t="s">
        <v>314</v>
      </c>
      <c r="N387" s="97" t="s">
        <v>4</v>
      </c>
      <c r="O387" s="97" t="s">
        <v>327</v>
      </c>
      <c r="P387" s="97" t="s">
        <v>4</v>
      </c>
      <c r="Q387" s="97" t="s">
        <v>885</v>
      </c>
      <c r="R387" s="97" t="s">
        <v>327</v>
      </c>
      <c r="S387" s="97" t="s">
        <v>1807</v>
      </c>
      <c r="T387" s="97" t="s">
        <v>326</v>
      </c>
      <c r="U387" s="97" t="s">
        <v>530</v>
      </c>
      <c r="V387" s="97" t="s">
        <v>362</v>
      </c>
      <c r="W387" s="97" t="s">
        <v>1278</v>
      </c>
      <c r="X387" s="97" t="s">
        <v>352</v>
      </c>
      <c r="Y387" s="97" t="s">
        <v>316</v>
      </c>
      <c r="Z387" s="97" t="s">
        <v>316</v>
      </c>
      <c r="AA387" s="97" t="s">
        <v>685</v>
      </c>
      <c r="AB387" s="97" t="s">
        <v>336</v>
      </c>
      <c r="AC387" s="97" t="s">
        <v>381</v>
      </c>
      <c r="AD387" s="97" t="s">
        <v>675</v>
      </c>
      <c r="AE387" s="97" t="s">
        <v>532</v>
      </c>
      <c r="AF387" s="97" t="s">
        <v>740</v>
      </c>
      <c r="AG387" s="97" t="s">
        <v>304</v>
      </c>
      <c r="AH387" s="97" t="s">
        <v>295</v>
      </c>
      <c r="AI387" s="97" t="s">
        <v>295</v>
      </c>
      <c r="AJ387" s="97" t="s">
        <v>304</v>
      </c>
      <c r="AK387" s="97" t="s">
        <v>304</v>
      </c>
      <c r="AL387" s="97" t="s">
        <v>304</v>
      </c>
      <c r="AM387" s="97" t="s">
        <v>302</v>
      </c>
      <c r="AN387" s="97" t="s">
        <v>302</v>
      </c>
      <c r="AO387" s="97" t="s">
        <v>302</v>
      </c>
      <c r="AP387" s="97" t="s">
        <v>302</v>
      </c>
      <c r="AQ387" s="97" t="s">
        <v>302</v>
      </c>
      <c r="AR387" s="97" t="s">
        <v>391</v>
      </c>
      <c r="AS387" s="97" t="s">
        <v>398</v>
      </c>
      <c r="AT387" s="97" t="s">
        <v>321</v>
      </c>
      <c r="AU387" s="97" t="s">
        <v>298</v>
      </c>
      <c r="AV387" s="97" t="s">
        <v>333</v>
      </c>
      <c r="AW387" s="97" t="s">
        <v>324</v>
      </c>
      <c r="AX387" s="97" t="s">
        <v>534</v>
      </c>
      <c r="AY387" s="97" t="s">
        <v>418</v>
      </c>
    </row>
    <row r="388" spans="1:51" ht="100.8" x14ac:dyDescent="0.3">
      <c r="A388" s="97" t="s">
        <v>1808</v>
      </c>
      <c r="B388" s="97" t="s">
        <v>689</v>
      </c>
      <c r="C388" s="97" t="s">
        <v>799</v>
      </c>
      <c r="D388" s="97" t="s">
        <v>529</v>
      </c>
      <c r="E388" s="97" t="s">
        <v>3</v>
      </c>
      <c r="F388" s="97" t="s">
        <v>317</v>
      </c>
      <c r="G388" s="97" t="s">
        <v>561</v>
      </c>
      <c r="H388" s="97" t="s">
        <v>390</v>
      </c>
      <c r="I388" s="97" t="s">
        <v>345</v>
      </c>
      <c r="J388" s="97" t="s">
        <v>1470</v>
      </c>
      <c r="K388" s="97" t="s">
        <v>315</v>
      </c>
      <c r="L388" s="97" t="s">
        <v>996</v>
      </c>
      <c r="M388" s="97" t="s">
        <v>377</v>
      </c>
      <c r="N388" s="97" t="s">
        <v>313</v>
      </c>
      <c r="O388" s="97" t="s">
        <v>313</v>
      </c>
      <c r="P388" s="97" t="s">
        <v>313</v>
      </c>
      <c r="Q388" s="97" t="s">
        <v>421</v>
      </c>
      <c r="R388" s="97" t="s">
        <v>4</v>
      </c>
      <c r="S388" s="97" t="s">
        <v>807</v>
      </c>
      <c r="T388" s="97" t="s">
        <v>312</v>
      </c>
      <c r="U388" s="97" t="s">
        <v>373</v>
      </c>
      <c r="V388" s="97" t="s">
        <v>936</v>
      </c>
      <c r="W388" s="97" t="s">
        <v>338</v>
      </c>
      <c r="X388" s="97" t="s">
        <v>352</v>
      </c>
      <c r="Y388" s="97" t="s">
        <v>316</v>
      </c>
      <c r="Z388" s="97" t="s">
        <v>316</v>
      </c>
      <c r="AA388" s="97" t="s">
        <v>1809</v>
      </c>
      <c r="AB388" s="97" t="s">
        <v>389</v>
      </c>
      <c r="AC388" s="97" t="s">
        <v>381</v>
      </c>
      <c r="AD388" s="97" t="s">
        <v>357</v>
      </c>
      <c r="AE388" s="97" t="s">
        <v>532</v>
      </c>
      <c r="AF388" s="97" t="s">
        <v>725</v>
      </c>
      <c r="AG388" s="97" t="s">
        <v>400</v>
      </c>
      <c r="AH388" s="97" t="s">
        <v>6</v>
      </c>
      <c r="AI388" s="97" t="s">
        <v>6</v>
      </c>
      <c r="AJ388" s="97" t="s">
        <v>6</v>
      </c>
      <c r="AK388" s="97" t="s">
        <v>6</v>
      </c>
      <c r="AL388" s="97" t="s">
        <v>295</v>
      </c>
      <c r="AM388" s="97" t="s">
        <v>305</v>
      </c>
      <c r="AN388" s="97" t="s">
        <v>295</v>
      </c>
      <c r="AO388" s="97" t="s">
        <v>305</v>
      </c>
      <c r="AP388" s="97" t="s">
        <v>305</v>
      </c>
      <c r="AQ388" s="97" t="s">
        <v>295</v>
      </c>
      <c r="AR388" s="97" t="s">
        <v>558</v>
      </c>
      <c r="AS388" s="97" t="s">
        <v>335</v>
      </c>
      <c r="AT388" s="97" t="s">
        <v>334</v>
      </c>
      <c r="AU388" s="97" t="s">
        <v>660</v>
      </c>
      <c r="AV388" s="97" t="s">
        <v>333</v>
      </c>
      <c r="AW388" s="97" t="s">
        <v>324</v>
      </c>
      <c r="AX388" s="97" t="s">
        <v>549</v>
      </c>
      <c r="AY388" s="97" t="s">
        <v>449</v>
      </c>
    </row>
    <row r="389" spans="1:51" ht="244.8" x14ac:dyDescent="0.3">
      <c r="A389" s="97" t="s">
        <v>1810</v>
      </c>
      <c r="B389" s="97" t="s">
        <v>689</v>
      </c>
      <c r="C389" s="97" t="s">
        <v>799</v>
      </c>
      <c r="D389" s="97" t="s">
        <v>700</v>
      </c>
      <c r="E389" s="97" t="s">
        <v>3</v>
      </c>
      <c r="F389" s="97" t="s">
        <v>317</v>
      </c>
      <c r="G389" s="97" t="s">
        <v>423</v>
      </c>
      <c r="H389" s="97" t="s">
        <v>390</v>
      </c>
      <c r="I389" s="97" t="s">
        <v>309</v>
      </c>
      <c r="J389" s="97" t="s">
        <v>748</v>
      </c>
      <c r="K389" s="97" t="s">
        <v>328</v>
      </c>
      <c r="L389" s="97" t="s">
        <v>406</v>
      </c>
      <c r="M389" s="97" t="s">
        <v>348</v>
      </c>
      <c r="N389" s="97" t="s">
        <v>327</v>
      </c>
      <c r="O389" s="97" t="s">
        <v>4</v>
      </c>
      <c r="P389" s="97" t="s">
        <v>327</v>
      </c>
      <c r="Q389" s="97" t="s">
        <v>450</v>
      </c>
      <c r="R389" s="97" t="s">
        <v>327</v>
      </c>
      <c r="S389" s="97" t="s">
        <v>1811</v>
      </c>
      <c r="T389" s="97" t="s">
        <v>366</v>
      </c>
      <c r="U389" s="97" t="s">
        <v>530</v>
      </c>
      <c r="V389" s="97" t="s">
        <v>1812</v>
      </c>
      <c r="W389" s="97" t="s">
        <v>325</v>
      </c>
      <c r="X389" s="97" t="s">
        <v>352</v>
      </c>
      <c r="Y389" s="97" t="s">
        <v>316</v>
      </c>
      <c r="Z389" s="97" t="s">
        <v>316</v>
      </c>
      <c r="AA389" s="97" t="s">
        <v>410</v>
      </c>
      <c r="AB389" s="97" t="s">
        <v>308</v>
      </c>
      <c r="AC389" s="97" t="s">
        <v>307</v>
      </c>
      <c r="AD389" s="97" t="s">
        <v>414</v>
      </c>
      <c r="AE389" s="97" t="s">
        <v>533</v>
      </c>
      <c r="AF389" s="97" t="s">
        <v>593</v>
      </c>
      <c r="AG389" s="97" t="s">
        <v>323</v>
      </c>
      <c r="AH389" s="97" t="s">
        <v>302</v>
      </c>
      <c r="AI389" s="97" t="s">
        <v>303</v>
      </c>
      <c r="AJ389" s="97" t="s">
        <v>302</v>
      </c>
      <c r="AK389" s="97" t="s">
        <v>303</v>
      </c>
      <c r="AL389" s="97" t="s">
        <v>303</v>
      </c>
      <c r="AM389" s="97" t="s">
        <v>304</v>
      </c>
      <c r="AN389" s="97" t="s">
        <v>302</v>
      </c>
      <c r="AO389" s="97" t="s">
        <v>302</v>
      </c>
      <c r="AP389" s="97" t="s">
        <v>302</v>
      </c>
      <c r="AQ389" s="97" t="s">
        <v>302</v>
      </c>
      <c r="AR389" s="97" t="s">
        <v>301</v>
      </c>
      <c r="AS389" s="97" t="s">
        <v>300</v>
      </c>
      <c r="AT389" s="97" t="s">
        <v>355</v>
      </c>
      <c r="AU389" s="97" t="s">
        <v>298</v>
      </c>
      <c r="AV389" s="97" t="s">
        <v>547</v>
      </c>
      <c r="AW389" s="97" t="s">
        <v>307</v>
      </c>
      <c r="AX389" s="97" t="s">
        <v>534</v>
      </c>
      <c r="AY389" s="97" t="s">
        <v>629</v>
      </c>
    </row>
    <row r="390" spans="1:51" ht="259.2" x14ac:dyDescent="0.3">
      <c r="A390" s="97" t="s">
        <v>1813</v>
      </c>
      <c r="B390" s="97" t="s">
        <v>689</v>
      </c>
      <c r="C390" s="97" t="s">
        <v>799</v>
      </c>
      <c r="D390" s="97" t="s">
        <v>331</v>
      </c>
      <c r="E390" s="97" t="s">
        <v>330</v>
      </c>
      <c r="F390" s="97" t="s">
        <v>317</v>
      </c>
      <c r="G390" s="97" t="s">
        <v>412</v>
      </c>
      <c r="H390" s="97" t="s">
        <v>5</v>
      </c>
      <c r="I390" s="97" t="s">
        <v>309</v>
      </c>
      <c r="J390" s="97" t="s">
        <v>699</v>
      </c>
      <c r="K390" s="97" t="s">
        <v>328</v>
      </c>
      <c r="L390" s="97" t="s">
        <v>411</v>
      </c>
      <c r="M390" s="97" t="s">
        <v>363</v>
      </c>
      <c r="N390" s="97" t="s">
        <v>4</v>
      </c>
      <c r="O390" s="97" t="s">
        <v>313</v>
      </c>
      <c r="P390" s="97" t="s">
        <v>327</v>
      </c>
      <c r="Q390" s="97" t="s">
        <v>421</v>
      </c>
      <c r="R390" s="97" t="s">
        <v>4</v>
      </c>
      <c r="S390" s="97" t="s">
        <v>608</v>
      </c>
      <c r="T390" s="97" t="s">
        <v>326</v>
      </c>
      <c r="U390" s="97" t="s">
        <v>311</v>
      </c>
      <c r="V390" s="97" t="s">
        <v>735</v>
      </c>
      <c r="W390" s="97" t="s">
        <v>325</v>
      </c>
      <c r="X390" s="97" t="s">
        <v>352</v>
      </c>
      <c r="Y390" s="97" t="s">
        <v>316</v>
      </c>
      <c r="Z390" s="97" t="s">
        <v>316</v>
      </c>
      <c r="AA390" s="97" t="s">
        <v>408</v>
      </c>
      <c r="AB390" s="97" t="s">
        <v>308</v>
      </c>
      <c r="AC390" s="97" t="s">
        <v>324</v>
      </c>
      <c r="AD390" s="97" t="s">
        <v>467</v>
      </c>
      <c r="AE390" s="97" t="s">
        <v>533</v>
      </c>
      <c r="AF390" s="97" t="s">
        <v>1678</v>
      </c>
      <c r="AG390" s="97" t="s">
        <v>304</v>
      </c>
      <c r="AH390" s="97" t="s">
        <v>305</v>
      </c>
      <c r="AI390" s="97" t="s">
        <v>305</v>
      </c>
      <c r="AJ390" s="97" t="s">
        <v>303</v>
      </c>
      <c r="AK390" s="97" t="s">
        <v>295</v>
      </c>
      <c r="AL390" s="97" t="s">
        <v>303</v>
      </c>
      <c r="AM390" s="97" t="s">
        <v>304</v>
      </c>
      <c r="AN390" s="97" t="s">
        <v>304</v>
      </c>
      <c r="AO390" s="97" t="s">
        <v>304</v>
      </c>
      <c r="AP390" s="97" t="s">
        <v>304</v>
      </c>
      <c r="AQ390" s="97" t="s">
        <v>303</v>
      </c>
      <c r="AR390" s="97" t="s">
        <v>541</v>
      </c>
      <c r="AS390" s="97" t="s">
        <v>489</v>
      </c>
      <c r="AT390" s="97" t="s">
        <v>321</v>
      </c>
      <c r="AU390" s="97" t="s">
        <v>342</v>
      </c>
      <c r="AV390" s="97" t="s">
        <v>364</v>
      </c>
      <c r="AW390" s="97" t="s">
        <v>296</v>
      </c>
      <c r="AX390" s="97" t="s">
        <v>549</v>
      </c>
      <c r="AY390" s="97" t="s">
        <v>441</v>
      </c>
    </row>
    <row r="391" spans="1:51" ht="158.4" x14ac:dyDescent="0.3">
      <c r="A391" s="97" t="s">
        <v>1814</v>
      </c>
      <c r="B391" s="97" t="s">
        <v>689</v>
      </c>
      <c r="C391" s="97" t="s">
        <v>799</v>
      </c>
      <c r="D391" s="97" t="s">
        <v>529</v>
      </c>
      <c r="E391" s="97" t="s">
        <v>330</v>
      </c>
      <c r="F391" s="97" t="s">
        <v>317</v>
      </c>
      <c r="G391" s="97" t="s">
        <v>446</v>
      </c>
      <c r="H391" s="97" t="s">
        <v>390</v>
      </c>
      <c r="I391" s="97" t="s">
        <v>309</v>
      </c>
      <c r="J391" s="97" t="s">
        <v>699</v>
      </c>
      <c r="K391" s="97" t="s">
        <v>384</v>
      </c>
      <c r="L391" s="97" t="s">
        <v>427</v>
      </c>
      <c r="M391" s="97" t="s">
        <v>367</v>
      </c>
      <c r="N391" s="97" t="s">
        <v>313</v>
      </c>
      <c r="O391" s="97" t="s">
        <v>313</v>
      </c>
      <c r="P391" s="97" t="s">
        <v>4</v>
      </c>
      <c r="Q391" s="97" t="s">
        <v>566</v>
      </c>
      <c r="R391" s="97" t="s">
        <v>4</v>
      </c>
      <c r="S391" s="97" t="s">
        <v>1219</v>
      </c>
      <c r="T391" s="97" t="s">
        <v>312</v>
      </c>
      <c r="U391" s="97" t="s">
        <v>311</v>
      </c>
      <c r="V391" s="97" t="s">
        <v>633</v>
      </c>
      <c r="W391" s="97" t="s">
        <v>325</v>
      </c>
      <c r="X391" s="97" t="s">
        <v>352</v>
      </c>
      <c r="Y391" s="97" t="s">
        <v>316</v>
      </c>
      <c r="Z391" s="97" t="s">
        <v>316</v>
      </c>
      <c r="AA391" s="97" t="s">
        <v>472</v>
      </c>
      <c r="AB391" s="97" t="s">
        <v>336</v>
      </c>
      <c r="AC391" s="97" t="s">
        <v>324</v>
      </c>
      <c r="AD391" s="97" t="s">
        <v>388</v>
      </c>
      <c r="AE391" s="97" t="s">
        <v>532</v>
      </c>
      <c r="AF391" s="97" t="s">
        <v>578</v>
      </c>
      <c r="AG391" s="97" t="s">
        <v>304</v>
      </c>
      <c r="AH391" s="97" t="s">
        <v>305</v>
      </c>
      <c r="AI391" s="97" t="s">
        <v>303</v>
      </c>
      <c r="AJ391" s="97" t="s">
        <v>304</v>
      </c>
      <c r="AK391" s="97" t="s">
        <v>295</v>
      </c>
      <c r="AL391" s="97" t="s">
        <v>304</v>
      </c>
      <c r="AM391" s="97" t="s">
        <v>303</v>
      </c>
      <c r="AN391" s="97" t="s">
        <v>304</v>
      </c>
      <c r="AO391" s="97" t="s">
        <v>304</v>
      </c>
      <c r="AP391" s="97" t="s">
        <v>303</v>
      </c>
      <c r="AQ391" s="97" t="s">
        <v>303</v>
      </c>
      <c r="AR391" s="97" t="s">
        <v>391</v>
      </c>
      <c r="AS391" s="97" t="s">
        <v>335</v>
      </c>
      <c r="AT391" s="97" t="s">
        <v>355</v>
      </c>
      <c r="AU391" s="97" t="s">
        <v>342</v>
      </c>
      <c r="AV391" s="97" t="s">
        <v>297</v>
      </c>
      <c r="AW391" s="97" t="s">
        <v>324</v>
      </c>
      <c r="AX391" s="97" t="s">
        <v>341</v>
      </c>
      <c r="AY391" s="97" t="s">
        <v>425</v>
      </c>
    </row>
    <row r="392" spans="1:51" ht="144" x14ac:dyDescent="0.3">
      <c r="A392" s="97" t="s">
        <v>1815</v>
      </c>
      <c r="B392" s="97" t="s">
        <v>689</v>
      </c>
      <c r="C392" s="97" t="s">
        <v>799</v>
      </c>
      <c r="D392" s="97" t="s">
        <v>529</v>
      </c>
      <c r="E392" s="97" t="s">
        <v>330</v>
      </c>
      <c r="F392" s="97" t="s">
        <v>317</v>
      </c>
      <c r="G392" s="97" t="s">
        <v>446</v>
      </c>
      <c r="H392" s="97" t="s">
        <v>390</v>
      </c>
      <c r="I392" s="97" t="s">
        <v>309</v>
      </c>
      <c r="J392" s="97" t="s">
        <v>724</v>
      </c>
      <c r="K392" s="97" t="s">
        <v>315</v>
      </c>
      <c r="L392" s="97" t="s">
        <v>411</v>
      </c>
      <c r="M392" s="97" t="s">
        <v>353</v>
      </c>
      <c r="N392" s="97" t="s">
        <v>4</v>
      </c>
      <c r="O392" s="97" t="s">
        <v>4</v>
      </c>
      <c r="P392" s="97" t="s">
        <v>4</v>
      </c>
      <c r="Q392" s="97" t="s">
        <v>417</v>
      </c>
      <c r="R392" s="97" t="s">
        <v>327</v>
      </c>
      <c r="S392" s="97" t="s">
        <v>1816</v>
      </c>
      <c r="T392" s="97" t="s">
        <v>366</v>
      </c>
      <c r="U392" s="97" t="s">
        <v>311</v>
      </c>
      <c r="V392" s="97" t="s">
        <v>936</v>
      </c>
      <c r="W392" s="97" t="s">
        <v>338</v>
      </c>
      <c r="X392" s="97" t="s">
        <v>310</v>
      </c>
      <c r="Y392" s="97" t="s">
        <v>316</v>
      </c>
      <c r="Z392" s="97" t="s">
        <v>316</v>
      </c>
      <c r="AA392" s="97" t="s">
        <v>650</v>
      </c>
      <c r="AB392" s="97" t="s">
        <v>376</v>
      </c>
      <c r="AC392" s="97" t="s">
        <v>381</v>
      </c>
      <c r="AD392" s="97" t="s">
        <v>357</v>
      </c>
      <c r="AE392" s="97" t="s">
        <v>545</v>
      </c>
      <c r="AF392" s="97" t="s">
        <v>1009</v>
      </c>
      <c r="AG392" s="97" t="s">
        <v>304</v>
      </c>
      <c r="AH392" s="97" t="s">
        <v>6</v>
      </c>
      <c r="AI392" s="97" t="s">
        <v>305</v>
      </c>
      <c r="AJ392" s="97" t="s">
        <v>304</v>
      </c>
      <c r="AK392" s="97" t="s">
        <v>6</v>
      </c>
      <c r="AL392" s="97" t="s">
        <v>6</v>
      </c>
      <c r="AM392" s="97" t="s">
        <v>303</v>
      </c>
      <c r="AN392" s="97" t="s">
        <v>305</v>
      </c>
      <c r="AO392" s="97" t="s">
        <v>304</v>
      </c>
      <c r="AP392" s="97" t="s">
        <v>304</v>
      </c>
      <c r="AQ392" s="97" t="s">
        <v>304</v>
      </c>
      <c r="AR392" s="97" t="s">
        <v>301</v>
      </c>
      <c r="AS392" s="97" t="s">
        <v>300</v>
      </c>
      <c r="AT392" s="97" t="s">
        <v>321</v>
      </c>
      <c r="AU392" s="97" t="s">
        <v>342</v>
      </c>
      <c r="AV392" s="97" t="s">
        <v>547</v>
      </c>
      <c r="AW392" s="97" t="s">
        <v>381</v>
      </c>
      <c r="AX392" s="97" t="s">
        <v>534</v>
      </c>
      <c r="AY392" s="97" t="s">
        <v>456</v>
      </c>
    </row>
    <row r="393" spans="1:51" ht="288" x14ac:dyDescent="0.3">
      <c r="A393" s="97" t="s">
        <v>1817</v>
      </c>
      <c r="B393" s="97" t="s">
        <v>689</v>
      </c>
      <c r="C393" s="97" t="s">
        <v>799</v>
      </c>
      <c r="D393" s="97" t="s">
        <v>529</v>
      </c>
      <c r="E393" s="97" t="s">
        <v>330</v>
      </c>
      <c r="F393" s="97" t="s">
        <v>317</v>
      </c>
      <c r="G393" s="97" t="s">
        <v>407</v>
      </c>
      <c r="H393" s="97" t="s">
        <v>390</v>
      </c>
      <c r="I393" s="97" t="s">
        <v>309</v>
      </c>
      <c r="J393" s="97" t="s">
        <v>699</v>
      </c>
      <c r="K393" s="97" t="s">
        <v>315</v>
      </c>
      <c r="L393" s="97" t="s">
        <v>411</v>
      </c>
      <c r="M393" s="97" t="s">
        <v>353</v>
      </c>
      <c r="N393" s="97" t="s">
        <v>327</v>
      </c>
      <c r="O393" s="97" t="s">
        <v>327</v>
      </c>
      <c r="P393" s="97" t="s">
        <v>327</v>
      </c>
      <c r="Q393" s="97" t="s">
        <v>411</v>
      </c>
      <c r="R393" s="97" t="s">
        <v>327</v>
      </c>
      <c r="S393" s="97" t="s">
        <v>849</v>
      </c>
      <c r="T393" s="97" t="s">
        <v>366</v>
      </c>
      <c r="U393" s="97" t="s">
        <v>311</v>
      </c>
      <c r="V393" s="97" t="s">
        <v>1125</v>
      </c>
      <c r="W393" s="97" t="s">
        <v>1181</v>
      </c>
      <c r="X393" s="97" t="s">
        <v>352</v>
      </c>
      <c r="Y393" s="97" t="s">
        <v>316</v>
      </c>
      <c r="Z393" s="97" t="s">
        <v>316</v>
      </c>
      <c r="AA393" s="97" t="s">
        <v>574</v>
      </c>
      <c r="AB393" s="97" t="s">
        <v>336</v>
      </c>
      <c r="AC393" s="97" t="s">
        <v>307</v>
      </c>
      <c r="AD393" s="97" t="s">
        <v>869</v>
      </c>
      <c r="AE393" s="97" t="s">
        <v>539</v>
      </c>
      <c r="AF393" s="97" t="s">
        <v>844</v>
      </c>
      <c r="AG393" s="97" t="s">
        <v>323</v>
      </c>
      <c r="AH393" s="97" t="s">
        <v>304</v>
      </c>
      <c r="AI393" s="97" t="s">
        <v>304</v>
      </c>
      <c r="AJ393" s="97" t="s">
        <v>303</v>
      </c>
      <c r="AK393" s="97" t="s">
        <v>305</v>
      </c>
      <c r="AL393" s="97" t="s">
        <v>304</v>
      </c>
      <c r="AM393" s="97" t="s">
        <v>303</v>
      </c>
      <c r="AN393" s="97" t="s">
        <v>303</v>
      </c>
      <c r="AO393" s="97" t="s">
        <v>302</v>
      </c>
      <c r="AP393" s="97" t="s">
        <v>302</v>
      </c>
      <c r="AQ393" s="97" t="s">
        <v>303</v>
      </c>
      <c r="AR393" s="97" t="s">
        <v>365</v>
      </c>
      <c r="AS393" s="97" t="s">
        <v>300</v>
      </c>
      <c r="AT393" s="97" t="s">
        <v>355</v>
      </c>
      <c r="AU393" s="97" t="s">
        <v>320</v>
      </c>
      <c r="AV393" s="97" t="s">
        <v>364</v>
      </c>
      <c r="AW393" s="97" t="s">
        <v>307</v>
      </c>
      <c r="AX393" s="97" t="s">
        <v>319</v>
      </c>
      <c r="AY393" s="97" t="s">
        <v>482</v>
      </c>
    </row>
    <row r="394" spans="1:51" ht="259.2" x14ac:dyDescent="0.3">
      <c r="A394" s="97" t="s">
        <v>1818</v>
      </c>
      <c r="B394" s="97" t="s">
        <v>689</v>
      </c>
      <c r="C394" s="97" t="s">
        <v>799</v>
      </c>
      <c r="D394" s="97" t="s">
        <v>560</v>
      </c>
      <c r="E394" s="97" t="s">
        <v>330</v>
      </c>
      <c r="F394" s="97" t="s">
        <v>317</v>
      </c>
      <c r="G394" s="97" t="s">
        <v>446</v>
      </c>
      <c r="H394" s="97" t="s">
        <v>390</v>
      </c>
      <c r="I394" s="97" t="s">
        <v>309</v>
      </c>
      <c r="J394" s="97" t="s">
        <v>947</v>
      </c>
      <c r="K394" s="97" t="s">
        <v>315</v>
      </c>
      <c r="L394" s="97" t="s">
        <v>566</v>
      </c>
      <c r="M394" s="97" t="s">
        <v>314</v>
      </c>
      <c r="N394" s="97" t="s">
        <v>4</v>
      </c>
      <c r="O394" s="97" t="s">
        <v>4</v>
      </c>
      <c r="P394" s="97" t="s">
        <v>327</v>
      </c>
      <c r="Q394" s="97" t="s">
        <v>411</v>
      </c>
      <c r="R394" s="97" t="s">
        <v>327</v>
      </c>
      <c r="S394" s="97" t="s">
        <v>1456</v>
      </c>
      <c r="T394" s="97" t="s">
        <v>326</v>
      </c>
      <c r="U394" s="97" t="s">
        <v>530</v>
      </c>
      <c r="V394" s="97" t="s">
        <v>1081</v>
      </c>
      <c r="W394" s="97" t="s">
        <v>325</v>
      </c>
      <c r="X394" s="97" t="s">
        <v>352</v>
      </c>
      <c r="Y394" s="97" t="s">
        <v>316</v>
      </c>
      <c r="Z394" s="97" t="s">
        <v>316</v>
      </c>
      <c r="AA394" s="97" t="s">
        <v>685</v>
      </c>
      <c r="AB394" s="97" t="s">
        <v>389</v>
      </c>
      <c r="AC394" s="97" t="s">
        <v>307</v>
      </c>
      <c r="AD394" s="97" t="s">
        <v>448</v>
      </c>
      <c r="AE394" s="97" t="s">
        <v>539</v>
      </c>
      <c r="AF394" s="97" t="s">
        <v>711</v>
      </c>
      <c r="AG394" s="97" t="s">
        <v>323</v>
      </c>
      <c r="AH394" s="97" t="s">
        <v>6</v>
      </c>
      <c r="AI394" s="97" t="s">
        <v>304</v>
      </c>
      <c r="AJ394" s="97" t="s">
        <v>305</v>
      </c>
      <c r="AK394" s="97" t="s">
        <v>305</v>
      </c>
      <c r="AL394" s="97" t="s">
        <v>302</v>
      </c>
      <c r="AM394" s="97" t="s">
        <v>303</v>
      </c>
      <c r="AN394" s="97" t="s">
        <v>304</v>
      </c>
      <c r="AO394" s="97" t="s">
        <v>303</v>
      </c>
      <c r="AP394" s="97" t="s">
        <v>303</v>
      </c>
      <c r="AQ394" s="97" t="s">
        <v>305</v>
      </c>
      <c r="AR394" s="97" t="s">
        <v>391</v>
      </c>
      <c r="AS394" s="97" t="s">
        <v>350</v>
      </c>
      <c r="AT394" s="97" t="s">
        <v>355</v>
      </c>
      <c r="AU394" s="97" t="s">
        <v>342</v>
      </c>
      <c r="AV394" s="97" t="s">
        <v>333</v>
      </c>
      <c r="AW394" s="97" t="s">
        <v>324</v>
      </c>
      <c r="AX394" s="97" t="s">
        <v>341</v>
      </c>
      <c r="AY394" s="97" t="s">
        <v>1368</v>
      </c>
    </row>
    <row r="395" spans="1:51" ht="201.6" x14ac:dyDescent="0.3">
      <c r="A395" s="97" t="s">
        <v>1819</v>
      </c>
      <c r="B395" s="97" t="s">
        <v>689</v>
      </c>
      <c r="C395" s="97" t="s">
        <v>799</v>
      </c>
      <c r="D395" s="97" t="s">
        <v>529</v>
      </c>
      <c r="E395" s="97" t="s">
        <v>330</v>
      </c>
      <c r="F395" s="97" t="s">
        <v>317</v>
      </c>
      <c r="G395" s="97" t="s">
        <v>430</v>
      </c>
      <c r="H395" s="97" t="s">
        <v>564</v>
      </c>
      <c r="I395" s="97" t="s">
        <v>309</v>
      </c>
      <c r="J395" s="97" t="s">
        <v>736</v>
      </c>
      <c r="K395" s="97" t="s">
        <v>328</v>
      </c>
      <c r="L395" s="97" t="s">
        <v>427</v>
      </c>
      <c r="M395" s="97" t="s">
        <v>314</v>
      </c>
      <c r="N395" s="97" t="s">
        <v>327</v>
      </c>
      <c r="O395" s="97" t="s">
        <v>313</v>
      </c>
      <c r="P395" s="97" t="s">
        <v>4</v>
      </c>
      <c r="Q395" s="97" t="s">
        <v>421</v>
      </c>
      <c r="R395" s="97" t="s">
        <v>327</v>
      </c>
      <c r="S395" s="97" t="s">
        <v>465</v>
      </c>
      <c r="T395" s="97" t="s">
        <v>366</v>
      </c>
      <c r="U395" s="97" t="s">
        <v>347</v>
      </c>
      <c r="V395" s="97" t="s">
        <v>1055</v>
      </c>
      <c r="W395" s="97" t="s">
        <v>325</v>
      </c>
      <c r="X395" s="97" t="s">
        <v>352</v>
      </c>
      <c r="Y395" s="97" t="s">
        <v>316</v>
      </c>
      <c r="Z395" s="97" t="s">
        <v>316</v>
      </c>
      <c r="AA395" s="97" t="s">
        <v>472</v>
      </c>
      <c r="AB395" s="97" t="s">
        <v>308</v>
      </c>
      <c r="AC395" s="97" t="s">
        <v>351</v>
      </c>
      <c r="AD395" s="97" t="s">
        <v>414</v>
      </c>
      <c r="AE395" s="97" t="s">
        <v>545</v>
      </c>
      <c r="AF395" s="97" t="s">
        <v>488</v>
      </c>
      <c r="AG395" s="97" t="s">
        <v>304</v>
      </c>
      <c r="AH395" s="97" t="s">
        <v>305</v>
      </c>
      <c r="AI395" s="97" t="s">
        <v>303</v>
      </c>
      <c r="AJ395" s="97" t="s">
        <v>304</v>
      </c>
      <c r="AK395" s="97" t="s">
        <v>303</v>
      </c>
      <c r="AL395" s="97" t="s">
        <v>303</v>
      </c>
      <c r="AM395" s="97" t="s">
        <v>302</v>
      </c>
      <c r="AN395" s="97" t="s">
        <v>304</v>
      </c>
      <c r="AO395" s="97" t="s">
        <v>304</v>
      </c>
      <c r="AP395" s="97" t="s">
        <v>304</v>
      </c>
      <c r="AQ395" s="97" t="s">
        <v>303</v>
      </c>
      <c r="AR395" s="97" t="s">
        <v>301</v>
      </c>
      <c r="AS395" s="97" t="s">
        <v>300</v>
      </c>
      <c r="AT395" s="97" t="s">
        <v>321</v>
      </c>
      <c r="AU395" s="97" t="s">
        <v>342</v>
      </c>
      <c r="AV395" s="97" t="s">
        <v>364</v>
      </c>
      <c r="AW395" s="97" t="s">
        <v>324</v>
      </c>
      <c r="AX395" s="97" t="s">
        <v>534</v>
      </c>
      <c r="AY395" s="97" t="s">
        <v>684</v>
      </c>
    </row>
    <row r="396" spans="1:51" ht="259.2" x14ac:dyDescent="0.3">
      <c r="A396" s="97" t="s">
        <v>1820</v>
      </c>
      <c r="B396" s="97" t="s">
        <v>689</v>
      </c>
      <c r="C396" s="97" t="s">
        <v>799</v>
      </c>
      <c r="D396" s="97" t="s">
        <v>700</v>
      </c>
      <c r="E396" s="97" t="s">
        <v>3</v>
      </c>
      <c r="F396" s="97" t="s">
        <v>317</v>
      </c>
      <c r="G396" s="97" t="s">
        <v>407</v>
      </c>
      <c r="H396" s="97" t="s">
        <v>390</v>
      </c>
      <c r="I396" s="97" t="s">
        <v>309</v>
      </c>
      <c r="J396" s="97" t="s">
        <v>1821</v>
      </c>
      <c r="K396" s="97" t="s">
        <v>315</v>
      </c>
      <c r="L396" s="97" t="s">
        <v>657</v>
      </c>
      <c r="M396" s="97" t="s">
        <v>314</v>
      </c>
      <c r="N396" s="97" t="s">
        <v>4</v>
      </c>
      <c r="O396" s="97" t="s">
        <v>4</v>
      </c>
      <c r="P396" s="97" t="s">
        <v>327</v>
      </c>
      <c r="Q396" s="97" t="s">
        <v>587</v>
      </c>
      <c r="R396" s="97" t="s">
        <v>327</v>
      </c>
      <c r="S396" s="97" t="s">
        <v>1822</v>
      </c>
      <c r="T396" s="97" t="s">
        <v>366</v>
      </c>
      <c r="U396" s="97" t="s">
        <v>311</v>
      </c>
      <c r="V396" s="97" t="s">
        <v>1823</v>
      </c>
      <c r="W396" s="97" t="s">
        <v>338</v>
      </c>
      <c r="X396" s="97" t="s">
        <v>310</v>
      </c>
      <c r="Y396" s="97" t="s">
        <v>316</v>
      </c>
      <c r="Z396" s="97" t="s">
        <v>316</v>
      </c>
      <c r="AA396" s="97" t="s">
        <v>410</v>
      </c>
      <c r="AB396" s="97" t="s">
        <v>308</v>
      </c>
      <c r="AC396" s="97" t="s">
        <v>324</v>
      </c>
      <c r="AD396" s="97" t="s">
        <v>357</v>
      </c>
      <c r="AE396" s="97" t="s">
        <v>532</v>
      </c>
      <c r="AF396" s="97" t="s">
        <v>1143</v>
      </c>
      <c r="AG396" s="97" t="s">
        <v>306</v>
      </c>
      <c r="AH396" s="97" t="s">
        <v>303</v>
      </c>
      <c r="AI396" s="97" t="s">
        <v>302</v>
      </c>
      <c r="AJ396" s="97" t="s">
        <v>304</v>
      </c>
      <c r="AK396" s="97" t="s">
        <v>304</v>
      </c>
      <c r="AL396" s="97" t="s">
        <v>303</v>
      </c>
      <c r="AM396" s="97" t="s">
        <v>303</v>
      </c>
      <c r="AN396" s="97" t="s">
        <v>302</v>
      </c>
      <c r="AO396" s="97" t="s">
        <v>302</v>
      </c>
      <c r="AP396" s="97" t="s">
        <v>302</v>
      </c>
      <c r="AQ396" s="97" t="s">
        <v>304</v>
      </c>
      <c r="AR396" s="97" t="s">
        <v>391</v>
      </c>
      <c r="AS396" s="97" t="s">
        <v>300</v>
      </c>
      <c r="AT396" s="97" t="s">
        <v>321</v>
      </c>
      <c r="AU396" s="97" t="s">
        <v>660</v>
      </c>
      <c r="AV396" s="97" t="s">
        <v>364</v>
      </c>
      <c r="AW396" s="97" t="s">
        <v>307</v>
      </c>
      <c r="AX396" s="97" t="s">
        <v>534</v>
      </c>
      <c r="AY396" s="97" t="s">
        <v>1824</v>
      </c>
    </row>
    <row r="397" spans="1:51" ht="144" x14ac:dyDescent="0.3">
      <c r="A397" s="97" t="s">
        <v>1825</v>
      </c>
      <c r="B397" s="97" t="s">
        <v>689</v>
      </c>
      <c r="C397" s="97" t="s">
        <v>799</v>
      </c>
      <c r="D397" s="97" t="s">
        <v>700</v>
      </c>
      <c r="E397" s="97" t="s">
        <v>3</v>
      </c>
      <c r="F397" s="97" t="s">
        <v>317</v>
      </c>
      <c r="G397" s="97" t="s">
        <v>423</v>
      </c>
      <c r="H397" s="97" t="s">
        <v>390</v>
      </c>
      <c r="I397" s="97" t="s">
        <v>309</v>
      </c>
      <c r="J397" s="97" t="s">
        <v>440</v>
      </c>
      <c r="K397" s="97" t="s">
        <v>315</v>
      </c>
      <c r="L397" s="97" t="s">
        <v>475</v>
      </c>
      <c r="M397" s="97" t="s">
        <v>353</v>
      </c>
      <c r="N397" s="97" t="s">
        <v>327</v>
      </c>
      <c r="O397" s="97" t="s">
        <v>327</v>
      </c>
      <c r="P397" s="97" t="s">
        <v>4</v>
      </c>
      <c r="Q397" s="97" t="s">
        <v>1826</v>
      </c>
      <c r="R397" s="97" t="s">
        <v>313</v>
      </c>
      <c r="S397" s="97" t="s">
        <v>944</v>
      </c>
      <c r="T397" s="97" t="s">
        <v>312</v>
      </c>
      <c r="U397" s="97" t="s">
        <v>530</v>
      </c>
      <c r="V397" s="97" t="s">
        <v>1827</v>
      </c>
      <c r="W397" s="97" t="s">
        <v>338</v>
      </c>
      <c r="X397" s="97" t="s">
        <v>352</v>
      </c>
      <c r="Y397" s="97" t="s">
        <v>316</v>
      </c>
      <c r="Z397" s="97" t="s">
        <v>316</v>
      </c>
      <c r="AA397" s="97" t="s">
        <v>410</v>
      </c>
      <c r="AB397" s="97" t="s">
        <v>389</v>
      </c>
      <c r="AC397" s="97" t="s">
        <v>324</v>
      </c>
      <c r="AD397" s="97" t="s">
        <v>599</v>
      </c>
      <c r="AE397" s="97" t="s">
        <v>532</v>
      </c>
      <c r="AF397" s="97" t="s">
        <v>987</v>
      </c>
      <c r="AG397" s="97" t="s">
        <v>323</v>
      </c>
      <c r="AH397" s="97" t="s">
        <v>303</v>
      </c>
      <c r="AI397" s="97" t="s">
        <v>302</v>
      </c>
      <c r="AJ397" s="97" t="s">
        <v>302</v>
      </c>
      <c r="AK397" s="97" t="s">
        <v>303</v>
      </c>
      <c r="AL397" s="97" t="s">
        <v>303</v>
      </c>
      <c r="AM397" s="97" t="s">
        <v>302</v>
      </c>
      <c r="AN397" s="97" t="s">
        <v>303</v>
      </c>
      <c r="AO397" s="97" t="s">
        <v>303</v>
      </c>
      <c r="AP397" s="97" t="s">
        <v>303</v>
      </c>
      <c r="AQ397" s="97" t="s">
        <v>303</v>
      </c>
      <c r="AR397" s="97" t="s">
        <v>301</v>
      </c>
      <c r="AS397" s="97" t="s">
        <v>300</v>
      </c>
      <c r="AT397" s="97" t="s">
        <v>355</v>
      </c>
      <c r="AU397" s="97" t="s">
        <v>660</v>
      </c>
      <c r="AV397" s="97" t="s">
        <v>547</v>
      </c>
      <c r="AW397" s="97" t="s">
        <v>307</v>
      </c>
      <c r="AX397" s="97" t="s">
        <v>534</v>
      </c>
      <c r="AY397" s="97" t="s">
        <v>418</v>
      </c>
    </row>
    <row r="398" spans="1:51" ht="144" x14ac:dyDescent="0.3">
      <c r="A398" s="97" t="s">
        <v>1828</v>
      </c>
      <c r="B398" s="97" t="s">
        <v>689</v>
      </c>
      <c r="C398" s="97" t="s">
        <v>799</v>
      </c>
      <c r="D398" s="97" t="s">
        <v>700</v>
      </c>
      <c r="E398" s="97" t="s">
        <v>3</v>
      </c>
      <c r="F398" s="97" t="s">
        <v>317</v>
      </c>
      <c r="G398" s="97" t="s">
        <v>423</v>
      </c>
      <c r="H398" s="97" t="s">
        <v>390</v>
      </c>
      <c r="I398" s="97" t="s">
        <v>309</v>
      </c>
      <c r="J398" s="97" t="s">
        <v>440</v>
      </c>
      <c r="K398" s="97" t="s">
        <v>315</v>
      </c>
      <c r="L398" s="97" t="s">
        <v>475</v>
      </c>
      <c r="M398" s="97" t="s">
        <v>353</v>
      </c>
      <c r="N398" s="97" t="s">
        <v>327</v>
      </c>
      <c r="O398" s="97" t="s">
        <v>327</v>
      </c>
      <c r="P398" s="97" t="s">
        <v>4</v>
      </c>
      <c r="Q398" s="97" t="s">
        <v>1826</v>
      </c>
      <c r="R398" s="97" t="s">
        <v>313</v>
      </c>
      <c r="S398" s="97" t="s">
        <v>944</v>
      </c>
      <c r="T398" s="97" t="s">
        <v>312</v>
      </c>
      <c r="U398" s="97" t="s">
        <v>530</v>
      </c>
      <c r="V398" s="97" t="s">
        <v>1827</v>
      </c>
      <c r="W398" s="97" t="s">
        <v>338</v>
      </c>
      <c r="X398" s="97" t="s">
        <v>352</v>
      </c>
      <c r="Y398" s="97" t="s">
        <v>316</v>
      </c>
      <c r="Z398" s="97" t="s">
        <v>316</v>
      </c>
      <c r="AA398" s="97" t="s">
        <v>410</v>
      </c>
      <c r="AB398" s="97" t="s">
        <v>389</v>
      </c>
      <c r="AC398" s="97" t="s">
        <v>324</v>
      </c>
      <c r="AD398" s="97" t="s">
        <v>599</v>
      </c>
      <c r="AE398" s="97" t="s">
        <v>532</v>
      </c>
      <c r="AF398" s="97" t="s">
        <v>987</v>
      </c>
      <c r="AG398" s="97" t="s">
        <v>323</v>
      </c>
      <c r="AH398" s="97" t="s">
        <v>303</v>
      </c>
      <c r="AI398" s="97" t="s">
        <v>302</v>
      </c>
      <c r="AJ398" s="97" t="s">
        <v>302</v>
      </c>
      <c r="AK398" s="97" t="s">
        <v>303</v>
      </c>
      <c r="AL398" s="97" t="s">
        <v>303</v>
      </c>
      <c r="AM398" s="97" t="s">
        <v>302</v>
      </c>
      <c r="AN398" s="97" t="s">
        <v>303</v>
      </c>
      <c r="AO398" s="97" t="s">
        <v>303</v>
      </c>
      <c r="AP398" s="97" t="s">
        <v>303</v>
      </c>
      <c r="AQ398" s="97" t="s">
        <v>303</v>
      </c>
      <c r="AR398" s="97" t="s">
        <v>301</v>
      </c>
      <c r="AS398" s="97" t="s">
        <v>300</v>
      </c>
      <c r="AT398" s="97" t="s">
        <v>355</v>
      </c>
      <c r="AU398" s="97" t="s">
        <v>660</v>
      </c>
      <c r="AV398" s="97" t="s">
        <v>547</v>
      </c>
      <c r="AW398" s="97" t="s">
        <v>307</v>
      </c>
      <c r="AX398" s="97" t="s">
        <v>534</v>
      </c>
      <c r="AY398" s="97" t="s">
        <v>418</v>
      </c>
    </row>
    <row r="399" spans="1:51" ht="172.8" x14ac:dyDescent="0.3">
      <c r="A399" s="97" t="s">
        <v>1829</v>
      </c>
      <c r="B399" s="97" t="s">
        <v>689</v>
      </c>
      <c r="C399" s="97" t="s">
        <v>799</v>
      </c>
      <c r="D399" s="97" t="s">
        <v>700</v>
      </c>
      <c r="E399" s="97" t="s">
        <v>330</v>
      </c>
      <c r="F399" s="97" t="s">
        <v>317</v>
      </c>
      <c r="G399" s="97" t="s">
        <v>446</v>
      </c>
      <c r="H399" s="97" t="s">
        <v>390</v>
      </c>
      <c r="I399" s="97" t="s">
        <v>309</v>
      </c>
      <c r="J399" s="97" t="s">
        <v>565</v>
      </c>
      <c r="K399" s="97" t="s">
        <v>354</v>
      </c>
      <c r="L399" s="97" t="s">
        <v>702</v>
      </c>
      <c r="M399" s="97" t="s">
        <v>348</v>
      </c>
      <c r="N399" s="97" t="s">
        <v>327</v>
      </c>
      <c r="O399" s="97" t="s">
        <v>4</v>
      </c>
      <c r="P399" s="97" t="s">
        <v>327</v>
      </c>
      <c r="Q399" s="97" t="s">
        <v>579</v>
      </c>
      <c r="R399" s="97" t="s">
        <v>327</v>
      </c>
      <c r="S399" s="97" t="s">
        <v>922</v>
      </c>
      <c r="T399" s="97" t="s">
        <v>312</v>
      </c>
      <c r="U399" s="97" t="s">
        <v>311</v>
      </c>
      <c r="V399" s="97" t="s">
        <v>659</v>
      </c>
      <c r="W399" s="97" t="s">
        <v>325</v>
      </c>
      <c r="X399" s="97" t="s">
        <v>310</v>
      </c>
      <c r="Y399" s="97" t="s">
        <v>316</v>
      </c>
      <c r="Z399" s="97" t="s">
        <v>316</v>
      </c>
      <c r="AA399" s="97" t="s">
        <v>732</v>
      </c>
      <c r="AB399" s="97" t="s">
        <v>336</v>
      </c>
      <c r="AC399" s="97" t="s">
        <v>307</v>
      </c>
      <c r="AD399" s="97" t="s">
        <v>806</v>
      </c>
      <c r="AE399" s="97" t="s">
        <v>545</v>
      </c>
      <c r="AF399" s="97" t="s">
        <v>1830</v>
      </c>
      <c r="AG399" s="97" t="s">
        <v>323</v>
      </c>
      <c r="AH399" s="97" t="s">
        <v>304</v>
      </c>
      <c r="AI399" s="97" t="s">
        <v>304</v>
      </c>
      <c r="AJ399" s="97" t="s">
        <v>302</v>
      </c>
      <c r="AK399" s="97" t="s">
        <v>6</v>
      </c>
      <c r="AL399" s="97" t="s">
        <v>302</v>
      </c>
      <c r="AM399" s="97" t="s">
        <v>302</v>
      </c>
      <c r="AN399" s="97" t="s">
        <v>302</v>
      </c>
      <c r="AO399" s="97" t="s">
        <v>302</v>
      </c>
      <c r="AP399" s="97" t="s">
        <v>302</v>
      </c>
      <c r="AQ399" s="97" t="s">
        <v>302</v>
      </c>
      <c r="AR399" s="97" t="s">
        <v>673</v>
      </c>
      <c r="AS399" s="97" t="s">
        <v>300</v>
      </c>
      <c r="AT399" s="97" t="s">
        <v>355</v>
      </c>
      <c r="AU399" s="97" t="s">
        <v>342</v>
      </c>
      <c r="AV399" s="97" t="s">
        <v>536</v>
      </c>
      <c r="AW399" s="97" t="s">
        <v>296</v>
      </c>
      <c r="AX399" s="97" t="s">
        <v>319</v>
      </c>
      <c r="AY399" s="97" t="s">
        <v>1831</v>
      </c>
    </row>
    <row r="400" spans="1:51" ht="259.2" x14ac:dyDescent="0.3">
      <c r="A400" s="97" t="s">
        <v>1832</v>
      </c>
      <c r="B400" s="97" t="s">
        <v>689</v>
      </c>
      <c r="C400" s="97" t="s">
        <v>799</v>
      </c>
      <c r="D400" s="97" t="s">
        <v>529</v>
      </c>
      <c r="E400" s="97" t="s">
        <v>3</v>
      </c>
      <c r="F400" s="97" t="s">
        <v>317</v>
      </c>
      <c r="G400" s="97" t="s">
        <v>407</v>
      </c>
      <c r="H400" s="97" t="s">
        <v>390</v>
      </c>
      <c r="I400" s="97" t="s">
        <v>345</v>
      </c>
      <c r="J400" s="97" t="s">
        <v>479</v>
      </c>
      <c r="K400" s="97" t="s">
        <v>354</v>
      </c>
      <c r="L400" s="97" t="s">
        <v>450</v>
      </c>
      <c r="M400" s="97" t="s">
        <v>353</v>
      </c>
      <c r="N400" s="97" t="s">
        <v>4</v>
      </c>
      <c r="O400" s="97" t="s">
        <v>4</v>
      </c>
      <c r="P400" s="97" t="s">
        <v>4</v>
      </c>
      <c r="Q400" s="97" t="s">
        <v>468</v>
      </c>
      <c r="R400" s="97" t="s">
        <v>4</v>
      </c>
      <c r="S400" s="97" t="s">
        <v>1833</v>
      </c>
      <c r="T400" s="97" t="s">
        <v>312</v>
      </c>
      <c r="U400" s="97" t="s">
        <v>311</v>
      </c>
      <c r="V400" s="97" t="s">
        <v>1081</v>
      </c>
      <c r="W400" s="97" t="s">
        <v>1278</v>
      </c>
      <c r="X400" s="97" t="s">
        <v>310</v>
      </c>
      <c r="Y400" s="97" t="s">
        <v>316</v>
      </c>
      <c r="Z400" s="97" t="s">
        <v>316</v>
      </c>
      <c r="AA400" s="97" t="s">
        <v>408</v>
      </c>
      <c r="AB400" s="97" t="s">
        <v>308</v>
      </c>
      <c r="AC400" s="97" t="s">
        <v>351</v>
      </c>
      <c r="AD400" s="97" t="s">
        <v>1006</v>
      </c>
      <c r="AE400" s="97" t="s">
        <v>535</v>
      </c>
      <c r="AF400" s="97" t="s">
        <v>461</v>
      </c>
      <c r="AG400" s="97" t="s">
        <v>323</v>
      </c>
      <c r="AH400" s="97" t="s">
        <v>304</v>
      </c>
      <c r="AI400" s="97" t="s">
        <v>304</v>
      </c>
      <c r="AJ400" s="97" t="s">
        <v>303</v>
      </c>
      <c r="AK400" s="97" t="s">
        <v>6</v>
      </c>
      <c r="AL400" s="97" t="s">
        <v>303</v>
      </c>
      <c r="AM400" s="97" t="s">
        <v>304</v>
      </c>
      <c r="AN400" s="97" t="s">
        <v>304</v>
      </c>
      <c r="AO400" s="97" t="s">
        <v>303</v>
      </c>
      <c r="AP400" s="97" t="s">
        <v>303</v>
      </c>
      <c r="AQ400" s="97" t="s">
        <v>303</v>
      </c>
      <c r="AR400" s="97" t="s">
        <v>301</v>
      </c>
      <c r="AS400" s="97" t="s">
        <v>350</v>
      </c>
      <c r="AT400" s="97" t="s">
        <v>321</v>
      </c>
      <c r="AU400" s="97" t="s">
        <v>342</v>
      </c>
      <c r="AV400" s="97" t="s">
        <v>364</v>
      </c>
      <c r="AW400" s="97" t="s">
        <v>307</v>
      </c>
      <c r="AX400" s="97" t="s">
        <v>341</v>
      </c>
      <c r="AY400" s="97" t="s">
        <v>418</v>
      </c>
    </row>
    <row r="401" spans="1:51" ht="244.8" x14ac:dyDescent="0.3">
      <c r="A401" s="97" t="s">
        <v>1834</v>
      </c>
      <c r="B401" s="97" t="s">
        <v>689</v>
      </c>
      <c r="C401" s="97" t="s">
        <v>799</v>
      </c>
      <c r="D401" s="97" t="s">
        <v>529</v>
      </c>
      <c r="E401" s="97" t="s">
        <v>330</v>
      </c>
      <c r="F401" s="97" t="s">
        <v>317</v>
      </c>
      <c r="G401" s="97" t="s">
        <v>407</v>
      </c>
      <c r="H401" s="97" t="s">
        <v>390</v>
      </c>
      <c r="I401" s="97" t="s">
        <v>345</v>
      </c>
      <c r="J401" s="97" t="s">
        <v>440</v>
      </c>
      <c r="K401" s="97" t="s">
        <v>315</v>
      </c>
      <c r="L401" s="97" t="s">
        <v>450</v>
      </c>
      <c r="M401" s="97" t="s">
        <v>314</v>
      </c>
      <c r="N401" s="97" t="s">
        <v>327</v>
      </c>
      <c r="O401" s="97" t="s">
        <v>4</v>
      </c>
      <c r="P401" s="97" t="s">
        <v>4</v>
      </c>
      <c r="Q401" s="97" t="s">
        <v>427</v>
      </c>
      <c r="R401" s="97" t="s">
        <v>327</v>
      </c>
      <c r="S401" s="97" t="s">
        <v>988</v>
      </c>
      <c r="T401" s="97" t="s">
        <v>366</v>
      </c>
      <c r="U401" s="97" t="s">
        <v>530</v>
      </c>
      <c r="V401" s="97" t="s">
        <v>1835</v>
      </c>
      <c r="W401" s="97" t="s">
        <v>1192</v>
      </c>
      <c r="X401" s="97" t="s">
        <v>310</v>
      </c>
      <c r="Y401" s="97" t="s">
        <v>316</v>
      </c>
      <c r="Z401" s="97" t="s">
        <v>316</v>
      </c>
      <c r="AA401" s="97" t="s">
        <v>432</v>
      </c>
      <c r="AB401" s="97" t="s">
        <v>308</v>
      </c>
      <c r="AC401" s="97" t="s">
        <v>351</v>
      </c>
      <c r="AD401" s="97" t="s">
        <v>599</v>
      </c>
      <c r="AE401" s="97" t="s">
        <v>542</v>
      </c>
      <c r="AF401" s="97" t="s">
        <v>815</v>
      </c>
      <c r="AG401" s="97" t="s">
        <v>304</v>
      </c>
      <c r="AH401" s="97" t="s">
        <v>305</v>
      </c>
      <c r="AI401" s="97" t="s">
        <v>304</v>
      </c>
      <c r="AJ401" s="97" t="s">
        <v>304</v>
      </c>
      <c r="AK401" s="97" t="s">
        <v>6</v>
      </c>
      <c r="AL401" s="97" t="s">
        <v>304</v>
      </c>
      <c r="AM401" s="97" t="s">
        <v>304</v>
      </c>
      <c r="AN401" s="97" t="s">
        <v>303</v>
      </c>
      <c r="AO401" s="97" t="s">
        <v>303</v>
      </c>
      <c r="AP401" s="97" t="s">
        <v>303</v>
      </c>
      <c r="AQ401" s="97" t="s">
        <v>304</v>
      </c>
      <c r="AR401" s="97" t="s">
        <v>365</v>
      </c>
      <c r="AS401" s="97" t="s">
        <v>489</v>
      </c>
      <c r="AT401" s="97" t="s">
        <v>355</v>
      </c>
      <c r="AU401" s="97" t="s">
        <v>320</v>
      </c>
      <c r="AV401" s="97" t="s">
        <v>297</v>
      </c>
      <c r="AW401" s="97" t="s">
        <v>307</v>
      </c>
      <c r="AX401" s="97" t="s">
        <v>534</v>
      </c>
      <c r="AY401" s="97" t="s">
        <v>456</v>
      </c>
    </row>
    <row r="402" spans="1:51" ht="144" x14ac:dyDescent="0.3">
      <c r="A402" s="97" t="s">
        <v>1836</v>
      </c>
      <c r="B402" s="97" t="s">
        <v>689</v>
      </c>
      <c r="C402" s="97" t="s">
        <v>799</v>
      </c>
      <c r="D402" s="97" t="s">
        <v>529</v>
      </c>
      <c r="E402" s="97" t="s">
        <v>330</v>
      </c>
      <c r="F402" s="97" t="s">
        <v>317</v>
      </c>
      <c r="G402" s="97" t="s">
        <v>423</v>
      </c>
      <c r="H402" s="97" t="s">
        <v>390</v>
      </c>
      <c r="I402" s="97" t="s">
        <v>345</v>
      </c>
      <c r="J402" s="97" t="s">
        <v>454</v>
      </c>
      <c r="K402" s="97" t="s">
        <v>328</v>
      </c>
      <c r="L402" s="97" t="s">
        <v>594</v>
      </c>
      <c r="M402" s="97" t="s">
        <v>314</v>
      </c>
      <c r="N402" s="97" t="s">
        <v>313</v>
      </c>
      <c r="O402" s="97" t="s">
        <v>313</v>
      </c>
      <c r="P402" s="97" t="s">
        <v>313</v>
      </c>
      <c r="Q402" s="97" t="s">
        <v>594</v>
      </c>
      <c r="R402" s="97" t="s">
        <v>313</v>
      </c>
      <c r="S402" s="97" t="s">
        <v>433</v>
      </c>
      <c r="T402" s="97" t="s">
        <v>326</v>
      </c>
      <c r="U402" s="97" t="s">
        <v>530</v>
      </c>
      <c r="V402" s="97" t="s">
        <v>1048</v>
      </c>
      <c r="W402" s="97" t="s">
        <v>325</v>
      </c>
      <c r="X402" s="97" t="s">
        <v>346</v>
      </c>
      <c r="Y402" s="97" t="s">
        <v>316</v>
      </c>
      <c r="Z402" s="97" t="s">
        <v>316</v>
      </c>
      <c r="AA402" s="97" t="s">
        <v>590</v>
      </c>
      <c r="AB402" s="97" t="s">
        <v>358</v>
      </c>
      <c r="AC402" s="97" t="s">
        <v>324</v>
      </c>
      <c r="AD402" s="97" t="s">
        <v>647</v>
      </c>
      <c r="AE402" s="97" t="s">
        <v>535</v>
      </c>
      <c r="AF402" s="97" t="s">
        <v>1837</v>
      </c>
      <c r="AG402" s="97" t="s">
        <v>323</v>
      </c>
      <c r="AH402" s="97" t="s">
        <v>304</v>
      </c>
      <c r="AI402" s="97" t="s">
        <v>304</v>
      </c>
      <c r="AJ402" s="97" t="s">
        <v>304</v>
      </c>
      <c r="AK402" s="97" t="s">
        <v>305</v>
      </c>
      <c r="AL402" s="97" t="s">
        <v>304</v>
      </c>
      <c r="AM402" s="97" t="s">
        <v>303</v>
      </c>
      <c r="AN402" s="97" t="s">
        <v>303</v>
      </c>
      <c r="AO402" s="97" t="s">
        <v>303</v>
      </c>
      <c r="AP402" s="97" t="s">
        <v>303</v>
      </c>
      <c r="AQ402" s="97" t="s">
        <v>303</v>
      </c>
      <c r="AR402" s="97" t="s">
        <v>391</v>
      </c>
      <c r="AS402" s="97" t="s">
        <v>335</v>
      </c>
      <c r="AT402" s="97" t="s">
        <v>334</v>
      </c>
      <c r="AU402" s="97" t="s">
        <v>342</v>
      </c>
      <c r="AV402" s="97" t="s">
        <v>364</v>
      </c>
      <c r="AW402" s="97" t="s">
        <v>307</v>
      </c>
      <c r="AX402" s="97" t="s">
        <v>341</v>
      </c>
      <c r="AY402" s="97" t="s">
        <v>999</v>
      </c>
    </row>
    <row r="403" spans="1:51" ht="129.6" x14ac:dyDescent="0.3">
      <c r="A403" s="97" t="s">
        <v>1838</v>
      </c>
      <c r="B403" s="97" t="s">
        <v>689</v>
      </c>
      <c r="C403" s="97" t="s">
        <v>799</v>
      </c>
      <c r="D403" s="97" t="s">
        <v>331</v>
      </c>
      <c r="E403" s="97" t="s">
        <v>3</v>
      </c>
      <c r="F403" s="97" t="s">
        <v>317</v>
      </c>
      <c r="G403" s="97" t="s">
        <v>412</v>
      </c>
      <c r="H403" s="97" t="s">
        <v>5</v>
      </c>
      <c r="I403" s="97" t="s">
        <v>309</v>
      </c>
      <c r="J403" s="97" t="s">
        <v>544</v>
      </c>
      <c r="K403" s="97" t="s">
        <v>315</v>
      </c>
      <c r="L403" s="97" t="s">
        <v>475</v>
      </c>
      <c r="M403" s="97" t="s">
        <v>314</v>
      </c>
      <c r="N403" s="97" t="s">
        <v>327</v>
      </c>
      <c r="O403" s="97" t="s">
        <v>4</v>
      </c>
      <c r="P403" s="97" t="s">
        <v>4</v>
      </c>
      <c r="Q403" s="97" t="s">
        <v>429</v>
      </c>
      <c r="R403" s="97" t="s">
        <v>4</v>
      </c>
      <c r="S403" s="97" t="s">
        <v>416</v>
      </c>
      <c r="T403" s="97" t="s">
        <v>326</v>
      </c>
      <c r="U403" s="97" t="s">
        <v>347</v>
      </c>
      <c r="V403" s="97" t="s">
        <v>1839</v>
      </c>
      <c r="W403" s="97" t="s">
        <v>338</v>
      </c>
      <c r="X403" s="97" t="s">
        <v>337</v>
      </c>
      <c r="Y403" s="97" t="s">
        <v>316</v>
      </c>
      <c r="Z403" s="97" t="s">
        <v>316</v>
      </c>
      <c r="AA403" s="97" t="s">
        <v>410</v>
      </c>
      <c r="AB403" s="97" t="s">
        <v>336</v>
      </c>
      <c r="AC403" s="97" t="s">
        <v>324</v>
      </c>
      <c r="AD403" s="97" t="s">
        <v>414</v>
      </c>
      <c r="AE403" s="97" t="s">
        <v>539</v>
      </c>
      <c r="AF403" s="97" t="s">
        <v>913</v>
      </c>
      <c r="AG403" s="97" t="s">
        <v>323</v>
      </c>
      <c r="AH403" s="97" t="s">
        <v>303</v>
      </c>
      <c r="AI403" s="97" t="s">
        <v>304</v>
      </c>
      <c r="AJ403" s="97" t="s">
        <v>303</v>
      </c>
      <c r="AK403" s="97" t="s">
        <v>304</v>
      </c>
      <c r="AL403" s="97" t="s">
        <v>303</v>
      </c>
      <c r="AM403" s="97" t="s">
        <v>303</v>
      </c>
      <c r="AN403" s="97" t="s">
        <v>304</v>
      </c>
      <c r="AO403" s="97" t="s">
        <v>304</v>
      </c>
      <c r="AP403" s="97" t="s">
        <v>304</v>
      </c>
      <c r="AQ403" s="97" t="s">
        <v>304</v>
      </c>
      <c r="AR403" s="97" t="s">
        <v>391</v>
      </c>
      <c r="AS403" s="97" t="s">
        <v>300</v>
      </c>
      <c r="AT403" s="97" t="s">
        <v>360</v>
      </c>
      <c r="AU403" s="97" t="s">
        <v>298</v>
      </c>
      <c r="AV403" s="97" t="s">
        <v>297</v>
      </c>
      <c r="AW403" s="97" t="s">
        <v>307</v>
      </c>
      <c r="AX403" s="97" t="s">
        <v>549</v>
      </c>
      <c r="AY403" s="97" t="s">
        <v>418</v>
      </c>
    </row>
    <row r="404" spans="1:51" ht="144" x14ac:dyDescent="0.3">
      <c r="A404" s="97" t="s">
        <v>1840</v>
      </c>
      <c r="B404" s="97" t="s">
        <v>689</v>
      </c>
      <c r="C404" s="97" t="s">
        <v>799</v>
      </c>
      <c r="D404" s="97" t="s">
        <v>331</v>
      </c>
      <c r="E404" s="97" t="s">
        <v>3</v>
      </c>
      <c r="F404" s="97" t="s">
        <v>317</v>
      </c>
      <c r="G404" s="97" t="s">
        <v>446</v>
      </c>
      <c r="H404" s="97" t="s">
        <v>390</v>
      </c>
      <c r="I404" s="97" t="s">
        <v>309</v>
      </c>
      <c r="J404" s="97" t="s">
        <v>565</v>
      </c>
      <c r="K404" s="97" t="s">
        <v>354</v>
      </c>
      <c r="L404" s="97" t="s">
        <v>427</v>
      </c>
      <c r="M404" s="97" t="s">
        <v>314</v>
      </c>
      <c r="N404" s="97" t="s">
        <v>327</v>
      </c>
      <c r="O404" s="97" t="s">
        <v>4</v>
      </c>
      <c r="P404" s="97" t="s">
        <v>313</v>
      </c>
      <c r="Q404" s="97" t="s">
        <v>411</v>
      </c>
      <c r="R404" s="97" t="s">
        <v>4</v>
      </c>
      <c r="S404" s="97" t="s">
        <v>1841</v>
      </c>
      <c r="T404" s="97" t="s">
        <v>312</v>
      </c>
      <c r="U404" s="97" t="s">
        <v>530</v>
      </c>
      <c r="V404" s="97" t="s">
        <v>379</v>
      </c>
      <c r="W404" s="97" t="s">
        <v>1192</v>
      </c>
      <c r="X404" s="97" t="s">
        <v>352</v>
      </c>
      <c r="Y404" s="97" t="s">
        <v>345</v>
      </c>
      <c r="Z404" s="97" t="s">
        <v>316</v>
      </c>
      <c r="AA404" s="97" t="s">
        <v>424</v>
      </c>
      <c r="AB404" s="97" t="s">
        <v>336</v>
      </c>
      <c r="AC404" s="97" t="s">
        <v>324</v>
      </c>
      <c r="AD404" s="97" t="s">
        <v>426</v>
      </c>
      <c r="AE404" s="97" t="s">
        <v>545</v>
      </c>
      <c r="AF404" s="97" t="s">
        <v>1842</v>
      </c>
      <c r="AG404" s="97" t="s">
        <v>323</v>
      </c>
      <c r="AH404" s="97" t="s">
        <v>305</v>
      </c>
      <c r="AI404" s="97" t="s">
        <v>304</v>
      </c>
      <c r="AJ404" s="97" t="s">
        <v>303</v>
      </c>
      <c r="AK404" s="97" t="s">
        <v>6</v>
      </c>
      <c r="AL404" s="97" t="s">
        <v>303</v>
      </c>
      <c r="AM404" s="97" t="s">
        <v>304</v>
      </c>
      <c r="AN404" s="97" t="s">
        <v>304</v>
      </c>
      <c r="AO404" s="97" t="s">
        <v>303</v>
      </c>
      <c r="AP404" s="97" t="s">
        <v>304</v>
      </c>
      <c r="AQ404" s="97" t="s">
        <v>304</v>
      </c>
      <c r="AR404" s="97" t="s">
        <v>301</v>
      </c>
      <c r="AS404" s="97" t="s">
        <v>540</v>
      </c>
      <c r="AT404" s="97" t="s">
        <v>360</v>
      </c>
      <c r="AU404" s="97" t="s">
        <v>298</v>
      </c>
      <c r="AV404" s="97" t="s">
        <v>547</v>
      </c>
      <c r="AW404" s="97" t="s">
        <v>307</v>
      </c>
      <c r="AX404" s="97" t="s">
        <v>534</v>
      </c>
      <c r="AY404" s="97" t="s">
        <v>418</v>
      </c>
    </row>
    <row r="405" spans="1:51" ht="129.6" x14ac:dyDescent="0.3">
      <c r="A405" s="97" t="s">
        <v>1843</v>
      </c>
      <c r="B405" s="97" t="s">
        <v>689</v>
      </c>
      <c r="C405" s="97" t="s">
        <v>799</v>
      </c>
      <c r="D405" s="97" t="s">
        <v>529</v>
      </c>
      <c r="E405" s="97" t="s">
        <v>3</v>
      </c>
      <c r="F405" s="97" t="s">
        <v>317</v>
      </c>
      <c r="G405" s="97" t="s">
        <v>407</v>
      </c>
      <c r="H405" s="97" t="s">
        <v>390</v>
      </c>
      <c r="I405" s="97" t="s">
        <v>309</v>
      </c>
      <c r="J405" s="97" t="s">
        <v>544</v>
      </c>
      <c r="K405" s="97" t="s">
        <v>354</v>
      </c>
      <c r="L405" s="97" t="s">
        <v>450</v>
      </c>
      <c r="M405" s="97" t="s">
        <v>363</v>
      </c>
      <c r="N405" s="97" t="s">
        <v>327</v>
      </c>
      <c r="O405" s="97" t="s">
        <v>327</v>
      </c>
      <c r="P405" s="97" t="s">
        <v>4</v>
      </c>
      <c r="Q405" s="97" t="s">
        <v>450</v>
      </c>
      <c r="R405" s="97" t="s">
        <v>327</v>
      </c>
      <c r="S405" s="97" t="s">
        <v>1292</v>
      </c>
      <c r="T405" s="97" t="s">
        <v>366</v>
      </c>
      <c r="U405" s="97" t="s">
        <v>311</v>
      </c>
      <c r="V405" s="97" t="s">
        <v>415</v>
      </c>
      <c r="W405" s="97" t="s">
        <v>338</v>
      </c>
      <c r="X405" s="97" t="s">
        <v>352</v>
      </c>
      <c r="Y405" s="97" t="s">
        <v>316</v>
      </c>
      <c r="Z405" s="97" t="s">
        <v>316</v>
      </c>
      <c r="AA405" s="97" t="s">
        <v>410</v>
      </c>
      <c r="AB405" s="97" t="s">
        <v>308</v>
      </c>
      <c r="AC405" s="97" t="s">
        <v>307</v>
      </c>
      <c r="AD405" s="97" t="s">
        <v>414</v>
      </c>
      <c r="AE405" s="97" t="s">
        <v>545</v>
      </c>
      <c r="AF405" s="97" t="s">
        <v>648</v>
      </c>
      <c r="AG405" s="97" t="s">
        <v>306</v>
      </c>
      <c r="AH405" s="97" t="s">
        <v>303</v>
      </c>
      <c r="AI405" s="97" t="s">
        <v>303</v>
      </c>
      <c r="AJ405" s="97" t="s">
        <v>303</v>
      </c>
      <c r="AK405" s="97" t="s">
        <v>303</v>
      </c>
      <c r="AL405" s="97" t="s">
        <v>303</v>
      </c>
      <c r="AM405" s="97" t="s">
        <v>302</v>
      </c>
      <c r="AN405" s="97" t="s">
        <v>303</v>
      </c>
      <c r="AO405" s="97" t="s">
        <v>302</v>
      </c>
      <c r="AP405" s="97" t="s">
        <v>303</v>
      </c>
      <c r="AQ405" s="97" t="s">
        <v>302</v>
      </c>
      <c r="AR405" s="97" t="s">
        <v>322</v>
      </c>
      <c r="AS405" s="97" t="s">
        <v>350</v>
      </c>
      <c r="AT405" s="97" t="s">
        <v>355</v>
      </c>
      <c r="AU405" s="97" t="s">
        <v>342</v>
      </c>
      <c r="AV405" s="97" t="s">
        <v>536</v>
      </c>
      <c r="AW405" s="97" t="s">
        <v>296</v>
      </c>
      <c r="AX405" s="97" t="s">
        <v>534</v>
      </c>
      <c r="AY405" s="97" t="s">
        <v>573</v>
      </c>
    </row>
    <row r="406" spans="1:51" ht="86.4" x14ac:dyDescent="0.3">
      <c r="A406" s="97" t="s">
        <v>1844</v>
      </c>
      <c r="B406" s="97" t="s">
        <v>1845</v>
      </c>
      <c r="C406" s="97" t="s">
        <v>552</v>
      </c>
      <c r="D406" s="97" t="s">
        <v>529</v>
      </c>
      <c r="E406" s="97" t="s">
        <v>3</v>
      </c>
      <c r="F406" s="97" t="s">
        <v>317</v>
      </c>
      <c r="G406" s="97" t="s">
        <v>340</v>
      </c>
      <c r="H406" s="97" t="s">
        <v>5</v>
      </c>
      <c r="I406" s="97" t="s">
        <v>309</v>
      </c>
      <c r="J406" s="97" t="s">
        <v>721</v>
      </c>
      <c r="K406" s="97" t="s">
        <v>328</v>
      </c>
      <c r="L406" s="97" t="s">
        <v>475</v>
      </c>
      <c r="M406" s="97" t="s">
        <v>348</v>
      </c>
      <c r="N406" s="97" t="s">
        <v>327</v>
      </c>
      <c r="O406" s="97" t="s">
        <v>4</v>
      </c>
      <c r="P406" s="97" t="s">
        <v>327</v>
      </c>
      <c r="Q406" s="97" t="s">
        <v>411</v>
      </c>
      <c r="R406" s="97" t="s">
        <v>327</v>
      </c>
      <c r="S406" s="97" t="s">
        <v>677</v>
      </c>
      <c r="T406" s="97" t="s">
        <v>312</v>
      </c>
      <c r="U406" s="97" t="s">
        <v>530</v>
      </c>
      <c r="V406" s="97" t="s">
        <v>1171</v>
      </c>
      <c r="W406" s="97" t="s">
        <v>338</v>
      </c>
      <c r="X406" s="97" t="s">
        <v>310</v>
      </c>
      <c r="Y406" s="97" t="s">
        <v>345</v>
      </c>
      <c r="Z406" s="97" t="s">
        <v>316</v>
      </c>
      <c r="AA406" s="97" t="s">
        <v>459</v>
      </c>
      <c r="AB406" s="97" t="s">
        <v>308</v>
      </c>
      <c r="AC406" s="97" t="s">
        <v>307</v>
      </c>
      <c r="AD406" s="97" t="s">
        <v>414</v>
      </c>
      <c r="AE406" s="97" t="s">
        <v>532</v>
      </c>
      <c r="AF406" s="97" t="s">
        <v>921</v>
      </c>
      <c r="AG406" s="97" t="s">
        <v>306</v>
      </c>
      <c r="AH406" s="97" t="s">
        <v>302</v>
      </c>
      <c r="AI406" s="97" t="s">
        <v>302</v>
      </c>
      <c r="AJ406" s="97" t="s">
        <v>302</v>
      </c>
      <c r="AK406" s="97" t="s">
        <v>302</v>
      </c>
      <c r="AL406" s="97" t="s">
        <v>302</v>
      </c>
      <c r="AM406" s="97" t="s">
        <v>302</v>
      </c>
      <c r="AN406" s="97" t="s">
        <v>302</v>
      </c>
      <c r="AO406" s="97" t="s">
        <v>302</v>
      </c>
      <c r="AP406" s="97" t="s">
        <v>302</v>
      </c>
      <c r="AQ406" s="97" t="s">
        <v>302</v>
      </c>
      <c r="AR406" s="97" t="s">
        <v>343</v>
      </c>
      <c r="AS406" s="97" t="s">
        <v>398</v>
      </c>
      <c r="AT406" s="97" t="s">
        <v>355</v>
      </c>
      <c r="AU406" s="97" t="s">
        <v>320</v>
      </c>
      <c r="AV406" s="97" t="s">
        <v>536</v>
      </c>
      <c r="AW406" s="97" t="s">
        <v>307</v>
      </c>
      <c r="AX406" s="97" t="s">
        <v>319</v>
      </c>
      <c r="AY406" s="97" t="s">
        <v>1846</v>
      </c>
    </row>
    <row r="407" spans="1:51" ht="259.2" x14ac:dyDescent="0.3">
      <c r="A407" s="97" t="s">
        <v>1844</v>
      </c>
      <c r="B407" s="97" t="s">
        <v>1845</v>
      </c>
      <c r="C407" s="97" t="s">
        <v>552</v>
      </c>
      <c r="D407" s="97" t="s">
        <v>529</v>
      </c>
      <c r="E407" s="97" t="s">
        <v>3</v>
      </c>
      <c r="F407" s="97" t="s">
        <v>317</v>
      </c>
      <c r="G407" s="97" t="s">
        <v>561</v>
      </c>
      <c r="H407" s="97" t="s">
        <v>5</v>
      </c>
      <c r="I407" s="97" t="s">
        <v>309</v>
      </c>
      <c r="J407" s="97" t="s">
        <v>1343</v>
      </c>
      <c r="K407" s="97" t="s">
        <v>315</v>
      </c>
      <c r="L407" s="97" t="s">
        <v>657</v>
      </c>
      <c r="M407" s="97" t="s">
        <v>314</v>
      </c>
      <c r="N407" s="97" t="s">
        <v>4</v>
      </c>
      <c r="O407" s="97" t="s">
        <v>313</v>
      </c>
      <c r="P407" s="97" t="s">
        <v>4</v>
      </c>
      <c r="Q407" s="97" t="s">
        <v>411</v>
      </c>
      <c r="R407" s="97" t="s">
        <v>4</v>
      </c>
      <c r="S407" s="97" t="s">
        <v>1124</v>
      </c>
      <c r="T407" s="97" t="s">
        <v>326</v>
      </c>
      <c r="U407" s="97" t="s">
        <v>311</v>
      </c>
      <c r="V407" s="97" t="s">
        <v>1792</v>
      </c>
      <c r="W407" s="97" t="s">
        <v>338</v>
      </c>
      <c r="X407" s="97" t="s">
        <v>352</v>
      </c>
      <c r="Y407" s="97" t="s">
        <v>345</v>
      </c>
      <c r="Z407" s="97" t="s">
        <v>316</v>
      </c>
      <c r="AA407" s="97" t="s">
        <v>596</v>
      </c>
      <c r="AB407" s="97" t="s">
        <v>358</v>
      </c>
      <c r="AC407" s="97" t="s">
        <v>324</v>
      </c>
      <c r="AD407" s="97" t="s">
        <v>414</v>
      </c>
      <c r="AE407" s="97" t="s">
        <v>545</v>
      </c>
      <c r="AF407" s="97" t="s">
        <v>1432</v>
      </c>
      <c r="AG407" s="97" t="s">
        <v>323</v>
      </c>
      <c r="AH407" s="97" t="s">
        <v>304</v>
      </c>
      <c r="AI407" s="97" t="s">
        <v>303</v>
      </c>
      <c r="AJ407" s="97" t="s">
        <v>303</v>
      </c>
      <c r="AK407" s="97" t="s">
        <v>303</v>
      </c>
      <c r="AL407" s="97" t="s">
        <v>303</v>
      </c>
      <c r="AM407" s="97" t="s">
        <v>303</v>
      </c>
      <c r="AN407" s="97" t="s">
        <v>303</v>
      </c>
      <c r="AO407" s="97" t="s">
        <v>302</v>
      </c>
      <c r="AP407" s="97" t="s">
        <v>303</v>
      </c>
      <c r="AQ407" s="97" t="s">
        <v>303</v>
      </c>
      <c r="AR407" s="97" t="s">
        <v>541</v>
      </c>
      <c r="AS407" s="97" t="s">
        <v>300</v>
      </c>
      <c r="AT407" s="97" t="s">
        <v>360</v>
      </c>
      <c r="AU407" s="97" t="s">
        <v>342</v>
      </c>
      <c r="AV407" s="97" t="s">
        <v>364</v>
      </c>
      <c r="AW407" s="97" t="s">
        <v>296</v>
      </c>
      <c r="AX407" s="97" t="s">
        <v>319</v>
      </c>
      <c r="AY407" s="97" t="s">
        <v>573</v>
      </c>
    </row>
    <row r="408" spans="1:51" ht="216" x14ac:dyDescent="0.3">
      <c r="A408" s="97" t="s">
        <v>1847</v>
      </c>
      <c r="B408" s="97" t="s">
        <v>1845</v>
      </c>
      <c r="C408" s="97" t="s">
        <v>552</v>
      </c>
      <c r="D408" s="97" t="s">
        <v>529</v>
      </c>
      <c r="E408" s="97" t="s">
        <v>330</v>
      </c>
      <c r="F408" s="97" t="s">
        <v>317</v>
      </c>
      <c r="G408" s="97" t="s">
        <v>435</v>
      </c>
      <c r="H408" s="97" t="s">
        <v>5</v>
      </c>
      <c r="I408" s="97" t="s">
        <v>345</v>
      </c>
      <c r="J408" s="97" t="s">
        <v>1063</v>
      </c>
      <c r="K408" s="97" t="s">
        <v>328</v>
      </c>
      <c r="L408" s="97" t="s">
        <v>406</v>
      </c>
      <c r="M408" s="97" t="s">
        <v>348</v>
      </c>
      <c r="N408" s="97" t="s">
        <v>327</v>
      </c>
      <c r="O408" s="97" t="s">
        <v>327</v>
      </c>
      <c r="P408" s="97" t="s">
        <v>327</v>
      </c>
      <c r="Q408" s="97" t="s">
        <v>690</v>
      </c>
      <c r="R408" s="97" t="s">
        <v>327</v>
      </c>
      <c r="S408" s="97" t="s">
        <v>1142</v>
      </c>
      <c r="T408" s="97" t="s">
        <v>312</v>
      </c>
      <c r="U408" s="97" t="s">
        <v>311</v>
      </c>
      <c r="V408" s="97" t="s">
        <v>703</v>
      </c>
      <c r="W408" s="97" t="s">
        <v>325</v>
      </c>
      <c r="X408" s="97" t="s">
        <v>310</v>
      </c>
      <c r="Y408" s="97" t="s">
        <v>316</v>
      </c>
      <c r="Z408" s="97" t="s">
        <v>316</v>
      </c>
      <c r="AA408" s="97" t="s">
        <v>732</v>
      </c>
      <c r="AB408" s="97" t="s">
        <v>376</v>
      </c>
      <c r="AC408" s="97" t="s">
        <v>307</v>
      </c>
      <c r="AD408" s="97" t="s">
        <v>806</v>
      </c>
      <c r="AE408" s="97" t="s">
        <v>532</v>
      </c>
      <c r="AF408" s="97" t="s">
        <v>1312</v>
      </c>
      <c r="AG408" s="97" t="s">
        <v>323</v>
      </c>
      <c r="AH408" s="97" t="s">
        <v>302</v>
      </c>
      <c r="AI408" s="97" t="s">
        <v>302</v>
      </c>
      <c r="AJ408" s="97" t="s">
        <v>303</v>
      </c>
      <c r="AK408" s="97" t="s">
        <v>303</v>
      </c>
      <c r="AL408" s="97" t="s">
        <v>302</v>
      </c>
      <c r="AM408" s="97" t="s">
        <v>302</v>
      </c>
      <c r="AN408" s="97" t="s">
        <v>302</v>
      </c>
      <c r="AO408" s="97" t="s">
        <v>302</v>
      </c>
      <c r="AP408" s="97" t="s">
        <v>302</v>
      </c>
      <c r="AQ408" s="97" t="s">
        <v>303</v>
      </c>
      <c r="AR408" s="97" t="s">
        <v>378</v>
      </c>
      <c r="AS408" s="97" t="s">
        <v>489</v>
      </c>
      <c r="AT408" s="97" t="s">
        <v>355</v>
      </c>
      <c r="AU408" s="97" t="s">
        <v>320</v>
      </c>
      <c r="AV408" s="97" t="s">
        <v>547</v>
      </c>
      <c r="AW408" s="97" t="s">
        <v>296</v>
      </c>
      <c r="AX408" s="97" t="s">
        <v>319</v>
      </c>
      <c r="AY408" s="97" t="s">
        <v>856</v>
      </c>
    </row>
    <row r="409" spans="1:51" ht="115.2" x14ac:dyDescent="0.3">
      <c r="A409" s="97" t="s">
        <v>1848</v>
      </c>
      <c r="B409" s="97" t="s">
        <v>1845</v>
      </c>
      <c r="C409" s="97" t="s">
        <v>552</v>
      </c>
      <c r="D409" s="97" t="s">
        <v>560</v>
      </c>
      <c r="E409" s="97" t="s">
        <v>3</v>
      </c>
      <c r="F409" s="97" t="s">
        <v>317</v>
      </c>
      <c r="G409" s="97" t="s">
        <v>340</v>
      </c>
      <c r="H409" s="97" t="s">
        <v>349</v>
      </c>
      <c r="I409" s="97" t="s">
        <v>309</v>
      </c>
      <c r="J409" s="97" t="s">
        <v>1109</v>
      </c>
      <c r="K409" s="97" t="s">
        <v>384</v>
      </c>
      <c r="L409" s="97" t="s">
        <v>1849</v>
      </c>
      <c r="M409" s="97" t="s">
        <v>348</v>
      </c>
      <c r="N409" s="97" t="s">
        <v>4</v>
      </c>
      <c r="O409" s="97" t="s">
        <v>4</v>
      </c>
      <c r="P409" s="97" t="s">
        <v>4</v>
      </c>
      <c r="Q409" s="97" t="s">
        <v>579</v>
      </c>
      <c r="R409" s="97" t="s">
        <v>327</v>
      </c>
      <c r="S409" s="97" t="s">
        <v>1120</v>
      </c>
      <c r="T409" s="97" t="s">
        <v>312</v>
      </c>
      <c r="U409" s="97" t="s">
        <v>311</v>
      </c>
      <c r="V409" s="97" t="s">
        <v>1850</v>
      </c>
      <c r="W409" s="97" t="s">
        <v>1192</v>
      </c>
      <c r="X409" s="97" t="s">
        <v>310</v>
      </c>
      <c r="Y409" s="97" t="s">
        <v>345</v>
      </c>
      <c r="Z409" s="97" t="s">
        <v>345</v>
      </c>
      <c r="AA409" s="97" t="s">
        <v>424</v>
      </c>
      <c r="AB409" s="97" t="s">
        <v>308</v>
      </c>
      <c r="AC409" s="97" t="s">
        <v>296</v>
      </c>
      <c r="AD409" s="97" t="s">
        <v>806</v>
      </c>
      <c r="AE409" s="97" t="s">
        <v>542</v>
      </c>
      <c r="AF409" s="97" t="s">
        <v>1851</v>
      </c>
      <c r="AG409" s="97" t="s">
        <v>323</v>
      </c>
      <c r="AH409" s="97" t="s">
        <v>295</v>
      </c>
      <c r="AI409" s="97" t="s">
        <v>295</v>
      </c>
      <c r="AJ409" s="97" t="s">
        <v>305</v>
      </c>
      <c r="AK409" s="97" t="s">
        <v>304</v>
      </c>
      <c r="AL409" s="97" t="s">
        <v>304</v>
      </c>
      <c r="AM409" s="97" t="s">
        <v>302</v>
      </c>
      <c r="AN409" s="97" t="s">
        <v>304</v>
      </c>
      <c r="AO409" s="97" t="s">
        <v>304</v>
      </c>
      <c r="AP409" s="97" t="s">
        <v>305</v>
      </c>
      <c r="AQ409" s="97" t="s">
        <v>303</v>
      </c>
      <c r="AR409" s="97" t="s">
        <v>391</v>
      </c>
      <c r="AS409" s="97" t="s">
        <v>398</v>
      </c>
      <c r="AT409" s="97" t="s">
        <v>321</v>
      </c>
      <c r="AU409" s="97" t="s">
        <v>342</v>
      </c>
      <c r="AV409" s="97" t="s">
        <v>536</v>
      </c>
      <c r="AW409" s="97" t="s">
        <v>324</v>
      </c>
      <c r="AX409" s="97" t="s">
        <v>375</v>
      </c>
      <c r="AY409" s="97" t="s">
        <v>491</v>
      </c>
    </row>
    <row r="410" spans="1:51" ht="144" x14ac:dyDescent="0.3">
      <c r="A410" s="97" t="s">
        <v>1852</v>
      </c>
      <c r="B410" s="97" t="s">
        <v>1845</v>
      </c>
      <c r="C410" s="97" t="s">
        <v>552</v>
      </c>
      <c r="D410" s="97" t="s">
        <v>529</v>
      </c>
      <c r="E410" s="97" t="s">
        <v>3</v>
      </c>
      <c r="F410" s="97" t="s">
        <v>317</v>
      </c>
      <c r="G410" s="97" t="s">
        <v>446</v>
      </c>
      <c r="H410" s="97" t="s">
        <v>5</v>
      </c>
      <c r="I410" s="97" t="s">
        <v>309</v>
      </c>
      <c r="J410" s="97" t="s">
        <v>457</v>
      </c>
      <c r="K410" s="97" t="s">
        <v>368</v>
      </c>
      <c r="L410" s="97" t="s">
        <v>406</v>
      </c>
      <c r="M410" s="97" t="s">
        <v>314</v>
      </c>
      <c r="N410" s="97" t="s">
        <v>327</v>
      </c>
      <c r="O410" s="97" t="s">
        <v>327</v>
      </c>
      <c r="P410" s="97" t="s">
        <v>4</v>
      </c>
      <c r="Q410" s="97" t="s">
        <v>429</v>
      </c>
      <c r="R410" s="97" t="s">
        <v>327</v>
      </c>
      <c r="S410" s="97" t="s">
        <v>1853</v>
      </c>
      <c r="T410" s="97" t="s">
        <v>312</v>
      </c>
      <c r="U410" s="97" t="s">
        <v>311</v>
      </c>
      <c r="V410" s="97" t="s">
        <v>415</v>
      </c>
      <c r="W410" s="97" t="s">
        <v>338</v>
      </c>
      <c r="X410" s="97" t="s">
        <v>310</v>
      </c>
      <c r="Y410" s="97" t="s">
        <v>316</v>
      </c>
      <c r="Z410" s="97" t="s">
        <v>316</v>
      </c>
      <c r="AA410" s="97" t="s">
        <v>732</v>
      </c>
      <c r="AB410" s="97" t="s">
        <v>308</v>
      </c>
      <c r="AC410" s="97" t="s">
        <v>307</v>
      </c>
      <c r="AD410" s="97" t="s">
        <v>806</v>
      </c>
      <c r="AE410" s="97" t="s">
        <v>545</v>
      </c>
      <c r="AF410" s="97" t="s">
        <v>589</v>
      </c>
      <c r="AG410" s="97" t="s">
        <v>306</v>
      </c>
      <c r="AH410" s="97" t="s">
        <v>302</v>
      </c>
      <c r="AI410" s="97" t="s">
        <v>302</v>
      </c>
      <c r="AJ410" s="97" t="s">
        <v>303</v>
      </c>
      <c r="AK410" s="97" t="s">
        <v>303</v>
      </c>
      <c r="AL410" s="97" t="s">
        <v>303</v>
      </c>
      <c r="AM410" s="97" t="s">
        <v>302</v>
      </c>
      <c r="AN410" s="97" t="s">
        <v>302</v>
      </c>
      <c r="AO410" s="97" t="s">
        <v>302</v>
      </c>
      <c r="AP410" s="97" t="s">
        <v>302</v>
      </c>
      <c r="AQ410" s="97" t="s">
        <v>303</v>
      </c>
      <c r="AR410" s="97" t="s">
        <v>322</v>
      </c>
      <c r="AS410" s="97" t="s">
        <v>489</v>
      </c>
      <c r="AT410" s="97" t="s">
        <v>355</v>
      </c>
      <c r="AU410" s="97" t="s">
        <v>342</v>
      </c>
      <c r="AV410" s="97" t="s">
        <v>536</v>
      </c>
      <c r="AW410" s="97" t="s">
        <v>324</v>
      </c>
      <c r="AX410" s="97" t="s">
        <v>319</v>
      </c>
      <c r="AY410" s="97" t="s">
        <v>1854</v>
      </c>
    </row>
    <row r="411" spans="1:51" ht="187.2" x14ac:dyDescent="0.3">
      <c r="A411" s="97" t="s">
        <v>1855</v>
      </c>
      <c r="B411" s="97" t="s">
        <v>1845</v>
      </c>
      <c r="C411" s="97" t="s">
        <v>552</v>
      </c>
      <c r="D411" s="97" t="s">
        <v>529</v>
      </c>
      <c r="E411" s="97" t="s">
        <v>330</v>
      </c>
      <c r="F411" s="97" t="s">
        <v>317</v>
      </c>
      <c r="G411" s="97" t="s">
        <v>446</v>
      </c>
      <c r="H411" s="97" t="s">
        <v>5</v>
      </c>
      <c r="I411" s="97" t="s">
        <v>309</v>
      </c>
      <c r="J411" s="97" t="s">
        <v>479</v>
      </c>
      <c r="K411" s="97" t="s">
        <v>315</v>
      </c>
      <c r="L411" s="97" t="s">
        <v>702</v>
      </c>
      <c r="M411" s="97" t="s">
        <v>348</v>
      </c>
      <c r="N411" s="97" t="s">
        <v>313</v>
      </c>
      <c r="O411" s="97" t="s">
        <v>4</v>
      </c>
      <c r="P411" s="97" t="s">
        <v>4</v>
      </c>
      <c r="Q411" s="97" t="s">
        <v>555</v>
      </c>
      <c r="R411" s="97" t="s">
        <v>327</v>
      </c>
      <c r="S411" s="97" t="s">
        <v>500</v>
      </c>
      <c r="T411" s="97" t="s">
        <v>326</v>
      </c>
      <c r="U411" s="97" t="s">
        <v>311</v>
      </c>
      <c r="V411" s="97" t="s">
        <v>1664</v>
      </c>
      <c r="W411" s="97" t="s">
        <v>325</v>
      </c>
      <c r="X411" s="97" t="s">
        <v>352</v>
      </c>
      <c r="Y411" s="97" t="s">
        <v>316</v>
      </c>
      <c r="Z411" s="97" t="s">
        <v>316</v>
      </c>
      <c r="AA411" s="97" t="s">
        <v>472</v>
      </c>
      <c r="AB411" s="97" t="s">
        <v>336</v>
      </c>
      <c r="AC411" s="97" t="s">
        <v>307</v>
      </c>
      <c r="AD411" s="97" t="s">
        <v>603</v>
      </c>
      <c r="AE411" s="97" t="s">
        <v>542</v>
      </c>
      <c r="AF411" s="97" t="s">
        <v>680</v>
      </c>
      <c r="AG411" s="97" t="s">
        <v>304</v>
      </c>
      <c r="AH411" s="97" t="s">
        <v>302</v>
      </c>
      <c r="AI411" s="97" t="s">
        <v>303</v>
      </c>
      <c r="AJ411" s="97" t="s">
        <v>303</v>
      </c>
      <c r="AK411" s="97" t="s">
        <v>304</v>
      </c>
      <c r="AL411" s="97" t="s">
        <v>302</v>
      </c>
      <c r="AM411" s="97" t="s">
        <v>302</v>
      </c>
      <c r="AN411" s="97" t="s">
        <v>303</v>
      </c>
      <c r="AO411" s="97" t="s">
        <v>302</v>
      </c>
      <c r="AP411" s="97" t="s">
        <v>302</v>
      </c>
      <c r="AQ411" s="97" t="s">
        <v>302</v>
      </c>
      <c r="AR411" s="97" t="s">
        <v>322</v>
      </c>
      <c r="AS411" s="97" t="s">
        <v>350</v>
      </c>
      <c r="AT411" s="97" t="s">
        <v>355</v>
      </c>
      <c r="AU411" s="97" t="s">
        <v>320</v>
      </c>
      <c r="AV411" s="97" t="s">
        <v>547</v>
      </c>
      <c r="AW411" s="97" t="s">
        <v>296</v>
      </c>
      <c r="AX411" s="97" t="s">
        <v>319</v>
      </c>
      <c r="AY411" s="97" t="s">
        <v>1004</v>
      </c>
    </row>
    <row r="412" spans="1:51" ht="172.8" x14ac:dyDescent="0.3">
      <c r="A412" s="97" t="s">
        <v>1856</v>
      </c>
      <c r="B412" s="97" t="s">
        <v>1845</v>
      </c>
      <c r="C412" s="97" t="s">
        <v>552</v>
      </c>
      <c r="D412" s="97" t="s">
        <v>529</v>
      </c>
      <c r="E412" s="97" t="s">
        <v>3</v>
      </c>
      <c r="F412" s="97" t="s">
        <v>317</v>
      </c>
      <c r="G412" s="97" t="s">
        <v>412</v>
      </c>
      <c r="H412" s="97" t="s">
        <v>5</v>
      </c>
      <c r="I412" s="97" t="s">
        <v>309</v>
      </c>
      <c r="J412" s="97" t="s">
        <v>699</v>
      </c>
      <c r="K412" s="97" t="s">
        <v>315</v>
      </c>
      <c r="L412" s="97" t="s">
        <v>450</v>
      </c>
      <c r="M412" s="97" t="s">
        <v>348</v>
      </c>
      <c r="N412" s="97" t="s">
        <v>313</v>
      </c>
      <c r="O412" s="97" t="s">
        <v>327</v>
      </c>
      <c r="P412" s="97" t="s">
        <v>313</v>
      </c>
      <c r="Q412" s="97" t="s">
        <v>749</v>
      </c>
      <c r="R412" s="97" t="s">
        <v>4</v>
      </c>
      <c r="S412" s="97" t="s">
        <v>687</v>
      </c>
      <c r="T412" s="97" t="s">
        <v>366</v>
      </c>
      <c r="U412" s="97" t="s">
        <v>311</v>
      </c>
      <c r="V412" s="97" t="s">
        <v>1085</v>
      </c>
      <c r="W412" s="97" t="s">
        <v>325</v>
      </c>
      <c r="X412" s="97" t="s">
        <v>352</v>
      </c>
      <c r="Y412" s="97" t="s">
        <v>316</v>
      </c>
      <c r="Z412" s="97" t="s">
        <v>316</v>
      </c>
      <c r="AA412" s="97" t="s">
        <v>678</v>
      </c>
      <c r="AB412" s="97" t="s">
        <v>389</v>
      </c>
      <c r="AC412" s="97" t="s">
        <v>324</v>
      </c>
      <c r="AD412" s="97" t="s">
        <v>1857</v>
      </c>
      <c r="AE412" s="97" t="s">
        <v>535</v>
      </c>
      <c r="AF412" s="97" t="s">
        <v>1858</v>
      </c>
      <c r="AG412" s="97" t="s">
        <v>323</v>
      </c>
      <c r="AH412" s="97" t="s">
        <v>302</v>
      </c>
      <c r="AI412" s="97" t="s">
        <v>303</v>
      </c>
      <c r="AJ412" s="97" t="s">
        <v>303</v>
      </c>
      <c r="AK412" s="97" t="s">
        <v>302</v>
      </c>
      <c r="AL412" s="97" t="s">
        <v>302</v>
      </c>
      <c r="AM412" s="97" t="s">
        <v>302</v>
      </c>
      <c r="AN412" s="97" t="s">
        <v>303</v>
      </c>
      <c r="AO412" s="97" t="s">
        <v>302</v>
      </c>
      <c r="AP412" s="97" t="s">
        <v>302</v>
      </c>
      <c r="AQ412" s="97" t="s">
        <v>304</v>
      </c>
      <c r="AR412" s="97" t="s">
        <v>301</v>
      </c>
      <c r="AS412" s="97" t="s">
        <v>300</v>
      </c>
      <c r="AT412" s="97" t="s">
        <v>360</v>
      </c>
      <c r="AU412" s="97" t="s">
        <v>320</v>
      </c>
      <c r="AV412" s="97" t="s">
        <v>547</v>
      </c>
      <c r="AW412" s="97" t="s">
        <v>324</v>
      </c>
      <c r="AX412" s="97" t="s">
        <v>534</v>
      </c>
      <c r="AY412" s="97" t="s">
        <v>413</v>
      </c>
    </row>
    <row r="413" spans="1:51" ht="187.2" x14ac:dyDescent="0.3">
      <c r="A413" s="97" t="s">
        <v>1859</v>
      </c>
      <c r="B413" s="97" t="s">
        <v>1845</v>
      </c>
      <c r="C413" s="97" t="s">
        <v>552</v>
      </c>
      <c r="D413" s="97" t="s">
        <v>560</v>
      </c>
      <c r="E413" s="97" t="s">
        <v>330</v>
      </c>
      <c r="F413" s="97" t="s">
        <v>317</v>
      </c>
      <c r="G413" s="97" t="s">
        <v>446</v>
      </c>
      <c r="H413" s="97" t="s">
        <v>5</v>
      </c>
      <c r="I413" s="97" t="s">
        <v>309</v>
      </c>
      <c r="J413" s="97" t="s">
        <v>544</v>
      </c>
      <c r="K413" s="97" t="s">
        <v>315</v>
      </c>
      <c r="L413" s="97" t="s">
        <v>406</v>
      </c>
      <c r="M413" s="97" t="s">
        <v>314</v>
      </c>
      <c r="N413" s="97" t="s">
        <v>327</v>
      </c>
      <c r="O413" s="97" t="s">
        <v>4</v>
      </c>
      <c r="P413" s="97" t="s">
        <v>313</v>
      </c>
      <c r="Q413" s="97" t="s">
        <v>670</v>
      </c>
      <c r="R413" s="97" t="s">
        <v>327</v>
      </c>
      <c r="S413" s="97" t="s">
        <v>1187</v>
      </c>
      <c r="T413" s="97" t="s">
        <v>312</v>
      </c>
      <c r="U413" s="97" t="s">
        <v>311</v>
      </c>
      <c r="V413" s="97" t="s">
        <v>813</v>
      </c>
      <c r="W413" s="97" t="s">
        <v>325</v>
      </c>
      <c r="X413" s="97" t="s">
        <v>337</v>
      </c>
      <c r="Y413" s="97" t="s">
        <v>316</v>
      </c>
      <c r="Z413" s="97" t="s">
        <v>316</v>
      </c>
      <c r="AA413" s="97" t="s">
        <v>432</v>
      </c>
      <c r="AB413" s="97" t="s">
        <v>308</v>
      </c>
      <c r="AC413" s="97" t="s">
        <v>307</v>
      </c>
      <c r="AD413" s="97" t="s">
        <v>1091</v>
      </c>
      <c r="AE413" s="97" t="s">
        <v>532</v>
      </c>
      <c r="AF413" s="97" t="s">
        <v>1678</v>
      </c>
      <c r="AH413" s="97" t="s">
        <v>303</v>
      </c>
      <c r="AK413" s="97" t="s">
        <v>303</v>
      </c>
      <c r="AL413" s="97" t="s">
        <v>303</v>
      </c>
      <c r="AN413" s="97" t="s">
        <v>303</v>
      </c>
      <c r="AP413" s="97" t="s">
        <v>303</v>
      </c>
      <c r="AQ413" s="97" t="s">
        <v>303</v>
      </c>
      <c r="AR413" s="97" t="s">
        <v>391</v>
      </c>
      <c r="AS413" s="97" t="s">
        <v>398</v>
      </c>
      <c r="AT413" s="97" t="s">
        <v>360</v>
      </c>
      <c r="AU413" s="97" t="s">
        <v>320</v>
      </c>
      <c r="AV413" s="97" t="s">
        <v>297</v>
      </c>
      <c r="AW413" s="97" t="s">
        <v>324</v>
      </c>
      <c r="AX413" s="97" t="s">
        <v>341</v>
      </c>
      <c r="AY413" s="97" t="s">
        <v>573</v>
      </c>
    </row>
    <row r="414" spans="1:51" ht="86.4" x14ac:dyDescent="0.3">
      <c r="A414" s="97" t="s">
        <v>1860</v>
      </c>
      <c r="B414" s="97" t="s">
        <v>1845</v>
      </c>
      <c r="C414" s="97" t="s">
        <v>552</v>
      </c>
      <c r="D414" s="97" t="s">
        <v>560</v>
      </c>
      <c r="E414" s="97" t="s">
        <v>3</v>
      </c>
      <c r="F414" s="97" t="s">
        <v>372</v>
      </c>
      <c r="G414" s="97" t="s">
        <v>412</v>
      </c>
      <c r="H414" s="97" t="s">
        <v>349</v>
      </c>
      <c r="I414" s="97" t="s">
        <v>309</v>
      </c>
      <c r="J414" s="97" t="s">
        <v>1717</v>
      </c>
      <c r="K414" s="97" t="s">
        <v>328</v>
      </c>
      <c r="L414" s="97" t="s">
        <v>1861</v>
      </c>
      <c r="M414" s="97" t="s">
        <v>314</v>
      </c>
      <c r="N414" s="97" t="s">
        <v>327</v>
      </c>
      <c r="O414" s="97" t="s">
        <v>313</v>
      </c>
      <c r="P414" s="97" t="s">
        <v>313</v>
      </c>
      <c r="Q414" s="97" t="s">
        <v>1261</v>
      </c>
      <c r="R414" s="97" t="s">
        <v>327</v>
      </c>
      <c r="S414" s="97" t="s">
        <v>394</v>
      </c>
      <c r="T414" s="97" t="s">
        <v>326</v>
      </c>
      <c r="U414" s="97" t="s">
        <v>530</v>
      </c>
      <c r="V414" s="97" t="s">
        <v>386</v>
      </c>
      <c r="W414" s="97" t="s">
        <v>338</v>
      </c>
      <c r="X414" s="97" t="s">
        <v>346</v>
      </c>
      <c r="Y414" s="97" t="s">
        <v>316</v>
      </c>
      <c r="Z414" s="97" t="s">
        <v>316</v>
      </c>
      <c r="AA414" s="97" t="s">
        <v>538</v>
      </c>
      <c r="AB414" s="97" t="s">
        <v>389</v>
      </c>
      <c r="AC414" s="97" t="s">
        <v>324</v>
      </c>
      <c r="AD414" s="97" t="s">
        <v>1862</v>
      </c>
      <c r="AE414" s="97" t="s">
        <v>532</v>
      </c>
      <c r="AF414" s="97" t="s">
        <v>1863</v>
      </c>
      <c r="AG414" s="97" t="s">
        <v>304</v>
      </c>
      <c r="AH414" s="97" t="s">
        <v>304</v>
      </c>
      <c r="AI414" s="97" t="s">
        <v>304</v>
      </c>
      <c r="AJ414" s="97" t="s">
        <v>304</v>
      </c>
      <c r="AL414" s="97" t="s">
        <v>304</v>
      </c>
      <c r="AM414" s="97" t="s">
        <v>302</v>
      </c>
      <c r="AN414" s="97" t="s">
        <v>304</v>
      </c>
      <c r="AO414" s="97" t="s">
        <v>303</v>
      </c>
      <c r="AP414" s="97" t="s">
        <v>304</v>
      </c>
      <c r="AQ414" s="97" t="s">
        <v>304</v>
      </c>
      <c r="AR414" s="97" t="s">
        <v>391</v>
      </c>
      <c r="AS414" s="97" t="s">
        <v>540</v>
      </c>
      <c r="AT414" s="97" t="s">
        <v>360</v>
      </c>
      <c r="AU414" s="97" t="s">
        <v>342</v>
      </c>
      <c r="AV414" s="97" t="s">
        <v>297</v>
      </c>
      <c r="AW414" s="97" t="s">
        <v>324</v>
      </c>
      <c r="AX414" s="97" t="s">
        <v>549</v>
      </c>
      <c r="AY414" s="97" t="s">
        <v>402</v>
      </c>
    </row>
    <row r="415" spans="1:51" ht="201.6" x14ac:dyDescent="0.3">
      <c r="A415" s="97" t="s">
        <v>1864</v>
      </c>
      <c r="B415" s="97" t="s">
        <v>1845</v>
      </c>
      <c r="C415" s="97" t="s">
        <v>552</v>
      </c>
      <c r="D415" s="97" t="s">
        <v>529</v>
      </c>
      <c r="E415" s="97" t="s">
        <v>330</v>
      </c>
      <c r="F415" s="97" t="s">
        <v>317</v>
      </c>
      <c r="G415" s="97" t="s">
        <v>423</v>
      </c>
      <c r="H415" s="97" t="s">
        <v>5</v>
      </c>
      <c r="I415" s="97" t="s">
        <v>309</v>
      </c>
      <c r="J415" s="97" t="s">
        <v>1865</v>
      </c>
      <c r="K415" s="97" t="s">
        <v>328</v>
      </c>
      <c r="L415" s="97" t="s">
        <v>450</v>
      </c>
      <c r="M415" s="97" t="s">
        <v>348</v>
      </c>
      <c r="N415" s="97" t="s">
        <v>4</v>
      </c>
      <c r="O415" s="97" t="s">
        <v>4</v>
      </c>
      <c r="P415" s="97" t="s">
        <v>327</v>
      </c>
      <c r="Q415" s="97" t="s">
        <v>670</v>
      </c>
      <c r="R415" s="97" t="s">
        <v>327</v>
      </c>
      <c r="S415" s="97" t="s">
        <v>416</v>
      </c>
      <c r="T415" s="97" t="s">
        <v>312</v>
      </c>
      <c r="U415" s="97" t="s">
        <v>311</v>
      </c>
      <c r="V415" s="97" t="s">
        <v>739</v>
      </c>
      <c r="W415" s="97" t="s">
        <v>325</v>
      </c>
      <c r="X415" s="97" t="s">
        <v>310</v>
      </c>
      <c r="Y415" s="97" t="s">
        <v>316</v>
      </c>
      <c r="Z415" s="97" t="s">
        <v>316</v>
      </c>
      <c r="AA415" s="97" t="s">
        <v>395</v>
      </c>
      <c r="AB415" s="97" t="s">
        <v>308</v>
      </c>
      <c r="AC415" s="97" t="s">
        <v>324</v>
      </c>
      <c r="AD415" s="97" t="s">
        <v>1079</v>
      </c>
      <c r="AE415" s="97" t="s">
        <v>532</v>
      </c>
      <c r="AF415" s="97" t="s">
        <v>730</v>
      </c>
      <c r="AG415" s="97" t="s">
        <v>304</v>
      </c>
      <c r="AH415" s="97" t="s">
        <v>304</v>
      </c>
      <c r="AI415" s="97" t="s">
        <v>304</v>
      </c>
      <c r="AJ415" s="97" t="s">
        <v>302</v>
      </c>
      <c r="AK415" s="97" t="s">
        <v>302</v>
      </c>
      <c r="AL415" s="97" t="s">
        <v>302</v>
      </c>
      <c r="AM415" s="97" t="s">
        <v>302</v>
      </c>
      <c r="AN415" s="97" t="s">
        <v>303</v>
      </c>
      <c r="AO415" s="97" t="s">
        <v>302</v>
      </c>
      <c r="AP415" s="97" t="s">
        <v>303</v>
      </c>
      <c r="AQ415" s="97" t="s">
        <v>302</v>
      </c>
      <c r="AR415" s="97" t="s">
        <v>301</v>
      </c>
      <c r="AS415" s="97" t="s">
        <v>300</v>
      </c>
      <c r="AT415" s="97" t="s">
        <v>334</v>
      </c>
      <c r="AU415" s="97" t="s">
        <v>320</v>
      </c>
      <c r="AV415" s="97" t="s">
        <v>536</v>
      </c>
      <c r="AW415" s="97" t="s">
        <v>324</v>
      </c>
      <c r="AX415" s="97" t="s">
        <v>319</v>
      </c>
      <c r="AY415" s="97" t="s">
        <v>482</v>
      </c>
    </row>
    <row r="416" spans="1:51" ht="129.6" x14ac:dyDescent="0.3">
      <c r="A416" s="97" t="s">
        <v>1866</v>
      </c>
      <c r="B416" s="97" t="s">
        <v>1845</v>
      </c>
      <c r="C416" s="97" t="s">
        <v>552</v>
      </c>
      <c r="D416" s="97" t="s">
        <v>529</v>
      </c>
      <c r="E416" s="97" t="s">
        <v>330</v>
      </c>
      <c r="F416" s="97" t="s">
        <v>317</v>
      </c>
      <c r="G416" s="97" t="s">
        <v>407</v>
      </c>
      <c r="H416" s="97" t="s">
        <v>5</v>
      </c>
      <c r="I416" s="97" t="s">
        <v>309</v>
      </c>
      <c r="J416" s="97" t="s">
        <v>479</v>
      </c>
      <c r="K416" s="97" t="s">
        <v>315</v>
      </c>
      <c r="L416" s="97" t="s">
        <v>1374</v>
      </c>
      <c r="M416" s="97" t="s">
        <v>363</v>
      </c>
      <c r="N416" s="97" t="s">
        <v>4</v>
      </c>
      <c r="O416" s="97" t="s">
        <v>313</v>
      </c>
      <c r="P416" s="97" t="s">
        <v>327</v>
      </c>
      <c r="Q416" s="97" t="s">
        <v>579</v>
      </c>
      <c r="R416" s="97" t="s">
        <v>327</v>
      </c>
      <c r="S416" s="97" t="s">
        <v>1867</v>
      </c>
      <c r="T416" s="97" t="s">
        <v>312</v>
      </c>
      <c r="U416" s="97" t="s">
        <v>311</v>
      </c>
      <c r="V416" s="97" t="s">
        <v>1085</v>
      </c>
      <c r="W416" s="97" t="s">
        <v>550</v>
      </c>
      <c r="X416" s="97" t="s">
        <v>310</v>
      </c>
      <c r="Y416" s="97" t="s">
        <v>316</v>
      </c>
      <c r="Z416" s="97" t="s">
        <v>316</v>
      </c>
      <c r="AA416" s="97" t="s">
        <v>538</v>
      </c>
      <c r="AB416" s="97" t="s">
        <v>376</v>
      </c>
      <c r="AC416" s="97" t="s">
        <v>296</v>
      </c>
      <c r="AD416" s="97" t="s">
        <v>1868</v>
      </c>
      <c r="AE416" s="97" t="s">
        <v>532</v>
      </c>
      <c r="AF416" s="97" t="s">
        <v>1869</v>
      </c>
      <c r="AG416" s="97" t="s">
        <v>323</v>
      </c>
      <c r="AH416" s="97" t="s">
        <v>303</v>
      </c>
      <c r="AI416" s="97" t="s">
        <v>303</v>
      </c>
      <c r="AJ416" s="97" t="s">
        <v>302</v>
      </c>
      <c r="AK416" s="97" t="s">
        <v>302</v>
      </c>
      <c r="AL416" s="97" t="s">
        <v>302</v>
      </c>
      <c r="AM416" s="97" t="s">
        <v>302</v>
      </c>
      <c r="AN416" s="97" t="s">
        <v>302</v>
      </c>
      <c r="AO416" s="97" t="s">
        <v>302</v>
      </c>
      <c r="AP416" s="97" t="s">
        <v>302</v>
      </c>
      <c r="AQ416" s="97" t="s">
        <v>302</v>
      </c>
      <c r="AR416" s="97" t="s">
        <v>343</v>
      </c>
      <c r="AS416" s="97" t="s">
        <v>350</v>
      </c>
      <c r="AT416" s="97" t="s">
        <v>355</v>
      </c>
      <c r="AU416" s="97" t="s">
        <v>320</v>
      </c>
      <c r="AV416" s="97" t="s">
        <v>547</v>
      </c>
      <c r="AW416" s="97" t="s">
        <v>307</v>
      </c>
      <c r="AX416" s="97" t="s">
        <v>319</v>
      </c>
      <c r="AY416" s="97" t="s">
        <v>447</v>
      </c>
    </row>
    <row r="417" spans="1:51" ht="129.6" x14ac:dyDescent="0.3">
      <c r="A417" s="97" t="s">
        <v>1870</v>
      </c>
      <c r="B417" s="97" t="s">
        <v>1845</v>
      </c>
      <c r="C417" s="97" t="s">
        <v>552</v>
      </c>
      <c r="D417" s="97" t="s">
        <v>529</v>
      </c>
      <c r="E417" s="97" t="s">
        <v>330</v>
      </c>
      <c r="F417" s="97" t="s">
        <v>317</v>
      </c>
      <c r="G417" s="97" t="s">
        <v>435</v>
      </c>
      <c r="H417" s="97" t="s">
        <v>5</v>
      </c>
      <c r="I417" s="97" t="s">
        <v>309</v>
      </c>
      <c r="J417" s="97" t="s">
        <v>1871</v>
      </c>
      <c r="K417" s="97" t="s">
        <v>315</v>
      </c>
      <c r="L417" s="97" t="s">
        <v>450</v>
      </c>
      <c r="M417" s="97" t="s">
        <v>353</v>
      </c>
      <c r="N417" s="97" t="s">
        <v>327</v>
      </c>
      <c r="O417" s="97" t="s">
        <v>313</v>
      </c>
      <c r="P417" s="97" t="s">
        <v>4</v>
      </c>
      <c r="Q417" s="97" t="s">
        <v>652</v>
      </c>
      <c r="R417" s="97" t="s">
        <v>327</v>
      </c>
      <c r="S417" s="97" t="s">
        <v>465</v>
      </c>
      <c r="T417" s="97" t="s">
        <v>366</v>
      </c>
      <c r="U417" s="97" t="s">
        <v>530</v>
      </c>
      <c r="V417" s="97" t="s">
        <v>1452</v>
      </c>
      <c r="W417" s="97" t="s">
        <v>1278</v>
      </c>
      <c r="X417" s="97" t="s">
        <v>310</v>
      </c>
      <c r="Y417" s="97" t="s">
        <v>316</v>
      </c>
      <c r="Z417" s="97" t="s">
        <v>316</v>
      </c>
      <c r="AA417" s="97" t="s">
        <v>432</v>
      </c>
      <c r="AB417" s="97" t="s">
        <v>358</v>
      </c>
      <c r="AC417" s="97" t="s">
        <v>307</v>
      </c>
      <c r="AD417" s="97" t="s">
        <v>388</v>
      </c>
      <c r="AE417" s="97" t="s">
        <v>535</v>
      </c>
      <c r="AF417" s="97" t="s">
        <v>578</v>
      </c>
      <c r="AG417" s="97" t="s">
        <v>323</v>
      </c>
      <c r="AH417" s="97" t="s">
        <v>303</v>
      </c>
      <c r="AI417" s="97" t="s">
        <v>303</v>
      </c>
      <c r="AJ417" s="97" t="s">
        <v>303</v>
      </c>
      <c r="AK417" s="97" t="s">
        <v>303</v>
      </c>
      <c r="AL417" s="97" t="s">
        <v>303</v>
      </c>
      <c r="AM417" s="97" t="s">
        <v>303</v>
      </c>
      <c r="AN417" s="97" t="s">
        <v>302</v>
      </c>
      <c r="AO417" s="97" t="s">
        <v>302</v>
      </c>
      <c r="AP417" s="97" t="s">
        <v>302</v>
      </c>
      <c r="AQ417" s="97" t="s">
        <v>303</v>
      </c>
      <c r="AR417" s="97" t="s">
        <v>301</v>
      </c>
      <c r="AS417" s="97" t="s">
        <v>300</v>
      </c>
      <c r="AT417" s="97" t="s">
        <v>360</v>
      </c>
      <c r="AU417" s="97" t="s">
        <v>320</v>
      </c>
      <c r="AV417" s="97" t="s">
        <v>536</v>
      </c>
      <c r="AW417" s="97" t="s">
        <v>307</v>
      </c>
      <c r="AX417" s="97" t="s">
        <v>341</v>
      </c>
      <c r="AY417" s="97" t="s">
        <v>1051</v>
      </c>
    </row>
    <row r="418" spans="1:51" ht="86.4" x14ac:dyDescent="0.3">
      <c r="A418" s="97" t="s">
        <v>1872</v>
      </c>
      <c r="B418" s="97" t="s">
        <v>1845</v>
      </c>
      <c r="C418" s="97" t="s">
        <v>552</v>
      </c>
      <c r="D418" s="97" t="s">
        <v>529</v>
      </c>
      <c r="E418" s="97" t="s">
        <v>330</v>
      </c>
      <c r="F418" s="97" t="s">
        <v>317</v>
      </c>
      <c r="G418" s="97" t="s">
        <v>446</v>
      </c>
      <c r="H418" s="97" t="s">
        <v>564</v>
      </c>
      <c r="I418" s="97" t="s">
        <v>309</v>
      </c>
      <c r="J418" s="97" t="s">
        <v>1140</v>
      </c>
      <c r="K418" s="97" t="s">
        <v>315</v>
      </c>
      <c r="L418" s="97" t="s">
        <v>450</v>
      </c>
      <c r="M418" s="97" t="s">
        <v>348</v>
      </c>
      <c r="N418" s="97" t="s">
        <v>327</v>
      </c>
      <c r="O418" s="97" t="s">
        <v>313</v>
      </c>
      <c r="P418" s="97" t="s">
        <v>4</v>
      </c>
      <c r="Q418" s="97" t="s">
        <v>450</v>
      </c>
      <c r="R418" s="97" t="s">
        <v>327</v>
      </c>
      <c r="S418" s="97" t="s">
        <v>893</v>
      </c>
      <c r="T418" s="97" t="s">
        <v>366</v>
      </c>
      <c r="U418" s="97" t="s">
        <v>311</v>
      </c>
      <c r="V418" s="97" t="s">
        <v>371</v>
      </c>
      <c r="W418" s="97" t="s">
        <v>325</v>
      </c>
      <c r="X418" s="97" t="s">
        <v>310</v>
      </c>
      <c r="Y418" s="97" t="s">
        <v>345</v>
      </c>
      <c r="AA418" s="97" t="s">
        <v>538</v>
      </c>
      <c r="AB418" s="97" t="s">
        <v>376</v>
      </c>
      <c r="AC418" s="97" t="s">
        <v>307</v>
      </c>
      <c r="AD418" s="97" t="s">
        <v>388</v>
      </c>
      <c r="AE418" s="97" t="s">
        <v>535</v>
      </c>
      <c r="AF418" s="97" t="s">
        <v>946</v>
      </c>
      <c r="AG418" s="97" t="s">
        <v>323</v>
      </c>
      <c r="AH418" s="97" t="s">
        <v>302</v>
      </c>
      <c r="AI418" s="97" t="s">
        <v>304</v>
      </c>
      <c r="AJ418" s="97" t="s">
        <v>303</v>
      </c>
      <c r="AK418" s="97" t="s">
        <v>303</v>
      </c>
      <c r="AL418" s="97" t="s">
        <v>303</v>
      </c>
      <c r="AM418" s="97" t="s">
        <v>303</v>
      </c>
      <c r="AN418" s="97" t="s">
        <v>303</v>
      </c>
      <c r="AO418" s="97" t="s">
        <v>303</v>
      </c>
      <c r="AP418" s="97" t="s">
        <v>303</v>
      </c>
      <c r="AQ418" s="97" t="s">
        <v>303</v>
      </c>
      <c r="AR418" s="97" t="s">
        <v>391</v>
      </c>
      <c r="AS418" s="97" t="s">
        <v>489</v>
      </c>
      <c r="AT418" s="97" t="s">
        <v>321</v>
      </c>
      <c r="AU418" s="97" t="s">
        <v>320</v>
      </c>
      <c r="AV418" s="97" t="s">
        <v>333</v>
      </c>
      <c r="AW418" s="97" t="s">
        <v>324</v>
      </c>
      <c r="AX418" s="97" t="s">
        <v>341</v>
      </c>
      <c r="AY418" s="97" t="s">
        <v>480</v>
      </c>
    </row>
    <row r="419" spans="1:51" ht="144" x14ac:dyDescent="0.3">
      <c r="A419" s="97" t="s">
        <v>1873</v>
      </c>
      <c r="B419" s="97" t="s">
        <v>1845</v>
      </c>
      <c r="C419" s="97" t="s">
        <v>552</v>
      </c>
      <c r="D419" s="97" t="s">
        <v>560</v>
      </c>
      <c r="E419" s="97" t="s">
        <v>3</v>
      </c>
      <c r="F419" s="97" t="s">
        <v>372</v>
      </c>
      <c r="G419" s="97" t="s">
        <v>340</v>
      </c>
      <c r="H419" s="97" t="s">
        <v>5</v>
      </c>
      <c r="I419" s="97" t="s">
        <v>309</v>
      </c>
      <c r="J419" s="97" t="s">
        <v>1874</v>
      </c>
      <c r="K419" s="97" t="s">
        <v>354</v>
      </c>
      <c r="L419" s="97" t="s">
        <v>657</v>
      </c>
      <c r="M419" s="97" t="s">
        <v>314</v>
      </c>
      <c r="N419" s="97" t="s">
        <v>4</v>
      </c>
      <c r="O419" s="97" t="s">
        <v>4</v>
      </c>
      <c r="P419" s="97" t="s">
        <v>4</v>
      </c>
      <c r="Q419" s="97" t="s">
        <v>1875</v>
      </c>
      <c r="R419" s="97" t="s">
        <v>4</v>
      </c>
      <c r="S419" s="97" t="s">
        <v>1124</v>
      </c>
      <c r="T419" s="97" t="s">
        <v>312</v>
      </c>
      <c r="U419" s="97" t="s">
        <v>311</v>
      </c>
      <c r="V419" s="97" t="s">
        <v>1118</v>
      </c>
      <c r="W419" s="97" t="s">
        <v>338</v>
      </c>
      <c r="X419" s="97" t="s">
        <v>310</v>
      </c>
      <c r="Y419" s="97" t="s">
        <v>309</v>
      </c>
      <c r="Z419" s="97" t="s">
        <v>345</v>
      </c>
      <c r="AA419" s="97" t="s">
        <v>1306</v>
      </c>
      <c r="AB419" s="97" t="s">
        <v>358</v>
      </c>
      <c r="AC419" s="97" t="s">
        <v>324</v>
      </c>
      <c r="AD419" s="97" t="s">
        <v>414</v>
      </c>
      <c r="AE419" s="97" t="s">
        <v>532</v>
      </c>
      <c r="AF419" s="97" t="s">
        <v>1876</v>
      </c>
      <c r="AG419" s="97" t="s">
        <v>323</v>
      </c>
      <c r="AH419" s="97" t="s">
        <v>303</v>
      </c>
      <c r="AI419" s="97" t="s">
        <v>303</v>
      </c>
      <c r="AJ419" s="97" t="s">
        <v>303</v>
      </c>
      <c r="AK419" s="97" t="s">
        <v>303</v>
      </c>
      <c r="AL419" s="97" t="s">
        <v>303</v>
      </c>
      <c r="AM419" s="97" t="s">
        <v>303</v>
      </c>
      <c r="AN419" s="97" t="s">
        <v>303</v>
      </c>
      <c r="AO419" s="97" t="s">
        <v>303</v>
      </c>
      <c r="AP419" s="97" t="s">
        <v>303</v>
      </c>
      <c r="AQ419" s="97" t="s">
        <v>303</v>
      </c>
      <c r="AR419" s="97" t="s">
        <v>343</v>
      </c>
      <c r="AS419" s="97" t="s">
        <v>300</v>
      </c>
      <c r="AT419" s="97" t="s">
        <v>321</v>
      </c>
      <c r="AU419" s="97" t="s">
        <v>342</v>
      </c>
      <c r="AV419" s="97" t="s">
        <v>333</v>
      </c>
      <c r="AW419" s="97" t="s">
        <v>307</v>
      </c>
      <c r="AX419" s="97" t="s">
        <v>549</v>
      </c>
      <c r="AY419" s="97" t="s">
        <v>482</v>
      </c>
    </row>
    <row r="420" spans="1:51" ht="115.2" x14ac:dyDescent="0.3">
      <c r="A420" s="97" t="s">
        <v>1877</v>
      </c>
      <c r="B420" s="97" t="s">
        <v>1845</v>
      </c>
      <c r="C420" s="97" t="s">
        <v>552</v>
      </c>
      <c r="D420" s="97" t="s">
        <v>529</v>
      </c>
      <c r="E420" s="97" t="s">
        <v>3</v>
      </c>
      <c r="F420" s="97" t="s">
        <v>317</v>
      </c>
      <c r="G420" s="97" t="s">
        <v>412</v>
      </c>
      <c r="H420" s="97" t="s">
        <v>5</v>
      </c>
      <c r="I420" s="97" t="s">
        <v>309</v>
      </c>
      <c r="J420" s="97" t="s">
        <v>693</v>
      </c>
      <c r="K420" s="97" t="s">
        <v>328</v>
      </c>
      <c r="L420" s="97" t="s">
        <v>411</v>
      </c>
      <c r="M420" s="97" t="s">
        <v>314</v>
      </c>
      <c r="N420" s="97" t="s">
        <v>313</v>
      </c>
      <c r="O420" s="97" t="s">
        <v>313</v>
      </c>
      <c r="P420" s="97" t="s">
        <v>4</v>
      </c>
      <c r="Q420" s="97" t="s">
        <v>405</v>
      </c>
      <c r="R420" s="97" t="s">
        <v>327</v>
      </c>
      <c r="S420" s="97" t="s">
        <v>926</v>
      </c>
      <c r="T420" s="97" t="s">
        <v>326</v>
      </c>
      <c r="U420" s="97" t="s">
        <v>311</v>
      </c>
      <c r="V420" s="97" t="s">
        <v>485</v>
      </c>
      <c r="W420" s="97" t="s">
        <v>325</v>
      </c>
      <c r="X420" s="97" t="s">
        <v>352</v>
      </c>
      <c r="Y420" s="97" t="s">
        <v>316</v>
      </c>
      <c r="Z420" s="97" t="s">
        <v>316</v>
      </c>
      <c r="AA420" s="97" t="s">
        <v>481</v>
      </c>
      <c r="AB420" s="97" t="s">
        <v>308</v>
      </c>
      <c r="AC420" s="97" t="s">
        <v>307</v>
      </c>
      <c r="AD420" s="97" t="s">
        <v>426</v>
      </c>
      <c r="AE420" s="97" t="s">
        <v>532</v>
      </c>
      <c r="AF420" s="97" t="s">
        <v>730</v>
      </c>
      <c r="AG420" s="97" t="s">
        <v>323</v>
      </c>
      <c r="AH420" s="97" t="s">
        <v>302</v>
      </c>
      <c r="AI420" s="97" t="s">
        <v>302</v>
      </c>
      <c r="AJ420" s="97" t="s">
        <v>304</v>
      </c>
      <c r="AK420" s="97" t="s">
        <v>302</v>
      </c>
      <c r="AL420" s="97" t="s">
        <v>303</v>
      </c>
      <c r="AM420" s="97" t="s">
        <v>302</v>
      </c>
      <c r="AN420" s="97" t="s">
        <v>304</v>
      </c>
      <c r="AO420" s="97" t="s">
        <v>302</v>
      </c>
      <c r="AP420" s="97" t="s">
        <v>302</v>
      </c>
      <c r="AQ420" s="97" t="s">
        <v>303</v>
      </c>
      <c r="AR420" s="97" t="s">
        <v>301</v>
      </c>
      <c r="AS420" s="97" t="s">
        <v>350</v>
      </c>
      <c r="AT420" s="97" t="s">
        <v>355</v>
      </c>
      <c r="AU420" s="97" t="s">
        <v>342</v>
      </c>
      <c r="AV420" s="97" t="s">
        <v>536</v>
      </c>
      <c r="AW420" s="97" t="s">
        <v>324</v>
      </c>
      <c r="AX420" s="97" t="s">
        <v>549</v>
      </c>
      <c r="AY420" s="97" t="s">
        <v>654</v>
      </c>
    </row>
    <row r="421" spans="1:51" ht="129.6" x14ac:dyDescent="0.3">
      <c r="A421" s="97" t="s">
        <v>1878</v>
      </c>
      <c r="B421" s="97" t="s">
        <v>1845</v>
      </c>
      <c r="C421" s="97" t="s">
        <v>552</v>
      </c>
      <c r="D421" s="97" t="s">
        <v>529</v>
      </c>
      <c r="E421" s="97" t="s">
        <v>330</v>
      </c>
      <c r="F421" s="97" t="s">
        <v>317</v>
      </c>
      <c r="G421" s="97" t="s">
        <v>423</v>
      </c>
      <c r="H421" s="97" t="s">
        <v>349</v>
      </c>
      <c r="I421" s="97" t="s">
        <v>345</v>
      </c>
      <c r="J421" s="97" t="s">
        <v>1165</v>
      </c>
      <c r="K421" s="97" t="s">
        <v>384</v>
      </c>
      <c r="L421" s="97" t="s">
        <v>548</v>
      </c>
      <c r="M421" s="97" t="s">
        <v>348</v>
      </c>
      <c r="N421" s="97" t="s">
        <v>313</v>
      </c>
      <c r="O421" s="97" t="s">
        <v>313</v>
      </c>
      <c r="P421" s="97" t="s">
        <v>4</v>
      </c>
      <c r="Q421" s="97" t="s">
        <v>791</v>
      </c>
      <c r="R421" s="97" t="s">
        <v>327</v>
      </c>
      <c r="S421" s="97" t="s">
        <v>712</v>
      </c>
      <c r="T421" s="97" t="s">
        <v>366</v>
      </c>
      <c r="U421" s="97" t="s">
        <v>311</v>
      </c>
      <c r="V421" s="97" t="s">
        <v>339</v>
      </c>
      <c r="W421" s="97" t="s">
        <v>370</v>
      </c>
      <c r="X421" s="97" t="s">
        <v>346</v>
      </c>
      <c r="Y421" s="97" t="s">
        <v>316</v>
      </c>
      <c r="Z421" s="97" t="s">
        <v>316</v>
      </c>
      <c r="AA421" s="97" t="s">
        <v>678</v>
      </c>
      <c r="AB421" s="97" t="s">
        <v>358</v>
      </c>
      <c r="AC421" s="97" t="s">
        <v>296</v>
      </c>
      <c r="AD421" s="97" t="s">
        <v>1879</v>
      </c>
      <c r="AE421" s="97" t="s">
        <v>545</v>
      </c>
      <c r="AF421" s="97" t="s">
        <v>455</v>
      </c>
      <c r="AG421" s="97" t="s">
        <v>304</v>
      </c>
      <c r="AH421" s="97" t="s">
        <v>302</v>
      </c>
      <c r="AI421" s="97" t="s">
        <v>302</v>
      </c>
      <c r="AJ421" s="97" t="s">
        <v>303</v>
      </c>
      <c r="AL421" s="97" t="s">
        <v>302</v>
      </c>
      <c r="AM421" s="97" t="s">
        <v>302</v>
      </c>
      <c r="AN421" s="97" t="s">
        <v>302</v>
      </c>
      <c r="AO421" s="97" t="s">
        <v>302</v>
      </c>
      <c r="AP421" s="97" t="s">
        <v>302</v>
      </c>
      <c r="AR421" s="97" t="s">
        <v>301</v>
      </c>
      <c r="AS421" s="97" t="s">
        <v>300</v>
      </c>
      <c r="AT421" s="97" t="s">
        <v>321</v>
      </c>
      <c r="AU421" s="97" t="s">
        <v>320</v>
      </c>
      <c r="AV421" s="97" t="s">
        <v>364</v>
      </c>
      <c r="AW421" s="97" t="s">
        <v>307</v>
      </c>
      <c r="AX421" s="97" t="s">
        <v>319</v>
      </c>
      <c r="AY421" s="97" t="s">
        <v>1880</v>
      </c>
    </row>
    <row r="422" spans="1:51" ht="100.8" x14ac:dyDescent="0.3">
      <c r="A422" s="97" t="s">
        <v>1881</v>
      </c>
      <c r="B422" s="97" t="s">
        <v>1845</v>
      </c>
      <c r="C422" s="97" t="s">
        <v>552</v>
      </c>
      <c r="D422" s="97" t="s">
        <v>331</v>
      </c>
      <c r="E422" s="97" t="s">
        <v>3</v>
      </c>
      <c r="F422" s="97" t="s">
        <v>317</v>
      </c>
      <c r="G422" s="97" t="s">
        <v>340</v>
      </c>
      <c r="H422" s="97" t="s">
        <v>349</v>
      </c>
      <c r="I422" s="97" t="s">
        <v>345</v>
      </c>
      <c r="J422" s="97" t="s">
        <v>831</v>
      </c>
      <c r="K422" s="97" t="s">
        <v>315</v>
      </c>
      <c r="L422" s="97" t="s">
        <v>657</v>
      </c>
      <c r="M422" s="97" t="s">
        <v>314</v>
      </c>
      <c r="N422" s="97" t="s">
        <v>327</v>
      </c>
      <c r="O422" s="97" t="s">
        <v>313</v>
      </c>
      <c r="P422" s="97" t="s">
        <v>4</v>
      </c>
      <c r="Q422" s="97" t="s">
        <v>670</v>
      </c>
      <c r="R422" s="97" t="s">
        <v>327</v>
      </c>
      <c r="S422" s="97" t="s">
        <v>592</v>
      </c>
      <c r="T422" s="97" t="s">
        <v>366</v>
      </c>
      <c r="U422" s="97" t="s">
        <v>347</v>
      </c>
      <c r="V422" s="97" t="s">
        <v>681</v>
      </c>
      <c r="W422" s="97" t="s">
        <v>1192</v>
      </c>
      <c r="X422" s="97" t="s">
        <v>310</v>
      </c>
      <c r="Y422" s="97" t="s">
        <v>309</v>
      </c>
      <c r="Z422" s="97" t="s">
        <v>309</v>
      </c>
      <c r="AA422" s="97" t="s">
        <v>531</v>
      </c>
      <c r="AB422" s="97" t="s">
        <v>308</v>
      </c>
      <c r="AC422" s="97" t="s">
        <v>307</v>
      </c>
      <c r="AD422" s="97" t="s">
        <v>426</v>
      </c>
      <c r="AE422" s="97" t="s">
        <v>542</v>
      </c>
      <c r="AF422" s="97" t="s">
        <v>945</v>
      </c>
      <c r="AG422" s="97" t="s">
        <v>304</v>
      </c>
      <c r="AH422" s="97" t="s">
        <v>304</v>
      </c>
      <c r="AI422" s="97" t="s">
        <v>304</v>
      </c>
      <c r="AJ422" s="97" t="s">
        <v>304</v>
      </c>
      <c r="AK422" s="97" t="s">
        <v>302</v>
      </c>
      <c r="AL422" s="97" t="s">
        <v>302</v>
      </c>
      <c r="AM422" s="97" t="s">
        <v>302</v>
      </c>
      <c r="AN422" s="97" t="s">
        <v>303</v>
      </c>
      <c r="AO422" s="97" t="s">
        <v>302</v>
      </c>
      <c r="AP422" s="97" t="s">
        <v>303</v>
      </c>
      <c r="AQ422" s="97" t="s">
        <v>302</v>
      </c>
      <c r="AR422" s="97" t="s">
        <v>343</v>
      </c>
      <c r="AS422" s="97" t="s">
        <v>350</v>
      </c>
      <c r="AT422" s="97" t="s">
        <v>360</v>
      </c>
      <c r="AU422" s="97" t="s">
        <v>320</v>
      </c>
      <c r="AV422" s="97" t="s">
        <v>333</v>
      </c>
      <c r="AW422" s="97" t="s">
        <v>351</v>
      </c>
      <c r="AX422" s="97" t="s">
        <v>341</v>
      </c>
      <c r="AY422" s="97" t="s">
        <v>1448</v>
      </c>
    </row>
    <row r="423" spans="1:51" ht="129.6" x14ac:dyDescent="0.3">
      <c r="A423" s="97" t="s">
        <v>1882</v>
      </c>
      <c r="B423" s="97" t="s">
        <v>1845</v>
      </c>
      <c r="C423" s="97" t="s">
        <v>552</v>
      </c>
      <c r="D423" s="97" t="s">
        <v>560</v>
      </c>
      <c r="E423" s="97" t="s">
        <v>3</v>
      </c>
      <c r="F423" s="97" t="s">
        <v>317</v>
      </c>
      <c r="G423" s="97" t="s">
        <v>561</v>
      </c>
      <c r="H423" s="97" t="s">
        <v>5</v>
      </c>
      <c r="I423" s="97" t="s">
        <v>309</v>
      </c>
      <c r="J423" s="97" t="s">
        <v>445</v>
      </c>
      <c r="K423" s="97" t="s">
        <v>315</v>
      </c>
      <c r="L423" s="97" t="s">
        <v>450</v>
      </c>
      <c r="M423" s="97" t="s">
        <v>314</v>
      </c>
      <c r="N423" s="97" t="s">
        <v>327</v>
      </c>
      <c r="O423" s="97" t="s">
        <v>374</v>
      </c>
      <c r="P423" s="97" t="s">
        <v>327</v>
      </c>
      <c r="Q423" s="97" t="s">
        <v>594</v>
      </c>
      <c r="S423" s="97" t="s">
        <v>1883</v>
      </c>
      <c r="T423" s="97" t="s">
        <v>312</v>
      </c>
      <c r="U423" s="97" t="s">
        <v>311</v>
      </c>
      <c r="V423" s="97" t="s">
        <v>1040</v>
      </c>
      <c r="W423" s="97" t="s">
        <v>338</v>
      </c>
      <c r="X423" s="97" t="s">
        <v>310</v>
      </c>
      <c r="Y423" s="97" t="s">
        <v>316</v>
      </c>
      <c r="Z423" s="97" t="s">
        <v>316</v>
      </c>
      <c r="AA423" s="97" t="s">
        <v>459</v>
      </c>
      <c r="AB423" s="97" t="s">
        <v>389</v>
      </c>
      <c r="AC423" s="97" t="s">
        <v>381</v>
      </c>
      <c r="AD423" s="97" t="s">
        <v>426</v>
      </c>
      <c r="AE423" s="97" t="s">
        <v>545</v>
      </c>
      <c r="AF423" s="97" t="s">
        <v>631</v>
      </c>
      <c r="AG423" s="97" t="s">
        <v>306</v>
      </c>
      <c r="AH423" s="97" t="s">
        <v>304</v>
      </c>
      <c r="AI423" s="97" t="s">
        <v>304</v>
      </c>
      <c r="AJ423" s="97" t="s">
        <v>303</v>
      </c>
      <c r="AK423" s="97" t="s">
        <v>302</v>
      </c>
      <c r="AL423" s="97" t="s">
        <v>303</v>
      </c>
      <c r="AM423" s="97" t="s">
        <v>302</v>
      </c>
      <c r="AN423" s="97" t="s">
        <v>302</v>
      </c>
      <c r="AO423" s="97" t="s">
        <v>302</v>
      </c>
      <c r="AP423" s="97" t="s">
        <v>302</v>
      </c>
      <c r="AQ423" s="97" t="s">
        <v>303</v>
      </c>
      <c r="AR423" s="97" t="s">
        <v>541</v>
      </c>
      <c r="AS423" s="97" t="s">
        <v>300</v>
      </c>
      <c r="AT423" s="97" t="s">
        <v>355</v>
      </c>
      <c r="AU423" s="97" t="s">
        <v>342</v>
      </c>
      <c r="AV423" s="97" t="s">
        <v>547</v>
      </c>
      <c r="AW423" s="97" t="s">
        <v>296</v>
      </c>
      <c r="AX423" s="97" t="s">
        <v>341</v>
      </c>
      <c r="AY423" s="97" t="s">
        <v>717</v>
      </c>
    </row>
    <row r="424" spans="1:51" ht="216" x14ac:dyDescent="0.3">
      <c r="A424" s="97" t="s">
        <v>1884</v>
      </c>
      <c r="B424" s="97" t="s">
        <v>1845</v>
      </c>
      <c r="C424" s="97" t="s">
        <v>552</v>
      </c>
      <c r="D424" s="97" t="s">
        <v>331</v>
      </c>
      <c r="E424" s="97" t="s">
        <v>3</v>
      </c>
      <c r="F424" s="97" t="s">
        <v>317</v>
      </c>
      <c r="G424" s="97" t="s">
        <v>561</v>
      </c>
      <c r="H424" s="97" t="s">
        <v>5</v>
      </c>
      <c r="I424" s="97" t="s">
        <v>345</v>
      </c>
      <c r="J424" s="97" t="s">
        <v>1235</v>
      </c>
      <c r="K424" s="97" t="s">
        <v>359</v>
      </c>
      <c r="L424" s="97" t="s">
        <v>1885</v>
      </c>
      <c r="M424" s="97" t="s">
        <v>314</v>
      </c>
      <c r="N424" s="97" t="s">
        <v>313</v>
      </c>
      <c r="O424" s="97" t="s">
        <v>313</v>
      </c>
      <c r="P424" s="97" t="s">
        <v>374</v>
      </c>
      <c r="Q424" s="97" t="s">
        <v>1886</v>
      </c>
      <c r="R424" s="97" t="s">
        <v>327</v>
      </c>
      <c r="S424" s="97" t="s">
        <v>1887</v>
      </c>
      <c r="T424" s="97" t="s">
        <v>326</v>
      </c>
      <c r="U424" s="97" t="s">
        <v>530</v>
      </c>
      <c r="V424" s="97" t="s">
        <v>415</v>
      </c>
      <c r="W424" s="97" t="s">
        <v>1192</v>
      </c>
      <c r="X424" s="97" t="s">
        <v>337</v>
      </c>
      <c r="Y424" s="97" t="s">
        <v>345</v>
      </c>
      <c r="Z424" s="97" t="s">
        <v>316</v>
      </c>
      <c r="AA424" s="97" t="s">
        <v>1888</v>
      </c>
      <c r="AB424" s="97" t="s">
        <v>389</v>
      </c>
      <c r="AC424" s="97" t="s">
        <v>307</v>
      </c>
      <c r="AD424" s="97" t="s">
        <v>1091</v>
      </c>
      <c r="AE424" s="97" t="s">
        <v>532</v>
      </c>
      <c r="AF424" s="97" t="s">
        <v>1889</v>
      </c>
      <c r="AG424" s="97" t="s">
        <v>304</v>
      </c>
      <c r="AH424" s="97" t="s">
        <v>303</v>
      </c>
      <c r="AI424" s="97" t="s">
        <v>303</v>
      </c>
      <c r="AJ424" s="97" t="s">
        <v>302</v>
      </c>
      <c r="AK424" s="97" t="s">
        <v>305</v>
      </c>
      <c r="AL424" s="97" t="s">
        <v>303</v>
      </c>
      <c r="AM424" s="97" t="s">
        <v>304</v>
      </c>
      <c r="AN424" s="97" t="s">
        <v>303</v>
      </c>
      <c r="AO424" s="97" t="s">
        <v>303</v>
      </c>
      <c r="AP424" s="97" t="s">
        <v>303</v>
      </c>
      <c r="AQ424" s="97" t="s">
        <v>303</v>
      </c>
      <c r="AR424" s="97" t="s">
        <v>301</v>
      </c>
      <c r="AS424" s="97" t="s">
        <v>300</v>
      </c>
      <c r="AT424" s="97" t="s">
        <v>360</v>
      </c>
      <c r="AU424" s="97" t="s">
        <v>342</v>
      </c>
      <c r="AV424" s="97" t="s">
        <v>536</v>
      </c>
      <c r="AW424" s="97" t="s">
        <v>307</v>
      </c>
      <c r="AX424" s="97" t="s">
        <v>319</v>
      </c>
      <c r="AY424" s="97" t="s">
        <v>837</v>
      </c>
    </row>
    <row r="425" spans="1:51" ht="144" x14ac:dyDescent="0.3">
      <c r="A425" s="97" t="s">
        <v>1890</v>
      </c>
      <c r="B425" s="97" t="s">
        <v>1845</v>
      </c>
      <c r="C425" s="97" t="s">
        <v>552</v>
      </c>
      <c r="D425" s="97" t="s">
        <v>560</v>
      </c>
      <c r="E425" s="97" t="s">
        <v>3</v>
      </c>
      <c r="F425" s="97" t="s">
        <v>317</v>
      </c>
      <c r="G425" s="97" t="s">
        <v>430</v>
      </c>
      <c r="H425" s="97" t="s">
        <v>564</v>
      </c>
      <c r="I425" s="97" t="s">
        <v>309</v>
      </c>
      <c r="J425" s="97" t="s">
        <v>537</v>
      </c>
      <c r="K425" s="97" t="s">
        <v>368</v>
      </c>
      <c r="L425" s="97" t="s">
        <v>1891</v>
      </c>
      <c r="N425" s="97" t="s">
        <v>4</v>
      </c>
      <c r="O425" s="97" t="s">
        <v>313</v>
      </c>
      <c r="P425" s="97" t="s">
        <v>313</v>
      </c>
      <c r="Q425" s="97" t="s">
        <v>639</v>
      </c>
      <c r="R425" s="97" t="s">
        <v>327</v>
      </c>
      <c r="S425" s="97" t="s">
        <v>1892</v>
      </c>
      <c r="T425" s="97" t="s">
        <v>312</v>
      </c>
      <c r="V425" s="97" t="s">
        <v>379</v>
      </c>
      <c r="W425" s="97" t="s">
        <v>338</v>
      </c>
      <c r="X425" s="97" t="s">
        <v>310</v>
      </c>
      <c r="Y425" s="97" t="s">
        <v>309</v>
      </c>
      <c r="Z425" s="97" t="s">
        <v>316</v>
      </c>
      <c r="AA425" s="97" t="s">
        <v>705</v>
      </c>
      <c r="AB425" s="97" t="s">
        <v>389</v>
      </c>
      <c r="AD425" s="97" t="s">
        <v>694</v>
      </c>
      <c r="AE425" s="97" t="s">
        <v>535</v>
      </c>
      <c r="AF425" s="97" t="s">
        <v>1893</v>
      </c>
      <c r="AG425" s="97" t="s">
        <v>400</v>
      </c>
      <c r="AH425" s="97" t="s">
        <v>302</v>
      </c>
      <c r="AI425" s="97" t="s">
        <v>302</v>
      </c>
      <c r="AJ425" s="97" t="s">
        <v>302</v>
      </c>
      <c r="AK425" s="97" t="s">
        <v>302</v>
      </c>
      <c r="AL425" s="97" t="s">
        <v>305</v>
      </c>
      <c r="AM425" s="97" t="s">
        <v>304</v>
      </c>
      <c r="AN425" s="97" t="s">
        <v>304</v>
      </c>
      <c r="AO425" s="97" t="s">
        <v>304</v>
      </c>
      <c r="AP425" s="97" t="s">
        <v>303</v>
      </c>
      <c r="AQ425" s="97" t="s">
        <v>304</v>
      </c>
      <c r="AR425" s="97" t="s">
        <v>301</v>
      </c>
      <c r="AS425" s="97" t="s">
        <v>540</v>
      </c>
      <c r="AT425" s="97" t="s">
        <v>360</v>
      </c>
      <c r="AU425" s="97" t="s">
        <v>342</v>
      </c>
      <c r="AV425" s="97" t="s">
        <v>297</v>
      </c>
      <c r="AW425" s="97" t="s">
        <v>307</v>
      </c>
      <c r="AX425" s="97" t="s">
        <v>341</v>
      </c>
      <c r="AY425" s="97" t="s">
        <v>890</v>
      </c>
    </row>
    <row r="426" spans="1:51" ht="129.6" x14ac:dyDescent="0.3">
      <c r="A426" s="97" t="s">
        <v>1894</v>
      </c>
      <c r="B426" s="97" t="s">
        <v>1845</v>
      </c>
      <c r="C426" s="97" t="s">
        <v>552</v>
      </c>
      <c r="D426" s="97" t="s">
        <v>560</v>
      </c>
      <c r="E426" s="97" t="s">
        <v>3</v>
      </c>
      <c r="F426" s="97" t="s">
        <v>372</v>
      </c>
      <c r="G426" s="97" t="s">
        <v>340</v>
      </c>
      <c r="H426" s="97" t="s">
        <v>823</v>
      </c>
      <c r="I426" s="97" t="s">
        <v>316</v>
      </c>
      <c r="J426" s="97" t="s">
        <v>591</v>
      </c>
      <c r="K426" s="97" t="s">
        <v>315</v>
      </c>
      <c r="L426" s="97" t="s">
        <v>1352</v>
      </c>
      <c r="M426" s="97" t="s">
        <v>314</v>
      </c>
      <c r="N426" s="97" t="s">
        <v>313</v>
      </c>
      <c r="O426" s="97" t="s">
        <v>313</v>
      </c>
      <c r="P426" s="97" t="s">
        <v>313</v>
      </c>
      <c r="Q426" s="97" t="s">
        <v>396</v>
      </c>
      <c r="R426" s="97" t="s">
        <v>313</v>
      </c>
      <c r="S426" s="97" t="s">
        <v>465</v>
      </c>
      <c r="T426" s="97" t="s">
        <v>326</v>
      </c>
      <c r="U426" s="97" t="s">
        <v>311</v>
      </c>
      <c r="V426" s="97" t="s">
        <v>1022</v>
      </c>
      <c r="W426" s="97" t="s">
        <v>325</v>
      </c>
      <c r="X426" s="97" t="s">
        <v>352</v>
      </c>
      <c r="Y426" s="97" t="s">
        <v>316</v>
      </c>
      <c r="Z426" s="97" t="s">
        <v>316</v>
      </c>
      <c r="AA426" s="97" t="s">
        <v>829</v>
      </c>
      <c r="AB426" s="97" t="s">
        <v>336</v>
      </c>
      <c r="AC426" s="97" t="s">
        <v>381</v>
      </c>
      <c r="AD426" s="97" t="s">
        <v>357</v>
      </c>
      <c r="AE426" s="97" t="s">
        <v>532</v>
      </c>
      <c r="AF426" s="97" t="s">
        <v>730</v>
      </c>
      <c r="AG426" s="97" t="s">
        <v>369</v>
      </c>
      <c r="AH426" s="97" t="s">
        <v>295</v>
      </c>
      <c r="AI426" s="97" t="s">
        <v>6</v>
      </c>
      <c r="AJ426" s="97" t="s">
        <v>6</v>
      </c>
      <c r="AK426" s="97" t="s">
        <v>6</v>
      </c>
      <c r="AL426" s="97" t="s">
        <v>304</v>
      </c>
      <c r="AM426" s="97" t="s">
        <v>295</v>
      </c>
      <c r="AN426" s="97" t="s">
        <v>304</v>
      </c>
      <c r="AO426" s="97" t="s">
        <v>295</v>
      </c>
      <c r="AP426" s="97" t="s">
        <v>6</v>
      </c>
      <c r="AQ426" s="97" t="s">
        <v>295</v>
      </c>
      <c r="AR426" s="97" t="s">
        <v>558</v>
      </c>
      <c r="AS426" s="97" t="s">
        <v>563</v>
      </c>
      <c r="AT426" s="97" t="s">
        <v>334</v>
      </c>
      <c r="AU426" s="97" t="s">
        <v>320</v>
      </c>
      <c r="AV426" s="97" t="s">
        <v>333</v>
      </c>
      <c r="AW426" s="97" t="s">
        <v>381</v>
      </c>
      <c r="AX426" s="97" t="s">
        <v>375</v>
      </c>
      <c r="AY426" s="97" t="s">
        <v>1895</v>
      </c>
    </row>
    <row r="427" spans="1:51" ht="72" x14ac:dyDescent="0.3">
      <c r="A427" s="97" t="s">
        <v>1896</v>
      </c>
      <c r="B427" s="97" t="s">
        <v>1845</v>
      </c>
      <c r="C427" s="97" t="s">
        <v>552</v>
      </c>
      <c r="D427" s="97" t="s">
        <v>529</v>
      </c>
      <c r="E427" s="97" t="s">
        <v>330</v>
      </c>
      <c r="F427" s="97" t="s">
        <v>317</v>
      </c>
      <c r="G427" s="97" t="s">
        <v>423</v>
      </c>
      <c r="H427" s="97" t="s">
        <v>349</v>
      </c>
      <c r="I427" s="97" t="s">
        <v>309</v>
      </c>
      <c r="J427" s="97" t="s">
        <v>1165</v>
      </c>
      <c r="K427" s="97" t="s">
        <v>315</v>
      </c>
      <c r="L427" s="97" t="s">
        <v>657</v>
      </c>
      <c r="M427" s="97" t="s">
        <v>314</v>
      </c>
      <c r="N427" s="97" t="s">
        <v>313</v>
      </c>
      <c r="O427" s="97" t="s">
        <v>313</v>
      </c>
      <c r="P427" s="97" t="s">
        <v>4</v>
      </c>
      <c r="Q427" s="97" t="s">
        <v>670</v>
      </c>
      <c r="R427" s="97" t="s">
        <v>327</v>
      </c>
      <c r="S427" s="97" t="s">
        <v>1897</v>
      </c>
      <c r="T427" s="97" t="s">
        <v>312</v>
      </c>
      <c r="U427" s="97" t="s">
        <v>311</v>
      </c>
      <c r="V427" s="97" t="s">
        <v>664</v>
      </c>
      <c r="W427" s="97" t="s">
        <v>325</v>
      </c>
      <c r="X427" s="97" t="s">
        <v>346</v>
      </c>
      <c r="Y427" s="97" t="s">
        <v>316</v>
      </c>
      <c r="Z427" s="97" t="s">
        <v>316</v>
      </c>
      <c r="AA427" s="97" t="s">
        <v>410</v>
      </c>
      <c r="AB427" s="97" t="s">
        <v>358</v>
      </c>
      <c r="AC427" s="97" t="s">
        <v>307</v>
      </c>
      <c r="AD427" s="97" t="s">
        <v>1006</v>
      </c>
      <c r="AE427" s="97" t="s">
        <v>535</v>
      </c>
      <c r="AF427" s="97" t="s">
        <v>1381</v>
      </c>
      <c r="AG427" s="97" t="s">
        <v>306</v>
      </c>
      <c r="AH427" s="97" t="s">
        <v>303</v>
      </c>
      <c r="AI427" s="97" t="s">
        <v>303</v>
      </c>
      <c r="AJ427" s="97" t="s">
        <v>304</v>
      </c>
      <c r="AK427" s="97" t="s">
        <v>303</v>
      </c>
      <c r="AL427" s="97" t="s">
        <v>303</v>
      </c>
      <c r="AM427" s="97" t="s">
        <v>302</v>
      </c>
      <c r="AN427" s="97" t="s">
        <v>302</v>
      </c>
      <c r="AO427" s="97" t="s">
        <v>303</v>
      </c>
      <c r="AP427" s="97" t="s">
        <v>303</v>
      </c>
      <c r="AQ427" s="97" t="s">
        <v>302</v>
      </c>
      <c r="AR427" s="97" t="s">
        <v>301</v>
      </c>
      <c r="AS427" s="97" t="s">
        <v>350</v>
      </c>
      <c r="AT427" s="97" t="s">
        <v>321</v>
      </c>
      <c r="AU427" s="97" t="s">
        <v>320</v>
      </c>
      <c r="AV427" s="97" t="s">
        <v>536</v>
      </c>
      <c r="AW427" s="97" t="s">
        <v>307</v>
      </c>
      <c r="AX427" s="97" t="s">
        <v>319</v>
      </c>
      <c r="AY427" s="97" t="s">
        <v>441</v>
      </c>
    </row>
    <row r="428" spans="1:51" ht="129.6" x14ac:dyDescent="0.3">
      <c r="A428" s="97" t="s">
        <v>1898</v>
      </c>
      <c r="B428" s="97" t="s">
        <v>1845</v>
      </c>
      <c r="C428" s="97" t="s">
        <v>552</v>
      </c>
      <c r="D428" s="97" t="s">
        <v>529</v>
      </c>
      <c r="E428" s="97" t="s">
        <v>3</v>
      </c>
      <c r="F428" s="97" t="s">
        <v>317</v>
      </c>
      <c r="G428" s="97" t="s">
        <v>435</v>
      </c>
      <c r="H428" s="97" t="s">
        <v>5</v>
      </c>
      <c r="I428" s="97" t="s">
        <v>345</v>
      </c>
      <c r="J428" s="97" t="s">
        <v>957</v>
      </c>
      <c r="K428" s="97" t="s">
        <v>368</v>
      </c>
      <c r="L428" s="97" t="s">
        <v>406</v>
      </c>
      <c r="M428" s="97" t="s">
        <v>367</v>
      </c>
      <c r="N428" s="97" t="s">
        <v>313</v>
      </c>
      <c r="O428" s="97" t="s">
        <v>327</v>
      </c>
      <c r="P428" s="97" t="s">
        <v>313</v>
      </c>
      <c r="Q428" s="97" t="s">
        <v>674</v>
      </c>
      <c r="R428" s="97" t="s">
        <v>4</v>
      </c>
      <c r="S428" s="97" t="s">
        <v>1334</v>
      </c>
      <c r="T428" s="97" t="s">
        <v>380</v>
      </c>
      <c r="U428" s="97" t="s">
        <v>311</v>
      </c>
      <c r="V428" s="97" t="s">
        <v>1550</v>
      </c>
      <c r="W428" s="97" t="s">
        <v>338</v>
      </c>
      <c r="X428" s="97" t="s">
        <v>337</v>
      </c>
      <c r="Y428" s="97" t="s">
        <v>345</v>
      </c>
      <c r="Z428" s="97" t="s">
        <v>316</v>
      </c>
      <c r="AA428" s="97" t="s">
        <v>1061</v>
      </c>
      <c r="AB428" s="97" t="s">
        <v>336</v>
      </c>
      <c r="AC428" s="97" t="s">
        <v>351</v>
      </c>
      <c r="AD428" s="97" t="s">
        <v>388</v>
      </c>
      <c r="AE428" s="97" t="s">
        <v>532</v>
      </c>
      <c r="AF428" s="97" t="s">
        <v>706</v>
      </c>
      <c r="AG428" s="97" t="s">
        <v>304</v>
      </c>
      <c r="AH428" s="97" t="s">
        <v>303</v>
      </c>
      <c r="AI428" s="97" t="s">
        <v>303</v>
      </c>
      <c r="AJ428" s="97" t="s">
        <v>304</v>
      </c>
      <c r="AK428" s="97" t="s">
        <v>304</v>
      </c>
      <c r="AL428" s="97" t="s">
        <v>303</v>
      </c>
      <c r="AM428" s="97" t="s">
        <v>302</v>
      </c>
      <c r="AN428" s="97" t="s">
        <v>302</v>
      </c>
      <c r="AO428" s="97" t="s">
        <v>302</v>
      </c>
      <c r="AP428" s="97" t="s">
        <v>303</v>
      </c>
      <c r="AQ428" s="97" t="s">
        <v>304</v>
      </c>
      <c r="AR428" s="97" t="s">
        <v>378</v>
      </c>
      <c r="AS428" s="97" t="s">
        <v>729</v>
      </c>
      <c r="AT428" s="97" t="s">
        <v>321</v>
      </c>
      <c r="AU428" s="97" t="s">
        <v>342</v>
      </c>
      <c r="AV428" s="97" t="s">
        <v>297</v>
      </c>
      <c r="AW428" s="97" t="s">
        <v>296</v>
      </c>
      <c r="AX428" s="97" t="s">
        <v>319</v>
      </c>
      <c r="AY428" s="97" t="s">
        <v>710</v>
      </c>
    </row>
    <row r="429" spans="1:51" ht="201.6" x14ac:dyDescent="0.3">
      <c r="A429" s="97" t="s">
        <v>1899</v>
      </c>
      <c r="B429" s="97" t="s">
        <v>1845</v>
      </c>
      <c r="C429" s="97" t="s">
        <v>799</v>
      </c>
      <c r="D429" s="97" t="s">
        <v>529</v>
      </c>
      <c r="E429" s="97" t="s">
        <v>3</v>
      </c>
      <c r="F429" s="97" t="s">
        <v>317</v>
      </c>
      <c r="G429" s="97" t="s">
        <v>407</v>
      </c>
      <c r="H429" s="97" t="s">
        <v>5</v>
      </c>
      <c r="I429" s="97" t="s">
        <v>309</v>
      </c>
      <c r="J429" s="97" t="s">
        <v>1263</v>
      </c>
      <c r="K429" s="97" t="s">
        <v>384</v>
      </c>
      <c r="L429" s="97" t="s">
        <v>1900</v>
      </c>
      <c r="M429" s="97" t="s">
        <v>353</v>
      </c>
      <c r="N429" s="97" t="s">
        <v>327</v>
      </c>
      <c r="O429" s="97" t="s">
        <v>327</v>
      </c>
      <c r="P429" s="97" t="s">
        <v>327</v>
      </c>
      <c r="Q429" s="97" t="s">
        <v>670</v>
      </c>
      <c r="R429" s="97" t="s">
        <v>327</v>
      </c>
      <c r="S429" s="97" t="s">
        <v>500</v>
      </c>
      <c r="T429" s="97" t="s">
        <v>366</v>
      </c>
      <c r="U429" s="97" t="s">
        <v>347</v>
      </c>
      <c r="V429" s="97" t="s">
        <v>1901</v>
      </c>
      <c r="W429" s="97" t="s">
        <v>1192</v>
      </c>
      <c r="X429" s="97" t="s">
        <v>352</v>
      </c>
      <c r="Y429" s="97" t="s">
        <v>316</v>
      </c>
      <c r="Z429" s="97" t="s">
        <v>316</v>
      </c>
      <c r="AA429" s="97" t="s">
        <v>472</v>
      </c>
      <c r="AB429" s="97" t="s">
        <v>358</v>
      </c>
      <c r="AC429" s="97" t="s">
        <v>381</v>
      </c>
      <c r="AD429" s="97" t="s">
        <v>357</v>
      </c>
      <c r="AE429" s="97" t="s">
        <v>532</v>
      </c>
      <c r="AF429" s="97" t="s">
        <v>1842</v>
      </c>
      <c r="AG429" s="97" t="s">
        <v>304</v>
      </c>
      <c r="AH429" s="97" t="s">
        <v>303</v>
      </c>
      <c r="AI429" s="97" t="s">
        <v>303</v>
      </c>
      <c r="AJ429" s="97" t="s">
        <v>302</v>
      </c>
      <c r="AK429" s="97" t="s">
        <v>305</v>
      </c>
      <c r="AL429" s="97" t="s">
        <v>303</v>
      </c>
      <c r="AM429" s="97" t="s">
        <v>305</v>
      </c>
      <c r="AN429" s="97" t="s">
        <v>304</v>
      </c>
      <c r="AO429" s="97" t="s">
        <v>303</v>
      </c>
      <c r="AP429" s="97" t="s">
        <v>304</v>
      </c>
      <c r="AQ429" s="97" t="s">
        <v>303</v>
      </c>
      <c r="AR429" s="97" t="s">
        <v>391</v>
      </c>
      <c r="AS429" s="97" t="s">
        <v>350</v>
      </c>
      <c r="AT429" s="97" t="s">
        <v>355</v>
      </c>
      <c r="AU429" s="97" t="s">
        <v>320</v>
      </c>
      <c r="AV429" s="97" t="s">
        <v>392</v>
      </c>
      <c r="AW429" s="97" t="s">
        <v>307</v>
      </c>
      <c r="AX429" s="97" t="s">
        <v>534</v>
      </c>
      <c r="AY429" s="97" t="s">
        <v>418</v>
      </c>
    </row>
    <row r="430" spans="1:51" ht="144" x14ac:dyDescent="0.3">
      <c r="A430" s="97" t="s">
        <v>1902</v>
      </c>
      <c r="B430" s="97" t="s">
        <v>1845</v>
      </c>
      <c r="C430" s="97" t="s">
        <v>799</v>
      </c>
      <c r="D430" s="97" t="s">
        <v>529</v>
      </c>
      <c r="E430" s="97" t="s">
        <v>3</v>
      </c>
      <c r="F430" s="97" t="s">
        <v>317</v>
      </c>
      <c r="G430" s="97" t="s">
        <v>412</v>
      </c>
      <c r="H430" s="97" t="s">
        <v>564</v>
      </c>
      <c r="I430" s="97" t="s">
        <v>309</v>
      </c>
      <c r="J430" s="97" t="s">
        <v>565</v>
      </c>
      <c r="K430" s="97" t="s">
        <v>315</v>
      </c>
      <c r="L430" s="97" t="s">
        <v>602</v>
      </c>
      <c r="M430" s="97" t="s">
        <v>314</v>
      </c>
      <c r="N430" s="97" t="s">
        <v>327</v>
      </c>
      <c r="O430" s="97" t="s">
        <v>313</v>
      </c>
      <c r="P430" s="97" t="s">
        <v>327</v>
      </c>
      <c r="Q430" s="97" t="s">
        <v>450</v>
      </c>
      <c r="R430" s="97" t="s">
        <v>327</v>
      </c>
      <c r="S430" s="97" t="s">
        <v>1903</v>
      </c>
      <c r="T430" s="97" t="s">
        <v>326</v>
      </c>
      <c r="U430" s="97" t="s">
        <v>311</v>
      </c>
      <c r="V430" s="97" t="s">
        <v>371</v>
      </c>
      <c r="W430" s="97" t="s">
        <v>338</v>
      </c>
      <c r="X430" s="97" t="s">
        <v>337</v>
      </c>
      <c r="Y430" s="97" t="s">
        <v>316</v>
      </c>
      <c r="Z430" s="97" t="s">
        <v>316</v>
      </c>
      <c r="AA430" s="97" t="s">
        <v>538</v>
      </c>
      <c r="AB430" s="97" t="s">
        <v>389</v>
      </c>
      <c r="AC430" s="97" t="s">
        <v>324</v>
      </c>
      <c r="AD430" s="97" t="s">
        <v>388</v>
      </c>
      <c r="AE430" s="97" t="s">
        <v>535</v>
      </c>
      <c r="AF430" s="97" t="s">
        <v>1904</v>
      </c>
      <c r="AG430" s="97" t="s">
        <v>304</v>
      </c>
      <c r="AH430" s="97" t="s">
        <v>304</v>
      </c>
      <c r="AJ430" s="97" t="s">
        <v>304</v>
      </c>
      <c r="AK430" s="97" t="s">
        <v>304</v>
      </c>
      <c r="AL430" s="97" t="s">
        <v>304</v>
      </c>
      <c r="AM430" s="97" t="s">
        <v>305</v>
      </c>
      <c r="AN430" s="97" t="s">
        <v>305</v>
      </c>
      <c r="AO430" s="97" t="s">
        <v>304</v>
      </c>
      <c r="AP430" s="97" t="s">
        <v>304</v>
      </c>
      <c r="AQ430" s="97" t="s">
        <v>304</v>
      </c>
      <c r="AR430" s="97" t="s">
        <v>391</v>
      </c>
      <c r="AS430" s="97" t="s">
        <v>729</v>
      </c>
      <c r="AT430" s="97" t="s">
        <v>360</v>
      </c>
      <c r="AV430" s="97" t="s">
        <v>536</v>
      </c>
      <c r="AW430" s="97" t="s">
        <v>307</v>
      </c>
      <c r="AX430" s="97" t="s">
        <v>341</v>
      </c>
      <c r="AY430" s="97" t="s">
        <v>482</v>
      </c>
    </row>
    <row r="431" spans="1:51" ht="259.2" x14ac:dyDescent="0.3">
      <c r="A431" s="97" t="s">
        <v>1905</v>
      </c>
      <c r="B431" s="97" t="s">
        <v>1845</v>
      </c>
      <c r="C431" s="97" t="s">
        <v>799</v>
      </c>
      <c r="D431" s="97" t="s">
        <v>331</v>
      </c>
      <c r="E431" s="97" t="s">
        <v>3</v>
      </c>
      <c r="F431" s="97" t="s">
        <v>317</v>
      </c>
      <c r="G431" s="97" t="s">
        <v>655</v>
      </c>
      <c r="H431" s="97" t="s">
        <v>5</v>
      </c>
      <c r="I431" s="97" t="s">
        <v>494</v>
      </c>
      <c r="J431" s="97" t="s">
        <v>991</v>
      </c>
      <c r="K431" s="97" t="s">
        <v>359</v>
      </c>
      <c r="L431" s="97" t="s">
        <v>427</v>
      </c>
      <c r="M431" s="97" t="s">
        <v>367</v>
      </c>
      <c r="N431" s="97" t="s">
        <v>4</v>
      </c>
      <c r="O431" s="97" t="s">
        <v>4</v>
      </c>
      <c r="P431" s="97" t="s">
        <v>313</v>
      </c>
      <c r="Q431" s="97" t="s">
        <v>1549</v>
      </c>
      <c r="R431" s="97" t="s">
        <v>327</v>
      </c>
      <c r="S431" s="97" t="s">
        <v>1906</v>
      </c>
      <c r="T431" s="97" t="s">
        <v>312</v>
      </c>
      <c r="U431" s="97" t="s">
        <v>530</v>
      </c>
      <c r="V431" s="97" t="s">
        <v>681</v>
      </c>
      <c r="W431" s="97" t="s">
        <v>419</v>
      </c>
      <c r="X431" s="97" t="s">
        <v>310</v>
      </c>
      <c r="Y431" s="97" t="s">
        <v>316</v>
      </c>
      <c r="Z431" s="97" t="s">
        <v>316</v>
      </c>
      <c r="AA431" s="97" t="s">
        <v>678</v>
      </c>
      <c r="AB431" s="97" t="s">
        <v>389</v>
      </c>
      <c r="AD431" s="97" t="s">
        <v>357</v>
      </c>
      <c r="AE431" s="97" t="s">
        <v>532</v>
      </c>
      <c r="AF431" s="97" t="s">
        <v>1907</v>
      </c>
      <c r="AG431" s="97" t="s">
        <v>369</v>
      </c>
      <c r="AH431" s="97" t="s">
        <v>6</v>
      </c>
      <c r="AI431" s="97" t="s">
        <v>6</v>
      </c>
      <c r="AJ431" s="97" t="s">
        <v>295</v>
      </c>
      <c r="AK431" s="97" t="s">
        <v>305</v>
      </c>
      <c r="AL431" s="97" t="s">
        <v>304</v>
      </c>
      <c r="AN431" s="97" t="s">
        <v>6</v>
      </c>
      <c r="AO431" s="97" t="s">
        <v>305</v>
      </c>
      <c r="AP431" s="97" t="s">
        <v>303</v>
      </c>
      <c r="AQ431" s="97" t="s">
        <v>302</v>
      </c>
      <c r="AR431" s="97" t="s">
        <v>301</v>
      </c>
      <c r="AS431" s="97" t="s">
        <v>398</v>
      </c>
      <c r="AT431" s="97" t="s">
        <v>360</v>
      </c>
      <c r="AV431" s="97" t="s">
        <v>333</v>
      </c>
      <c r="AW431" s="97" t="s">
        <v>324</v>
      </c>
      <c r="AX431" s="97" t="s">
        <v>549</v>
      </c>
      <c r="AY431" s="97" t="s">
        <v>1167</v>
      </c>
    </row>
    <row r="432" spans="1:51" ht="72" x14ac:dyDescent="0.3">
      <c r="A432" s="97" t="s">
        <v>1908</v>
      </c>
      <c r="B432" s="97" t="s">
        <v>1845</v>
      </c>
      <c r="C432" s="97" t="s">
        <v>799</v>
      </c>
      <c r="D432" s="97" t="s">
        <v>331</v>
      </c>
      <c r="E432" s="97" t="s">
        <v>330</v>
      </c>
      <c r="F432" s="97" t="s">
        <v>317</v>
      </c>
      <c r="G432" s="97" t="s">
        <v>430</v>
      </c>
      <c r="H432" s="97" t="s">
        <v>679</v>
      </c>
      <c r="I432" s="97" t="s">
        <v>309</v>
      </c>
      <c r="J432" s="97" t="s">
        <v>1909</v>
      </c>
      <c r="K432" s="97" t="s">
        <v>315</v>
      </c>
      <c r="L432" s="97" t="s">
        <v>880</v>
      </c>
      <c r="M432" s="97" t="s">
        <v>314</v>
      </c>
      <c r="N432" s="97" t="s">
        <v>4</v>
      </c>
      <c r="P432" s="97" t="s">
        <v>4</v>
      </c>
      <c r="Q432" s="97" t="s">
        <v>1910</v>
      </c>
      <c r="R432" s="97" t="s">
        <v>327</v>
      </c>
      <c r="S432" s="97" t="s">
        <v>671</v>
      </c>
      <c r="T432" s="97" t="s">
        <v>366</v>
      </c>
      <c r="U432" s="97" t="s">
        <v>347</v>
      </c>
      <c r="V432" s="97" t="s">
        <v>645</v>
      </c>
      <c r="W432" s="97" t="s">
        <v>1278</v>
      </c>
      <c r="X432" s="97" t="s">
        <v>310</v>
      </c>
      <c r="Y432" s="97" t="s">
        <v>316</v>
      </c>
      <c r="Z432" s="97" t="s">
        <v>316</v>
      </c>
      <c r="AA432" s="97" t="s">
        <v>395</v>
      </c>
      <c r="AB432" s="97" t="s">
        <v>376</v>
      </c>
      <c r="AC432" s="97" t="s">
        <v>307</v>
      </c>
      <c r="AD432" s="97" t="s">
        <v>344</v>
      </c>
      <c r="AE432" s="97" t="s">
        <v>535</v>
      </c>
      <c r="AF432" s="97" t="s">
        <v>1661</v>
      </c>
      <c r="AG432" s="97" t="s">
        <v>323</v>
      </c>
      <c r="AH432" s="97" t="s">
        <v>303</v>
      </c>
      <c r="AI432" s="97" t="s">
        <v>303</v>
      </c>
      <c r="AJ432" s="97" t="s">
        <v>304</v>
      </c>
      <c r="AK432" s="97" t="s">
        <v>295</v>
      </c>
      <c r="AL432" s="97" t="s">
        <v>304</v>
      </c>
      <c r="AN432" s="97" t="s">
        <v>303</v>
      </c>
      <c r="AO432" s="97" t="s">
        <v>302</v>
      </c>
      <c r="AP432" s="97" t="s">
        <v>302</v>
      </c>
      <c r="AQ432" s="97" t="s">
        <v>303</v>
      </c>
      <c r="AR432" s="97" t="s">
        <v>301</v>
      </c>
      <c r="AS432" s="97" t="s">
        <v>300</v>
      </c>
      <c r="AT432" s="97" t="s">
        <v>321</v>
      </c>
      <c r="AU432" s="97" t="s">
        <v>320</v>
      </c>
      <c r="AV432" s="97" t="s">
        <v>392</v>
      </c>
      <c r="AW432" s="97" t="s">
        <v>307</v>
      </c>
      <c r="AX432" s="97" t="s">
        <v>319</v>
      </c>
      <c r="AY432" s="97" t="s">
        <v>385</v>
      </c>
    </row>
    <row r="433" spans="1:51" ht="115.2" x14ac:dyDescent="0.3">
      <c r="A433" s="97" t="s">
        <v>1911</v>
      </c>
      <c r="B433" s="97" t="s">
        <v>1845</v>
      </c>
      <c r="C433" s="97" t="s">
        <v>799</v>
      </c>
      <c r="D433" s="97" t="s">
        <v>700</v>
      </c>
      <c r="E433" s="97" t="s">
        <v>330</v>
      </c>
      <c r="F433" s="97" t="s">
        <v>317</v>
      </c>
      <c r="G433" s="97" t="s">
        <v>407</v>
      </c>
      <c r="H433" s="97" t="s">
        <v>679</v>
      </c>
      <c r="I433" s="97" t="s">
        <v>309</v>
      </c>
      <c r="J433" s="97" t="s">
        <v>1909</v>
      </c>
      <c r="K433" s="97" t="s">
        <v>315</v>
      </c>
      <c r="L433" s="97" t="s">
        <v>422</v>
      </c>
      <c r="M433" s="97" t="s">
        <v>363</v>
      </c>
      <c r="N433" s="97" t="s">
        <v>4</v>
      </c>
      <c r="O433" s="97" t="s">
        <v>4</v>
      </c>
      <c r="P433" s="97" t="s">
        <v>4</v>
      </c>
      <c r="Q433" s="97" t="s">
        <v>652</v>
      </c>
      <c r="R433" s="97" t="s">
        <v>327</v>
      </c>
      <c r="S433" s="97" t="s">
        <v>1912</v>
      </c>
      <c r="T433" s="97" t="s">
        <v>326</v>
      </c>
      <c r="U433" s="97" t="s">
        <v>530</v>
      </c>
      <c r="V433" s="97" t="s">
        <v>889</v>
      </c>
      <c r="W433" s="97" t="s">
        <v>1278</v>
      </c>
      <c r="X433" s="97" t="s">
        <v>310</v>
      </c>
      <c r="Y433" s="97" t="s">
        <v>316</v>
      </c>
      <c r="Z433" s="97" t="s">
        <v>316</v>
      </c>
      <c r="AA433" s="97" t="s">
        <v>395</v>
      </c>
      <c r="AB433" s="97" t="s">
        <v>358</v>
      </c>
      <c r="AC433" s="97" t="s">
        <v>307</v>
      </c>
      <c r="AD433" s="97" t="s">
        <v>1135</v>
      </c>
      <c r="AE433" s="97" t="s">
        <v>539</v>
      </c>
      <c r="AF433" s="97" t="s">
        <v>1703</v>
      </c>
      <c r="AG433" s="97" t="s">
        <v>304</v>
      </c>
      <c r="AH433" s="97" t="s">
        <v>302</v>
      </c>
      <c r="AI433" s="97" t="s">
        <v>302</v>
      </c>
      <c r="AJ433" s="97" t="s">
        <v>295</v>
      </c>
      <c r="AK433" s="97" t="s">
        <v>295</v>
      </c>
      <c r="AL433" s="97" t="s">
        <v>304</v>
      </c>
      <c r="AM433" s="97" t="s">
        <v>305</v>
      </c>
      <c r="AN433" s="97" t="s">
        <v>303</v>
      </c>
      <c r="AO433" s="97" t="s">
        <v>302</v>
      </c>
      <c r="AP433" s="97" t="s">
        <v>303</v>
      </c>
      <c r="AQ433" s="97" t="s">
        <v>302</v>
      </c>
      <c r="AR433" s="97" t="s">
        <v>541</v>
      </c>
      <c r="AS433" s="97" t="s">
        <v>398</v>
      </c>
      <c r="AT433" s="97" t="s">
        <v>321</v>
      </c>
      <c r="AU433" s="97" t="s">
        <v>320</v>
      </c>
      <c r="AV433" s="97" t="s">
        <v>297</v>
      </c>
      <c r="AW433" s="97" t="s">
        <v>324</v>
      </c>
      <c r="AX433" s="97" t="s">
        <v>341</v>
      </c>
      <c r="AY433" s="97" t="s">
        <v>1913</v>
      </c>
    </row>
    <row r="434" spans="1:51" ht="216" x14ac:dyDescent="0.3">
      <c r="A434" s="97" t="s">
        <v>1914</v>
      </c>
      <c r="B434" s="97" t="s">
        <v>1845</v>
      </c>
      <c r="C434" s="97" t="s">
        <v>799</v>
      </c>
      <c r="D434" s="97" t="s">
        <v>529</v>
      </c>
      <c r="E434" s="97" t="s">
        <v>330</v>
      </c>
      <c r="F434" s="97" t="s">
        <v>317</v>
      </c>
      <c r="G434" s="97" t="s">
        <v>407</v>
      </c>
      <c r="H434" s="97" t="s">
        <v>5</v>
      </c>
      <c r="I434" s="97" t="s">
        <v>309</v>
      </c>
      <c r="J434" s="97" t="s">
        <v>955</v>
      </c>
      <c r="K434" s="97" t="s">
        <v>315</v>
      </c>
      <c r="L434" s="97" t="s">
        <v>657</v>
      </c>
      <c r="M434" s="97" t="s">
        <v>353</v>
      </c>
      <c r="N434" s="97" t="s">
        <v>327</v>
      </c>
      <c r="O434" s="97" t="s">
        <v>4</v>
      </c>
      <c r="P434" s="97" t="s">
        <v>327</v>
      </c>
      <c r="Q434" s="97" t="s">
        <v>1543</v>
      </c>
      <c r="R434" s="97" t="s">
        <v>327</v>
      </c>
      <c r="S434" s="97" t="s">
        <v>1382</v>
      </c>
      <c r="T434" s="97" t="s">
        <v>366</v>
      </c>
      <c r="U434" s="97" t="s">
        <v>311</v>
      </c>
      <c r="V434" s="97" t="s">
        <v>1915</v>
      </c>
      <c r="W434" s="97" t="s">
        <v>370</v>
      </c>
      <c r="X434" s="97" t="s">
        <v>310</v>
      </c>
      <c r="Y434" s="97" t="s">
        <v>345</v>
      </c>
      <c r="Z434" s="97" t="s">
        <v>345</v>
      </c>
      <c r="AA434" s="97" t="s">
        <v>408</v>
      </c>
      <c r="AB434" s="97" t="s">
        <v>308</v>
      </c>
      <c r="AC434" s="97" t="s">
        <v>296</v>
      </c>
      <c r="AD434" s="97" t="s">
        <v>1916</v>
      </c>
      <c r="AE434" s="97" t="s">
        <v>533</v>
      </c>
      <c r="AF434" s="97" t="s">
        <v>1917</v>
      </c>
      <c r="AG434" s="97" t="s">
        <v>304</v>
      </c>
      <c r="AH434" s="97" t="s">
        <v>302</v>
      </c>
      <c r="AI434" s="97" t="s">
        <v>302</v>
      </c>
      <c r="AJ434" s="97" t="s">
        <v>305</v>
      </c>
      <c r="AK434" s="97" t="s">
        <v>6</v>
      </c>
      <c r="AL434" s="97" t="s">
        <v>304</v>
      </c>
      <c r="AM434" s="97" t="s">
        <v>303</v>
      </c>
      <c r="AN434" s="97" t="s">
        <v>302</v>
      </c>
      <c r="AO434" s="97" t="s">
        <v>302</v>
      </c>
      <c r="AP434" s="97" t="s">
        <v>302</v>
      </c>
      <c r="AQ434" s="97" t="s">
        <v>302</v>
      </c>
      <c r="AR434" s="97" t="s">
        <v>541</v>
      </c>
      <c r="AS434" s="97" t="s">
        <v>300</v>
      </c>
      <c r="AT434" s="97" t="s">
        <v>355</v>
      </c>
      <c r="AU434" s="97" t="s">
        <v>342</v>
      </c>
      <c r="AV434" s="97" t="s">
        <v>536</v>
      </c>
      <c r="AW434" s="97" t="s">
        <v>324</v>
      </c>
      <c r="AX434" s="97" t="s">
        <v>319</v>
      </c>
      <c r="AY434" s="97" t="s">
        <v>1448</v>
      </c>
    </row>
    <row r="435" spans="1:51" ht="172.8" x14ac:dyDescent="0.3">
      <c r="A435" s="97" t="s">
        <v>1918</v>
      </c>
      <c r="B435" s="97" t="s">
        <v>1845</v>
      </c>
      <c r="C435" s="97" t="s">
        <v>799</v>
      </c>
      <c r="D435" s="97" t="s">
        <v>529</v>
      </c>
      <c r="E435" s="97" t="s">
        <v>330</v>
      </c>
      <c r="F435" s="97" t="s">
        <v>317</v>
      </c>
      <c r="G435" s="97" t="s">
        <v>894</v>
      </c>
      <c r="H435" s="97" t="s">
        <v>5</v>
      </c>
      <c r="I435" s="97" t="s">
        <v>316</v>
      </c>
      <c r="J435" s="97" t="s">
        <v>479</v>
      </c>
      <c r="K435" s="97" t="s">
        <v>328</v>
      </c>
      <c r="L435" s="97" t="s">
        <v>1900</v>
      </c>
      <c r="M435" s="97" t="s">
        <v>314</v>
      </c>
      <c r="N435" s="97" t="s">
        <v>313</v>
      </c>
      <c r="O435" s="97" t="s">
        <v>313</v>
      </c>
      <c r="P435" s="97" t="s">
        <v>313</v>
      </c>
      <c r="Q435" s="97" t="s">
        <v>1919</v>
      </c>
      <c r="R435" s="97" t="s">
        <v>327</v>
      </c>
      <c r="S435" s="97" t="s">
        <v>980</v>
      </c>
      <c r="T435" s="97" t="s">
        <v>326</v>
      </c>
      <c r="U435" s="97" t="s">
        <v>530</v>
      </c>
      <c r="V435" s="97" t="s">
        <v>809</v>
      </c>
      <c r="W435" s="97" t="s">
        <v>325</v>
      </c>
      <c r="X435" s="97" t="s">
        <v>352</v>
      </c>
      <c r="Y435" s="97" t="s">
        <v>316</v>
      </c>
      <c r="Z435" s="97" t="s">
        <v>316</v>
      </c>
      <c r="AA435" s="97" t="s">
        <v>395</v>
      </c>
      <c r="AB435" s="97" t="s">
        <v>358</v>
      </c>
      <c r="AC435" s="97" t="s">
        <v>307</v>
      </c>
      <c r="AD435" s="97" t="s">
        <v>462</v>
      </c>
      <c r="AE435" s="97" t="s">
        <v>533</v>
      </c>
      <c r="AF435" s="97" t="s">
        <v>808</v>
      </c>
      <c r="AG435" s="97" t="s">
        <v>304</v>
      </c>
      <c r="AH435" s="97" t="s">
        <v>304</v>
      </c>
      <c r="AI435" s="97" t="s">
        <v>304</v>
      </c>
      <c r="AJ435" s="97" t="s">
        <v>304</v>
      </c>
      <c r="AK435" s="97" t="s">
        <v>305</v>
      </c>
      <c r="AL435" s="97" t="s">
        <v>303</v>
      </c>
      <c r="AM435" s="97" t="s">
        <v>303</v>
      </c>
      <c r="AN435" s="97" t="s">
        <v>302</v>
      </c>
      <c r="AO435" s="97" t="s">
        <v>302</v>
      </c>
      <c r="AP435" s="97" t="s">
        <v>302</v>
      </c>
      <c r="AQ435" s="97" t="s">
        <v>302</v>
      </c>
      <c r="AR435" s="97" t="s">
        <v>365</v>
      </c>
      <c r="AS435" s="97" t="s">
        <v>350</v>
      </c>
      <c r="AT435" s="97" t="s">
        <v>321</v>
      </c>
      <c r="AU435" s="97" t="s">
        <v>320</v>
      </c>
      <c r="AV435" s="97" t="s">
        <v>297</v>
      </c>
      <c r="AW435" s="97" t="s">
        <v>324</v>
      </c>
      <c r="AX435" s="97" t="s">
        <v>534</v>
      </c>
      <c r="AY435" s="97" t="s">
        <v>649</v>
      </c>
    </row>
    <row r="436" spans="1:51" ht="244.8" x14ac:dyDescent="0.3">
      <c r="A436" s="97" t="s">
        <v>1920</v>
      </c>
      <c r="B436" s="97" t="s">
        <v>1845</v>
      </c>
      <c r="C436" s="97" t="s">
        <v>799</v>
      </c>
      <c r="D436" s="97" t="s">
        <v>529</v>
      </c>
      <c r="E436" s="97" t="s">
        <v>330</v>
      </c>
      <c r="F436" s="97" t="s">
        <v>317</v>
      </c>
      <c r="G436" s="97" t="s">
        <v>412</v>
      </c>
      <c r="H436" s="97" t="s">
        <v>5</v>
      </c>
      <c r="I436" s="97" t="s">
        <v>309</v>
      </c>
      <c r="J436" s="97" t="s">
        <v>955</v>
      </c>
      <c r="K436" s="97" t="s">
        <v>315</v>
      </c>
      <c r="L436" s="97" t="s">
        <v>657</v>
      </c>
      <c r="M436" s="97" t="s">
        <v>363</v>
      </c>
      <c r="N436" s="97" t="s">
        <v>4</v>
      </c>
      <c r="O436" s="97" t="s">
        <v>313</v>
      </c>
      <c r="P436" s="97" t="s">
        <v>327</v>
      </c>
      <c r="Q436" s="97" t="s">
        <v>1748</v>
      </c>
      <c r="R436" s="97" t="s">
        <v>327</v>
      </c>
      <c r="S436" s="97" t="s">
        <v>500</v>
      </c>
      <c r="T436" s="97" t="s">
        <v>312</v>
      </c>
      <c r="U436" s="97" t="s">
        <v>347</v>
      </c>
      <c r="V436" s="97" t="s">
        <v>1835</v>
      </c>
      <c r="W436" s="97" t="s">
        <v>550</v>
      </c>
      <c r="X436" s="97" t="s">
        <v>310</v>
      </c>
      <c r="Y436" s="97" t="s">
        <v>309</v>
      </c>
      <c r="Z436" s="97" t="s">
        <v>345</v>
      </c>
      <c r="AA436" s="97" t="s">
        <v>858</v>
      </c>
      <c r="AB436" s="97" t="s">
        <v>376</v>
      </c>
      <c r="AC436" s="97" t="s">
        <v>296</v>
      </c>
      <c r="AD436" s="97" t="s">
        <v>1062</v>
      </c>
      <c r="AE436" s="97" t="s">
        <v>532</v>
      </c>
      <c r="AF436" s="97" t="s">
        <v>1312</v>
      </c>
      <c r="AG436" s="97" t="s">
        <v>304</v>
      </c>
      <c r="AH436" s="97" t="s">
        <v>303</v>
      </c>
      <c r="AI436" s="97" t="s">
        <v>303</v>
      </c>
      <c r="AJ436" s="97" t="s">
        <v>305</v>
      </c>
      <c r="AK436" s="97" t="s">
        <v>303</v>
      </c>
      <c r="AL436" s="97" t="s">
        <v>304</v>
      </c>
      <c r="AM436" s="97" t="s">
        <v>305</v>
      </c>
      <c r="AN436" s="97" t="s">
        <v>303</v>
      </c>
      <c r="AO436" s="97" t="s">
        <v>302</v>
      </c>
      <c r="AP436" s="97" t="s">
        <v>302</v>
      </c>
      <c r="AQ436" s="97" t="s">
        <v>303</v>
      </c>
      <c r="AR436" s="97" t="s">
        <v>541</v>
      </c>
      <c r="AS436" s="97" t="s">
        <v>398</v>
      </c>
      <c r="AT436" s="97" t="s">
        <v>355</v>
      </c>
      <c r="AU436" s="97" t="s">
        <v>342</v>
      </c>
      <c r="AV436" s="97" t="s">
        <v>333</v>
      </c>
      <c r="AW436" s="97" t="s">
        <v>324</v>
      </c>
      <c r="AX436" s="97" t="s">
        <v>319</v>
      </c>
      <c r="AY436" s="97" t="s">
        <v>1921</v>
      </c>
    </row>
    <row r="437" spans="1:51" ht="187.2" x14ac:dyDescent="0.3">
      <c r="A437" s="97" t="s">
        <v>1922</v>
      </c>
      <c r="B437" s="97" t="s">
        <v>1845</v>
      </c>
      <c r="C437" s="97" t="s">
        <v>799</v>
      </c>
      <c r="D437" s="97" t="s">
        <v>529</v>
      </c>
      <c r="E437" s="97" t="s">
        <v>3</v>
      </c>
      <c r="F437" s="97" t="s">
        <v>383</v>
      </c>
      <c r="G437" s="97" t="s">
        <v>340</v>
      </c>
      <c r="H437" s="97" t="s">
        <v>5</v>
      </c>
      <c r="I437" s="97" t="s">
        <v>316</v>
      </c>
      <c r="J437" s="97" t="s">
        <v>1923</v>
      </c>
      <c r="L437" s="97" t="s">
        <v>1223</v>
      </c>
      <c r="M437" s="97" t="s">
        <v>314</v>
      </c>
      <c r="N437" s="97" t="s">
        <v>374</v>
      </c>
      <c r="O437" s="97" t="s">
        <v>313</v>
      </c>
      <c r="P437" s="97" t="s">
        <v>4</v>
      </c>
      <c r="Q437" s="97" t="s">
        <v>1924</v>
      </c>
      <c r="R437" s="97" t="s">
        <v>327</v>
      </c>
      <c r="S437" s="97" t="s">
        <v>500</v>
      </c>
      <c r="T437" s="97" t="s">
        <v>312</v>
      </c>
      <c r="U437" s="97" t="s">
        <v>311</v>
      </c>
      <c r="V437" s="97" t="s">
        <v>553</v>
      </c>
      <c r="W437" s="97" t="s">
        <v>338</v>
      </c>
      <c r="X437" s="97" t="s">
        <v>310</v>
      </c>
      <c r="Y437" s="97" t="s">
        <v>316</v>
      </c>
      <c r="Z437" s="97" t="s">
        <v>316</v>
      </c>
      <c r="AA437" s="97" t="s">
        <v>678</v>
      </c>
      <c r="AC437" s="97" t="s">
        <v>307</v>
      </c>
      <c r="AD437" s="97" t="s">
        <v>357</v>
      </c>
      <c r="AE437" s="97" t="s">
        <v>532</v>
      </c>
      <c r="AF437" s="97" t="s">
        <v>682</v>
      </c>
      <c r="AG437" s="97" t="s">
        <v>323</v>
      </c>
      <c r="AH437" s="97" t="s">
        <v>304</v>
      </c>
      <c r="AI437" s="97" t="s">
        <v>304</v>
      </c>
      <c r="AJ437" s="97" t="s">
        <v>304</v>
      </c>
      <c r="AK437" s="97" t="s">
        <v>304</v>
      </c>
      <c r="AL437" s="97" t="s">
        <v>305</v>
      </c>
      <c r="AM437" s="97" t="s">
        <v>302</v>
      </c>
      <c r="AN437" s="97" t="s">
        <v>302</v>
      </c>
      <c r="AO437" s="97" t="s">
        <v>295</v>
      </c>
      <c r="AP437" s="97" t="s">
        <v>305</v>
      </c>
      <c r="AQ437" s="97" t="s">
        <v>295</v>
      </c>
      <c r="AR437" s="97" t="s">
        <v>558</v>
      </c>
      <c r="AS437" s="97" t="s">
        <v>350</v>
      </c>
      <c r="AT437" s="97" t="s">
        <v>334</v>
      </c>
      <c r="AU437" s="97" t="s">
        <v>342</v>
      </c>
      <c r="AV437" s="97" t="s">
        <v>297</v>
      </c>
      <c r="AW437" s="97" t="s">
        <v>324</v>
      </c>
      <c r="AX437" s="97" t="s">
        <v>549</v>
      </c>
      <c r="AY437" s="97" t="s">
        <v>356</v>
      </c>
    </row>
    <row r="438" spans="1:51" ht="216" x14ac:dyDescent="0.3">
      <c r="A438" s="97" t="s">
        <v>1925</v>
      </c>
      <c r="B438" s="97" t="s">
        <v>1845</v>
      </c>
      <c r="C438" s="97" t="s">
        <v>799</v>
      </c>
      <c r="D438" s="97" t="s">
        <v>529</v>
      </c>
      <c r="E438" s="97" t="s">
        <v>330</v>
      </c>
      <c r="F438" s="97" t="s">
        <v>317</v>
      </c>
      <c r="G438" s="97" t="s">
        <v>435</v>
      </c>
      <c r="H438" s="97" t="s">
        <v>5</v>
      </c>
      <c r="I438" s="97" t="s">
        <v>309</v>
      </c>
      <c r="J438" s="97" t="s">
        <v>1502</v>
      </c>
      <c r="K438" s="97" t="s">
        <v>315</v>
      </c>
      <c r="L438" s="97" t="s">
        <v>406</v>
      </c>
      <c r="M438" s="97" t="s">
        <v>348</v>
      </c>
      <c r="N438" s="97" t="s">
        <v>327</v>
      </c>
      <c r="O438" s="97" t="s">
        <v>313</v>
      </c>
      <c r="P438" s="97" t="s">
        <v>327</v>
      </c>
      <c r="Q438" s="97" t="s">
        <v>652</v>
      </c>
      <c r="R438" s="97" t="s">
        <v>327</v>
      </c>
      <c r="S438" s="97" t="s">
        <v>798</v>
      </c>
      <c r="T438" s="97" t="s">
        <v>326</v>
      </c>
      <c r="U438" s="97" t="s">
        <v>311</v>
      </c>
      <c r="V438" s="97" t="s">
        <v>1078</v>
      </c>
      <c r="W438" s="97" t="s">
        <v>370</v>
      </c>
      <c r="X438" s="97" t="s">
        <v>310</v>
      </c>
      <c r="Y438" s="97" t="s">
        <v>316</v>
      </c>
      <c r="Z438" s="97" t="s">
        <v>316</v>
      </c>
      <c r="AA438" s="97" t="s">
        <v>395</v>
      </c>
      <c r="AB438" s="97" t="s">
        <v>308</v>
      </c>
      <c r="AC438" s="97" t="s">
        <v>296</v>
      </c>
      <c r="AD438" s="97" t="s">
        <v>1062</v>
      </c>
      <c r="AE438" s="97" t="s">
        <v>542</v>
      </c>
      <c r="AF438" s="97" t="s">
        <v>915</v>
      </c>
      <c r="AH438" s="97" t="s">
        <v>303</v>
      </c>
      <c r="AI438" s="97" t="s">
        <v>303</v>
      </c>
      <c r="AJ438" s="97" t="s">
        <v>304</v>
      </c>
      <c r="AK438" s="97" t="s">
        <v>304</v>
      </c>
      <c r="AL438" s="97" t="s">
        <v>304</v>
      </c>
      <c r="AM438" s="97" t="s">
        <v>304</v>
      </c>
      <c r="AN438" s="97" t="s">
        <v>302</v>
      </c>
      <c r="AO438" s="97" t="s">
        <v>302</v>
      </c>
      <c r="AP438" s="97" t="s">
        <v>302</v>
      </c>
      <c r="AQ438" s="97" t="s">
        <v>303</v>
      </c>
      <c r="AR438" s="97" t="s">
        <v>322</v>
      </c>
      <c r="AS438" s="97" t="s">
        <v>350</v>
      </c>
      <c r="AT438" s="97" t="s">
        <v>355</v>
      </c>
      <c r="AU438" s="97" t="s">
        <v>342</v>
      </c>
      <c r="AV438" s="97" t="s">
        <v>536</v>
      </c>
      <c r="AW438" s="97" t="s">
        <v>307</v>
      </c>
      <c r="AX438" s="97" t="s">
        <v>319</v>
      </c>
      <c r="AY438" s="97" t="s">
        <v>491</v>
      </c>
    </row>
    <row r="439" spans="1:51" ht="216" x14ac:dyDescent="0.3">
      <c r="A439" s="97" t="s">
        <v>1926</v>
      </c>
      <c r="B439" s="97" t="s">
        <v>1845</v>
      </c>
      <c r="C439" s="97" t="s">
        <v>799</v>
      </c>
      <c r="D439" s="97" t="s">
        <v>529</v>
      </c>
      <c r="E439" s="97" t="s">
        <v>330</v>
      </c>
      <c r="F439" s="97" t="s">
        <v>317</v>
      </c>
      <c r="G439" s="97" t="s">
        <v>407</v>
      </c>
      <c r="H439" s="97" t="s">
        <v>5</v>
      </c>
      <c r="I439" s="97" t="s">
        <v>309</v>
      </c>
      <c r="J439" s="97" t="s">
        <v>1927</v>
      </c>
      <c r="K439" s="97" t="s">
        <v>354</v>
      </c>
      <c r="L439" s="97" t="s">
        <v>427</v>
      </c>
      <c r="M439" s="97" t="s">
        <v>363</v>
      </c>
      <c r="N439" s="97" t="s">
        <v>327</v>
      </c>
      <c r="O439" s="97" t="s">
        <v>327</v>
      </c>
      <c r="P439" s="97" t="s">
        <v>4</v>
      </c>
      <c r="Q439" s="97" t="s">
        <v>411</v>
      </c>
      <c r="R439" s="97" t="s">
        <v>327</v>
      </c>
      <c r="S439" s="97" t="s">
        <v>1492</v>
      </c>
      <c r="T439" s="97" t="s">
        <v>326</v>
      </c>
      <c r="U439" s="97" t="s">
        <v>311</v>
      </c>
      <c r="V439" s="97" t="s">
        <v>1078</v>
      </c>
      <c r="W439" s="97" t="s">
        <v>370</v>
      </c>
      <c r="X439" s="97" t="s">
        <v>310</v>
      </c>
      <c r="Y439" s="97" t="s">
        <v>316</v>
      </c>
      <c r="Z439" s="97" t="s">
        <v>316</v>
      </c>
      <c r="AA439" s="97" t="s">
        <v>408</v>
      </c>
      <c r="AB439" s="97" t="s">
        <v>308</v>
      </c>
      <c r="AC439" s="97" t="s">
        <v>324</v>
      </c>
      <c r="AD439" s="97" t="s">
        <v>357</v>
      </c>
      <c r="AE439" s="97" t="s">
        <v>542</v>
      </c>
      <c r="AF439" s="97" t="s">
        <v>1678</v>
      </c>
      <c r="AG439" s="97" t="s">
        <v>400</v>
      </c>
      <c r="AH439" s="97" t="s">
        <v>295</v>
      </c>
      <c r="AI439" s="97" t="s">
        <v>295</v>
      </c>
      <c r="AJ439" s="97" t="s">
        <v>304</v>
      </c>
      <c r="AK439" s="97" t="s">
        <v>6</v>
      </c>
      <c r="AL439" s="97" t="s">
        <v>304</v>
      </c>
      <c r="AM439" s="97" t="s">
        <v>304</v>
      </c>
      <c r="AN439" s="97" t="s">
        <v>304</v>
      </c>
      <c r="AO439" s="97" t="s">
        <v>302</v>
      </c>
      <c r="AP439" s="97" t="s">
        <v>303</v>
      </c>
      <c r="AQ439" s="97" t="s">
        <v>302</v>
      </c>
      <c r="AR439" s="97" t="s">
        <v>301</v>
      </c>
      <c r="AS439" s="97" t="s">
        <v>563</v>
      </c>
      <c r="AT439" s="97" t="s">
        <v>355</v>
      </c>
      <c r="AU439" s="97" t="s">
        <v>342</v>
      </c>
      <c r="AV439" s="97" t="s">
        <v>536</v>
      </c>
      <c r="AW439" s="97" t="s">
        <v>351</v>
      </c>
      <c r="AX439" s="97" t="s">
        <v>549</v>
      </c>
      <c r="AY439" s="97" t="s">
        <v>1534</v>
      </c>
    </row>
    <row r="440" spans="1:51" ht="244.8" x14ac:dyDescent="0.3">
      <c r="A440" s="97" t="s">
        <v>1928</v>
      </c>
      <c r="B440" s="97" t="s">
        <v>1845</v>
      </c>
      <c r="C440" s="97" t="s">
        <v>799</v>
      </c>
      <c r="D440" s="97" t="s">
        <v>529</v>
      </c>
      <c r="E440" s="97" t="s">
        <v>330</v>
      </c>
      <c r="F440" s="97" t="s">
        <v>317</v>
      </c>
      <c r="G440" s="97" t="s">
        <v>407</v>
      </c>
      <c r="H440" s="97" t="s">
        <v>5</v>
      </c>
      <c r="I440" s="97" t="s">
        <v>309</v>
      </c>
      <c r="J440" s="97" t="s">
        <v>454</v>
      </c>
      <c r="K440" s="97" t="s">
        <v>315</v>
      </c>
      <c r="L440" s="97" t="s">
        <v>880</v>
      </c>
      <c r="M440" s="97" t="s">
        <v>314</v>
      </c>
      <c r="N440" s="97" t="s">
        <v>327</v>
      </c>
      <c r="O440" s="97" t="s">
        <v>4</v>
      </c>
      <c r="P440" s="97" t="s">
        <v>4</v>
      </c>
      <c r="Q440" s="97" t="s">
        <v>594</v>
      </c>
      <c r="R440" s="97" t="s">
        <v>327</v>
      </c>
      <c r="S440" s="97" t="s">
        <v>1929</v>
      </c>
      <c r="T440" s="97" t="s">
        <v>366</v>
      </c>
      <c r="U440" s="97" t="s">
        <v>347</v>
      </c>
      <c r="V440" s="97" t="s">
        <v>1930</v>
      </c>
      <c r="W440" s="97" t="s">
        <v>550</v>
      </c>
      <c r="X440" s="97" t="s">
        <v>310</v>
      </c>
      <c r="Y440" s="97" t="s">
        <v>309</v>
      </c>
      <c r="Z440" s="97" t="s">
        <v>309</v>
      </c>
      <c r="AA440" s="97" t="s">
        <v>732</v>
      </c>
      <c r="AB440" s="97" t="s">
        <v>308</v>
      </c>
      <c r="AC440" s="97" t="s">
        <v>296</v>
      </c>
      <c r="AD440" s="97" t="s">
        <v>1321</v>
      </c>
      <c r="AE440" s="97" t="s">
        <v>545</v>
      </c>
      <c r="AF440" s="97" t="s">
        <v>1702</v>
      </c>
      <c r="AG440" s="97" t="s">
        <v>323</v>
      </c>
      <c r="AH440" s="97" t="s">
        <v>303</v>
      </c>
      <c r="AI440" s="97" t="s">
        <v>303</v>
      </c>
      <c r="AJ440" s="97" t="s">
        <v>305</v>
      </c>
      <c r="AK440" s="97" t="s">
        <v>303</v>
      </c>
      <c r="AL440" s="97" t="s">
        <v>303</v>
      </c>
      <c r="AM440" s="97" t="s">
        <v>303</v>
      </c>
      <c r="AN440" s="97" t="s">
        <v>303</v>
      </c>
      <c r="AO440" s="97" t="s">
        <v>304</v>
      </c>
      <c r="AP440" s="97" t="s">
        <v>303</v>
      </c>
      <c r="AQ440" s="97" t="s">
        <v>303</v>
      </c>
      <c r="AR440" s="97" t="s">
        <v>365</v>
      </c>
      <c r="AS440" s="97" t="s">
        <v>540</v>
      </c>
      <c r="AT440" s="97" t="s">
        <v>355</v>
      </c>
      <c r="AU440" s="97" t="s">
        <v>342</v>
      </c>
      <c r="AV440" s="97" t="s">
        <v>364</v>
      </c>
      <c r="AW440" s="97" t="s">
        <v>307</v>
      </c>
      <c r="AX440" s="97" t="s">
        <v>534</v>
      </c>
      <c r="AY440" s="97" t="s">
        <v>1448</v>
      </c>
    </row>
    <row r="441" spans="1:51" ht="288" x14ac:dyDescent="0.3">
      <c r="A441" s="97" t="s">
        <v>1931</v>
      </c>
      <c r="B441" s="97" t="s">
        <v>1845</v>
      </c>
      <c r="C441" s="97" t="s">
        <v>799</v>
      </c>
      <c r="D441" s="97" t="s">
        <v>529</v>
      </c>
      <c r="E441" s="97" t="s">
        <v>330</v>
      </c>
      <c r="F441" s="97" t="s">
        <v>317</v>
      </c>
      <c r="G441" s="97" t="s">
        <v>407</v>
      </c>
      <c r="H441" s="97" t="s">
        <v>5</v>
      </c>
      <c r="I441" s="97" t="s">
        <v>309</v>
      </c>
      <c r="J441" s="97" t="s">
        <v>1932</v>
      </c>
      <c r="K441" s="97" t="s">
        <v>328</v>
      </c>
      <c r="L441" s="97" t="s">
        <v>450</v>
      </c>
      <c r="M441" s="97" t="s">
        <v>348</v>
      </c>
      <c r="N441" s="97" t="s">
        <v>313</v>
      </c>
      <c r="O441" s="97" t="s">
        <v>4</v>
      </c>
      <c r="P441" s="97" t="s">
        <v>4</v>
      </c>
      <c r="Q441" s="97" t="s">
        <v>422</v>
      </c>
      <c r="R441" s="97" t="s">
        <v>327</v>
      </c>
      <c r="S441" s="97" t="s">
        <v>1531</v>
      </c>
      <c r="T441" s="97" t="s">
        <v>366</v>
      </c>
      <c r="U441" s="97" t="s">
        <v>530</v>
      </c>
      <c r="V441" s="97" t="s">
        <v>1688</v>
      </c>
      <c r="W441" s="97" t="s">
        <v>486</v>
      </c>
      <c r="X441" s="97" t="s">
        <v>352</v>
      </c>
      <c r="Y441" s="97" t="s">
        <v>316</v>
      </c>
      <c r="Z441" s="97" t="s">
        <v>316</v>
      </c>
      <c r="AA441" s="97" t="s">
        <v>1933</v>
      </c>
      <c r="AB441" s="97" t="s">
        <v>308</v>
      </c>
      <c r="AC441" s="97" t="s">
        <v>307</v>
      </c>
      <c r="AD441" s="97" t="s">
        <v>642</v>
      </c>
      <c r="AE441" s="97" t="s">
        <v>533</v>
      </c>
      <c r="AF441" s="97" t="s">
        <v>461</v>
      </c>
      <c r="AG441" s="97" t="s">
        <v>369</v>
      </c>
      <c r="AH441" s="97" t="s">
        <v>295</v>
      </c>
      <c r="AI441" s="97" t="s">
        <v>295</v>
      </c>
      <c r="AJ441" s="97" t="s">
        <v>304</v>
      </c>
      <c r="AK441" s="97" t="s">
        <v>295</v>
      </c>
      <c r="AL441" s="97" t="s">
        <v>295</v>
      </c>
      <c r="AM441" s="97" t="s">
        <v>304</v>
      </c>
      <c r="AN441" s="97" t="s">
        <v>305</v>
      </c>
      <c r="AO441" s="97" t="s">
        <v>302</v>
      </c>
      <c r="AP441" s="97" t="s">
        <v>303</v>
      </c>
      <c r="AQ441" s="97" t="s">
        <v>304</v>
      </c>
      <c r="AR441" s="97" t="s">
        <v>343</v>
      </c>
      <c r="AS441" s="97" t="s">
        <v>335</v>
      </c>
      <c r="AT441" s="97" t="s">
        <v>355</v>
      </c>
      <c r="AU441" s="97" t="s">
        <v>342</v>
      </c>
      <c r="AV441" s="97" t="s">
        <v>392</v>
      </c>
      <c r="AW441" s="97" t="s">
        <v>324</v>
      </c>
      <c r="AX441" s="97" t="s">
        <v>534</v>
      </c>
      <c r="AY441" s="97" t="s">
        <v>332</v>
      </c>
    </row>
    <row r="442" spans="1:51" ht="129.6" x14ac:dyDescent="0.3">
      <c r="A442" s="97" t="s">
        <v>1934</v>
      </c>
      <c r="B442" s="97" t="s">
        <v>1845</v>
      </c>
      <c r="C442" s="97" t="s">
        <v>799</v>
      </c>
      <c r="D442" s="97" t="s">
        <v>529</v>
      </c>
      <c r="E442" s="97" t="s">
        <v>3</v>
      </c>
      <c r="F442" s="97" t="s">
        <v>317</v>
      </c>
      <c r="G442" s="97" t="s">
        <v>407</v>
      </c>
      <c r="H442" s="97" t="s">
        <v>5</v>
      </c>
      <c r="I442" s="97" t="s">
        <v>309</v>
      </c>
      <c r="J442" s="97" t="s">
        <v>544</v>
      </c>
      <c r="K442" s="97" t="s">
        <v>315</v>
      </c>
      <c r="L442" s="97" t="s">
        <v>594</v>
      </c>
      <c r="M442" s="97" t="s">
        <v>314</v>
      </c>
      <c r="N442" s="97" t="s">
        <v>327</v>
      </c>
      <c r="O442" s="97" t="s">
        <v>327</v>
      </c>
      <c r="P442" s="97" t="s">
        <v>4</v>
      </c>
      <c r="Q442" s="97" t="s">
        <v>421</v>
      </c>
      <c r="R442" s="97" t="s">
        <v>374</v>
      </c>
      <c r="S442" s="97" t="s">
        <v>397</v>
      </c>
      <c r="T442" s="97" t="s">
        <v>380</v>
      </c>
      <c r="U442" s="97" t="s">
        <v>530</v>
      </c>
      <c r="V442" s="97" t="s">
        <v>339</v>
      </c>
      <c r="W442" s="97" t="s">
        <v>325</v>
      </c>
      <c r="X442" s="97" t="s">
        <v>352</v>
      </c>
      <c r="Y442" s="97" t="s">
        <v>316</v>
      </c>
      <c r="Z442" s="97" t="s">
        <v>316</v>
      </c>
      <c r="AA442" s="97" t="s">
        <v>490</v>
      </c>
      <c r="AB442" s="97" t="s">
        <v>308</v>
      </c>
      <c r="AC442" s="97" t="s">
        <v>381</v>
      </c>
      <c r="AD442" s="97" t="s">
        <v>604</v>
      </c>
      <c r="AE442" s="97" t="s">
        <v>535</v>
      </c>
      <c r="AF442" s="97" t="s">
        <v>953</v>
      </c>
      <c r="AG442" s="97" t="s">
        <v>304</v>
      </c>
      <c r="AH442" s="97" t="s">
        <v>303</v>
      </c>
      <c r="AI442" s="97" t="s">
        <v>304</v>
      </c>
      <c r="AJ442" s="97" t="s">
        <v>304</v>
      </c>
      <c r="AK442" s="97" t="s">
        <v>305</v>
      </c>
      <c r="AL442" s="97" t="s">
        <v>304</v>
      </c>
      <c r="AM442" s="97" t="s">
        <v>304</v>
      </c>
      <c r="AN442" s="97" t="s">
        <v>304</v>
      </c>
      <c r="AO442" s="97" t="s">
        <v>303</v>
      </c>
      <c r="AP442" s="97" t="s">
        <v>304</v>
      </c>
      <c r="AQ442" s="97" t="s">
        <v>303</v>
      </c>
      <c r="AR442" s="97" t="s">
        <v>673</v>
      </c>
      <c r="AS442" s="97" t="s">
        <v>540</v>
      </c>
      <c r="AT442" s="97" t="s">
        <v>334</v>
      </c>
      <c r="AU442" s="97" t="s">
        <v>342</v>
      </c>
      <c r="AV442" s="97" t="s">
        <v>297</v>
      </c>
      <c r="AW442" s="97" t="s">
        <v>324</v>
      </c>
      <c r="AX442" s="97" t="s">
        <v>341</v>
      </c>
      <c r="AY442" s="97" t="s">
        <v>449</v>
      </c>
    </row>
    <row r="443" spans="1:51" ht="259.2" x14ac:dyDescent="0.3">
      <c r="A443" s="97" t="s">
        <v>1935</v>
      </c>
      <c r="B443" s="97" t="s">
        <v>1845</v>
      </c>
      <c r="C443" s="97" t="s">
        <v>799</v>
      </c>
      <c r="D443" s="97" t="s">
        <v>331</v>
      </c>
      <c r="E443" s="97" t="s">
        <v>330</v>
      </c>
      <c r="F443" s="97" t="s">
        <v>317</v>
      </c>
      <c r="G443" s="97" t="s">
        <v>407</v>
      </c>
      <c r="H443" s="97" t="s">
        <v>5</v>
      </c>
      <c r="I443" s="97" t="s">
        <v>309</v>
      </c>
      <c r="J443" s="97" t="s">
        <v>955</v>
      </c>
      <c r="K443" s="97" t="s">
        <v>315</v>
      </c>
      <c r="L443" s="97" t="s">
        <v>657</v>
      </c>
      <c r="M443" s="97" t="s">
        <v>363</v>
      </c>
      <c r="N443" s="97" t="s">
        <v>327</v>
      </c>
      <c r="O443" s="97" t="s">
        <v>4</v>
      </c>
      <c r="P443" s="97" t="s">
        <v>327</v>
      </c>
      <c r="Q443" s="97" t="s">
        <v>670</v>
      </c>
      <c r="R443" s="97" t="s">
        <v>327</v>
      </c>
      <c r="S443" s="97" t="s">
        <v>746</v>
      </c>
      <c r="T443" s="97" t="s">
        <v>312</v>
      </c>
      <c r="U443" s="97" t="s">
        <v>347</v>
      </c>
      <c r="V443" s="97" t="s">
        <v>1081</v>
      </c>
      <c r="W443" s="97" t="s">
        <v>325</v>
      </c>
      <c r="X443" s="97" t="s">
        <v>352</v>
      </c>
      <c r="Y443" s="97" t="s">
        <v>316</v>
      </c>
      <c r="Z443" s="97" t="s">
        <v>316</v>
      </c>
      <c r="AA443" s="97" t="s">
        <v>410</v>
      </c>
      <c r="AB443" s="97" t="s">
        <v>308</v>
      </c>
      <c r="AC443" s="97" t="s">
        <v>351</v>
      </c>
      <c r="AD443" s="97" t="s">
        <v>357</v>
      </c>
      <c r="AE443" s="97" t="s">
        <v>545</v>
      </c>
      <c r="AF443" s="97" t="s">
        <v>887</v>
      </c>
      <c r="AG443" s="97" t="s">
        <v>304</v>
      </c>
      <c r="AH443" s="97" t="s">
        <v>304</v>
      </c>
      <c r="AI443" s="97" t="s">
        <v>305</v>
      </c>
      <c r="AJ443" s="97" t="s">
        <v>304</v>
      </c>
      <c r="AK443" s="97" t="s">
        <v>6</v>
      </c>
      <c r="AL443" s="97" t="s">
        <v>295</v>
      </c>
      <c r="AM443" s="97" t="s">
        <v>295</v>
      </c>
      <c r="AN443" s="97" t="s">
        <v>304</v>
      </c>
      <c r="AO443" s="97" t="s">
        <v>302</v>
      </c>
      <c r="AP443" s="97" t="s">
        <v>303</v>
      </c>
      <c r="AQ443" s="97" t="s">
        <v>304</v>
      </c>
      <c r="AR443" s="97" t="s">
        <v>673</v>
      </c>
      <c r="AS443" s="97" t="s">
        <v>489</v>
      </c>
      <c r="AT443" s="97" t="s">
        <v>355</v>
      </c>
      <c r="AU443" s="97" t="s">
        <v>342</v>
      </c>
      <c r="AV443" s="97" t="s">
        <v>333</v>
      </c>
      <c r="AW443" s="97" t="s">
        <v>324</v>
      </c>
      <c r="AX443" s="97" t="s">
        <v>319</v>
      </c>
      <c r="AY443" s="97" t="s">
        <v>1448</v>
      </c>
    </row>
    <row r="444" spans="1:51" ht="244.8" x14ac:dyDescent="0.3">
      <c r="A444" s="97" t="s">
        <v>1936</v>
      </c>
      <c r="B444" s="97" t="s">
        <v>1845</v>
      </c>
      <c r="C444" s="97" t="s">
        <v>799</v>
      </c>
      <c r="D444" s="97" t="s">
        <v>529</v>
      </c>
      <c r="E444" s="97" t="s">
        <v>330</v>
      </c>
      <c r="F444" s="97" t="s">
        <v>317</v>
      </c>
      <c r="G444" s="97" t="s">
        <v>423</v>
      </c>
      <c r="H444" s="97" t="s">
        <v>5</v>
      </c>
      <c r="I444" s="97" t="s">
        <v>345</v>
      </c>
      <c r="J444" s="97" t="s">
        <v>1063</v>
      </c>
      <c r="K444" s="97" t="s">
        <v>328</v>
      </c>
      <c r="L444" s="97" t="s">
        <v>657</v>
      </c>
      <c r="M444" s="97" t="s">
        <v>314</v>
      </c>
      <c r="N444" s="97" t="s">
        <v>4</v>
      </c>
      <c r="O444" s="97" t="s">
        <v>313</v>
      </c>
      <c r="P444" s="97" t="s">
        <v>313</v>
      </c>
      <c r="Q444" s="97" t="s">
        <v>704</v>
      </c>
      <c r="R444" s="97" t="s">
        <v>327</v>
      </c>
      <c r="S444" s="97" t="s">
        <v>1362</v>
      </c>
      <c r="T444" s="97" t="s">
        <v>366</v>
      </c>
      <c r="U444" s="97" t="s">
        <v>347</v>
      </c>
      <c r="V444" s="97" t="s">
        <v>1937</v>
      </c>
      <c r="W444" s="97" t="s">
        <v>370</v>
      </c>
      <c r="X444" s="97" t="s">
        <v>310</v>
      </c>
      <c r="Y444" s="97" t="s">
        <v>316</v>
      </c>
      <c r="Z444" s="97" t="s">
        <v>316</v>
      </c>
      <c r="AA444" s="97" t="s">
        <v>732</v>
      </c>
      <c r="AB444" s="97" t="s">
        <v>376</v>
      </c>
      <c r="AC444" s="97" t="s">
        <v>307</v>
      </c>
      <c r="AD444" s="97" t="s">
        <v>1062</v>
      </c>
      <c r="AE444" s="97" t="s">
        <v>533</v>
      </c>
      <c r="AF444" s="97" t="s">
        <v>1938</v>
      </c>
      <c r="AG444" s="97" t="s">
        <v>323</v>
      </c>
      <c r="AH444" s="97" t="s">
        <v>304</v>
      </c>
      <c r="AI444" s="97" t="s">
        <v>303</v>
      </c>
      <c r="AJ444" s="97" t="s">
        <v>303</v>
      </c>
      <c r="AK444" s="97" t="s">
        <v>305</v>
      </c>
      <c r="AL444" s="97" t="s">
        <v>303</v>
      </c>
      <c r="AM444" s="97" t="s">
        <v>304</v>
      </c>
      <c r="AN444" s="97" t="s">
        <v>303</v>
      </c>
      <c r="AO444" s="97" t="s">
        <v>302</v>
      </c>
      <c r="AP444" s="97" t="s">
        <v>302</v>
      </c>
      <c r="AQ444" s="97" t="s">
        <v>304</v>
      </c>
      <c r="AR444" s="97" t="s">
        <v>322</v>
      </c>
      <c r="AS444" s="97" t="s">
        <v>350</v>
      </c>
      <c r="AT444" s="97" t="s">
        <v>355</v>
      </c>
      <c r="AU444" s="97" t="s">
        <v>320</v>
      </c>
      <c r="AV444" s="97" t="s">
        <v>364</v>
      </c>
      <c r="AW444" s="97" t="s">
        <v>324</v>
      </c>
      <c r="AX444" s="97" t="s">
        <v>319</v>
      </c>
      <c r="AY444" s="97" t="s">
        <v>1939</v>
      </c>
    </row>
    <row r="445" spans="1:51" ht="216" x14ac:dyDescent="0.3">
      <c r="A445" s="97" t="s">
        <v>1940</v>
      </c>
      <c r="B445" s="97" t="s">
        <v>1845</v>
      </c>
      <c r="C445" s="97" t="s">
        <v>799</v>
      </c>
      <c r="D445" s="97" t="s">
        <v>529</v>
      </c>
      <c r="E445" s="97" t="s">
        <v>330</v>
      </c>
      <c r="F445" s="97" t="s">
        <v>317</v>
      </c>
      <c r="G445" s="97" t="s">
        <v>423</v>
      </c>
      <c r="H445" s="97" t="s">
        <v>5</v>
      </c>
      <c r="I445" s="97" t="s">
        <v>345</v>
      </c>
      <c r="J445" s="97" t="s">
        <v>1941</v>
      </c>
      <c r="K445" s="97" t="s">
        <v>315</v>
      </c>
      <c r="L445" s="97" t="s">
        <v>406</v>
      </c>
      <c r="M445" s="97" t="s">
        <v>314</v>
      </c>
      <c r="N445" s="97" t="s">
        <v>4</v>
      </c>
      <c r="O445" s="97" t="s">
        <v>313</v>
      </c>
      <c r="P445" s="97" t="s">
        <v>4</v>
      </c>
      <c r="Q445" s="97" t="s">
        <v>566</v>
      </c>
      <c r="R445" s="97" t="s">
        <v>327</v>
      </c>
      <c r="S445" s="97" t="s">
        <v>1112</v>
      </c>
      <c r="T445" s="97" t="s">
        <v>312</v>
      </c>
      <c r="U445" s="97" t="s">
        <v>347</v>
      </c>
      <c r="V445" s="97" t="s">
        <v>1942</v>
      </c>
      <c r="W445" s="97" t="s">
        <v>370</v>
      </c>
      <c r="X445" s="97" t="s">
        <v>310</v>
      </c>
      <c r="Y445" s="97" t="s">
        <v>345</v>
      </c>
      <c r="Z445" s="97" t="s">
        <v>316</v>
      </c>
      <c r="AA445" s="97" t="s">
        <v>732</v>
      </c>
      <c r="AB445" s="97" t="s">
        <v>376</v>
      </c>
      <c r="AC445" s="97" t="s">
        <v>296</v>
      </c>
      <c r="AD445" s="97" t="s">
        <v>1062</v>
      </c>
      <c r="AE445" s="97" t="s">
        <v>533</v>
      </c>
      <c r="AF445" s="97" t="s">
        <v>1070</v>
      </c>
      <c r="AG445" s="97" t="s">
        <v>304</v>
      </c>
      <c r="AH445" s="97" t="s">
        <v>303</v>
      </c>
      <c r="AI445" s="97" t="s">
        <v>304</v>
      </c>
      <c r="AJ445" s="97" t="s">
        <v>304</v>
      </c>
      <c r="AK445" s="97" t="s">
        <v>303</v>
      </c>
      <c r="AL445" s="97" t="s">
        <v>303</v>
      </c>
      <c r="AM445" s="97" t="s">
        <v>305</v>
      </c>
      <c r="AN445" s="97" t="s">
        <v>302</v>
      </c>
      <c r="AO445" s="97" t="s">
        <v>302</v>
      </c>
      <c r="AP445" s="97" t="s">
        <v>303</v>
      </c>
      <c r="AQ445" s="97" t="s">
        <v>303</v>
      </c>
      <c r="AR445" s="97" t="s">
        <v>322</v>
      </c>
      <c r="AS445" s="97" t="s">
        <v>540</v>
      </c>
      <c r="AT445" s="97" t="s">
        <v>355</v>
      </c>
      <c r="AU445" s="97" t="s">
        <v>320</v>
      </c>
      <c r="AV445" s="97" t="s">
        <v>536</v>
      </c>
      <c r="AW445" s="97" t="s">
        <v>307</v>
      </c>
      <c r="AX445" s="97" t="s">
        <v>319</v>
      </c>
      <c r="AY445" s="97" t="s">
        <v>441</v>
      </c>
    </row>
    <row r="446" spans="1:51" ht="115.2" x14ac:dyDescent="0.3">
      <c r="A446" s="97" t="s">
        <v>1943</v>
      </c>
      <c r="B446" s="97" t="s">
        <v>1845</v>
      </c>
      <c r="C446" s="97" t="s">
        <v>799</v>
      </c>
      <c r="D446" s="97" t="s">
        <v>331</v>
      </c>
      <c r="E446" s="97" t="s">
        <v>330</v>
      </c>
      <c r="F446" s="97" t="s">
        <v>317</v>
      </c>
      <c r="G446" s="97" t="s">
        <v>451</v>
      </c>
      <c r="H446" s="97" t="s">
        <v>5</v>
      </c>
      <c r="I446" s="97" t="s">
        <v>309</v>
      </c>
      <c r="J446" s="97" t="s">
        <v>970</v>
      </c>
      <c r="K446" s="97" t="s">
        <v>328</v>
      </c>
      <c r="L446" s="97" t="s">
        <v>951</v>
      </c>
      <c r="M446" s="97" t="s">
        <v>353</v>
      </c>
      <c r="N446" s="97" t="s">
        <v>4</v>
      </c>
      <c r="O446" s="97" t="s">
        <v>374</v>
      </c>
      <c r="P446" s="97" t="s">
        <v>313</v>
      </c>
      <c r="Q446" s="97" t="s">
        <v>417</v>
      </c>
      <c r="R446" s="97" t="s">
        <v>327</v>
      </c>
      <c r="S446" s="97" t="s">
        <v>1944</v>
      </c>
      <c r="T446" s="97" t="s">
        <v>326</v>
      </c>
      <c r="U446" s="97" t="s">
        <v>530</v>
      </c>
      <c r="V446" s="97" t="s">
        <v>582</v>
      </c>
      <c r="W446" s="97" t="s">
        <v>325</v>
      </c>
      <c r="X446" s="97" t="s">
        <v>352</v>
      </c>
      <c r="Y446" s="97" t="s">
        <v>316</v>
      </c>
      <c r="Z446" s="97" t="s">
        <v>316</v>
      </c>
      <c r="AA446" s="97" t="s">
        <v>691</v>
      </c>
      <c r="AB446" s="97" t="s">
        <v>336</v>
      </c>
      <c r="AC446" s="97" t="s">
        <v>307</v>
      </c>
      <c r="AD446" s="97" t="s">
        <v>642</v>
      </c>
      <c r="AE446" s="97" t="s">
        <v>545</v>
      </c>
      <c r="AF446" s="97" t="s">
        <v>455</v>
      </c>
      <c r="AG446" s="97" t="s">
        <v>304</v>
      </c>
      <c r="AH446" s="97" t="s">
        <v>305</v>
      </c>
      <c r="AI446" s="97" t="s">
        <v>304</v>
      </c>
      <c r="AJ446" s="97" t="s">
        <v>303</v>
      </c>
      <c r="AK446" s="97" t="s">
        <v>295</v>
      </c>
      <c r="AL446" s="97" t="s">
        <v>304</v>
      </c>
      <c r="AM446" s="97" t="s">
        <v>303</v>
      </c>
      <c r="AN446" s="97" t="s">
        <v>303</v>
      </c>
      <c r="AO446" s="97" t="s">
        <v>302</v>
      </c>
      <c r="AP446" s="97" t="s">
        <v>303</v>
      </c>
      <c r="AQ446" s="97" t="s">
        <v>303</v>
      </c>
      <c r="AR446" s="97" t="s">
        <v>378</v>
      </c>
      <c r="AS446" s="97" t="s">
        <v>540</v>
      </c>
      <c r="AT446" s="97" t="s">
        <v>355</v>
      </c>
      <c r="AU446" s="97" t="s">
        <v>342</v>
      </c>
      <c r="AV446" s="97" t="s">
        <v>333</v>
      </c>
      <c r="AW446" s="97" t="s">
        <v>324</v>
      </c>
      <c r="AX446" s="97" t="s">
        <v>319</v>
      </c>
      <c r="AY446" s="97" t="s">
        <v>425</v>
      </c>
    </row>
    <row r="447" spans="1:51" ht="129.6" x14ac:dyDescent="0.3">
      <c r="A447" s="97" t="s">
        <v>1945</v>
      </c>
      <c r="B447" s="97" t="s">
        <v>1845</v>
      </c>
      <c r="C447" s="97" t="s">
        <v>799</v>
      </c>
      <c r="D447" s="97" t="s">
        <v>529</v>
      </c>
      <c r="E447" s="97" t="s">
        <v>330</v>
      </c>
      <c r="F447" s="97" t="s">
        <v>317</v>
      </c>
      <c r="G447" s="97" t="s">
        <v>655</v>
      </c>
      <c r="H447" s="97" t="s">
        <v>5</v>
      </c>
      <c r="I447" s="97" t="s">
        <v>309</v>
      </c>
      <c r="J447" s="97" t="s">
        <v>1063</v>
      </c>
      <c r="K447" s="97" t="s">
        <v>328</v>
      </c>
      <c r="L447" s="97" t="s">
        <v>657</v>
      </c>
      <c r="M447" s="97" t="s">
        <v>314</v>
      </c>
      <c r="N447" s="97" t="s">
        <v>4</v>
      </c>
      <c r="O447" s="97" t="s">
        <v>4</v>
      </c>
      <c r="P447" s="97" t="s">
        <v>4</v>
      </c>
      <c r="Q447" s="97" t="s">
        <v>405</v>
      </c>
      <c r="R447" s="97" t="s">
        <v>327</v>
      </c>
      <c r="S447" s="97" t="s">
        <v>1946</v>
      </c>
      <c r="T447" s="97" t="s">
        <v>326</v>
      </c>
      <c r="U447" s="97" t="s">
        <v>311</v>
      </c>
      <c r="V447" s="97" t="s">
        <v>1085</v>
      </c>
      <c r="W447" s="97" t="s">
        <v>370</v>
      </c>
      <c r="X447" s="97" t="s">
        <v>352</v>
      </c>
      <c r="Y447" s="97" t="s">
        <v>345</v>
      </c>
      <c r="Z447" s="97" t="s">
        <v>316</v>
      </c>
      <c r="AA447" s="97" t="s">
        <v>732</v>
      </c>
      <c r="AB447" s="97" t="s">
        <v>393</v>
      </c>
      <c r="AC447" s="97" t="s">
        <v>307</v>
      </c>
      <c r="AD447" s="97" t="s">
        <v>1062</v>
      </c>
      <c r="AE447" s="97" t="s">
        <v>545</v>
      </c>
      <c r="AF447" s="97" t="s">
        <v>1174</v>
      </c>
      <c r="AG447" s="97" t="s">
        <v>323</v>
      </c>
      <c r="AH447" s="97" t="s">
        <v>304</v>
      </c>
      <c r="AI447" s="97" t="s">
        <v>303</v>
      </c>
      <c r="AJ447" s="97" t="s">
        <v>304</v>
      </c>
      <c r="AK447" s="97" t="s">
        <v>304</v>
      </c>
      <c r="AL447" s="97" t="s">
        <v>303</v>
      </c>
      <c r="AM447" s="97" t="s">
        <v>303</v>
      </c>
      <c r="AN447" s="97" t="s">
        <v>302</v>
      </c>
      <c r="AO447" s="97" t="s">
        <v>302</v>
      </c>
      <c r="AP447" s="97" t="s">
        <v>302</v>
      </c>
      <c r="AQ447" s="97" t="s">
        <v>302</v>
      </c>
      <c r="AR447" s="97" t="s">
        <v>365</v>
      </c>
      <c r="AS447" s="97" t="s">
        <v>398</v>
      </c>
      <c r="AT447" s="97" t="s">
        <v>355</v>
      </c>
      <c r="AU447" s="97" t="s">
        <v>320</v>
      </c>
      <c r="AV447" s="97" t="s">
        <v>536</v>
      </c>
      <c r="AW447" s="97" t="s">
        <v>307</v>
      </c>
      <c r="AX447" s="97" t="s">
        <v>319</v>
      </c>
      <c r="AY447" s="97" t="s">
        <v>356</v>
      </c>
    </row>
    <row r="448" spans="1:51" ht="187.2" x14ac:dyDescent="0.3">
      <c r="A448" s="97" t="s">
        <v>1947</v>
      </c>
      <c r="B448" s="97" t="s">
        <v>1845</v>
      </c>
      <c r="C448" s="97" t="s">
        <v>799</v>
      </c>
      <c r="D448" s="97" t="s">
        <v>331</v>
      </c>
      <c r="E448" s="97" t="s">
        <v>330</v>
      </c>
      <c r="F448" s="97" t="s">
        <v>317</v>
      </c>
      <c r="G448" s="97" t="s">
        <v>407</v>
      </c>
      <c r="H448" s="97" t="s">
        <v>5</v>
      </c>
      <c r="I448" s="97" t="s">
        <v>309</v>
      </c>
      <c r="J448" s="97" t="s">
        <v>836</v>
      </c>
      <c r="K448" s="97" t="s">
        <v>315</v>
      </c>
      <c r="L448" s="97" t="s">
        <v>657</v>
      </c>
      <c r="M448" s="97" t="s">
        <v>314</v>
      </c>
      <c r="N448" s="97" t="s">
        <v>327</v>
      </c>
      <c r="O448" s="97" t="s">
        <v>4</v>
      </c>
      <c r="P448" s="97" t="s">
        <v>313</v>
      </c>
      <c r="Q448" s="97" t="s">
        <v>1017</v>
      </c>
      <c r="R448" s="97" t="s">
        <v>327</v>
      </c>
      <c r="S448" s="97" t="s">
        <v>1704</v>
      </c>
      <c r="T448" s="97" t="s">
        <v>312</v>
      </c>
      <c r="U448" s="97" t="s">
        <v>311</v>
      </c>
      <c r="V448" s="97" t="s">
        <v>1757</v>
      </c>
      <c r="W448" s="97" t="s">
        <v>370</v>
      </c>
      <c r="X448" s="97" t="s">
        <v>310</v>
      </c>
      <c r="Z448" s="97" t="s">
        <v>316</v>
      </c>
      <c r="AA448" s="97" t="s">
        <v>395</v>
      </c>
      <c r="AB448" s="97" t="s">
        <v>376</v>
      </c>
      <c r="AC448" s="97" t="s">
        <v>307</v>
      </c>
      <c r="AD448" s="97" t="s">
        <v>1062</v>
      </c>
      <c r="AE448" s="97" t="s">
        <v>535</v>
      </c>
      <c r="AF448" s="97" t="s">
        <v>1026</v>
      </c>
      <c r="AG448" s="97" t="s">
        <v>323</v>
      </c>
      <c r="AH448" s="97" t="s">
        <v>303</v>
      </c>
      <c r="AI448" s="97" t="s">
        <v>303</v>
      </c>
      <c r="AJ448" s="97" t="s">
        <v>303</v>
      </c>
      <c r="AK448" s="97" t="s">
        <v>304</v>
      </c>
      <c r="AL448" s="97" t="s">
        <v>303</v>
      </c>
      <c r="AM448" s="97" t="s">
        <v>303</v>
      </c>
      <c r="AN448" s="97" t="s">
        <v>303</v>
      </c>
      <c r="AP448" s="97" t="s">
        <v>303</v>
      </c>
      <c r="AQ448" s="97" t="s">
        <v>303</v>
      </c>
      <c r="AR448" s="97" t="s">
        <v>322</v>
      </c>
      <c r="AS448" s="97" t="s">
        <v>300</v>
      </c>
      <c r="AT448" s="97" t="s">
        <v>355</v>
      </c>
      <c r="AU448" s="97" t="s">
        <v>342</v>
      </c>
      <c r="AV448" s="97" t="s">
        <v>364</v>
      </c>
      <c r="AW448" s="97" t="s">
        <v>324</v>
      </c>
      <c r="AX448" s="97" t="s">
        <v>319</v>
      </c>
      <c r="AY448" s="97" t="s">
        <v>499</v>
      </c>
    </row>
    <row r="449" spans="1:51" ht="244.8" x14ac:dyDescent="0.3">
      <c r="A449" s="97" t="s">
        <v>1948</v>
      </c>
      <c r="B449" s="97" t="s">
        <v>1845</v>
      </c>
      <c r="C449" s="97" t="s">
        <v>580</v>
      </c>
      <c r="D449" s="97" t="s">
        <v>529</v>
      </c>
      <c r="E449" s="97" t="s">
        <v>3</v>
      </c>
      <c r="F449" s="97" t="s">
        <v>317</v>
      </c>
      <c r="G449" s="97" t="s">
        <v>493</v>
      </c>
      <c r="H449" s="97" t="s">
        <v>5</v>
      </c>
      <c r="I449" s="97" t="s">
        <v>309</v>
      </c>
      <c r="J449" s="97" t="s">
        <v>445</v>
      </c>
      <c r="K449" s="97" t="s">
        <v>368</v>
      </c>
      <c r="L449" s="97" t="s">
        <v>1223</v>
      </c>
      <c r="M449" s="97" t="s">
        <v>314</v>
      </c>
      <c r="N449" s="97" t="s">
        <v>4</v>
      </c>
      <c r="O449" s="97" t="s">
        <v>374</v>
      </c>
      <c r="P449" s="97" t="s">
        <v>4</v>
      </c>
      <c r="Q449" s="97" t="s">
        <v>690</v>
      </c>
      <c r="R449" s="97" t="s">
        <v>4</v>
      </c>
      <c r="S449" s="97" t="s">
        <v>483</v>
      </c>
      <c r="T449" s="97" t="s">
        <v>312</v>
      </c>
      <c r="U449" s="97" t="s">
        <v>530</v>
      </c>
      <c r="V449" s="97" t="s">
        <v>415</v>
      </c>
      <c r="W449" s="97" t="s">
        <v>325</v>
      </c>
      <c r="X449" s="97" t="s">
        <v>352</v>
      </c>
      <c r="Y449" s="97" t="s">
        <v>316</v>
      </c>
      <c r="Z449" s="97" t="s">
        <v>316</v>
      </c>
      <c r="AA449" s="97" t="s">
        <v>705</v>
      </c>
      <c r="AB449" s="97" t="s">
        <v>389</v>
      </c>
      <c r="AC449" s="97" t="s">
        <v>381</v>
      </c>
      <c r="AD449" s="97" t="s">
        <v>388</v>
      </c>
      <c r="AE449" s="97" t="s">
        <v>532</v>
      </c>
      <c r="AF449" s="97" t="s">
        <v>1949</v>
      </c>
      <c r="AG449" s="97" t="s">
        <v>369</v>
      </c>
      <c r="AH449" s="97" t="s">
        <v>6</v>
      </c>
      <c r="AI449" s="97" t="s">
        <v>6</v>
      </c>
      <c r="AJ449" s="97" t="s">
        <v>6</v>
      </c>
      <c r="AK449" s="97" t="s">
        <v>305</v>
      </c>
      <c r="AL449" s="97" t="s">
        <v>6</v>
      </c>
      <c r="AM449" s="97" t="s">
        <v>302</v>
      </c>
      <c r="AN449" s="97" t="s">
        <v>295</v>
      </c>
      <c r="AO449" s="97" t="s">
        <v>6</v>
      </c>
      <c r="AP449" s="97" t="s">
        <v>304</v>
      </c>
      <c r="AQ449" s="97" t="s">
        <v>295</v>
      </c>
      <c r="AR449" s="97" t="s">
        <v>541</v>
      </c>
      <c r="AS449" s="97" t="s">
        <v>335</v>
      </c>
      <c r="AT449" s="97" t="s">
        <v>321</v>
      </c>
      <c r="AU449" s="97" t="s">
        <v>660</v>
      </c>
      <c r="AV449" s="97" t="s">
        <v>333</v>
      </c>
      <c r="AW449" s="97" t="s">
        <v>381</v>
      </c>
      <c r="AX449" s="97" t="s">
        <v>534</v>
      </c>
      <c r="AY449" s="97" t="s">
        <v>1950</v>
      </c>
    </row>
    <row r="450" spans="1:51" ht="374.4" x14ac:dyDescent="0.3">
      <c r="A450" s="97" t="s">
        <v>1951</v>
      </c>
      <c r="B450" s="97" t="s">
        <v>1845</v>
      </c>
      <c r="C450" s="97" t="s">
        <v>580</v>
      </c>
      <c r="D450" s="97" t="s">
        <v>529</v>
      </c>
      <c r="E450" s="97" t="s">
        <v>330</v>
      </c>
      <c r="F450" s="97" t="s">
        <v>317</v>
      </c>
      <c r="G450" s="97" t="s">
        <v>446</v>
      </c>
      <c r="H450" s="97" t="s">
        <v>5</v>
      </c>
      <c r="I450" s="97" t="s">
        <v>309</v>
      </c>
      <c r="J450" s="97" t="s">
        <v>1952</v>
      </c>
      <c r="K450" s="97" t="s">
        <v>315</v>
      </c>
      <c r="L450" s="97" t="s">
        <v>1953</v>
      </c>
      <c r="M450" s="97" t="s">
        <v>651</v>
      </c>
      <c r="N450" s="97" t="s">
        <v>327</v>
      </c>
      <c r="O450" s="97" t="s">
        <v>327</v>
      </c>
      <c r="P450" s="97" t="s">
        <v>327</v>
      </c>
      <c r="Q450" s="97" t="s">
        <v>734</v>
      </c>
      <c r="R450" s="97" t="s">
        <v>327</v>
      </c>
      <c r="S450" s="97" t="s">
        <v>500</v>
      </c>
      <c r="T450" s="97" t="s">
        <v>366</v>
      </c>
      <c r="U450" s="97" t="s">
        <v>311</v>
      </c>
      <c r="V450" s="97" t="s">
        <v>842</v>
      </c>
      <c r="W450" s="97" t="s">
        <v>325</v>
      </c>
      <c r="X450" s="97" t="s">
        <v>352</v>
      </c>
      <c r="Y450" s="97" t="s">
        <v>345</v>
      </c>
      <c r="Z450" s="97" t="s">
        <v>345</v>
      </c>
      <c r="AA450" s="97" t="s">
        <v>395</v>
      </c>
      <c r="AB450" s="97" t="s">
        <v>376</v>
      </c>
      <c r="AC450" s="97" t="s">
        <v>296</v>
      </c>
      <c r="AD450" s="97" t="s">
        <v>941</v>
      </c>
      <c r="AE450" s="97" t="s">
        <v>535</v>
      </c>
      <c r="AF450" s="97" t="s">
        <v>902</v>
      </c>
      <c r="AG450" s="97" t="s">
        <v>323</v>
      </c>
      <c r="AH450" s="97" t="s">
        <v>304</v>
      </c>
      <c r="AI450" s="97" t="s">
        <v>6</v>
      </c>
      <c r="AJ450" s="97" t="s">
        <v>304</v>
      </c>
      <c r="AK450" s="97" t="s">
        <v>304</v>
      </c>
      <c r="AL450" s="97" t="s">
        <v>303</v>
      </c>
      <c r="AM450" s="97" t="s">
        <v>303</v>
      </c>
      <c r="AN450" s="97" t="s">
        <v>303</v>
      </c>
      <c r="AO450" s="97" t="s">
        <v>302</v>
      </c>
      <c r="AP450" s="97" t="s">
        <v>302</v>
      </c>
      <c r="AQ450" s="97" t="s">
        <v>304</v>
      </c>
      <c r="AR450" s="97" t="s">
        <v>365</v>
      </c>
      <c r="AS450" s="97" t="s">
        <v>489</v>
      </c>
      <c r="AT450" s="97" t="s">
        <v>355</v>
      </c>
      <c r="AU450" s="97" t="s">
        <v>320</v>
      </c>
      <c r="AV450" s="97" t="s">
        <v>536</v>
      </c>
      <c r="AW450" s="97" t="s">
        <v>307</v>
      </c>
      <c r="AX450" s="97" t="s">
        <v>341</v>
      </c>
      <c r="AY450" s="97" t="s">
        <v>480</v>
      </c>
    </row>
    <row r="451" spans="1:51" ht="288" x14ac:dyDescent="0.3">
      <c r="A451" s="97" t="s">
        <v>1954</v>
      </c>
      <c r="B451" s="97" t="s">
        <v>1845</v>
      </c>
      <c r="C451" s="97" t="s">
        <v>580</v>
      </c>
      <c r="D451" s="97" t="s">
        <v>529</v>
      </c>
      <c r="E451" s="97" t="s">
        <v>3</v>
      </c>
      <c r="F451" s="97" t="s">
        <v>317</v>
      </c>
      <c r="G451" s="97" t="s">
        <v>493</v>
      </c>
      <c r="H451" s="97" t="s">
        <v>5</v>
      </c>
      <c r="I451" s="97" t="s">
        <v>309</v>
      </c>
      <c r="J451" s="97" t="s">
        <v>877</v>
      </c>
      <c r="K451" s="97" t="s">
        <v>384</v>
      </c>
      <c r="L451" s="97" t="s">
        <v>868</v>
      </c>
      <c r="M451" s="97" t="s">
        <v>353</v>
      </c>
      <c r="N451" s="97" t="s">
        <v>327</v>
      </c>
      <c r="O451" s="97" t="s">
        <v>327</v>
      </c>
      <c r="P451" s="97" t="s">
        <v>327</v>
      </c>
      <c r="Q451" s="97" t="s">
        <v>670</v>
      </c>
      <c r="R451" s="97" t="s">
        <v>327</v>
      </c>
      <c r="S451" s="97" t="s">
        <v>1897</v>
      </c>
      <c r="T451" s="97" t="s">
        <v>366</v>
      </c>
      <c r="U451" s="97" t="s">
        <v>347</v>
      </c>
      <c r="V451" s="97" t="s">
        <v>1688</v>
      </c>
      <c r="W451" s="97" t="s">
        <v>419</v>
      </c>
      <c r="X451" s="97" t="s">
        <v>310</v>
      </c>
      <c r="Y451" s="97" t="s">
        <v>316</v>
      </c>
      <c r="Z451" s="97" t="s">
        <v>316</v>
      </c>
      <c r="AA451" s="97" t="s">
        <v>653</v>
      </c>
      <c r="AB451" s="97" t="s">
        <v>389</v>
      </c>
      <c r="AC451" s="97" t="s">
        <v>307</v>
      </c>
      <c r="AD451" s="97" t="s">
        <v>388</v>
      </c>
      <c r="AE451" s="97" t="s">
        <v>532</v>
      </c>
      <c r="AF451" s="97" t="s">
        <v>1955</v>
      </c>
      <c r="AG451" s="97" t="s">
        <v>304</v>
      </c>
      <c r="AH451" s="97" t="s">
        <v>295</v>
      </c>
      <c r="AI451" s="97" t="s">
        <v>303</v>
      </c>
      <c r="AJ451" s="97" t="s">
        <v>303</v>
      </c>
      <c r="AL451" s="97" t="s">
        <v>304</v>
      </c>
      <c r="AM451" s="97" t="s">
        <v>302</v>
      </c>
      <c r="AN451" s="97" t="s">
        <v>305</v>
      </c>
      <c r="AO451" s="97" t="s">
        <v>302</v>
      </c>
      <c r="AP451" s="97" t="s">
        <v>304</v>
      </c>
      <c r="AQ451" s="97" t="s">
        <v>304</v>
      </c>
      <c r="AR451" s="97" t="s">
        <v>378</v>
      </c>
      <c r="AS451" s="97" t="s">
        <v>300</v>
      </c>
      <c r="AT451" s="97" t="s">
        <v>360</v>
      </c>
      <c r="AU451" s="97" t="s">
        <v>320</v>
      </c>
      <c r="AV451" s="97" t="s">
        <v>297</v>
      </c>
      <c r="AW451" s="97" t="s">
        <v>324</v>
      </c>
      <c r="AX451" s="97" t="s">
        <v>341</v>
      </c>
      <c r="AY451" s="97" t="s">
        <v>482</v>
      </c>
    </row>
    <row r="452" spans="1:51" ht="273.60000000000002" x14ac:dyDescent="0.3">
      <c r="A452" s="97" t="s">
        <v>1956</v>
      </c>
      <c r="B452" s="97" t="s">
        <v>1845</v>
      </c>
      <c r="C452" s="97" t="s">
        <v>580</v>
      </c>
      <c r="D452" s="97" t="s">
        <v>529</v>
      </c>
      <c r="E452" s="97" t="s">
        <v>330</v>
      </c>
      <c r="F452" s="97" t="s">
        <v>317</v>
      </c>
      <c r="G452" s="97" t="s">
        <v>340</v>
      </c>
      <c r="H452" s="97" t="s">
        <v>5</v>
      </c>
      <c r="I452" s="97" t="s">
        <v>316</v>
      </c>
      <c r="J452" s="97" t="s">
        <v>947</v>
      </c>
      <c r="K452" s="97" t="s">
        <v>328</v>
      </c>
      <c r="L452" s="97" t="s">
        <v>1957</v>
      </c>
      <c r="M452" s="97" t="s">
        <v>348</v>
      </c>
      <c r="N452" s="97" t="s">
        <v>4</v>
      </c>
      <c r="O452" s="97" t="s">
        <v>374</v>
      </c>
      <c r="P452" s="97" t="s">
        <v>313</v>
      </c>
      <c r="Q452" s="97" t="s">
        <v>1484</v>
      </c>
      <c r="R452" s="97" t="s">
        <v>327</v>
      </c>
      <c r="S452" s="97" t="s">
        <v>798</v>
      </c>
      <c r="T452" s="97" t="s">
        <v>312</v>
      </c>
      <c r="U452" s="97" t="s">
        <v>311</v>
      </c>
      <c r="V452" s="97" t="s">
        <v>428</v>
      </c>
      <c r="W452" s="97" t="s">
        <v>1192</v>
      </c>
      <c r="X452" s="97" t="s">
        <v>346</v>
      </c>
      <c r="Y452" s="97" t="s">
        <v>309</v>
      </c>
      <c r="Z452" s="97" t="s">
        <v>309</v>
      </c>
      <c r="AA452" s="97" t="s">
        <v>478</v>
      </c>
      <c r="AB452" s="97" t="s">
        <v>376</v>
      </c>
      <c r="AC452" s="97" t="s">
        <v>307</v>
      </c>
      <c r="AD452" s="97" t="s">
        <v>357</v>
      </c>
      <c r="AE452" s="97" t="s">
        <v>532</v>
      </c>
      <c r="AF452" s="97" t="s">
        <v>1958</v>
      </c>
      <c r="AG452" s="97" t="s">
        <v>369</v>
      </c>
      <c r="AH452" s="97" t="s">
        <v>302</v>
      </c>
      <c r="AI452" s="97" t="s">
        <v>302</v>
      </c>
      <c r="AJ452" s="97" t="s">
        <v>304</v>
      </c>
      <c r="AK452" s="97" t="s">
        <v>304</v>
      </c>
      <c r="AL452" s="97" t="s">
        <v>304</v>
      </c>
      <c r="AM452" s="97" t="s">
        <v>304</v>
      </c>
      <c r="AN452" s="97" t="s">
        <v>303</v>
      </c>
      <c r="AO452" s="97" t="s">
        <v>302</v>
      </c>
      <c r="AP452" s="97" t="s">
        <v>302</v>
      </c>
      <c r="AQ452" s="97" t="s">
        <v>304</v>
      </c>
      <c r="AR452" s="97" t="s">
        <v>541</v>
      </c>
      <c r="AS452" s="97" t="s">
        <v>300</v>
      </c>
      <c r="AT452" s="97" t="s">
        <v>355</v>
      </c>
      <c r="AU452" s="97" t="s">
        <v>342</v>
      </c>
      <c r="AV452" s="97" t="s">
        <v>333</v>
      </c>
      <c r="AW452" s="97" t="s">
        <v>381</v>
      </c>
      <c r="AX452" s="97" t="s">
        <v>341</v>
      </c>
      <c r="AY452" s="97" t="s">
        <v>1959</v>
      </c>
    </row>
    <row r="453" spans="1:51" ht="374.4" x14ac:dyDescent="0.3">
      <c r="A453" s="97" t="s">
        <v>1960</v>
      </c>
      <c r="B453" s="97" t="s">
        <v>1845</v>
      </c>
      <c r="C453" s="97" t="s">
        <v>580</v>
      </c>
      <c r="D453" s="97" t="s">
        <v>529</v>
      </c>
      <c r="E453" s="97" t="s">
        <v>330</v>
      </c>
      <c r="F453" s="97" t="s">
        <v>317</v>
      </c>
      <c r="G453" s="97" t="s">
        <v>446</v>
      </c>
      <c r="H453" s="97" t="s">
        <v>5</v>
      </c>
      <c r="I453" s="97" t="s">
        <v>309</v>
      </c>
      <c r="J453" s="97" t="s">
        <v>1140</v>
      </c>
      <c r="K453" s="97" t="s">
        <v>315</v>
      </c>
      <c r="L453" s="97" t="s">
        <v>406</v>
      </c>
      <c r="M453" s="97" t="s">
        <v>314</v>
      </c>
      <c r="N453" s="97" t="s">
        <v>327</v>
      </c>
      <c r="O453" s="97" t="s">
        <v>327</v>
      </c>
      <c r="P453" s="97" t="s">
        <v>327</v>
      </c>
      <c r="Q453" s="97" t="s">
        <v>1961</v>
      </c>
      <c r="R453" s="97" t="s">
        <v>327</v>
      </c>
      <c r="S453" s="97" t="s">
        <v>1514</v>
      </c>
      <c r="T453" s="97" t="s">
        <v>366</v>
      </c>
      <c r="U453" s="97" t="s">
        <v>311</v>
      </c>
      <c r="V453" s="97" t="s">
        <v>842</v>
      </c>
      <c r="W453" s="97" t="s">
        <v>325</v>
      </c>
      <c r="X453" s="97" t="s">
        <v>352</v>
      </c>
      <c r="Y453" s="97" t="s">
        <v>309</v>
      </c>
      <c r="Z453" s="97" t="s">
        <v>316</v>
      </c>
      <c r="AA453" s="97" t="s">
        <v>732</v>
      </c>
      <c r="AB453" s="97" t="s">
        <v>376</v>
      </c>
      <c r="AC453" s="97" t="s">
        <v>307</v>
      </c>
      <c r="AD453" s="97" t="s">
        <v>1962</v>
      </c>
      <c r="AE453" s="97" t="s">
        <v>533</v>
      </c>
      <c r="AF453" s="97" t="s">
        <v>740</v>
      </c>
      <c r="AG453" s="97" t="s">
        <v>323</v>
      </c>
      <c r="AH453" s="97" t="s">
        <v>303</v>
      </c>
      <c r="AI453" s="97" t="s">
        <v>303</v>
      </c>
      <c r="AJ453" s="97" t="s">
        <v>303</v>
      </c>
      <c r="AK453" s="97" t="s">
        <v>304</v>
      </c>
      <c r="AL453" s="97" t="s">
        <v>303</v>
      </c>
      <c r="AM453" s="97" t="s">
        <v>303</v>
      </c>
      <c r="AN453" s="97" t="s">
        <v>302</v>
      </c>
      <c r="AO453" s="97" t="s">
        <v>302</v>
      </c>
      <c r="AP453" s="97" t="s">
        <v>302</v>
      </c>
      <c r="AQ453" s="97" t="s">
        <v>303</v>
      </c>
      <c r="AR453" s="97" t="s">
        <v>301</v>
      </c>
      <c r="AS453" s="97" t="s">
        <v>350</v>
      </c>
      <c r="AT453" s="97" t="s">
        <v>355</v>
      </c>
      <c r="AU453" s="97" t="s">
        <v>320</v>
      </c>
      <c r="AV453" s="97" t="s">
        <v>547</v>
      </c>
      <c r="AW453" s="97" t="s">
        <v>296</v>
      </c>
      <c r="AX453" s="97" t="s">
        <v>319</v>
      </c>
      <c r="AY453" s="97" t="s">
        <v>482</v>
      </c>
    </row>
    <row r="454" spans="1:51" ht="216" x14ac:dyDescent="0.3">
      <c r="A454" s="97" t="s">
        <v>1963</v>
      </c>
      <c r="B454" s="97" t="s">
        <v>1845</v>
      </c>
      <c r="C454" s="97" t="s">
        <v>580</v>
      </c>
      <c r="D454" s="97" t="s">
        <v>529</v>
      </c>
      <c r="E454" s="97" t="s">
        <v>3</v>
      </c>
      <c r="F454" s="97" t="s">
        <v>317</v>
      </c>
      <c r="G454" s="97" t="s">
        <v>446</v>
      </c>
      <c r="H454" s="97" t="s">
        <v>5</v>
      </c>
      <c r="I454" s="97" t="s">
        <v>309</v>
      </c>
      <c r="J454" s="97" t="s">
        <v>1148</v>
      </c>
      <c r="K454" s="97" t="s">
        <v>315</v>
      </c>
      <c r="L454" s="97" t="s">
        <v>1964</v>
      </c>
      <c r="M454" s="97" t="s">
        <v>353</v>
      </c>
      <c r="N454" s="97" t="s">
        <v>327</v>
      </c>
      <c r="O454" s="97" t="s">
        <v>4</v>
      </c>
      <c r="P454" s="97" t="s">
        <v>4</v>
      </c>
      <c r="Q454" s="97" t="s">
        <v>422</v>
      </c>
      <c r="R454" s="97" t="s">
        <v>4</v>
      </c>
      <c r="S454" s="97" t="s">
        <v>1965</v>
      </c>
      <c r="T454" s="97" t="s">
        <v>312</v>
      </c>
      <c r="U454" s="97" t="s">
        <v>530</v>
      </c>
      <c r="V454" s="97" t="s">
        <v>1966</v>
      </c>
      <c r="W454" s="97" t="s">
        <v>325</v>
      </c>
      <c r="X454" s="97" t="s">
        <v>310</v>
      </c>
      <c r="Y454" s="97" t="s">
        <v>316</v>
      </c>
      <c r="Z454" s="97" t="s">
        <v>316</v>
      </c>
      <c r="AA454" s="97" t="s">
        <v>432</v>
      </c>
      <c r="AB454" s="97" t="s">
        <v>389</v>
      </c>
      <c r="AC454" s="97" t="s">
        <v>324</v>
      </c>
      <c r="AD454" s="97" t="s">
        <v>357</v>
      </c>
      <c r="AE454" s="97" t="s">
        <v>535</v>
      </c>
      <c r="AF454" s="97" t="s">
        <v>680</v>
      </c>
      <c r="AG454" s="97" t="s">
        <v>304</v>
      </c>
      <c r="AH454" s="97" t="s">
        <v>304</v>
      </c>
      <c r="AI454" s="97" t="s">
        <v>304</v>
      </c>
      <c r="AK454" s="97" t="s">
        <v>304</v>
      </c>
      <c r="AL454" s="97" t="s">
        <v>303</v>
      </c>
      <c r="AM454" s="97" t="s">
        <v>304</v>
      </c>
      <c r="AN454" s="97" t="s">
        <v>6</v>
      </c>
      <c r="AO454" s="97" t="s">
        <v>304</v>
      </c>
      <c r="AP454" s="97" t="s">
        <v>302</v>
      </c>
      <c r="AQ454" s="97" t="s">
        <v>303</v>
      </c>
      <c r="AR454" s="97" t="s">
        <v>343</v>
      </c>
      <c r="AS454" s="97" t="s">
        <v>540</v>
      </c>
      <c r="AT454" s="97" t="s">
        <v>360</v>
      </c>
      <c r="AU454" s="97" t="s">
        <v>342</v>
      </c>
      <c r="AV454" s="97" t="s">
        <v>392</v>
      </c>
      <c r="AW454" s="97" t="s">
        <v>307</v>
      </c>
      <c r="AX454" s="97" t="s">
        <v>375</v>
      </c>
      <c r="AY454" s="97" t="s">
        <v>1319</v>
      </c>
    </row>
    <row r="455" spans="1:51" ht="129.6" x14ac:dyDescent="0.3">
      <c r="A455" s="97" t="s">
        <v>1967</v>
      </c>
      <c r="B455" s="97" t="s">
        <v>1845</v>
      </c>
      <c r="C455" s="97" t="s">
        <v>580</v>
      </c>
      <c r="D455" s="97" t="s">
        <v>529</v>
      </c>
      <c r="E455" s="97" t="s">
        <v>330</v>
      </c>
      <c r="F455" s="97" t="s">
        <v>317</v>
      </c>
      <c r="G455" s="97" t="s">
        <v>435</v>
      </c>
      <c r="H455" s="97" t="s">
        <v>5</v>
      </c>
      <c r="I455" s="97" t="s">
        <v>309</v>
      </c>
      <c r="J455" s="97" t="s">
        <v>1968</v>
      </c>
      <c r="K455" s="97" t="s">
        <v>328</v>
      </c>
      <c r="L455" s="97" t="s">
        <v>1969</v>
      </c>
      <c r="M455" s="97" t="s">
        <v>314</v>
      </c>
      <c r="N455" s="97" t="s">
        <v>4</v>
      </c>
      <c r="O455" s="97" t="s">
        <v>4</v>
      </c>
      <c r="P455" s="97" t="s">
        <v>4</v>
      </c>
      <c r="Q455" s="97" t="s">
        <v>405</v>
      </c>
      <c r="R455" s="97" t="s">
        <v>4</v>
      </c>
      <c r="S455" s="97" t="s">
        <v>1289</v>
      </c>
      <c r="T455" s="97" t="s">
        <v>326</v>
      </c>
      <c r="U455" s="97" t="s">
        <v>530</v>
      </c>
      <c r="V455" s="97" t="s">
        <v>1022</v>
      </c>
      <c r="W455" s="97" t="s">
        <v>325</v>
      </c>
      <c r="X455" s="97" t="s">
        <v>352</v>
      </c>
      <c r="Y455" s="97" t="s">
        <v>316</v>
      </c>
      <c r="Z455" s="97" t="s">
        <v>316</v>
      </c>
      <c r="AA455" s="97" t="s">
        <v>432</v>
      </c>
      <c r="AB455" s="97" t="s">
        <v>336</v>
      </c>
      <c r="AC455" s="97" t="s">
        <v>351</v>
      </c>
      <c r="AD455" s="97" t="s">
        <v>1338</v>
      </c>
      <c r="AE455" s="97" t="s">
        <v>535</v>
      </c>
      <c r="AF455" s="97" t="s">
        <v>620</v>
      </c>
      <c r="AG455" s="97" t="s">
        <v>304</v>
      </c>
      <c r="AH455" s="97" t="s">
        <v>304</v>
      </c>
      <c r="AI455" s="97" t="s">
        <v>304</v>
      </c>
      <c r="AJ455" s="97" t="s">
        <v>304</v>
      </c>
      <c r="AK455" s="97" t="s">
        <v>305</v>
      </c>
      <c r="AL455" s="97" t="s">
        <v>304</v>
      </c>
      <c r="AM455" s="97" t="s">
        <v>304</v>
      </c>
      <c r="AN455" s="97" t="s">
        <v>304</v>
      </c>
      <c r="AO455" s="97" t="s">
        <v>304</v>
      </c>
      <c r="AP455" s="97" t="s">
        <v>303</v>
      </c>
      <c r="AQ455" s="97" t="s">
        <v>303</v>
      </c>
      <c r="AR455" s="97" t="s">
        <v>541</v>
      </c>
      <c r="AS455" s="97" t="s">
        <v>300</v>
      </c>
      <c r="AT455" s="97" t="s">
        <v>360</v>
      </c>
      <c r="AU455" s="97" t="s">
        <v>342</v>
      </c>
      <c r="AV455" s="97" t="s">
        <v>297</v>
      </c>
      <c r="AW455" s="97" t="s">
        <v>324</v>
      </c>
      <c r="AX455" s="97" t="s">
        <v>341</v>
      </c>
      <c r="AY455" s="97" t="s">
        <v>1496</v>
      </c>
    </row>
    <row r="456" spans="1:51" ht="115.2" x14ac:dyDescent="0.3">
      <c r="A456" s="97" t="s">
        <v>1970</v>
      </c>
      <c r="B456" s="97" t="s">
        <v>1845</v>
      </c>
      <c r="C456" s="97" t="s">
        <v>580</v>
      </c>
      <c r="D456" s="97" t="s">
        <v>529</v>
      </c>
      <c r="E456" s="97" t="s">
        <v>330</v>
      </c>
      <c r="F456" s="97" t="s">
        <v>317</v>
      </c>
      <c r="G456" s="97" t="s">
        <v>412</v>
      </c>
      <c r="H456" s="97" t="s">
        <v>5</v>
      </c>
      <c r="I456" s="97" t="s">
        <v>345</v>
      </c>
      <c r="J456" s="97" t="s">
        <v>947</v>
      </c>
      <c r="K456" s="97" t="s">
        <v>315</v>
      </c>
      <c r="L456" s="97" t="s">
        <v>704</v>
      </c>
      <c r="M456" s="97" t="s">
        <v>314</v>
      </c>
      <c r="N456" s="97" t="s">
        <v>4</v>
      </c>
      <c r="O456" s="97" t="s">
        <v>313</v>
      </c>
      <c r="P456" s="97" t="s">
        <v>374</v>
      </c>
      <c r="Q456" s="97" t="s">
        <v>471</v>
      </c>
      <c r="R456" s="97" t="s">
        <v>327</v>
      </c>
      <c r="S456" s="97" t="s">
        <v>1047</v>
      </c>
      <c r="T456" s="97" t="s">
        <v>366</v>
      </c>
      <c r="U456" s="97" t="s">
        <v>530</v>
      </c>
      <c r="V456" s="97" t="s">
        <v>371</v>
      </c>
      <c r="W456" s="97" t="s">
        <v>1278</v>
      </c>
      <c r="X456" s="97" t="s">
        <v>352</v>
      </c>
      <c r="Y456" s="97" t="s">
        <v>316</v>
      </c>
      <c r="Z456" s="97" t="s">
        <v>316</v>
      </c>
      <c r="AA456" s="97" t="s">
        <v>478</v>
      </c>
      <c r="AB456" s="97" t="s">
        <v>358</v>
      </c>
      <c r="AC456" s="97" t="s">
        <v>307</v>
      </c>
      <c r="AD456" s="97" t="s">
        <v>357</v>
      </c>
      <c r="AE456" s="97" t="s">
        <v>545</v>
      </c>
      <c r="AF456" s="97" t="s">
        <v>420</v>
      </c>
      <c r="AG456" s="97" t="s">
        <v>323</v>
      </c>
      <c r="AH456" s="97" t="s">
        <v>303</v>
      </c>
      <c r="AI456" s="97" t="s">
        <v>303</v>
      </c>
      <c r="AJ456" s="97" t="s">
        <v>303</v>
      </c>
      <c r="AK456" s="97" t="s">
        <v>305</v>
      </c>
      <c r="AL456" s="97" t="s">
        <v>295</v>
      </c>
      <c r="AM456" s="97" t="s">
        <v>305</v>
      </c>
      <c r="AN456" s="97" t="s">
        <v>305</v>
      </c>
      <c r="AO456" s="97" t="s">
        <v>303</v>
      </c>
      <c r="AP456" s="97" t="s">
        <v>303</v>
      </c>
      <c r="AQ456" s="97" t="s">
        <v>304</v>
      </c>
      <c r="AR456" s="97" t="s">
        <v>301</v>
      </c>
      <c r="AS456" s="97" t="s">
        <v>350</v>
      </c>
      <c r="AT456" s="97" t="s">
        <v>355</v>
      </c>
      <c r="AU456" s="97" t="s">
        <v>342</v>
      </c>
      <c r="AV456" s="97" t="s">
        <v>364</v>
      </c>
      <c r="AW456" s="97" t="s">
        <v>307</v>
      </c>
      <c r="AX456" s="97" t="s">
        <v>534</v>
      </c>
      <c r="AY456" s="97" t="s">
        <v>491</v>
      </c>
    </row>
    <row r="457" spans="1:51" ht="100.8" x14ac:dyDescent="0.3">
      <c r="A457" s="97" t="s">
        <v>1971</v>
      </c>
      <c r="B457" s="97" t="s">
        <v>1845</v>
      </c>
      <c r="C457" s="97" t="s">
        <v>580</v>
      </c>
      <c r="D457" s="97" t="s">
        <v>529</v>
      </c>
      <c r="E457" s="97" t="s">
        <v>3</v>
      </c>
      <c r="F457" s="97" t="s">
        <v>317</v>
      </c>
      <c r="G457" s="97" t="s">
        <v>451</v>
      </c>
      <c r="H457" s="97" t="s">
        <v>823</v>
      </c>
      <c r="I457" s="97" t="s">
        <v>309</v>
      </c>
      <c r="J457" s="97" t="s">
        <v>833</v>
      </c>
      <c r="K457" s="97" t="s">
        <v>359</v>
      </c>
      <c r="L457" s="97" t="s">
        <v>1972</v>
      </c>
      <c r="M457" s="97" t="s">
        <v>363</v>
      </c>
      <c r="N457" s="97" t="s">
        <v>4</v>
      </c>
      <c r="O457" s="97" t="s">
        <v>313</v>
      </c>
      <c r="P457" s="97" t="s">
        <v>313</v>
      </c>
      <c r="Q457" s="97" t="s">
        <v>411</v>
      </c>
      <c r="R457" s="97" t="s">
        <v>313</v>
      </c>
      <c r="S457" s="97" t="s">
        <v>394</v>
      </c>
      <c r="T457" s="97" t="s">
        <v>312</v>
      </c>
      <c r="U457" s="97" t="s">
        <v>530</v>
      </c>
      <c r="V457" s="97" t="s">
        <v>339</v>
      </c>
      <c r="W457" s="97" t="s">
        <v>325</v>
      </c>
      <c r="X457" s="97" t="s">
        <v>310</v>
      </c>
      <c r="Y457" s="97" t="s">
        <v>316</v>
      </c>
      <c r="Z457" s="97" t="s">
        <v>316</v>
      </c>
      <c r="AA457" s="97" t="s">
        <v>1973</v>
      </c>
      <c r="AB457" s="97" t="s">
        <v>389</v>
      </c>
      <c r="AC457" s="97" t="s">
        <v>324</v>
      </c>
      <c r="AD457" s="97" t="s">
        <v>448</v>
      </c>
      <c r="AE457" s="97" t="s">
        <v>542</v>
      </c>
      <c r="AF457" s="97" t="s">
        <v>466</v>
      </c>
      <c r="AG457" s="97" t="s">
        <v>304</v>
      </c>
      <c r="AH457" s="97" t="s">
        <v>305</v>
      </c>
      <c r="AI457" s="97" t="s">
        <v>305</v>
      </c>
      <c r="AJ457" s="97" t="s">
        <v>303</v>
      </c>
      <c r="AK457" s="97" t="s">
        <v>305</v>
      </c>
      <c r="AL457" s="97" t="s">
        <v>305</v>
      </c>
      <c r="AM457" s="97" t="s">
        <v>305</v>
      </c>
      <c r="AN457" s="97" t="s">
        <v>304</v>
      </c>
      <c r="AO457" s="97" t="s">
        <v>303</v>
      </c>
      <c r="AP457" s="97" t="s">
        <v>303</v>
      </c>
      <c r="AQ457" s="97" t="s">
        <v>304</v>
      </c>
      <c r="AR457" s="97" t="s">
        <v>343</v>
      </c>
      <c r="AS457" s="97" t="s">
        <v>300</v>
      </c>
      <c r="AT457" s="97" t="s">
        <v>360</v>
      </c>
      <c r="AU457" s="97" t="s">
        <v>342</v>
      </c>
      <c r="AV457" s="97" t="s">
        <v>392</v>
      </c>
      <c r="AW457" s="97" t="s">
        <v>324</v>
      </c>
      <c r="AX457" s="97" t="s">
        <v>341</v>
      </c>
      <c r="AY457" s="97" t="s">
        <v>418</v>
      </c>
    </row>
    <row r="458" spans="1:51" ht="201.6" x14ac:dyDescent="0.3">
      <c r="A458" s="97" t="s">
        <v>1974</v>
      </c>
      <c r="B458" s="97" t="s">
        <v>1845</v>
      </c>
      <c r="C458" s="97" t="s">
        <v>580</v>
      </c>
      <c r="D458" s="97" t="s">
        <v>560</v>
      </c>
      <c r="E458" s="97" t="s">
        <v>330</v>
      </c>
      <c r="F458" s="97" t="s">
        <v>317</v>
      </c>
      <c r="G458" s="97" t="s">
        <v>407</v>
      </c>
      <c r="H458" s="97" t="s">
        <v>823</v>
      </c>
      <c r="I458" s="97" t="s">
        <v>345</v>
      </c>
      <c r="J458" s="97" t="s">
        <v>692</v>
      </c>
      <c r="K458" s="97" t="s">
        <v>328</v>
      </c>
      <c r="L458" s="97" t="s">
        <v>1115</v>
      </c>
      <c r="M458" s="97" t="s">
        <v>367</v>
      </c>
      <c r="N458" s="97" t="s">
        <v>374</v>
      </c>
      <c r="O458" s="97" t="s">
        <v>4</v>
      </c>
      <c r="P458" s="97" t="s">
        <v>313</v>
      </c>
      <c r="Q458" s="97" t="s">
        <v>468</v>
      </c>
      <c r="R458" s="97" t="s">
        <v>313</v>
      </c>
      <c r="S458" s="97" t="s">
        <v>720</v>
      </c>
      <c r="T458" s="97" t="s">
        <v>366</v>
      </c>
      <c r="U458" s="97" t="s">
        <v>530</v>
      </c>
      <c r="V458" s="97" t="s">
        <v>551</v>
      </c>
      <c r="W458" s="97" t="s">
        <v>1278</v>
      </c>
      <c r="X458" s="97" t="s">
        <v>352</v>
      </c>
      <c r="Y458" s="97" t="s">
        <v>316</v>
      </c>
      <c r="Z458" s="97" t="s">
        <v>316</v>
      </c>
      <c r="AA458" s="97" t="s">
        <v>408</v>
      </c>
      <c r="AB458" s="97" t="s">
        <v>358</v>
      </c>
      <c r="AC458" s="97" t="s">
        <v>324</v>
      </c>
      <c r="AD458" s="97" t="s">
        <v>448</v>
      </c>
      <c r="AE458" s="97" t="s">
        <v>533</v>
      </c>
      <c r="AF458" s="97" t="s">
        <v>1975</v>
      </c>
      <c r="AG458" s="97" t="s">
        <v>304</v>
      </c>
      <c r="AH458" s="97" t="s">
        <v>304</v>
      </c>
      <c r="AI458" s="97" t="s">
        <v>303</v>
      </c>
      <c r="AJ458" s="97" t="s">
        <v>305</v>
      </c>
      <c r="AK458" s="97" t="s">
        <v>295</v>
      </c>
      <c r="AL458" s="97" t="s">
        <v>304</v>
      </c>
      <c r="AM458" s="97" t="s">
        <v>303</v>
      </c>
      <c r="AN458" s="97" t="s">
        <v>304</v>
      </c>
      <c r="AO458" s="97" t="s">
        <v>302</v>
      </c>
      <c r="AP458" s="97" t="s">
        <v>303</v>
      </c>
      <c r="AQ458" s="97" t="s">
        <v>303</v>
      </c>
      <c r="AR458" s="97" t="s">
        <v>343</v>
      </c>
      <c r="AS458" s="97" t="s">
        <v>335</v>
      </c>
      <c r="AT458" s="97" t="s">
        <v>360</v>
      </c>
      <c r="AU458" s="97" t="s">
        <v>320</v>
      </c>
      <c r="AV458" s="97" t="s">
        <v>297</v>
      </c>
      <c r="AW458" s="97" t="s">
        <v>324</v>
      </c>
      <c r="AX458" s="97" t="s">
        <v>341</v>
      </c>
      <c r="AY458" s="97" t="s">
        <v>1030</v>
      </c>
    </row>
    <row r="459" spans="1:51" ht="100.8" x14ac:dyDescent="0.3">
      <c r="A459" s="97" t="s">
        <v>1976</v>
      </c>
      <c r="B459" s="97" t="s">
        <v>1845</v>
      </c>
      <c r="C459" s="97" t="s">
        <v>580</v>
      </c>
      <c r="D459" s="97" t="s">
        <v>529</v>
      </c>
      <c r="E459" s="97" t="s">
        <v>3</v>
      </c>
      <c r="F459" s="97" t="s">
        <v>317</v>
      </c>
      <c r="G459" s="97" t="s">
        <v>493</v>
      </c>
      <c r="H459" s="97" t="s">
        <v>5</v>
      </c>
      <c r="I459" s="97" t="s">
        <v>309</v>
      </c>
      <c r="J459" s="97" t="s">
        <v>1977</v>
      </c>
      <c r="K459" s="97" t="s">
        <v>354</v>
      </c>
      <c r="L459" s="97" t="s">
        <v>1096</v>
      </c>
      <c r="M459" s="97" t="s">
        <v>353</v>
      </c>
      <c r="N459" s="97" t="s">
        <v>4</v>
      </c>
      <c r="O459" s="97" t="s">
        <v>313</v>
      </c>
      <c r="P459" s="97" t="s">
        <v>313</v>
      </c>
      <c r="Q459" s="97" t="s">
        <v>1978</v>
      </c>
      <c r="R459" s="97" t="s">
        <v>327</v>
      </c>
      <c r="S459" s="97" t="s">
        <v>714</v>
      </c>
      <c r="T459" s="97" t="s">
        <v>312</v>
      </c>
      <c r="U459" s="97" t="s">
        <v>530</v>
      </c>
      <c r="V459" s="97" t="s">
        <v>382</v>
      </c>
      <c r="W459" s="97" t="s">
        <v>338</v>
      </c>
      <c r="X459" s="97" t="s">
        <v>352</v>
      </c>
      <c r="Y459" s="97" t="s">
        <v>316</v>
      </c>
      <c r="Z459" s="97" t="s">
        <v>316</v>
      </c>
      <c r="AA459" s="97" t="s">
        <v>410</v>
      </c>
      <c r="AB459" s="97" t="s">
        <v>358</v>
      </c>
      <c r="AC459" s="97" t="s">
        <v>351</v>
      </c>
      <c r="AD459" s="97" t="s">
        <v>448</v>
      </c>
      <c r="AE459" s="97" t="s">
        <v>532</v>
      </c>
      <c r="AF459" s="97" t="s">
        <v>476</v>
      </c>
      <c r="AG459" s="97" t="s">
        <v>323</v>
      </c>
      <c r="AH459" s="97" t="s">
        <v>303</v>
      </c>
      <c r="AI459" s="97" t="s">
        <v>303</v>
      </c>
      <c r="AJ459" s="97" t="s">
        <v>303</v>
      </c>
      <c r="AK459" s="97" t="s">
        <v>295</v>
      </c>
      <c r="AL459" s="97" t="s">
        <v>305</v>
      </c>
      <c r="AM459" s="97" t="s">
        <v>303</v>
      </c>
      <c r="AN459" s="97" t="s">
        <v>304</v>
      </c>
      <c r="AO459" s="97" t="s">
        <v>302</v>
      </c>
      <c r="AP459" s="97" t="s">
        <v>303</v>
      </c>
      <c r="AQ459" s="97" t="s">
        <v>303</v>
      </c>
      <c r="AR459" s="97" t="s">
        <v>558</v>
      </c>
      <c r="AS459" s="97" t="s">
        <v>350</v>
      </c>
      <c r="AT459" s="97" t="s">
        <v>321</v>
      </c>
      <c r="AU459" s="97" t="s">
        <v>342</v>
      </c>
      <c r="AV459" s="97" t="s">
        <v>536</v>
      </c>
      <c r="AW459" s="97" t="s">
        <v>324</v>
      </c>
      <c r="AX459" s="97" t="s">
        <v>341</v>
      </c>
      <c r="AY459" s="97" t="s">
        <v>710</v>
      </c>
    </row>
    <row r="460" spans="1:51" ht="230.4" x14ac:dyDescent="0.3">
      <c r="A460" s="97" t="s">
        <v>1979</v>
      </c>
      <c r="B460" s="97" t="s">
        <v>1845</v>
      </c>
      <c r="C460" s="97" t="s">
        <v>580</v>
      </c>
      <c r="D460" s="97" t="s">
        <v>529</v>
      </c>
      <c r="E460" s="97" t="s">
        <v>330</v>
      </c>
      <c r="F460" s="97" t="s">
        <v>317</v>
      </c>
      <c r="G460" s="97" t="s">
        <v>497</v>
      </c>
      <c r="H460" s="97" t="s">
        <v>564</v>
      </c>
      <c r="I460" s="97" t="s">
        <v>309</v>
      </c>
      <c r="J460" s="97" t="s">
        <v>1295</v>
      </c>
      <c r="K460" s="97" t="s">
        <v>315</v>
      </c>
      <c r="L460" s="97" t="s">
        <v>731</v>
      </c>
      <c r="M460" s="97" t="s">
        <v>314</v>
      </c>
      <c r="N460" s="97" t="s">
        <v>327</v>
      </c>
      <c r="O460" s="97" t="s">
        <v>327</v>
      </c>
      <c r="P460" s="97" t="s">
        <v>327</v>
      </c>
      <c r="Q460" s="97" t="s">
        <v>411</v>
      </c>
      <c r="R460" s="97" t="s">
        <v>327</v>
      </c>
      <c r="S460" s="97" t="s">
        <v>1466</v>
      </c>
      <c r="T460" s="97" t="s">
        <v>366</v>
      </c>
      <c r="U460" s="97" t="s">
        <v>311</v>
      </c>
      <c r="V460" s="97" t="s">
        <v>973</v>
      </c>
      <c r="W460" s="97" t="s">
        <v>325</v>
      </c>
      <c r="X460" s="97" t="s">
        <v>352</v>
      </c>
      <c r="Y460" s="97" t="s">
        <v>309</v>
      </c>
      <c r="Z460" s="97" t="s">
        <v>309</v>
      </c>
      <c r="AA460" s="97" t="s">
        <v>490</v>
      </c>
      <c r="AB460" s="97" t="s">
        <v>308</v>
      </c>
      <c r="AC460" s="97" t="s">
        <v>296</v>
      </c>
      <c r="AD460" s="97" t="s">
        <v>401</v>
      </c>
      <c r="AE460" s="97" t="s">
        <v>542</v>
      </c>
      <c r="AF460" s="97" t="s">
        <v>403</v>
      </c>
      <c r="AG460" s="97" t="s">
        <v>323</v>
      </c>
      <c r="AH460" s="97" t="s">
        <v>304</v>
      </c>
      <c r="AI460" s="97" t="s">
        <v>304</v>
      </c>
      <c r="AJ460" s="97" t="s">
        <v>303</v>
      </c>
      <c r="AK460" s="97" t="s">
        <v>303</v>
      </c>
      <c r="AL460" s="97" t="s">
        <v>303</v>
      </c>
      <c r="AM460" s="97" t="s">
        <v>303</v>
      </c>
      <c r="AN460" s="97" t="s">
        <v>302</v>
      </c>
      <c r="AO460" s="97" t="s">
        <v>302</v>
      </c>
      <c r="AP460" s="97" t="s">
        <v>302</v>
      </c>
      <c r="AQ460" s="97" t="s">
        <v>303</v>
      </c>
      <c r="AR460" s="97" t="s">
        <v>343</v>
      </c>
      <c r="AS460" s="97" t="s">
        <v>350</v>
      </c>
      <c r="AT460" s="97" t="s">
        <v>355</v>
      </c>
      <c r="AU460" s="97" t="s">
        <v>320</v>
      </c>
      <c r="AV460" s="97" t="s">
        <v>536</v>
      </c>
      <c r="AW460" s="97" t="s">
        <v>307</v>
      </c>
      <c r="AX460" s="97" t="s">
        <v>319</v>
      </c>
      <c r="AY460" s="97" t="s">
        <v>482</v>
      </c>
    </row>
    <row r="461" spans="1:51" ht="230.4" x14ac:dyDescent="0.3">
      <c r="A461" s="97" t="s">
        <v>1980</v>
      </c>
      <c r="B461" s="97" t="s">
        <v>1845</v>
      </c>
      <c r="C461" s="97" t="s">
        <v>580</v>
      </c>
      <c r="D461" s="97" t="s">
        <v>529</v>
      </c>
      <c r="E461" s="97" t="s">
        <v>330</v>
      </c>
      <c r="G461" s="97" t="s">
        <v>407</v>
      </c>
      <c r="H461" s="97" t="s">
        <v>5</v>
      </c>
      <c r="I461" s="97" t="s">
        <v>309</v>
      </c>
      <c r="J461" s="97" t="s">
        <v>1303</v>
      </c>
      <c r="K461" s="97" t="s">
        <v>368</v>
      </c>
      <c r="L461" s="97" t="s">
        <v>450</v>
      </c>
      <c r="M461" s="97" t="s">
        <v>314</v>
      </c>
      <c r="N461" s="97" t="s">
        <v>327</v>
      </c>
      <c r="O461" s="97" t="s">
        <v>327</v>
      </c>
      <c r="P461" s="97" t="s">
        <v>327</v>
      </c>
      <c r="Q461" s="97" t="s">
        <v>405</v>
      </c>
      <c r="R461" s="97" t="s">
        <v>327</v>
      </c>
      <c r="S461" s="97" t="s">
        <v>1735</v>
      </c>
      <c r="T461" s="97" t="s">
        <v>366</v>
      </c>
      <c r="U461" s="97" t="s">
        <v>347</v>
      </c>
      <c r="V461" s="97" t="s">
        <v>1014</v>
      </c>
      <c r="W461" s="97" t="s">
        <v>338</v>
      </c>
      <c r="X461" s="97" t="s">
        <v>310</v>
      </c>
      <c r="Y461" s="97" t="s">
        <v>345</v>
      </c>
      <c r="Z461" s="97" t="s">
        <v>345</v>
      </c>
      <c r="AA461" s="97" t="s">
        <v>472</v>
      </c>
      <c r="AB461" s="97" t="s">
        <v>308</v>
      </c>
      <c r="AC461" s="97" t="s">
        <v>307</v>
      </c>
      <c r="AD461" s="97" t="s">
        <v>426</v>
      </c>
      <c r="AE461" s="97" t="s">
        <v>533</v>
      </c>
      <c r="AF461" s="97" t="s">
        <v>876</v>
      </c>
      <c r="AG461" s="97" t="s">
        <v>306</v>
      </c>
      <c r="AH461" s="97" t="s">
        <v>302</v>
      </c>
      <c r="AI461" s="97" t="s">
        <v>302</v>
      </c>
      <c r="AJ461" s="97" t="s">
        <v>304</v>
      </c>
      <c r="AK461" s="97" t="s">
        <v>303</v>
      </c>
      <c r="AL461" s="97" t="s">
        <v>302</v>
      </c>
      <c r="AM461" s="97" t="s">
        <v>302</v>
      </c>
      <c r="AN461" s="97" t="s">
        <v>302</v>
      </c>
      <c r="AO461" s="97" t="s">
        <v>302</v>
      </c>
      <c r="AP461" s="97" t="s">
        <v>302</v>
      </c>
      <c r="AQ461" s="97" t="s">
        <v>302</v>
      </c>
      <c r="AR461" s="97" t="s">
        <v>301</v>
      </c>
      <c r="AS461" s="97" t="s">
        <v>350</v>
      </c>
      <c r="AT461" s="97" t="s">
        <v>321</v>
      </c>
      <c r="AU461" s="97" t="s">
        <v>342</v>
      </c>
      <c r="AV461" s="97" t="s">
        <v>364</v>
      </c>
      <c r="AW461" s="97" t="s">
        <v>307</v>
      </c>
      <c r="AX461" s="97" t="s">
        <v>319</v>
      </c>
      <c r="AY461" s="97" t="s">
        <v>1981</v>
      </c>
    </row>
    <row r="462" spans="1:51" ht="158.4" x14ac:dyDescent="0.3">
      <c r="A462" s="97" t="s">
        <v>1980</v>
      </c>
      <c r="B462" s="97" t="s">
        <v>1845</v>
      </c>
      <c r="C462" s="97" t="s">
        <v>580</v>
      </c>
      <c r="D462" s="97" t="s">
        <v>529</v>
      </c>
      <c r="E462" s="97" t="s">
        <v>330</v>
      </c>
      <c r="F462" s="97" t="s">
        <v>317</v>
      </c>
      <c r="G462" s="97" t="s">
        <v>407</v>
      </c>
      <c r="H462" s="97" t="s">
        <v>5</v>
      </c>
      <c r="I462" s="97" t="s">
        <v>309</v>
      </c>
      <c r="J462" s="97" t="s">
        <v>955</v>
      </c>
      <c r="K462" s="97" t="s">
        <v>354</v>
      </c>
      <c r="L462" s="97" t="s">
        <v>450</v>
      </c>
      <c r="M462" s="97" t="s">
        <v>314</v>
      </c>
      <c r="N462" s="97" t="s">
        <v>327</v>
      </c>
      <c r="O462" s="97" t="s">
        <v>327</v>
      </c>
      <c r="P462" s="97" t="s">
        <v>327</v>
      </c>
      <c r="Q462" s="97" t="s">
        <v>405</v>
      </c>
      <c r="R462" s="97" t="s">
        <v>327</v>
      </c>
      <c r="S462" s="97" t="s">
        <v>1735</v>
      </c>
      <c r="T462" s="97" t="s">
        <v>366</v>
      </c>
      <c r="U462" s="97" t="s">
        <v>347</v>
      </c>
      <c r="V462" s="97" t="s">
        <v>797</v>
      </c>
      <c r="W462" s="97" t="s">
        <v>1192</v>
      </c>
      <c r="X462" s="97" t="s">
        <v>310</v>
      </c>
      <c r="Y462" s="97" t="s">
        <v>345</v>
      </c>
      <c r="Z462" s="97" t="s">
        <v>345</v>
      </c>
      <c r="AA462" s="97" t="s">
        <v>410</v>
      </c>
      <c r="AB462" s="97" t="s">
        <v>308</v>
      </c>
      <c r="AC462" s="97" t="s">
        <v>307</v>
      </c>
      <c r="AD462" s="97" t="s">
        <v>426</v>
      </c>
      <c r="AE462" s="97" t="s">
        <v>533</v>
      </c>
      <c r="AF462" s="97" t="s">
        <v>876</v>
      </c>
      <c r="AG462" s="97" t="s">
        <v>306</v>
      </c>
      <c r="AH462" s="97" t="s">
        <v>302</v>
      </c>
      <c r="AI462" s="97" t="s">
        <v>302</v>
      </c>
      <c r="AJ462" s="97" t="s">
        <v>302</v>
      </c>
      <c r="AK462" s="97" t="s">
        <v>304</v>
      </c>
      <c r="AL462" s="97" t="s">
        <v>302</v>
      </c>
      <c r="AM462" s="97" t="s">
        <v>302</v>
      </c>
      <c r="AN462" s="97" t="s">
        <v>302</v>
      </c>
      <c r="AO462" s="97" t="s">
        <v>302</v>
      </c>
      <c r="AP462" s="97" t="s">
        <v>302</v>
      </c>
      <c r="AQ462" s="97" t="s">
        <v>302</v>
      </c>
      <c r="AR462" s="97" t="s">
        <v>301</v>
      </c>
      <c r="AS462" s="97" t="s">
        <v>350</v>
      </c>
      <c r="AT462" s="97" t="s">
        <v>321</v>
      </c>
      <c r="AU462" s="97" t="s">
        <v>342</v>
      </c>
      <c r="AV462" s="97" t="s">
        <v>364</v>
      </c>
      <c r="AW462" s="97" t="s">
        <v>307</v>
      </c>
      <c r="AX462" s="97" t="s">
        <v>319</v>
      </c>
      <c r="AY462" s="97" t="s">
        <v>1982</v>
      </c>
    </row>
    <row r="463" spans="1:51" ht="259.2" x14ac:dyDescent="0.3">
      <c r="A463" s="97" t="s">
        <v>1983</v>
      </c>
      <c r="B463" s="97" t="s">
        <v>1845</v>
      </c>
      <c r="C463" s="97" t="s">
        <v>580</v>
      </c>
      <c r="D463" s="97" t="s">
        <v>529</v>
      </c>
      <c r="E463" s="97" t="s">
        <v>330</v>
      </c>
      <c r="F463" s="97" t="s">
        <v>317</v>
      </c>
      <c r="G463" s="97" t="s">
        <v>407</v>
      </c>
      <c r="H463" s="97" t="s">
        <v>5</v>
      </c>
      <c r="I463" s="97" t="s">
        <v>309</v>
      </c>
      <c r="J463" s="97" t="s">
        <v>1984</v>
      </c>
      <c r="K463" s="97" t="s">
        <v>315</v>
      </c>
      <c r="L463" s="97" t="s">
        <v>657</v>
      </c>
      <c r="M463" s="97" t="s">
        <v>562</v>
      </c>
      <c r="N463" s="97" t="s">
        <v>4</v>
      </c>
      <c r="O463" s="97" t="s">
        <v>4</v>
      </c>
      <c r="P463" s="97" t="s">
        <v>327</v>
      </c>
      <c r="Q463" s="97" t="s">
        <v>1748</v>
      </c>
      <c r="R463" s="97" t="s">
        <v>327</v>
      </c>
      <c r="S463" s="97" t="s">
        <v>1741</v>
      </c>
      <c r="T463" s="97" t="s">
        <v>312</v>
      </c>
      <c r="U463" s="97" t="s">
        <v>347</v>
      </c>
      <c r="V463" s="97" t="s">
        <v>495</v>
      </c>
      <c r="W463" s="97" t="s">
        <v>370</v>
      </c>
      <c r="X463" s="97" t="s">
        <v>310</v>
      </c>
      <c r="Y463" s="97" t="s">
        <v>316</v>
      </c>
      <c r="Z463" s="97" t="s">
        <v>316</v>
      </c>
      <c r="AA463" s="97" t="s">
        <v>685</v>
      </c>
      <c r="AB463" s="97" t="s">
        <v>308</v>
      </c>
      <c r="AC463" s="97" t="s">
        <v>296</v>
      </c>
      <c r="AD463" s="97" t="s">
        <v>1079</v>
      </c>
      <c r="AE463" s="97" t="s">
        <v>545</v>
      </c>
      <c r="AF463" s="97" t="s">
        <v>939</v>
      </c>
      <c r="AG463" s="97" t="s">
        <v>323</v>
      </c>
      <c r="AH463" s="97" t="s">
        <v>304</v>
      </c>
      <c r="AI463" s="97" t="s">
        <v>304</v>
      </c>
      <c r="AJ463" s="97" t="s">
        <v>304</v>
      </c>
      <c r="AK463" s="97" t="s">
        <v>305</v>
      </c>
      <c r="AL463" s="97" t="s">
        <v>303</v>
      </c>
      <c r="AM463" s="97" t="s">
        <v>303</v>
      </c>
      <c r="AN463" s="97" t="s">
        <v>302</v>
      </c>
      <c r="AO463" s="97" t="s">
        <v>302</v>
      </c>
      <c r="AP463" s="97" t="s">
        <v>302</v>
      </c>
      <c r="AQ463" s="97" t="s">
        <v>303</v>
      </c>
      <c r="AR463" s="97" t="s">
        <v>343</v>
      </c>
      <c r="AS463" s="97" t="s">
        <v>398</v>
      </c>
      <c r="AT463" s="97" t="s">
        <v>355</v>
      </c>
      <c r="AU463" s="97" t="s">
        <v>342</v>
      </c>
      <c r="AV463" s="97" t="s">
        <v>364</v>
      </c>
      <c r="AW463" s="97" t="s">
        <v>307</v>
      </c>
      <c r="AX463" s="97" t="s">
        <v>319</v>
      </c>
      <c r="AY463" s="97" t="s">
        <v>1496</v>
      </c>
    </row>
    <row r="464" spans="1:51" ht="158.4" x14ac:dyDescent="0.3">
      <c r="A464" s="97" t="s">
        <v>1985</v>
      </c>
      <c r="B464" s="97" t="s">
        <v>1845</v>
      </c>
      <c r="C464" s="97" t="s">
        <v>580</v>
      </c>
      <c r="D464" s="97" t="s">
        <v>529</v>
      </c>
      <c r="E464" s="97" t="s">
        <v>3</v>
      </c>
      <c r="F464" s="97" t="s">
        <v>317</v>
      </c>
      <c r="G464" s="97" t="s">
        <v>493</v>
      </c>
      <c r="H464" s="97" t="s">
        <v>5</v>
      </c>
      <c r="I464" s="97" t="s">
        <v>345</v>
      </c>
      <c r="J464" s="97" t="s">
        <v>1020</v>
      </c>
      <c r="K464" s="97" t="s">
        <v>328</v>
      </c>
      <c r="L464" s="97" t="s">
        <v>597</v>
      </c>
      <c r="M464" s="97" t="s">
        <v>562</v>
      </c>
      <c r="N464" s="97" t="s">
        <v>313</v>
      </c>
      <c r="O464" s="97" t="s">
        <v>4</v>
      </c>
      <c r="P464" s="97" t="s">
        <v>4</v>
      </c>
      <c r="Q464" s="97" t="s">
        <v>1098</v>
      </c>
      <c r="R464" s="97" t="s">
        <v>4</v>
      </c>
      <c r="S464" s="97" t="s">
        <v>852</v>
      </c>
      <c r="T464" s="97" t="s">
        <v>326</v>
      </c>
      <c r="U464" s="97" t="s">
        <v>311</v>
      </c>
      <c r="V464" s="97" t="s">
        <v>1986</v>
      </c>
      <c r="W464" s="97" t="s">
        <v>325</v>
      </c>
      <c r="X464" s="97" t="s">
        <v>352</v>
      </c>
      <c r="Y464" s="97" t="s">
        <v>309</v>
      </c>
      <c r="Z464" s="97" t="s">
        <v>316</v>
      </c>
      <c r="AA464" s="97" t="s">
        <v>481</v>
      </c>
      <c r="AB464" s="97" t="s">
        <v>389</v>
      </c>
      <c r="AC464" s="97" t="s">
        <v>307</v>
      </c>
      <c r="AD464" s="97" t="s">
        <v>1091</v>
      </c>
      <c r="AE464" s="97" t="s">
        <v>532</v>
      </c>
      <c r="AF464" s="97" t="s">
        <v>476</v>
      </c>
      <c r="AG464" s="97" t="s">
        <v>323</v>
      </c>
      <c r="AH464" s="97" t="s">
        <v>303</v>
      </c>
      <c r="AI464" s="97" t="s">
        <v>303</v>
      </c>
      <c r="AJ464" s="97" t="s">
        <v>303</v>
      </c>
      <c r="AK464" s="97" t="s">
        <v>305</v>
      </c>
      <c r="AL464" s="97" t="s">
        <v>304</v>
      </c>
      <c r="AM464" s="97" t="s">
        <v>304</v>
      </c>
      <c r="AN464" s="97" t="s">
        <v>303</v>
      </c>
      <c r="AO464" s="97" t="s">
        <v>302</v>
      </c>
      <c r="AP464" s="97" t="s">
        <v>303</v>
      </c>
      <c r="AQ464" s="97" t="s">
        <v>303</v>
      </c>
      <c r="AR464" s="97" t="s">
        <v>343</v>
      </c>
      <c r="AS464" s="97" t="s">
        <v>398</v>
      </c>
      <c r="AT464" s="97" t="s">
        <v>360</v>
      </c>
      <c r="AU464" s="97" t="s">
        <v>342</v>
      </c>
      <c r="AV464" s="97" t="s">
        <v>536</v>
      </c>
      <c r="AW464" s="97" t="s">
        <v>307</v>
      </c>
      <c r="AX464" s="97" t="s">
        <v>534</v>
      </c>
      <c r="AY464" s="97" t="s">
        <v>1987</v>
      </c>
    </row>
    <row r="465" spans="1:51" ht="244.8" x14ac:dyDescent="0.3">
      <c r="A465" s="97" t="s">
        <v>1988</v>
      </c>
      <c r="B465" s="97" t="s">
        <v>1845</v>
      </c>
      <c r="C465" s="97" t="s">
        <v>580</v>
      </c>
      <c r="D465" s="97" t="s">
        <v>331</v>
      </c>
      <c r="E465" s="97" t="s">
        <v>330</v>
      </c>
      <c r="F465" s="97" t="s">
        <v>317</v>
      </c>
      <c r="G465" s="97" t="s">
        <v>423</v>
      </c>
      <c r="H465" s="97" t="s">
        <v>5</v>
      </c>
      <c r="I465" s="97" t="s">
        <v>309</v>
      </c>
      <c r="J465" s="97" t="s">
        <v>701</v>
      </c>
      <c r="K465" s="97" t="s">
        <v>328</v>
      </c>
      <c r="L465" s="97" t="s">
        <v>702</v>
      </c>
      <c r="M465" s="97" t="s">
        <v>314</v>
      </c>
      <c r="N465" s="97" t="s">
        <v>4</v>
      </c>
      <c r="O465" s="97" t="s">
        <v>313</v>
      </c>
      <c r="P465" s="97" t="s">
        <v>327</v>
      </c>
      <c r="Q465" s="97" t="s">
        <v>734</v>
      </c>
      <c r="R465" s="97" t="s">
        <v>327</v>
      </c>
      <c r="S465" s="97" t="s">
        <v>1735</v>
      </c>
      <c r="T465" s="97" t="s">
        <v>312</v>
      </c>
      <c r="U465" s="97" t="s">
        <v>347</v>
      </c>
      <c r="V465" s="97" t="s">
        <v>1989</v>
      </c>
      <c r="W465" s="97" t="s">
        <v>419</v>
      </c>
      <c r="X465" s="97" t="s">
        <v>310</v>
      </c>
      <c r="Y465" s="97" t="s">
        <v>345</v>
      </c>
      <c r="Z465" s="97" t="s">
        <v>316</v>
      </c>
      <c r="AA465" s="97" t="s">
        <v>408</v>
      </c>
      <c r="AB465" s="97" t="s">
        <v>358</v>
      </c>
      <c r="AC465" s="97" t="s">
        <v>307</v>
      </c>
      <c r="AD465" s="97" t="s">
        <v>1725</v>
      </c>
      <c r="AE465" s="97" t="s">
        <v>535</v>
      </c>
      <c r="AF465" s="97" t="s">
        <v>1990</v>
      </c>
      <c r="AG465" s="97" t="s">
        <v>323</v>
      </c>
      <c r="AH465" s="97" t="s">
        <v>303</v>
      </c>
      <c r="AI465" s="97" t="s">
        <v>303</v>
      </c>
      <c r="AJ465" s="97" t="s">
        <v>303</v>
      </c>
      <c r="AK465" s="97" t="s">
        <v>304</v>
      </c>
      <c r="AL465" s="97" t="s">
        <v>302</v>
      </c>
      <c r="AM465" s="97" t="s">
        <v>303</v>
      </c>
      <c r="AN465" s="97" t="s">
        <v>302</v>
      </c>
      <c r="AO465" s="97" t="s">
        <v>302</v>
      </c>
      <c r="AP465" s="97" t="s">
        <v>302</v>
      </c>
      <c r="AQ465" s="97" t="s">
        <v>303</v>
      </c>
      <c r="AR465" s="97" t="s">
        <v>322</v>
      </c>
      <c r="AS465" s="97" t="s">
        <v>398</v>
      </c>
      <c r="AT465" s="97" t="s">
        <v>355</v>
      </c>
      <c r="AU465" s="97" t="s">
        <v>320</v>
      </c>
      <c r="AV465" s="97" t="s">
        <v>364</v>
      </c>
      <c r="AW465" s="97" t="s">
        <v>307</v>
      </c>
      <c r="AX465" s="97" t="s">
        <v>534</v>
      </c>
      <c r="AY465" s="97" t="s">
        <v>1991</v>
      </c>
    </row>
    <row r="466" spans="1:51" ht="172.8" x14ac:dyDescent="0.3">
      <c r="A466" s="97" t="s">
        <v>1992</v>
      </c>
      <c r="B466" s="97" t="s">
        <v>1845</v>
      </c>
      <c r="C466" s="97" t="s">
        <v>580</v>
      </c>
      <c r="D466" s="97" t="s">
        <v>529</v>
      </c>
      <c r="E466" s="97" t="s">
        <v>330</v>
      </c>
      <c r="F466" s="97" t="s">
        <v>317</v>
      </c>
      <c r="G466" s="97" t="s">
        <v>407</v>
      </c>
      <c r="H466" s="97" t="s">
        <v>5</v>
      </c>
      <c r="I466" s="97" t="s">
        <v>309</v>
      </c>
      <c r="J466" s="97" t="s">
        <v>1993</v>
      </c>
      <c r="K466" s="97" t="s">
        <v>315</v>
      </c>
      <c r="L466" s="97" t="s">
        <v>406</v>
      </c>
      <c r="M466" s="97" t="s">
        <v>314</v>
      </c>
      <c r="N466" s="97" t="s">
        <v>313</v>
      </c>
      <c r="O466" s="97" t="s">
        <v>313</v>
      </c>
      <c r="P466" s="97" t="s">
        <v>4</v>
      </c>
      <c r="Q466" s="97" t="s">
        <v>1005</v>
      </c>
      <c r="R466" s="97" t="s">
        <v>327</v>
      </c>
      <c r="S466" s="97" t="s">
        <v>1019</v>
      </c>
      <c r="T466" s="97" t="s">
        <v>366</v>
      </c>
      <c r="U466" s="97" t="s">
        <v>311</v>
      </c>
      <c r="V466" s="97" t="s">
        <v>570</v>
      </c>
      <c r="W466" s="97" t="s">
        <v>1192</v>
      </c>
      <c r="X466" s="97" t="s">
        <v>352</v>
      </c>
      <c r="Y466" s="97" t="s">
        <v>309</v>
      </c>
      <c r="Z466" s="97" t="s">
        <v>345</v>
      </c>
      <c r="AA466" s="97" t="s">
        <v>685</v>
      </c>
      <c r="AB466" s="97" t="s">
        <v>308</v>
      </c>
      <c r="AC466" s="97" t="s">
        <v>307</v>
      </c>
      <c r="AD466" s="97" t="s">
        <v>1338</v>
      </c>
      <c r="AE466" s="97" t="s">
        <v>535</v>
      </c>
      <c r="AF466" s="97" t="s">
        <v>578</v>
      </c>
      <c r="AG466" s="97" t="s">
        <v>323</v>
      </c>
      <c r="AH466" s="97" t="s">
        <v>303</v>
      </c>
      <c r="AI466" s="97" t="s">
        <v>303</v>
      </c>
      <c r="AJ466" s="97" t="s">
        <v>303</v>
      </c>
      <c r="AK466" s="97" t="s">
        <v>295</v>
      </c>
      <c r="AL466" s="97" t="s">
        <v>303</v>
      </c>
      <c r="AM466" s="97" t="s">
        <v>304</v>
      </c>
      <c r="AN466" s="97" t="s">
        <v>303</v>
      </c>
      <c r="AO466" s="97" t="s">
        <v>302</v>
      </c>
      <c r="AP466" s="97" t="s">
        <v>303</v>
      </c>
      <c r="AQ466" s="97" t="s">
        <v>303</v>
      </c>
      <c r="AR466" s="97" t="s">
        <v>301</v>
      </c>
      <c r="AS466" s="97" t="s">
        <v>350</v>
      </c>
      <c r="AT466" s="97" t="s">
        <v>355</v>
      </c>
      <c r="AU466" s="97" t="s">
        <v>342</v>
      </c>
      <c r="AV466" s="97" t="s">
        <v>297</v>
      </c>
      <c r="AW466" s="97" t="s">
        <v>307</v>
      </c>
      <c r="AX466" s="97" t="s">
        <v>319</v>
      </c>
      <c r="AY466" s="97" t="s">
        <v>356</v>
      </c>
    </row>
    <row r="467" spans="1:51" ht="115.2" x14ac:dyDescent="0.3">
      <c r="A467" s="97" t="s">
        <v>1994</v>
      </c>
      <c r="B467" s="97" t="s">
        <v>1845</v>
      </c>
      <c r="C467" s="97" t="s">
        <v>580</v>
      </c>
      <c r="D467" s="97" t="s">
        <v>529</v>
      </c>
      <c r="E467" s="97" t="s">
        <v>3</v>
      </c>
      <c r="F467" s="97" t="s">
        <v>383</v>
      </c>
      <c r="G467" s="97" t="s">
        <v>497</v>
      </c>
      <c r="H467" s="97" t="s">
        <v>5</v>
      </c>
      <c r="I467" s="97" t="s">
        <v>309</v>
      </c>
      <c r="J467" s="97" t="s">
        <v>970</v>
      </c>
      <c r="K467" s="97" t="s">
        <v>315</v>
      </c>
      <c r="L467" s="97" t="s">
        <v>422</v>
      </c>
      <c r="M467" s="97" t="s">
        <v>314</v>
      </c>
      <c r="N467" s="97" t="s">
        <v>327</v>
      </c>
      <c r="O467" s="97" t="s">
        <v>4</v>
      </c>
      <c r="P467" s="97" t="s">
        <v>313</v>
      </c>
      <c r="Q467" s="97" t="s">
        <v>417</v>
      </c>
      <c r="R467" s="97" t="s">
        <v>4</v>
      </c>
      <c r="S467" s="97" t="s">
        <v>663</v>
      </c>
      <c r="T467" s="97" t="s">
        <v>312</v>
      </c>
      <c r="U467" s="97" t="s">
        <v>530</v>
      </c>
      <c r="V467" s="97" t="s">
        <v>371</v>
      </c>
      <c r="W467" s="97" t="s">
        <v>1278</v>
      </c>
      <c r="X467" s="97" t="s">
        <v>310</v>
      </c>
      <c r="Y467" s="97" t="s">
        <v>316</v>
      </c>
      <c r="Z467" s="97" t="s">
        <v>316</v>
      </c>
      <c r="AA467" s="97" t="s">
        <v>408</v>
      </c>
      <c r="AB467" s="97" t="s">
        <v>308</v>
      </c>
      <c r="AC467" s="97" t="s">
        <v>324</v>
      </c>
      <c r="AD467" s="97" t="s">
        <v>647</v>
      </c>
      <c r="AE467" s="97" t="s">
        <v>532</v>
      </c>
      <c r="AF467" s="97" t="s">
        <v>1139</v>
      </c>
      <c r="AG467" s="97" t="s">
        <v>323</v>
      </c>
      <c r="AH467" s="97" t="s">
        <v>304</v>
      </c>
      <c r="AI467" s="97" t="s">
        <v>303</v>
      </c>
      <c r="AJ467" s="97" t="s">
        <v>303</v>
      </c>
      <c r="AK467" s="97" t="s">
        <v>304</v>
      </c>
      <c r="AL467" s="97" t="s">
        <v>304</v>
      </c>
      <c r="AM467" s="97" t="s">
        <v>304</v>
      </c>
      <c r="AN467" s="97" t="s">
        <v>303</v>
      </c>
      <c r="AO467" s="97" t="s">
        <v>302</v>
      </c>
      <c r="AP467" s="97" t="s">
        <v>304</v>
      </c>
      <c r="AQ467" s="97" t="s">
        <v>303</v>
      </c>
      <c r="AR467" s="97" t="s">
        <v>378</v>
      </c>
      <c r="AS467" s="97" t="s">
        <v>350</v>
      </c>
      <c r="AT467" s="97" t="s">
        <v>321</v>
      </c>
      <c r="AU467" s="97" t="s">
        <v>342</v>
      </c>
      <c r="AV467" s="97" t="s">
        <v>536</v>
      </c>
      <c r="AW467" s="97" t="s">
        <v>324</v>
      </c>
      <c r="AX467" s="97" t="s">
        <v>534</v>
      </c>
      <c r="AY467" s="97" t="s">
        <v>456</v>
      </c>
    </row>
    <row r="468" spans="1:51" ht="144" x14ac:dyDescent="0.3">
      <c r="A468" s="97" t="s">
        <v>1995</v>
      </c>
      <c r="B468" s="97" t="s">
        <v>1845</v>
      </c>
      <c r="C468" s="97" t="s">
        <v>580</v>
      </c>
      <c r="D468" s="97" t="s">
        <v>529</v>
      </c>
      <c r="E468" s="97" t="s">
        <v>330</v>
      </c>
      <c r="F468" s="97" t="s">
        <v>317</v>
      </c>
      <c r="G468" s="97" t="s">
        <v>407</v>
      </c>
      <c r="H468" s="97" t="s">
        <v>564</v>
      </c>
      <c r="I468" s="97" t="s">
        <v>309</v>
      </c>
      <c r="J468" s="97" t="s">
        <v>454</v>
      </c>
      <c r="K468" s="97" t="s">
        <v>354</v>
      </c>
      <c r="L468" s="97" t="s">
        <v>450</v>
      </c>
      <c r="M468" s="97" t="s">
        <v>314</v>
      </c>
      <c r="N468" s="97" t="s">
        <v>4</v>
      </c>
      <c r="O468" s="97" t="s">
        <v>4</v>
      </c>
      <c r="P468" s="97" t="s">
        <v>327</v>
      </c>
      <c r="Q468" s="97" t="s">
        <v>670</v>
      </c>
      <c r="R468" s="97" t="s">
        <v>4</v>
      </c>
      <c r="S468" s="97" t="s">
        <v>1996</v>
      </c>
      <c r="T468" s="97" t="s">
        <v>312</v>
      </c>
      <c r="U468" s="97" t="s">
        <v>311</v>
      </c>
      <c r="V468" s="97" t="s">
        <v>1008</v>
      </c>
      <c r="W468" s="97" t="s">
        <v>338</v>
      </c>
      <c r="X468" s="97" t="s">
        <v>346</v>
      </c>
      <c r="Y468" s="97" t="s">
        <v>316</v>
      </c>
      <c r="Z468" s="97" t="s">
        <v>316</v>
      </c>
      <c r="AA468" s="97" t="s">
        <v>410</v>
      </c>
      <c r="AB468" s="97" t="s">
        <v>336</v>
      </c>
      <c r="AC468" s="97" t="s">
        <v>307</v>
      </c>
      <c r="AD468" s="97" t="s">
        <v>1338</v>
      </c>
      <c r="AE468" s="97" t="s">
        <v>539</v>
      </c>
      <c r="AF468" s="97" t="s">
        <v>987</v>
      </c>
      <c r="AG468" s="97" t="s">
        <v>323</v>
      </c>
      <c r="AH468" s="97" t="s">
        <v>295</v>
      </c>
      <c r="AI468" s="97" t="s">
        <v>295</v>
      </c>
      <c r="AJ468" s="97" t="s">
        <v>304</v>
      </c>
      <c r="AK468" s="97" t="s">
        <v>295</v>
      </c>
      <c r="AL468" s="97" t="s">
        <v>304</v>
      </c>
      <c r="AM468" s="97" t="s">
        <v>302</v>
      </c>
      <c r="AN468" s="97" t="s">
        <v>303</v>
      </c>
      <c r="AO468" s="97" t="s">
        <v>302</v>
      </c>
      <c r="AP468" s="97" t="s">
        <v>302</v>
      </c>
      <c r="AQ468" s="97" t="s">
        <v>302</v>
      </c>
      <c r="AR468" s="97" t="s">
        <v>301</v>
      </c>
      <c r="AS468" s="97" t="s">
        <v>350</v>
      </c>
      <c r="AU468" s="97" t="s">
        <v>342</v>
      </c>
      <c r="AV468" s="97" t="s">
        <v>536</v>
      </c>
      <c r="AW468" s="97" t="s">
        <v>307</v>
      </c>
      <c r="AX468" s="97" t="s">
        <v>341</v>
      </c>
      <c r="AY468" s="97" t="s">
        <v>436</v>
      </c>
    </row>
    <row r="469" spans="1:51" ht="144" x14ac:dyDescent="0.3">
      <c r="A469" s="103">
        <v>42070.214560185188</v>
      </c>
      <c r="B469" s="97" t="s">
        <v>1129</v>
      </c>
      <c r="C469" s="97" t="s">
        <v>552</v>
      </c>
      <c r="D469" s="97" t="s">
        <v>331</v>
      </c>
      <c r="E469" s="97" t="s">
        <v>330</v>
      </c>
      <c r="F469" s="97" t="s">
        <v>317</v>
      </c>
      <c r="G469" s="97" t="s">
        <v>340</v>
      </c>
      <c r="H469" s="97" t="s">
        <v>679</v>
      </c>
      <c r="I469" s="97" t="s">
        <v>309</v>
      </c>
      <c r="J469" s="97" t="s">
        <v>1084</v>
      </c>
      <c r="K469" s="97" t="s">
        <v>328</v>
      </c>
      <c r="L469" s="97" t="s">
        <v>396</v>
      </c>
      <c r="M469" s="97" t="s">
        <v>314</v>
      </c>
      <c r="N469" s="97" t="s">
        <v>327</v>
      </c>
      <c r="O469" s="97" t="s">
        <v>327</v>
      </c>
      <c r="P469" s="97" t="s">
        <v>4</v>
      </c>
      <c r="Q469" s="97" t="s">
        <v>670</v>
      </c>
      <c r="R469" s="97" t="s">
        <v>327</v>
      </c>
      <c r="S469" s="97" t="s">
        <v>714</v>
      </c>
      <c r="T469" s="97" t="s">
        <v>326</v>
      </c>
      <c r="U469" s="97" t="s">
        <v>347</v>
      </c>
      <c r="V469" s="97" t="s">
        <v>616</v>
      </c>
      <c r="W469" s="97" t="s">
        <v>338</v>
      </c>
      <c r="X469" s="97" t="s">
        <v>346</v>
      </c>
      <c r="Y469" s="97" t="s">
        <v>345</v>
      </c>
      <c r="Z469" s="97" t="s">
        <v>345</v>
      </c>
      <c r="AA469" s="97" t="s">
        <v>496</v>
      </c>
      <c r="AB469" s="97" t="s">
        <v>308</v>
      </c>
      <c r="AC469" s="97" t="s">
        <v>296</v>
      </c>
      <c r="AD469" s="97" t="s">
        <v>1001</v>
      </c>
      <c r="AE469" s="97" t="s">
        <v>539</v>
      </c>
      <c r="AF469" s="97" t="s">
        <v>1997</v>
      </c>
      <c r="AG469" s="97" t="s">
        <v>306</v>
      </c>
      <c r="AH469" s="97" t="s">
        <v>302</v>
      </c>
      <c r="AI469" s="97" t="s">
        <v>302</v>
      </c>
      <c r="AJ469" s="97" t="s">
        <v>302</v>
      </c>
      <c r="AK469" s="97" t="s">
        <v>302</v>
      </c>
      <c r="AL469" s="97" t="s">
        <v>302</v>
      </c>
      <c r="AM469" s="97" t="s">
        <v>303</v>
      </c>
      <c r="AN469" s="97" t="s">
        <v>302</v>
      </c>
      <c r="AO469" s="97" t="s">
        <v>302</v>
      </c>
      <c r="AP469" s="97" t="s">
        <v>302</v>
      </c>
      <c r="AQ469" s="97" t="s">
        <v>302</v>
      </c>
      <c r="AR469" s="97" t="s">
        <v>391</v>
      </c>
      <c r="AS469" s="97" t="s">
        <v>350</v>
      </c>
      <c r="AT469" s="97" t="s">
        <v>355</v>
      </c>
      <c r="AU469" s="97" t="s">
        <v>320</v>
      </c>
      <c r="AV469" s="97" t="s">
        <v>547</v>
      </c>
      <c r="AW469" s="97" t="s">
        <v>296</v>
      </c>
      <c r="AX469" s="97" t="s">
        <v>375</v>
      </c>
      <c r="AY469" s="97" t="s">
        <v>447</v>
      </c>
    </row>
    <row r="470" spans="1:51" ht="158.4" x14ac:dyDescent="0.3">
      <c r="A470" s="103">
        <v>42070.216319444444</v>
      </c>
      <c r="B470" s="97" t="s">
        <v>1129</v>
      </c>
      <c r="C470" s="97" t="s">
        <v>552</v>
      </c>
      <c r="D470" s="97" t="s">
        <v>331</v>
      </c>
      <c r="E470" s="97" t="s">
        <v>330</v>
      </c>
      <c r="F470" s="97" t="s">
        <v>317</v>
      </c>
      <c r="G470" s="97" t="s">
        <v>340</v>
      </c>
      <c r="H470" s="97" t="s">
        <v>5</v>
      </c>
      <c r="I470" s="97" t="s">
        <v>309</v>
      </c>
      <c r="J470" s="97" t="s">
        <v>836</v>
      </c>
      <c r="K470" s="97" t="s">
        <v>315</v>
      </c>
      <c r="L470" s="97" t="s">
        <v>422</v>
      </c>
      <c r="M470" s="97" t="s">
        <v>314</v>
      </c>
      <c r="N470" s="97" t="s">
        <v>327</v>
      </c>
      <c r="O470" s="97" t="s">
        <v>313</v>
      </c>
      <c r="P470" s="97" t="s">
        <v>313</v>
      </c>
      <c r="Q470" s="97" t="s">
        <v>396</v>
      </c>
      <c r="R470" s="97" t="s">
        <v>327</v>
      </c>
      <c r="S470" s="97" t="s">
        <v>1998</v>
      </c>
      <c r="T470" s="97" t="s">
        <v>366</v>
      </c>
      <c r="U470" s="97" t="s">
        <v>347</v>
      </c>
      <c r="V470" s="97" t="s">
        <v>371</v>
      </c>
      <c r="W470" s="97" t="s">
        <v>1278</v>
      </c>
      <c r="X470" s="97" t="s">
        <v>346</v>
      </c>
      <c r="Y470" s="97" t="s">
        <v>345</v>
      </c>
      <c r="Z470" s="97" t="s">
        <v>345</v>
      </c>
      <c r="AA470" s="97" t="s">
        <v>472</v>
      </c>
      <c r="AB470" s="97" t="s">
        <v>358</v>
      </c>
      <c r="AC470" s="97" t="s">
        <v>324</v>
      </c>
      <c r="AD470" s="97" t="s">
        <v>1999</v>
      </c>
      <c r="AE470" s="97" t="s">
        <v>533</v>
      </c>
      <c r="AF470" s="97" t="s">
        <v>1690</v>
      </c>
      <c r="AG470" s="97" t="s">
        <v>306</v>
      </c>
      <c r="AH470" s="97" t="s">
        <v>303</v>
      </c>
      <c r="AI470" s="97" t="s">
        <v>302</v>
      </c>
      <c r="AJ470" s="97" t="s">
        <v>302</v>
      </c>
      <c r="AK470" s="97" t="s">
        <v>303</v>
      </c>
      <c r="AL470" s="97" t="s">
        <v>302</v>
      </c>
      <c r="AM470" s="97" t="s">
        <v>303</v>
      </c>
      <c r="AN470" s="97" t="s">
        <v>302</v>
      </c>
      <c r="AO470" s="97" t="s">
        <v>302</v>
      </c>
      <c r="AP470" s="97" t="s">
        <v>303</v>
      </c>
      <c r="AQ470" s="97" t="s">
        <v>303</v>
      </c>
      <c r="AR470" s="97" t="s">
        <v>301</v>
      </c>
      <c r="AS470" s="97" t="s">
        <v>300</v>
      </c>
      <c r="AT470" s="97" t="s">
        <v>355</v>
      </c>
      <c r="AU470" s="97" t="s">
        <v>320</v>
      </c>
      <c r="AV470" s="97" t="s">
        <v>547</v>
      </c>
      <c r="AW470" s="97" t="s">
        <v>381</v>
      </c>
      <c r="AX470" s="97" t="s">
        <v>375</v>
      </c>
      <c r="AY470" s="97" t="s">
        <v>402</v>
      </c>
    </row>
    <row r="471" spans="1:51" ht="187.2" x14ac:dyDescent="0.3">
      <c r="A471" s="103">
        <v>42070.232627314814</v>
      </c>
      <c r="B471" s="97" t="s">
        <v>1129</v>
      </c>
      <c r="C471" s="97" t="s">
        <v>552</v>
      </c>
      <c r="D471" s="97" t="s">
        <v>529</v>
      </c>
      <c r="E471" s="97" t="s">
        <v>3</v>
      </c>
      <c r="F471" s="97" t="s">
        <v>317</v>
      </c>
      <c r="G471" s="97" t="s">
        <v>407</v>
      </c>
      <c r="H471" s="97" t="s">
        <v>390</v>
      </c>
      <c r="I471" s="97" t="s">
        <v>309</v>
      </c>
      <c r="J471" s="97" t="s">
        <v>1977</v>
      </c>
      <c r="K471" s="97" t="s">
        <v>328</v>
      </c>
      <c r="L471" s="97" t="s">
        <v>429</v>
      </c>
      <c r="M471" s="97" t="s">
        <v>314</v>
      </c>
      <c r="N471" s="97" t="s">
        <v>327</v>
      </c>
      <c r="O471" s="97" t="s">
        <v>4</v>
      </c>
      <c r="P471" s="97" t="s">
        <v>327</v>
      </c>
      <c r="Q471" s="97" t="s">
        <v>1005</v>
      </c>
      <c r="R471" s="97" t="s">
        <v>327</v>
      </c>
      <c r="S471" s="97" t="s">
        <v>2000</v>
      </c>
      <c r="T471" s="97" t="s">
        <v>366</v>
      </c>
      <c r="U471" s="97" t="s">
        <v>311</v>
      </c>
      <c r="V471" s="97" t="s">
        <v>2001</v>
      </c>
      <c r="W471" s="97" t="s">
        <v>338</v>
      </c>
      <c r="X471" s="97" t="s">
        <v>310</v>
      </c>
      <c r="Y471" s="97" t="s">
        <v>316</v>
      </c>
      <c r="Z471" s="97" t="s">
        <v>316</v>
      </c>
      <c r="AA471" s="97" t="s">
        <v>496</v>
      </c>
      <c r="AB471" s="97" t="s">
        <v>308</v>
      </c>
      <c r="AC471" s="97" t="s">
        <v>307</v>
      </c>
      <c r="AD471" s="97" t="s">
        <v>2002</v>
      </c>
      <c r="AE471" s="97" t="s">
        <v>533</v>
      </c>
      <c r="AF471" s="97" t="s">
        <v>2003</v>
      </c>
      <c r="AG471" s="97" t="s">
        <v>323</v>
      </c>
      <c r="AH471" s="97" t="s">
        <v>302</v>
      </c>
      <c r="AI471" s="97" t="s">
        <v>302</v>
      </c>
      <c r="AJ471" s="97" t="s">
        <v>302</v>
      </c>
      <c r="AK471" s="97" t="s">
        <v>302</v>
      </c>
      <c r="AL471" s="97" t="s">
        <v>302</v>
      </c>
      <c r="AM471" s="97" t="s">
        <v>302</v>
      </c>
      <c r="AN471" s="97" t="s">
        <v>303</v>
      </c>
      <c r="AO471" s="97" t="s">
        <v>302</v>
      </c>
      <c r="AP471" s="97" t="s">
        <v>302</v>
      </c>
      <c r="AQ471" s="97" t="s">
        <v>302</v>
      </c>
      <c r="AR471" s="97" t="s">
        <v>391</v>
      </c>
      <c r="AS471" s="97" t="s">
        <v>300</v>
      </c>
      <c r="AT471" s="97" t="s">
        <v>321</v>
      </c>
      <c r="AU471" s="97" t="s">
        <v>320</v>
      </c>
      <c r="AV471" s="97" t="s">
        <v>364</v>
      </c>
      <c r="AW471" s="97" t="s">
        <v>296</v>
      </c>
      <c r="AX471" s="97" t="s">
        <v>319</v>
      </c>
      <c r="AY471" s="97" t="s">
        <v>2004</v>
      </c>
    </row>
    <row r="472" spans="1:51" ht="115.2" x14ac:dyDescent="0.3">
      <c r="A472" s="103">
        <v>42070.23269675926</v>
      </c>
      <c r="B472" s="97" t="s">
        <v>1129</v>
      </c>
      <c r="C472" s="97" t="s">
        <v>552</v>
      </c>
      <c r="D472" s="97" t="s">
        <v>529</v>
      </c>
      <c r="E472" s="97" t="s">
        <v>330</v>
      </c>
      <c r="F472" s="97" t="s">
        <v>317</v>
      </c>
      <c r="G472" s="97" t="s">
        <v>423</v>
      </c>
      <c r="H472" s="97" t="s">
        <v>5</v>
      </c>
      <c r="I472" s="97" t="s">
        <v>309</v>
      </c>
      <c r="J472" s="97" t="s">
        <v>838</v>
      </c>
      <c r="K472" s="97" t="s">
        <v>354</v>
      </c>
      <c r="L472" s="97" t="s">
        <v>406</v>
      </c>
      <c r="M472" s="97" t="s">
        <v>314</v>
      </c>
      <c r="N472" s="97" t="s">
        <v>327</v>
      </c>
      <c r="O472" s="97" t="s">
        <v>4</v>
      </c>
      <c r="P472" s="97" t="s">
        <v>327</v>
      </c>
      <c r="Q472" s="97" t="s">
        <v>1005</v>
      </c>
      <c r="R472" s="97" t="s">
        <v>327</v>
      </c>
      <c r="S472" s="97" t="s">
        <v>712</v>
      </c>
      <c r="T472" s="97" t="s">
        <v>366</v>
      </c>
      <c r="U472" s="97" t="s">
        <v>347</v>
      </c>
      <c r="V472" s="97" t="s">
        <v>1620</v>
      </c>
      <c r="W472" s="97" t="s">
        <v>338</v>
      </c>
      <c r="X472" s="97" t="s">
        <v>310</v>
      </c>
      <c r="Y472" s="97" t="s">
        <v>316</v>
      </c>
      <c r="Z472" s="97" t="s">
        <v>316</v>
      </c>
      <c r="AA472" s="97" t="s">
        <v>650</v>
      </c>
      <c r="AB472" s="97" t="s">
        <v>308</v>
      </c>
      <c r="AC472" s="97" t="s">
        <v>307</v>
      </c>
      <c r="AD472" s="97" t="s">
        <v>467</v>
      </c>
      <c r="AE472" s="97" t="s">
        <v>539</v>
      </c>
      <c r="AF472" s="97" t="s">
        <v>1042</v>
      </c>
      <c r="AG472" s="97" t="s">
        <v>306</v>
      </c>
      <c r="AH472" s="97" t="s">
        <v>302</v>
      </c>
      <c r="AI472" s="97" t="s">
        <v>303</v>
      </c>
      <c r="AJ472" s="97" t="s">
        <v>302</v>
      </c>
      <c r="AK472" s="97" t="s">
        <v>302</v>
      </c>
      <c r="AL472" s="97" t="s">
        <v>302</v>
      </c>
      <c r="AM472" s="97" t="s">
        <v>302</v>
      </c>
      <c r="AN472" s="97" t="s">
        <v>303</v>
      </c>
      <c r="AO472" s="97" t="s">
        <v>302</v>
      </c>
      <c r="AP472" s="97" t="s">
        <v>302</v>
      </c>
      <c r="AQ472" s="97" t="s">
        <v>302</v>
      </c>
      <c r="AR472" s="97" t="s">
        <v>391</v>
      </c>
      <c r="AS472" s="97" t="s">
        <v>300</v>
      </c>
      <c r="AT472" s="97" t="s">
        <v>321</v>
      </c>
      <c r="AU472" s="97" t="s">
        <v>320</v>
      </c>
      <c r="AV472" s="97" t="s">
        <v>364</v>
      </c>
      <c r="AW472" s="97" t="s">
        <v>296</v>
      </c>
      <c r="AX472" s="97" t="s">
        <v>319</v>
      </c>
      <c r="AY472" s="97" t="s">
        <v>904</v>
      </c>
    </row>
    <row r="473" spans="1:51" ht="144" x14ac:dyDescent="0.3">
      <c r="A473" s="103">
        <v>42070.24658564815</v>
      </c>
      <c r="B473" s="97" t="s">
        <v>1129</v>
      </c>
      <c r="C473" s="97" t="s">
        <v>552</v>
      </c>
      <c r="D473" s="97" t="s">
        <v>700</v>
      </c>
      <c r="E473" s="97" t="s">
        <v>3</v>
      </c>
      <c r="F473" s="97" t="s">
        <v>317</v>
      </c>
      <c r="G473" s="97" t="s">
        <v>407</v>
      </c>
      <c r="H473" s="97" t="s">
        <v>349</v>
      </c>
      <c r="I473" s="97" t="s">
        <v>309</v>
      </c>
      <c r="J473" s="97" t="s">
        <v>708</v>
      </c>
      <c r="K473" s="97" t="s">
        <v>315</v>
      </c>
      <c r="L473" s="97" t="s">
        <v>417</v>
      </c>
      <c r="M473" s="97" t="s">
        <v>353</v>
      </c>
      <c r="N473" s="97" t="s">
        <v>327</v>
      </c>
      <c r="O473" s="97" t="s">
        <v>327</v>
      </c>
      <c r="P473" s="97" t="s">
        <v>327</v>
      </c>
      <c r="Q473" s="97" t="s">
        <v>1391</v>
      </c>
      <c r="R473" s="97" t="s">
        <v>327</v>
      </c>
      <c r="S473" s="97" t="s">
        <v>714</v>
      </c>
      <c r="T473" s="97" t="s">
        <v>366</v>
      </c>
      <c r="U473" s="97" t="s">
        <v>311</v>
      </c>
      <c r="V473" s="97" t="s">
        <v>1013</v>
      </c>
      <c r="W473" s="97" t="s">
        <v>338</v>
      </c>
      <c r="X473" s="97" t="s">
        <v>310</v>
      </c>
      <c r="Y473" s="97" t="s">
        <v>316</v>
      </c>
      <c r="Z473" s="97" t="s">
        <v>316</v>
      </c>
      <c r="AA473" s="97" t="s">
        <v>408</v>
      </c>
      <c r="AB473" s="97" t="s">
        <v>308</v>
      </c>
      <c r="AC473" s="97" t="s">
        <v>381</v>
      </c>
      <c r="AD473" s="97" t="s">
        <v>414</v>
      </c>
      <c r="AE473" s="97" t="s">
        <v>532</v>
      </c>
      <c r="AF473" s="97" t="s">
        <v>492</v>
      </c>
      <c r="AG473" s="97" t="s">
        <v>306</v>
      </c>
      <c r="AH473" s="97" t="s">
        <v>302</v>
      </c>
      <c r="AI473" s="97" t="s">
        <v>302</v>
      </c>
      <c r="AJ473" s="97" t="s">
        <v>303</v>
      </c>
      <c r="AK473" s="97" t="s">
        <v>302</v>
      </c>
      <c r="AL473" s="97" t="s">
        <v>302</v>
      </c>
      <c r="AM473" s="97" t="s">
        <v>302</v>
      </c>
      <c r="AN473" s="97" t="s">
        <v>302</v>
      </c>
      <c r="AO473" s="97" t="s">
        <v>302</v>
      </c>
      <c r="AP473" s="97" t="s">
        <v>303</v>
      </c>
      <c r="AQ473" s="97" t="s">
        <v>302</v>
      </c>
      <c r="AR473" s="97" t="s">
        <v>301</v>
      </c>
      <c r="AS473" s="97" t="s">
        <v>300</v>
      </c>
      <c r="AT473" s="97" t="s">
        <v>299</v>
      </c>
      <c r="AU473" s="97" t="s">
        <v>320</v>
      </c>
      <c r="AV473" s="97" t="s">
        <v>547</v>
      </c>
      <c r="AW473" s="97" t="s">
        <v>381</v>
      </c>
      <c r="AX473" s="97" t="s">
        <v>319</v>
      </c>
      <c r="AY473" s="97" t="s">
        <v>2005</v>
      </c>
    </row>
    <row r="474" spans="1:51" ht="158.4" x14ac:dyDescent="0.3">
      <c r="A474" s="103">
        <v>42070.254675925928</v>
      </c>
      <c r="B474" s="97" t="s">
        <v>1129</v>
      </c>
      <c r="C474" s="97" t="s">
        <v>552</v>
      </c>
      <c r="D474" s="97" t="s">
        <v>529</v>
      </c>
      <c r="E474" s="97" t="s">
        <v>3</v>
      </c>
      <c r="F474" s="97" t="s">
        <v>317</v>
      </c>
      <c r="G474" s="97" t="s">
        <v>407</v>
      </c>
      <c r="H474" s="97" t="s">
        <v>349</v>
      </c>
      <c r="I474" s="97" t="s">
        <v>309</v>
      </c>
      <c r="J474" s="97" t="s">
        <v>1909</v>
      </c>
      <c r="K474" s="97" t="s">
        <v>368</v>
      </c>
      <c r="L474" s="97" t="s">
        <v>429</v>
      </c>
      <c r="M474" s="97" t="s">
        <v>348</v>
      </c>
      <c r="N474" s="97" t="s">
        <v>327</v>
      </c>
      <c r="O474" s="97" t="s">
        <v>313</v>
      </c>
      <c r="P474" s="97" t="s">
        <v>327</v>
      </c>
      <c r="Q474" s="97" t="s">
        <v>845</v>
      </c>
      <c r="R474" s="97" t="s">
        <v>327</v>
      </c>
      <c r="S474" s="97" t="s">
        <v>1693</v>
      </c>
      <c r="T474" s="97" t="s">
        <v>366</v>
      </c>
      <c r="U474" s="97" t="s">
        <v>311</v>
      </c>
      <c r="V474" s="97" t="s">
        <v>2006</v>
      </c>
      <c r="W474" s="97" t="s">
        <v>325</v>
      </c>
      <c r="X474" s="97" t="s">
        <v>337</v>
      </c>
      <c r="Y474" s="97" t="s">
        <v>345</v>
      </c>
      <c r="Z474" s="97" t="s">
        <v>345</v>
      </c>
      <c r="AA474" s="97" t="s">
        <v>442</v>
      </c>
      <c r="AB474" s="97" t="s">
        <v>308</v>
      </c>
      <c r="AC474" s="97" t="s">
        <v>324</v>
      </c>
      <c r="AD474" s="97" t="s">
        <v>477</v>
      </c>
      <c r="AE474" s="97" t="s">
        <v>532</v>
      </c>
      <c r="AF474" s="97" t="s">
        <v>2007</v>
      </c>
      <c r="AG474" s="97" t="s">
        <v>306</v>
      </c>
      <c r="AH474" s="97" t="s">
        <v>303</v>
      </c>
      <c r="AI474" s="97" t="s">
        <v>303</v>
      </c>
      <c r="AJ474" s="97" t="s">
        <v>302</v>
      </c>
      <c r="AK474" s="97" t="s">
        <v>303</v>
      </c>
      <c r="AL474" s="97" t="s">
        <v>303</v>
      </c>
      <c r="AM474" s="97" t="s">
        <v>303</v>
      </c>
      <c r="AN474" s="97" t="s">
        <v>303</v>
      </c>
      <c r="AO474" s="97" t="s">
        <v>303</v>
      </c>
      <c r="AP474" s="97" t="s">
        <v>303</v>
      </c>
      <c r="AQ474" s="97" t="s">
        <v>303</v>
      </c>
      <c r="AR474" s="97" t="s">
        <v>391</v>
      </c>
      <c r="AS474" s="97" t="s">
        <v>300</v>
      </c>
      <c r="AT474" s="97" t="s">
        <v>360</v>
      </c>
      <c r="AU474" s="97" t="s">
        <v>298</v>
      </c>
      <c r="AV474" s="97" t="s">
        <v>392</v>
      </c>
      <c r="AW474" s="97" t="s">
        <v>307</v>
      </c>
      <c r="AX474" s="97" t="s">
        <v>319</v>
      </c>
      <c r="AY474" s="97" t="s">
        <v>2008</v>
      </c>
    </row>
    <row r="475" spans="1:51" ht="43.2" x14ac:dyDescent="0.3">
      <c r="A475" s="103">
        <v>42070.257326388892</v>
      </c>
      <c r="B475" s="97" t="s">
        <v>1129</v>
      </c>
      <c r="C475" s="97" t="s">
        <v>552</v>
      </c>
      <c r="D475" s="97" t="s">
        <v>529</v>
      </c>
      <c r="E475" s="97" t="s">
        <v>3</v>
      </c>
      <c r="F475" s="97" t="s">
        <v>317</v>
      </c>
    </row>
    <row r="476" spans="1:51" ht="100.8" x14ac:dyDescent="0.3">
      <c r="A476" s="103">
        <v>42070.266215277778</v>
      </c>
      <c r="B476" s="97" t="s">
        <v>689</v>
      </c>
      <c r="C476" s="97" t="s">
        <v>552</v>
      </c>
      <c r="D476" s="97" t="s">
        <v>529</v>
      </c>
      <c r="E476" s="97" t="s">
        <v>3</v>
      </c>
      <c r="F476" s="97" t="s">
        <v>383</v>
      </c>
      <c r="G476" s="97" t="s">
        <v>412</v>
      </c>
      <c r="H476" s="97" t="s">
        <v>5</v>
      </c>
      <c r="I476" s="97" t="s">
        <v>309</v>
      </c>
      <c r="J476" s="97" t="s">
        <v>2009</v>
      </c>
      <c r="K476" s="97" t="s">
        <v>354</v>
      </c>
      <c r="L476" s="97" t="s">
        <v>667</v>
      </c>
      <c r="M476" s="97" t="s">
        <v>348</v>
      </c>
      <c r="N476" s="97" t="s">
        <v>327</v>
      </c>
      <c r="O476" s="97" t="s">
        <v>327</v>
      </c>
      <c r="P476" s="97" t="s">
        <v>4</v>
      </c>
      <c r="Q476" s="97" t="s">
        <v>396</v>
      </c>
      <c r="R476" s="97" t="s">
        <v>327</v>
      </c>
      <c r="S476" s="97" t="s">
        <v>2010</v>
      </c>
      <c r="T476" s="97" t="s">
        <v>366</v>
      </c>
      <c r="U476" s="97" t="s">
        <v>347</v>
      </c>
      <c r="V476" s="97" t="s">
        <v>1039</v>
      </c>
      <c r="W476" s="97" t="s">
        <v>571</v>
      </c>
      <c r="X476" s="97" t="s">
        <v>310</v>
      </c>
      <c r="Y476" s="97" t="s">
        <v>345</v>
      </c>
      <c r="Z476" s="97" t="s">
        <v>345</v>
      </c>
      <c r="AA476" s="97" t="s">
        <v>395</v>
      </c>
      <c r="AB476" s="97" t="s">
        <v>358</v>
      </c>
      <c r="AC476" s="97" t="s">
        <v>351</v>
      </c>
      <c r="AD476" s="97" t="s">
        <v>414</v>
      </c>
      <c r="AE476" s="97" t="s">
        <v>545</v>
      </c>
      <c r="AF476" s="97" t="s">
        <v>631</v>
      </c>
      <c r="AG476" s="97" t="s">
        <v>323</v>
      </c>
      <c r="AH476" s="97" t="s">
        <v>302</v>
      </c>
      <c r="AI476" s="97" t="s">
        <v>302</v>
      </c>
      <c r="AJ476" s="97" t="s">
        <v>302</v>
      </c>
      <c r="AK476" s="97" t="s">
        <v>302</v>
      </c>
      <c r="AL476" s="97" t="s">
        <v>302</v>
      </c>
      <c r="AM476" s="97" t="s">
        <v>302</v>
      </c>
      <c r="AN476" s="97" t="s">
        <v>302</v>
      </c>
      <c r="AO476" s="97" t="s">
        <v>303</v>
      </c>
      <c r="AP476" s="97" t="s">
        <v>303</v>
      </c>
      <c r="AQ476" s="97" t="s">
        <v>302</v>
      </c>
      <c r="AR476" s="97" t="s">
        <v>391</v>
      </c>
      <c r="AS476" s="97" t="s">
        <v>300</v>
      </c>
      <c r="AT476" s="97" t="s">
        <v>299</v>
      </c>
      <c r="AU476" s="97" t="s">
        <v>320</v>
      </c>
      <c r="AV476" s="97" t="s">
        <v>392</v>
      </c>
      <c r="AW476" s="97" t="s">
        <v>307</v>
      </c>
      <c r="AX476" s="97" t="s">
        <v>319</v>
      </c>
      <c r="AY476" s="97" t="s">
        <v>1632</v>
      </c>
    </row>
    <row r="477" spans="1:51" ht="86.4" x14ac:dyDescent="0.3">
      <c r="A477" s="103">
        <v>42070.267511574071</v>
      </c>
      <c r="B477" s="97" t="s">
        <v>1129</v>
      </c>
      <c r="C477" s="97" t="s">
        <v>552</v>
      </c>
      <c r="D477" s="97" t="s">
        <v>331</v>
      </c>
      <c r="E477" s="97" t="s">
        <v>330</v>
      </c>
      <c r="F477" s="97" t="s">
        <v>317</v>
      </c>
      <c r="G477" s="97" t="s">
        <v>446</v>
      </c>
      <c r="I477" s="97" t="s">
        <v>309</v>
      </c>
      <c r="J477" s="97" t="s">
        <v>934</v>
      </c>
      <c r="K477" s="97" t="s">
        <v>328</v>
      </c>
      <c r="L477" s="97" t="s">
        <v>417</v>
      </c>
      <c r="M477" s="97" t="s">
        <v>348</v>
      </c>
      <c r="N477" s="97" t="s">
        <v>4</v>
      </c>
      <c r="O477" s="97" t="s">
        <v>313</v>
      </c>
      <c r="P477" s="97" t="s">
        <v>4</v>
      </c>
      <c r="Q477" s="97" t="s">
        <v>652</v>
      </c>
      <c r="R477" s="97" t="s">
        <v>327</v>
      </c>
      <c r="S477" s="97" t="s">
        <v>416</v>
      </c>
      <c r="T477" s="97" t="s">
        <v>366</v>
      </c>
      <c r="U477" s="97" t="s">
        <v>311</v>
      </c>
      <c r="V477" s="97" t="s">
        <v>543</v>
      </c>
      <c r="W477" s="97" t="s">
        <v>338</v>
      </c>
      <c r="X477" s="97" t="s">
        <v>310</v>
      </c>
      <c r="Y477" s="97" t="s">
        <v>316</v>
      </c>
      <c r="Z477" s="97" t="s">
        <v>316</v>
      </c>
      <c r="AA477" s="97" t="s">
        <v>1025</v>
      </c>
      <c r="AB477" s="97" t="s">
        <v>308</v>
      </c>
      <c r="AC477" s="97" t="s">
        <v>307</v>
      </c>
      <c r="AD477" s="97" t="s">
        <v>448</v>
      </c>
      <c r="AE477" s="97" t="s">
        <v>539</v>
      </c>
      <c r="AF477" s="97" t="s">
        <v>1026</v>
      </c>
      <c r="AG477" s="97" t="s">
        <v>306</v>
      </c>
      <c r="AH477" s="97" t="s">
        <v>302</v>
      </c>
      <c r="AI477" s="97" t="s">
        <v>302</v>
      </c>
      <c r="AJ477" s="97" t="s">
        <v>302</v>
      </c>
      <c r="AK477" s="97" t="s">
        <v>302</v>
      </c>
      <c r="AL477" s="97" t="s">
        <v>302</v>
      </c>
      <c r="AM477" s="97" t="s">
        <v>302</v>
      </c>
      <c r="AN477" s="97" t="s">
        <v>302</v>
      </c>
      <c r="AO477" s="97" t="s">
        <v>302</v>
      </c>
      <c r="AP477" s="97" t="s">
        <v>302</v>
      </c>
      <c r="AQ477" s="97" t="s">
        <v>302</v>
      </c>
      <c r="AR477" s="97" t="s">
        <v>391</v>
      </c>
      <c r="AS477" s="97" t="s">
        <v>350</v>
      </c>
      <c r="AT477" s="97" t="s">
        <v>360</v>
      </c>
      <c r="AU477" s="97" t="s">
        <v>320</v>
      </c>
      <c r="AV477" s="97" t="s">
        <v>547</v>
      </c>
      <c r="AW477" s="97" t="s">
        <v>296</v>
      </c>
      <c r="AX477" s="97" t="s">
        <v>319</v>
      </c>
      <c r="AY477" s="97" t="s">
        <v>449</v>
      </c>
    </row>
    <row r="478" spans="1:51" ht="129.6" x14ac:dyDescent="0.3">
      <c r="A478" s="103">
        <v>42070.27003472222</v>
      </c>
      <c r="B478" s="97" t="s">
        <v>1129</v>
      </c>
      <c r="C478" s="97" t="s">
        <v>552</v>
      </c>
      <c r="D478" s="97" t="s">
        <v>529</v>
      </c>
      <c r="E478" s="97" t="s">
        <v>3</v>
      </c>
      <c r="F478" s="97" t="s">
        <v>317</v>
      </c>
      <c r="G478" s="97" t="s">
        <v>899</v>
      </c>
      <c r="H478" s="97" t="s">
        <v>5</v>
      </c>
      <c r="I478" s="97" t="s">
        <v>309</v>
      </c>
      <c r="J478" s="97" t="s">
        <v>2011</v>
      </c>
      <c r="K478" s="97" t="s">
        <v>328</v>
      </c>
      <c r="L478" s="97" t="s">
        <v>2012</v>
      </c>
      <c r="M478" s="97" t="s">
        <v>367</v>
      </c>
      <c r="N478" s="97" t="s">
        <v>327</v>
      </c>
      <c r="O478" s="97" t="s">
        <v>313</v>
      </c>
      <c r="P478" s="97" t="s">
        <v>327</v>
      </c>
      <c r="Q478" s="97" t="s">
        <v>943</v>
      </c>
      <c r="R478" s="97" t="s">
        <v>327</v>
      </c>
      <c r="S478" s="97" t="s">
        <v>2013</v>
      </c>
      <c r="T478" s="97" t="s">
        <v>326</v>
      </c>
      <c r="U478" s="97" t="s">
        <v>530</v>
      </c>
      <c r="V478" s="97" t="s">
        <v>1116</v>
      </c>
      <c r="W478" s="97" t="s">
        <v>338</v>
      </c>
      <c r="X478" s="97" t="s">
        <v>310</v>
      </c>
      <c r="Y478" s="97" t="s">
        <v>345</v>
      </c>
      <c r="Z478" s="97" t="s">
        <v>345</v>
      </c>
      <c r="AA478" s="97" t="s">
        <v>678</v>
      </c>
      <c r="AB478" s="97" t="s">
        <v>376</v>
      </c>
      <c r="AC478" s="97" t="s">
        <v>324</v>
      </c>
      <c r="AD478" s="97" t="s">
        <v>361</v>
      </c>
      <c r="AE478" s="97" t="s">
        <v>532</v>
      </c>
      <c r="AF478" s="97" t="s">
        <v>682</v>
      </c>
      <c r="AG478" s="97" t="s">
        <v>306</v>
      </c>
      <c r="AH478" s="97" t="s">
        <v>303</v>
      </c>
      <c r="AI478" s="97" t="s">
        <v>304</v>
      </c>
      <c r="AJ478" s="97" t="s">
        <v>302</v>
      </c>
      <c r="AL478" s="97" t="s">
        <v>302</v>
      </c>
      <c r="AM478" s="97" t="s">
        <v>302</v>
      </c>
      <c r="AN478" s="97" t="s">
        <v>302</v>
      </c>
      <c r="AO478" s="97" t="s">
        <v>302</v>
      </c>
      <c r="AP478" s="97" t="s">
        <v>302</v>
      </c>
      <c r="AQ478" s="97" t="s">
        <v>302</v>
      </c>
      <c r="AR478" s="97" t="s">
        <v>343</v>
      </c>
      <c r="AS478" s="97" t="s">
        <v>350</v>
      </c>
      <c r="AT478" s="97" t="s">
        <v>360</v>
      </c>
      <c r="AU478" s="97" t="s">
        <v>342</v>
      </c>
      <c r="AV478" s="97" t="s">
        <v>333</v>
      </c>
      <c r="AW478" s="97" t="s">
        <v>381</v>
      </c>
      <c r="AX478" s="97" t="s">
        <v>534</v>
      </c>
      <c r="AY478" s="97" t="s">
        <v>482</v>
      </c>
    </row>
    <row r="479" spans="1:51" ht="158.4" x14ac:dyDescent="0.3">
      <c r="A479" s="103">
        <v>42070.279965277776</v>
      </c>
      <c r="B479" s="97" t="s">
        <v>1129</v>
      </c>
      <c r="C479" s="97" t="s">
        <v>552</v>
      </c>
      <c r="D479" s="97" t="s">
        <v>529</v>
      </c>
      <c r="E479" s="97" t="s">
        <v>330</v>
      </c>
      <c r="F479" s="97" t="s">
        <v>317</v>
      </c>
      <c r="G479" s="97" t="s">
        <v>1076</v>
      </c>
      <c r="H479" s="97" t="s">
        <v>823</v>
      </c>
      <c r="I479" s="97" t="s">
        <v>494</v>
      </c>
      <c r="J479" s="97" t="s">
        <v>544</v>
      </c>
      <c r="K479" s="97" t="s">
        <v>315</v>
      </c>
      <c r="L479" s="97" t="s">
        <v>439</v>
      </c>
      <c r="M479" s="97" t="s">
        <v>314</v>
      </c>
      <c r="N479" s="97" t="s">
        <v>374</v>
      </c>
      <c r="O479" s="97" t="s">
        <v>4</v>
      </c>
      <c r="P479" s="97" t="s">
        <v>313</v>
      </c>
      <c r="Q479" s="97" t="s">
        <v>399</v>
      </c>
      <c r="R479" s="97" t="s">
        <v>327</v>
      </c>
      <c r="S479" s="97" t="s">
        <v>1036</v>
      </c>
      <c r="T479" s="97" t="s">
        <v>312</v>
      </c>
      <c r="U479" s="97" t="s">
        <v>347</v>
      </c>
      <c r="V479" s="97" t="s">
        <v>1461</v>
      </c>
      <c r="W479" s="97" t="s">
        <v>338</v>
      </c>
      <c r="X479" s="97" t="s">
        <v>352</v>
      </c>
      <c r="Y479" s="97" t="s">
        <v>316</v>
      </c>
      <c r="Z479" s="97" t="s">
        <v>316</v>
      </c>
      <c r="AA479" s="97" t="s">
        <v>408</v>
      </c>
      <c r="AB479" s="97" t="s">
        <v>308</v>
      </c>
      <c r="AC479" s="97" t="s">
        <v>351</v>
      </c>
      <c r="AD479" s="97" t="s">
        <v>414</v>
      </c>
      <c r="AE479" s="97" t="s">
        <v>532</v>
      </c>
      <c r="AF479" s="97" t="s">
        <v>800</v>
      </c>
      <c r="AG479" s="97" t="s">
        <v>306</v>
      </c>
      <c r="AH479" s="97" t="s">
        <v>303</v>
      </c>
      <c r="AI479" s="97" t="s">
        <v>302</v>
      </c>
      <c r="AJ479" s="97" t="s">
        <v>302</v>
      </c>
      <c r="AK479" s="97" t="s">
        <v>303</v>
      </c>
      <c r="AL479" s="97" t="s">
        <v>303</v>
      </c>
      <c r="AM479" s="97" t="s">
        <v>303</v>
      </c>
      <c r="AN479" s="97" t="s">
        <v>303</v>
      </c>
      <c r="AO479" s="97" t="s">
        <v>302</v>
      </c>
      <c r="AP479" s="97" t="s">
        <v>302</v>
      </c>
      <c r="AQ479" s="97" t="s">
        <v>303</v>
      </c>
      <c r="AR479" s="97" t="s">
        <v>322</v>
      </c>
      <c r="AS479" s="97" t="s">
        <v>489</v>
      </c>
      <c r="AT479" s="97" t="s">
        <v>355</v>
      </c>
      <c r="AU479" s="97" t="s">
        <v>320</v>
      </c>
      <c r="AV479" s="97" t="s">
        <v>547</v>
      </c>
      <c r="AW479" s="97" t="s">
        <v>307</v>
      </c>
      <c r="AX479" s="97" t="s">
        <v>319</v>
      </c>
      <c r="AY479" s="97" t="s">
        <v>413</v>
      </c>
    </row>
    <row r="480" spans="1:51" ht="331.2" x14ac:dyDescent="0.3">
      <c r="A480" s="103">
        <v>42070.286666666667</v>
      </c>
      <c r="B480" s="97" t="s">
        <v>1129</v>
      </c>
      <c r="C480" s="97" t="s">
        <v>552</v>
      </c>
      <c r="D480" s="97" t="s">
        <v>560</v>
      </c>
      <c r="E480" s="97" t="s">
        <v>3</v>
      </c>
      <c r="F480" s="97" t="s">
        <v>317</v>
      </c>
      <c r="G480" s="97" t="s">
        <v>451</v>
      </c>
      <c r="H480" s="97" t="s">
        <v>5</v>
      </c>
      <c r="I480" s="97" t="s">
        <v>309</v>
      </c>
      <c r="J480" s="97" t="s">
        <v>2014</v>
      </c>
      <c r="K480" s="97" t="s">
        <v>315</v>
      </c>
      <c r="L480" s="97" t="s">
        <v>450</v>
      </c>
      <c r="M480" s="97" t="s">
        <v>367</v>
      </c>
      <c r="N480" s="97" t="s">
        <v>327</v>
      </c>
      <c r="O480" s="97" t="s">
        <v>4</v>
      </c>
      <c r="P480" s="97" t="s">
        <v>327</v>
      </c>
      <c r="Q480" s="97" t="s">
        <v>471</v>
      </c>
      <c r="R480" s="97" t="s">
        <v>327</v>
      </c>
      <c r="S480" s="97" t="s">
        <v>500</v>
      </c>
      <c r="T480" s="97" t="s">
        <v>366</v>
      </c>
      <c r="U480" s="97" t="s">
        <v>311</v>
      </c>
      <c r="V480" s="97" t="s">
        <v>2015</v>
      </c>
      <c r="W480" s="97" t="s">
        <v>1278</v>
      </c>
      <c r="X480" s="97" t="s">
        <v>310</v>
      </c>
      <c r="Y480" s="97" t="s">
        <v>316</v>
      </c>
      <c r="Z480" s="97" t="s">
        <v>316</v>
      </c>
      <c r="AA480" s="97" t="s">
        <v>860</v>
      </c>
      <c r="AB480" s="97" t="s">
        <v>393</v>
      </c>
      <c r="AC480" s="97" t="s">
        <v>296</v>
      </c>
      <c r="AD480" s="97" t="s">
        <v>414</v>
      </c>
      <c r="AE480" s="97" t="s">
        <v>532</v>
      </c>
      <c r="AF480" s="97" t="s">
        <v>420</v>
      </c>
      <c r="AG480" s="97" t="s">
        <v>306</v>
      </c>
      <c r="AH480" s="97" t="s">
        <v>302</v>
      </c>
      <c r="AI480" s="97" t="s">
        <v>302</v>
      </c>
      <c r="AJ480" s="97" t="s">
        <v>302</v>
      </c>
      <c r="AK480" s="97" t="s">
        <v>302</v>
      </c>
      <c r="AL480" s="97" t="s">
        <v>302</v>
      </c>
      <c r="AM480" s="97" t="s">
        <v>302</v>
      </c>
      <c r="AN480" s="97" t="s">
        <v>302</v>
      </c>
      <c r="AO480" s="97" t="s">
        <v>302</v>
      </c>
      <c r="AP480" s="97" t="s">
        <v>302</v>
      </c>
      <c r="AQ480" s="97" t="s">
        <v>302</v>
      </c>
      <c r="AR480" s="97" t="s">
        <v>301</v>
      </c>
      <c r="AS480" s="97" t="s">
        <v>350</v>
      </c>
      <c r="AT480" s="97" t="s">
        <v>355</v>
      </c>
      <c r="AU480" s="97" t="s">
        <v>320</v>
      </c>
      <c r="AV480" s="97" t="s">
        <v>547</v>
      </c>
      <c r="AW480" s="97" t="s">
        <v>307</v>
      </c>
      <c r="AX480" s="97" t="s">
        <v>319</v>
      </c>
      <c r="AY480" s="97" t="s">
        <v>1981</v>
      </c>
    </row>
    <row r="481" spans="1:51" ht="172.8" x14ac:dyDescent="0.3">
      <c r="A481" s="103">
        <v>42070.287280092591</v>
      </c>
      <c r="B481" s="97" t="s">
        <v>1129</v>
      </c>
      <c r="C481" s="97" t="s">
        <v>552</v>
      </c>
      <c r="D481" s="97" t="s">
        <v>529</v>
      </c>
      <c r="E481" s="97" t="s">
        <v>3</v>
      </c>
      <c r="F481" s="97" t="s">
        <v>317</v>
      </c>
      <c r="G481" s="97" t="s">
        <v>446</v>
      </c>
      <c r="H481" s="97" t="s">
        <v>5</v>
      </c>
      <c r="I481" s="97" t="s">
        <v>309</v>
      </c>
      <c r="J481" s="97" t="s">
        <v>1977</v>
      </c>
      <c r="K481" s="97" t="s">
        <v>384</v>
      </c>
      <c r="L481" s="97" t="s">
        <v>429</v>
      </c>
      <c r="M481" s="97" t="s">
        <v>314</v>
      </c>
      <c r="N481" s="97" t="s">
        <v>327</v>
      </c>
      <c r="O481" s="97" t="s">
        <v>313</v>
      </c>
      <c r="P481" s="97" t="s">
        <v>4</v>
      </c>
      <c r="Q481" s="97" t="s">
        <v>475</v>
      </c>
      <c r="R481" s="97" t="s">
        <v>327</v>
      </c>
      <c r="S481" s="97" t="s">
        <v>592</v>
      </c>
      <c r="T481" s="97" t="s">
        <v>312</v>
      </c>
      <c r="U481" s="97" t="s">
        <v>311</v>
      </c>
      <c r="V481" s="97" t="s">
        <v>2016</v>
      </c>
      <c r="W481" s="97" t="s">
        <v>338</v>
      </c>
      <c r="X481" s="97" t="s">
        <v>337</v>
      </c>
      <c r="Y481" s="97" t="s">
        <v>316</v>
      </c>
      <c r="Z481" s="97" t="s">
        <v>316</v>
      </c>
      <c r="AA481" s="97" t="s">
        <v>850</v>
      </c>
      <c r="AB481" s="97" t="s">
        <v>308</v>
      </c>
      <c r="AC481" s="97" t="s">
        <v>296</v>
      </c>
      <c r="AD481" s="97" t="s">
        <v>414</v>
      </c>
      <c r="AE481" s="97" t="s">
        <v>532</v>
      </c>
      <c r="AF481" s="97" t="s">
        <v>661</v>
      </c>
      <c r="AG481" s="97" t="s">
        <v>306</v>
      </c>
      <c r="AH481" s="97" t="s">
        <v>303</v>
      </c>
      <c r="AI481" s="97" t="s">
        <v>303</v>
      </c>
      <c r="AJ481" s="97" t="s">
        <v>302</v>
      </c>
      <c r="AK481" s="97" t="s">
        <v>302</v>
      </c>
      <c r="AL481" s="97" t="s">
        <v>302</v>
      </c>
      <c r="AM481" s="97" t="s">
        <v>302</v>
      </c>
      <c r="AN481" s="97" t="s">
        <v>302</v>
      </c>
      <c r="AO481" s="97" t="s">
        <v>303</v>
      </c>
      <c r="AP481" s="97" t="s">
        <v>302</v>
      </c>
      <c r="AQ481" s="97" t="s">
        <v>303</v>
      </c>
      <c r="AR481" s="97" t="s">
        <v>391</v>
      </c>
      <c r="AS481" s="97" t="s">
        <v>350</v>
      </c>
      <c r="AT481" s="97" t="s">
        <v>321</v>
      </c>
      <c r="AU481" s="97" t="s">
        <v>320</v>
      </c>
      <c r="AV481" s="97" t="s">
        <v>364</v>
      </c>
      <c r="AW481" s="97" t="s">
        <v>296</v>
      </c>
      <c r="AX481" s="97" t="s">
        <v>534</v>
      </c>
      <c r="AY481" s="97" t="s">
        <v>482</v>
      </c>
    </row>
    <row r="482" spans="1:51" ht="288" x14ac:dyDescent="0.3">
      <c r="A482" s="103">
        <v>42070.295497685183</v>
      </c>
      <c r="B482" s="97" t="s">
        <v>1129</v>
      </c>
      <c r="C482" s="97" t="s">
        <v>552</v>
      </c>
      <c r="D482" s="97" t="s">
        <v>331</v>
      </c>
      <c r="E482" s="97" t="s">
        <v>330</v>
      </c>
      <c r="F482" s="97" t="s">
        <v>317</v>
      </c>
      <c r="G482" s="97" t="s">
        <v>412</v>
      </c>
      <c r="H482" s="97" t="s">
        <v>5</v>
      </c>
      <c r="I482" s="97" t="s">
        <v>309</v>
      </c>
      <c r="J482" s="97" t="s">
        <v>2017</v>
      </c>
      <c r="K482" s="97" t="s">
        <v>328</v>
      </c>
      <c r="L482" s="97" t="s">
        <v>702</v>
      </c>
      <c r="M482" s="97" t="s">
        <v>348</v>
      </c>
      <c r="N482" s="97" t="s">
        <v>327</v>
      </c>
      <c r="O482" s="97" t="s">
        <v>4</v>
      </c>
      <c r="P482" s="97" t="s">
        <v>4</v>
      </c>
      <c r="Q482" s="97" t="s">
        <v>579</v>
      </c>
      <c r="R482" s="97" t="s">
        <v>327</v>
      </c>
      <c r="S482" s="97" t="s">
        <v>1514</v>
      </c>
      <c r="T482" s="97" t="s">
        <v>366</v>
      </c>
      <c r="U482" s="97" t="s">
        <v>311</v>
      </c>
      <c r="V482" s="97" t="s">
        <v>1146</v>
      </c>
      <c r="W482" s="97" t="s">
        <v>1192</v>
      </c>
      <c r="X482" s="97" t="s">
        <v>310</v>
      </c>
      <c r="Y482" s="97" t="s">
        <v>309</v>
      </c>
      <c r="AA482" s="97" t="s">
        <v>408</v>
      </c>
      <c r="AB482" s="97" t="s">
        <v>308</v>
      </c>
      <c r="AC482" s="97" t="s">
        <v>307</v>
      </c>
      <c r="AD482" s="97" t="s">
        <v>431</v>
      </c>
      <c r="AE482" s="97" t="s">
        <v>535</v>
      </c>
      <c r="AF482" s="97" t="s">
        <v>2018</v>
      </c>
      <c r="AG482" s="97" t="s">
        <v>306</v>
      </c>
      <c r="AH482" s="97" t="s">
        <v>302</v>
      </c>
      <c r="AI482" s="97" t="s">
        <v>302</v>
      </c>
      <c r="AJ482" s="97" t="s">
        <v>302</v>
      </c>
      <c r="AK482" s="97" t="s">
        <v>302</v>
      </c>
      <c r="AL482" s="97" t="s">
        <v>302</v>
      </c>
      <c r="AM482" s="97" t="s">
        <v>302</v>
      </c>
      <c r="AN482" s="97" t="s">
        <v>302</v>
      </c>
      <c r="AO482" s="97" t="s">
        <v>302</v>
      </c>
      <c r="AP482" s="97" t="s">
        <v>302</v>
      </c>
      <c r="AQ482" s="97" t="s">
        <v>302</v>
      </c>
      <c r="AR482" s="97" t="s">
        <v>343</v>
      </c>
      <c r="AS482" s="97" t="s">
        <v>350</v>
      </c>
      <c r="AT482" s="97" t="s">
        <v>355</v>
      </c>
      <c r="AU482" s="97" t="s">
        <v>320</v>
      </c>
      <c r="AV482" s="97" t="s">
        <v>547</v>
      </c>
      <c r="AW482" s="97" t="s">
        <v>296</v>
      </c>
      <c r="AX482" s="97" t="s">
        <v>319</v>
      </c>
      <c r="AY482" s="97" t="s">
        <v>2019</v>
      </c>
    </row>
    <row r="483" spans="1:51" ht="144" x14ac:dyDescent="0.3">
      <c r="A483" s="103">
        <v>42070.304629629631</v>
      </c>
      <c r="B483" s="97" t="s">
        <v>1129</v>
      </c>
      <c r="C483" s="97" t="s">
        <v>552</v>
      </c>
      <c r="D483" s="97" t="s">
        <v>331</v>
      </c>
      <c r="E483" s="97" t="s">
        <v>3</v>
      </c>
      <c r="F483" s="97" t="s">
        <v>383</v>
      </c>
      <c r="G483" s="97" t="s">
        <v>407</v>
      </c>
      <c r="H483" s="97" t="s">
        <v>5</v>
      </c>
      <c r="I483" s="97" t="s">
        <v>345</v>
      </c>
      <c r="J483" s="97" t="s">
        <v>1281</v>
      </c>
      <c r="K483" s="97" t="s">
        <v>315</v>
      </c>
      <c r="L483" s="97" t="s">
        <v>719</v>
      </c>
      <c r="M483" s="97" t="s">
        <v>367</v>
      </c>
      <c r="N483" s="97" t="s">
        <v>313</v>
      </c>
      <c r="O483" s="97" t="s">
        <v>327</v>
      </c>
      <c r="P483" s="97" t="s">
        <v>313</v>
      </c>
      <c r="Q483" s="97" t="s">
        <v>1023</v>
      </c>
      <c r="R483" s="97" t="s">
        <v>327</v>
      </c>
      <c r="S483" s="97" t="s">
        <v>892</v>
      </c>
      <c r="T483" s="97" t="s">
        <v>366</v>
      </c>
      <c r="U483" s="97" t="s">
        <v>311</v>
      </c>
      <c r="V483" s="97" t="s">
        <v>747</v>
      </c>
      <c r="W483" s="97" t="s">
        <v>419</v>
      </c>
      <c r="X483" s="97" t="s">
        <v>337</v>
      </c>
      <c r="Y483" s="97" t="s">
        <v>309</v>
      </c>
      <c r="Z483" s="97" t="s">
        <v>345</v>
      </c>
      <c r="AA483" s="97" t="s">
        <v>2020</v>
      </c>
      <c r="AB483" s="97" t="s">
        <v>308</v>
      </c>
      <c r="AC483" s="97" t="s">
        <v>307</v>
      </c>
      <c r="AD483" s="97" t="s">
        <v>431</v>
      </c>
      <c r="AE483" s="97" t="s">
        <v>535</v>
      </c>
      <c r="AF483" s="97" t="s">
        <v>2021</v>
      </c>
      <c r="AG483" s="97" t="s">
        <v>323</v>
      </c>
      <c r="AH483" s="97" t="s">
        <v>303</v>
      </c>
      <c r="AI483" s="97" t="s">
        <v>303</v>
      </c>
      <c r="AJ483" s="97" t="s">
        <v>303</v>
      </c>
      <c r="AK483" s="97" t="s">
        <v>303</v>
      </c>
      <c r="AL483" s="97" t="s">
        <v>303</v>
      </c>
      <c r="AM483" s="97" t="s">
        <v>303</v>
      </c>
      <c r="AN483" s="97" t="s">
        <v>303</v>
      </c>
      <c r="AO483" s="97" t="s">
        <v>302</v>
      </c>
      <c r="AP483" s="97" t="s">
        <v>303</v>
      </c>
      <c r="AQ483" s="97" t="s">
        <v>303</v>
      </c>
      <c r="AR483" s="97" t="s">
        <v>391</v>
      </c>
      <c r="AS483" s="97" t="s">
        <v>350</v>
      </c>
      <c r="AT483" s="97" t="s">
        <v>355</v>
      </c>
      <c r="AU483" s="97" t="s">
        <v>342</v>
      </c>
      <c r="AV483" s="97" t="s">
        <v>536</v>
      </c>
      <c r="AW483" s="97" t="s">
        <v>307</v>
      </c>
      <c r="AX483" s="97" t="s">
        <v>319</v>
      </c>
      <c r="AY483" s="97" t="s">
        <v>1555</v>
      </c>
    </row>
    <row r="484" spans="1:51" ht="144" x14ac:dyDescent="0.3">
      <c r="A484" s="103">
        <v>42070.30541666667</v>
      </c>
      <c r="B484" s="97" t="s">
        <v>1129</v>
      </c>
      <c r="C484" s="97" t="s">
        <v>552</v>
      </c>
      <c r="D484" s="97" t="s">
        <v>331</v>
      </c>
      <c r="E484" s="97" t="s">
        <v>3</v>
      </c>
      <c r="F484" s="97" t="s">
        <v>383</v>
      </c>
      <c r="G484" s="97" t="s">
        <v>407</v>
      </c>
      <c r="H484" s="97" t="s">
        <v>5</v>
      </c>
      <c r="I484" s="97" t="s">
        <v>345</v>
      </c>
      <c r="J484" s="97" t="s">
        <v>1281</v>
      </c>
      <c r="K484" s="97" t="s">
        <v>315</v>
      </c>
      <c r="L484" s="97" t="s">
        <v>719</v>
      </c>
      <c r="M484" s="97" t="s">
        <v>367</v>
      </c>
      <c r="N484" s="97" t="s">
        <v>313</v>
      </c>
      <c r="O484" s="97" t="s">
        <v>327</v>
      </c>
      <c r="P484" s="97" t="s">
        <v>313</v>
      </c>
      <c r="Q484" s="97" t="s">
        <v>1023</v>
      </c>
      <c r="R484" s="97" t="s">
        <v>327</v>
      </c>
      <c r="S484" s="97" t="s">
        <v>892</v>
      </c>
      <c r="T484" s="97" t="s">
        <v>366</v>
      </c>
      <c r="U484" s="97" t="s">
        <v>311</v>
      </c>
      <c r="V484" s="97" t="s">
        <v>747</v>
      </c>
      <c r="W484" s="97" t="s">
        <v>419</v>
      </c>
      <c r="X484" s="97" t="s">
        <v>337</v>
      </c>
      <c r="Y484" s="97" t="s">
        <v>309</v>
      </c>
      <c r="Z484" s="97" t="s">
        <v>345</v>
      </c>
      <c r="AA484" s="97" t="s">
        <v>2020</v>
      </c>
      <c r="AB484" s="97" t="s">
        <v>308</v>
      </c>
      <c r="AC484" s="97" t="s">
        <v>307</v>
      </c>
      <c r="AD484" s="97" t="s">
        <v>431</v>
      </c>
      <c r="AE484" s="97" t="s">
        <v>535</v>
      </c>
      <c r="AF484" s="97" t="s">
        <v>2021</v>
      </c>
      <c r="AG484" s="97" t="s">
        <v>323</v>
      </c>
      <c r="AH484" s="97" t="s">
        <v>303</v>
      </c>
      <c r="AI484" s="97" t="s">
        <v>303</v>
      </c>
      <c r="AJ484" s="97" t="s">
        <v>303</v>
      </c>
      <c r="AK484" s="97" t="s">
        <v>303</v>
      </c>
      <c r="AL484" s="97" t="s">
        <v>303</v>
      </c>
      <c r="AM484" s="97" t="s">
        <v>303</v>
      </c>
      <c r="AN484" s="97" t="s">
        <v>303</v>
      </c>
      <c r="AO484" s="97" t="s">
        <v>302</v>
      </c>
      <c r="AP484" s="97" t="s">
        <v>303</v>
      </c>
      <c r="AQ484" s="97" t="s">
        <v>303</v>
      </c>
      <c r="AR484" s="97" t="s">
        <v>391</v>
      </c>
      <c r="AS484" s="97" t="s">
        <v>350</v>
      </c>
      <c r="AT484" s="97" t="s">
        <v>355</v>
      </c>
      <c r="AU484" s="97" t="s">
        <v>342</v>
      </c>
      <c r="AV484" s="97" t="s">
        <v>536</v>
      </c>
      <c r="AW484" s="97" t="s">
        <v>307</v>
      </c>
      <c r="AX484" s="97" t="s">
        <v>319</v>
      </c>
      <c r="AY484" s="97" t="s">
        <v>1555</v>
      </c>
    </row>
    <row r="485" spans="1:51" ht="129.6" x14ac:dyDescent="0.3">
      <c r="A485" s="103">
        <v>42070.308796296296</v>
      </c>
      <c r="B485" s="97" t="s">
        <v>1129</v>
      </c>
      <c r="C485" s="97" t="s">
        <v>552</v>
      </c>
      <c r="D485" s="97" t="s">
        <v>331</v>
      </c>
      <c r="E485" s="97" t="s">
        <v>330</v>
      </c>
      <c r="F485" s="97" t="s">
        <v>317</v>
      </c>
      <c r="G485" s="97" t="s">
        <v>412</v>
      </c>
      <c r="H485" s="97" t="s">
        <v>5</v>
      </c>
      <c r="I485" s="97" t="s">
        <v>309</v>
      </c>
      <c r="J485" s="97" t="s">
        <v>1045</v>
      </c>
      <c r="K485" s="97" t="s">
        <v>315</v>
      </c>
      <c r="L485" s="97" t="s">
        <v>719</v>
      </c>
      <c r="M485" s="97" t="s">
        <v>314</v>
      </c>
      <c r="N485" s="97" t="s">
        <v>327</v>
      </c>
      <c r="O485" s="97" t="s">
        <v>313</v>
      </c>
      <c r="P485" s="97" t="s">
        <v>4</v>
      </c>
      <c r="Q485" s="97" t="s">
        <v>670</v>
      </c>
      <c r="R485" s="97" t="s">
        <v>327</v>
      </c>
      <c r="S485" s="97" t="s">
        <v>2022</v>
      </c>
      <c r="T485" s="97" t="s">
        <v>312</v>
      </c>
      <c r="U485" s="97" t="s">
        <v>530</v>
      </c>
      <c r="V485" s="97" t="s">
        <v>909</v>
      </c>
      <c r="W485" s="97" t="s">
        <v>1278</v>
      </c>
      <c r="X485" s="97" t="s">
        <v>310</v>
      </c>
      <c r="Y485" s="97" t="s">
        <v>316</v>
      </c>
      <c r="Z485" s="97" t="s">
        <v>316</v>
      </c>
      <c r="AA485" s="97" t="s">
        <v>472</v>
      </c>
      <c r="AB485" s="97" t="s">
        <v>358</v>
      </c>
      <c r="AC485" s="97" t="s">
        <v>307</v>
      </c>
      <c r="AD485" s="97" t="s">
        <v>642</v>
      </c>
      <c r="AE485" s="97" t="s">
        <v>533</v>
      </c>
      <c r="AF485" s="97" t="s">
        <v>835</v>
      </c>
      <c r="AG485" s="97" t="s">
        <v>306</v>
      </c>
      <c r="AI485" s="97" t="s">
        <v>303</v>
      </c>
      <c r="AJ485" s="97" t="s">
        <v>302</v>
      </c>
      <c r="AK485" s="97" t="s">
        <v>302</v>
      </c>
      <c r="AL485" s="97" t="s">
        <v>302</v>
      </c>
      <c r="AM485" s="97" t="s">
        <v>302</v>
      </c>
      <c r="AN485" s="97" t="s">
        <v>302</v>
      </c>
      <c r="AO485" s="97" t="s">
        <v>302</v>
      </c>
      <c r="AP485" s="97" t="s">
        <v>302</v>
      </c>
      <c r="AQ485" s="97" t="s">
        <v>303</v>
      </c>
      <c r="AR485" s="97" t="s">
        <v>343</v>
      </c>
      <c r="AS485" s="97" t="s">
        <v>489</v>
      </c>
      <c r="AT485" s="97" t="s">
        <v>355</v>
      </c>
      <c r="AU485" s="97" t="s">
        <v>320</v>
      </c>
      <c r="AV485" s="97" t="s">
        <v>297</v>
      </c>
      <c r="AW485" s="97" t="s">
        <v>307</v>
      </c>
      <c r="AX485" s="97" t="s">
        <v>319</v>
      </c>
      <c r="AY485" s="97" t="s">
        <v>644</v>
      </c>
    </row>
    <row r="486" spans="1:51" ht="187.2" x14ac:dyDescent="0.3">
      <c r="A486" s="103">
        <v>42070.312986111108</v>
      </c>
      <c r="B486" s="97" t="s">
        <v>1129</v>
      </c>
      <c r="C486" s="97" t="s">
        <v>552</v>
      </c>
      <c r="D486" s="97" t="s">
        <v>560</v>
      </c>
      <c r="E486" s="97" t="s">
        <v>330</v>
      </c>
      <c r="F486" s="97" t="s">
        <v>317</v>
      </c>
      <c r="G486" s="97" t="s">
        <v>446</v>
      </c>
      <c r="H486" s="97" t="s">
        <v>823</v>
      </c>
      <c r="I486" s="97" t="s">
        <v>309</v>
      </c>
      <c r="J486" s="97" t="s">
        <v>2023</v>
      </c>
      <c r="K486" s="97" t="s">
        <v>315</v>
      </c>
      <c r="L486" s="97" t="s">
        <v>450</v>
      </c>
      <c r="M486" s="97" t="s">
        <v>367</v>
      </c>
      <c r="N486" s="97" t="s">
        <v>4</v>
      </c>
      <c r="O486" s="97" t="s">
        <v>4</v>
      </c>
      <c r="P486" s="97" t="s">
        <v>4</v>
      </c>
      <c r="Q486" s="97" t="s">
        <v>2024</v>
      </c>
      <c r="R486" s="97" t="s">
        <v>4</v>
      </c>
      <c r="S486" s="97" t="s">
        <v>2025</v>
      </c>
      <c r="T486" s="97" t="s">
        <v>312</v>
      </c>
      <c r="U486" s="97" t="s">
        <v>347</v>
      </c>
      <c r="V486" s="97" t="s">
        <v>828</v>
      </c>
      <c r="W486" s="97" t="s">
        <v>1192</v>
      </c>
      <c r="X486" s="97" t="s">
        <v>310</v>
      </c>
      <c r="Y486" s="97" t="s">
        <v>345</v>
      </c>
      <c r="Z486" s="97" t="s">
        <v>345</v>
      </c>
      <c r="AA486" s="97" t="s">
        <v>432</v>
      </c>
      <c r="AB486" s="97" t="s">
        <v>336</v>
      </c>
      <c r="AC486" s="97" t="s">
        <v>296</v>
      </c>
      <c r="AD486" s="97" t="s">
        <v>2026</v>
      </c>
      <c r="AE486" s="97" t="s">
        <v>539</v>
      </c>
      <c r="AF486" s="97" t="s">
        <v>1553</v>
      </c>
      <c r="AG486" s="97" t="s">
        <v>306</v>
      </c>
      <c r="AH486" s="97" t="s">
        <v>302</v>
      </c>
      <c r="AI486" s="97" t="s">
        <v>302</v>
      </c>
      <c r="AJ486" s="97" t="s">
        <v>302</v>
      </c>
      <c r="AK486" s="97" t="s">
        <v>302</v>
      </c>
      <c r="AL486" s="97" t="s">
        <v>302</v>
      </c>
      <c r="AM486" s="97" t="s">
        <v>302</v>
      </c>
      <c r="AN486" s="97" t="s">
        <v>302</v>
      </c>
      <c r="AO486" s="97" t="s">
        <v>302</v>
      </c>
      <c r="AP486" s="97" t="s">
        <v>302</v>
      </c>
      <c r="AQ486" s="97" t="s">
        <v>302</v>
      </c>
      <c r="AR486" s="97" t="s">
        <v>391</v>
      </c>
      <c r="AS486" s="97" t="s">
        <v>729</v>
      </c>
      <c r="AT486" s="97" t="s">
        <v>355</v>
      </c>
      <c r="AU486" s="97" t="s">
        <v>320</v>
      </c>
      <c r="AV486" s="97" t="s">
        <v>547</v>
      </c>
      <c r="AW486" s="97" t="s">
        <v>296</v>
      </c>
      <c r="AX486" s="97" t="s">
        <v>319</v>
      </c>
      <c r="AY486" s="97" t="s">
        <v>1086</v>
      </c>
    </row>
    <row r="487" spans="1:51" ht="288" x14ac:dyDescent="0.3">
      <c r="A487" s="103">
        <v>42070.314236111109</v>
      </c>
      <c r="B487" s="97" t="s">
        <v>1129</v>
      </c>
      <c r="C487" s="97" t="s">
        <v>552</v>
      </c>
      <c r="D487" s="97" t="s">
        <v>331</v>
      </c>
      <c r="E487" s="97" t="s">
        <v>330</v>
      </c>
      <c r="F487" s="97" t="s">
        <v>317</v>
      </c>
      <c r="G487" s="97" t="s">
        <v>407</v>
      </c>
      <c r="H487" s="97" t="s">
        <v>5</v>
      </c>
      <c r="I487" s="97" t="s">
        <v>345</v>
      </c>
      <c r="J487" s="97" t="s">
        <v>695</v>
      </c>
      <c r="K487" s="97" t="s">
        <v>354</v>
      </c>
      <c r="L487" s="97" t="s">
        <v>657</v>
      </c>
      <c r="M487" s="97" t="s">
        <v>363</v>
      </c>
      <c r="N487" s="97" t="s">
        <v>4</v>
      </c>
      <c r="O487" s="97" t="s">
        <v>4</v>
      </c>
      <c r="P487" s="97" t="s">
        <v>327</v>
      </c>
      <c r="Q487" s="97" t="s">
        <v>579</v>
      </c>
      <c r="R487" s="97" t="s">
        <v>327</v>
      </c>
      <c r="S487" s="97" t="s">
        <v>2027</v>
      </c>
      <c r="T487" s="97" t="s">
        <v>366</v>
      </c>
      <c r="U487" s="97" t="s">
        <v>347</v>
      </c>
      <c r="V487" s="97" t="s">
        <v>2028</v>
      </c>
      <c r="W487" s="97" t="s">
        <v>550</v>
      </c>
      <c r="X487" s="97" t="s">
        <v>310</v>
      </c>
      <c r="Y487" s="97" t="s">
        <v>316</v>
      </c>
      <c r="Z487" s="97" t="s">
        <v>316</v>
      </c>
      <c r="AA487" s="97" t="s">
        <v>472</v>
      </c>
      <c r="AB487" s="97" t="s">
        <v>376</v>
      </c>
      <c r="AC487" s="97" t="s">
        <v>381</v>
      </c>
      <c r="AD487" s="97" t="s">
        <v>806</v>
      </c>
      <c r="AE487" s="97" t="s">
        <v>532</v>
      </c>
      <c r="AF487" s="97" t="s">
        <v>1330</v>
      </c>
      <c r="AG487" s="97" t="s">
        <v>323</v>
      </c>
      <c r="AH487" s="97" t="s">
        <v>302</v>
      </c>
      <c r="AI487" s="97" t="s">
        <v>302</v>
      </c>
      <c r="AJ487" s="97" t="s">
        <v>302</v>
      </c>
      <c r="AK487" s="97" t="s">
        <v>302</v>
      </c>
      <c r="AL487" s="97" t="s">
        <v>302</v>
      </c>
      <c r="AM487" s="97" t="s">
        <v>302</v>
      </c>
      <c r="AN487" s="97" t="s">
        <v>302</v>
      </c>
      <c r="AO487" s="97" t="s">
        <v>302</v>
      </c>
      <c r="AP487" s="97" t="s">
        <v>302</v>
      </c>
      <c r="AQ487" s="97" t="s">
        <v>302</v>
      </c>
      <c r="AR487" s="97" t="s">
        <v>541</v>
      </c>
      <c r="AS487" s="97" t="s">
        <v>300</v>
      </c>
      <c r="AT487" s="97" t="s">
        <v>355</v>
      </c>
      <c r="AU487" s="97" t="s">
        <v>342</v>
      </c>
      <c r="AV487" s="97" t="s">
        <v>364</v>
      </c>
      <c r="AW487" s="97" t="s">
        <v>296</v>
      </c>
      <c r="AX487" s="97" t="s">
        <v>319</v>
      </c>
      <c r="AY487" s="97" t="s">
        <v>1417</v>
      </c>
    </row>
    <row r="488" spans="1:51" ht="129.6" x14ac:dyDescent="0.3">
      <c r="A488" s="103">
        <v>42070.318483796298</v>
      </c>
      <c r="B488" s="97" t="s">
        <v>1129</v>
      </c>
      <c r="C488" s="97" t="s">
        <v>552</v>
      </c>
      <c r="D488" s="97" t="s">
        <v>331</v>
      </c>
      <c r="E488" s="97" t="s">
        <v>330</v>
      </c>
      <c r="F488" s="97" t="s">
        <v>383</v>
      </c>
      <c r="G488" s="97" t="s">
        <v>407</v>
      </c>
      <c r="H488" s="97" t="s">
        <v>823</v>
      </c>
      <c r="I488" s="97" t="s">
        <v>309</v>
      </c>
      <c r="J488" s="97" t="s">
        <v>1281</v>
      </c>
      <c r="K488" s="97" t="s">
        <v>368</v>
      </c>
      <c r="L488" s="97" t="s">
        <v>450</v>
      </c>
      <c r="M488" s="97" t="s">
        <v>353</v>
      </c>
      <c r="N488" s="97" t="s">
        <v>327</v>
      </c>
      <c r="O488" s="97" t="s">
        <v>327</v>
      </c>
      <c r="P488" s="97" t="s">
        <v>4</v>
      </c>
      <c r="Q488" s="97" t="s">
        <v>577</v>
      </c>
      <c r="R488" s="97" t="s">
        <v>327</v>
      </c>
      <c r="S488" s="97" t="s">
        <v>1289</v>
      </c>
      <c r="T488" s="97" t="s">
        <v>312</v>
      </c>
      <c r="U488" s="97" t="s">
        <v>347</v>
      </c>
      <c r="V488" s="97" t="s">
        <v>379</v>
      </c>
      <c r="W488" s="97" t="s">
        <v>338</v>
      </c>
      <c r="X488" s="97" t="s">
        <v>346</v>
      </c>
      <c r="Y488" s="97" t="s">
        <v>316</v>
      </c>
      <c r="Z488" s="97" t="s">
        <v>316</v>
      </c>
      <c r="AA488" s="97" t="s">
        <v>1061</v>
      </c>
      <c r="AB488" s="97" t="s">
        <v>308</v>
      </c>
      <c r="AC488" s="97" t="s">
        <v>307</v>
      </c>
      <c r="AD488" s="97" t="s">
        <v>603</v>
      </c>
      <c r="AE488" s="97" t="s">
        <v>532</v>
      </c>
      <c r="AF488" s="97" t="s">
        <v>1376</v>
      </c>
      <c r="AG488" s="97" t="s">
        <v>306</v>
      </c>
      <c r="AH488" s="97" t="s">
        <v>303</v>
      </c>
      <c r="AI488" s="97" t="s">
        <v>303</v>
      </c>
      <c r="AJ488" s="97" t="s">
        <v>302</v>
      </c>
      <c r="AK488" s="97" t="s">
        <v>302</v>
      </c>
      <c r="AL488" s="97" t="s">
        <v>303</v>
      </c>
      <c r="AM488" s="97" t="s">
        <v>302</v>
      </c>
      <c r="AN488" s="97" t="s">
        <v>303</v>
      </c>
      <c r="AO488" s="97" t="s">
        <v>302</v>
      </c>
      <c r="AP488" s="97" t="s">
        <v>302</v>
      </c>
      <c r="AQ488" s="97" t="s">
        <v>302</v>
      </c>
      <c r="AR488" s="97" t="s">
        <v>301</v>
      </c>
      <c r="AS488" s="97" t="s">
        <v>300</v>
      </c>
      <c r="AT488" s="97" t="s">
        <v>321</v>
      </c>
      <c r="AU488" s="97" t="s">
        <v>320</v>
      </c>
      <c r="AV488" s="97" t="s">
        <v>536</v>
      </c>
      <c r="AW488" s="97" t="s">
        <v>307</v>
      </c>
      <c r="AX488" s="97" t="s">
        <v>341</v>
      </c>
      <c r="AY488" s="97" t="s">
        <v>684</v>
      </c>
    </row>
    <row r="489" spans="1:51" ht="100.8" x14ac:dyDescent="0.3">
      <c r="A489" s="103">
        <v>42070.323333333334</v>
      </c>
      <c r="B489" s="97" t="s">
        <v>1129</v>
      </c>
      <c r="C489" s="97" t="s">
        <v>552</v>
      </c>
      <c r="D489" s="97" t="s">
        <v>700</v>
      </c>
      <c r="E489" s="97" t="s">
        <v>3</v>
      </c>
      <c r="F489" s="97" t="s">
        <v>372</v>
      </c>
      <c r="G489" s="97" t="s">
        <v>435</v>
      </c>
      <c r="H489" s="97" t="s">
        <v>390</v>
      </c>
      <c r="I489" s="97" t="s">
        <v>309</v>
      </c>
      <c r="J489" s="97" t="s">
        <v>2029</v>
      </c>
      <c r="K489" s="97" t="s">
        <v>368</v>
      </c>
      <c r="L489" s="97" t="s">
        <v>427</v>
      </c>
      <c r="M489" s="97" t="s">
        <v>353</v>
      </c>
      <c r="N489" s="97" t="s">
        <v>4</v>
      </c>
      <c r="O489" s="97" t="s">
        <v>313</v>
      </c>
      <c r="P489" s="97" t="s">
        <v>4</v>
      </c>
      <c r="Q489" s="97" t="s">
        <v>1507</v>
      </c>
      <c r="R489" s="97" t="s">
        <v>327</v>
      </c>
      <c r="S489" s="97" t="s">
        <v>638</v>
      </c>
      <c r="T489" s="97" t="s">
        <v>312</v>
      </c>
      <c r="U489" s="97" t="s">
        <v>530</v>
      </c>
      <c r="V489" s="97" t="s">
        <v>371</v>
      </c>
      <c r="W489" s="97" t="s">
        <v>338</v>
      </c>
      <c r="X489" s="97" t="s">
        <v>346</v>
      </c>
      <c r="Y489" s="97" t="s">
        <v>345</v>
      </c>
      <c r="Z489" s="97" t="s">
        <v>345</v>
      </c>
      <c r="AA489" s="97" t="s">
        <v>472</v>
      </c>
      <c r="AB489" s="97" t="s">
        <v>358</v>
      </c>
      <c r="AC489" s="97" t="s">
        <v>307</v>
      </c>
      <c r="AD489" s="97" t="s">
        <v>414</v>
      </c>
      <c r="AE489" s="97" t="s">
        <v>532</v>
      </c>
      <c r="AF489" s="97" t="s">
        <v>1104</v>
      </c>
      <c r="AG489" s="97" t="s">
        <v>306</v>
      </c>
      <c r="AH489" s="97" t="s">
        <v>303</v>
      </c>
      <c r="AI489" s="97" t="s">
        <v>303</v>
      </c>
      <c r="AJ489" s="97" t="s">
        <v>302</v>
      </c>
      <c r="AK489" s="97" t="s">
        <v>302</v>
      </c>
      <c r="AL489" s="97" t="s">
        <v>302</v>
      </c>
      <c r="AM489" s="97" t="s">
        <v>302</v>
      </c>
      <c r="AN489" s="97" t="s">
        <v>303</v>
      </c>
      <c r="AO489" s="97" t="s">
        <v>303</v>
      </c>
      <c r="AP489" s="97" t="s">
        <v>6</v>
      </c>
      <c r="AQ489" s="97" t="s">
        <v>302</v>
      </c>
      <c r="AR489" s="97" t="s">
        <v>391</v>
      </c>
      <c r="AS489" s="97" t="s">
        <v>350</v>
      </c>
      <c r="AT489" s="97" t="s">
        <v>360</v>
      </c>
      <c r="AU489" s="97" t="s">
        <v>320</v>
      </c>
      <c r="AV489" s="97" t="s">
        <v>536</v>
      </c>
      <c r="AW489" s="97" t="s">
        <v>307</v>
      </c>
      <c r="AX489" s="97" t="s">
        <v>341</v>
      </c>
      <c r="AY489" s="97" t="s">
        <v>1075</v>
      </c>
    </row>
    <row r="490" spans="1:51" ht="129.6" x14ac:dyDescent="0.3">
      <c r="A490" s="103">
        <v>42070.331631944442</v>
      </c>
      <c r="B490" s="97" t="s">
        <v>1129</v>
      </c>
      <c r="C490" s="97" t="s">
        <v>552</v>
      </c>
      <c r="D490" s="97" t="s">
        <v>529</v>
      </c>
      <c r="E490" s="97" t="s">
        <v>3</v>
      </c>
      <c r="F490" s="97" t="s">
        <v>317</v>
      </c>
      <c r="G490" s="97" t="s">
        <v>497</v>
      </c>
      <c r="H490" s="97" t="s">
        <v>679</v>
      </c>
      <c r="I490" s="97" t="s">
        <v>494</v>
      </c>
      <c r="J490" s="97" t="s">
        <v>2030</v>
      </c>
      <c r="K490" s="97" t="s">
        <v>384</v>
      </c>
      <c r="L490" s="97" t="s">
        <v>411</v>
      </c>
      <c r="M490" s="97" t="s">
        <v>314</v>
      </c>
      <c r="N490" s="97" t="s">
        <v>4</v>
      </c>
      <c r="O490" s="97" t="s">
        <v>327</v>
      </c>
      <c r="P490" s="97" t="s">
        <v>327</v>
      </c>
      <c r="Q490" s="97" t="s">
        <v>2031</v>
      </c>
      <c r="R490" s="97" t="s">
        <v>327</v>
      </c>
      <c r="S490" s="97" t="s">
        <v>2032</v>
      </c>
      <c r="T490" s="97" t="s">
        <v>366</v>
      </c>
      <c r="U490" s="97" t="s">
        <v>347</v>
      </c>
      <c r="V490" s="97" t="s">
        <v>404</v>
      </c>
      <c r="W490" s="97" t="s">
        <v>419</v>
      </c>
      <c r="X490" s="97" t="s">
        <v>352</v>
      </c>
      <c r="Y490" s="97" t="s">
        <v>316</v>
      </c>
      <c r="Z490" s="97" t="s">
        <v>345</v>
      </c>
      <c r="AA490" s="97" t="s">
        <v>829</v>
      </c>
      <c r="AB490" s="97" t="s">
        <v>308</v>
      </c>
      <c r="AC490" s="97" t="s">
        <v>351</v>
      </c>
      <c r="AD490" s="97" t="s">
        <v>2033</v>
      </c>
      <c r="AE490" s="97" t="s">
        <v>545</v>
      </c>
      <c r="AF490" s="97" t="s">
        <v>455</v>
      </c>
      <c r="AG490" s="97" t="s">
        <v>306</v>
      </c>
      <c r="AH490" s="97" t="s">
        <v>302</v>
      </c>
      <c r="AI490" s="97" t="s">
        <v>302</v>
      </c>
      <c r="AJ490" s="97" t="s">
        <v>302</v>
      </c>
      <c r="AK490" s="97" t="s">
        <v>303</v>
      </c>
      <c r="AL490" s="97" t="s">
        <v>303</v>
      </c>
      <c r="AM490" s="97" t="s">
        <v>302</v>
      </c>
      <c r="AN490" s="97" t="s">
        <v>302</v>
      </c>
      <c r="AO490" s="97" t="s">
        <v>303</v>
      </c>
      <c r="AP490" s="97" t="s">
        <v>302</v>
      </c>
      <c r="AQ490" s="97" t="s">
        <v>302</v>
      </c>
      <c r="AR490" s="97" t="s">
        <v>391</v>
      </c>
      <c r="AS490" s="97" t="s">
        <v>300</v>
      </c>
      <c r="AT490" s="97" t="s">
        <v>334</v>
      </c>
      <c r="AU490" s="97" t="s">
        <v>320</v>
      </c>
      <c r="AV490" s="97" t="s">
        <v>333</v>
      </c>
      <c r="AW490" s="97" t="s">
        <v>307</v>
      </c>
      <c r="AX490" s="97" t="s">
        <v>549</v>
      </c>
      <c r="AY490" s="97" t="s">
        <v>484</v>
      </c>
    </row>
    <row r="491" spans="1:51" ht="187.2" x14ac:dyDescent="0.3">
      <c r="A491" s="103">
        <v>42070.335914351854</v>
      </c>
      <c r="B491" s="97" t="s">
        <v>1129</v>
      </c>
      <c r="C491" s="97" t="s">
        <v>552</v>
      </c>
      <c r="D491" s="97" t="s">
        <v>331</v>
      </c>
      <c r="E491" s="97" t="s">
        <v>3</v>
      </c>
      <c r="F491" s="97" t="s">
        <v>317</v>
      </c>
      <c r="G491" s="97" t="s">
        <v>412</v>
      </c>
      <c r="H491" s="97" t="s">
        <v>5</v>
      </c>
      <c r="I491" s="97" t="s">
        <v>309</v>
      </c>
      <c r="J491" s="97" t="s">
        <v>721</v>
      </c>
      <c r="K491" s="97" t="s">
        <v>328</v>
      </c>
      <c r="L491" s="97" t="s">
        <v>1342</v>
      </c>
      <c r="M491" s="97" t="s">
        <v>348</v>
      </c>
      <c r="N491" s="97" t="s">
        <v>327</v>
      </c>
      <c r="O491" s="97" t="s">
        <v>4</v>
      </c>
      <c r="P491" s="97" t="s">
        <v>4</v>
      </c>
      <c r="Q491" s="97" t="s">
        <v>548</v>
      </c>
      <c r="R491" s="97" t="s">
        <v>327</v>
      </c>
      <c r="S491" s="97" t="s">
        <v>895</v>
      </c>
      <c r="U491" s="97" t="s">
        <v>311</v>
      </c>
      <c r="V491" s="97" t="s">
        <v>2034</v>
      </c>
      <c r="W491" s="97" t="s">
        <v>325</v>
      </c>
      <c r="X491" s="97" t="s">
        <v>352</v>
      </c>
      <c r="Y491" s="97" t="s">
        <v>345</v>
      </c>
      <c r="Z491" s="97" t="s">
        <v>316</v>
      </c>
      <c r="AA491" s="97" t="s">
        <v>408</v>
      </c>
      <c r="AB491" s="97" t="s">
        <v>358</v>
      </c>
      <c r="AC491" s="97" t="s">
        <v>307</v>
      </c>
      <c r="AD491" s="97" t="s">
        <v>414</v>
      </c>
      <c r="AE491" s="97" t="s">
        <v>533</v>
      </c>
      <c r="AF491" s="97" t="s">
        <v>403</v>
      </c>
      <c r="AG491" s="97" t="s">
        <v>323</v>
      </c>
      <c r="AH491" s="97" t="s">
        <v>303</v>
      </c>
      <c r="AI491" s="97" t="s">
        <v>303</v>
      </c>
      <c r="AJ491" s="97" t="s">
        <v>303</v>
      </c>
      <c r="AK491" s="97" t="s">
        <v>303</v>
      </c>
      <c r="AL491" s="97" t="s">
        <v>303</v>
      </c>
      <c r="AM491" s="97" t="s">
        <v>304</v>
      </c>
      <c r="AN491" s="97" t="s">
        <v>304</v>
      </c>
      <c r="AO491" s="97" t="s">
        <v>303</v>
      </c>
      <c r="AQ491" s="97" t="s">
        <v>302</v>
      </c>
      <c r="AR491" s="97" t="s">
        <v>541</v>
      </c>
      <c r="AS491" s="97" t="s">
        <v>300</v>
      </c>
      <c r="AT491" s="97" t="s">
        <v>321</v>
      </c>
      <c r="AU491" s="97" t="s">
        <v>320</v>
      </c>
      <c r="AV491" s="97" t="s">
        <v>536</v>
      </c>
      <c r="AW491" s="97" t="s">
        <v>307</v>
      </c>
      <c r="AX491" s="97" t="s">
        <v>319</v>
      </c>
      <c r="AY491" s="97" t="s">
        <v>441</v>
      </c>
    </row>
    <row r="492" spans="1:51" ht="129.6" x14ac:dyDescent="0.3">
      <c r="A492" s="103">
        <v>42070.337199074071</v>
      </c>
      <c r="B492" s="97" t="s">
        <v>1129</v>
      </c>
      <c r="C492" s="97" t="s">
        <v>552</v>
      </c>
      <c r="D492" s="97" t="s">
        <v>331</v>
      </c>
      <c r="E492" s="97" t="s">
        <v>330</v>
      </c>
      <c r="F492" s="97" t="s">
        <v>317</v>
      </c>
      <c r="G492" s="97" t="s">
        <v>641</v>
      </c>
      <c r="H492" s="97" t="s">
        <v>5</v>
      </c>
      <c r="I492" s="97" t="s">
        <v>309</v>
      </c>
      <c r="J492" s="97" t="s">
        <v>1977</v>
      </c>
      <c r="K492" s="97" t="s">
        <v>315</v>
      </c>
      <c r="L492" s="97" t="s">
        <v>450</v>
      </c>
      <c r="M492" s="97" t="s">
        <v>348</v>
      </c>
      <c r="N492" s="97" t="s">
        <v>327</v>
      </c>
      <c r="O492" s="97" t="s">
        <v>313</v>
      </c>
      <c r="P492" s="97" t="s">
        <v>4</v>
      </c>
      <c r="Q492" s="97" t="s">
        <v>450</v>
      </c>
      <c r="R492" s="97" t="s">
        <v>327</v>
      </c>
      <c r="S492" s="97" t="s">
        <v>465</v>
      </c>
      <c r="T492" s="97" t="s">
        <v>366</v>
      </c>
      <c r="U492" s="97" t="s">
        <v>530</v>
      </c>
      <c r="V492" s="97" t="s">
        <v>2035</v>
      </c>
      <c r="W492" s="97" t="s">
        <v>338</v>
      </c>
      <c r="X492" s="97" t="s">
        <v>352</v>
      </c>
      <c r="Y492" s="97" t="s">
        <v>345</v>
      </c>
      <c r="Z492" s="97" t="s">
        <v>309</v>
      </c>
      <c r="AA492" s="97" t="s">
        <v>646</v>
      </c>
      <c r="AB492" s="97" t="s">
        <v>308</v>
      </c>
      <c r="AC492" s="97" t="s">
        <v>296</v>
      </c>
      <c r="AD492" s="97" t="s">
        <v>414</v>
      </c>
      <c r="AE492" s="97" t="s">
        <v>533</v>
      </c>
      <c r="AF492" s="97" t="s">
        <v>2021</v>
      </c>
      <c r="AG492" s="97" t="s">
        <v>304</v>
      </c>
      <c r="AH492" s="97" t="s">
        <v>302</v>
      </c>
      <c r="AI492" s="97" t="s">
        <v>302</v>
      </c>
      <c r="AJ492" s="97" t="s">
        <v>302</v>
      </c>
      <c r="AK492" s="97" t="s">
        <v>302</v>
      </c>
      <c r="AL492" s="97" t="s">
        <v>303</v>
      </c>
      <c r="AM492" s="97" t="s">
        <v>302</v>
      </c>
      <c r="AN492" s="97" t="s">
        <v>302</v>
      </c>
      <c r="AO492" s="97" t="s">
        <v>303</v>
      </c>
      <c r="AP492" s="97" t="s">
        <v>302</v>
      </c>
      <c r="AQ492" s="97" t="s">
        <v>302</v>
      </c>
      <c r="AR492" s="97" t="s">
        <v>322</v>
      </c>
      <c r="AS492" s="97" t="s">
        <v>350</v>
      </c>
      <c r="AT492" s="97" t="s">
        <v>321</v>
      </c>
      <c r="AU492" s="97" t="s">
        <v>320</v>
      </c>
      <c r="AV492" s="97" t="s">
        <v>547</v>
      </c>
      <c r="AW492" s="97" t="s">
        <v>296</v>
      </c>
      <c r="AX492" s="97" t="s">
        <v>319</v>
      </c>
      <c r="AY492" s="97" t="s">
        <v>684</v>
      </c>
    </row>
    <row r="493" spans="1:51" ht="230.4" x14ac:dyDescent="0.3">
      <c r="A493" s="103">
        <v>42070.343819444446</v>
      </c>
      <c r="B493" s="97" t="s">
        <v>1129</v>
      </c>
      <c r="C493" s="97" t="s">
        <v>552</v>
      </c>
      <c r="D493" s="97" t="s">
        <v>560</v>
      </c>
      <c r="E493" s="97" t="s">
        <v>330</v>
      </c>
      <c r="F493" s="97" t="s">
        <v>317</v>
      </c>
      <c r="G493" s="97" t="s">
        <v>407</v>
      </c>
      <c r="H493" s="97" t="s">
        <v>5</v>
      </c>
      <c r="I493" s="97" t="s">
        <v>309</v>
      </c>
      <c r="J493" s="97" t="s">
        <v>2036</v>
      </c>
      <c r="K493" s="97" t="s">
        <v>328</v>
      </c>
      <c r="L493" s="97" t="s">
        <v>411</v>
      </c>
      <c r="M493" s="97" t="s">
        <v>367</v>
      </c>
      <c r="N493" s="97" t="s">
        <v>313</v>
      </c>
      <c r="O493" s="97" t="s">
        <v>4</v>
      </c>
      <c r="P493" s="97" t="s">
        <v>4</v>
      </c>
      <c r="Q493" s="97" t="s">
        <v>417</v>
      </c>
      <c r="R493" s="97" t="s">
        <v>327</v>
      </c>
      <c r="S493" s="97" t="s">
        <v>926</v>
      </c>
      <c r="T493" s="97" t="s">
        <v>366</v>
      </c>
      <c r="U493" s="97" t="s">
        <v>373</v>
      </c>
      <c r="V493" s="97" t="s">
        <v>2037</v>
      </c>
      <c r="W493" s="97" t="s">
        <v>1192</v>
      </c>
      <c r="X493" s="97" t="s">
        <v>337</v>
      </c>
      <c r="Y493" s="97" t="s">
        <v>316</v>
      </c>
      <c r="Z493" s="97" t="s">
        <v>316</v>
      </c>
      <c r="AA493" s="97" t="s">
        <v>1933</v>
      </c>
      <c r="AB493" s="97" t="s">
        <v>376</v>
      </c>
      <c r="AC493" s="97" t="s">
        <v>307</v>
      </c>
      <c r="AD493" s="97" t="s">
        <v>426</v>
      </c>
      <c r="AE493" s="97" t="s">
        <v>539</v>
      </c>
      <c r="AF493" s="97" t="s">
        <v>1687</v>
      </c>
      <c r="AG493" s="97" t="s">
        <v>306</v>
      </c>
      <c r="AH493" s="97" t="s">
        <v>302</v>
      </c>
      <c r="AI493" s="97" t="s">
        <v>303</v>
      </c>
      <c r="AJ493" s="97" t="s">
        <v>302</v>
      </c>
      <c r="AK493" s="97" t="s">
        <v>302</v>
      </c>
      <c r="AM493" s="97" t="s">
        <v>302</v>
      </c>
      <c r="AN493" s="97" t="s">
        <v>302</v>
      </c>
      <c r="AP493" s="97" t="s">
        <v>302</v>
      </c>
      <c r="AQ493" s="97" t="s">
        <v>302</v>
      </c>
      <c r="AR493" s="97" t="s">
        <v>343</v>
      </c>
      <c r="AS493" s="97" t="s">
        <v>350</v>
      </c>
      <c r="AT493" s="97" t="s">
        <v>321</v>
      </c>
      <c r="AU493" s="97" t="s">
        <v>320</v>
      </c>
      <c r="AV493" s="97" t="s">
        <v>536</v>
      </c>
      <c r="AW493" s="97" t="s">
        <v>296</v>
      </c>
      <c r="AX493" s="97" t="s">
        <v>549</v>
      </c>
      <c r="AY493" s="97" t="s">
        <v>2038</v>
      </c>
    </row>
    <row r="494" spans="1:51" ht="172.8" x14ac:dyDescent="0.3">
      <c r="A494" s="103">
        <v>42070.356064814812</v>
      </c>
      <c r="B494" s="97" t="s">
        <v>1129</v>
      </c>
      <c r="C494" s="97" t="s">
        <v>552</v>
      </c>
      <c r="D494" s="97" t="s">
        <v>331</v>
      </c>
      <c r="E494" s="97" t="s">
        <v>3</v>
      </c>
      <c r="F494" s="97" t="s">
        <v>383</v>
      </c>
      <c r="G494" s="97" t="s">
        <v>2039</v>
      </c>
      <c r="H494" s="97" t="s">
        <v>5</v>
      </c>
      <c r="I494" s="97" t="s">
        <v>309</v>
      </c>
      <c r="J494" s="97" t="s">
        <v>544</v>
      </c>
      <c r="K494" s="97" t="s">
        <v>315</v>
      </c>
      <c r="L494" s="97" t="s">
        <v>450</v>
      </c>
      <c r="M494" s="97" t="s">
        <v>353</v>
      </c>
      <c r="N494" s="97" t="s">
        <v>313</v>
      </c>
      <c r="O494" s="97" t="s">
        <v>4</v>
      </c>
      <c r="P494" s="97" t="s">
        <v>4</v>
      </c>
      <c r="Q494" s="97" t="s">
        <v>1098</v>
      </c>
      <c r="R494" s="97" t="s">
        <v>327</v>
      </c>
      <c r="S494" s="97" t="s">
        <v>1897</v>
      </c>
      <c r="T494" s="97" t="s">
        <v>366</v>
      </c>
      <c r="U494" s="97" t="s">
        <v>311</v>
      </c>
      <c r="V494" s="97" t="s">
        <v>2040</v>
      </c>
      <c r="W494" s="97" t="s">
        <v>1278</v>
      </c>
      <c r="X494" s="97" t="s">
        <v>310</v>
      </c>
      <c r="Y494" s="97" t="s">
        <v>345</v>
      </c>
      <c r="Z494" s="97" t="s">
        <v>316</v>
      </c>
      <c r="AA494" s="97" t="s">
        <v>691</v>
      </c>
      <c r="AB494" s="97" t="s">
        <v>308</v>
      </c>
      <c r="AC494" s="97" t="s">
        <v>307</v>
      </c>
      <c r="AD494" s="97" t="s">
        <v>448</v>
      </c>
      <c r="AE494" s="97" t="s">
        <v>539</v>
      </c>
      <c r="AF494" s="97" t="s">
        <v>1802</v>
      </c>
      <c r="AG494" s="97" t="s">
        <v>323</v>
      </c>
      <c r="AH494" s="97" t="s">
        <v>303</v>
      </c>
      <c r="AI494" s="97" t="s">
        <v>303</v>
      </c>
      <c r="AJ494" s="97" t="s">
        <v>302</v>
      </c>
      <c r="AK494" s="97" t="s">
        <v>303</v>
      </c>
      <c r="AL494" s="97" t="s">
        <v>303</v>
      </c>
      <c r="AM494" s="97" t="s">
        <v>303</v>
      </c>
      <c r="AN494" s="97" t="s">
        <v>303</v>
      </c>
      <c r="AO494" s="97" t="s">
        <v>303</v>
      </c>
      <c r="AP494" s="97" t="s">
        <v>303</v>
      </c>
      <c r="AQ494" s="97" t="s">
        <v>303</v>
      </c>
      <c r="AR494" s="97" t="s">
        <v>391</v>
      </c>
      <c r="AS494" s="97" t="s">
        <v>350</v>
      </c>
      <c r="AT494" s="97" t="s">
        <v>321</v>
      </c>
      <c r="AU494" s="97" t="s">
        <v>320</v>
      </c>
      <c r="AV494" s="97" t="s">
        <v>364</v>
      </c>
      <c r="AW494" s="97" t="s">
        <v>307</v>
      </c>
      <c r="AX494" s="97" t="s">
        <v>319</v>
      </c>
      <c r="AY494" s="97" t="s">
        <v>418</v>
      </c>
    </row>
    <row r="495" spans="1:51" ht="172.8" x14ac:dyDescent="0.3">
      <c r="A495" s="103">
        <v>42070.358784722222</v>
      </c>
      <c r="B495" s="97" t="s">
        <v>1129</v>
      </c>
      <c r="C495" s="97" t="s">
        <v>552</v>
      </c>
      <c r="D495" s="97" t="s">
        <v>560</v>
      </c>
      <c r="E495" s="97" t="s">
        <v>330</v>
      </c>
      <c r="F495" s="97" t="s">
        <v>317</v>
      </c>
      <c r="G495" s="97" t="s">
        <v>435</v>
      </c>
      <c r="H495" s="97" t="s">
        <v>390</v>
      </c>
      <c r="I495" s="97" t="s">
        <v>309</v>
      </c>
      <c r="J495" s="97" t="s">
        <v>329</v>
      </c>
      <c r="K495" s="97" t="s">
        <v>315</v>
      </c>
      <c r="L495" s="97" t="s">
        <v>450</v>
      </c>
      <c r="M495" s="97" t="s">
        <v>367</v>
      </c>
      <c r="N495" s="97" t="s">
        <v>313</v>
      </c>
      <c r="O495" s="97" t="s">
        <v>327</v>
      </c>
      <c r="P495" s="97" t="s">
        <v>313</v>
      </c>
      <c r="Q495" s="97" t="s">
        <v>399</v>
      </c>
      <c r="R495" s="97" t="s">
        <v>327</v>
      </c>
      <c r="S495" s="97" t="s">
        <v>2041</v>
      </c>
      <c r="T495" s="97" t="s">
        <v>366</v>
      </c>
      <c r="U495" s="97" t="s">
        <v>311</v>
      </c>
      <c r="V495" s="97" t="s">
        <v>2042</v>
      </c>
      <c r="W495" s="97" t="s">
        <v>1192</v>
      </c>
      <c r="X495" s="97" t="s">
        <v>352</v>
      </c>
      <c r="Y495" s="97" t="s">
        <v>316</v>
      </c>
      <c r="Z495" s="97" t="s">
        <v>316</v>
      </c>
      <c r="AA495" s="97" t="s">
        <v>424</v>
      </c>
      <c r="AB495" s="97" t="s">
        <v>308</v>
      </c>
      <c r="AC495" s="97" t="s">
        <v>324</v>
      </c>
      <c r="AD495" s="97" t="s">
        <v>414</v>
      </c>
      <c r="AE495" s="97" t="s">
        <v>535</v>
      </c>
      <c r="AF495" s="97" t="s">
        <v>2021</v>
      </c>
      <c r="AG495" s="97" t="s">
        <v>400</v>
      </c>
      <c r="AH495" s="97" t="s">
        <v>304</v>
      </c>
      <c r="AI495" s="97" t="s">
        <v>304</v>
      </c>
      <c r="AJ495" s="97" t="s">
        <v>295</v>
      </c>
      <c r="AK495" s="97" t="s">
        <v>302</v>
      </c>
      <c r="AL495" s="97" t="s">
        <v>303</v>
      </c>
      <c r="AM495" s="97" t="s">
        <v>302</v>
      </c>
      <c r="AN495" s="97" t="s">
        <v>304</v>
      </c>
      <c r="AO495" s="97" t="s">
        <v>302</v>
      </c>
      <c r="AP495" s="97" t="s">
        <v>304</v>
      </c>
      <c r="AQ495" s="97" t="s">
        <v>302</v>
      </c>
      <c r="AR495" s="97" t="s">
        <v>322</v>
      </c>
      <c r="AS495" s="97" t="s">
        <v>300</v>
      </c>
      <c r="AT495" s="97" t="s">
        <v>321</v>
      </c>
      <c r="AU495" s="97" t="s">
        <v>320</v>
      </c>
      <c r="AV495" s="97" t="s">
        <v>392</v>
      </c>
      <c r="AW495" s="97" t="s">
        <v>307</v>
      </c>
      <c r="AX495" s="97" t="s">
        <v>319</v>
      </c>
      <c r="AY495" s="97" t="s">
        <v>940</v>
      </c>
    </row>
    <row r="496" spans="1:51" ht="273.60000000000002" x14ac:dyDescent="0.3">
      <c r="A496" s="103">
        <v>42070.362222222226</v>
      </c>
      <c r="B496" s="97" t="s">
        <v>1129</v>
      </c>
      <c r="C496" s="97" t="s">
        <v>552</v>
      </c>
      <c r="D496" s="97" t="s">
        <v>529</v>
      </c>
      <c r="E496" s="97" t="s">
        <v>3</v>
      </c>
      <c r="F496" s="97" t="s">
        <v>317</v>
      </c>
      <c r="G496" s="97" t="s">
        <v>497</v>
      </c>
      <c r="H496" s="97" t="s">
        <v>5</v>
      </c>
      <c r="I496" s="97" t="s">
        <v>309</v>
      </c>
      <c r="J496" s="97" t="s">
        <v>537</v>
      </c>
      <c r="K496" s="97" t="s">
        <v>368</v>
      </c>
      <c r="L496" s="97" t="s">
        <v>439</v>
      </c>
      <c r="M496" s="97" t="s">
        <v>314</v>
      </c>
      <c r="N496" s="97" t="s">
        <v>327</v>
      </c>
      <c r="O496" s="97" t="s">
        <v>327</v>
      </c>
      <c r="P496" s="97" t="s">
        <v>4</v>
      </c>
      <c r="Q496" s="97" t="s">
        <v>2043</v>
      </c>
      <c r="R496" s="97" t="s">
        <v>327</v>
      </c>
      <c r="S496" s="97" t="s">
        <v>2044</v>
      </c>
      <c r="T496" s="97" t="s">
        <v>312</v>
      </c>
      <c r="U496" s="97" t="s">
        <v>347</v>
      </c>
      <c r="V496" s="97" t="s">
        <v>437</v>
      </c>
      <c r="W496" s="97" t="s">
        <v>1192</v>
      </c>
      <c r="X496" s="97" t="s">
        <v>346</v>
      </c>
      <c r="Y496" s="97" t="s">
        <v>316</v>
      </c>
      <c r="Z496" s="97" t="s">
        <v>316</v>
      </c>
      <c r="AA496" s="97" t="s">
        <v>2045</v>
      </c>
      <c r="AB496" s="97" t="s">
        <v>308</v>
      </c>
      <c r="AC496" s="97" t="s">
        <v>324</v>
      </c>
      <c r="AD496" s="97" t="s">
        <v>2046</v>
      </c>
      <c r="AE496" s="97" t="s">
        <v>539</v>
      </c>
      <c r="AF496" s="97" t="s">
        <v>2047</v>
      </c>
      <c r="AG496" s="97" t="s">
        <v>306</v>
      </c>
      <c r="AH496" s="97" t="s">
        <v>302</v>
      </c>
      <c r="AI496" s="97" t="s">
        <v>302</v>
      </c>
      <c r="AJ496" s="97" t="s">
        <v>304</v>
      </c>
      <c r="AK496" s="97" t="s">
        <v>302</v>
      </c>
      <c r="AL496" s="97" t="s">
        <v>302</v>
      </c>
      <c r="AM496" s="97" t="s">
        <v>302</v>
      </c>
      <c r="AN496" s="97" t="s">
        <v>302</v>
      </c>
      <c r="AO496" s="97" t="s">
        <v>302</v>
      </c>
      <c r="AP496" s="97" t="s">
        <v>302</v>
      </c>
      <c r="AQ496" s="97" t="s">
        <v>302</v>
      </c>
      <c r="AR496" s="97" t="s">
        <v>301</v>
      </c>
      <c r="AS496" s="97" t="s">
        <v>300</v>
      </c>
      <c r="AT496" s="97" t="s">
        <v>355</v>
      </c>
      <c r="AU496" s="97" t="s">
        <v>320</v>
      </c>
      <c r="AV496" s="97" t="s">
        <v>547</v>
      </c>
      <c r="AW496" s="97" t="s">
        <v>307</v>
      </c>
      <c r="AX496" s="97" t="s">
        <v>319</v>
      </c>
      <c r="AY496" s="97" t="s">
        <v>2048</v>
      </c>
    </row>
    <row r="497" spans="1:51" ht="288" x14ac:dyDescent="0.3">
      <c r="A497" s="103">
        <v>42070.367812500001</v>
      </c>
      <c r="B497" s="97" t="s">
        <v>1129</v>
      </c>
      <c r="C497" s="97" t="s">
        <v>552</v>
      </c>
      <c r="D497" s="97" t="s">
        <v>529</v>
      </c>
      <c r="E497" s="97" t="s">
        <v>330</v>
      </c>
      <c r="F497" s="97" t="s">
        <v>317</v>
      </c>
      <c r="G497" s="97" t="s">
        <v>407</v>
      </c>
      <c r="H497" s="97" t="s">
        <v>564</v>
      </c>
      <c r="I497" s="97" t="s">
        <v>309</v>
      </c>
      <c r="J497" s="97" t="s">
        <v>479</v>
      </c>
      <c r="K497" s="97" t="s">
        <v>328</v>
      </c>
      <c r="L497" s="97" t="s">
        <v>702</v>
      </c>
      <c r="M497" s="97" t="s">
        <v>651</v>
      </c>
      <c r="N497" s="97" t="s">
        <v>327</v>
      </c>
      <c r="O497" s="97" t="s">
        <v>4</v>
      </c>
      <c r="P497" s="97" t="s">
        <v>4</v>
      </c>
      <c r="Q497" s="97" t="s">
        <v>670</v>
      </c>
      <c r="R497" s="97" t="s">
        <v>327</v>
      </c>
      <c r="S497" s="97" t="s">
        <v>715</v>
      </c>
      <c r="T497" s="97" t="s">
        <v>366</v>
      </c>
      <c r="U497" s="97" t="s">
        <v>311</v>
      </c>
      <c r="V497" s="97" t="s">
        <v>1408</v>
      </c>
      <c r="W497" s="97" t="s">
        <v>550</v>
      </c>
      <c r="X497" s="97" t="s">
        <v>310</v>
      </c>
      <c r="Y497" s="97" t="s">
        <v>316</v>
      </c>
      <c r="Z497" s="97" t="s">
        <v>316</v>
      </c>
      <c r="AA497" s="97" t="s">
        <v>408</v>
      </c>
      <c r="AB497" s="97" t="s">
        <v>336</v>
      </c>
      <c r="AC497" s="97" t="s">
        <v>307</v>
      </c>
      <c r="AD497" s="97" t="s">
        <v>1003</v>
      </c>
      <c r="AE497" s="97" t="s">
        <v>539</v>
      </c>
      <c r="AF497" s="97" t="s">
        <v>1029</v>
      </c>
      <c r="AG497" s="97" t="s">
        <v>323</v>
      </c>
      <c r="AH497" s="97" t="s">
        <v>303</v>
      </c>
      <c r="AI497" s="97" t="s">
        <v>303</v>
      </c>
      <c r="AJ497" s="97" t="s">
        <v>302</v>
      </c>
      <c r="AK497" s="97" t="s">
        <v>302</v>
      </c>
      <c r="AL497" s="97" t="s">
        <v>304</v>
      </c>
      <c r="AM497" s="97" t="s">
        <v>302</v>
      </c>
      <c r="AN497" s="97" t="s">
        <v>303</v>
      </c>
      <c r="AO497" s="97" t="s">
        <v>303</v>
      </c>
      <c r="AP497" s="97" t="s">
        <v>303</v>
      </c>
      <c r="AQ497" s="97" t="s">
        <v>303</v>
      </c>
      <c r="AR497" s="97" t="s">
        <v>541</v>
      </c>
      <c r="AS497" s="97" t="s">
        <v>300</v>
      </c>
      <c r="AT497" s="97" t="s">
        <v>321</v>
      </c>
      <c r="AV497" s="97" t="s">
        <v>536</v>
      </c>
      <c r="AW497" s="97" t="s">
        <v>296</v>
      </c>
      <c r="AX497" s="97" t="s">
        <v>319</v>
      </c>
      <c r="AY497" s="97" t="s">
        <v>436</v>
      </c>
    </row>
    <row r="498" spans="1:51" ht="86.4" x14ac:dyDescent="0.3">
      <c r="A498" s="103">
        <v>42070.368807870371</v>
      </c>
      <c r="B498" s="97" t="s">
        <v>1129</v>
      </c>
      <c r="C498" s="97" t="s">
        <v>552</v>
      </c>
      <c r="D498" s="97" t="s">
        <v>331</v>
      </c>
      <c r="E498" s="97" t="s">
        <v>330</v>
      </c>
      <c r="F498" s="97" t="s">
        <v>383</v>
      </c>
      <c r="G498" s="97" t="s">
        <v>340</v>
      </c>
      <c r="H498" s="97" t="s">
        <v>5</v>
      </c>
      <c r="I498" s="97" t="s">
        <v>309</v>
      </c>
      <c r="J498" s="97" t="s">
        <v>2049</v>
      </c>
      <c r="K498" s="97" t="s">
        <v>368</v>
      </c>
      <c r="L498" s="97" t="s">
        <v>406</v>
      </c>
      <c r="M498" s="97" t="s">
        <v>314</v>
      </c>
      <c r="N498" s="97" t="s">
        <v>327</v>
      </c>
      <c r="O498" s="97" t="s">
        <v>327</v>
      </c>
      <c r="P498" s="97" t="s">
        <v>313</v>
      </c>
      <c r="Q498" s="97" t="s">
        <v>690</v>
      </c>
      <c r="R498" s="97" t="s">
        <v>327</v>
      </c>
      <c r="S498" s="97" t="s">
        <v>433</v>
      </c>
      <c r="T498" s="97" t="s">
        <v>312</v>
      </c>
      <c r="U498" s="97" t="s">
        <v>373</v>
      </c>
      <c r="V498" s="97" t="s">
        <v>382</v>
      </c>
      <c r="W498" s="97" t="s">
        <v>325</v>
      </c>
      <c r="X498" s="97" t="s">
        <v>346</v>
      </c>
      <c r="Y498" s="97" t="s">
        <v>316</v>
      </c>
      <c r="Z498" s="97" t="s">
        <v>316</v>
      </c>
      <c r="AA498" s="97" t="s">
        <v>395</v>
      </c>
      <c r="AB498" s="97" t="s">
        <v>308</v>
      </c>
      <c r="AC498" s="97" t="s">
        <v>324</v>
      </c>
      <c r="AD498" s="97" t="s">
        <v>361</v>
      </c>
      <c r="AE498" s="97" t="s">
        <v>532</v>
      </c>
      <c r="AF498" s="97" t="s">
        <v>1330</v>
      </c>
      <c r="AG498" s="97" t="s">
        <v>306</v>
      </c>
      <c r="AH498" s="97" t="s">
        <v>303</v>
      </c>
      <c r="AI498" s="97" t="s">
        <v>303</v>
      </c>
      <c r="AJ498" s="97" t="s">
        <v>302</v>
      </c>
      <c r="AK498" s="97" t="s">
        <v>302</v>
      </c>
      <c r="AL498" s="97" t="s">
        <v>302</v>
      </c>
      <c r="AM498" s="97" t="s">
        <v>302</v>
      </c>
      <c r="AN498" s="97" t="s">
        <v>302</v>
      </c>
      <c r="AO498" s="97" t="s">
        <v>302</v>
      </c>
      <c r="AP498" s="97" t="s">
        <v>302</v>
      </c>
      <c r="AQ498" s="97" t="s">
        <v>302</v>
      </c>
      <c r="AR498" s="97" t="s">
        <v>301</v>
      </c>
      <c r="AS498" s="97" t="s">
        <v>300</v>
      </c>
      <c r="AT498" s="97" t="s">
        <v>321</v>
      </c>
      <c r="AU498" s="97" t="s">
        <v>320</v>
      </c>
      <c r="AV498" s="97" t="s">
        <v>536</v>
      </c>
      <c r="AW498" s="97" t="s">
        <v>307</v>
      </c>
      <c r="AX498" s="97" t="s">
        <v>341</v>
      </c>
      <c r="AY498" s="97" t="s">
        <v>482</v>
      </c>
    </row>
    <row r="499" spans="1:51" ht="100.8" x14ac:dyDescent="0.3">
      <c r="A499" s="103">
        <v>42070.379502314812</v>
      </c>
      <c r="B499" s="97" t="s">
        <v>1129</v>
      </c>
      <c r="C499" s="97" t="s">
        <v>552</v>
      </c>
      <c r="D499" s="97" t="s">
        <v>331</v>
      </c>
      <c r="E499" s="97" t="s">
        <v>3</v>
      </c>
      <c r="F499" s="97" t="s">
        <v>317</v>
      </c>
      <c r="G499" s="97" t="s">
        <v>407</v>
      </c>
      <c r="H499" s="97" t="s">
        <v>5</v>
      </c>
      <c r="I499" s="97" t="s">
        <v>309</v>
      </c>
      <c r="J499" s="97" t="s">
        <v>718</v>
      </c>
      <c r="K499" s="97" t="s">
        <v>328</v>
      </c>
      <c r="L499" s="97" t="s">
        <v>429</v>
      </c>
      <c r="M499" s="97" t="s">
        <v>353</v>
      </c>
      <c r="N499" s="97" t="s">
        <v>327</v>
      </c>
      <c r="O499" s="97" t="s">
        <v>313</v>
      </c>
      <c r="P499" s="97" t="s">
        <v>4</v>
      </c>
      <c r="Q499" s="97" t="s">
        <v>411</v>
      </c>
      <c r="R499" s="97" t="s">
        <v>327</v>
      </c>
      <c r="S499" s="97" t="s">
        <v>2050</v>
      </c>
      <c r="T499" s="97" t="s">
        <v>326</v>
      </c>
      <c r="U499" s="97" t="s">
        <v>530</v>
      </c>
      <c r="V499" s="97" t="s">
        <v>371</v>
      </c>
      <c r="W499" s="97" t="s">
        <v>338</v>
      </c>
      <c r="X499" s="97" t="s">
        <v>352</v>
      </c>
      <c r="Y499" s="97" t="s">
        <v>316</v>
      </c>
      <c r="Z499" s="97" t="s">
        <v>316</v>
      </c>
      <c r="AA499" s="97" t="s">
        <v>685</v>
      </c>
      <c r="AB499" s="97" t="s">
        <v>308</v>
      </c>
      <c r="AC499" s="97" t="s">
        <v>324</v>
      </c>
      <c r="AD499" s="97" t="s">
        <v>426</v>
      </c>
      <c r="AE499" s="97" t="s">
        <v>535</v>
      </c>
      <c r="AF499" s="97" t="s">
        <v>1104</v>
      </c>
      <c r="AG499" s="97" t="s">
        <v>306</v>
      </c>
      <c r="AH499" s="97" t="s">
        <v>302</v>
      </c>
      <c r="AI499" s="97" t="s">
        <v>303</v>
      </c>
      <c r="AJ499" s="97" t="s">
        <v>302</v>
      </c>
      <c r="AK499" s="97" t="s">
        <v>302</v>
      </c>
      <c r="AL499" s="97" t="s">
        <v>302</v>
      </c>
      <c r="AM499" s="97" t="s">
        <v>302</v>
      </c>
      <c r="AN499" s="97" t="s">
        <v>303</v>
      </c>
      <c r="AO499" s="97" t="s">
        <v>303</v>
      </c>
      <c r="AP499" s="97" t="s">
        <v>303</v>
      </c>
      <c r="AQ499" s="97" t="s">
        <v>302</v>
      </c>
      <c r="AR499" s="97" t="s">
        <v>301</v>
      </c>
      <c r="AS499" s="97" t="s">
        <v>350</v>
      </c>
      <c r="AT499" s="97" t="s">
        <v>321</v>
      </c>
      <c r="AU499" s="97" t="s">
        <v>320</v>
      </c>
      <c r="AV499" s="97" t="s">
        <v>364</v>
      </c>
      <c r="AW499" s="97" t="s">
        <v>307</v>
      </c>
      <c r="AX499" s="97" t="s">
        <v>534</v>
      </c>
      <c r="AY499" s="97" t="s">
        <v>573</v>
      </c>
    </row>
    <row r="500" spans="1:51" ht="129.6" x14ac:dyDescent="0.3">
      <c r="A500" s="103">
        <v>42070.380428240744</v>
      </c>
      <c r="B500" s="97" t="s">
        <v>1129</v>
      </c>
      <c r="C500" s="97" t="s">
        <v>552</v>
      </c>
      <c r="D500" s="97" t="s">
        <v>529</v>
      </c>
      <c r="E500" s="97" t="s">
        <v>3</v>
      </c>
      <c r="F500" s="97" t="s">
        <v>317</v>
      </c>
      <c r="G500" s="97" t="s">
        <v>1207</v>
      </c>
      <c r="H500" s="97" t="s">
        <v>5</v>
      </c>
      <c r="I500" s="97" t="s">
        <v>309</v>
      </c>
      <c r="J500" s="97" t="s">
        <v>2051</v>
      </c>
      <c r="K500" s="97" t="s">
        <v>368</v>
      </c>
      <c r="L500" s="97" t="s">
        <v>450</v>
      </c>
      <c r="M500" s="97" t="s">
        <v>353</v>
      </c>
      <c r="N500" s="97" t="s">
        <v>313</v>
      </c>
      <c r="O500" s="97" t="s">
        <v>313</v>
      </c>
      <c r="P500" s="97" t="s">
        <v>313</v>
      </c>
      <c r="Q500" s="97" t="s">
        <v>670</v>
      </c>
      <c r="R500" s="97" t="s">
        <v>327</v>
      </c>
      <c r="S500" s="97" t="s">
        <v>978</v>
      </c>
      <c r="T500" s="97" t="s">
        <v>366</v>
      </c>
      <c r="U500" s="97" t="s">
        <v>311</v>
      </c>
      <c r="V500" s="97" t="s">
        <v>985</v>
      </c>
      <c r="W500" s="97" t="s">
        <v>338</v>
      </c>
      <c r="X500" s="97" t="s">
        <v>346</v>
      </c>
      <c r="Y500" s="97" t="s">
        <v>316</v>
      </c>
      <c r="Z500" s="97" t="s">
        <v>316</v>
      </c>
      <c r="AA500" s="97" t="s">
        <v>691</v>
      </c>
      <c r="AB500" s="97" t="s">
        <v>308</v>
      </c>
      <c r="AC500" s="97" t="s">
        <v>296</v>
      </c>
      <c r="AD500" s="97" t="s">
        <v>967</v>
      </c>
      <c r="AE500" s="97" t="s">
        <v>532</v>
      </c>
      <c r="AF500" s="97" t="s">
        <v>1064</v>
      </c>
      <c r="AG500" s="97" t="s">
        <v>306</v>
      </c>
      <c r="AH500" s="97" t="s">
        <v>302</v>
      </c>
      <c r="AI500" s="97" t="s">
        <v>302</v>
      </c>
      <c r="AJ500" s="97" t="s">
        <v>302</v>
      </c>
      <c r="AK500" s="97" t="s">
        <v>303</v>
      </c>
      <c r="AL500" s="97" t="s">
        <v>302</v>
      </c>
      <c r="AM500" s="97" t="s">
        <v>303</v>
      </c>
      <c r="AN500" s="97" t="s">
        <v>302</v>
      </c>
      <c r="AO500" s="97" t="s">
        <v>303</v>
      </c>
      <c r="AP500" s="97" t="s">
        <v>302</v>
      </c>
      <c r="AQ500" s="97" t="s">
        <v>302</v>
      </c>
      <c r="AR500" s="97" t="s">
        <v>558</v>
      </c>
      <c r="AS500" s="97" t="s">
        <v>300</v>
      </c>
      <c r="AT500" s="97" t="s">
        <v>321</v>
      </c>
      <c r="AU500" s="97" t="s">
        <v>320</v>
      </c>
      <c r="AV500" s="97" t="s">
        <v>536</v>
      </c>
      <c r="AW500" s="97" t="s">
        <v>381</v>
      </c>
      <c r="AX500" s="97" t="s">
        <v>341</v>
      </c>
      <c r="AY500" s="97" t="s">
        <v>484</v>
      </c>
    </row>
    <row r="501" spans="1:51" ht="129.6" x14ac:dyDescent="0.3">
      <c r="A501" s="103">
        <v>42070.380706018521</v>
      </c>
      <c r="B501" s="97" t="s">
        <v>1129</v>
      </c>
      <c r="C501" s="97" t="s">
        <v>552</v>
      </c>
      <c r="D501" s="97" t="s">
        <v>331</v>
      </c>
      <c r="E501" s="97" t="s">
        <v>3</v>
      </c>
      <c r="F501" s="97" t="s">
        <v>317</v>
      </c>
      <c r="G501" s="97" t="s">
        <v>412</v>
      </c>
      <c r="H501" s="97" t="s">
        <v>390</v>
      </c>
      <c r="I501" s="97" t="s">
        <v>345</v>
      </c>
      <c r="J501" s="97" t="s">
        <v>544</v>
      </c>
      <c r="K501" s="97" t="s">
        <v>315</v>
      </c>
      <c r="L501" s="97" t="s">
        <v>427</v>
      </c>
      <c r="M501" s="97" t="s">
        <v>353</v>
      </c>
      <c r="N501" s="97" t="s">
        <v>313</v>
      </c>
      <c r="O501" s="97" t="s">
        <v>313</v>
      </c>
      <c r="P501" s="97" t="s">
        <v>313</v>
      </c>
      <c r="Q501" s="97" t="s">
        <v>411</v>
      </c>
      <c r="R501" s="97" t="s">
        <v>327</v>
      </c>
      <c r="S501" s="97" t="s">
        <v>2052</v>
      </c>
      <c r="T501" s="97" t="s">
        <v>312</v>
      </c>
      <c r="U501" s="97" t="s">
        <v>530</v>
      </c>
      <c r="V501" s="97" t="s">
        <v>339</v>
      </c>
      <c r="W501" s="97" t="s">
        <v>325</v>
      </c>
      <c r="X501" s="97" t="s">
        <v>352</v>
      </c>
      <c r="Y501" s="97" t="s">
        <v>316</v>
      </c>
      <c r="Z501" s="97" t="s">
        <v>316</v>
      </c>
      <c r="AA501" s="97" t="s">
        <v>496</v>
      </c>
      <c r="AB501" s="97" t="s">
        <v>308</v>
      </c>
      <c r="AC501" s="97" t="s">
        <v>324</v>
      </c>
      <c r="AD501" s="97" t="s">
        <v>448</v>
      </c>
      <c r="AE501" s="97" t="s">
        <v>532</v>
      </c>
      <c r="AF501" s="97" t="s">
        <v>466</v>
      </c>
      <c r="AG501" s="97" t="s">
        <v>323</v>
      </c>
      <c r="AH501" s="97" t="s">
        <v>305</v>
      </c>
      <c r="AI501" s="97" t="s">
        <v>304</v>
      </c>
      <c r="AJ501" s="97" t="s">
        <v>303</v>
      </c>
      <c r="AK501" s="97" t="s">
        <v>302</v>
      </c>
      <c r="AL501" s="97" t="s">
        <v>303</v>
      </c>
      <c r="AM501" s="97" t="s">
        <v>302</v>
      </c>
      <c r="AN501" s="97" t="s">
        <v>304</v>
      </c>
      <c r="AO501" s="97" t="s">
        <v>302</v>
      </c>
      <c r="AP501" s="97" t="s">
        <v>304</v>
      </c>
      <c r="AQ501" s="97" t="s">
        <v>303</v>
      </c>
      <c r="AR501" s="97" t="s">
        <v>322</v>
      </c>
      <c r="AS501" s="97" t="s">
        <v>489</v>
      </c>
      <c r="AT501" s="97" t="s">
        <v>321</v>
      </c>
      <c r="AU501" s="97" t="s">
        <v>320</v>
      </c>
      <c r="AV501" s="97" t="s">
        <v>536</v>
      </c>
      <c r="AW501" s="97" t="s">
        <v>307</v>
      </c>
      <c r="AX501" s="97" t="s">
        <v>534</v>
      </c>
      <c r="AY501" s="97" t="s">
        <v>385</v>
      </c>
    </row>
    <row r="502" spans="1:51" ht="144" x14ac:dyDescent="0.3">
      <c r="A502" s="103">
        <v>42192.210868055554</v>
      </c>
      <c r="B502" s="97" t="s">
        <v>1129</v>
      </c>
      <c r="C502" s="97" t="s">
        <v>552</v>
      </c>
      <c r="D502" s="97" t="s">
        <v>331</v>
      </c>
      <c r="E502" s="97" t="s">
        <v>3</v>
      </c>
      <c r="F502" s="97" t="s">
        <v>317</v>
      </c>
      <c r="G502" s="97" t="s">
        <v>446</v>
      </c>
      <c r="H502" s="97" t="s">
        <v>5</v>
      </c>
      <c r="I502" s="97" t="s">
        <v>309</v>
      </c>
      <c r="J502" s="97" t="s">
        <v>537</v>
      </c>
      <c r="K502" s="97" t="s">
        <v>368</v>
      </c>
      <c r="L502" s="97" t="s">
        <v>406</v>
      </c>
      <c r="M502" s="97" t="s">
        <v>314</v>
      </c>
      <c r="N502" s="97" t="s">
        <v>327</v>
      </c>
      <c r="O502" s="97" t="s">
        <v>327</v>
      </c>
      <c r="P502" s="97" t="s">
        <v>4</v>
      </c>
      <c r="Q502" s="97" t="s">
        <v>471</v>
      </c>
      <c r="R502" s="97" t="s">
        <v>327</v>
      </c>
      <c r="S502" s="97" t="s">
        <v>677</v>
      </c>
      <c r="T502" s="97" t="s">
        <v>366</v>
      </c>
      <c r="U502" s="97" t="s">
        <v>530</v>
      </c>
      <c r="V502" s="97" t="s">
        <v>339</v>
      </c>
      <c r="W502" s="97" t="s">
        <v>338</v>
      </c>
      <c r="X502" s="97" t="s">
        <v>346</v>
      </c>
      <c r="Y502" s="97" t="s">
        <v>345</v>
      </c>
      <c r="Z502" s="97" t="s">
        <v>345</v>
      </c>
      <c r="AA502" s="97" t="s">
        <v>432</v>
      </c>
      <c r="AB502" s="97" t="s">
        <v>336</v>
      </c>
      <c r="AC502" s="97" t="s">
        <v>324</v>
      </c>
      <c r="AD502" s="97" t="s">
        <v>675</v>
      </c>
      <c r="AE502" s="97" t="s">
        <v>545</v>
      </c>
      <c r="AF502" s="97" t="s">
        <v>466</v>
      </c>
      <c r="AH502" s="97" t="s">
        <v>302</v>
      </c>
      <c r="AI502" s="97" t="s">
        <v>302</v>
      </c>
      <c r="AJ502" s="97" t="s">
        <v>302</v>
      </c>
      <c r="AK502" s="97" t="s">
        <v>302</v>
      </c>
      <c r="AL502" s="97" t="s">
        <v>302</v>
      </c>
      <c r="AM502" s="97" t="s">
        <v>303</v>
      </c>
      <c r="AN502" s="97" t="s">
        <v>304</v>
      </c>
      <c r="AO502" s="97" t="s">
        <v>302</v>
      </c>
      <c r="AP502" s="97" t="s">
        <v>304</v>
      </c>
      <c r="AQ502" s="97" t="s">
        <v>302</v>
      </c>
      <c r="AR502" s="97" t="s">
        <v>391</v>
      </c>
      <c r="AS502" s="97" t="s">
        <v>350</v>
      </c>
      <c r="AT502" s="97" t="s">
        <v>355</v>
      </c>
      <c r="AU502" s="97" t="s">
        <v>320</v>
      </c>
      <c r="AV502" s="97" t="s">
        <v>547</v>
      </c>
      <c r="AW502" s="97" t="s">
        <v>296</v>
      </c>
      <c r="AX502" s="97" t="s">
        <v>341</v>
      </c>
      <c r="AY502" s="97" t="s">
        <v>482</v>
      </c>
    </row>
    <row r="503" spans="1:51" ht="144" x14ac:dyDescent="0.3">
      <c r="A503" s="103">
        <v>42192.211504629631</v>
      </c>
      <c r="B503" s="97" t="s">
        <v>1129</v>
      </c>
      <c r="C503" s="97" t="s">
        <v>552</v>
      </c>
      <c r="D503" s="97" t="s">
        <v>331</v>
      </c>
      <c r="E503" s="97" t="s">
        <v>3</v>
      </c>
      <c r="F503" s="97" t="s">
        <v>317</v>
      </c>
      <c r="G503" s="97" t="s">
        <v>446</v>
      </c>
      <c r="H503" s="97" t="s">
        <v>5</v>
      </c>
      <c r="I503" s="97" t="s">
        <v>309</v>
      </c>
      <c r="J503" s="97" t="s">
        <v>537</v>
      </c>
      <c r="K503" s="97" t="s">
        <v>368</v>
      </c>
      <c r="L503" s="97" t="s">
        <v>406</v>
      </c>
      <c r="M503" s="97" t="s">
        <v>314</v>
      </c>
      <c r="N503" s="97" t="s">
        <v>327</v>
      </c>
      <c r="O503" s="97" t="s">
        <v>327</v>
      </c>
      <c r="P503" s="97" t="s">
        <v>4</v>
      </c>
      <c r="Q503" s="97" t="s">
        <v>471</v>
      </c>
      <c r="R503" s="97" t="s">
        <v>327</v>
      </c>
      <c r="S503" s="97" t="s">
        <v>677</v>
      </c>
      <c r="T503" s="97" t="s">
        <v>366</v>
      </c>
      <c r="U503" s="97" t="s">
        <v>530</v>
      </c>
      <c r="V503" s="97" t="s">
        <v>339</v>
      </c>
      <c r="W503" s="97" t="s">
        <v>338</v>
      </c>
      <c r="X503" s="97" t="s">
        <v>346</v>
      </c>
      <c r="Y503" s="97" t="s">
        <v>345</v>
      </c>
      <c r="Z503" s="97" t="s">
        <v>345</v>
      </c>
      <c r="AA503" s="97" t="s">
        <v>432</v>
      </c>
      <c r="AB503" s="97" t="s">
        <v>336</v>
      </c>
      <c r="AC503" s="97" t="s">
        <v>324</v>
      </c>
      <c r="AD503" s="97" t="s">
        <v>675</v>
      </c>
      <c r="AE503" s="97" t="s">
        <v>545</v>
      </c>
      <c r="AF503" s="97" t="s">
        <v>466</v>
      </c>
      <c r="AH503" s="97" t="s">
        <v>302</v>
      </c>
      <c r="AI503" s="97" t="s">
        <v>302</v>
      </c>
      <c r="AJ503" s="97" t="s">
        <v>302</v>
      </c>
      <c r="AK503" s="97" t="s">
        <v>302</v>
      </c>
      <c r="AL503" s="97" t="s">
        <v>302</v>
      </c>
      <c r="AM503" s="97" t="s">
        <v>303</v>
      </c>
      <c r="AN503" s="97" t="s">
        <v>304</v>
      </c>
      <c r="AO503" s="97" t="s">
        <v>302</v>
      </c>
      <c r="AP503" s="97" t="s">
        <v>304</v>
      </c>
      <c r="AQ503" s="97" t="s">
        <v>302</v>
      </c>
      <c r="AR503" s="97" t="s">
        <v>391</v>
      </c>
      <c r="AS503" s="97" t="s">
        <v>350</v>
      </c>
      <c r="AT503" s="97" t="s">
        <v>355</v>
      </c>
      <c r="AU503" s="97" t="s">
        <v>320</v>
      </c>
      <c r="AV503" s="97" t="s">
        <v>547</v>
      </c>
      <c r="AW503" s="97" t="s">
        <v>296</v>
      </c>
      <c r="AX503" s="97" t="s">
        <v>341</v>
      </c>
      <c r="AY503" s="97" t="s">
        <v>482</v>
      </c>
    </row>
    <row r="504" spans="1:51" ht="172.8" x14ac:dyDescent="0.3">
      <c r="A504" s="103">
        <v>42192.213182870371</v>
      </c>
      <c r="B504" s="97" t="s">
        <v>1129</v>
      </c>
      <c r="C504" s="97" t="s">
        <v>552</v>
      </c>
      <c r="D504" s="97" t="s">
        <v>331</v>
      </c>
      <c r="E504" s="97" t="s">
        <v>3</v>
      </c>
      <c r="F504" s="97" t="s">
        <v>317</v>
      </c>
      <c r="G504" s="97" t="s">
        <v>407</v>
      </c>
      <c r="H504" s="97" t="s">
        <v>5</v>
      </c>
      <c r="I504" s="97" t="s">
        <v>309</v>
      </c>
      <c r="J504" s="97" t="s">
        <v>2053</v>
      </c>
      <c r="K504" s="97" t="s">
        <v>328</v>
      </c>
      <c r="L504" s="97" t="s">
        <v>450</v>
      </c>
      <c r="M504" s="97" t="s">
        <v>314</v>
      </c>
      <c r="N504" s="97" t="s">
        <v>327</v>
      </c>
      <c r="O504" s="97" t="s">
        <v>4</v>
      </c>
      <c r="P504" s="97" t="s">
        <v>4</v>
      </c>
      <c r="Q504" s="97" t="s">
        <v>450</v>
      </c>
      <c r="R504" s="97" t="s">
        <v>4</v>
      </c>
      <c r="S504" s="97" t="s">
        <v>1124</v>
      </c>
      <c r="T504" s="97" t="s">
        <v>366</v>
      </c>
      <c r="U504" s="97" t="s">
        <v>311</v>
      </c>
      <c r="V504" s="97" t="s">
        <v>2016</v>
      </c>
      <c r="W504" s="97" t="s">
        <v>325</v>
      </c>
      <c r="X504" s="97" t="s">
        <v>310</v>
      </c>
      <c r="Y504" s="97" t="s">
        <v>345</v>
      </c>
      <c r="Z504" s="97" t="s">
        <v>345</v>
      </c>
      <c r="AA504" s="97" t="s">
        <v>590</v>
      </c>
      <c r="AB504" s="97" t="s">
        <v>358</v>
      </c>
      <c r="AC504" s="97" t="s">
        <v>307</v>
      </c>
      <c r="AD504" s="97" t="s">
        <v>426</v>
      </c>
      <c r="AE504" s="97" t="s">
        <v>539</v>
      </c>
      <c r="AF504" s="97" t="s">
        <v>1100</v>
      </c>
      <c r="AG504" s="97" t="s">
        <v>306</v>
      </c>
      <c r="AH504" s="97" t="s">
        <v>303</v>
      </c>
      <c r="AI504" s="97" t="s">
        <v>303</v>
      </c>
      <c r="AJ504" s="97" t="s">
        <v>302</v>
      </c>
      <c r="AK504" s="97" t="s">
        <v>302</v>
      </c>
      <c r="AL504" s="97" t="s">
        <v>302</v>
      </c>
      <c r="AM504" s="97" t="s">
        <v>302</v>
      </c>
      <c r="AN504" s="97" t="s">
        <v>302</v>
      </c>
      <c r="AO504" s="97" t="s">
        <v>302</v>
      </c>
      <c r="AP504" s="97" t="s">
        <v>302</v>
      </c>
      <c r="AQ504" s="97" t="s">
        <v>303</v>
      </c>
      <c r="AR504" s="97" t="s">
        <v>301</v>
      </c>
      <c r="AS504" s="97" t="s">
        <v>350</v>
      </c>
      <c r="AT504" s="97" t="s">
        <v>321</v>
      </c>
      <c r="AU504" s="97" t="s">
        <v>320</v>
      </c>
      <c r="AV504" s="97" t="s">
        <v>547</v>
      </c>
      <c r="AW504" s="97" t="s">
        <v>296</v>
      </c>
      <c r="AX504" s="97" t="s">
        <v>319</v>
      </c>
      <c r="AY504" s="97" t="s">
        <v>726</v>
      </c>
    </row>
    <row r="505" spans="1:51" ht="129.6" x14ac:dyDescent="0.3">
      <c r="A505" s="103">
        <v>42192.226898148147</v>
      </c>
      <c r="B505" s="97" t="s">
        <v>1129</v>
      </c>
      <c r="C505" s="97" t="s">
        <v>552</v>
      </c>
      <c r="D505" s="97" t="s">
        <v>529</v>
      </c>
      <c r="E505" s="97" t="s">
        <v>330</v>
      </c>
      <c r="F505" s="97" t="s">
        <v>317</v>
      </c>
      <c r="G505" s="97" t="s">
        <v>412</v>
      </c>
      <c r="H505" s="97" t="s">
        <v>390</v>
      </c>
      <c r="I505" s="97" t="s">
        <v>345</v>
      </c>
      <c r="J505" s="97" t="s">
        <v>445</v>
      </c>
      <c r="K505" s="97" t="s">
        <v>328</v>
      </c>
      <c r="L505" s="97" t="s">
        <v>450</v>
      </c>
      <c r="M505" s="97" t="s">
        <v>367</v>
      </c>
      <c r="N505" s="97" t="s">
        <v>313</v>
      </c>
      <c r="O505" s="97" t="s">
        <v>374</v>
      </c>
      <c r="P505" s="97" t="s">
        <v>313</v>
      </c>
      <c r="Q505" s="97" t="s">
        <v>450</v>
      </c>
      <c r="R505" s="97" t="s">
        <v>327</v>
      </c>
      <c r="S505" s="97" t="s">
        <v>2054</v>
      </c>
      <c r="T505" s="97" t="s">
        <v>326</v>
      </c>
      <c r="U505" s="97" t="s">
        <v>373</v>
      </c>
      <c r="V505" s="97" t="s">
        <v>1039</v>
      </c>
      <c r="W505" s="97" t="s">
        <v>325</v>
      </c>
      <c r="X505" s="97" t="s">
        <v>352</v>
      </c>
      <c r="Y505" s="97" t="s">
        <v>316</v>
      </c>
      <c r="Z505" s="97" t="s">
        <v>316</v>
      </c>
      <c r="AA505" s="97" t="s">
        <v>472</v>
      </c>
      <c r="AB505" s="97" t="s">
        <v>389</v>
      </c>
      <c r="AC505" s="97" t="s">
        <v>351</v>
      </c>
      <c r="AD505" s="97" t="s">
        <v>357</v>
      </c>
      <c r="AE505" s="97" t="s">
        <v>532</v>
      </c>
      <c r="AF505" s="97" t="s">
        <v>1067</v>
      </c>
      <c r="AG505" s="97" t="s">
        <v>304</v>
      </c>
      <c r="AH505" s="97" t="s">
        <v>303</v>
      </c>
      <c r="AI505" s="97" t="s">
        <v>303</v>
      </c>
      <c r="AJ505" s="97" t="s">
        <v>304</v>
      </c>
      <c r="AK505" s="97" t="s">
        <v>302</v>
      </c>
      <c r="AL505" s="97" t="s">
        <v>304</v>
      </c>
      <c r="AM505" s="97" t="s">
        <v>303</v>
      </c>
      <c r="AN505" s="97" t="s">
        <v>6</v>
      </c>
      <c r="AO505" s="97" t="s">
        <v>304</v>
      </c>
      <c r="AP505" s="97" t="s">
        <v>6</v>
      </c>
      <c r="AQ505" s="97" t="s">
        <v>304</v>
      </c>
      <c r="AR505" s="97" t="s">
        <v>301</v>
      </c>
      <c r="AS505" s="97" t="s">
        <v>300</v>
      </c>
      <c r="AT505" s="97" t="s">
        <v>321</v>
      </c>
      <c r="AU505" s="97" t="s">
        <v>660</v>
      </c>
      <c r="AV505" s="97" t="s">
        <v>333</v>
      </c>
      <c r="AW505" s="97" t="s">
        <v>324</v>
      </c>
      <c r="AX505" s="97" t="s">
        <v>341</v>
      </c>
      <c r="AY505" s="97" t="s">
        <v>356</v>
      </c>
    </row>
    <row r="506" spans="1:51" ht="244.8" x14ac:dyDescent="0.3">
      <c r="A506" s="103">
        <v>42192.232719907406</v>
      </c>
      <c r="B506" s="97" t="s">
        <v>1129</v>
      </c>
      <c r="C506" s="97" t="s">
        <v>552</v>
      </c>
      <c r="D506" s="97" t="s">
        <v>529</v>
      </c>
      <c r="E506" s="97" t="s">
        <v>330</v>
      </c>
      <c r="F506" s="97" t="s">
        <v>383</v>
      </c>
      <c r="G506" s="97" t="s">
        <v>451</v>
      </c>
      <c r="H506" s="97" t="s">
        <v>5</v>
      </c>
      <c r="I506" s="97" t="s">
        <v>309</v>
      </c>
      <c r="J506" s="97" t="s">
        <v>970</v>
      </c>
      <c r="K506" s="97" t="s">
        <v>354</v>
      </c>
      <c r="L506" s="97" t="s">
        <v>406</v>
      </c>
      <c r="M506" s="97" t="s">
        <v>651</v>
      </c>
      <c r="N506" s="97" t="s">
        <v>327</v>
      </c>
      <c r="O506" s="97" t="s">
        <v>4</v>
      </c>
      <c r="P506" s="97" t="s">
        <v>327</v>
      </c>
      <c r="Q506" s="97" t="s">
        <v>670</v>
      </c>
      <c r="R506" s="97" t="s">
        <v>327</v>
      </c>
      <c r="S506" s="97" t="s">
        <v>2055</v>
      </c>
      <c r="T506" s="97" t="s">
        <v>366</v>
      </c>
      <c r="U506" s="97" t="s">
        <v>347</v>
      </c>
      <c r="V506" s="97" t="s">
        <v>2056</v>
      </c>
      <c r="W506" s="97" t="s">
        <v>571</v>
      </c>
      <c r="Y506" s="97" t="s">
        <v>316</v>
      </c>
      <c r="Z506" s="97" t="s">
        <v>316</v>
      </c>
      <c r="AA506" s="97" t="s">
        <v>408</v>
      </c>
      <c r="AB506" s="97" t="s">
        <v>376</v>
      </c>
      <c r="AC506" s="97" t="s">
        <v>296</v>
      </c>
      <c r="AD506" s="97" t="s">
        <v>414</v>
      </c>
      <c r="AE506" s="97" t="s">
        <v>535</v>
      </c>
      <c r="AF506" s="97" t="s">
        <v>1584</v>
      </c>
      <c r="AG506" s="97" t="s">
        <v>306</v>
      </c>
      <c r="AH506" s="97" t="s">
        <v>302</v>
      </c>
      <c r="AI506" s="97" t="s">
        <v>302</v>
      </c>
      <c r="AJ506" s="97" t="s">
        <v>302</v>
      </c>
      <c r="AK506" s="97" t="s">
        <v>302</v>
      </c>
      <c r="AL506" s="97" t="s">
        <v>302</v>
      </c>
      <c r="AM506" s="97" t="s">
        <v>302</v>
      </c>
      <c r="AN506" s="97" t="s">
        <v>302</v>
      </c>
      <c r="AO506" s="97" t="s">
        <v>302</v>
      </c>
      <c r="AP506" s="97" t="s">
        <v>302</v>
      </c>
      <c r="AQ506" s="97" t="s">
        <v>302</v>
      </c>
      <c r="AR506" s="97" t="s">
        <v>391</v>
      </c>
      <c r="AS506" s="97" t="s">
        <v>300</v>
      </c>
      <c r="AT506" s="97" t="s">
        <v>321</v>
      </c>
      <c r="AU506" s="97" t="s">
        <v>320</v>
      </c>
      <c r="AV506" s="97" t="s">
        <v>364</v>
      </c>
      <c r="AW506" s="97" t="s">
        <v>296</v>
      </c>
      <c r="AX506" s="97" t="s">
        <v>341</v>
      </c>
      <c r="AY506" s="97" t="s">
        <v>499</v>
      </c>
    </row>
    <row r="507" spans="1:51" ht="244.8" x14ac:dyDescent="0.3">
      <c r="A507" s="103">
        <v>42192.239525462966</v>
      </c>
      <c r="B507" s="97" t="s">
        <v>1129</v>
      </c>
      <c r="C507" s="97" t="s">
        <v>552</v>
      </c>
      <c r="D507" s="97" t="s">
        <v>529</v>
      </c>
      <c r="E507" s="97" t="s">
        <v>330</v>
      </c>
      <c r="F507" s="97" t="s">
        <v>383</v>
      </c>
      <c r="G507" s="97" t="s">
        <v>451</v>
      </c>
      <c r="H507" s="97" t="s">
        <v>5</v>
      </c>
      <c r="I507" s="97" t="s">
        <v>309</v>
      </c>
      <c r="J507" s="97" t="s">
        <v>970</v>
      </c>
      <c r="K507" s="97" t="s">
        <v>354</v>
      </c>
      <c r="L507" s="97" t="s">
        <v>406</v>
      </c>
      <c r="M507" s="97" t="s">
        <v>651</v>
      </c>
      <c r="N507" s="97" t="s">
        <v>327</v>
      </c>
      <c r="O507" s="97" t="s">
        <v>4</v>
      </c>
      <c r="P507" s="97" t="s">
        <v>327</v>
      </c>
      <c r="Q507" s="97" t="s">
        <v>670</v>
      </c>
      <c r="R507" s="97" t="s">
        <v>327</v>
      </c>
      <c r="S507" s="97" t="s">
        <v>2055</v>
      </c>
      <c r="T507" s="97" t="s">
        <v>366</v>
      </c>
      <c r="U507" s="97" t="s">
        <v>347</v>
      </c>
      <c r="V507" s="97" t="s">
        <v>2056</v>
      </c>
      <c r="W507" s="97" t="s">
        <v>571</v>
      </c>
      <c r="Y507" s="97" t="s">
        <v>316</v>
      </c>
      <c r="Z507" s="97" t="s">
        <v>316</v>
      </c>
      <c r="AA507" s="97" t="s">
        <v>408</v>
      </c>
      <c r="AB507" s="97" t="s">
        <v>376</v>
      </c>
      <c r="AC507" s="97" t="s">
        <v>296</v>
      </c>
      <c r="AD507" s="97" t="s">
        <v>414</v>
      </c>
      <c r="AE507" s="97" t="s">
        <v>535</v>
      </c>
      <c r="AF507" s="97" t="s">
        <v>1584</v>
      </c>
      <c r="AG507" s="97" t="s">
        <v>306</v>
      </c>
      <c r="AH507" s="97" t="s">
        <v>302</v>
      </c>
      <c r="AI507" s="97" t="s">
        <v>302</v>
      </c>
      <c r="AJ507" s="97" t="s">
        <v>302</v>
      </c>
      <c r="AK507" s="97" t="s">
        <v>302</v>
      </c>
      <c r="AL507" s="97" t="s">
        <v>302</v>
      </c>
      <c r="AM507" s="97" t="s">
        <v>302</v>
      </c>
      <c r="AN507" s="97" t="s">
        <v>302</v>
      </c>
      <c r="AO507" s="97" t="s">
        <v>302</v>
      </c>
      <c r="AP507" s="97" t="s">
        <v>302</v>
      </c>
      <c r="AQ507" s="97" t="s">
        <v>302</v>
      </c>
      <c r="AR507" s="97" t="s">
        <v>391</v>
      </c>
      <c r="AS507" s="97" t="s">
        <v>300</v>
      </c>
      <c r="AT507" s="97" t="s">
        <v>321</v>
      </c>
      <c r="AU507" s="97" t="s">
        <v>320</v>
      </c>
      <c r="AV507" s="97" t="s">
        <v>364</v>
      </c>
      <c r="AW507" s="97" t="s">
        <v>296</v>
      </c>
      <c r="AX507" s="97" t="s">
        <v>341</v>
      </c>
      <c r="AY507" s="97" t="s">
        <v>499</v>
      </c>
    </row>
    <row r="508" spans="1:51" ht="172.8" x14ac:dyDescent="0.3">
      <c r="A508" s="103">
        <v>42192.256643518522</v>
      </c>
      <c r="B508" s="97" t="s">
        <v>1129</v>
      </c>
      <c r="C508" s="97" t="s">
        <v>552</v>
      </c>
      <c r="D508" s="97" t="s">
        <v>331</v>
      </c>
      <c r="E508" s="97" t="s">
        <v>3</v>
      </c>
      <c r="F508" s="97" t="s">
        <v>317</v>
      </c>
      <c r="G508" s="97" t="s">
        <v>446</v>
      </c>
      <c r="H508" s="97" t="s">
        <v>823</v>
      </c>
      <c r="I508" s="97" t="s">
        <v>309</v>
      </c>
      <c r="J508" s="97" t="s">
        <v>2057</v>
      </c>
      <c r="K508" s="97" t="s">
        <v>368</v>
      </c>
      <c r="L508" s="97" t="s">
        <v>657</v>
      </c>
      <c r="M508" s="97" t="s">
        <v>314</v>
      </c>
      <c r="N508" s="97" t="s">
        <v>4</v>
      </c>
      <c r="O508" s="97" t="s">
        <v>4</v>
      </c>
      <c r="P508" s="97" t="s">
        <v>4</v>
      </c>
      <c r="Q508" s="97" t="s">
        <v>405</v>
      </c>
      <c r="R508" s="97" t="s">
        <v>327</v>
      </c>
      <c r="S508" s="97" t="s">
        <v>1000</v>
      </c>
      <c r="T508" s="97" t="s">
        <v>366</v>
      </c>
      <c r="U508" s="97" t="s">
        <v>311</v>
      </c>
      <c r="V508" s="97" t="s">
        <v>1683</v>
      </c>
      <c r="W508" s="97" t="s">
        <v>370</v>
      </c>
      <c r="X508" s="97" t="s">
        <v>310</v>
      </c>
      <c r="Y508" s="97" t="s">
        <v>309</v>
      </c>
      <c r="Z508" s="97" t="s">
        <v>316</v>
      </c>
      <c r="AA508" s="97" t="s">
        <v>732</v>
      </c>
      <c r="AB508" s="97" t="s">
        <v>393</v>
      </c>
      <c r="AC508" s="97" t="s">
        <v>307</v>
      </c>
      <c r="AD508" s="97" t="s">
        <v>604</v>
      </c>
      <c r="AE508" s="97" t="s">
        <v>535</v>
      </c>
      <c r="AF508" s="97" t="s">
        <v>476</v>
      </c>
      <c r="AG508" s="97" t="s">
        <v>323</v>
      </c>
      <c r="AH508" s="97" t="s">
        <v>303</v>
      </c>
      <c r="AI508" s="97" t="s">
        <v>304</v>
      </c>
      <c r="AJ508" s="97" t="s">
        <v>302</v>
      </c>
      <c r="AK508" s="97" t="s">
        <v>303</v>
      </c>
      <c r="AL508" s="97" t="s">
        <v>303</v>
      </c>
      <c r="AM508" s="97" t="s">
        <v>303</v>
      </c>
      <c r="AN508" s="97" t="s">
        <v>303</v>
      </c>
      <c r="AO508" s="97" t="s">
        <v>303</v>
      </c>
      <c r="AP508" s="97" t="s">
        <v>303</v>
      </c>
      <c r="AQ508" s="97" t="s">
        <v>302</v>
      </c>
      <c r="AR508" s="97" t="s">
        <v>301</v>
      </c>
      <c r="AS508" s="97" t="s">
        <v>350</v>
      </c>
      <c r="AT508" s="97" t="s">
        <v>321</v>
      </c>
      <c r="AU508" s="97" t="s">
        <v>320</v>
      </c>
      <c r="AV508" s="97" t="s">
        <v>547</v>
      </c>
      <c r="AW508" s="97" t="s">
        <v>307</v>
      </c>
      <c r="AY508" s="97" t="s">
        <v>2058</v>
      </c>
    </row>
    <row r="509" spans="1:51" ht="201.6" x14ac:dyDescent="0.3">
      <c r="A509" s="103">
        <v>42192.257037037038</v>
      </c>
      <c r="B509" s="97" t="s">
        <v>1129</v>
      </c>
      <c r="C509" s="97" t="s">
        <v>552</v>
      </c>
      <c r="D509" s="97" t="s">
        <v>331</v>
      </c>
      <c r="E509" s="97" t="s">
        <v>3</v>
      </c>
      <c r="F509" s="97" t="s">
        <v>317</v>
      </c>
      <c r="G509" s="97" t="s">
        <v>497</v>
      </c>
      <c r="H509" s="97" t="s">
        <v>5</v>
      </c>
      <c r="I509" s="97" t="s">
        <v>309</v>
      </c>
      <c r="J509" s="97" t="s">
        <v>2059</v>
      </c>
      <c r="K509" s="97" t="s">
        <v>368</v>
      </c>
      <c r="L509" s="97" t="s">
        <v>450</v>
      </c>
      <c r="M509" s="97" t="s">
        <v>367</v>
      </c>
      <c r="N509" s="97" t="s">
        <v>327</v>
      </c>
      <c r="O509" s="97" t="s">
        <v>313</v>
      </c>
      <c r="P509" s="97" t="s">
        <v>327</v>
      </c>
      <c r="Q509" s="97" t="s">
        <v>417</v>
      </c>
      <c r="R509" s="97" t="s">
        <v>327</v>
      </c>
      <c r="S509" s="97" t="s">
        <v>1087</v>
      </c>
      <c r="T509" s="97" t="s">
        <v>366</v>
      </c>
      <c r="U509" s="97" t="s">
        <v>530</v>
      </c>
      <c r="V509" s="97" t="s">
        <v>929</v>
      </c>
      <c r="W509" s="97" t="s">
        <v>325</v>
      </c>
      <c r="X509" s="97" t="s">
        <v>310</v>
      </c>
      <c r="Y509" s="97" t="s">
        <v>316</v>
      </c>
      <c r="Z509" s="97" t="s">
        <v>316</v>
      </c>
      <c r="AA509" s="97" t="s">
        <v>410</v>
      </c>
      <c r="AB509" s="97" t="s">
        <v>358</v>
      </c>
      <c r="AC509" s="97" t="s">
        <v>296</v>
      </c>
      <c r="AD509" s="97" t="s">
        <v>414</v>
      </c>
      <c r="AE509" s="97" t="s">
        <v>532</v>
      </c>
      <c r="AF509" s="97" t="s">
        <v>2060</v>
      </c>
      <c r="AG509" s="97" t="s">
        <v>323</v>
      </c>
      <c r="AH509" s="97" t="s">
        <v>302</v>
      </c>
      <c r="AI509" s="97" t="s">
        <v>302</v>
      </c>
      <c r="AJ509" s="97" t="s">
        <v>302</v>
      </c>
      <c r="AK509" s="97" t="s">
        <v>302</v>
      </c>
      <c r="AL509" s="97" t="s">
        <v>302</v>
      </c>
      <c r="AM509" s="97" t="s">
        <v>302</v>
      </c>
      <c r="AN509" s="97" t="s">
        <v>302</v>
      </c>
      <c r="AO509" s="97" t="s">
        <v>302</v>
      </c>
      <c r="AP509" s="97" t="s">
        <v>302</v>
      </c>
      <c r="AQ509" s="97" t="s">
        <v>302</v>
      </c>
      <c r="AR509" s="97" t="s">
        <v>391</v>
      </c>
      <c r="AS509" s="97" t="s">
        <v>350</v>
      </c>
      <c r="AT509" s="97" t="s">
        <v>321</v>
      </c>
      <c r="AU509" s="97" t="s">
        <v>320</v>
      </c>
      <c r="AV509" s="97" t="s">
        <v>364</v>
      </c>
      <c r="AW509" s="97" t="s">
        <v>296</v>
      </c>
      <c r="AX509" s="97" t="s">
        <v>319</v>
      </c>
      <c r="AY509" s="97" t="s">
        <v>418</v>
      </c>
    </row>
    <row r="510" spans="1:51" ht="201.6" x14ac:dyDescent="0.3">
      <c r="A510" s="103">
        <v>42192.285416666666</v>
      </c>
      <c r="B510" s="97" t="s">
        <v>1129</v>
      </c>
      <c r="C510" s="97" t="s">
        <v>552</v>
      </c>
      <c r="D510" s="97" t="s">
        <v>560</v>
      </c>
      <c r="E510" s="97" t="s">
        <v>330</v>
      </c>
      <c r="F510" s="97" t="s">
        <v>317</v>
      </c>
      <c r="G510" s="97" t="s">
        <v>435</v>
      </c>
      <c r="H510" s="97" t="s">
        <v>823</v>
      </c>
      <c r="I510" s="97" t="s">
        <v>309</v>
      </c>
      <c r="J510" s="97" t="s">
        <v>2061</v>
      </c>
      <c r="K510" s="97" t="s">
        <v>315</v>
      </c>
      <c r="L510" s="97" t="s">
        <v>657</v>
      </c>
      <c r="N510" s="97" t="s">
        <v>327</v>
      </c>
      <c r="O510" s="97" t="s">
        <v>4</v>
      </c>
      <c r="P510" s="97" t="s">
        <v>4</v>
      </c>
      <c r="Q510" s="97" t="s">
        <v>690</v>
      </c>
      <c r="R510" s="97" t="s">
        <v>327</v>
      </c>
      <c r="S510" s="97" t="s">
        <v>500</v>
      </c>
      <c r="T510" s="97" t="s">
        <v>366</v>
      </c>
      <c r="U510" s="97" t="s">
        <v>373</v>
      </c>
      <c r="V510" s="97" t="s">
        <v>2062</v>
      </c>
      <c r="W510" s="97" t="s">
        <v>1192</v>
      </c>
      <c r="X510" s="97" t="s">
        <v>337</v>
      </c>
      <c r="Y510" s="97" t="s">
        <v>316</v>
      </c>
      <c r="Z510" s="97" t="s">
        <v>316</v>
      </c>
      <c r="AA510" s="97" t="s">
        <v>596</v>
      </c>
      <c r="AB510" s="97" t="s">
        <v>308</v>
      </c>
      <c r="AC510" s="97" t="s">
        <v>296</v>
      </c>
      <c r="AD510" s="97" t="s">
        <v>1006</v>
      </c>
      <c r="AE510" s="97" t="s">
        <v>532</v>
      </c>
      <c r="AF510" s="97" t="s">
        <v>730</v>
      </c>
      <c r="AG510" s="97" t="s">
        <v>306</v>
      </c>
      <c r="AH510" s="97" t="s">
        <v>302</v>
      </c>
      <c r="AI510" s="97" t="s">
        <v>302</v>
      </c>
      <c r="AJ510" s="97" t="s">
        <v>303</v>
      </c>
      <c r="AK510" s="97" t="s">
        <v>302</v>
      </c>
      <c r="AL510" s="97" t="s">
        <v>302</v>
      </c>
      <c r="AM510" s="97" t="s">
        <v>302</v>
      </c>
      <c r="AN510" s="97" t="s">
        <v>302</v>
      </c>
      <c r="AO510" s="97" t="s">
        <v>303</v>
      </c>
      <c r="AP510" s="97" t="s">
        <v>302</v>
      </c>
      <c r="AQ510" s="97" t="s">
        <v>303</v>
      </c>
      <c r="AR510" s="97" t="s">
        <v>391</v>
      </c>
      <c r="AS510" s="97" t="s">
        <v>300</v>
      </c>
      <c r="AT510" s="97" t="s">
        <v>355</v>
      </c>
      <c r="AU510" s="97" t="s">
        <v>320</v>
      </c>
      <c r="AV510" s="97" t="s">
        <v>364</v>
      </c>
      <c r="AW510" s="97" t="s">
        <v>307</v>
      </c>
      <c r="AX510" s="97" t="s">
        <v>319</v>
      </c>
      <c r="AY510" s="97" t="s">
        <v>843</v>
      </c>
    </row>
    <row r="511" spans="1:51" ht="86.4" x14ac:dyDescent="0.3">
      <c r="A511" s="103">
        <v>42192.286249999997</v>
      </c>
      <c r="B511" s="97" t="s">
        <v>1129</v>
      </c>
      <c r="C511" s="97" t="s">
        <v>552</v>
      </c>
      <c r="D511" s="97" t="s">
        <v>331</v>
      </c>
      <c r="E511" s="97" t="s">
        <v>330</v>
      </c>
      <c r="F511" s="97" t="s">
        <v>317</v>
      </c>
      <c r="G511" s="97" t="s">
        <v>899</v>
      </c>
      <c r="H511" s="97" t="s">
        <v>564</v>
      </c>
      <c r="I511" s="97" t="s">
        <v>345</v>
      </c>
      <c r="J511" s="97" t="s">
        <v>970</v>
      </c>
      <c r="K511" s="97" t="s">
        <v>384</v>
      </c>
      <c r="L511" s="97" t="s">
        <v>427</v>
      </c>
      <c r="M511" s="97" t="s">
        <v>367</v>
      </c>
      <c r="N511" s="97" t="s">
        <v>313</v>
      </c>
      <c r="O511" s="97" t="s">
        <v>313</v>
      </c>
      <c r="P511" s="97" t="s">
        <v>374</v>
      </c>
      <c r="Q511" s="97" t="s">
        <v>411</v>
      </c>
      <c r="R511" s="97" t="s">
        <v>327</v>
      </c>
      <c r="S511" s="97" t="s">
        <v>2063</v>
      </c>
      <c r="T511" s="97" t="s">
        <v>312</v>
      </c>
      <c r="U511" s="97" t="s">
        <v>530</v>
      </c>
      <c r="V511" s="97" t="s">
        <v>437</v>
      </c>
      <c r="W511" s="97" t="s">
        <v>325</v>
      </c>
      <c r="X511" s="97" t="s">
        <v>352</v>
      </c>
      <c r="Y511" s="97" t="s">
        <v>316</v>
      </c>
      <c r="Z511" s="97" t="s">
        <v>316</v>
      </c>
      <c r="AA511" s="97" t="s">
        <v>691</v>
      </c>
      <c r="AB511" s="97" t="s">
        <v>308</v>
      </c>
      <c r="AC511" s="97" t="s">
        <v>324</v>
      </c>
      <c r="AD511" s="97" t="s">
        <v>414</v>
      </c>
      <c r="AE511" s="97" t="s">
        <v>532</v>
      </c>
      <c r="AF511" s="97" t="s">
        <v>1330</v>
      </c>
      <c r="AG511" s="97" t="s">
        <v>400</v>
      </c>
      <c r="AH511" s="97" t="s">
        <v>303</v>
      </c>
      <c r="AI511" s="97" t="s">
        <v>304</v>
      </c>
      <c r="AJ511" s="97" t="s">
        <v>303</v>
      </c>
      <c r="AK511" s="97" t="s">
        <v>303</v>
      </c>
      <c r="AL511" s="97" t="s">
        <v>303</v>
      </c>
      <c r="AM511" s="97" t="s">
        <v>302</v>
      </c>
      <c r="AN511" s="97" t="s">
        <v>303</v>
      </c>
      <c r="AO511" s="97" t="s">
        <v>302</v>
      </c>
      <c r="AP511" s="97" t="s">
        <v>303</v>
      </c>
      <c r="AQ511" s="97" t="s">
        <v>304</v>
      </c>
      <c r="AR511" s="97" t="s">
        <v>322</v>
      </c>
      <c r="AS511" s="97" t="s">
        <v>300</v>
      </c>
      <c r="AT511" s="97" t="s">
        <v>334</v>
      </c>
      <c r="AU511" s="97" t="s">
        <v>320</v>
      </c>
      <c r="AV511" s="97" t="s">
        <v>297</v>
      </c>
      <c r="AW511" s="97" t="s">
        <v>307</v>
      </c>
      <c r="AX511" s="97" t="s">
        <v>341</v>
      </c>
      <c r="AY511" s="97" t="s">
        <v>418</v>
      </c>
    </row>
  </sheetData>
  <autoFilter ref="A1:AZ37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 sqref="D1:E14"/>
    </sheetView>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L747"/>
  <sheetViews>
    <sheetView topLeftCell="A474" workbookViewId="0">
      <selection activeCell="A511" sqref="A511"/>
    </sheetView>
  </sheetViews>
  <sheetFormatPr baseColWidth="10" defaultRowHeight="15" customHeight="1" x14ac:dyDescent="0.3"/>
  <cols>
    <col min="1" max="1" width="13.88671875" style="102" customWidth="1"/>
    <col min="2" max="2" width="26.5546875" customWidth="1"/>
    <col min="3" max="6" width="13.88671875" customWidth="1"/>
    <col min="7" max="7" width="26.33203125" customWidth="1"/>
    <col min="8" max="11" width="13.88671875" customWidth="1"/>
    <col min="12" max="12" width="22.5546875" customWidth="1"/>
    <col min="13" max="13" width="11.44140625" style="94"/>
    <col min="14" max="14" width="21.88671875" customWidth="1"/>
    <col min="15" max="18" width="13.88671875" customWidth="1"/>
    <col min="19" max="19" width="11.44140625" style="94"/>
    <col min="20" max="29" width="13.88671875" customWidth="1"/>
    <col min="30" max="30" width="11.44140625" style="94"/>
    <col min="31" max="32" width="13.88671875" customWidth="1"/>
    <col min="33" max="33" width="25.88671875" customWidth="1"/>
    <col min="34" max="34" width="10.6640625" customWidth="1"/>
    <col min="35" max="53" width="13.88671875" customWidth="1"/>
    <col min="54" max="54" width="15.33203125" customWidth="1"/>
    <col min="55" max="56" width="13.88671875" customWidth="1"/>
  </cols>
  <sheetData>
    <row r="1" spans="1:59" s="90" customFormat="1" ht="15" customHeight="1" x14ac:dyDescent="0.25">
      <c r="A1" s="100" t="str">
        <f>Registro!A1</f>
        <v>Marca temporal</v>
      </c>
      <c r="B1" s="91" t="str">
        <f>Registro!B1</f>
        <v>01 Indica el Colegio al que perteneces</v>
      </c>
      <c r="C1" s="91" t="str">
        <f>Registro!C1</f>
        <v>02 ¿Qué año cursas actualmente?</v>
      </c>
      <c r="D1" s="91" t="str">
        <f>Registro!D1</f>
        <v>03 ¿En qué etapa educativa solicitaste tu ingreso al Colegio?</v>
      </c>
      <c r="E1" s="91" t="str">
        <f>Registro!E1</f>
        <v>04 ¿Cuál es tu sexo?</v>
      </c>
      <c r="F1" s="91" t="str">
        <f>Registro!F1</f>
        <v>05 Indica la religión a la cual perteneces</v>
      </c>
      <c r="G1" s="91" t="str">
        <f>Registro!G1</f>
        <v>06 Señala las personas con las que convives actualmente: (varias respuestas)</v>
      </c>
      <c r="H1" s="91" t="str">
        <f>Registro!H1</f>
        <v>07 El tipo de vivienda que ocupas con tu grupo familiar es:</v>
      </c>
      <c r="I1" s="91" t="str">
        <f>Registro!I1</f>
        <v>08 En términos generales, ¿consideras que eres feliz?</v>
      </c>
      <c r="J1" s="91" t="str">
        <f>Registro!J1</f>
        <v>09 Señala aquellos bienes que tienes en tu casa en perfecto funcionamiento: (varias respuestas)</v>
      </c>
      <c r="K1" s="91" t="str">
        <f>Registro!K1</f>
        <v>10 En tu hogar, ¿cuántas personas gozan actualmente de empleo?</v>
      </c>
      <c r="L1" s="91" t="str">
        <f>Registro!L1</f>
        <v>11 Lo que más valoro en mi vida es: (elige 3 respuestas)</v>
      </c>
      <c r="M1" s="94"/>
      <c r="N1" s="91" t="str">
        <f>Registro!M1</f>
        <v>12 Lo que más me preocupa en mi vida es:</v>
      </c>
      <c r="O1" s="91" t="str">
        <f>Registro!N1</f>
        <v>13 ¿En qué medida dialogas con tus padres?</v>
      </c>
      <c r="P1" s="91" t="str">
        <f>Registro!O1</f>
        <v>14 ¿En qué medida contribuyes a los oficios de tu casa?</v>
      </c>
      <c r="Q1" s="91" t="str">
        <f>Registro!P1</f>
        <v>15 El ambiente religioso que percibo en mi casa es:</v>
      </c>
      <c r="R1" s="91" t="str">
        <f>Registro!Q1</f>
        <v>16 Los tres aspectos de mi vida por lo que más se preocupan mis padres son:</v>
      </c>
      <c r="S1" s="94"/>
      <c r="T1" s="91" t="str">
        <f>Registro!R1</f>
        <v>17 Siento que existe un Dios que me ama:</v>
      </c>
      <c r="U1" s="91" t="str">
        <f>Registro!S1</f>
        <v>18 Señala aquellas opciones donde sientes a Dios (varias respuestas)</v>
      </c>
      <c r="V1" s="91" t="str">
        <f>Registro!T1</f>
        <v>19 La oración en mi vida</v>
      </c>
      <c r="W1" s="91" t="str">
        <f>Registro!U1</f>
        <v>20 Voy a Misa</v>
      </c>
      <c r="X1" s="91" t="str">
        <f>Registro!V1</f>
        <v>21 Expreso mi fe de las siguientes maneras: (varias respuestas)</v>
      </c>
      <c r="Y1" s="91" t="str">
        <f>Registro!W1</f>
        <v>22 Soy miembro de alguno de los siguientes grupos (varias opciones)</v>
      </c>
      <c r="Z1" s="91" t="str">
        <f>Registro!X1</f>
        <v>23 Los grupos juveniles cristianos son para mí:</v>
      </c>
      <c r="AA1" s="91" t="str">
        <f>Registro!Y1</f>
        <v>24 Alguna vez pensé en ser sacerdote o hermana religiosa</v>
      </c>
      <c r="AB1" s="91" t="str">
        <f>Registro!Z1</f>
        <v>25 Actualmente considero la posibilidad de ser sacerdote o hermana religiosa</v>
      </c>
      <c r="AC1" s="91" t="str">
        <f>Registro!AA1</f>
        <v>26 De las siguientes profesiones u oficios, señala los dos que valoras más</v>
      </c>
      <c r="AD1" s="94"/>
      <c r="AE1" s="91" t="str">
        <f>Registro!AB1</f>
        <v>27 Estudio para llegar en un futuro a:</v>
      </c>
      <c r="AF1" s="91" t="str">
        <f>Registro!AC1</f>
        <v>28 Las clases de formación religiosa son interesantes:</v>
      </c>
      <c r="AG1" s="91" t="str">
        <f>Registro!AD1</f>
        <v>29 Lo que más me gusta del Colegio es: (señala dos opciones)</v>
      </c>
      <c r="AH1" s="91"/>
      <c r="AI1" s="91" t="str">
        <f>Registro!AE1</f>
        <v>30 En la semana dedico a mis estudios un aproximado de:</v>
      </c>
      <c r="AJ1" s="91" t="str">
        <f>Registro!AF1</f>
        <v>31 En mi tiempo libre... (señala hasta tres opciones)</v>
      </c>
      <c r="AK1" s="91"/>
      <c r="AL1" s="91" t="str">
        <f>Registro!AG1</f>
        <v>32 El control disciplinario que ejercen mis docentes en clase es:</v>
      </c>
      <c r="AM1" s="91" t="str">
        <f>Registro!AH1</f>
        <v>33 Evalúa la calidad del servicio de Orientación y Psicopedagogía</v>
      </c>
      <c r="AN1" s="91" t="str">
        <f>Registro!AI1</f>
        <v>34 Evalúa la calidad del servicio de Psicología</v>
      </c>
      <c r="AO1" s="91" t="str">
        <f>Registro!AJ1</f>
        <v>35 Evalúa la calidad del servicio de Evaluación</v>
      </c>
      <c r="AP1" s="91" t="str">
        <f>Registro!AK1</f>
        <v>36 Evalúa la calidad del servicio de Biblioteca/Internet/Librería</v>
      </c>
      <c r="AQ1" s="91" t="str">
        <f>Registro!AL1</f>
        <v>37 Evalúa la calidad de la Coordinación Académica</v>
      </c>
      <c r="AR1" s="91" t="str">
        <f>Registro!AM1</f>
        <v>38 Evalúa la calidad de las Actividades Deportivas</v>
      </c>
      <c r="AS1" s="91" t="str">
        <f>Registro!AN1</f>
        <v>39 Evalúa la calidad de las Actividades Pastorales</v>
      </c>
      <c r="AT1" s="91" t="str">
        <f>Registro!AO1</f>
        <v>40 Evalúa la calidad de las Convivencias</v>
      </c>
      <c r="AU1" s="91" t="str">
        <f>Registro!AP1</f>
        <v>41 Evalúa la calidad de las Celebraciones Religiosas</v>
      </c>
      <c r="AV1" s="91" t="str">
        <f>Registro!AQ1</f>
        <v>42 Evalúa la calidad del ambiente del Colegio</v>
      </c>
      <c r="AW1" s="91" t="str">
        <f>Registro!AR1</f>
        <v>43 De estos aspectos, en el que más se INSISTE EN EL COLEGIO es:</v>
      </c>
      <c r="AX1" s="91" t="str">
        <f>Registro!AS1</f>
        <v>44 LA PREOCUPACIÓN fundamental que manifiesta el colegio ante mi porvenir es:</v>
      </c>
      <c r="AY1" s="91" t="str">
        <f>Registro!AT1</f>
        <v>45 Creo que la FE, en la vida de una persona es:</v>
      </c>
      <c r="AZ1" s="91" t="str">
        <f>Registro!AU1</f>
        <v>46 Con respecto al ALCOHOL</v>
      </c>
      <c r="BA1" s="91" t="str">
        <f>Registro!AV1</f>
        <v>47 Los PROFESORES que me dan clase son, en general:</v>
      </c>
      <c r="BB1" s="91" t="str">
        <f>Registro!AW1</f>
        <v>48 Las CLASES, EN GENERAL, me parecen interesantes.</v>
      </c>
      <c r="BC1" s="91" t="str">
        <f>Registro!AX1</f>
        <v>49 Los ESCOLAPIOS QUE CONOZCO, en general:</v>
      </c>
      <c r="BD1" s="91" t="str">
        <f>Registro!AY1</f>
        <v>50 Tengo CONFIANZA PARA HABLAR de las cosas importantes de mi vida con (varias respuestas)</v>
      </c>
      <c r="BE1" s="91"/>
      <c r="BF1" s="91"/>
      <c r="BG1" s="91"/>
    </row>
    <row r="2" spans="1:59" ht="15" customHeight="1" x14ac:dyDescent="0.25">
      <c r="A2" s="101">
        <f>Registro!A2</f>
        <v>42038.402743055558</v>
      </c>
      <c r="B2" s="89" t="str">
        <f>Registro!B2</f>
        <v>c) Obra Social San José de Calasanz de Valencia</v>
      </c>
      <c r="C2" s="89" t="str">
        <f>Registro!C2</f>
        <v>b) Tercer año</v>
      </c>
      <c r="D2" s="89" t="str">
        <f>Registro!D2</f>
        <v>b) Primaria</v>
      </c>
      <c r="E2" s="89" t="str">
        <f>Registro!E2</f>
        <v>b) Femenino</v>
      </c>
      <c r="F2" s="89" t="str">
        <f>Registro!F2</f>
        <v>a) Católica</v>
      </c>
      <c r="G2" s="89" t="str">
        <f>Registro!G2</f>
        <v>a) Mamá, b) Papá, c) Hermanos, e) Otros familiares</v>
      </c>
      <c r="H2" s="89" t="str">
        <f>Registro!H2</f>
        <v>b) Casa Urbana</v>
      </c>
      <c r="I2" s="89" t="str">
        <f>Registro!I2</f>
        <v>c) Algo</v>
      </c>
      <c r="J2" s="89" t="str">
        <f>Registro!J2</f>
        <v>i) Computadora, k) Aire acondicionado</v>
      </c>
      <c r="K2" s="89" t="str">
        <f>Registro!K2</f>
        <v>d) Tres</v>
      </c>
      <c r="L2" s="89"/>
      <c r="M2" s="94">
        <f>COUNTIF(L2,"*a)*")+COUNTIF(L2,"*b)*")+COUNTIF(L2,"*c)*")+COUNTIF(L2,"*d)*")+COUNTIF(L2,"*e)*")+COUNTIF(L2,"*f)*")+COUNTIF(L2,"*g)*")+COUNTIF(L2,"*h)*")+COUNTIF(L2,"*i)*")+COUNTIF(L2,"*j)*")+COUNTIF(L2,"*k)*")+COUNTIF(L2,"*l)*")+COUNTIF(L2,"*m)*")+COUNTIF(L2,"*n)*")+COUNTIF(L2,"*o)*")+COUNTIF(L2,"*p)*")</f>
        <v>0</v>
      </c>
      <c r="N2" s="89" t="str">
        <f>Registro!M2</f>
        <v>b) El futuro</v>
      </c>
      <c r="O2" s="89" t="str">
        <f>Registro!N2</f>
        <v>c) Poco</v>
      </c>
      <c r="P2" s="89" t="str">
        <f>Registro!O2</f>
        <v>c) Poco</v>
      </c>
      <c r="Q2" s="89" t="str">
        <f>Registro!P2</f>
        <v>b) Suficiente</v>
      </c>
      <c r="R2" s="89"/>
      <c r="S2" s="94">
        <f>COUNTIF(R2,"*a)*")+COUNTIF(R2,"*b)*")+COUNTIF(R2,"*c)*")+COUNTIF(R2,"*d)*")+COUNTIF(R2,"*e)*")+COUNTIF(R2,"*f)*")+COUNTIF(R2,"*g)*")+COUNTIF(R2,"*h)*")+COUNTIF(R2,"*i)*")+COUNTIF(R2,"*j)*")+COUNTIF(R2,"*k)*")+COUNTIF(R2,"*l)*")+COUNTIF(R2,"*m)*")+COUNTIF(R2,"*n)*")+COUNTIF(R2,"*o)*")+COUNTIF(R2,"*p)*")</f>
        <v>0</v>
      </c>
      <c r="T2" s="89" t="str">
        <f>Registro!R2</f>
        <v>a) Mucho</v>
      </c>
      <c r="U2" s="89" t="str">
        <f>Registro!S2</f>
        <v>g) Mi familia, j) Todas partes, k) La oración</v>
      </c>
      <c r="V2" s="89" t="str">
        <f>Registro!T2</f>
        <v>a) Suelo rezar por convicción o porque me gusta</v>
      </c>
      <c r="W2" s="89" t="str">
        <f>Registro!U2</f>
        <v>b) Algunos domingos</v>
      </c>
      <c r="X2" s="89" t="str">
        <f>Registro!V2</f>
        <v>f) En alguna ocasión he rezado el rosario</v>
      </c>
      <c r="Y2" s="89" t="str">
        <f>Registro!W2</f>
        <v>c) Religioso o parroquial</v>
      </c>
      <c r="Z2" s="89" t="str">
        <f>Registro!X2</f>
        <v>a) Un grupo donde profundizo mi fe</v>
      </c>
      <c r="AA2" s="89" t="str">
        <f>Registro!Y2</f>
        <v>b) No</v>
      </c>
      <c r="AB2" s="89" t="str">
        <f>Registro!Z2</f>
        <v>b) No</v>
      </c>
      <c r="AC2" s="89" t="str">
        <f>Registro!AA2</f>
        <v>a) Medicina, e) Derecho</v>
      </c>
      <c r="AD2" s="94">
        <f>COUNTIF(AC2,"*a)*")+COUNTIF(AC2,"*b)*")+COUNTIF(AC2,"*c)*")+COUNTIF(AC2,"*d)*")+COUNTIF(AC2,"*e)*")+COUNTIF(AC2,"*f)*")+COUNTIF(AC2,"*g)*")+COUNTIF(AC2,"*h)*")+COUNTIF(AC2,"*i)*")+COUNTIF(AC2,"*j)*")+COUNTIF(AC2,"*k)*")+COUNTIF(AC2,"*l)*")+COUNTIF(AC2,"*m)*")+COUNTIF(AC2,"*n)*")+COUNTIF(AC2,"*o)*")+COUNTIF(AC2,"*p)*")</f>
        <v>2</v>
      </c>
      <c r="AE2" s="89" t="str">
        <f>Registro!AB2</f>
        <v>d) Desarrollarme personalmente</v>
      </c>
      <c r="AF2" s="89" t="str">
        <f>Registro!AC2</f>
        <v>e) No sé</v>
      </c>
      <c r="AG2" s="89" t="str">
        <f>Registro!AD2</f>
        <v>c) Las instalaciones del Colegio</v>
      </c>
      <c r="AH2" s="94">
        <f>COUNTIF(AG2,"*a)*")+COUNTIF(AG2,"*b)*")+COUNTIF(AG2,"*c)*")+COUNTIF(AG2,"*d)*")+COUNTIF(AG2,"*e)*")+COUNTIF(AG2,"*f)*")+COUNTIF(AG2,"*g)*")+COUNTIF(AG2,"*h)*")+COUNTIF(AG2,"*i)*")+COUNTIF(AG2,"*j)*")+COUNTIF(AG2,"*k)*")+COUNTIF(AG2,"*l)*")+COUNTIF(AG2,"*m)*")+COUNTIF(AG2,"*n)*")+COUNTIF(AG2,"*o)*")+COUNTIF(AG2,"*p)*")</f>
        <v>1</v>
      </c>
      <c r="AI2" s="89" t="str">
        <f>Registro!AE2</f>
        <v>a) 0 a 2 horas</v>
      </c>
      <c r="AJ2" s="89" t="str">
        <f>Registro!AF2</f>
        <v>b) Navego en Internet, f) Toco un instrumento musical, m) Veo televisión y/o películas</v>
      </c>
      <c r="AK2" s="94">
        <f>COUNTIF(AJ2,"*a)*")+COUNTIF(AJ2,"*b)*")+COUNTIF(AJ2,"*c)*")+COUNTIF(AJ2,"*d)*")+COUNTIF(AJ2,"*e)*")+COUNTIF(AJ2,"*f)*")+COUNTIF(AJ2,"*g)*")+COUNTIF(AJ2,"*h)*")+COUNTIF(AJ2,"*i)*")+COUNTIF(AJ2,"*j)*")+COUNTIF(AJ2,"*k)*")+COUNTIF(AJ2,"*l)*")+COUNTIF(AJ2,"*m)*")+COUNTIF(AJ2,"*n)*")+COUNTIF(AJ2,"*o)*")+COUNTIF(AJ2,"*p)*")</f>
        <v>3</v>
      </c>
      <c r="AL2" s="89" t="str">
        <f>Registro!AG2</f>
        <v>b) Bueno</v>
      </c>
      <c r="AM2" s="89" t="str">
        <f>Registro!AH2</f>
        <v>b) Buena</v>
      </c>
      <c r="AN2" s="89" t="str">
        <f>Registro!AI2</f>
        <v>c) Regular</v>
      </c>
      <c r="AO2" s="89" t="str">
        <f>Registro!AJ2</f>
        <v>c) Regular</v>
      </c>
      <c r="AP2" s="89" t="str">
        <f>Registro!AK2</f>
        <v>b) Buena</v>
      </c>
      <c r="AQ2" s="89" t="str">
        <f>Registro!AL2</f>
        <v>b) Buena</v>
      </c>
      <c r="AR2" s="89" t="str">
        <f>Registro!AM2</f>
        <v>c) Regular</v>
      </c>
      <c r="AS2" s="89" t="str">
        <f>Registro!AN2</f>
        <v>a) Muy buena</v>
      </c>
      <c r="AT2" s="89" t="str">
        <f>Registro!AO2</f>
        <v>b) Buena</v>
      </c>
      <c r="AU2" s="89" t="str">
        <f>Registro!AP2</f>
        <v>b) Buena</v>
      </c>
      <c r="AV2" s="89" t="str">
        <f>Registro!AQ2</f>
        <v>b) Buena</v>
      </c>
      <c r="AW2" s="89" t="str">
        <f>Registro!AR2</f>
        <v>e) La disciplina y el orden</v>
      </c>
      <c r="AX2" s="89" t="str">
        <f>Registro!AS2</f>
        <v>a) Que sea un buen profesional</v>
      </c>
      <c r="AY2" s="89" t="str">
        <f>Registro!AT2</f>
        <v>d) Bastante necesaria</v>
      </c>
      <c r="AZ2" s="89" t="str">
        <f>Registro!AU2</f>
        <v>a) No acostumbro a tomarlo nunca</v>
      </c>
      <c r="BA2" s="89" t="str">
        <f>Registro!AV2</f>
        <v>f) Educadores que, además, me han abierto caminos</v>
      </c>
      <c r="BB2" s="89" t="str">
        <f>Registro!AW2</f>
        <v>e) No sé</v>
      </c>
      <c r="BC2" s="89" t="str">
        <f>Registro!AX2</f>
        <v>c) Son personas normales y corrientes</v>
      </c>
      <c r="BD2" s="89" t="str">
        <f>Registro!AY2</f>
        <v>h) Una amiga, j) Nadie</v>
      </c>
    </row>
    <row r="3" spans="1:59" ht="15" customHeight="1" x14ac:dyDescent="0.25">
      <c r="A3" s="101">
        <f>Registro!A3</f>
        <v>42038.402939814812</v>
      </c>
      <c r="B3" s="89" t="str">
        <f>Registro!B3</f>
        <v>c) Obra Social San José de Calasanz de Valencia</v>
      </c>
      <c r="C3" s="89" t="str">
        <f>Registro!C3</f>
        <v>b) Tercer año</v>
      </c>
      <c r="D3" s="89" t="str">
        <f>Registro!D3</f>
        <v>b) Primaria</v>
      </c>
      <c r="E3" s="89" t="str">
        <f>Registro!E3</f>
        <v>b) Femenino</v>
      </c>
      <c r="F3" s="89" t="str">
        <f>Registro!F3</f>
        <v>a) Católica</v>
      </c>
      <c r="G3" s="89" t="str">
        <f>Registro!G3</f>
        <v>a) Mamá, b) Papá, c) Hermanos, d) Abuelos, e) Otros familiares</v>
      </c>
      <c r="H3" s="89" t="str">
        <f>Registro!H3</f>
        <v>b) Casa Urbana</v>
      </c>
      <c r="I3" s="89" t="str">
        <f>Registro!I3</f>
        <v>c) Algo</v>
      </c>
      <c r="J3" s="89" t="str">
        <f>Registro!J3</f>
        <v>a) Cónsola videojuegos, b) Lavadora, d) TV pantalla plana, i) Computadora, j) Cámara digital, k) Aire acondicionado</v>
      </c>
      <c r="K3" s="89" t="str">
        <f>Registro!K3</f>
        <v>c) Dos</v>
      </c>
      <c r="L3" s="89"/>
      <c r="M3" s="94">
        <f>COUNTIF(L3,"*a)*")+COUNTIF(L3,"*b)*")+COUNTIF(L3,"*c)*")+COUNTIF(L3,"*d)*")+COUNTIF(L3,"*e)*")+COUNTIF(L3,"*f)*")+COUNTIF(L3,"*g)*")+COUNTIF(L3,"*h)*")+COUNTIF(L3,"*i)*")+COUNTIF(L3,"*j)*")+COUNTIF(L3,"*k)*")+COUNTIF(L3,"*l)*")+COUNTIF(L3,"*m)*")+COUNTIF(L3,"*n)*")+COUNTIF(L3,"*o)*")+COUNTIF(L3,"*p)*")</f>
        <v>0</v>
      </c>
      <c r="N3" s="89" t="str">
        <f>Registro!M3</f>
        <v>h) Los amigos</v>
      </c>
      <c r="O3" s="89" t="str">
        <f>Registro!N3</f>
        <v>c) Poco</v>
      </c>
      <c r="P3" s="89" t="str">
        <f>Registro!O3</f>
        <v>a) Mucho</v>
      </c>
      <c r="Q3" s="89" t="str">
        <f>Registro!P3</f>
        <v>b) Suficiente</v>
      </c>
      <c r="R3" s="89" t="str">
        <f>Registro!Q3</f>
        <v>c) Los estudios, i) La música, k) Internet</v>
      </c>
      <c r="S3" s="94">
        <f t="shared" ref="S3:S66" si="0">COUNTIF(R3,"*a)*")+COUNTIF(R3,"*b)*")+COUNTIF(R3,"*c)*")+COUNTIF(R3,"*d)*")+COUNTIF(R3,"*e)*")+COUNTIF(R3,"*f)*")+COUNTIF(R3,"*g)*")+COUNTIF(R3,"*h)*")+COUNTIF(R3,"*i)*")+COUNTIF(R3,"*j)*")+COUNTIF(R3,"*k)*")+COUNTIF(R3,"*l)*")+COUNTIF(R3,"*m)*")+COUNTIF(R3,"*n)*")+COUNTIF(R3,"*o)*")+COUNTIF(R3,"*p)*")</f>
        <v>3</v>
      </c>
      <c r="T3" s="89" t="str">
        <f>Registro!R3</f>
        <v>a) Mucho</v>
      </c>
      <c r="U3" s="89" t="str">
        <f>Registro!S3</f>
        <v>a) La Iglesia, e) Los amigos, k) La oración</v>
      </c>
      <c r="V3" s="89" t="str">
        <f>Registro!T3</f>
        <v>d) No rezo nunca</v>
      </c>
      <c r="W3" s="89" t="str">
        <f>Registro!U3</f>
        <v>c) Solo en fechas especiales</v>
      </c>
      <c r="X3" s="89" t="str">
        <f>Registro!V3</f>
        <v>a) Suelo llevar una cruz o algún objeto religioso, d) Suelo orar todos los días</v>
      </c>
      <c r="Y3" s="89" t="str">
        <f>Registro!W3</f>
        <v>d) No pertenezco a ninguno</v>
      </c>
      <c r="Z3" s="89" t="str">
        <f>Registro!X3</f>
        <v>a) Un grupo donde profundizo mi fe</v>
      </c>
      <c r="AA3" s="89" t="str">
        <f>Registro!Y3</f>
        <v>b) No</v>
      </c>
      <c r="AB3" s="89" t="str">
        <f>Registro!Z3</f>
        <v>b) No</v>
      </c>
      <c r="AC3" s="89" t="str">
        <f>Registro!AA3</f>
        <v>h) Ciencias políticas</v>
      </c>
      <c r="AD3" s="94">
        <f>COUNTIF(AC3,"*a)*")+COUNTIF(AC3,"*b)*")+COUNTIF(AC3,"*c)*")+COUNTIF(AC3,"*d)*")+COUNTIF(AC3,"*e)*")+COUNTIF(AC3,"*f)*")+COUNTIF(AC3,"*g)*")+COUNTIF(AC3,"*h)*")+COUNTIF(AC3,"*i)*")+COUNTIF(AC3,"*j)*")+COUNTIF(AC3,"*k)*")+COUNTIF(AC3,"*l)*")+COUNTIF(AC3,"*m)*")+COUNTIF(AC3,"*n)*")+COUNTIF(AC3,"*o)*")+COUNTIF(AC3,"*p)*")</f>
        <v>1</v>
      </c>
      <c r="AE3" s="89" t="str">
        <f>Registro!AB3</f>
        <v>a) Ganar mucho dinero</v>
      </c>
      <c r="AF3" s="89" t="str">
        <f>Registro!AC3</f>
        <v>d) Mucho o muchísimo</v>
      </c>
      <c r="AG3" s="89"/>
      <c r="AH3" s="94">
        <f t="shared" ref="AH3:AH66" si="1">COUNTIF(AG3,"*a)*")+COUNTIF(AG3,"*b)*")+COUNTIF(AG3,"*c)*")+COUNTIF(AG3,"*d)*")+COUNTIF(AG3,"*e)*")+COUNTIF(AG3,"*f)*")+COUNTIF(AG3,"*g)*")+COUNTIF(AG3,"*h)*")+COUNTIF(AG3,"*i)*")+COUNTIF(AG3,"*j)*")+COUNTIF(AG3,"*k)*")+COUNTIF(AG3,"*l)*")+COUNTIF(AG3,"*m)*")+COUNTIF(AG3,"*n)*")+COUNTIF(AG3,"*o)*")+COUNTIF(AG3,"*p)*")</f>
        <v>0</v>
      </c>
      <c r="AI3" s="89" t="str">
        <f>Registro!AE3</f>
        <v>a) 0 a 2 horas</v>
      </c>
      <c r="AJ3" s="89" t="str">
        <f>Registro!AF3</f>
        <v>a) Me divierto con juegos para computadoras, b) Navego en Internet, n) Estoy conversando con los amigos/as</v>
      </c>
      <c r="AK3" s="94">
        <f t="shared" ref="AK3:AK66" si="2">COUNTIF(AJ3,"*a)*")+COUNTIF(AJ3,"*b)*")+COUNTIF(AJ3,"*c)*")+COUNTIF(AJ3,"*d)*")+COUNTIF(AJ3,"*e)*")+COUNTIF(AJ3,"*f)*")+COUNTIF(AJ3,"*g)*")+COUNTIF(AJ3,"*h)*")+COUNTIF(AJ3,"*i)*")+COUNTIF(AJ3,"*j)*")+COUNTIF(AJ3,"*k)*")+COUNTIF(AJ3,"*l)*")+COUNTIF(AJ3,"*m)*")+COUNTIF(AJ3,"*n)*")+COUNTIF(AJ3,"*o)*")+COUNTIF(AJ3,"*p)*")</f>
        <v>3</v>
      </c>
      <c r="AL3" s="89" t="str">
        <f>Registro!AG3</f>
        <v>a) Muy bueno</v>
      </c>
      <c r="AM3" s="89" t="str">
        <f>Registro!AH3</f>
        <v>a) Muy buena</v>
      </c>
      <c r="AN3" s="89" t="str">
        <f>Registro!AI3</f>
        <v>d) Mala</v>
      </c>
      <c r="AO3" s="89" t="str">
        <f>Registro!AJ3</f>
        <v>a) Muy buena</v>
      </c>
      <c r="AP3" s="89" t="str">
        <f>Registro!AK3</f>
        <v>a) Muy buena</v>
      </c>
      <c r="AQ3" s="89" t="str">
        <f>Registro!AL3</f>
        <v>a) Muy buena</v>
      </c>
      <c r="AR3" s="89" t="str">
        <f>Registro!AM3</f>
        <v>d) Mala</v>
      </c>
      <c r="AS3" s="89" t="str">
        <f>Registro!AN3</f>
        <v>a) Muy buena</v>
      </c>
      <c r="AT3" s="89" t="str">
        <f>Registro!AO3</f>
        <v>a) Muy buena</v>
      </c>
      <c r="AU3" s="89" t="str">
        <f>Registro!AP3</f>
        <v>a) Muy buena</v>
      </c>
      <c r="AV3" s="89" t="str">
        <f>Registro!AQ3</f>
        <v>a) Muy buena</v>
      </c>
      <c r="AW3" s="89" t="str">
        <f>Registro!AR3</f>
        <v>b) La orientación cristiana</v>
      </c>
      <c r="AX3" s="89" t="str">
        <f>Registro!AS3</f>
        <v>a) Que sea un buen profesional</v>
      </c>
      <c r="AY3" s="89" t="str">
        <f>Registro!AT3</f>
        <v>a) Innecesaria</v>
      </c>
      <c r="AZ3" s="89" t="str">
        <f>Registro!AU3</f>
        <v>a) No acostumbro a tomarlo nunca</v>
      </c>
      <c r="BA3" s="89" t="str">
        <f>Registro!AV3</f>
        <v>a) Personas a las que tengo que aguantar</v>
      </c>
      <c r="BB3" s="89" t="str">
        <f>Registro!AW3</f>
        <v>a) No, en absoluto</v>
      </c>
      <c r="BC3" s="89" t="str">
        <f>Registro!AX3</f>
        <v>a) No me gustan en absoluto</v>
      </c>
      <c r="BD3" s="89" t="str">
        <f>Registro!AY3</f>
        <v>a) Mi padre, b) Mi madre</v>
      </c>
    </row>
    <row r="4" spans="1:59" ht="15" customHeight="1" x14ac:dyDescent="0.25">
      <c r="A4" s="101">
        <f>Registro!A4</f>
        <v>42038.403599537036</v>
      </c>
      <c r="B4" s="89" t="str">
        <f>Registro!B4</f>
        <v>c) Obra Social San José de Calasanz de Valencia</v>
      </c>
      <c r="C4" s="89" t="str">
        <f>Registro!C4</f>
        <v>b) Tercer año</v>
      </c>
      <c r="D4" s="89" t="str">
        <f>Registro!D4</f>
        <v>b) Primaria</v>
      </c>
      <c r="E4" s="89" t="str">
        <f>Registro!E4</f>
        <v>b) Femenino</v>
      </c>
      <c r="F4" s="89" t="str">
        <f>Registro!F4</f>
        <v>a) Católica</v>
      </c>
      <c r="G4" s="89" t="str">
        <f>Registro!G4</f>
        <v>a) Mamá, b) Papá, c) Hermanos</v>
      </c>
      <c r="H4" s="89" t="str">
        <f>Registro!H4</f>
        <v>b) Casa Urbana</v>
      </c>
      <c r="I4" s="89" t="str">
        <f>Registro!I4</f>
        <v>a) Sí</v>
      </c>
      <c r="J4" s="89" t="str">
        <f>Registro!J4</f>
        <v>a) Cónsola videojuegos, b) Lavadora, c) Microondas, e) Moto, f) MP3, i) Computadora, j) Cámara digital, k) Aire acondicionado</v>
      </c>
      <c r="K4" s="89" t="str">
        <f>Registro!K4</f>
        <v>c) Dos</v>
      </c>
      <c r="L4" s="89"/>
      <c r="M4" s="94">
        <f t="shared" ref="M4:M67" si="3">COUNTIF(L4,"*a)*")+COUNTIF(L4,"*b)*")+COUNTIF(L4,"*c)*")+COUNTIF(L4,"*d)*")+COUNTIF(L4,"*e)*")+COUNTIF(L4,"*f)*")+COUNTIF(L4,"*g)*")+COUNTIF(L4,"*h)*")+COUNTIF(L4,"*i)*")+COUNTIF(L4,"*j)*")+COUNTIF(L4,"*k)*")+COUNTIF(L4,"*l)*")+COUNTIF(L4,"*m)*")+COUNTIF(L4,"*n)*")+COUNTIF(L4,"*o)*")+COUNTIF(L4,"*p)*")</f>
        <v>0</v>
      </c>
      <c r="N4" s="89" t="str">
        <f>Registro!M4</f>
        <v>e) La situación económica</v>
      </c>
      <c r="O4" s="89" t="str">
        <f>Registro!N4</f>
        <v>a) Mucho</v>
      </c>
      <c r="P4" s="89" t="str">
        <f>Registro!O4</f>
        <v>c) Poco</v>
      </c>
      <c r="Q4" s="89" t="str">
        <f>Registro!P4</f>
        <v>a) Mucho</v>
      </c>
      <c r="R4" s="89" t="str">
        <f>Registro!Q4</f>
        <v>a) La familia, e) Disponer de dinero, g) La felicidad</v>
      </c>
      <c r="S4" s="94">
        <f t="shared" si="0"/>
        <v>3</v>
      </c>
      <c r="T4" s="89" t="str">
        <f>Registro!R4</f>
        <v>a) Mucho</v>
      </c>
      <c r="U4" s="89" t="str">
        <f>Registro!S4</f>
        <v>b) La naturaleza, g) Mi familia</v>
      </c>
      <c r="V4" s="89" t="str">
        <f>Registro!T4</f>
        <v>b) Rezo por costumbre</v>
      </c>
      <c r="W4" s="89" t="str">
        <f>Registro!U4</f>
        <v>c) Solo en fechas especiales</v>
      </c>
      <c r="X4" s="89" t="str">
        <f>Registro!V4</f>
        <v>d) Suelo orar todos los días</v>
      </c>
      <c r="Y4" s="89" t="str">
        <f>Registro!W4</f>
        <v>d) No pertenezco a ninguno</v>
      </c>
      <c r="Z4" s="89" t="str">
        <f>Registro!X4</f>
        <v>d) No pertenezco a grupos juveniles cristianos</v>
      </c>
      <c r="AA4" s="89" t="str">
        <f>Registro!Y4</f>
        <v>b) No</v>
      </c>
      <c r="AB4" s="89" t="str">
        <f>Registro!Z4</f>
        <v>b) No</v>
      </c>
      <c r="AC4" s="89" t="str">
        <f>Registro!AA4</f>
        <v>a) Medicina, g) Artista</v>
      </c>
      <c r="AD4" s="94">
        <f t="shared" ref="AD4:AD66" si="4">COUNTIF(AC4,"*a)*")+COUNTIF(AC4,"*b)*")+COUNTIF(AC4,"*c)*")+COUNTIF(AC4,"*d)*")+COUNTIF(AC4,"*e)*")+COUNTIF(AC4,"*f)*")+COUNTIF(AC4,"*g)*")+COUNTIF(AC4,"*h)*")+COUNTIF(AC4,"*i)*")+COUNTIF(AC4,"*j)*")+COUNTIF(AC4,"*k)*")+COUNTIF(AC4,"*l)*")+COUNTIF(AC4,"*m)*")+COUNTIF(AC4,"*n)*")+COUNTIF(AC4,"*o)*")+COUNTIF(AC4,"*p)*")</f>
        <v>2</v>
      </c>
      <c r="AE4" s="89" t="str">
        <f>Registro!AB4</f>
        <v>c) Ser un excelente profesional</v>
      </c>
      <c r="AF4" s="89" t="str">
        <f>Registro!AC4</f>
        <v>b) Poco</v>
      </c>
      <c r="AG4" s="89" t="str">
        <f>Registro!AD4</f>
        <v>a) Los deportes y diversiones, c) Las instalaciones del Colegio</v>
      </c>
      <c r="AH4" s="94">
        <f t="shared" si="1"/>
        <v>2</v>
      </c>
      <c r="AI4" s="89" t="str">
        <f>Registro!AE4</f>
        <v>b) 3 a 4 horas</v>
      </c>
      <c r="AJ4" s="89" t="str">
        <f>Registro!AF4</f>
        <v>b) Navego en Internet, i) Leo revistas o libros, m) Veo televisión y/o películas</v>
      </c>
      <c r="AK4" s="94">
        <f t="shared" si="2"/>
        <v>3</v>
      </c>
      <c r="AL4" s="89" t="str">
        <f>Registro!AG4</f>
        <v>a) Muy bueno</v>
      </c>
      <c r="AM4" s="89" t="str">
        <f>Registro!AH4</f>
        <v>c) Regular</v>
      </c>
      <c r="AN4" s="89" t="str">
        <f>Registro!AI4</f>
        <v>c) Regular</v>
      </c>
      <c r="AO4" s="89" t="str">
        <f>Registro!AJ4</f>
        <v>b) Buena</v>
      </c>
      <c r="AP4" s="89" t="str">
        <f>Registro!AK4</f>
        <v>c) Regular</v>
      </c>
      <c r="AQ4" s="89" t="str">
        <f>Registro!AL4</f>
        <v>b) Buena</v>
      </c>
      <c r="AR4" s="89" t="str">
        <f>Registro!AM4</f>
        <v>a) Muy buena</v>
      </c>
      <c r="AS4" s="89" t="str">
        <f>Registro!AN4</f>
        <v>b) Buena</v>
      </c>
      <c r="AT4" s="89" t="str">
        <f>Registro!AO4</f>
        <v>a) Muy buena</v>
      </c>
      <c r="AU4" s="89" t="str">
        <f>Registro!AP4</f>
        <v>a) Muy buena</v>
      </c>
      <c r="AV4" s="89" t="str">
        <f>Registro!AQ4</f>
        <v>a) Muy buena</v>
      </c>
      <c r="AW4" s="89" t="str">
        <f>Registro!AR4</f>
        <v>a) El compañerismo</v>
      </c>
      <c r="AX4" s="89" t="str">
        <f>Registro!AS4</f>
        <v>b) Darme una buena educación</v>
      </c>
      <c r="AY4" s="89" t="str">
        <f>Registro!AT4</f>
        <v>d) Bastante necesaria</v>
      </c>
      <c r="AZ4" s="89" t="str">
        <f>Registro!AU4</f>
        <v>a) No acostumbro a tomarlo nunca</v>
      </c>
      <c r="BA4" s="89" t="str">
        <f>Registro!AV4</f>
        <v>d) Buenos profesionales de la educación</v>
      </c>
      <c r="BB4" s="89" t="str">
        <f>Registro!AW4</f>
        <v>b) Poco</v>
      </c>
      <c r="BC4" s="89" t="str">
        <f>Registro!AX4</f>
        <v>e) Son personas que me gustan y admiro</v>
      </c>
      <c r="BD4" s="89" t="str">
        <f>Registro!AY4</f>
        <v>b) Mi madre</v>
      </c>
    </row>
    <row r="5" spans="1:59" ht="15" customHeight="1" x14ac:dyDescent="0.25">
      <c r="A5" s="101">
        <f>Registro!A5</f>
        <v>42038.405497685184</v>
      </c>
      <c r="B5" s="89" t="str">
        <f>Registro!B5</f>
        <v>c) Obra Social San José de Calasanz de Valencia</v>
      </c>
      <c r="C5" s="89" t="str">
        <f>Registro!C5</f>
        <v>b) Tercer año</v>
      </c>
      <c r="D5" s="89" t="str">
        <f>Registro!D5</f>
        <v>b) Primaria</v>
      </c>
      <c r="E5" s="89" t="str">
        <f>Registro!E5</f>
        <v>a) Masculino</v>
      </c>
      <c r="F5" s="89" t="str">
        <f>Registro!F5</f>
        <v>a) Católica</v>
      </c>
      <c r="G5" s="89" t="str">
        <f>Registro!G5</f>
        <v>a) Mamá, b) Papá, d) Abuelos</v>
      </c>
      <c r="H5" s="89" t="str">
        <f>Registro!H5</f>
        <v>b) Casa Urbana</v>
      </c>
      <c r="I5" s="89" t="str">
        <f>Registro!I5</f>
        <v>a) Sí</v>
      </c>
      <c r="J5" s="89" t="str">
        <f>Registro!J5</f>
        <v>a) Cónsola videojuegos, b) Lavadora, c) Microondas, f) MP3, g) MP4, i) Computadora, k) Aire acondicionado</v>
      </c>
      <c r="K5" s="89" t="str">
        <f>Registro!K5</f>
        <v>d) Tres</v>
      </c>
      <c r="L5" s="89"/>
      <c r="M5" s="94">
        <f t="shared" si="3"/>
        <v>0</v>
      </c>
      <c r="N5" s="89" t="str">
        <f>Registro!M5</f>
        <v>c) Yo mismo</v>
      </c>
      <c r="O5" s="89" t="str">
        <f>Registro!N5</f>
        <v>c) Poco</v>
      </c>
      <c r="P5" s="89" t="str">
        <f>Registro!O5</f>
        <v>c) Poco</v>
      </c>
      <c r="Q5" s="89" t="str">
        <f>Registro!P5</f>
        <v>c) Poco</v>
      </c>
      <c r="R5" s="89" t="str">
        <f>Registro!Q5</f>
        <v>b) Los amigos, c) Los estudios, g) La felicidad</v>
      </c>
      <c r="S5" s="94">
        <f t="shared" si="0"/>
        <v>3</v>
      </c>
      <c r="T5" s="89" t="str">
        <f>Registro!R5</f>
        <v>b) Suficiente</v>
      </c>
      <c r="U5" s="89" t="str">
        <f>Registro!S5</f>
        <v>g) Mi familia</v>
      </c>
      <c r="V5" s="89" t="str">
        <f>Registro!T5</f>
        <v>c) Rezo solo en situación de dificultad</v>
      </c>
      <c r="W5" s="89" t="str">
        <f>Registro!U5</f>
        <v>c) Solo en fechas especiales</v>
      </c>
      <c r="X5" s="89" t="str">
        <f>Registro!V5</f>
        <v>c) Suelo ir los domingos y otras fechas especiales a la Iglesia, e) Voy a misa en las fechas de mis familiares difuntos</v>
      </c>
      <c r="Y5" s="89" t="str">
        <f>Registro!W5</f>
        <v>a) Deportivo</v>
      </c>
      <c r="Z5" s="89" t="str">
        <f>Registro!X5</f>
        <v>b) Un lugar donde comparto con mis compañeros</v>
      </c>
      <c r="AA5" s="89" t="str">
        <f>Registro!Y5</f>
        <v>b) No</v>
      </c>
      <c r="AB5" s="89" t="str">
        <f>Registro!Z5</f>
        <v>b) No</v>
      </c>
      <c r="AC5" s="89" t="str">
        <f>Registro!AA5</f>
        <v>d) Ingeniería, i) Comerciante</v>
      </c>
      <c r="AD5" s="94">
        <f t="shared" si="4"/>
        <v>2</v>
      </c>
      <c r="AE5" s="89" t="str">
        <f>Registro!AB5</f>
        <v>a) Ganar mucho dinero</v>
      </c>
      <c r="AF5" s="89" t="str">
        <f>Registro!AC5</f>
        <v>b) Poco</v>
      </c>
      <c r="AG5" s="89" t="str">
        <f>Registro!AD5</f>
        <v>a) Los deportes y diversiones</v>
      </c>
      <c r="AH5" s="94">
        <f t="shared" si="1"/>
        <v>1</v>
      </c>
      <c r="AI5" s="89" t="str">
        <f>Registro!AE5</f>
        <v>e) 9 a 10 horas</v>
      </c>
      <c r="AJ5" s="89" t="str">
        <f>Registro!AF5</f>
        <v>a) Me divierto con juegos para computadoras, b) Navego en Internet, e) Suelo ir a algún parque</v>
      </c>
      <c r="AK5" s="94">
        <f t="shared" si="2"/>
        <v>3</v>
      </c>
      <c r="AL5" s="89" t="str">
        <f>Registro!AG5</f>
        <v>b) Bueno</v>
      </c>
      <c r="AM5" s="89" t="str">
        <f>Registro!AH5</f>
        <v>c) Regular</v>
      </c>
      <c r="AN5" s="89" t="str">
        <f>Registro!AI5</f>
        <v>c) Regular</v>
      </c>
      <c r="AO5" s="89" t="str">
        <f>Registro!AJ5</f>
        <v>b) Buena</v>
      </c>
      <c r="AP5" s="89" t="str">
        <f>Registro!AK5</f>
        <v>b) Buena</v>
      </c>
      <c r="AQ5" s="89" t="str">
        <f>Registro!AL5</f>
        <v>b) Buena</v>
      </c>
      <c r="AR5" s="89" t="str">
        <f>Registro!AM5</f>
        <v>b) Buena</v>
      </c>
      <c r="AS5" s="89" t="str">
        <f>Registro!AN5</f>
        <v>f) No aplica</v>
      </c>
      <c r="AT5" s="89" t="str">
        <f>Registro!AO5</f>
        <v>b) Buena</v>
      </c>
      <c r="AU5" s="89" t="str">
        <f>Registro!AP5</f>
        <v>f) No aplica</v>
      </c>
      <c r="AV5" s="89" t="str">
        <f>Registro!AQ5</f>
        <v>b) Buena</v>
      </c>
      <c r="AW5" s="89" t="str">
        <f>Registro!AR5</f>
        <v>a) El compañerismo</v>
      </c>
      <c r="AX5" s="89" t="str">
        <f>Registro!AS5</f>
        <v>a) Que sea un buen profesional</v>
      </c>
      <c r="AY5" s="89" t="str">
        <f>Registro!AT5</f>
        <v>c) Conveniente</v>
      </c>
      <c r="AZ5" s="89" t="str">
        <f>Registro!AU5</f>
        <v>a) No acostumbro a tomarlo nunca</v>
      </c>
      <c r="BA5" s="89" t="str">
        <f>Registro!AV5</f>
        <v>e) Educadores que se preocupan de nosotros</v>
      </c>
      <c r="BB5" s="89" t="str">
        <f>Registro!AW5</f>
        <v>c) Bastante</v>
      </c>
      <c r="BC5" s="89" t="str">
        <f>Registro!AX5</f>
        <v>c) Son personas normales y corrientes</v>
      </c>
      <c r="BD5" s="89" t="str">
        <f>Registro!AY5</f>
        <v>a) Mi padre, b) Mi madre, c) Un hermano/a, d) Un escolapio, religioso o religiosa</v>
      </c>
    </row>
    <row r="6" spans="1:59" ht="15" customHeight="1" x14ac:dyDescent="0.25">
      <c r="A6" s="101">
        <f>Registro!A6</f>
        <v>42038.406446759262</v>
      </c>
      <c r="B6" s="89" t="str">
        <f>Registro!B6</f>
        <v>c) Obra Social San José de Calasanz de Valencia</v>
      </c>
      <c r="C6" s="89" t="str">
        <f>Registro!C6</f>
        <v>b) Tercer año</v>
      </c>
      <c r="D6" s="89" t="str">
        <f>Registro!D6</f>
        <v>a) Educación Inicial</v>
      </c>
      <c r="E6" s="89" t="str">
        <f>Registro!E6</f>
        <v>a) Masculino</v>
      </c>
      <c r="F6" s="89" t="str">
        <f>Registro!F6</f>
        <v>a) Católica</v>
      </c>
      <c r="G6" s="89" t="str">
        <f>Registro!G6</f>
        <v>a) Mamá, b) Papá, c) Hermanos, d) Abuelos</v>
      </c>
      <c r="H6" s="89" t="str">
        <f>Registro!H6</f>
        <v>c) Apartamento</v>
      </c>
      <c r="I6" s="89" t="str">
        <f>Registro!I6</f>
        <v>a) Sí</v>
      </c>
      <c r="J6" s="89" t="str">
        <f>Registro!J6</f>
        <v>a) Cónsola videojuegos, b) Lavadora, d) TV pantalla plana, f) MP3, g) MP4, i) Computadora, j) Cámara digital, k) Aire acondicionado</v>
      </c>
      <c r="K6" s="89" t="str">
        <f>Registro!K6</f>
        <v>b) Una</v>
      </c>
      <c r="L6" s="89"/>
      <c r="M6" s="94">
        <f t="shared" si="3"/>
        <v>0</v>
      </c>
      <c r="N6" s="89" t="str">
        <f>Registro!M6</f>
        <v>b) El futuro</v>
      </c>
      <c r="O6" s="89">
        <f>Registro!N6</f>
        <v>0</v>
      </c>
      <c r="P6" s="89" t="str">
        <f>Registro!O6</f>
        <v>d) Nada</v>
      </c>
      <c r="Q6" s="89" t="str">
        <f>Registro!P6</f>
        <v>a) Mucho</v>
      </c>
      <c r="R6" s="89"/>
      <c r="S6" s="94">
        <f t="shared" si="0"/>
        <v>0</v>
      </c>
      <c r="T6" s="89" t="str">
        <f>Registro!R6</f>
        <v>a) Mucho</v>
      </c>
      <c r="U6" s="89" t="str">
        <f>Registro!S6</f>
        <v>b) La naturaleza, f) Todas las personas, g) Mi familia, j) Todas partes, k) La oración</v>
      </c>
      <c r="V6" s="89" t="str">
        <f>Registro!T6</f>
        <v>a) Suelo rezar por convicción o porque me gusta</v>
      </c>
      <c r="W6" s="89" t="str">
        <f>Registro!U6</f>
        <v>d) Nunca</v>
      </c>
      <c r="X6" s="89" t="str">
        <f>Registro!V6</f>
        <v>d) Suelo orar todos los días</v>
      </c>
      <c r="Y6" s="89" t="str">
        <f>Registro!W6</f>
        <v>a) Deportivo</v>
      </c>
      <c r="Z6" s="89" t="str">
        <f>Registro!X6</f>
        <v>b) Un lugar donde comparto con mis compañeros</v>
      </c>
      <c r="AA6" s="89" t="str">
        <f>Registro!Y6</f>
        <v>b) No</v>
      </c>
      <c r="AB6" s="89" t="str">
        <f>Registro!Z6</f>
        <v>b) No</v>
      </c>
      <c r="AC6" s="89" t="str">
        <f>Registro!AA6</f>
        <v>d) Ingeniería, j) Trabajador calificado</v>
      </c>
      <c r="AD6" s="94">
        <f t="shared" si="4"/>
        <v>2</v>
      </c>
      <c r="AE6" s="89" t="str">
        <f>Registro!AB6</f>
        <v>d) Desarrollarme personalmente</v>
      </c>
      <c r="AF6" s="89" t="str">
        <f>Registro!AC6</f>
        <v>e) No sé</v>
      </c>
      <c r="AG6" s="89" t="str">
        <f>Registro!AD6</f>
        <v>a) Los deportes y diversiones, g) La relación con los docentes</v>
      </c>
      <c r="AH6" s="94">
        <f t="shared" si="1"/>
        <v>2</v>
      </c>
      <c r="AI6" s="89" t="str">
        <f>Registro!AE6</f>
        <v>a) 0 a 2 horas</v>
      </c>
      <c r="AJ6" s="89" t="str">
        <f>Registro!AF6</f>
        <v>a) Me divierto con juegos para computadoras, k) Practico algún deporte, l) Escucho música y/o veo videos musicales</v>
      </c>
      <c r="AK6" s="94">
        <f t="shared" si="2"/>
        <v>3</v>
      </c>
      <c r="AL6" s="89" t="str">
        <f>Registro!AG6</f>
        <v>a) Muy bueno</v>
      </c>
      <c r="AM6" s="89" t="str">
        <f>Registro!AH6</f>
        <v>a) Muy buena</v>
      </c>
      <c r="AN6" s="89">
        <f>Registro!AI6</f>
        <v>0</v>
      </c>
      <c r="AO6" s="89" t="str">
        <f>Registro!AJ6</f>
        <v>a) Muy buena</v>
      </c>
      <c r="AP6" s="89" t="str">
        <f>Registro!AK6</f>
        <v>a) Muy buena</v>
      </c>
      <c r="AQ6" s="89" t="str">
        <f>Registro!AL6</f>
        <v>a) Muy buena</v>
      </c>
      <c r="AR6" s="89" t="str">
        <f>Registro!AM6</f>
        <v>a) Muy buena</v>
      </c>
      <c r="AS6" s="89" t="str">
        <f>Registro!AN6</f>
        <v>a) Muy buena</v>
      </c>
      <c r="AT6" s="89" t="str">
        <f>Registro!AO6</f>
        <v>a) Muy buena</v>
      </c>
      <c r="AU6" s="89" t="str">
        <f>Registro!AP6</f>
        <v>a) Muy buena</v>
      </c>
      <c r="AV6" s="89" t="str">
        <f>Registro!AQ6</f>
        <v>a) Muy buena</v>
      </c>
      <c r="AW6" s="89" t="str">
        <f>Registro!AR6</f>
        <v>g) La orientación profesional futura</v>
      </c>
      <c r="AX6" s="89" t="str">
        <f>Registro!AS6</f>
        <v>b) Darme una buena educación</v>
      </c>
      <c r="AY6" s="89" t="str">
        <f>Registro!AT6</f>
        <v>e) Absolutamente necesaria</v>
      </c>
      <c r="AZ6" s="89" t="str">
        <f>Registro!AU6</f>
        <v>a) No acostumbro a tomarlo nunca</v>
      </c>
      <c r="BA6" s="89" t="str">
        <f>Registro!AV6</f>
        <v>d) Buenos profesionales de la educación</v>
      </c>
      <c r="BB6" s="89" t="str">
        <f>Registro!AW6</f>
        <v>c) Bastante</v>
      </c>
      <c r="BC6" s="89" t="str">
        <f>Registro!AX6</f>
        <v>e) Son personas que me gustan y admiro</v>
      </c>
      <c r="BD6" s="89" t="str">
        <f>Registro!AY6</f>
        <v>k) No tengo problemas personales</v>
      </c>
    </row>
    <row r="7" spans="1:59" ht="15" customHeight="1" x14ac:dyDescent="0.25">
      <c r="A7" s="101">
        <f>Registro!A7</f>
        <v>42038.406817129631</v>
      </c>
      <c r="B7" s="89" t="str">
        <f>Registro!B7</f>
        <v>c) Obra Social San José de Calasanz de Valencia</v>
      </c>
      <c r="C7" s="89" t="str">
        <f>Registro!C7</f>
        <v>b) Tercer año</v>
      </c>
      <c r="D7" s="89" t="str">
        <f>Registro!D7</f>
        <v>a) Educación Inicial</v>
      </c>
      <c r="E7" s="89" t="str">
        <f>Registro!E7</f>
        <v>b) Femenino</v>
      </c>
      <c r="F7" s="89" t="str">
        <f>Registro!F7</f>
        <v>d) Otra</v>
      </c>
      <c r="G7" s="89" t="str">
        <f>Registro!G7</f>
        <v>a) Mamá, b) Papá, c) Hermanos</v>
      </c>
      <c r="H7" s="89" t="str">
        <f>Registro!H7</f>
        <v>f) Otro</v>
      </c>
      <c r="I7" s="89" t="str">
        <f>Registro!I7</f>
        <v>c) Algo</v>
      </c>
      <c r="J7" s="89" t="str">
        <f>Registro!J7</f>
        <v>b) Lavadora, c) Microondas, e) Moto, f) MP3, g) MP4, i) Computadora</v>
      </c>
      <c r="K7" s="89" t="str">
        <f>Registro!K7</f>
        <v>b) Una</v>
      </c>
      <c r="L7" s="89"/>
      <c r="M7" s="94">
        <f t="shared" si="3"/>
        <v>0</v>
      </c>
      <c r="N7" s="89" t="str">
        <f>Registro!M7</f>
        <v>b) El futuro</v>
      </c>
      <c r="O7" s="89" t="str">
        <f>Registro!N7</f>
        <v>c) Poco</v>
      </c>
      <c r="P7" s="89" t="str">
        <f>Registro!O7</f>
        <v>b) Suficiente</v>
      </c>
      <c r="Q7" s="89" t="str">
        <f>Registro!P7</f>
        <v>c) Poco</v>
      </c>
      <c r="R7" s="89" t="str">
        <f>Registro!Q7</f>
        <v>a) La familia, c) Los estudios, g) La felicidad</v>
      </c>
      <c r="S7" s="94">
        <f t="shared" si="0"/>
        <v>3</v>
      </c>
      <c r="T7" s="89" t="str">
        <f>Registro!R7</f>
        <v>a) Mucho</v>
      </c>
      <c r="U7" s="89" t="str">
        <f>Registro!S7</f>
        <v>f) Todas las personas, i) Los necesitados, j) Todas partes</v>
      </c>
      <c r="V7" s="89" t="str">
        <f>Registro!T7</f>
        <v>d) No rezo nunca</v>
      </c>
      <c r="W7" s="89" t="str">
        <f>Registro!U7</f>
        <v>d) Nunca</v>
      </c>
      <c r="X7" s="89" t="str">
        <f>Registro!V7</f>
        <v>e) Voy a misa en las fechas de mis familiares difuntos, h) En Semana Santa asisto a las procesiones</v>
      </c>
      <c r="Y7" s="89" t="str">
        <f>Registro!W7</f>
        <v>c) Religioso o parroquial, d) No pertenezco a ninguno</v>
      </c>
      <c r="Z7" s="89" t="str">
        <f>Registro!X7</f>
        <v>c) Un lugar donde me lo paso bien</v>
      </c>
      <c r="AA7" s="89" t="str">
        <f>Registro!Y7</f>
        <v>b) No</v>
      </c>
      <c r="AB7" s="89" t="str">
        <f>Registro!Z7</f>
        <v>b) No</v>
      </c>
      <c r="AC7" s="89"/>
      <c r="AD7" s="94">
        <f t="shared" si="4"/>
        <v>0</v>
      </c>
      <c r="AE7" s="89" t="str">
        <f>Registro!AB7</f>
        <v>c) Ser un excelente profesional</v>
      </c>
      <c r="AF7" s="89" t="str">
        <f>Registro!AC7</f>
        <v>d) Mucho o muchísimo</v>
      </c>
      <c r="AG7" s="89" t="str">
        <f>Registro!AD7</f>
        <v>b) El ambiente de estudio y de trabajo, d) Los grupos juveniles cristianos</v>
      </c>
      <c r="AH7" s="94">
        <f t="shared" si="1"/>
        <v>2</v>
      </c>
      <c r="AI7" s="89" t="str">
        <f>Registro!AE7</f>
        <v>d) 7 a 8 horas</v>
      </c>
      <c r="AJ7" s="89" t="str">
        <f>Registro!AF7</f>
        <v>d) Estoy la mayor parte del tiempo en la casa sin hacer nada, e) Suelo ir a algún parque, f) Toco un instrumento musical</v>
      </c>
      <c r="AK7" s="94">
        <f t="shared" si="2"/>
        <v>3</v>
      </c>
      <c r="AL7" s="89" t="str">
        <f>Registro!AG7</f>
        <v>d) Deficiente</v>
      </c>
      <c r="AM7" s="89" t="str">
        <f>Registro!AH7</f>
        <v>b) Buena</v>
      </c>
      <c r="AN7" s="89" t="str">
        <f>Registro!AI7</f>
        <v>c) Regular</v>
      </c>
      <c r="AO7" s="89" t="str">
        <f>Registro!AJ7</f>
        <v>e) Muy mala</v>
      </c>
      <c r="AP7" s="89" t="str">
        <f>Registro!AK7</f>
        <v>f) No aplica</v>
      </c>
      <c r="AQ7" s="89" t="str">
        <f>Registro!AL7</f>
        <v>f) No aplica</v>
      </c>
      <c r="AR7" s="89" t="str">
        <f>Registro!AM7</f>
        <v>a) Muy buena</v>
      </c>
      <c r="AS7" s="89">
        <f>Registro!AN7</f>
        <v>0</v>
      </c>
      <c r="AT7" s="89" t="str">
        <f>Registro!AO7</f>
        <v>c) Regular</v>
      </c>
      <c r="AU7" s="89" t="str">
        <f>Registro!AP7</f>
        <v>c) Regular</v>
      </c>
      <c r="AV7" s="89" t="str">
        <f>Registro!AQ7</f>
        <v>c) Regular</v>
      </c>
      <c r="AW7" s="89" t="str">
        <f>Registro!AR7</f>
        <v>f) la práctica religiosa</v>
      </c>
      <c r="AX7" s="89" t="str">
        <f>Registro!AS7</f>
        <v>f) Que tenga honradez en la vida</v>
      </c>
      <c r="AY7" s="89" t="str">
        <f>Registro!AT7</f>
        <v>a) Innecesaria</v>
      </c>
      <c r="AZ7" s="89" t="str">
        <f>Registro!AU7</f>
        <v>d) Con frecuencia (fines de semana u otros momentos) suelo beber más de la cuenta</v>
      </c>
      <c r="BA7" s="89" t="str">
        <f>Registro!AV7</f>
        <v>f) Educadores que, además, me han abierto caminos</v>
      </c>
      <c r="BB7" s="89" t="str">
        <f>Registro!AW7</f>
        <v>b) Poco</v>
      </c>
      <c r="BC7" s="89" t="str">
        <f>Registro!AX7</f>
        <v>e) Son personas que me gustan y admiro</v>
      </c>
      <c r="BD7" s="89" t="str">
        <f>Registro!AY7</f>
        <v>b) Mi madre, f) La orientadora, g) Un amigo</v>
      </c>
    </row>
    <row r="8" spans="1:59" ht="15" customHeight="1" x14ac:dyDescent="0.25">
      <c r="A8" s="101">
        <f>Registro!A8</f>
        <v>42038.407268518517</v>
      </c>
      <c r="B8" s="89" t="str">
        <f>Registro!B8</f>
        <v>c) Obra Social San José de Calasanz de Valencia</v>
      </c>
      <c r="C8" s="89" t="str">
        <f>Registro!C8</f>
        <v>b) Tercer año</v>
      </c>
      <c r="D8" s="89" t="str">
        <f>Registro!D8</f>
        <v>b) Primaria</v>
      </c>
      <c r="E8" s="89" t="str">
        <f>Registro!E8</f>
        <v>b) Femenino</v>
      </c>
      <c r="F8" s="89" t="str">
        <f>Registro!F8</f>
        <v>a) Católica</v>
      </c>
      <c r="G8" s="89" t="str">
        <f>Registro!G8</f>
        <v>a) Mamá, c) Hermanos</v>
      </c>
      <c r="H8" s="89" t="str">
        <f>Registro!H8</f>
        <v>b) Casa Urbana</v>
      </c>
      <c r="I8" s="89" t="str">
        <f>Registro!I8</f>
        <v>c) Algo</v>
      </c>
      <c r="J8" s="89" t="str">
        <f>Registro!J8</f>
        <v>b) Lavadora, g) MP4, j) Cámara digital, k) Aire acondicionado</v>
      </c>
      <c r="K8" s="89" t="str">
        <f>Registro!K8</f>
        <v>b) Una</v>
      </c>
      <c r="L8" s="89" t="str">
        <f>Registro!L8</f>
        <v>a) La familia, b) Los amigos, i) La música</v>
      </c>
      <c r="M8" s="94">
        <f t="shared" si="3"/>
        <v>3</v>
      </c>
      <c r="N8" s="89" t="str">
        <f>Registro!M8</f>
        <v>b) El futuro</v>
      </c>
      <c r="O8" s="89" t="str">
        <f>Registro!N8</f>
        <v>b) Suficiente</v>
      </c>
      <c r="P8" s="89" t="str">
        <f>Registro!O8</f>
        <v>b) Suficiente</v>
      </c>
      <c r="Q8" s="89" t="str">
        <f>Registro!P8</f>
        <v>b) Suficiente</v>
      </c>
      <c r="R8" s="89" t="str">
        <f>Registro!Q8</f>
        <v>b) Los amigos, c) Los estudios, d) El cuidado de mi cuerpo</v>
      </c>
      <c r="S8" s="94">
        <f t="shared" si="0"/>
        <v>3</v>
      </c>
      <c r="T8" s="89" t="str">
        <f>Registro!R8</f>
        <v>b) Suficiente</v>
      </c>
      <c r="U8" s="89" t="str">
        <f>Registro!S8</f>
        <v>b) La naturaleza, e) Los amigos</v>
      </c>
      <c r="V8" s="89" t="str">
        <f>Registro!T8</f>
        <v>c) Rezo solo en situación de dificultad</v>
      </c>
      <c r="W8" s="89" t="str">
        <f>Registro!U8</f>
        <v>c) Solo en fechas especiales</v>
      </c>
      <c r="X8" s="89" t="str">
        <f>Registro!V8</f>
        <v>i) Tengo en mi cuarto alguna imagen religiosa</v>
      </c>
      <c r="Y8" s="89" t="str">
        <f>Registro!W8</f>
        <v>d) No pertenezco a ninguno</v>
      </c>
      <c r="Z8" s="89" t="str">
        <f>Registro!X8</f>
        <v>d) No pertenezco a grupos juveniles cristianos</v>
      </c>
      <c r="AA8" s="89" t="str">
        <f>Registro!Y8</f>
        <v>b) No</v>
      </c>
      <c r="AB8" s="89" t="str">
        <f>Registro!Z8</f>
        <v>b) No</v>
      </c>
      <c r="AC8" s="89" t="str">
        <f>Registro!AA8</f>
        <v>a) Medicina, g) Artista</v>
      </c>
      <c r="AD8" s="94">
        <f t="shared" si="4"/>
        <v>2</v>
      </c>
      <c r="AE8" s="89" t="str">
        <f>Registro!AB8</f>
        <v>d) Desarrollarme personalmente</v>
      </c>
      <c r="AF8" s="89" t="str">
        <f>Registro!AC8</f>
        <v>b) Poco</v>
      </c>
      <c r="AG8" s="89" t="str">
        <f>Registro!AD8</f>
        <v>a) Los deportes y diversiones, h) Las actividades extraescolares</v>
      </c>
      <c r="AH8" s="94">
        <f t="shared" si="1"/>
        <v>2</v>
      </c>
      <c r="AI8" s="89" t="str">
        <f>Registro!AE8</f>
        <v>d) 7 a 8 horas</v>
      </c>
      <c r="AJ8" s="89" t="str">
        <f>Registro!AF8</f>
        <v>i) Leo revistas o libros, l) Escucho música y/o veo videos musicales, n) Estoy conversando con los amigos/as</v>
      </c>
      <c r="AK8" s="94">
        <f t="shared" si="2"/>
        <v>3</v>
      </c>
      <c r="AL8" s="89" t="str">
        <f>Registro!AG8</f>
        <v>b) Bueno</v>
      </c>
      <c r="AM8" s="89" t="str">
        <f>Registro!AH8</f>
        <v>b) Buena</v>
      </c>
      <c r="AN8" s="89" t="str">
        <f>Registro!AI8</f>
        <v>a) Muy buena</v>
      </c>
      <c r="AO8" s="89" t="str">
        <f>Registro!AJ8</f>
        <v>b) Buena</v>
      </c>
      <c r="AP8" s="89" t="str">
        <f>Registro!AK8</f>
        <v>c) Regular</v>
      </c>
      <c r="AQ8" s="89" t="str">
        <f>Registro!AL8</f>
        <v>b) Buena</v>
      </c>
      <c r="AR8" s="89" t="str">
        <f>Registro!AM8</f>
        <v>b) Buena</v>
      </c>
      <c r="AS8" s="89" t="str">
        <f>Registro!AN8</f>
        <v>b) Buena</v>
      </c>
      <c r="AT8" s="89" t="str">
        <f>Registro!AO8</f>
        <v>c) Regular</v>
      </c>
      <c r="AU8" s="89" t="str">
        <f>Registro!AP8</f>
        <v>b) Buena</v>
      </c>
      <c r="AV8" s="89" t="str">
        <f>Registro!AQ8</f>
        <v>b) Buena</v>
      </c>
      <c r="AW8" s="89" t="str">
        <f>Registro!AR8</f>
        <v>e) La disciplina y el orden</v>
      </c>
      <c r="AX8" s="89" t="str">
        <f>Registro!AS8</f>
        <v>a) Que sea un buen profesional</v>
      </c>
      <c r="AY8" s="89" t="str">
        <f>Registro!AT8</f>
        <v>d) Bastante necesaria</v>
      </c>
      <c r="AZ8" s="89" t="str">
        <f>Registro!AU8</f>
        <v>b) Las veces que bebo, es con moderación</v>
      </c>
      <c r="BA8" s="89" t="str">
        <f>Registro!AV8</f>
        <v>f) Educadores que, además, me han abierto caminos</v>
      </c>
      <c r="BB8" s="89" t="str">
        <f>Registro!AW8</f>
        <v>e) No sé</v>
      </c>
      <c r="BC8" s="89" t="str">
        <f>Registro!AX8</f>
        <v>c) Son personas normales y corrientes</v>
      </c>
      <c r="BD8" s="89" t="str">
        <f>Registro!AY8</f>
        <v>e) Un, una docente, g) Un amigo, h) Una amiga</v>
      </c>
    </row>
    <row r="9" spans="1:59" ht="15" customHeight="1" x14ac:dyDescent="0.25">
      <c r="A9" s="101">
        <f>Registro!A9</f>
        <v>42038.40761574074</v>
      </c>
      <c r="B9" s="89" t="str">
        <f>Registro!B9</f>
        <v>c) Obra Social San José de Calasanz de Valencia</v>
      </c>
      <c r="C9" s="89" t="str">
        <f>Registro!C9</f>
        <v>b) Tercer año</v>
      </c>
      <c r="D9" s="89" t="str">
        <f>Registro!D9</f>
        <v>b) Primaria</v>
      </c>
      <c r="E9" s="89" t="str">
        <f>Registro!E9</f>
        <v>a) Masculino</v>
      </c>
      <c r="F9" s="89" t="str">
        <f>Registro!F9</f>
        <v>a) Católica</v>
      </c>
      <c r="G9" s="89" t="str">
        <f>Registro!G9</f>
        <v>a) Mamá, b) Papá, c) Hermanos</v>
      </c>
      <c r="H9" s="89" t="str">
        <f>Registro!H9</f>
        <v>b) Casa Urbana</v>
      </c>
      <c r="I9" s="89" t="str">
        <f>Registro!I9</f>
        <v>c) Algo</v>
      </c>
      <c r="J9" s="89" t="str">
        <f>Registro!J9</f>
        <v>a) Cónsola videojuegos, b) Lavadora, c) Microondas, d) TV pantalla plana, h) Carro, i) Computadora, j) Cámara digital, k) Aire acondicionado</v>
      </c>
      <c r="K9" s="89" t="str">
        <f>Registro!K9</f>
        <v>a) Ninguna</v>
      </c>
      <c r="L9" s="89"/>
      <c r="M9" s="94">
        <f t="shared" si="3"/>
        <v>0</v>
      </c>
      <c r="N9" s="89" t="str">
        <f>Registro!M9</f>
        <v>a) Seguridad personal (la violencia y la delincuencia)</v>
      </c>
      <c r="O9" s="89" t="str">
        <f>Registro!N9</f>
        <v>c) Poco</v>
      </c>
      <c r="P9" s="89" t="str">
        <f>Registro!O9</f>
        <v>c) Poco</v>
      </c>
      <c r="Q9" s="89" t="str">
        <f>Registro!P9</f>
        <v>b) Suficiente</v>
      </c>
      <c r="R9" s="89"/>
      <c r="S9" s="94">
        <f t="shared" si="0"/>
        <v>0</v>
      </c>
      <c r="T9" s="89" t="str">
        <f>Registro!R9</f>
        <v>b) Suficiente</v>
      </c>
      <c r="U9" s="89" t="str">
        <f>Registro!S9</f>
        <v>a) La Iglesia, b) La naturaleza, d) Las convivencias, e) Los amigos, g) Mi familia, i) Los necesitados, k) La oración, l) Los sacramentos</v>
      </c>
      <c r="V9" s="89" t="str">
        <f>Registro!T9</f>
        <v>c) Rezo solo en situación de dificultad</v>
      </c>
      <c r="W9" s="89" t="str">
        <f>Registro!U9</f>
        <v>c) Solo en fechas especiales</v>
      </c>
      <c r="X9" s="89" t="str">
        <f>Registro!V9</f>
        <v>f) En alguna ocasión he rezado el rosario, i) Tengo en mi cuarto alguna imagen religiosa</v>
      </c>
      <c r="Y9" s="89" t="str">
        <f>Registro!W9</f>
        <v>c) Religioso o parroquial, d) No pertenezco a ninguno</v>
      </c>
      <c r="Z9" s="89" t="str">
        <f>Registro!X9</f>
        <v>a) Un grupo donde profundizo mi fe</v>
      </c>
      <c r="AA9" s="89" t="str">
        <f>Registro!Y9</f>
        <v>b) No</v>
      </c>
      <c r="AB9" s="89" t="str">
        <f>Registro!Z9</f>
        <v>b) No</v>
      </c>
      <c r="AC9" s="89" t="str">
        <f>Registro!AA9</f>
        <v>g) Artista</v>
      </c>
      <c r="AD9" s="94">
        <f t="shared" si="4"/>
        <v>1</v>
      </c>
      <c r="AE9" s="89">
        <f>Registro!AB9</f>
        <v>0</v>
      </c>
      <c r="AF9" s="89" t="str">
        <f>Registro!AC9</f>
        <v>b) Poco</v>
      </c>
      <c r="AG9" s="89" t="str">
        <f>Registro!AD9</f>
        <v>h) Las actividades extraescolares, i) No me gusta nada</v>
      </c>
      <c r="AH9" s="94">
        <f t="shared" si="1"/>
        <v>2</v>
      </c>
      <c r="AI9" s="89" t="str">
        <f>Registro!AE9</f>
        <v>e) 9 a 10 horas</v>
      </c>
      <c r="AJ9" s="89"/>
      <c r="AK9" s="94">
        <f t="shared" si="2"/>
        <v>0</v>
      </c>
      <c r="AL9" s="89" t="str">
        <f>Registro!AG9</f>
        <v>b) Bueno</v>
      </c>
      <c r="AM9" s="89" t="str">
        <f>Registro!AH9</f>
        <v>d) Mala</v>
      </c>
      <c r="AN9" s="89" t="str">
        <f>Registro!AI9</f>
        <v>f) No aplica</v>
      </c>
      <c r="AO9" s="89" t="str">
        <f>Registro!AJ9</f>
        <v>d) Mala</v>
      </c>
      <c r="AP9" s="89" t="str">
        <f>Registro!AK9</f>
        <v>f) No aplica</v>
      </c>
      <c r="AQ9" s="89" t="str">
        <f>Registro!AL9</f>
        <v>a) Muy buena</v>
      </c>
      <c r="AR9" s="89" t="str">
        <f>Registro!AM9</f>
        <v>b) Buena</v>
      </c>
      <c r="AS9" s="89" t="str">
        <f>Registro!AN9</f>
        <v>f) No aplica</v>
      </c>
      <c r="AT9" s="89" t="str">
        <f>Registro!AO9</f>
        <v>d) Mala</v>
      </c>
      <c r="AU9" s="89" t="str">
        <f>Registro!AP9</f>
        <v>f) No aplica</v>
      </c>
      <c r="AV9" s="89" t="str">
        <f>Registro!AQ9</f>
        <v>b) Buena</v>
      </c>
      <c r="AW9" s="89" t="str">
        <f>Registro!AR9</f>
        <v>b) La orientación cristiana</v>
      </c>
      <c r="AX9" s="89" t="str">
        <f>Registro!AS9</f>
        <v>a) Que sea un buen profesional</v>
      </c>
      <c r="AY9" s="89" t="str">
        <f>Registro!AT9</f>
        <v>a) Innecesaria</v>
      </c>
      <c r="AZ9" s="89" t="str">
        <f>Registro!AU9</f>
        <v>d) Con frecuencia (fines de semana u otros momentos) suelo beber más de la cuenta</v>
      </c>
      <c r="BA9" s="89" t="str">
        <f>Registro!AV9</f>
        <v>f) Educadores que, además, me han abierto caminos</v>
      </c>
      <c r="BB9" s="89" t="str">
        <f>Registro!AW9</f>
        <v>b) Poco</v>
      </c>
      <c r="BC9" s="89" t="str">
        <f>Registro!AX9</f>
        <v>b) Hay de todo tipo, pero predomina lo negativo</v>
      </c>
      <c r="BD9" s="89" t="str">
        <f>Registro!AY9</f>
        <v>a) Mi padre, b) Mi madre, c) Un hermano/a, g) Un amigo, h) Una amiga</v>
      </c>
    </row>
    <row r="10" spans="1:59" ht="15" customHeight="1" x14ac:dyDescent="0.25">
      <c r="A10" s="101">
        <f>Registro!A10</f>
        <v>42038.407569444447</v>
      </c>
      <c r="B10" s="89" t="str">
        <f>Registro!B10</f>
        <v>c) Obra Social San José de Calasanz de Valencia</v>
      </c>
      <c r="C10" s="89" t="str">
        <f>Registro!C10</f>
        <v>b) Tercer año</v>
      </c>
      <c r="D10" s="89" t="str">
        <f>Registro!D10</f>
        <v>a) Educación Inicial</v>
      </c>
      <c r="E10" s="89" t="str">
        <f>Registro!E10</f>
        <v>a) Masculino</v>
      </c>
      <c r="F10" s="89" t="str">
        <f>Registro!F10</f>
        <v>d) Otra</v>
      </c>
      <c r="G10" s="89" t="str">
        <f>Registro!G10</f>
        <v>a) Mamá, c) Hermanos, d) Abuelos, e) Otros familiares</v>
      </c>
      <c r="H10" s="89" t="str">
        <f>Registro!H10</f>
        <v>b) Casa Urbana</v>
      </c>
      <c r="I10" s="89" t="str">
        <f>Registro!I10</f>
        <v>a) Sí</v>
      </c>
      <c r="J10" s="89" t="str">
        <f>Registro!J10</f>
        <v>b) Lavadora, c) Microondas, d) TV pantalla plana, f) MP3, g) MP4, h) Carro, i) Computadora, k) Aire acondicionado</v>
      </c>
      <c r="K10" s="89" t="str">
        <f>Registro!K10</f>
        <v>d) Tres</v>
      </c>
      <c r="L10" s="89" t="str">
        <f>Registro!L10</f>
        <v>a) La familia, b) Los amigos, c) Los estudios</v>
      </c>
      <c r="M10" s="94">
        <f t="shared" si="3"/>
        <v>3</v>
      </c>
      <c r="N10" s="89" t="str">
        <f>Registro!M10</f>
        <v>b) El futuro</v>
      </c>
      <c r="O10" s="89" t="str">
        <f>Registro!N10</f>
        <v>c) Poco</v>
      </c>
      <c r="P10" s="89" t="str">
        <f>Registro!O10</f>
        <v>c) Poco</v>
      </c>
      <c r="Q10" s="89" t="str">
        <f>Registro!P10</f>
        <v>b) Suficiente</v>
      </c>
      <c r="R10" s="89" t="str">
        <f>Registro!Q10</f>
        <v>a) La familia, e) Disponer de dinero, g) La felicidad</v>
      </c>
      <c r="S10" s="94">
        <f t="shared" si="0"/>
        <v>3</v>
      </c>
      <c r="T10" s="89" t="str">
        <f>Registro!R10</f>
        <v>a) Mucho</v>
      </c>
      <c r="U10" s="89" t="str">
        <f>Registro!S10</f>
        <v>f) Todas las personas, j) Todas partes</v>
      </c>
      <c r="V10" s="89" t="str">
        <f>Registro!T10</f>
        <v>a) Suelo rezar por convicción o porque me gusta</v>
      </c>
      <c r="W10" s="89" t="str">
        <f>Registro!U10</f>
        <v>c) Solo en fechas especiales</v>
      </c>
      <c r="X10" s="89" t="str">
        <f>Registro!V10</f>
        <v>b) Suelo bendedir los alimentos antes de comer, e) Voy a misa en las fechas de mis familiares difuntos, f) En alguna ocasión he rezado el rosario, g) En ocasiones, en mi casa tenemos una oración familiar, i) Tengo en mi cuarto alguna imagen religiosa</v>
      </c>
      <c r="Y10" s="89" t="str">
        <f>Registro!W10</f>
        <v xml:space="preserve">a) Deportivo, b) Cultural (folklórico, musicales, danzas, scout, banda marcial,...) </v>
      </c>
      <c r="Z10" s="89" t="str">
        <f>Registro!X10</f>
        <v>a) Un grupo donde profundizo mi fe</v>
      </c>
      <c r="AA10" s="89" t="str">
        <f>Registro!Y10</f>
        <v>b) No</v>
      </c>
      <c r="AB10" s="89" t="str">
        <f>Registro!Z10</f>
        <v>c) Algo</v>
      </c>
      <c r="AC10" s="89" t="str">
        <f>Registro!AA10</f>
        <v>g) Artista, j) Trabajador calificado</v>
      </c>
      <c r="AD10" s="94">
        <f t="shared" si="4"/>
        <v>2</v>
      </c>
      <c r="AE10" s="89" t="str">
        <f>Registro!AB10</f>
        <v>b) Tener una buena posición social, ser importante</v>
      </c>
      <c r="AF10" s="89" t="str">
        <f>Registro!AC10</f>
        <v>d) Mucho o muchísimo</v>
      </c>
      <c r="AG10" s="89" t="str">
        <f>Registro!AD10</f>
        <v>a) Los deportes y diversiones, b) El ambiente de estudio y de trabajo</v>
      </c>
      <c r="AH10" s="94">
        <f t="shared" si="1"/>
        <v>2</v>
      </c>
      <c r="AI10" s="89" t="str">
        <f>Registro!AE10</f>
        <v>a) 0 a 2 horas</v>
      </c>
      <c r="AJ10" s="89" t="str">
        <f>Registro!AF10</f>
        <v>b) Navego en Internet, d) Estoy la mayor parte del tiempo en la casa sin hacer nada, g) Suelo ir a discotecas o a fiestas</v>
      </c>
      <c r="AK10" s="94">
        <f t="shared" si="2"/>
        <v>3</v>
      </c>
      <c r="AL10" s="89" t="str">
        <f>Registro!AG10</f>
        <v>b) Bueno</v>
      </c>
      <c r="AM10" s="89" t="str">
        <f>Registro!AH10</f>
        <v>a) Muy buena</v>
      </c>
      <c r="AN10" s="89" t="str">
        <f>Registro!AI10</f>
        <v>a) Muy buena</v>
      </c>
      <c r="AO10" s="89" t="str">
        <f>Registro!AJ10</f>
        <v>a) Muy buena</v>
      </c>
      <c r="AP10" s="89" t="str">
        <f>Registro!AK10</f>
        <v>a) Muy buena</v>
      </c>
      <c r="AQ10" s="89" t="str">
        <f>Registro!AL10</f>
        <v>b) Buena</v>
      </c>
      <c r="AR10" s="89" t="str">
        <f>Registro!AM10</f>
        <v>c) Regular</v>
      </c>
      <c r="AS10" s="89" t="str">
        <f>Registro!AN10</f>
        <v>c) Regular</v>
      </c>
      <c r="AT10" s="89" t="str">
        <f>Registro!AO10</f>
        <v>c) Regular</v>
      </c>
      <c r="AU10" s="89" t="str">
        <f>Registro!AP10</f>
        <v>c) Regular</v>
      </c>
      <c r="AV10" s="89" t="str">
        <f>Registro!AQ10</f>
        <v>b) Buena</v>
      </c>
      <c r="AW10" s="89" t="str">
        <f>Registro!AR10</f>
        <v>b) La orientación cristiana</v>
      </c>
      <c r="AX10" s="89" t="str">
        <f>Registro!AS10</f>
        <v>a) Que sea un buen profesional</v>
      </c>
      <c r="AY10" s="89" t="str">
        <f>Registro!AT10</f>
        <v>e) Absolutamente necesaria</v>
      </c>
      <c r="AZ10" s="89" t="str">
        <f>Registro!AU10</f>
        <v>c) Alguna vez he bebido más de la cuenta</v>
      </c>
      <c r="BA10" s="89" t="str">
        <f>Registro!AV10</f>
        <v>e) Educadores que se preocupan de nosotros</v>
      </c>
      <c r="BB10" s="89" t="str">
        <f>Registro!AW10</f>
        <v>c) Bastante</v>
      </c>
      <c r="BC10" s="89" t="str">
        <f>Registro!AX10</f>
        <v>e) Son personas que me gustan y admiro</v>
      </c>
      <c r="BD10" s="89" t="str">
        <f>Registro!AY10</f>
        <v>b) Mi madre, c) Un hermano/a, g) Un amigo, h) Una amiga, i) Un, una catequista o responsable de grupo</v>
      </c>
    </row>
    <row r="11" spans="1:59" ht="15" customHeight="1" x14ac:dyDescent="0.25">
      <c r="A11" s="101">
        <f>Registro!A11</f>
        <v>42038.408773148149</v>
      </c>
      <c r="B11" s="89" t="str">
        <f>Registro!B11</f>
        <v>c) Obra Social San José de Calasanz de Valencia</v>
      </c>
      <c r="C11" s="89" t="str">
        <f>Registro!C11</f>
        <v>b) Tercer año</v>
      </c>
      <c r="D11" s="89" t="str">
        <f>Registro!D11</f>
        <v>a) Educación Inicial</v>
      </c>
      <c r="E11" s="89" t="str">
        <f>Registro!E11</f>
        <v>b) Femenino</v>
      </c>
      <c r="F11" s="89" t="str">
        <f>Registro!F11</f>
        <v>a) Católica</v>
      </c>
      <c r="G11" s="89" t="str">
        <f>Registro!G11</f>
        <v>a) Mamá, b) Papá, c) Hermanos</v>
      </c>
      <c r="H11" s="89" t="str">
        <f>Registro!H11</f>
        <v>b) Casa Urbana</v>
      </c>
      <c r="I11" s="89" t="str">
        <f>Registro!I11</f>
        <v>c) Algo</v>
      </c>
      <c r="J11" s="89" t="str">
        <f>Registro!J11</f>
        <v>b) Lavadora, c) Microondas, d) TV pantalla plana, h) Carro, k) Aire acondicionado</v>
      </c>
      <c r="K11" s="89" t="str">
        <f>Registro!K11</f>
        <v>b) Una</v>
      </c>
      <c r="L11" s="89"/>
      <c r="M11" s="94">
        <f t="shared" si="3"/>
        <v>0</v>
      </c>
      <c r="N11" s="89" t="str">
        <f>Registro!M11</f>
        <v>a) Seguridad personal (la violencia y la delincuencia)</v>
      </c>
      <c r="O11" s="89" t="str">
        <f>Registro!N11</f>
        <v>b) Suficiente</v>
      </c>
      <c r="P11" s="89" t="str">
        <f>Registro!O11</f>
        <v>c) Poco</v>
      </c>
      <c r="Q11" s="89" t="str">
        <f>Registro!P11</f>
        <v>c) Poco</v>
      </c>
      <c r="R11" s="89"/>
      <c r="S11" s="94">
        <f t="shared" si="0"/>
        <v>0</v>
      </c>
      <c r="T11" s="89" t="str">
        <f>Registro!R11</f>
        <v>b) Suficiente</v>
      </c>
      <c r="U11" s="89" t="str">
        <f>Registro!S11</f>
        <v>a) La Iglesia, b) La naturaleza, h) Algunas personas cercanas a Dios</v>
      </c>
      <c r="V11" s="89" t="str">
        <f>Registro!T11</f>
        <v>c) Rezo solo en situación de dificultad</v>
      </c>
      <c r="W11" s="89" t="str">
        <f>Registro!U11</f>
        <v>c) Solo en fechas especiales</v>
      </c>
      <c r="X11" s="89" t="str">
        <f>Registro!V11</f>
        <v>e) Voy a misa en las fechas de mis familiares difuntos, i) Tengo en mi cuarto alguna imagen religiosa</v>
      </c>
      <c r="Y11" s="89" t="str">
        <f>Registro!W11</f>
        <v>c) Religioso o parroquial</v>
      </c>
      <c r="Z11" s="89" t="str">
        <f>Registro!X11</f>
        <v>b) Un lugar donde comparto con mis compañeros</v>
      </c>
      <c r="AA11" s="89" t="str">
        <f>Registro!Y11</f>
        <v>b) No</v>
      </c>
      <c r="AB11" s="89" t="str">
        <f>Registro!Z11</f>
        <v>b) No</v>
      </c>
      <c r="AC11" s="89"/>
      <c r="AD11" s="94">
        <f t="shared" si="4"/>
        <v>0</v>
      </c>
      <c r="AE11" s="89">
        <f>Registro!AB11</f>
        <v>0</v>
      </c>
      <c r="AF11" s="89" t="str">
        <f>Registro!AC11</f>
        <v>e) No sé</v>
      </c>
      <c r="AG11" s="89" t="str">
        <f>Registro!AD11</f>
        <v>a) Los deportes y diversiones, h) Las actividades extraescolares</v>
      </c>
      <c r="AH11" s="94">
        <f t="shared" si="1"/>
        <v>2</v>
      </c>
      <c r="AI11" s="89" t="str">
        <f>Registro!AE11</f>
        <v>b) 3 a 4 horas</v>
      </c>
      <c r="AJ11" s="89"/>
      <c r="AK11" s="94">
        <f t="shared" si="2"/>
        <v>0</v>
      </c>
      <c r="AL11" s="89" t="str">
        <f>Registro!AG11</f>
        <v>c) Regular</v>
      </c>
      <c r="AM11" s="89" t="str">
        <f>Registro!AH11</f>
        <v>b) Buena</v>
      </c>
      <c r="AN11" s="89" t="str">
        <f>Registro!AI11</f>
        <v>b) Buena</v>
      </c>
      <c r="AO11" s="89" t="str">
        <f>Registro!AJ11</f>
        <v>c) Regular</v>
      </c>
      <c r="AP11" s="89" t="str">
        <f>Registro!AK11</f>
        <v>f) No aplica</v>
      </c>
      <c r="AQ11" s="89" t="str">
        <f>Registro!AL11</f>
        <v>c) Regular</v>
      </c>
      <c r="AR11" s="89" t="str">
        <f>Registro!AM11</f>
        <v>b) Buena</v>
      </c>
      <c r="AS11" s="89" t="str">
        <f>Registro!AN11</f>
        <v>c) Regular</v>
      </c>
      <c r="AT11" s="89" t="str">
        <f>Registro!AO11</f>
        <v>a) Muy buena</v>
      </c>
      <c r="AU11" s="89" t="str">
        <f>Registro!AP11</f>
        <v>c) Regular</v>
      </c>
      <c r="AV11" s="89" t="str">
        <f>Registro!AQ11</f>
        <v>c) Regular</v>
      </c>
      <c r="AW11" s="89" t="str">
        <f>Registro!AR11</f>
        <v>b) La orientación cristiana</v>
      </c>
      <c r="AX11" s="89" t="str">
        <f>Registro!AS11</f>
        <v>a) Que sea un buen profesional</v>
      </c>
      <c r="AY11" s="89" t="str">
        <f>Registro!AT11</f>
        <v>c) Conveniente</v>
      </c>
      <c r="AZ11" s="89" t="str">
        <f>Registro!AU11</f>
        <v>a) No acostumbro a tomarlo nunca</v>
      </c>
      <c r="BA11" s="89" t="str">
        <f>Registro!AV11</f>
        <v>a) Personas a las que tengo que aguantar</v>
      </c>
      <c r="BB11" s="89" t="str">
        <f>Registro!AW11</f>
        <v>c) Bastante</v>
      </c>
      <c r="BC11" s="89" t="str">
        <f>Registro!AX11</f>
        <v>e) Son personas que me gustan y admiro</v>
      </c>
      <c r="BD11" s="89" t="str">
        <f>Registro!AY11</f>
        <v>b) Mi madre, e) Un, una docente, g) Un amigo</v>
      </c>
    </row>
    <row r="12" spans="1:59" ht="15" customHeight="1" x14ac:dyDescent="0.25">
      <c r="A12" s="101">
        <f>Registro!A12</f>
        <v>42038.409432870372</v>
      </c>
      <c r="B12" s="89" t="str">
        <f>Registro!B12</f>
        <v>c) Obra Social San José de Calasanz de Valencia</v>
      </c>
      <c r="C12" s="89" t="str">
        <f>Registro!C12</f>
        <v>b) Tercer año</v>
      </c>
      <c r="D12" s="89" t="str">
        <f>Registro!D12</f>
        <v>a) Educación Inicial</v>
      </c>
      <c r="E12" s="89" t="str">
        <f>Registro!E12</f>
        <v>a) Masculino</v>
      </c>
      <c r="F12" s="89" t="str">
        <f>Registro!F12</f>
        <v>a) Católica</v>
      </c>
      <c r="G12" s="89" t="str">
        <f>Registro!G12</f>
        <v>a) Mamá, b) Papá, c) Hermanos, e) Otros familiares</v>
      </c>
      <c r="H12" s="89" t="str">
        <f>Registro!H12</f>
        <v>b) Casa Urbana</v>
      </c>
      <c r="I12" s="89" t="str">
        <f>Registro!I12</f>
        <v>a) Sí</v>
      </c>
      <c r="J12" s="89" t="str">
        <f>Registro!J12</f>
        <v>b) Lavadora, c) Microondas, d) TV pantalla plana, e) Moto, i) Computadora, j) Cámara digital, k) Aire acondicionado</v>
      </c>
      <c r="K12" s="89" t="str">
        <f>Registro!K12</f>
        <v>e) Cuatro</v>
      </c>
      <c r="L12" s="89" t="str">
        <f>Registro!L12</f>
        <v>a) La familia, b) Los amigos, k) El internet</v>
      </c>
      <c r="M12" s="94">
        <f t="shared" si="3"/>
        <v>3</v>
      </c>
      <c r="N12" s="89" t="str">
        <f>Registro!M12</f>
        <v>a) Seguridad personal (la violencia y la delincuencia)</v>
      </c>
      <c r="O12" s="89" t="str">
        <f>Registro!N12</f>
        <v>a) Mucho</v>
      </c>
      <c r="P12" s="89" t="str">
        <f>Registro!O12</f>
        <v>b) Suficiente</v>
      </c>
      <c r="Q12" s="89" t="str">
        <f>Registro!P12</f>
        <v>b) Suficiente</v>
      </c>
      <c r="R12" s="89" t="str">
        <f>Registro!Q12</f>
        <v>a) La familia, c) Los estudios, d) El cuidado de mi cuerpo</v>
      </c>
      <c r="S12" s="94">
        <f t="shared" si="0"/>
        <v>3</v>
      </c>
      <c r="T12" s="89" t="str">
        <f>Registro!R12</f>
        <v>b) Suficiente</v>
      </c>
      <c r="U12" s="89" t="str">
        <f>Registro!S12</f>
        <v>a) La Iglesia, b) La naturaleza, e) Los amigos, g) Mi familia, k) La oración</v>
      </c>
      <c r="V12" s="89" t="str">
        <f>Registro!T12</f>
        <v>b) Rezo por costumbre</v>
      </c>
      <c r="W12" s="89" t="str">
        <f>Registro!U12</f>
        <v>d) Nunca</v>
      </c>
      <c r="X12" s="89" t="str">
        <f>Registro!V12</f>
        <v>g) En ocasiones, en mi casa tenemos una oración familiar, i) Tengo en mi cuarto alguna imagen religiosa</v>
      </c>
      <c r="Y12" s="89" t="str">
        <f>Registro!W12</f>
        <v>a) Deportivo, b) Cultural (folklórico, musicales, danzas, scout, banda marcial,...) , c) Religioso o parroquial</v>
      </c>
      <c r="Z12" s="89" t="str">
        <f>Registro!X12</f>
        <v>b) Un lugar donde comparto con mis compañeros</v>
      </c>
      <c r="AA12" s="89" t="str">
        <f>Registro!Y12</f>
        <v>b) No</v>
      </c>
      <c r="AB12" s="89" t="str">
        <f>Registro!Z12</f>
        <v>b) No</v>
      </c>
      <c r="AC12" s="89" t="str">
        <f>Registro!AA12</f>
        <v>d) Ingeniería</v>
      </c>
      <c r="AD12" s="94">
        <f t="shared" si="4"/>
        <v>1</v>
      </c>
      <c r="AE12" s="89" t="str">
        <f>Registro!AB12</f>
        <v>c) Ser un excelente profesional</v>
      </c>
      <c r="AF12" s="89" t="str">
        <f>Registro!AC12</f>
        <v>b) Poco</v>
      </c>
      <c r="AG12" s="89" t="str">
        <f>Registro!AD12</f>
        <v>a) Los deportes y diversiones, b) El ambiente de estudio y de trabajo</v>
      </c>
      <c r="AH12" s="94">
        <f t="shared" si="1"/>
        <v>2</v>
      </c>
      <c r="AI12" s="89" t="str">
        <f>Registro!AE12</f>
        <v>b) 3 a 4 horas</v>
      </c>
      <c r="AJ12" s="89"/>
      <c r="AK12" s="94">
        <f t="shared" si="2"/>
        <v>0</v>
      </c>
      <c r="AL12" s="89" t="str">
        <f>Registro!AG12</f>
        <v>b) Bueno</v>
      </c>
      <c r="AM12" s="89" t="str">
        <f>Registro!AH12</f>
        <v>c) Regular</v>
      </c>
      <c r="AN12" s="89" t="str">
        <f>Registro!AI12</f>
        <v>d) Mala</v>
      </c>
      <c r="AO12" s="89" t="str">
        <f>Registro!AJ12</f>
        <v>c) Regular</v>
      </c>
      <c r="AP12" s="89" t="str">
        <f>Registro!AK12</f>
        <v>c) Regular</v>
      </c>
      <c r="AQ12" s="89" t="str">
        <f>Registro!AL12</f>
        <v>c) Regular</v>
      </c>
      <c r="AR12" s="89" t="str">
        <f>Registro!AM12</f>
        <v>b) Buena</v>
      </c>
      <c r="AS12" s="89" t="str">
        <f>Registro!AN12</f>
        <v>d) Mala</v>
      </c>
      <c r="AT12" s="89" t="str">
        <f>Registro!AO12</f>
        <v>d) Mala</v>
      </c>
      <c r="AU12" s="89" t="str">
        <f>Registro!AP12</f>
        <v>c) Regular</v>
      </c>
      <c r="AV12" s="89" t="str">
        <f>Registro!AQ12</f>
        <v>c) Regular</v>
      </c>
      <c r="AW12" s="89" t="str">
        <f>Registro!AR12</f>
        <v>a) El compañerismo</v>
      </c>
      <c r="AX12" s="89" t="str">
        <f>Registro!AS12</f>
        <v>a) Que sea un buen profesional</v>
      </c>
      <c r="AY12" s="89" t="str">
        <f>Registro!AT12</f>
        <v>b) Indiferente</v>
      </c>
      <c r="AZ12" s="89" t="str">
        <f>Registro!AU12</f>
        <v>a) No acostumbro a tomarlo nunca</v>
      </c>
      <c r="BA12" s="89" t="str">
        <f>Registro!AV12</f>
        <v>a) Personas a las que tengo que aguantar</v>
      </c>
      <c r="BB12" s="89" t="str">
        <f>Registro!AW12</f>
        <v>c) Bastante</v>
      </c>
      <c r="BC12" s="89" t="str">
        <f>Registro!AX12</f>
        <v>a) No me gustan en absoluto</v>
      </c>
      <c r="BD12" s="89" t="str">
        <f>Registro!AY12</f>
        <v>a) Mi padre, b) Mi madre, d) Un escolapio, religioso o religiosa, e) Un, una docente, g) Un amigo, h) Una amiga, k) No tengo problemas personales</v>
      </c>
    </row>
    <row r="13" spans="1:59" ht="15" customHeight="1" x14ac:dyDescent="0.25">
      <c r="A13" s="101">
        <f>Registro!A13</f>
        <v>42038.409675925926</v>
      </c>
      <c r="B13" s="89" t="str">
        <f>Registro!B13</f>
        <v>c) Obra Social San José de Calasanz de Valencia</v>
      </c>
      <c r="C13" s="89" t="str">
        <f>Registro!C13</f>
        <v>b) Tercer año</v>
      </c>
      <c r="D13" s="89" t="str">
        <f>Registro!D13</f>
        <v>a) Educación Inicial</v>
      </c>
      <c r="E13" s="89" t="str">
        <f>Registro!E13</f>
        <v>a) Masculino</v>
      </c>
      <c r="F13" s="89" t="str">
        <f>Registro!F13</f>
        <v>b) Evangélica</v>
      </c>
      <c r="G13" s="89" t="str">
        <f>Registro!G13</f>
        <v>a) Mamá, d) Abuelos, e) Otros familiares</v>
      </c>
      <c r="H13" s="89" t="str">
        <f>Registro!H13</f>
        <v>d) Casa Rural</v>
      </c>
      <c r="I13" s="89" t="str">
        <f>Registro!I13</f>
        <v>a) Sí</v>
      </c>
      <c r="J13" s="89" t="str">
        <f>Registro!J13</f>
        <v>b) Lavadora, c) Microondas, f) MP3, h) Carro, i) Computadora, k) Aire acondicionado</v>
      </c>
      <c r="K13" s="89" t="str">
        <f>Registro!K13</f>
        <v>c) Dos</v>
      </c>
      <c r="L13" s="89"/>
      <c r="M13" s="94">
        <f t="shared" si="3"/>
        <v>0</v>
      </c>
      <c r="N13" s="89" t="str">
        <f>Registro!M13</f>
        <v>b) El futuro</v>
      </c>
      <c r="O13" s="89" t="str">
        <f>Registro!N13</f>
        <v>a) Mucho</v>
      </c>
      <c r="P13" s="89" t="str">
        <f>Registro!O13</f>
        <v>c) Poco</v>
      </c>
      <c r="Q13" s="89" t="str">
        <f>Registro!P13</f>
        <v>b) Suficiente</v>
      </c>
      <c r="R13" s="89" t="str">
        <f>Registro!Q13</f>
        <v>a) La familia, c) Los estudios, g) La felicidad</v>
      </c>
      <c r="S13" s="94">
        <f t="shared" si="0"/>
        <v>3</v>
      </c>
      <c r="T13" s="89" t="str">
        <f>Registro!R13</f>
        <v>a) Mucho</v>
      </c>
      <c r="U13" s="89" t="str">
        <f>Registro!S13</f>
        <v>a) La Iglesia, b) La naturaleza, h) Algunas personas cercanas a Dios</v>
      </c>
      <c r="V13" s="89" t="str">
        <f>Registro!T13</f>
        <v>d) No rezo nunca</v>
      </c>
      <c r="W13" s="89" t="str">
        <f>Registro!U13</f>
        <v>d) Nunca</v>
      </c>
      <c r="X13" s="89" t="str">
        <f>Registro!V13</f>
        <v>d) Suelo orar todos los días</v>
      </c>
      <c r="Y13" s="89" t="str">
        <f>Registro!W13</f>
        <v>d) No pertenezco a ninguno</v>
      </c>
      <c r="Z13" s="89" t="str">
        <f>Registro!X13</f>
        <v>d) No pertenezco a grupos juveniles cristianos</v>
      </c>
      <c r="AA13" s="89" t="str">
        <f>Registro!Y13</f>
        <v>b) No</v>
      </c>
      <c r="AB13" s="89" t="str">
        <f>Registro!Z13</f>
        <v>b) No</v>
      </c>
      <c r="AC13" s="89"/>
      <c r="AD13" s="94">
        <f t="shared" si="4"/>
        <v>0</v>
      </c>
      <c r="AE13" s="89" t="str">
        <f>Registro!AB13</f>
        <v>b) Tener una buena posición social, ser importante</v>
      </c>
      <c r="AF13" s="89" t="str">
        <f>Registro!AC13</f>
        <v>c) Bastante</v>
      </c>
      <c r="AG13" s="89" t="str">
        <f>Registro!AD13</f>
        <v>a) Los deportes y diversiones, b) El ambiente de estudio y de trabajo</v>
      </c>
      <c r="AH13" s="94">
        <f t="shared" si="1"/>
        <v>2</v>
      </c>
      <c r="AI13" s="89" t="str">
        <f>Registro!AE13</f>
        <v>b) 3 a 4 horas</v>
      </c>
      <c r="AJ13" s="89" t="str">
        <f>Registro!AF13</f>
        <v>b) Navego en Internet, e) Suelo ir a algún parque</v>
      </c>
      <c r="AK13" s="94">
        <f t="shared" si="2"/>
        <v>2</v>
      </c>
      <c r="AL13" s="89" t="str">
        <f>Registro!AG13</f>
        <v>a) Muy bueno</v>
      </c>
      <c r="AM13" s="89" t="str">
        <f>Registro!AH13</f>
        <v>c) Regular</v>
      </c>
      <c r="AN13" s="89" t="str">
        <f>Registro!AI13</f>
        <v>c) Regular</v>
      </c>
      <c r="AO13" s="89" t="str">
        <f>Registro!AJ13</f>
        <v>b) Buena</v>
      </c>
      <c r="AP13" s="89" t="str">
        <f>Registro!AK13</f>
        <v>a) Muy buena</v>
      </c>
      <c r="AQ13" s="89" t="str">
        <f>Registro!AL13</f>
        <v>b) Buena</v>
      </c>
      <c r="AR13" s="89" t="str">
        <f>Registro!AM13</f>
        <v>c) Regular</v>
      </c>
      <c r="AS13" s="89" t="str">
        <f>Registro!AN13</f>
        <v>b) Buena</v>
      </c>
      <c r="AT13" s="89" t="str">
        <f>Registro!AO13</f>
        <v>a) Muy buena</v>
      </c>
      <c r="AU13" s="89" t="str">
        <f>Registro!AP13</f>
        <v>a) Muy buena</v>
      </c>
      <c r="AV13" s="89" t="str">
        <f>Registro!AQ13</f>
        <v>a) Muy buena</v>
      </c>
      <c r="AW13" s="89" t="str">
        <f>Registro!AR13</f>
        <v>e) La disciplina y el orden</v>
      </c>
      <c r="AX13" s="89" t="str">
        <f>Registro!AS13</f>
        <v>b) Darme una buena educación</v>
      </c>
      <c r="AY13" s="89" t="str">
        <f>Registro!AT13</f>
        <v>d) Bastante necesaria</v>
      </c>
      <c r="AZ13" s="89" t="str">
        <f>Registro!AU13</f>
        <v>a) No acostumbro a tomarlo nunca</v>
      </c>
      <c r="BA13" s="89" t="str">
        <f>Registro!AV13</f>
        <v>d) Buenos profesionales de la educación</v>
      </c>
      <c r="BB13" s="89" t="str">
        <f>Registro!AW13</f>
        <v>c) Bastante</v>
      </c>
      <c r="BC13" s="89" t="str">
        <f>Registro!AX13</f>
        <v>c) Son personas normales y corrientes</v>
      </c>
      <c r="BD13" s="89" t="str">
        <f>Registro!AY13</f>
        <v>b) Mi madre, c) Un hermano/a</v>
      </c>
    </row>
    <row r="14" spans="1:59" ht="15" customHeight="1" x14ac:dyDescent="0.25">
      <c r="A14" s="101">
        <f>Registro!A14</f>
        <v>42066.303101851852</v>
      </c>
      <c r="B14" s="89" t="str">
        <f>Registro!B14</f>
        <v>c) Obra Social San José de Calasanz de Valencia</v>
      </c>
      <c r="C14" s="89" t="str">
        <f>Registro!C14</f>
        <v>d) Quinto año</v>
      </c>
      <c r="D14" s="89" t="str">
        <f>Registro!D14</f>
        <v>a) Educación Inicial</v>
      </c>
      <c r="E14" s="89" t="str">
        <f>Registro!E14</f>
        <v>b) Femenino</v>
      </c>
      <c r="F14" s="89" t="str">
        <f>Registro!F14</f>
        <v>a) Católica</v>
      </c>
      <c r="G14" s="89" t="str">
        <f>Registro!G14</f>
        <v>a) Mamá, c) Hermanos</v>
      </c>
      <c r="H14" s="89" t="str">
        <f>Registro!H14</f>
        <v>b) Casa Urbana</v>
      </c>
      <c r="I14" s="89" t="str">
        <f>Registro!I14</f>
        <v>c) Algo</v>
      </c>
      <c r="J14" s="89" t="str">
        <f>Registro!J14</f>
        <v>b) Lavadora, i) Computadora, k) Aire acondicionado</v>
      </c>
      <c r="K14" s="89" t="str">
        <f>Registro!K14</f>
        <v>b) Una</v>
      </c>
      <c r="L14" s="89" t="str">
        <f>Registro!L14</f>
        <v>a) La familia, f) Mi fe y vida cristiana, g) La felicidad</v>
      </c>
      <c r="M14" s="94">
        <f t="shared" si="3"/>
        <v>3</v>
      </c>
      <c r="N14" s="89" t="str">
        <f>Registro!M14</f>
        <v>d) Los problemas familiares</v>
      </c>
      <c r="O14" s="89" t="str">
        <f>Registro!N14</f>
        <v>c) Poco</v>
      </c>
      <c r="P14" s="89" t="str">
        <f>Registro!O14</f>
        <v>b) Suficiente</v>
      </c>
      <c r="Q14" s="89" t="str">
        <f>Registro!P14</f>
        <v>c) Poco</v>
      </c>
      <c r="R14" s="89" t="str">
        <f>Registro!Q14</f>
        <v>b) Los amigos, c) Los estudios, e) Disponer de dinero</v>
      </c>
      <c r="S14" s="94">
        <f t="shared" si="0"/>
        <v>3</v>
      </c>
      <c r="T14" s="89" t="str">
        <f>Registro!R14</f>
        <v>a) Mucho</v>
      </c>
      <c r="U14" s="89" t="str">
        <f>Registro!S14</f>
        <v>a) La Iglesia, e) Los amigos, f) Todas las personas, g) Mi familia, h) Algunas personas cercanas a Dios, i) Los necesitados, j) Todas partes, k) La oración</v>
      </c>
      <c r="V14" s="89" t="str">
        <f>Registro!T14</f>
        <v>b) Rezo por costumbre</v>
      </c>
      <c r="W14" s="89" t="str">
        <f>Registro!U14</f>
        <v>b) Algunos domingos</v>
      </c>
      <c r="X14" s="89" t="str">
        <f>Registro!V14</f>
        <v>d) Suelo orar todos los días, f) En alguna ocasión he rezado el rosario</v>
      </c>
      <c r="Y14" s="89" t="str">
        <f>Registro!W14</f>
        <v>d) No pertenezco a ninguno</v>
      </c>
      <c r="Z14" s="89" t="str">
        <f>Registro!X14</f>
        <v>d) No pertenezco a grupos juveniles cristianos</v>
      </c>
      <c r="AA14" s="89" t="str">
        <f>Registro!Y14</f>
        <v>b) No</v>
      </c>
      <c r="AB14" s="89" t="str">
        <f>Registro!Z14</f>
        <v>b) No</v>
      </c>
      <c r="AC14" s="89" t="str">
        <f>Registro!AA14</f>
        <v>a) Medicina, d) Ingeniería</v>
      </c>
      <c r="AD14" s="94">
        <f t="shared" si="4"/>
        <v>2</v>
      </c>
      <c r="AE14" s="89" t="str">
        <f>Registro!AB14</f>
        <v>c) Ser un excelente profesional</v>
      </c>
      <c r="AF14" s="89" t="str">
        <f>Registro!AC14</f>
        <v>c) Bastante</v>
      </c>
      <c r="AG14" s="89" t="str">
        <f>Registro!AD14</f>
        <v>b) El ambiente de estudio y de trabajo, c) Las instalaciones del Colegio</v>
      </c>
      <c r="AH14" s="94">
        <f t="shared" si="1"/>
        <v>2</v>
      </c>
      <c r="AI14" s="89" t="str">
        <f>Registro!AE14</f>
        <v>a) 0 a 2 horas</v>
      </c>
      <c r="AJ14" s="89" t="str">
        <f>Registro!AF14</f>
        <v>b) Navego en Internet, d) Estoy la mayor parte del tiempo en la casa sin hacer nada, m) Veo televisión y/o películas</v>
      </c>
      <c r="AK14" s="94">
        <f t="shared" si="2"/>
        <v>3</v>
      </c>
      <c r="AL14" s="89" t="str">
        <f>Registro!AG14</f>
        <v>b) Bueno</v>
      </c>
      <c r="AM14" s="89" t="str">
        <f>Registro!AH14</f>
        <v>b) Buena</v>
      </c>
      <c r="AN14" s="89">
        <f>Registro!AI14</f>
        <v>0</v>
      </c>
      <c r="AO14" s="89" t="str">
        <f>Registro!AJ14</f>
        <v>b) Buena</v>
      </c>
      <c r="AP14" s="89" t="str">
        <f>Registro!AK14</f>
        <v>b) Buena</v>
      </c>
      <c r="AQ14" s="89" t="str">
        <f>Registro!AL14</f>
        <v>b) Buena</v>
      </c>
      <c r="AR14" s="89" t="str">
        <f>Registro!AM14</f>
        <v>b) Buena</v>
      </c>
      <c r="AS14" s="89" t="str">
        <f>Registro!AN14</f>
        <v>c) Regular</v>
      </c>
      <c r="AT14" s="89" t="str">
        <f>Registro!AO14</f>
        <v>b) Buena</v>
      </c>
      <c r="AU14" s="89" t="str">
        <f>Registro!AP14</f>
        <v>b) Buena</v>
      </c>
      <c r="AV14" s="89" t="str">
        <f>Registro!AQ14</f>
        <v>a) Muy buena</v>
      </c>
      <c r="AW14" s="89" t="str">
        <f>Registro!AR14</f>
        <v>e) La disciplina y el orden</v>
      </c>
      <c r="AX14" s="89" t="str">
        <f>Registro!AS14</f>
        <v>b) Darme una buena educación</v>
      </c>
      <c r="AY14" s="89" t="str">
        <f>Registro!AT14</f>
        <v>d) Bastante necesaria</v>
      </c>
      <c r="AZ14" s="89" t="str">
        <f>Registro!AU14</f>
        <v>b) Las veces que bebo, es con moderación</v>
      </c>
      <c r="BA14" s="89" t="str">
        <f>Registro!AV14</f>
        <v>f) Educadores que, además, me han abierto caminos</v>
      </c>
      <c r="BB14" s="89" t="str">
        <f>Registro!AW14</f>
        <v>c) Bastante</v>
      </c>
      <c r="BC14" s="89" t="str">
        <f>Registro!AX14</f>
        <v>d) Hay de todo tipo, pero predomina lo positivo</v>
      </c>
      <c r="BD14" s="89" t="str">
        <f>Registro!AY14</f>
        <v>c) Un hermano/a, e) Un, una docente, g) Un amigo, h) Una amiga, j) Nadie</v>
      </c>
    </row>
    <row r="15" spans="1:59" ht="15" customHeight="1" x14ac:dyDescent="0.25">
      <c r="A15" s="101">
        <f>Registro!A15</f>
        <v>42066.304178240738</v>
      </c>
      <c r="B15" s="89" t="str">
        <f>Registro!B15</f>
        <v>c) Obra Social San José de Calasanz de Valencia</v>
      </c>
      <c r="C15" s="89" t="str">
        <f>Registro!C15</f>
        <v>d) Quinto año</v>
      </c>
      <c r="D15" s="89" t="str">
        <f>Registro!D15</f>
        <v>b) Primaria</v>
      </c>
      <c r="E15" s="89" t="str">
        <f>Registro!E15</f>
        <v>a) Masculino</v>
      </c>
      <c r="F15" s="89" t="str">
        <f>Registro!F15</f>
        <v>d) Otra</v>
      </c>
      <c r="G15" s="89" t="str">
        <f>Registro!G15</f>
        <v>a) Mamá, b) Papá, c) Hermanos</v>
      </c>
      <c r="H15" s="89" t="str">
        <f>Registro!H15</f>
        <v>b) Casa Urbana</v>
      </c>
      <c r="I15" s="89" t="str">
        <f>Registro!I15</f>
        <v>d) No sé</v>
      </c>
      <c r="J15" s="89" t="str">
        <f>Registro!J15</f>
        <v>a) Cónsola videojuegos, b) Lavadora, c) Microondas, d) TV pantalla plana, i) Computadora, k) Aire acondicionado</v>
      </c>
      <c r="K15" s="89" t="str">
        <f>Registro!K15</f>
        <v>b) Una</v>
      </c>
      <c r="L15" s="89" t="str">
        <f>Registro!L15</f>
        <v>a) La familia, g) La felicidad, i) La música</v>
      </c>
      <c r="M15" s="94">
        <f t="shared" si="3"/>
        <v>3</v>
      </c>
      <c r="N15" s="89" t="str">
        <f>Registro!M15</f>
        <v>c) Yo mismo</v>
      </c>
      <c r="O15" s="89" t="str">
        <f>Registro!N15</f>
        <v>c) Poco</v>
      </c>
      <c r="P15" s="89" t="str">
        <f>Registro!O15</f>
        <v>c) Poco</v>
      </c>
      <c r="Q15" s="89" t="str">
        <f>Registro!P15</f>
        <v>d) Nada</v>
      </c>
      <c r="R15" s="89"/>
      <c r="S15" s="94">
        <f t="shared" si="0"/>
        <v>0</v>
      </c>
      <c r="T15" s="89" t="str">
        <f>Registro!R15</f>
        <v>d) Nada</v>
      </c>
      <c r="U15" s="89" t="str">
        <f>Registro!S15</f>
        <v>i) Los necesitados</v>
      </c>
      <c r="V15" s="89" t="str">
        <f>Registro!T15</f>
        <v>c) Rezo solo en situación de dificultad</v>
      </c>
      <c r="W15" s="89" t="str">
        <f>Registro!U15</f>
        <v>d) Nunca</v>
      </c>
      <c r="X15" s="89" t="str">
        <f>Registro!V15</f>
        <v>b) Suelo bendedir los alimentos antes de comer</v>
      </c>
      <c r="Y15" s="89" t="str">
        <f>Registro!W15</f>
        <v>d) No pertenezco a ninguno</v>
      </c>
      <c r="Z15" s="89" t="str">
        <f>Registro!X15</f>
        <v>d) No pertenezco a grupos juveniles cristianos</v>
      </c>
      <c r="AA15" s="89" t="str">
        <f>Registro!Y15</f>
        <v>b) No</v>
      </c>
      <c r="AB15" s="89" t="str">
        <f>Registro!Z15</f>
        <v>b) No</v>
      </c>
      <c r="AC15" s="89"/>
      <c r="AD15" s="94">
        <f t="shared" si="4"/>
        <v>0</v>
      </c>
      <c r="AE15" s="89" t="str">
        <f>Registro!AB15</f>
        <v>d) Desarrollarme personalmente</v>
      </c>
      <c r="AF15" s="89" t="str">
        <f>Registro!AC15</f>
        <v>e) No sé</v>
      </c>
      <c r="AG15" s="89" t="str">
        <f>Registro!AD15</f>
        <v>c) Las instalaciones del Colegio, i) No me gusta nada</v>
      </c>
      <c r="AH15" s="94">
        <f t="shared" si="1"/>
        <v>2</v>
      </c>
      <c r="AI15" s="89" t="str">
        <f>Registro!AE15</f>
        <v>a) 0 a 2 horas</v>
      </c>
      <c r="AJ15" s="89" t="str">
        <f>Registro!AF15</f>
        <v>a) Me divierto con juegos para computadoras, i) Leo revistas o libros, l) Escucho música y/o veo videos musicales</v>
      </c>
      <c r="AK15" s="94">
        <f t="shared" si="2"/>
        <v>3</v>
      </c>
      <c r="AL15" s="89" t="str">
        <f>Registro!AG15</f>
        <v>b) Bueno</v>
      </c>
      <c r="AM15" s="89" t="str">
        <f>Registro!AH15</f>
        <v>c) Regular</v>
      </c>
      <c r="AN15" s="89" t="str">
        <f>Registro!AI15</f>
        <v>c) Regular</v>
      </c>
      <c r="AO15" s="89" t="str">
        <f>Registro!AJ15</f>
        <v>b) Buena</v>
      </c>
      <c r="AP15" s="89" t="str">
        <f>Registro!AK15</f>
        <v>b) Buena</v>
      </c>
      <c r="AQ15" s="89" t="str">
        <f>Registro!AL15</f>
        <v>b) Buena</v>
      </c>
      <c r="AR15" s="89" t="str">
        <f>Registro!AM15</f>
        <v>a) Muy buena</v>
      </c>
      <c r="AS15" s="89" t="str">
        <f>Registro!AN15</f>
        <v>b) Buena</v>
      </c>
      <c r="AT15" s="89" t="str">
        <f>Registro!AO15</f>
        <v>a) Muy buena</v>
      </c>
      <c r="AU15" s="89" t="str">
        <f>Registro!AP15</f>
        <v>c) Regular</v>
      </c>
      <c r="AV15" s="89" t="str">
        <f>Registro!AQ15</f>
        <v>a) Muy buena</v>
      </c>
      <c r="AW15" s="89" t="str">
        <f>Registro!AR15</f>
        <v>b) La orientación cristiana</v>
      </c>
      <c r="AX15" s="89" t="str">
        <f>Registro!AS15</f>
        <v>b) Darme una buena educación</v>
      </c>
      <c r="AY15" s="89" t="str">
        <f>Registro!AT15</f>
        <v>a) Innecesaria</v>
      </c>
      <c r="AZ15" s="89" t="str">
        <f>Registro!AU15</f>
        <v>d) Con frecuencia (fines de semana u otros momentos) suelo beber más de la cuenta</v>
      </c>
      <c r="BA15" s="89" t="str">
        <f>Registro!AV15</f>
        <v>f) Educadores que, además, me han abierto caminos</v>
      </c>
      <c r="BB15" s="89" t="str">
        <f>Registro!AW15</f>
        <v>b) Poco</v>
      </c>
      <c r="BC15" s="89" t="str">
        <f>Registro!AX15</f>
        <v>a) No me gustan en absoluto</v>
      </c>
      <c r="BD15" s="89" t="str">
        <f>Registro!AY15</f>
        <v>j) Nadie</v>
      </c>
    </row>
    <row r="16" spans="1:59" ht="15" customHeight="1" x14ac:dyDescent="0.25">
      <c r="A16" s="101">
        <f>Registro!A16</f>
        <v>42066.305324074077</v>
      </c>
      <c r="B16" s="89" t="str">
        <f>Registro!B16</f>
        <v>c) Obra Social San José de Calasanz de Valencia</v>
      </c>
      <c r="C16" s="89" t="str">
        <f>Registro!C16</f>
        <v>d) Quinto año</v>
      </c>
      <c r="D16" s="89" t="str">
        <f>Registro!D16</f>
        <v>b) Primaria</v>
      </c>
      <c r="E16" s="89" t="str">
        <f>Registro!E16</f>
        <v>a) Masculino</v>
      </c>
      <c r="F16" s="89" t="str">
        <f>Registro!F16</f>
        <v>b) Evangélica</v>
      </c>
      <c r="G16" s="89" t="str">
        <f>Registro!G16</f>
        <v>a) Mamá, b) Papá</v>
      </c>
      <c r="H16" s="89" t="str">
        <f>Registro!H16</f>
        <v>b) Casa Urbana</v>
      </c>
      <c r="I16" s="89" t="str">
        <f>Registro!I16</f>
        <v>c) Algo</v>
      </c>
      <c r="J16" s="89" t="str">
        <f>Registro!J16</f>
        <v>a) Cónsola videojuegos, b) Lavadora, c) Microondas, d) TV pantalla plana, f) MP3, g) MP4, h) Carro, i) Computadora, j) Cámara digital, k) Aire acondicionado</v>
      </c>
      <c r="K16" s="89" t="str">
        <f>Registro!K16</f>
        <v>c) Dos</v>
      </c>
      <c r="L16" s="89" t="str">
        <f>Registro!L16</f>
        <v>a) La familia, d) El cuidado de mi cuerpo, i) La música</v>
      </c>
      <c r="M16" s="94">
        <f t="shared" si="3"/>
        <v>3</v>
      </c>
      <c r="N16" s="89" t="str">
        <f>Registro!M16</f>
        <v>b) El futuro</v>
      </c>
      <c r="O16" s="89" t="str">
        <f>Registro!N16</f>
        <v>c) Poco</v>
      </c>
      <c r="P16" s="89" t="str">
        <f>Registro!O16</f>
        <v>a) Mucho</v>
      </c>
      <c r="Q16" s="89" t="str">
        <f>Registro!P16</f>
        <v>c) Poco</v>
      </c>
      <c r="R16" s="89"/>
      <c r="S16" s="94">
        <f t="shared" si="0"/>
        <v>0</v>
      </c>
      <c r="T16" s="89" t="str">
        <f>Registro!R16</f>
        <v>a) Mucho</v>
      </c>
      <c r="U16" s="89" t="str">
        <f>Registro!S16</f>
        <v>d) Las convivencias, i) Los necesitados, k) La oración</v>
      </c>
      <c r="V16" s="89" t="str">
        <f>Registro!T16</f>
        <v>a) Suelo rezar por convicción o porque me gusta</v>
      </c>
      <c r="W16" s="89" t="str">
        <f>Registro!U16</f>
        <v>b) Algunos domingos</v>
      </c>
      <c r="X16" s="89" t="str">
        <f>Registro!V16</f>
        <v>b) Suelo bendedir los alimentos antes de comer</v>
      </c>
      <c r="Y16" s="89" t="str">
        <f>Registro!W16</f>
        <v>c) Religioso o parroquial</v>
      </c>
      <c r="Z16" s="89" t="str">
        <f>Registro!X16</f>
        <v>a) Un grupo donde profundizo mi fe</v>
      </c>
      <c r="AA16" s="89" t="str">
        <f>Registro!Y16</f>
        <v>a) Sí</v>
      </c>
      <c r="AB16" s="89" t="str">
        <f>Registro!Z16</f>
        <v>b) No</v>
      </c>
      <c r="AC16" s="89"/>
      <c r="AD16" s="94">
        <f t="shared" si="4"/>
        <v>0</v>
      </c>
      <c r="AE16" s="89" t="str">
        <f>Registro!AB16</f>
        <v>a) Ganar mucho dinero</v>
      </c>
      <c r="AF16" s="89" t="str">
        <f>Registro!AC16</f>
        <v>b) Poco</v>
      </c>
      <c r="AG16" s="89" t="str">
        <f>Registro!AD16</f>
        <v>d) Los grupos juveniles cristianos, h) Las actividades extraescolares</v>
      </c>
      <c r="AH16" s="94">
        <f t="shared" si="1"/>
        <v>2</v>
      </c>
      <c r="AI16" s="89" t="str">
        <f>Registro!AE16</f>
        <v>a) 0 a 2 horas</v>
      </c>
      <c r="AJ16" s="89" t="str">
        <f>Registro!AF16</f>
        <v>a) Me divierto con juegos para computadoras, b) Navego en Internet, n) Estoy conversando con los amigos/as</v>
      </c>
      <c r="AK16" s="94">
        <f t="shared" si="2"/>
        <v>3</v>
      </c>
      <c r="AL16" s="89" t="str">
        <f>Registro!AG16</f>
        <v>c) Regular</v>
      </c>
      <c r="AM16" s="89" t="str">
        <f>Registro!AH16</f>
        <v>a) Muy buena</v>
      </c>
      <c r="AN16" s="89" t="str">
        <f>Registro!AI16</f>
        <v>a) Muy buena</v>
      </c>
      <c r="AO16" s="89" t="str">
        <f>Registro!AJ16</f>
        <v>e) Muy mala</v>
      </c>
      <c r="AP16" s="89" t="str">
        <f>Registro!AK16</f>
        <v>c) Regular</v>
      </c>
      <c r="AQ16" s="89" t="str">
        <f>Registro!AL16</f>
        <v>c) Regular</v>
      </c>
      <c r="AR16" s="89" t="str">
        <f>Registro!AM16</f>
        <v>a) Muy buena</v>
      </c>
      <c r="AS16" s="89" t="str">
        <f>Registro!AN16</f>
        <v>a) Muy buena</v>
      </c>
      <c r="AT16" s="89" t="str">
        <f>Registro!AO16</f>
        <v>a) Muy buena</v>
      </c>
      <c r="AU16" s="89" t="str">
        <f>Registro!AP16</f>
        <v>c) Regular</v>
      </c>
      <c r="AV16" s="89" t="str">
        <f>Registro!AQ16</f>
        <v>c) Regular</v>
      </c>
      <c r="AW16" s="89" t="str">
        <f>Registro!AR16</f>
        <v>e) La disciplina y el orden</v>
      </c>
      <c r="AX16" s="89" t="str">
        <f>Registro!AS16</f>
        <v>b) Darme una buena educación</v>
      </c>
      <c r="AY16" s="89" t="str">
        <f>Registro!AT16</f>
        <v>e) Absolutamente necesaria</v>
      </c>
      <c r="AZ16" s="89" t="str">
        <f>Registro!AU16</f>
        <v>d) Con frecuencia (fines de semana u otros momentos) suelo beber más de la cuenta</v>
      </c>
      <c r="BA16" s="89" t="str">
        <f>Registro!AV16</f>
        <v>c) Profesionales que hacen lo que pueden</v>
      </c>
      <c r="BB16" s="89" t="str">
        <f>Registro!AW16</f>
        <v>d) Mucho o muchísimo</v>
      </c>
      <c r="BC16" s="89" t="str">
        <f>Registro!AX16</f>
        <v>e) Son personas que me gustan y admiro</v>
      </c>
      <c r="BD16" s="89" t="str">
        <f>Registro!AY16</f>
        <v>a) Mi padre, g) Un amigo, h) Una amiga</v>
      </c>
    </row>
    <row r="17" spans="1:56" ht="15" customHeight="1" x14ac:dyDescent="0.25">
      <c r="A17" s="101">
        <f>Registro!A17</f>
        <v>42066.307152777779</v>
      </c>
      <c r="B17" s="89" t="str">
        <f>Registro!B17</f>
        <v>c) Obra Social San José de Calasanz de Valencia</v>
      </c>
      <c r="C17" s="89" t="str">
        <f>Registro!C17</f>
        <v>d) Quinto año</v>
      </c>
      <c r="D17" s="89" t="str">
        <f>Registro!D17</f>
        <v>a) Educación Inicial</v>
      </c>
      <c r="E17" s="89" t="str">
        <f>Registro!E17</f>
        <v>b) Femenino</v>
      </c>
      <c r="F17" s="89" t="str">
        <f>Registro!F17</f>
        <v>a) Católica</v>
      </c>
      <c r="G17" s="89" t="str">
        <f>Registro!G17</f>
        <v>a) Mamá, b) Papá, c) Hermanos, e) Otros familiares</v>
      </c>
      <c r="H17" s="89" t="str">
        <f>Registro!H17</f>
        <v>f) Otro</v>
      </c>
      <c r="I17" s="89" t="str">
        <f>Registro!I17</f>
        <v>a) Sí</v>
      </c>
      <c r="J17" s="89" t="str">
        <f>Registro!J17</f>
        <v>d) TV pantalla plana, h) Carro, k) Aire acondicionado</v>
      </c>
      <c r="K17" s="89" t="str">
        <f>Registro!K17</f>
        <v>c) Dos</v>
      </c>
      <c r="L17" s="89" t="str">
        <f>Registro!L17</f>
        <v>a) La familia, g) La felicidad, i) La música</v>
      </c>
      <c r="M17" s="94">
        <f t="shared" si="3"/>
        <v>3</v>
      </c>
      <c r="N17" s="89" t="str">
        <f>Registro!M17</f>
        <v>e) La situación económica</v>
      </c>
      <c r="O17" s="89" t="str">
        <f>Registro!N17</f>
        <v>a) Mucho</v>
      </c>
      <c r="P17" s="89" t="str">
        <f>Registro!O17</f>
        <v>c) Poco</v>
      </c>
      <c r="Q17" s="89" t="str">
        <f>Registro!P17</f>
        <v>b) Suficiente</v>
      </c>
      <c r="R17" s="89" t="str">
        <f>Registro!Q17</f>
        <v>a) La familia, c) Los estudios, g) La felicidad</v>
      </c>
      <c r="S17" s="94">
        <f t="shared" si="0"/>
        <v>3</v>
      </c>
      <c r="T17" s="89" t="str">
        <f>Registro!R17</f>
        <v>a) Mucho</v>
      </c>
      <c r="U17" s="89" t="str">
        <f>Registro!S17</f>
        <v>a) La Iglesia, b) La naturaleza, d) Las convivencias, g) Mi familia, h) Algunas personas cercanas a Dios, i) Los necesitados, k) La oración, l) Los sacramentos</v>
      </c>
      <c r="V17" s="89" t="str">
        <f>Registro!T17</f>
        <v>a) Suelo rezar por convicción o porque me gusta</v>
      </c>
      <c r="W17" s="89" t="str">
        <f>Registro!U17</f>
        <v>c) Solo en fechas especiales</v>
      </c>
      <c r="X17" s="89" t="str">
        <f>Registro!V17</f>
        <v>c) Suelo ir los domingos y otras fechas especiales a la Iglesia, d) Suelo orar todos los días, e) Voy a misa en las fechas de mis familiares difuntos, i) Tengo en mi cuarto alguna imagen religiosa</v>
      </c>
      <c r="Y17" s="89" t="str">
        <f>Registro!W17</f>
        <v>d) No pertenezco a ninguno</v>
      </c>
      <c r="Z17" s="89" t="str">
        <f>Registro!X17</f>
        <v>d) No pertenezco a grupos juveniles cristianos</v>
      </c>
      <c r="AA17" s="89" t="str">
        <f>Registro!Y17</f>
        <v>a) Sí</v>
      </c>
      <c r="AB17" s="89" t="str">
        <f>Registro!Z17</f>
        <v>b) No</v>
      </c>
      <c r="AC17" s="89" t="str">
        <f>Registro!AA17</f>
        <v>a) Medicina, g) Artista</v>
      </c>
      <c r="AD17" s="94">
        <f t="shared" si="4"/>
        <v>2</v>
      </c>
      <c r="AE17" s="89" t="str">
        <f>Registro!AB17</f>
        <v>b) Tener una buena posición social, ser importante</v>
      </c>
      <c r="AF17" s="89" t="str">
        <f>Registro!AC17</f>
        <v>c) Bastante</v>
      </c>
      <c r="AG17" s="89" t="str">
        <f>Registro!AD17</f>
        <v>d) Los grupos juveniles cristianos, i) No me gusta nada</v>
      </c>
      <c r="AH17" s="94">
        <f t="shared" si="1"/>
        <v>2</v>
      </c>
      <c r="AI17" s="89" t="str">
        <f>Registro!AE17</f>
        <v>f) 11 o más horas</v>
      </c>
      <c r="AJ17" s="89" t="str">
        <f>Registro!AF17</f>
        <v>b) Navego en Internet, i) Leo revistas o libros, l) Escucho música y/o veo videos musicales</v>
      </c>
      <c r="AK17" s="94">
        <f t="shared" si="2"/>
        <v>3</v>
      </c>
      <c r="AL17" s="89" t="str">
        <f>Registro!AG17</f>
        <v>b) Bueno</v>
      </c>
      <c r="AM17" s="89" t="str">
        <f>Registro!AH17</f>
        <v>b) Buena</v>
      </c>
      <c r="AN17" s="89" t="str">
        <f>Registro!AI17</f>
        <v>b) Buena</v>
      </c>
      <c r="AO17" s="89" t="str">
        <f>Registro!AJ17</f>
        <v>b) Buena</v>
      </c>
      <c r="AP17" s="89" t="str">
        <f>Registro!AK17</f>
        <v>f) No aplica</v>
      </c>
      <c r="AQ17" s="89" t="str">
        <f>Registro!AL17</f>
        <v>b) Buena</v>
      </c>
      <c r="AR17" s="89" t="str">
        <f>Registro!AM17</f>
        <v>c) Regular</v>
      </c>
      <c r="AS17" s="89" t="str">
        <f>Registro!AN17</f>
        <v>b) Buena</v>
      </c>
      <c r="AT17" s="89" t="str">
        <f>Registro!AO17</f>
        <v>b) Buena</v>
      </c>
      <c r="AU17" s="89" t="str">
        <f>Registro!AP17</f>
        <v>b) Buena</v>
      </c>
      <c r="AV17" s="89" t="str">
        <f>Registro!AQ17</f>
        <v>b) Buena</v>
      </c>
      <c r="AW17" s="89" t="str">
        <f>Registro!AR17</f>
        <v>e) La disciplina y el orden</v>
      </c>
      <c r="AX17" s="89" t="str">
        <f>Registro!AS17</f>
        <v>a) Que sea un buen profesional</v>
      </c>
      <c r="AY17" s="89" t="str">
        <f>Registro!AT17</f>
        <v>e) Absolutamente necesaria</v>
      </c>
      <c r="AZ17" s="89" t="str">
        <f>Registro!AU17</f>
        <v>b) Las veces que bebo, es con moderación</v>
      </c>
      <c r="BA17" s="89" t="str">
        <f>Registro!AV17</f>
        <v>a) Personas a las que tengo que aguantar</v>
      </c>
      <c r="BB17" s="89" t="str">
        <f>Registro!AW17</f>
        <v>b) Poco</v>
      </c>
      <c r="BC17" s="89" t="str">
        <f>Registro!AX17</f>
        <v>d) Hay de todo tipo, pero predomina lo positivo</v>
      </c>
      <c r="BD17" s="89" t="str">
        <f>Registro!AY17</f>
        <v>a) Mi padre, b) Mi madre, c) Un hermano/a, h) Una amiga, j) Nadie</v>
      </c>
    </row>
    <row r="18" spans="1:56" ht="15" customHeight="1" x14ac:dyDescent="0.25">
      <c r="A18" s="101">
        <f>Registro!A18</f>
        <v>42066.309942129628</v>
      </c>
      <c r="B18" s="89" t="str">
        <f>Registro!B18</f>
        <v>c) Obra Social San José de Calasanz de Valencia</v>
      </c>
      <c r="C18" s="89" t="str">
        <f>Registro!C18</f>
        <v>d) Quinto año</v>
      </c>
      <c r="D18" s="89" t="str">
        <f>Registro!D18</f>
        <v>a) Educación Inicial</v>
      </c>
      <c r="E18" s="89" t="str">
        <f>Registro!E18</f>
        <v>a) Masculino</v>
      </c>
      <c r="F18" s="89" t="str">
        <f>Registro!F18</f>
        <v>a) Católica</v>
      </c>
      <c r="G18" s="89" t="str">
        <f>Registro!G18</f>
        <v>b) Papá, e) Otros familiares</v>
      </c>
      <c r="H18" s="89" t="str">
        <f>Registro!H18</f>
        <v>b) Casa Urbana</v>
      </c>
      <c r="I18" s="89" t="str">
        <f>Registro!I18</f>
        <v>a) Sí</v>
      </c>
      <c r="J18" s="89" t="str">
        <f>Registro!J18</f>
        <v>a) Cónsola videojuegos, b) Lavadora, c) Microondas, d) TV pantalla plana, f) MP3, h) Carro, i) Computadora, j) Cámara digital, k) Aire acondicionado</v>
      </c>
      <c r="K18" s="89" t="str">
        <f>Registro!K18</f>
        <v>c) Dos</v>
      </c>
      <c r="L18" s="89"/>
      <c r="M18" s="94">
        <f t="shared" si="3"/>
        <v>0</v>
      </c>
      <c r="N18" s="89" t="str">
        <f>Registro!M18</f>
        <v>a) Seguridad personal (la violencia y la delincuencia)</v>
      </c>
      <c r="O18" s="89" t="str">
        <f>Registro!N18</f>
        <v>c) Poco</v>
      </c>
      <c r="P18" s="89" t="str">
        <f>Registro!O18</f>
        <v>a) Mucho</v>
      </c>
      <c r="Q18" s="89" t="str">
        <f>Registro!P18</f>
        <v>b) Suficiente</v>
      </c>
      <c r="R18" s="89" t="str">
        <f>Registro!Q18</f>
        <v>c) Los estudios, g) La felicidad, j) El deporte</v>
      </c>
      <c r="S18" s="94">
        <f t="shared" si="0"/>
        <v>3</v>
      </c>
      <c r="T18" s="89" t="str">
        <f>Registro!R18</f>
        <v>b) Suficiente</v>
      </c>
      <c r="U18" s="89" t="str">
        <f>Registro!S18</f>
        <v>a) La Iglesia, b) La naturaleza, d) Las convivencias, i) Los necesitados, k) La oración, l) Los sacramentos</v>
      </c>
      <c r="V18" s="89" t="str">
        <f>Registro!T18</f>
        <v>c) Rezo solo en situación de dificultad</v>
      </c>
      <c r="W18" s="89" t="str">
        <f>Registro!U18</f>
        <v>c) Solo en fechas especiales</v>
      </c>
      <c r="X18" s="89" t="str">
        <f>Registro!V18</f>
        <v>b) Suelo bendedir los alimentos antes de comer, c) Suelo ir los domingos y otras fechas especiales a la Iglesia, f) En alguna ocasión he rezado el rosario, h) En Semana Santa asisto a las procesiones</v>
      </c>
      <c r="Y18" s="89" t="str">
        <f>Registro!W18</f>
        <v>a) Deportivo</v>
      </c>
      <c r="Z18" s="89" t="str">
        <f>Registro!X18</f>
        <v>c) Un lugar donde me lo paso bien</v>
      </c>
      <c r="AA18" s="89" t="str">
        <f>Registro!Y18</f>
        <v>b) No</v>
      </c>
      <c r="AB18" s="89" t="str">
        <f>Registro!Z18</f>
        <v>b) No</v>
      </c>
      <c r="AC18" s="89" t="str">
        <f>Registro!AA18</f>
        <v>f) Ciencias policiales o artes militares, i) Comerciante</v>
      </c>
      <c r="AD18" s="94">
        <f t="shared" si="4"/>
        <v>2</v>
      </c>
      <c r="AE18" s="89" t="str">
        <f>Registro!AB18</f>
        <v>d) Desarrollarme personalmente</v>
      </c>
      <c r="AF18" s="89" t="str">
        <f>Registro!AC18</f>
        <v>b) Poco</v>
      </c>
      <c r="AG18" s="89" t="str">
        <f>Registro!AD18</f>
        <v>a) Los deportes y diversiones, h) Las actividades extraescolares</v>
      </c>
      <c r="AH18" s="94">
        <f t="shared" si="1"/>
        <v>2</v>
      </c>
      <c r="AI18" s="89" t="str">
        <f>Registro!AE18</f>
        <v>f) 11 o más horas</v>
      </c>
      <c r="AJ18" s="89" t="str">
        <f>Registro!AF18</f>
        <v>b) Navego en Internet, e) Suelo ir a algún parque, n) Estoy conversando con los amigos/as</v>
      </c>
      <c r="AK18" s="94">
        <f t="shared" si="2"/>
        <v>3</v>
      </c>
      <c r="AL18" s="89" t="str">
        <f>Registro!AG18</f>
        <v>b) Bueno</v>
      </c>
      <c r="AM18" s="89" t="str">
        <f>Registro!AH18</f>
        <v>c) Regular</v>
      </c>
      <c r="AN18" s="89" t="str">
        <f>Registro!AI18</f>
        <v>c) Regular</v>
      </c>
      <c r="AO18" s="89" t="str">
        <f>Registro!AJ18</f>
        <v>b) Buena</v>
      </c>
      <c r="AP18" s="89" t="str">
        <f>Registro!AK18</f>
        <v>c) Regular</v>
      </c>
      <c r="AQ18" s="89" t="str">
        <f>Registro!AL18</f>
        <v>b) Buena</v>
      </c>
      <c r="AR18" s="89" t="str">
        <f>Registro!AM18</f>
        <v>b) Buena</v>
      </c>
      <c r="AS18" s="89" t="str">
        <f>Registro!AN18</f>
        <v>c) Regular</v>
      </c>
      <c r="AT18" s="89" t="str">
        <f>Registro!AO18</f>
        <v>b) Buena</v>
      </c>
      <c r="AU18" s="89" t="str">
        <f>Registro!AP18</f>
        <v>c) Regular</v>
      </c>
      <c r="AV18" s="89" t="str">
        <f>Registro!AQ18</f>
        <v>b) Buena</v>
      </c>
      <c r="AW18" s="89" t="str">
        <f>Registro!AR18</f>
        <v>e) La disciplina y el orden</v>
      </c>
      <c r="AX18" s="89" t="str">
        <f>Registro!AS18</f>
        <v>b) Darme una buena educación</v>
      </c>
      <c r="AY18" s="89" t="str">
        <f>Registro!AT18</f>
        <v>b) Indiferente</v>
      </c>
      <c r="AZ18" s="89" t="str">
        <f>Registro!AU18</f>
        <v>c) Alguna vez he bebido más de la cuenta</v>
      </c>
      <c r="BA18" s="89" t="str">
        <f>Registro!AV18</f>
        <v>c) Profesionales que hacen lo que pueden</v>
      </c>
      <c r="BB18" s="89" t="str">
        <f>Registro!AW18</f>
        <v>c) Bastante</v>
      </c>
      <c r="BC18" s="89" t="str">
        <f>Registro!AX18</f>
        <v>c) Son personas normales y corrientes</v>
      </c>
      <c r="BD18" s="89" t="str">
        <f>Registro!AY18</f>
        <v>a) Mi padre, c) Un hermano/a, h) Una amiga</v>
      </c>
    </row>
    <row r="19" spans="1:56" ht="15" customHeight="1" x14ac:dyDescent="0.25">
      <c r="A19" s="101">
        <f>Registro!A19</f>
        <v>42066.310370370367</v>
      </c>
      <c r="B19" s="89" t="str">
        <f>Registro!B19</f>
        <v>c) Obra Social San José de Calasanz de Valencia</v>
      </c>
      <c r="C19" s="89" t="str">
        <f>Registro!C19</f>
        <v>d) Quinto año</v>
      </c>
      <c r="D19" s="89" t="str">
        <f>Registro!D19</f>
        <v>b) Primaria</v>
      </c>
      <c r="E19" s="89" t="str">
        <f>Registro!E19</f>
        <v>a) Masculino</v>
      </c>
      <c r="F19" s="89" t="str">
        <f>Registro!F19</f>
        <v>b) Evangélica</v>
      </c>
      <c r="G19" s="89" t="str">
        <f>Registro!G19</f>
        <v>a) Mamá, b) Papá, c) Hermanos</v>
      </c>
      <c r="H19" s="89" t="str">
        <f>Registro!H19</f>
        <v>b) Casa Urbana</v>
      </c>
      <c r="I19" s="89" t="str">
        <f>Registro!I19</f>
        <v>a) Sí</v>
      </c>
      <c r="J19" s="89" t="str">
        <f>Registro!J19</f>
        <v>b) Lavadora, d) TV pantalla plana, e) Moto, f) MP3, g) MP4, h) Carro, i) Computadora, k) Aire acondicionado</v>
      </c>
      <c r="K19" s="89" t="str">
        <f>Registro!K19</f>
        <v>a) Ninguna</v>
      </c>
      <c r="L19" s="89" t="str">
        <f>Registro!L19</f>
        <v>a) La familia, b) Los amigos, d) El cuidado de mi cuerpo</v>
      </c>
      <c r="M19" s="94">
        <f t="shared" si="3"/>
        <v>3</v>
      </c>
      <c r="N19" s="89" t="str">
        <f>Registro!M19</f>
        <v>a) Seguridad personal (la violencia y la delincuencia)</v>
      </c>
      <c r="O19" s="89" t="str">
        <f>Registro!N19</f>
        <v>c) Poco</v>
      </c>
      <c r="P19" s="89" t="str">
        <f>Registro!O19</f>
        <v>c) Poco</v>
      </c>
      <c r="Q19" s="89" t="str">
        <f>Registro!P19</f>
        <v>c) Poco</v>
      </c>
      <c r="R19" s="89"/>
      <c r="S19" s="94">
        <f t="shared" si="0"/>
        <v>0</v>
      </c>
      <c r="T19" s="89" t="str">
        <f>Registro!R19</f>
        <v>b) Suficiente</v>
      </c>
      <c r="U19" s="89" t="str">
        <f>Registro!S19</f>
        <v>a) La Iglesia</v>
      </c>
      <c r="V19" s="89" t="str">
        <f>Registro!T19</f>
        <v>d) No rezo nunca</v>
      </c>
      <c r="W19" s="89" t="str">
        <f>Registro!U19</f>
        <v>c) Solo en fechas especiales</v>
      </c>
      <c r="X19" s="89" t="str">
        <f>Registro!V19</f>
        <v>g) En ocasiones, en mi casa tenemos una oración familiar</v>
      </c>
      <c r="Y19" s="89" t="str">
        <f>Registro!W19</f>
        <v>d) No pertenezco a ninguno</v>
      </c>
      <c r="Z19" s="89" t="str">
        <f>Registro!X19</f>
        <v>c) Un lugar donde me lo paso bien</v>
      </c>
      <c r="AA19" s="89" t="str">
        <f>Registro!Y19</f>
        <v>b) No</v>
      </c>
      <c r="AB19" s="89" t="str">
        <f>Registro!Z19</f>
        <v>b) No</v>
      </c>
      <c r="AC19" s="89" t="str">
        <f>Registro!AA19</f>
        <v>d) Ingeniería, e) Derecho</v>
      </c>
      <c r="AD19" s="94">
        <f t="shared" si="4"/>
        <v>2</v>
      </c>
      <c r="AE19" s="89" t="str">
        <f>Registro!AB19</f>
        <v>c) Ser un excelente profesional</v>
      </c>
      <c r="AF19" s="89" t="str">
        <f>Registro!AC19</f>
        <v>b) Poco</v>
      </c>
      <c r="AG19" s="89" t="str">
        <f>Registro!AD19</f>
        <v>a) Los deportes y diversiones, b) El ambiente de estudio y de trabajo</v>
      </c>
      <c r="AH19" s="94">
        <f t="shared" si="1"/>
        <v>2</v>
      </c>
      <c r="AI19" s="89" t="str">
        <f>Registro!AE19</f>
        <v>a) 0 a 2 horas</v>
      </c>
      <c r="AJ19" s="89" t="str">
        <f>Registro!AF19</f>
        <v>a) Me divierto con juegos para computadoras</v>
      </c>
      <c r="AK19" s="94">
        <f t="shared" si="2"/>
        <v>1</v>
      </c>
      <c r="AL19" s="89" t="str">
        <f>Registro!AG19</f>
        <v>c) Regular</v>
      </c>
      <c r="AM19" s="89" t="str">
        <f>Registro!AH19</f>
        <v>c) Regular</v>
      </c>
      <c r="AN19" s="89" t="str">
        <f>Registro!AI19</f>
        <v>c) Regular</v>
      </c>
      <c r="AO19" s="89" t="str">
        <f>Registro!AJ19</f>
        <v>c) Regular</v>
      </c>
      <c r="AP19" s="89" t="str">
        <f>Registro!AK19</f>
        <v>d) Mala</v>
      </c>
      <c r="AQ19" s="89" t="str">
        <f>Registro!AL19</f>
        <v>c) Regular</v>
      </c>
      <c r="AR19" s="89" t="str">
        <f>Registro!AM19</f>
        <v>c) Regular</v>
      </c>
      <c r="AS19" s="89" t="str">
        <f>Registro!AN19</f>
        <v>c) Regular</v>
      </c>
      <c r="AT19" s="89" t="str">
        <f>Registro!AO19</f>
        <v>b) Buena</v>
      </c>
      <c r="AU19" s="89" t="str">
        <f>Registro!AP19</f>
        <v>c) Regular</v>
      </c>
      <c r="AV19" s="89" t="str">
        <f>Registro!AQ19</f>
        <v>b) Buena</v>
      </c>
      <c r="AW19" s="89" t="str">
        <f>Registro!AR19</f>
        <v>a) El compañerismo</v>
      </c>
      <c r="AX19" s="89" t="str">
        <f>Registro!AS19</f>
        <v>a) Que sea un buen profesional</v>
      </c>
      <c r="AY19" s="89" t="str">
        <f>Registro!AT19</f>
        <v>c) Conveniente</v>
      </c>
      <c r="AZ19" s="89" t="str">
        <f>Registro!AU19</f>
        <v>d) Con frecuencia (fines de semana u otros momentos) suelo beber más de la cuenta</v>
      </c>
      <c r="BA19" s="89" t="str">
        <f>Registro!AV19</f>
        <v>c) Profesionales que hacen lo que pueden</v>
      </c>
      <c r="BB19" s="89" t="str">
        <f>Registro!AW19</f>
        <v>b) Poco</v>
      </c>
      <c r="BC19" s="89" t="str">
        <f>Registro!AX19</f>
        <v>a) No me gustan en absoluto</v>
      </c>
      <c r="BD19" s="89" t="str">
        <f>Registro!AY19</f>
        <v>a) Mi padre, b) Mi madre, c) Un hermano/a</v>
      </c>
    </row>
    <row r="20" spans="1:56" ht="15" customHeight="1" x14ac:dyDescent="0.25">
      <c r="A20" s="101">
        <f>Registro!A20</f>
        <v>42066.310497685183</v>
      </c>
      <c r="B20" s="89" t="str">
        <f>Registro!B20</f>
        <v>c) Obra Social San José de Calasanz de Valencia</v>
      </c>
      <c r="C20" s="89" t="str">
        <f>Registro!C20</f>
        <v>d) Quinto año</v>
      </c>
      <c r="D20" s="89" t="str">
        <f>Registro!D20</f>
        <v>d) En Cuarto año o posterior</v>
      </c>
      <c r="E20" s="89" t="str">
        <f>Registro!E20</f>
        <v>a) Masculino</v>
      </c>
      <c r="F20" s="89" t="str">
        <f>Registro!F20</f>
        <v>b) Evangélica</v>
      </c>
      <c r="G20" s="89" t="str">
        <f>Registro!G20</f>
        <v>e) Otros familiares</v>
      </c>
      <c r="H20" s="89" t="str">
        <f>Registro!H20</f>
        <v>b) Casa Urbana</v>
      </c>
      <c r="I20" s="89" t="str">
        <f>Registro!I20</f>
        <v>c) Algo</v>
      </c>
      <c r="J20" s="89" t="str">
        <f>Registro!J20</f>
        <v>a) Cónsola videojuegos, b) Lavadora, f) MP3, h) Carro, i) Computadora, k) Aire acondicionado</v>
      </c>
      <c r="K20" s="89" t="str">
        <f>Registro!K20</f>
        <v>d) Tres</v>
      </c>
      <c r="L20" s="89" t="str">
        <f>Registro!L20</f>
        <v>a) La familia, c) Los estudios, j) El deporte</v>
      </c>
      <c r="M20" s="94">
        <f t="shared" si="3"/>
        <v>3</v>
      </c>
      <c r="N20" s="89" t="str">
        <f>Registro!M20</f>
        <v>b) El futuro</v>
      </c>
      <c r="O20" s="89" t="str">
        <f>Registro!N20</f>
        <v>b) Suficiente</v>
      </c>
      <c r="P20" s="89" t="str">
        <f>Registro!O20</f>
        <v>b) Suficiente</v>
      </c>
      <c r="Q20" s="89" t="str">
        <f>Registro!P20</f>
        <v>b) Suficiente</v>
      </c>
      <c r="R20" s="89" t="str">
        <f>Registro!Q20</f>
        <v>a) La familia, c) Los estudios, j) El deporte</v>
      </c>
      <c r="S20" s="94">
        <f t="shared" si="0"/>
        <v>3</v>
      </c>
      <c r="T20" s="89" t="str">
        <f>Registro!R20</f>
        <v>b) Suficiente</v>
      </c>
      <c r="U20" s="89" t="str">
        <f>Registro!S20</f>
        <v>b) La naturaleza, f) Todas las personas, j) Todas partes, k) La oración</v>
      </c>
      <c r="V20" s="89" t="str">
        <f>Registro!T20</f>
        <v>c) Rezo solo en situación de dificultad</v>
      </c>
      <c r="W20" s="89" t="str">
        <f>Registro!U20</f>
        <v>d) Nunca</v>
      </c>
      <c r="X20" s="89" t="str">
        <f>Registro!V20</f>
        <v>f) En alguna ocasión he rezado el rosario</v>
      </c>
      <c r="Y20" s="89" t="str">
        <f>Registro!W20</f>
        <v>a) Deportivo</v>
      </c>
      <c r="Z20" s="89" t="str">
        <f>Registro!X20</f>
        <v>d) No pertenezco a grupos juveniles cristianos</v>
      </c>
      <c r="AA20" s="89" t="str">
        <f>Registro!Y20</f>
        <v>b) No</v>
      </c>
      <c r="AB20" s="89" t="str">
        <f>Registro!Z20</f>
        <v>b) No</v>
      </c>
      <c r="AC20" s="89" t="str">
        <f>Registro!AA20</f>
        <v>d) Ingeniería</v>
      </c>
      <c r="AD20" s="94">
        <f t="shared" si="4"/>
        <v>1</v>
      </c>
      <c r="AE20" s="89" t="str">
        <f>Registro!AB20</f>
        <v>c) Ser un excelente profesional</v>
      </c>
      <c r="AF20" s="89" t="str">
        <f>Registro!AC20</f>
        <v>c) Bastante</v>
      </c>
      <c r="AG20" s="89" t="str">
        <f>Registro!AD20</f>
        <v>a) Los deportes y diversiones, h) Las actividades extraescolares</v>
      </c>
      <c r="AH20" s="94">
        <f t="shared" si="1"/>
        <v>2</v>
      </c>
      <c r="AI20" s="89" t="str">
        <f>Registro!AE20</f>
        <v>b) 3 a 4 horas</v>
      </c>
      <c r="AJ20" s="89" t="str">
        <f>Registro!AF20</f>
        <v>d) Estoy la mayor parte del tiempo en la casa sin hacer nada, k) Practico algún deporte, l) Escucho música y/o veo videos musicales</v>
      </c>
      <c r="AK20" s="94">
        <f t="shared" si="2"/>
        <v>3</v>
      </c>
      <c r="AL20" s="89" t="str">
        <f>Registro!AG20</f>
        <v>b) Bueno</v>
      </c>
      <c r="AM20" s="89" t="str">
        <f>Registro!AH20</f>
        <v>b) Buena</v>
      </c>
      <c r="AN20" s="89" t="str">
        <f>Registro!AI20</f>
        <v>b) Buena</v>
      </c>
      <c r="AO20" s="89" t="str">
        <f>Registro!AJ20</f>
        <v>b) Buena</v>
      </c>
      <c r="AP20" s="89" t="str">
        <f>Registro!AK20</f>
        <v>b) Buena</v>
      </c>
      <c r="AQ20" s="89" t="str">
        <f>Registro!AL20</f>
        <v>b) Buena</v>
      </c>
      <c r="AR20" s="89" t="str">
        <f>Registro!AM20</f>
        <v>a) Muy buena</v>
      </c>
      <c r="AS20" s="89" t="str">
        <f>Registro!AN20</f>
        <v>b) Buena</v>
      </c>
      <c r="AT20" s="89" t="str">
        <f>Registro!AO20</f>
        <v>b) Buena</v>
      </c>
      <c r="AU20" s="89" t="str">
        <f>Registro!AP20</f>
        <v>b) Buena</v>
      </c>
      <c r="AV20" s="89" t="str">
        <f>Registro!AQ20</f>
        <v>b) Buena</v>
      </c>
      <c r="AW20" s="89" t="str">
        <f>Registro!AR20</f>
        <v>e) La disciplina y el orden</v>
      </c>
      <c r="AX20" s="89" t="str">
        <f>Registro!AS20</f>
        <v>a) Que sea un buen profesional</v>
      </c>
      <c r="AY20" s="89" t="str">
        <f>Registro!AT20</f>
        <v>c) Conveniente</v>
      </c>
      <c r="AZ20" s="89" t="str">
        <f>Registro!AU20</f>
        <v>b) Las veces que bebo, es con moderación</v>
      </c>
      <c r="BA20" s="89" t="str">
        <f>Registro!AV20</f>
        <v>d) Buenos profesionales de la educación</v>
      </c>
      <c r="BB20" s="89" t="str">
        <f>Registro!AW20</f>
        <v>c) Bastante</v>
      </c>
      <c r="BC20" s="89" t="str">
        <f>Registro!AX20</f>
        <v>a) No me gustan en absoluto</v>
      </c>
      <c r="BD20" s="89" t="str">
        <f>Registro!AY20</f>
        <v>b) Mi madre</v>
      </c>
    </row>
    <row r="21" spans="1:56" ht="15" customHeight="1" x14ac:dyDescent="0.25">
      <c r="A21" s="101">
        <f>Registro!A21</f>
        <v>42066.312685185185</v>
      </c>
      <c r="B21" s="89" t="str">
        <f>Registro!B21</f>
        <v>c) Obra Social San José de Calasanz de Valencia</v>
      </c>
      <c r="C21" s="89" t="str">
        <f>Registro!C21</f>
        <v>d) Quinto año</v>
      </c>
      <c r="D21" s="89" t="str">
        <f>Registro!D21</f>
        <v>b) Primaria</v>
      </c>
      <c r="E21" s="89" t="str">
        <f>Registro!E21</f>
        <v>a) Masculino</v>
      </c>
      <c r="F21" s="89" t="str">
        <f>Registro!F21</f>
        <v>a) Católica</v>
      </c>
      <c r="G21" s="89" t="str">
        <f>Registro!G21</f>
        <v>a) Mamá, c) Hermanos</v>
      </c>
      <c r="H21" s="89" t="str">
        <f>Registro!H21</f>
        <v>c) Apartamento</v>
      </c>
      <c r="I21" s="89" t="str">
        <f>Registro!I21</f>
        <v>a) Sí</v>
      </c>
      <c r="J21" s="89" t="str">
        <f>Registro!J21</f>
        <v>a) Cónsola videojuegos, b) Lavadora, d) TV pantalla plana, e) Moto, f) MP3, g) MP4, i) Computadora, j) Cámara digital, k) Aire acondicionado</v>
      </c>
      <c r="K21" s="89" t="str">
        <f>Registro!K21</f>
        <v>b) Una</v>
      </c>
      <c r="L21" s="89" t="str">
        <f>Registro!L21</f>
        <v>a) La familia, d) El cuidado de mi cuerpo, i) La música</v>
      </c>
      <c r="M21" s="94">
        <f t="shared" si="3"/>
        <v>3</v>
      </c>
      <c r="N21" s="89" t="str">
        <f>Registro!M21</f>
        <v>a) Seguridad personal (la violencia y la delincuencia)</v>
      </c>
      <c r="O21" s="89" t="str">
        <f>Registro!N21</f>
        <v>b) Suficiente</v>
      </c>
      <c r="P21" s="89" t="str">
        <f>Registro!O21</f>
        <v>c) Poco</v>
      </c>
      <c r="Q21" s="89" t="str">
        <f>Registro!P21</f>
        <v>b) Suficiente</v>
      </c>
      <c r="R21" s="89"/>
      <c r="S21" s="94">
        <f t="shared" si="0"/>
        <v>0</v>
      </c>
      <c r="T21" s="89" t="str">
        <f>Registro!R21</f>
        <v>b) Suficiente</v>
      </c>
      <c r="U21" s="89" t="str">
        <f>Registro!S21</f>
        <v>d) Las convivencias, i) Los necesitados</v>
      </c>
      <c r="V21" s="89" t="str">
        <f>Registro!T21</f>
        <v>c) Rezo solo en situación de dificultad</v>
      </c>
      <c r="W21" s="89" t="str">
        <f>Registro!U21</f>
        <v>b) Algunos domingos</v>
      </c>
      <c r="X21" s="89" t="str">
        <f>Registro!V21</f>
        <v>c) Suelo ir los domingos y otras fechas especiales a la Iglesia, e) Voy a misa en las fechas de mis familiares difuntos, h) En Semana Santa asisto a las procesiones</v>
      </c>
      <c r="Y21" s="89" t="str">
        <f>Registro!W21</f>
        <v>c) Religioso o parroquial</v>
      </c>
      <c r="Z21" s="89" t="str">
        <f>Registro!X21</f>
        <v>b) Un lugar donde comparto con mis compañeros</v>
      </c>
      <c r="AA21" s="89" t="str">
        <f>Registro!Y21</f>
        <v>b) No</v>
      </c>
      <c r="AB21" s="89" t="str">
        <f>Registro!Z21</f>
        <v>b) No</v>
      </c>
      <c r="AC21" s="89" t="str">
        <f>Registro!AA21</f>
        <v>g) Artista, i) Comerciante</v>
      </c>
      <c r="AD21" s="94">
        <f t="shared" si="4"/>
        <v>2</v>
      </c>
      <c r="AE21" s="89" t="str">
        <f>Registro!AB21</f>
        <v>d) Desarrollarme personalmente</v>
      </c>
      <c r="AF21" s="89" t="str">
        <f>Registro!AC21</f>
        <v>c) Bastante</v>
      </c>
      <c r="AG21" s="89" t="str">
        <f>Registro!AD21</f>
        <v>d) Los grupos juveniles cristianos, h) Las actividades extraescolares</v>
      </c>
      <c r="AH21" s="94">
        <f t="shared" si="1"/>
        <v>2</v>
      </c>
      <c r="AI21" s="89" t="str">
        <f>Registro!AE21</f>
        <v>f) 11 o más horas</v>
      </c>
      <c r="AJ21" s="89" t="str">
        <f>Registro!AF21</f>
        <v>b) Navego en Internet, f) Toco un instrumento musical, l) Escucho música y/o veo videos musicales</v>
      </c>
      <c r="AK21" s="94">
        <f t="shared" si="2"/>
        <v>3</v>
      </c>
      <c r="AL21" s="89" t="str">
        <f>Registro!AG21</f>
        <v>a) Muy bueno</v>
      </c>
      <c r="AM21" s="89" t="str">
        <f>Registro!AH21</f>
        <v>b) Buena</v>
      </c>
      <c r="AN21" s="89" t="str">
        <f>Registro!AI21</f>
        <v>b) Buena</v>
      </c>
      <c r="AO21" s="89" t="str">
        <f>Registro!AJ21</f>
        <v>b) Buena</v>
      </c>
      <c r="AP21" s="89" t="str">
        <f>Registro!AK21</f>
        <v>c) Regular</v>
      </c>
      <c r="AQ21" s="89" t="str">
        <f>Registro!AL21</f>
        <v>b) Buena</v>
      </c>
      <c r="AR21" s="89" t="str">
        <f>Registro!AM21</f>
        <v>b) Buena</v>
      </c>
      <c r="AS21" s="89" t="str">
        <f>Registro!AN21</f>
        <v>b) Buena</v>
      </c>
      <c r="AT21" s="89" t="str">
        <f>Registro!AO21</f>
        <v>a) Muy buena</v>
      </c>
      <c r="AU21" s="89" t="str">
        <f>Registro!AP21</f>
        <v>a) Muy buena</v>
      </c>
      <c r="AV21" s="89" t="str">
        <f>Registro!AQ21</f>
        <v>b) Buena</v>
      </c>
      <c r="AW21" s="89" t="str">
        <f>Registro!AR21</f>
        <v>h) La responsabilidad social y el servicio a los demás</v>
      </c>
      <c r="AX21" s="89" t="str">
        <f>Registro!AS21</f>
        <v>e) Que sea cristiano responsable</v>
      </c>
      <c r="AY21" s="89" t="str">
        <f>Registro!AT21</f>
        <v>d) Bastante necesaria</v>
      </c>
      <c r="AZ21" s="89" t="str">
        <f>Registro!AU21</f>
        <v>b) Las veces que bebo, es con moderación</v>
      </c>
      <c r="BA21" s="89" t="str">
        <f>Registro!AV21</f>
        <v>e) Educadores que se preocupan de nosotros</v>
      </c>
      <c r="BB21" s="89" t="str">
        <f>Registro!AW21</f>
        <v>c) Bastante</v>
      </c>
      <c r="BC21" s="89" t="str">
        <f>Registro!AX21</f>
        <v>d) Hay de todo tipo, pero predomina lo positivo</v>
      </c>
      <c r="BD21" s="89" t="str">
        <f>Registro!AY21</f>
        <v>h) Una amiga</v>
      </c>
    </row>
    <row r="22" spans="1:56" ht="15" customHeight="1" x14ac:dyDescent="0.25">
      <c r="A22" s="101">
        <f>Registro!A22</f>
        <v>42066.313935185186</v>
      </c>
      <c r="B22" s="89" t="str">
        <f>Registro!B22</f>
        <v>c) Obra Social San José de Calasanz de Valencia</v>
      </c>
      <c r="C22" s="89" t="str">
        <f>Registro!C22</f>
        <v>d) Quinto año</v>
      </c>
      <c r="D22" s="89" t="str">
        <f>Registro!D22</f>
        <v>b) Primaria</v>
      </c>
      <c r="E22" s="89" t="str">
        <f>Registro!E22</f>
        <v>b) Femenino</v>
      </c>
      <c r="F22" s="89" t="str">
        <f>Registro!F22</f>
        <v>b) Evangélica</v>
      </c>
      <c r="G22" s="89" t="str">
        <f>Registro!G22</f>
        <v>b) Papá, c) Hermanos</v>
      </c>
      <c r="H22" s="89" t="str">
        <f>Registro!H22</f>
        <v>b) Casa Urbana</v>
      </c>
      <c r="I22" s="89" t="str">
        <f>Registro!I22</f>
        <v>a) Sí</v>
      </c>
      <c r="J22" s="89" t="str">
        <f>Registro!J22</f>
        <v>b) Lavadora, d) TV pantalla plana, g) MP4, i) Computadora, j) Cámara digital, k) Aire acondicionado</v>
      </c>
      <c r="K22" s="89" t="str">
        <f>Registro!K22</f>
        <v>c) Dos</v>
      </c>
      <c r="L22" s="89"/>
      <c r="M22" s="94">
        <f t="shared" si="3"/>
        <v>0</v>
      </c>
      <c r="N22" s="89" t="str">
        <f>Registro!M22</f>
        <v>b) El futuro</v>
      </c>
      <c r="O22" s="89" t="str">
        <f>Registro!N22</f>
        <v>d) Nada</v>
      </c>
      <c r="P22" s="89" t="str">
        <f>Registro!O22</f>
        <v>b) Suficiente</v>
      </c>
      <c r="Q22" s="89" t="str">
        <f>Registro!P22</f>
        <v>c) Poco</v>
      </c>
      <c r="R22" s="89"/>
      <c r="S22" s="94">
        <f t="shared" si="0"/>
        <v>0</v>
      </c>
      <c r="T22" s="89" t="str">
        <f>Registro!R22</f>
        <v>a) Mucho</v>
      </c>
      <c r="U22" s="89" t="str">
        <f>Registro!S22</f>
        <v>a) La Iglesia, d) Las convivencias, h) Algunas personas cercanas a Dios, k) La oración</v>
      </c>
      <c r="V22" s="89" t="str">
        <f>Registro!T22</f>
        <v>c) Rezo solo en situación de dificultad</v>
      </c>
      <c r="W22" s="89" t="str">
        <f>Registro!U22</f>
        <v>b) Algunos domingos</v>
      </c>
      <c r="X22" s="89" t="str">
        <f>Registro!V22</f>
        <v>c) Suelo ir los domingos y otras fechas especiales a la Iglesia</v>
      </c>
      <c r="Y22" s="89" t="str">
        <f>Registro!W22</f>
        <v>d) No pertenezco a ninguno</v>
      </c>
      <c r="Z22" s="89" t="str">
        <f>Registro!X22</f>
        <v>a) Un grupo donde profundizo mi fe</v>
      </c>
      <c r="AA22" s="89" t="str">
        <f>Registro!Y22</f>
        <v>b) No</v>
      </c>
      <c r="AB22" s="89" t="str">
        <f>Registro!Z22</f>
        <v>b) No</v>
      </c>
      <c r="AC22" s="89" t="str">
        <f>Registro!AA22</f>
        <v>d) Ingeniería</v>
      </c>
      <c r="AD22" s="94">
        <f t="shared" si="4"/>
        <v>1</v>
      </c>
      <c r="AE22" s="89" t="str">
        <f>Registro!AB22</f>
        <v>b) Tener una buena posición social, ser importante</v>
      </c>
      <c r="AF22" s="89" t="str">
        <f>Registro!AC22</f>
        <v>b) Poco</v>
      </c>
      <c r="AG22" s="89" t="str">
        <f>Registro!AD22</f>
        <v>b) El ambiente de estudio y de trabajo, c) Las instalaciones del Colegio</v>
      </c>
      <c r="AH22" s="94">
        <f t="shared" si="1"/>
        <v>2</v>
      </c>
      <c r="AI22" s="89" t="str">
        <f>Registro!AE22</f>
        <v>b) 3 a 4 horas</v>
      </c>
      <c r="AJ22" s="89" t="str">
        <f>Registro!AF22</f>
        <v>b) Navego en Internet, m) Veo televisión y/o películas, n) Estoy conversando con los amigos/as</v>
      </c>
      <c r="AK22" s="94">
        <f t="shared" si="2"/>
        <v>3</v>
      </c>
      <c r="AL22" s="89" t="str">
        <f>Registro!AG22</f>
        <v>b) Bueno</v>
      </c>
      <c r="AM22" s="89" t="str">
        <f>Registro!AH22</f>
        <v>c) Regular</v>
      </c>
      <c r="AN22" s="89" t="str">
        <f>Registro!AI22</f>
        <v>b) Buena</v>
      </c>
      <c r="AO22" s="89" t="str">
        <f>Registro!AJ22</f>
        <v>b) Buena</v>
      </c>
      <c r="AP22" s="89" t="str">
        <f>Registro!AK22</f>
        <v>d) Mala</v>
      </c>
      <c r="AQ22" s="89" t="str">
        <f>Registro!AL22</f>
        <v>c) Regular</v>
      </c>
      <c r="AR22" s="89" t="str">
        <f>Registro!AM22</f>
        <v>a) Muy buena</v>
      </c>
      <c r="AS22" s="89" t="str">
        <f>Registro!AN22</f>
        <v>c) Regular</v>
      </c>
      <c r="AT22" s="89" t="str">
        <f>Registro!AO22</f>
        <v>a) Muy buena</v>
      </c>
      <c r="AU22" s="89" t="str">
        <f>Registro!AP22</f>
        <v>a) Muy buena</v>
      </c>
      <c r="AV22" s="89" t="str">
        <f>Registro!AQ22</f>
        <v>b) Buena</v>
      </c>
      <c r="AW22" s="89" t="str">
        <f>Registro!AR22</f>
        <v>g) La orientación profesional futura</v>
      </c>
      <c r="AX22" s="89" t="str">
        <f>Registro!AS22</f>
        <v>a) Que sea un buen profesional</v>
      </c>
      <c r="AY22" s="89" t="str">
        <f>Registro!AT22</f>
        <v>c) Conveniente</v>
      </c>
      <c r="AZ22" s="89" t="str">
        <f>Registro!AU22</f>
        <v>c) Alguna vez he bebido más de la cuenta</v>
      </c>
      <c r="BA22" s="89" t="str">
        <f>Registro!AV22</f>
        <v>d) Buenos profesionales de la educación</v>
      </c>
      <c r="BB22" s="89" t="str">
        <f>Registro!AW22</f>
        <v>c) Bastante</v>
      </c>
      <c r="BC22" s="89" t="str">
        <f>Registro!AX22</f>
        <v>c) Son personas normales y corrientes</v>
      </c>
      <c r="BD22" s="89" t="str">
        <f>Registro!AY22</f>
        <v>c) Un hermano/a, h) Una amiga</v>
      </c>
    </row>
    <row r="23" spans="1:56" ht="15" customHeight="1" x14ac:dyDescent="0.25">
      <c r="A23" s="101">
        <f>Registro!A23</f>
        <v>42066.313993055555</v>
      </c>
      <c r="B23" s="89" t="str">
        <f>Registro!B23</f>
        <v>c) Obra Social San José de Calasanz de Valencia</v>
      </c>
      <c r="C23" s="89" t="str">
        <f>Registro!C23</f>
        <v>d) Quinto año</v>
      </c>
      <c r="D23" s="89" t="str">
        <f>Registro!D23</f>
        <v>a) Educación Inicial</v>
      </c>
      <c r="E23" s="89" t="str">
        <f>Registro!E23</f>
        <v>b) Femenino</v>
      </c>
      <c r="F23" s="89" t="str">
        <f>Registro!F23</f>
        <v>a) Católica</v>
      </c>
      <c r="G23" s="89" t="str">
        <f>Registro!G23</f>
        <v>a) Mamá, b) Papá, c) Hermanos</v>
      </c>
      <c r="H23" s="89" t="str">
        <f>Registro!H23</f>
        <v>b) Casa Urbana</v>
      </c>
      <c r="I23" s="89" t="str">
        <f>Registro!I23</f>
        <v>a) Sí</v>
      </c>
      <c r="J23" s="89" t="str">
        <f>Registro!J23</f>
        <v>a) Cónsola videojuegos, b) Lavadora, c) Microondas, d) TV pantalla plana, h) Carro, i) Computadora, j) Cámara digital, k) Aire acondicionado</v>
      </c>
      <c r="K23" s="89" t="str">
        <f>Registro!K23</f>
        <v>d) Tres</v>
      </c>
      <c r="L23" s="89"/>
      <c r="M23" s="94">
        <f t="shared" si="3"/>
        <v>0</v>
      </c>
      <c r="N23" s="89" t="str">
        <f>Registro!M23</f>
        <v>b) El futuro</v>
      </c>
      <c r="O23" s="89" t="str">
        <f>Registro!N23</f>
        <v>c) Poco</v>
      </c>
      <c r="P23" s="89" t="str">
        <f>Registro!O23</f>
        <v>d) Nada</v>
      </c>
      <c r="Q23" s="89" t="str">
        <f>Registro!P23</f>
        <v>a) Mucho</v>
      </c>
      <c r="R23" s="89"/>
      <c r="S23" s="94">
        <f t="shared" si="0"/>
        <v>0</v>
      </c>
      <c r="T23" s="89" t="str">
        <f>Registro!R23</f>
        <v>a) Mucho</v>
      </c>
      <c r="U23" s="89" t="str">
        <f>Registro!S23</f>
        <v>a) La Iglesia, g) Mi familia, h) Algunas personas cercanas a Dios, k) La oración</v>
      </c>
      <c r="V23" s="89" t="str">
        <f>Registro!T23</f>
        <v>a) Suelo rezar por convicción o porque me gusta</v>
      </c>
      <c r="W23" s="89" t="str">
        <f>Registro!U23</f>
        <v>b) Algunos domingos</v>
      </c>
      <c r="X23" s="89" t="str">
        <f>Registro!V23</f>
        <v>h) En Semana Santa asisto a las procesiones, i) Tengo en mi cuarto alguna imagen religiosa</v>
      </c>
      <c r="Y23" s="89" t="str">
        <f>Registro!W23</f>
        <v>d) No pertenezco a ninguno</v>
      </c>
      <c r="Z23" s="89" t="str">
        <f>Registro!X23</f>
        <v>d) No pertenezco a grupos juveniles cristianos</v>
      </c>
      <c r="AA23" s="89" t="str">
        <f>Registro!Y23</f>
        <v>b) No</v>
      </c>
      <c r="AB23" s="89" t="str">
        <f>Registro!Z23</f>
        <v>b) No</v>
      </c>
      <c r="AC23" s="89"/>
      <c r="AD23" s="94">
        <f t="shared" si="4"/>
        <v>0</v>
      </c>
      <c r="AE23" s="89" t="str">
        <f>Registro!AB23</f>
        <v>c) Ser un excelente profesional</v>
      </c>
      <c r="AF23" s="89" t="str">
        <f>Registro!AC23</f>
        <v>d) Mucho o muchísimo</v>
      </c>
      <c r="AG23" s="89" t="str">
        <f>Registro!AD23</f>
        <v>a) Los deportes y diversiones, h) Las actividades extraescolares</v>
      </c>
      <c r="AH23" s="94">
        <f t="shared" si="1"/>
        <v>2</v>
      </c>
      <c r="AI23" s="89" t="str">
        <f>Registro!AE23</f>
        <v>f) 11 o más horas</v>
      </c>
      <c r="AJ23" s="89" t="str">
        <f>Registro!AF23</f>
        <v>b) Navego en Internet, h) Suelo ir al cine</v>
      </c>
      <c r="AK23" s="94">
        <f t="shared" si="2"/>
        <v>2</v>
      </c>
      <c r="AL23" s="89" t="str">
        <f>Registro!AG23</f>
        <v>a) Muy bueno</v>
      </c>
      <c r="AM23" s="89" t="str">
        <f>Registro!AH23</f>
        <v>b) Buena</v>
      </c>
      <c r="AN23" s="89" t="str">
        <f>Registro!AI23</f>
        <v>b) Buena</v>
      </c>
      <c r="AO23" s="89" t="str">
        <f>Registro!AJ23</f>
        <v>b) Buena</v>
      </c>
      <c r="AP23" s="89" t="str">
        <f>Registro!AK23</f>
        <v>b) Buena</v>
      </c>
      <c r="AQ23" s="89" t="str">
        <f>Registro!AL23</f>
        <v>b) Buena</v>
      </c>
      <c r="AR23" s="89" t="str">
        <f>Registro!AM23</f>
        <v>a) Muy buena</v>
      </c>
      <c r="AS23" s="89" t="str">
        <f>Registro!AN23</f>
        <v>b) Buena</v>
      </c>
      <c r="AT23" s="89" t="str">
        <f>Registro!AO23</f>
        <v>a) Muy buena</v>
      </c>
      <c r="AU23" s="89" t="str">
        <f>Registro!AP23</f>
        <v>b) Buena</v>
      </c>
      <c r="AV23" s="89" t="str">
        <f>Registro!AQ23</f>
        <v>a) Muy buena</v>
      </c>
      <c r="AW23" s="89" t="str">
        <f>Registro!AR23</f>
        <v>b) La orientación cristiana</v>
      </c>
      <c r="AX23" s="89" t="str">
        <f>Registro!AS23</f>
        <v>a) Que sea un buen profesional</v>
      </c>
      <c r="AY23" s="89" t="str">
        <f>Registro!AT23</f>
        <v>e) Absolutamente necesaria</v>
      </c>
      <c r="AZ23" s="89" t="str">
        <f>Registro!AU23</f>
        <v>b) Las veces que bebo, es con moderación</v>
      </c>
      <c r="BA23" s="89" t="str">
        <f>Registro!AV23</f>
        <v>c) Profesionales que hacen lo que pueden</v>
      </c>
      <c r="BB23" s="89" t="str">
        <f>Registro!AW23</f>
        <v>c) Bastante</v>
      </c>
      <c r="BC23" s="89" t="str">
        <f>Registro!AX23</f>
        <v>e) Son personas que me gustan y admiro</v>
      </c>
      <c r="BD23" s="89" t="str">
        <f>Registro!AY23</f>
        <v>b) Mi madre, h) Una amiga</v>
      </c>
    </row>
    <row r="24" spans="1:56" ht="15" customHeight="1" x14ac:dyDescent="0.25">
      <c r="A24" s="101">
        <f>Registro!A24</f>
        <v>42066.314942129633</v>
      </c>
      <c r="B24" s="89" t="str">
        <f>Registro!B24</f>
        <v>c) Obra Social San José de Calasanz de Valencia</v>
      </c>
      <c r="C24" s="89" t="str">
        <f>Registro!C24</f>
        <v>d) Quinto año</v>
      </c>
      <c r="D24" s="89" t="str">
        <f>Registro!D24</f>
        <v>b) Primaria</v>
      </c>
      <c r="E24" s="89" t="str">
        <f>Registro!E24</f>
        <v>a) Masculino</v>
      </c>
      <c r="F24" s="89" t="str">
        <f>Registro!F24</f>
        <v>a) Católica</v>
      </c>
      <c r="G24" s="89" t="str">
        <f>Registro!G24</f>
        <v>a) Mamá, b) Papá, c) Hermanos</v>
      </c>
      <c r="H24" s="89" t="str">
        <f>Registro!H24</f>
        <v>b) Casa Urbana</v>
      </c>
      <c r="I24" s="89" t="str">
        <f>Registro!I24</f>
        <v>c) Algo</v>
      </c>
      <c r="J24" s="89" t="str">
        <f>Registro!J24</f>
        <v>b) Lavadora, f) MP3, h) Carro</v>
      </c>
      <c r="K24" s="89" t="str">
        <f>Registro!K24</f>
        <v>d) Tres</v>
      </c>
      <c r="L24" s="89"/>
      <c r="M24" s="94">
        <f t="shared" si="3"/>
        <v>0</v>
      </c>
      <c r="N24" s="89" t="str">
        <f>Registro!M24</f>
        <v>e) La situación económica</v>
      </c>
      <c r="O24" s="89" t="str">
        <f>Registro!N24</f>
        <v>c) Poco</v>
      </c>
      <c r="P24" s="89" t="str">
        <f>Registro!O24</f>
        <v>b) Suficiente</v>
      </c>
      <c r="Q24" s="89" t="str">
        <f>Registro!P24</f>
        <v>c) Poco</v>
      </c>
      <c r="R24" s="89" t="str">
        <f>Registro!Q24</f>
        <v>a) La familia, c) Los estudios, g) La felicidad</v>
      </c>
      <c r="S24" s="94">
        <f t="shared" si="0"/>
        <v>3</v>
      </c>
      <c r="T24" s="89" t="str">
        <f>Registro!R24</f>
        <v>b) Suficiente</v>
      </c>
      <c r="U24" s="89" t="str">
        <f>Registro!S24</f>
        <v>a) La Iglesia, d) Las convivencias, k) La oración</v>
      </c>
      <c r="V24" s="89" t="str">
        <f>Registro!T24</f>
        <v>c) Rezo solo en situación de dificultad</v>
      </c>
      <c r="W24" s="89" t="str">
        <f>Registro!U24</f>
        <v>c) Solo en fechas especiales</v>
      </c>
      <c r="X24" s="89" t="str">
        <f>Registro!V24</f>
        <v>h) En Semana Santa asisto a las procesiones</v>
      </c>
      <c r="Y24" s="89" t="str">
        <f>Registro!W24</f>
        <v>d) No pertenezco a ninguno</v>
      </c>
      <c r="Z24" s="89" t="str">
        <f>Registro!X24</f>
        <v>c) Un lugar donde me lo paso bien</v>
      </c>
      <c r="AA24" s="89" t="str">
        <f>Registro!Y24</f>
        <v>b) No</v>
      </c>
      <c r="AB24" s="89" t="str">
        <f>Registro!Z24</f>
        <v>b) No</v>
      </c>
      <c r="AC24" s="89" t="str">
        <f>Registro!AA24</f>
        <v>f) Ciencias policiales o artes militares</v>
      </c>
      <c r="AD24" s="94">
        <f t="shared" si="4"/>
        <v>1</v>
      </c>
      <c r="AE24" s="89" t="str">
        <f>Registro!AB24</f>
        <v>e) Servir a los demás</v>
      </c>
      <c r="AF24" s="89" t="str">
        <f>Registro!AC24</f>
        <v>c) Bastante</v>
      </c>
      <c r="AG24" s="89" t="str">
        <f>Registro!AD24</f>
        <v>a) Los deportes y diversiones, b) El ambiente de estudio y de trabajo</v>
      </c>
      <c r="AH24" s="94">
        <f t="shared" si="1"/>
        <v>2</v>
      </c>
      <c r="AI24" s="89" t="str">
        <f>Registro!AE24</f>
        <v>e) 9 a 10 horas</v>
      </c>
      <c r="AJ24" s="89" t="str">
        <f>Registro!AF24</f>
        <v>b) Navego en Internet, l) Escucho música y/o veo videos musicales, m) Veo televisión y/o películas</v>
      </c>
      <c r="AK24" s="94">
        <f t="shared" si="2"/>
        <v>3</v>
      </c>
      <c r="AL24" s="89" t="str">
        <f>Registro!AG24</f>
        <v>c) Regular</v>
      </c>
      <c r="AM24" s="89" t="str">
        <f>Registro!AH24</f>
        <v>b) Buena</v>
      </c>
      <c r="AN24" s="89" t="str">
        <f>Registro!AI24</f>
        <v>b) Buena</v>
      </c>
      <c r="AO24" s="89" t="str">
        <f>Registro!AJ24</f>
        <v>c) Regular</v>
      </c>
      <c r="AP24" s="89" t="str">
        <f>Registro!AK24</f>
        <v>c) Regular</v>
      </c>
      <c r="AQ24" s="89" t="str">
        <f>Registro!AL24</f>
        <v>b) Buena</v>
      </c>
      <c r="AR24" s="89" t="str">
        <f>Registro!AM24</f>
        <v>b) Buena</v>
      </c>
      <c r="AS24" s="89" t="str">
        <f>Registro!AN24</f>
        <v>b) Buena</v>
      </c>
      <c r="AT24" s="89" t="str">
        <f>Registro!AO24</f>
        <v>b) Buena</v>
      </c>
      <c r="AU24" s="89" t="str">
        <f>Registro!AP24</f>
        <v>b) Buena</v>
      </c>
      <c r="AV24" s="89" t="str">
        <f>Registro!AQ24</f>
        <v>c) Regular</v>
      </c>
      <c r="AW24" s="89" t="str">
        <f>Registro!AR24</f>
        <v>e) La disciplina y el orden</v>
      </c>
      <c r="AX24" s="89" t="str">
        <f>Registro!AS24</f>
        <v>h) No sé</v>
      </c>
      <c r="AY24" s="89" t="str">
        <f>Registro!AT24</f>
        <v>e) Absolutamente necesaria</v>
      </c>
      <c r="AZ24" s="89" t="str">
        <f>Registro!AU24</f>
        <v>b) Las veces que bebo, es con moderación</v>
      </c>
      <c r="BA24" s="89" t="str">
        <f>Registro!AV24</f>
        <v>e) Educadores que se preocupan de nosotros</v>
      </c>
      <c r="BB24" s="89" t="str">
        <f>Registro!AW24</f>
        <v>b) Poco</v>
      </c>
      <c r="BC24" s="89" t="str">
        <f>Registro!AX24</f>
        <v>c) Son personas normales y corrientes</v>
      </c>
      <c r="BD24" s="89" t="str">
        <f>Registro!AY24</f>
        <v>a) Mi padre</v>
      </c>
    </row>
    <row r="25" spans="1:56" ht="15" customHeight="1" x14ac:dyDescent="0.25">
      <c r="A25" s="101">
        <f>Registro!A25</f>
        <v>42066.462164351855</v>
      </c>
      <c r="B25" s="89" t="str">
        <f>Registro!B25</f>
        <v>c) Obra Social San José de Calasanz de Valencia</v>
      </c>
      <c r="C25" s="89" t="str">
        <f>Registro!C25</f>
        <v>d) Quinto año</v>
      </c>
      <c r="D25" s="89" t="str">
        <f>Registro!D25</f>
        <v>d) En Cuarto año o posterior</v>
      </c>
      <c r="E25" s="89" t="str">
        <f>Registro!E25</f>
        <v>a) Masculino</v>
      </c>
      <c r="F25" s="89" t="str">
        <f>Registro!F25</f>
        <v>d) Otra</v>
      </c>
      <c r="G25" s="89" t="str">
        <f>Registro!G25</f>
        <v>a) Mamá, b) Papá, c) Hermanos</v>
      </c>
      <c r="H25" s="89" t="str">
        <f>Registro!H25</f>
        <v>e) Rancho</v>
      </c>
      <c r="I25" s="89" t="str">
        <f>Registro!I25</f>
        <v>a) Sí</v>
      </c>
      <c r="J25" s="89" t="str">
        <f>Registro!J25</f>
        <v>b) Lavadora, d) TV pantalla plana, j) Cámara digital</v>
      </c>
      <c r="K25" s="89" t="str">
        <f>Registro!K25</f>
        <v>b) Una</v>
      </c>
      <c r="L25" s="89" t="str">
        <f>Registro!L25</f>
        <v>a) La familia, j) El deporte, k) El internet</v>
      </c>
      <c r="M25" s="94">
        <f t="shared" si="3"/>
        <v>3</v>
      </c>
      <c r="N25" s="89" t="str">
        <f>Registro!M25</f>
        <v>d) Los problemas familiares</v>
      </c>
      <c r="O25" s="89" t="str">
        <f>Registro!N25</f>
        <v>b) Suficiente</v>
      </c>
      <c r="P25" s="89" t="str">
        <f>Registro!O25</f>
        <v>c) Poco</v>
      </c>
      <c r="Q25" s="89" t="str">
        <f>Registro!P25</f>
        <v>d) Nada</v>
      </c>
      <c r="R25" s="89" t="str">
        <f>Registro!Q25</f>
        <v>a) La familia, c) Los estudios, e) Disponer de dinero</v>
      </c>
      <c r="S25" s="94">
        <f t="shared" si="0"/>
        <v>3</v>
      </c>
      <c r="T25" s="89" t="str">
        <f>Registro!R25</f>
        <v>d) Nada</v>
      </c>
      <c r="U25" s="89" t="str">
        <f>Registro!S25</f>
        <v>e) Los amigos</v>
      </c>
      <c r="V25" s="89" t="str">
        <f>Registro!T25</f>
        <v>d) No rezo nunca</v>
      </c>
      <c r="W25" s="89" t="str">
        <f>Registro!U25</f>
        <v>d) Nunca</v>
      </c>
      <c r="X25" s="89" t="str">
        <f>Registro!V25</f>
        <v>f) En alguna ocasión he rezado el rosario</v>
      </c>
      <c r="Y25" s="89" t="str">
        <f>Registro!W25</f>
        <v>a) Deportivo</v>
      </c>
      <c r="Z25" s="89" t="str">
        <f>Registro!X25</f>
        <v>d) No pertenezco a grupos juveniles cristianos</v>
      </c>
      <c r="AA25" s="89" t="str">
        <f>Registro!Y25</f>
        <v>b) No</v>
      </c>
      <c r="AB25" s="89" t="str">
        <f>Registro!Z25</f>
        <v>b) No</v>
      </c>
      <c r="AC25" s="89"/>
      <c r="AD25" s="94">
        <f t="shared" si="4"/>
        <v>0</v>
      </c>
      <c r="AE25" s="89" t="str">
        <f>Registro!AB25</f>
        <v>a) Ganar mucho dinero</v>
      </c>
      <c r="AF25" s="89" t="str">
        <f>Registro!AC25</f>
        <v>a) No, en absoluto</v>
      </c>
      <c r="AG25" s="89" t="str">
        <f>Registro!AD25</f>
        <v>i) No me gusta nada</v>
      </c>
      <c r="AH25" s="94">
        <f t="shared" si="1"/>
        <v>1</v>
      </c>
      <c r="AI25" s="89" t="str">
        <f>Registro!AE25</f>
        <v>b) 3 a 4 horas</v>
      </c>
      <c r="AJ25" s="89" t="str">
        <f>Registro!AF25</f>
        <v>d) Estoy la mayor parte del tiempo en la casa sin hacer nada, k) Practico algún deporte, m) Veo televisión y/o películas</v>
      </c>
      <c r="AK25" s="94">
        <f t="shared" si="2"/>
        <v>3</v>
      </c>
      <c r="AL25" s="89" t="str">
        <f>Registro!AG25</f>
        <v>b) Bueno</v>
      </c>
      <c r="AM25" s="89" t="str">
        <f>Registro!AH25</f>
        <v>f) No aplica</v>
      </c>
      <c r="AN25" s="89" t="str">
        <f>Registro!AI25</f>
        <v>f) No aplica</v>
      </c>
      <c r="AO25" s="89" t="str">
        <f>Registro!AJ25</f>
        <v>f) No aplica</v>
      </c>
      <c r="AP25" s="89" t="str">
        <f>Registro!AK25</f>
        <v>f) No aplica</v>
      </c>
      <c r="AQ25" s="89" t="str">
        <f>Registro!AL25</f>
        <v>b) Buena</v>
      </c>
      <c r="AR25" s="89" t="str">
        <f>Registro!AM25</f>
        <v>d) Mala</v>
      </c>
      <c r="AS25" s="89" t="str">
        <f>Registro!AN25</f>
        <v>f) No aplica</v>
      </c>
      <c r="AT25" s="89" t="str">
        <f>Registro!AO25</f>
        <v>f) No aplica</v>
      </c>
      <c r="AU25" s="89" t="str">
        <f>Registro!AP25</f>
        <v>f) No aplica</v>
      </c>
      <c r="AV25" s="89" t="str">
        <f>Registro!AQ25</f>
        <v>c) Regular</v>
      </c>
      <c r="AW25" s="89" t="str">
        <f>Registro!AR25</f>
        <v>b) La orientación cristiana</v>
      </c>
      <c r="AX25" s="89" t="str">
        <f>Registro!AS25</f>
        <v>a) Que sea un buen profesional</v>
      </c>
      <c r="AY25" s="89" t="str">
        <f>Registro!AT25</f>
        <v>a) Innecesaria</v>
      </c>
      <c r="AZ25" s="89" t="str">
        <f>Registro!AU25</f>
        <v>a) No acostumbro a tomarlo nunca</v>
      </c>
      <c r="BA25" s="89" t="str">
        <f>Registro!AV25</f>
        <v>e) Educadores que se preocupan de nosotros</v>
      </c>
      <c r="BB25" s="89" t="str">
        <f>Registro!AW25</f>
        <v>c) Bastante</v>
      </c>
      <c r="BC25" s="89" t="str">
        <f>Registro!AX25</f>
        <v>a) No me gustan en absoluto</v>
      </c>
      <c r="BD25" s="89" t="str">
        <f>Registro!AY25</f>
        <v>a) Mi padre, b) Mi madre, g) Un amigo, h) Una amiga</v>
      </c>
    </row>
    <row r="26" spans="1:56" ht="15" customHeight="1" x14ac:dyDescent="0.25">
      <c r="A26" s="101">
        <f>Registro!A26</f>
        <v>42066.463819444441</v>
      </c>
      <c r="B26" s="89" t="str">
        <f>Registro!B26</f>
        <v>c) Obra Social San José de Calasanz de Valencia</v>
      </c>
      <c r="C26" s="89" t="str">
        <f>Registro!C26</f>
        <v>d) Quinto año</v>
      </c>
      <c r="D26" s="89" t="str">
        <f>Registro!D26</f>
        <v>b) Primaria</v>
      </c>
      <c r="E26" s="89" t="str">
        <f>Registro!E26</f>
        <v>a) Masculino</v>
      </c>
      <c r="F26" s="89" t="str">
        <f>Registro!F26</f>
        <v>b) Evangélica</v>
      </c>
      <c r="G26" s="89" t="str">
        <f>Registro!G26</f>
        <v>a) Mamá, b) Papá, c) Hermanos</v>
      </c>
      <c r="H26" s="89" t="str">
        <f>Registro!H26</f>
        <v>d) Casa Rural</v>
      </c>
      <c r="I26" s="89" t="str">
        <f>Registro!I26</f>
        <v>a) Sí</v>
      </c>
      <c r="J26" s="89" t="str">
        <f>Registro!J26</f>
        <v>b) Lavadora, c) Microondas, d) TV pantalla plana, h) Carro, i) Computadora, j) Cámara digital, k) Aire acondicionado</v>
      </c>
      <c r="K26" s="89" t="str">
        <f>Registro!K26</f>
        <v>b) Una</v>
      </c>
      <c r="L26" s="89" t="str">
        <f>Registro!L26</f>
        <v>a) La familia, c) Los estudios, d) El cuidado de mi cuerpo</v>
      </c>
      <c r="M26" s="94">
        <f t="shared" si="3"/>
        <v>3</v>
      </c>
      <c r="N26" s="89" t="str">
        <f>Registro!M26</f>
        <v>b) El futuro</v>
      </c>
      <c r="O26" s="89" t="str">
        <f>Registro!N26</f>
        <v>b) Suficiente</v>
      </c>
      <c r="P26" s="89" t="str">
        <f>Registro!O26</f>
        <v>b) Suficiente</v>
      </c>
      <c r="Q26" s="89" t="str">
        <f>Registro!P26</f>
        <v>b) Suficiente</v>
      </c>
      <c r="R26" s="89" t="str">
        <f>Registro!Q26</f>
        <v>a) La familia, c) Los estudios, f) Mi fe y mi vida cristiana</v>
      </c>
      <c r="S26" s="94">
        <f t="shared" si="0"/>
        <v>3</v>
      </c>
      <c r="T26" s="89" t="str">
        <f>Registro!R26</f>
        <v>b) Suficiente</v>
      </c>
      <c r="U26" s="89" t="str">
        <f>Registro!S26</f>
        <v>a) La Iglesia, g) Mi familia</v>
      </c>
      <c r="V26" s="89" t="str">
        <f>Registro!T26</f>
        <v>d) No rezo nunca</v>
      </c>
      <c r="W26" s="89" t="str">
        <f>Registro!U26</f>
        <v>d) Nunca</v>
      </c>
      <c r="X26" s="89">
        <f>Registro!V26</f>
        <v>0</v>
      </c>
      <c r="Y26" s="89" t="str">
        <f>Registro!W26</f>
        <v>d) No pertenezco a ninguno</v>
      </c>
      <c r="Z26" s="89" t="str">
        <f>Registro!X26</f>
        <v>c) Un lugar donde me lo paso bien</v>
      </c>
      <c r="AA26" s="89" t="str">
        <f>Registro!Y26</f>
        <v>b) No</v>
      </c>
      <c r="AB26" s="89" t="str">
        <f>Registro!Z26</f>
        <v>b) No</v>
      </c>
      <c r="AC26" s="89" t="str">
        <f>Registro!AA26</f>
        <v>d) Ingeniería</v>
      </c>
      <c r="AD26" s="94">
        <f t="shared" si="4"/>
        <v>1</v>
      </c>
      <c r="AE26" s="89" t="str">
        <f>Registro!AB26</f>
        <v>c) Ser un excelente profesional</v>
      </c>
      <c r="AF26" s="89" t="str">
        <f>Registro!AC26</f>
        <v>a) No, en absoluto</v>
      </c>
      <c r="AG26" s="89"/>
      <c r="AH26" s="94">
        <f t="shared" si="1"/>
        <v>0</v>
      </c>
      <c r="AI26" s="89" t="str">
        <f>Registro!AE26</f>
        <v>a) 0 a 2 horas</v>
      </c>
      <c r="AJ26" s="89"/>
      <c r="AK26" s="94">
        <f t="shared" si="2"/>
        <v>0</v>
      </c>
      <c r="AL26" s="89" t="str">
        <f>Registro!AG26</f>
        <v>c) Regular</v>
      </c>
      <c r="AM26" s="89" t="str">
        <f>Registro!AH26</f>
        <v>c) Regular</v>
      </c>
      <c r="AN26" s="89" t="str">
        <f>Registro!AI26</f>
        <v>b) Buena</v>
      </c>
      <c r="AO26" s="89" t="str">
        <f>Registro!AJ26</f>
        <v>e) Muy mala</v>
      </c>
      <c r="AP26" s="89" t="str">
        <f>Registro!AK26</f>
        <v>e) Muy mala</v>
      </c>
      <c r="AQ26" s="89" t="str">
        <f>Registro!AL26</f>
        <v>c) Regular</v>
      </c>
      <c r="AR26" s="89" t="str">
        <f>Registro!AM26</f>
        <v>c) Regular</v>
      </c>
      <c r="AS26" s="89" t="str">
        <f>Registro!AN26</f>
        <v>c) Regular</v>
      </c>
      <c r="AT26" s="89" t="str">
        <f>Registro!AO26</f>
        <v>b) Buena</v>
      </c>
      <c r="AU26" s="89" t="str">
        <f>Registro!AP26</f>
        <v>e) Muy mala</v>
      </c>
      <c r="AV26" s="89" t="str">
        <f>Registro!AQ26</f>
        <v>b) Buena</v>
      </c>
      <c r="AW26" s="89" t="str">
        <f>Registro!AR26</f>
        <v>e) La disciplina y el orden</v>
      </c>
      <c r="AX26" s="89" t="str">
        <f>Registro!AS26</f>
        <v>a) Que sea un buen profesional</v>
      </c>
      <c r="AY26" s="89" t="str">
        <f>Registro!AT26</f>
        <v>d) Bastante necesaria</v>
      </c>
      <c r="AZ26" s="89" t="str">
        <f>Registro!AU26</f>
        <v>a) No acostumbro a tomarlo nunca</v>
      </c>
      <c r="BA26" s="89" t="str">
        <f>Registro!AV26</f>
        <v>d) Buenos profesionales de la educación</v>
      </c>
      <c r="BB26" s="89" t="str">
        <f>Registro!AW26</f>
        <v>b) Poco</v>
      </c>
      <c r="BC26" s="89" t="str">
        <f>Registro!AX26</f>
        <v>a) No me gustan en absoluto</v>
      </c>
      <c r="BD26" s="89" t="str">
        <f>Registro!AY26</f>
        <v>a) Mi padre, b) Mi madre, c) Un hermano/a</v>
      </c>
    </row>
    <row r="27" spans="1:56" ht="15" customHeight="1" x14ac:dyDescent="0.25">
      <c r="A27" s="101">
        <f>Registro!A27</f>
        <v>42066.464409722219</v>
      </c>
      <c r="B27" s="89" t="str">
        <f>Registro!B27</f>
        <v>c) Obra Social San José de Calasanz de Valencia</v>
      </c>
      <c r="C27" s="89" t="str">
        <f>Registro!C27</f>
        <v>d) Quinto año</v>
      </c>
      <c r="D27" s="89" t="str">
        <f>Registro!D27</f>
        <v>a) Educación Inicial</v>
      </c>
      <c r="E27" s="89" t="str">
        <f>Registro!E27</f>
        <v>b) Femenino</v>
      </c>
      <c r="F27" s="89" t="str">
        <f>Registro!F27</f>
        <v>a) Católica</v>
      </c>
      <c r="G27" s="89" t="str">
        <f>Registro!G27</f>
        <v>a) Mamá, c) Hermanos</v>
      </c>
      <c r="H27" s="89" t="str">
        <f>Registro!H27</f>
        <v>b) Casa Urbana</v>
      </c>
      <c r="I27" s="89" t="str">
        <f>Registro!I27</f>
        <v>c) Algo</v>
      </c>
      <c r="J27" s="89" t="str">
        <f>Registro!J27</f>
        <v>b) Lavadora</v>
      </c>
      <c r="K27" s="89" t="str">
        <f>Registro!K27</f>
        <v>c) Dos</v>
      </c>
      <c r="L27" s="89"/>
      <c r="M27" s="94">
        <f t="shared" si="3"/>
        <v>0</v>
      </c>
      <c r="N27" s="89" t="str">
        <f>Registro!M27</f>
        <v>g) Mis estudios</v>
      </c>
      <c r="O27" s="89" t="str">
        <f>Registro!N27</f>
        <v>c) Poco</v>
      </c>
      <c r="P27" s="89" t="str">
        <f>Registro!O27</f>
        <v>a) Mucho</v>
      </c>
      <c r="Q27" s="89" t="str">
        <f>Registro!P27</f>
        <v>c) Poco</v>
      </c>
      <c r="R27" s="89"/>
      <c r="S27" s="94">
        <f t="shared" si="0"/>
        <v>0</v>
      </c>
      <c r="T27" s="89" t="str">
        <f>Registro!R27</f>
        <v>b) Suficiente</v>
      </c>
      <c r="U27" s="89" t="str">
        <f>Registro!S27</f>
        <v>d) Las convivencias, g) Mi familia, h) Algunas personas cercanas a Dios, k) La oración</v>
      </c>
      <c r="V27" s="89" t="str">
        <f>Registro!T27</f>
        <v>c) Rezo solo en situación de dificultad</v>
      </c>
      <c r="W27" s="89" t="str">
        <f>Registro!U27</f>
        <v>c) Solo en fechas especiales</v>
      </c>
      <c r="X27" s="89" t="str">
        <f>Registro!V27</f>
        <v>c) Suelo ir los domingos y otras fechas especiales a la Iglesia, e) Voy a misa en las fechas de mis familiares difuntos, f) En alguna ocasión he rezado el rosario, i) Tengo en mi cuarto alguna imagen religiosa</v>
      </c>
      <c r="Y27" s="89" t="str">
        <f>Registro!W27</f>
        <v>a) Deportivo</v>
      </c>
      <c r="Z27" s="89" t="str">
        <f>Registro!X27</f>
        <v>a) Un grupo donde profundizo mi fe</v>
      </c>
      <c r="AA27" s="89" t="str">
        <f>Registro!Y27</f>
        <v>b) No</v>
      </c>
      <c r="AB27" s="89" t="str">
        <f>Registro!Z27</f>
        <v>b) No</v>
      </c>
      <c r="AC27" s="89"/>
      <c r="AD27" s="94">
        <f t="shared" si="4"/>
        <v>0</v>
      </c>
      <c r="AE27" s="89" t="str">
        <f>Registro!AB27</f>
        <v>d) Desarrollarme personalmente</v>
      </c>
      <c r="AF27" s="89" t="str">
        <f>Registro!AC27</f>
        <v>c) Bastante</v>
      </c>
      <c r="AG27" s="89"/>
      <c r="AH27" s="94">
        <f t="shared" si="1"/>
        <v>0</v>
      </c>
      <c r="AI27" s="89" t="str">
        <f>Registro!AE27</f>
        <v>a) 0 a 2 horas</v>
      </c>
      <c r="AJ27" s="89"/>
      <c r="AK27" s="94">
        <f t="shared" si="2"/>
        <v>0</v>
      </c>
      <c r="AL27" s="89" t="str">
        <f>Registro!AG27</f>
        <v>b) Bueno</v>
      </c>
      <c r="AM27" s="89" t="str">
        <f>Registro!AH27</f>
        <v>f) No aplica</v>
      </c>
      <c r="AN27" s="89" t="str">
        <f>Registro!AI27</f>
        <v>f) No aplica</v>
      </c>
      <c r="AO27" s="89" t="str">
        <f>Registro!AJ27</f>
        <v>b) Buena</v>
      </c>
      <c r="AP27" s="89" t="str">
        <f>Registro!AK27</f>
        <v>a) Muy buena</v>
      </c>
      <c r="AQ27" s="89" t="str">
        <f>Registro!AL27</f>
        <v>b) Buena</v>
      </c>
      <c r="AR27" s="89">
        <f>Registro!AM27</f>
        <v>0</v>
      </c>
      <c r="AS27" s="89" t="str">
        <f>Registro!AN27</f>
        <v>a) Muy buena</v>
      </c>
      <c r="AT27" s="89" t="str">
        <f>Registro!AO27</f>
        <v>a) Muy buena</v>
      </c>
      <c r="AU27" s="89" t="str">
        <f>Registro!AP27</f>
        <v>b) Buena</v>
      </c>
      <c r="AV27" s="89" t="str">
        <f>Registro!AQ27</f>
        <v>a) Muy buena</v>
      </c>
      <c r="AW27" s="89" t="str">
        <f>Registro!AR27</f>
        <v>e) La disciplina y el orden</v>
      </c>
      <c r="AX27" s="89" t="str">
        <f>Registro!AS27</f>
        <v>b) Darme una buena educación</v>
      </c>
      <c r="AY27" s="89" t="str">
        <f>Registro!AT27</f>
        <v>e) Absolutamente necesaria</v>
      </c>
      <c r="AZ27" s="89" t="str">
        <f>Registro!AU27</f>
        <v>c) Alguna vez he bebido más de la cuenta</v>
      </c>
      <c r="BA27" s="89" t="str">
        <f>Registro!AV27</f>
        <v>f) Educadores que, además, me han abierto caminos</v>
      </c>
      <c r="BB27" s="89" t="str">
        <f>Registro!AW27</f>
        <v>c) Bastante</v>
      </c>
      <c r="BC27" s="89" t="str">
        <f>Registro!AX27</f>
        <v>d) Hay de todo tipo, pero predomina lo positivo</v>
      </c>
      <c r="BD27" s="89" t="str">
        <f>Registro!AY27</f>
        <v>b) Mi madre, e) Un, una docente</v>
      </c>
    </row>
    <row r="28" spans="1:56" ht="15" customHeight="1" x14ac:dyDescent="0.25">
      <c r="A28" s="101">
        <f>Registro!A28</f>
        <v>42066.465150462966</v>
      </c>
      <c r="B28" s="89" t="str">
        <f>Registro!B28</f>
        <v>c) Obra Social San José de Calasanz de Valencia</v>
      </c>
      <c r="C28" s="89" t="str">
        <f>Registro!C28</f>
        <v>d) Quinto año</v>
      </c>
      <c r="D28" s="89" t="str">
        <f>Registro!D28</f>
        <v>a) Educación Inicial</v>
      </c>
      <c r="E28" s="89" t="str">
        <f>Registro!E28</f>
        <v>a) Masculino</v>
      </c>
      <c r="F28" s="89" t="str">
        <f>Registro!F28</f>
        <v>a) Católica</v>
      </c>
      <c r="G28" s="89" t="str">
        <f>Registro!G28</f>
        <v>a) Mamá, b) Papá, c) Hermanos, d) Abuelos</v>
      </c>
      <c r="H28" s="89" t="str">
        <f>Registro!H28</f>
        <v>b) Casa Urbana</v>
      </c>
      <c r="I28" s="89" t="str">
        <f>Registro!I28</f>
        <v>d) No sé</v>
      </c>
      <c r="J28" s="89" t="str">
        <f>Registro!J28</f>
        <v>b) Lavadora, d) TV pantalla plana, i) Computadora, j) Cámara digital, k) Aire acondicionado</v>
      </c>
      <c r="K28" s="89" t="str">
        <f>Registro!K28</f>
        <v>c) Dos</v>
      </c>
      <c r="L28" s="89"/>
      <c r="M28" s="94">
        <f t="shared" si="3"/>
        <v>0</v>
      </c>
      <c r="N28" s="89" t="str">
        <f>Registro!M28</f>
        <v>f) La situación política del país</v>
      </c>
      <c r="O28" s="89" t="str">
        <f>Registro!N28</f>
        <v>c) Poco</v>
      </c>
      <c r="P28" s="89" t="str">
        <f>Registro!O28</f>
        <v>c) Poco</v>
      </c>
      <c r="Q28" s="89" t="str">
        <f>Registro!P28</f>
        <v>b) Suficiente</v>
      </c>
      <c r="R28" s="89"/>
      <c r="S28" s="94">
        <f t="shared" si="0"/>
        <v>0</v>
      </c>
      <c r="T28" s="89">
        <f>Registro!R28</f>
        <v>0</v>
      </c>
      <c r="U28" s="89" t="str">
        <f>Registro!S28</f>
        <v>k) La oración</v>
      </c>
      <c r="V28" s="89" t="str">
        <f>Registro!T28</f>
        <v>d) No rezo nunca</v>
      </c>
      <c r="W28" s="89" t="str">
        <f>Registro!U28</f>
        <v>d) Nunca</v>
      </c>
      <c r="X28" s="89" t="str">
        <f>Registro!V28</f>
        <v>i) Tengo en mi cuarto alguna imagen religiosa</v>
      </c>
      <c r="Y28" s="89" t="str">
        <f>Registro!W28</f>
        <v>a) Deportivo</v>
      </c>
      <c r="Z28" s="89" t="str">
        <f>Registro!X28</f>
        <v>d) No pertenezco a grupos juveniles cristianos</v>
      </c>
      <c r="AA28" s="89" t="str">
        <f>Registro!Y28</f>
        <v>b) No</v>
      </c>
      <c r="AB28" s="89" t="str">
        <f>Registro!Z28</f>
        <v>b) No</v>
      </c>
      <c r="AC28" s="89" t="str">
        <f>Registro!AA28</f>
        <v>a) Medicina, g) Artista</v>
      </c>
      <c r="AD28" s="94">
        <f t="shared" si="4"/>
        <v>2</v>
      </c>
      <c r="AE28" s="89">
        <f>Registro!AB28</f>
        <v>0</v>
      </c>
      <c r="AF28" s="89" t="str">
        <f>Registro!AC28</f>
        <v>c) Bastante</v>
      </c>
      <c r="AG28" s="89" t="str">
        <f>Registro!AD28</f>
        <v>a) Los deportes y diversiones, f) La igualdad de trato que se da a todos</v>
      </c>
      <c r="AH28" s="94">
        <f t="shared" si="1"/>
        <v>2</v>
      </c>
      <c r="AI28" s="89" t="str">
        <f>Registro!AE28</f>
        <v>a) 0 a 2 horas</v>
      </c>
      <c r="AJ28" s="89"/>
      <c r="AK28" s="94">
        <f t="shared" si="2"/>
        <v>0</v>
      </c>
      <c r="AL28" s="89" t="str">
        <f>Registro!AG28</f>
        <v>c) Regular</v>
      </c>
      <c r="AM28" s="89" t="str">
        <f>Registro!AH28</f>
        <v>d) Mala</v>
      </c>
      <c r="AN28" s="89" t="str">
        <f>Registro!AI28</f>
        <v>b) Buena</v>
      </c>
      <c r="AO28" s="89" t="str">
        <f>Registro!AJ28</f>
        <v>b) Buena</v>
      </c>
      <c r="AP28" s="89" t="str">
        <f>Registro!AK28</f>
        <v>c) Regular</v>
      </c>
      <c r="AQ28" s="89" t="str">
        <f>Registro!AL28</f>
        <v>b) Buena</v>
      </c>
      <c r="AR28" s="89" t="str">
        <f>Registro!AM28</f>
        <v>b) Buena</v>
      </c>
      <c r="AS28" s="89" t="str">
        <f>Registro!AN28</f>
        <v>c) Regular</v>
      </c>
      <c r="AT28" s="89" t="str">
        <f>Registro!AO28</f>
        <v>c) Regular</v>
      </c>
      <c r="AU28" s="89" t="str">
        <f>Registro!AP28</f>
        <v>b) Buena</v>
      </c>
      <c r="AV28" s="89" t="str">
        <f>Registro!AQ28</f>
        <v>b) Buena</v>
      </c>
      <c r="AW28" s="89" t="str">
        <f>Registro!AR28</f>
        <v>e) La disciplina y el orden</v>
      </c>
      <c r="AX28" s="89" t="str">
        <f>Registro!AS28</f>
        <v>a) Que sea un buen profesional</v>
      </c>
      <c r="AY28" s="89" t="str">
        <f>Registro!AT28</f>
        <v>d) Bastante necesaria</v>
      </c>
      <c r="AZ28" s="89" t="str">
        <f>Registro!AU28</f>
        <v>b) Las veces que bebo, es con moderación</v>
      </c>
      <c r="BA28" s="89" t="str">
        <f>Registro!AV28</f>
        <v>c) Profesionales que hacen lo que pueden</v>
      </c>
      <c r="BB28" s="89" t="str">
        <f>Registro!AW28</f>
        <v>b) Poco</v>
      </c>
      <c r="BC28" s="89" t="str">
        <f>Registro!AX28</f>
        <v>c) Son personas normales y corrientes</v>
      </c>
      <c r="BD28" s="89" t="str">
        <f>Registro!AY28</f>
        <v>c) Un hermano/a, h) Una amiga</v>
      </c>
    </row>
    <row r="29" spans="1:56" ht="15" customHeight="1" x14ac:dyDescent="0.25">
      <c r="A29" s="101">
        <f>Registro!A29</f>
        <v>42066.465196759258</v>
      </c>
      <c r="B29" s="89" t="str">
        <f>Registro!B29</f>
        <v>c) Obra Social San José de Calasanz de Valencia</v>
      </c>
      <c r="C29" s="89" t="str">
        <f>Registro!C29</f>
        <v>d) Quinto año</v>
      </c>
      <c r="D29" s="89" t="str">
        <f>Registro!D29</f>
        <v>d) En Cuarto año o posterior</v>
      </c>
      <c r="E29" s="89" t="str">
        <f>Registro!E29</f>
        <v>b) Femenino</v>
      </c>
      <c r="F29" s="89" t="str">
        <f>Registro!F29</f>
        <v>a) Católica</v>
      </c>
      <c r="G29" s="89" t="str">
        <f>Registro!G29</f>
        <v>a) Mamá, b) Papá, c) Hermanos</v>
      </c>
      <c r="H29" s="89" t="str">
        <f>Registro!H29</f>
        <v>b) Casa Urbana</v>
      </c>
      <c r="I29" s="89" t="str">
        <f>Registro!I29</f>
        <v>a) Sí</v>
      </c>
      <c r="J29" s="89" t="str">
        <f>Registro!J29</f>
        <v>b) Lavadora, d) TV pantalla plana, i) Computadora, k) Aire acondicionado</v>
      </c>
      <c r="K29" s="89" t="str">
        <f>Registro!K29</f>
        <v>c) Dos</v>
      </c>
      <c r="L29" s="89"/>
      <c r="M29" s="94">
        <f t="shared" si="3"/>
        <v>0</v>
      </c>
      <c r="N29" s="89" t="str">
        <f>Registro!M29</f>
        <v>a) Seguridad personal (la violencia y la delincuencia)</v>
      </c>
      <c r="O29" s="89" t="str">
        <f>Registro!N29</f>
        <v>c) Poco</v>
      </c>
      <c r="P29" s="89" t="str">
        <f>Registro!O29</f>
        <v>b) Suficiente</v>
      </c>
      <c r="Q29" s="89" t="str">
        <f>Registro!P29</f>
        <v>b) Suficiente</v>
      </c>
      <c r="R29" s="89"/>
      <c r="S29" s="94">
        <f t="shared" si="0"/>
        <v>0</v>
      </c>
      <c r="T29" s="89" t="str">
        <f>Registro!R29</f>
        <v>b) Suficiente</v>
      </c>
      <c r="U29" s="89" t="str">
        <f>Registro!S29</f>
        <v>b) La naturaleza, d) Las convivencias, g) Mi familia, j) Todas partes, k) La oración</v>
      </c>
      <c r="V29" s="89" t="str">
        <f>Registro!T29</f>
        <v>b) Rezo por costumbre</v>
      </c>
      <c r="W29" s="89" t="str">
        <f>Registro!U29</f>
        <v>c) Solo en fechas especiales</v>
      </c>
      <c r="X29" s="89" t="str">
        <f>Registro!V29</f>
        <v>b) Suelo bendedir los alimentos antes de comer, c) Suelo ir los domingos y otras fechas especiales a la Iglesia, f) En alguna ocasión he rezado el rosario, i) Tengo en mi cuarto alguna imagen religiosa</v>
      </c>
      <c r="Y29" s="89" t="str">
        <f>Registro!W29</f>
        <v>d) No pertenezco a ninguno</v>
      </c>
      <c r="Z29" s="89" t="str">
        <f>Registro!X29</f>
        <v>b) Un lugar donde comparto con mis compañeros</v>
      </c>
      <c r="AA29" s="89" t="str">
        <f>Registro!Y29</f>
        <v>b) No</v>
      </c>
      <c r="AB29" s="89" t="str">
        <f>Registro!Z29</f>
        <v>b) No</v>
      </c>
      <c r="AC29" s="89" t="str">
        <f>Registro!AA29</f>
        <v>a) Medicina, d) Ingeniería</v>
      </c>
      <c r="AD29" s="94">
        <f t="shared" si="4"/>
        <v>2</v>
      </c>
      <c r="AE29" s="89" t="str">
        <f>Registro!AB29</f>
        <v>d) Desarrollarme personalmente</v>
      </c>
      <c r="AF29" s="89" t="str">
        <f>Registro!AC29</f>
        <v>c) Bastante</v>
      </c>
      <c r="AG29" s="89" t="str">
        <f>Registro!AD29</f>
        <v>c) Las instalaciones del Colegio, g) La relación con los docentes</v>
      </c>
      <c r="AH29" s="94">
        <f t="shared" si="1"/>
        <v>2</v>
      </c>
      <c r="AI29" s="89" t="str">
        <f>Registro!AE29</f>
        <v>f) 11 o más horas</v>
      </c>
      <c r="AJ29" s="89" t="str">
        <f>Registro!AF29</f>
        <v>b) Navego en Internet, d) Estoy la mayor parte del tiempo en la casa sin hacer nada</v>
      </c>
      <c r="AK29" s="94">
        <f t="shared" si="2"/>
        <v>2</v>
      </c>
      <c r="AL29" s="89" t="str">
        <f>Registro!AG29</f>
        <v>c) Regular</v>
      </c>
      <c r="AM29" s="89" t="str">
        <f>Registro!AH29</f>
        <v>f) No aplica</v>
      </c>
      <c r="AN29" s="89" t="str">
        <f>Registro!AI29</f>
        <v>f) No aplica</v>
      </c>
      <c r="AO29" s="89" t="str">
        <f>Registro!AJ29</f>
        <v>c) Regular</v>
      </c>
      <c r="AP29" s="89" t="str">
        <f>Registro!AK29</f>
        <v>f) No aplica</v>
      </c>
      <c r="AQ29" s="89" t="str">
        <f>Registro!AL29</f>
        <v>a) Muy buena</v>
      </c>
      <c r="AR29" s="89" t="str">
        <f>Registro!AM29</f>
        <v>a) Muy buena</v>
      </c>
      <c r="AS29" s="89" t="str">
        <f>Registro!AN29</f>
        <v>b) Buena</v>
      </c>
      <c r="AT29" s="89" t="str">
        <f>Registro!AO29</f>
        <v>a) Muy buena</v>
      </c>
      <c r="AU29" s="89" t="str">
        <f>Registro!AP29</f>
        <v>b) Buena</v>
      </c>
      <c r="AV29" s="89" t="str">
        <f>Registro!AQ29</f>
        <v>a) Muy buena</v>
      </c>
      <c r="AW29" s="89" t="str">
        <f>Registro!AR29</f>
        <v>b) La orientación cristiana</v>
      </c>
      <c r="AX29" s="89" t="str">
        <f>Registro!AS29</f>
        <v>a) Que sea un buen profesional</v>
      </c>
      <c r="AY29" s="89" t="str">
        <f>Registro!AT29</f>
        <v>d) Bastante necesaria</v>
      </c>
      <c r="AZ29" s="89" t="str">
        <f>Registro!AU29</f>
        <v>a) No acostumbro a tomarlo nunca</v>
      </c>
      <c r="BA29" s="89" t="str">
        <f>Registro!AV29</f>
        <v>f) Educadores que, además, me han abierto caminos</v>
      </c>
      <c r="BB29" s="89" t="str">
        <f>Registro!AW29</f>
        <v>c) Bastante</v>
      </c>
      <c r="BC29" s="89" t="str">
        <f>Registro!AX29</f>
        <v>a) No me gustan en absoluto</v>
      </c>
      <c r="BD29" s="89" t="str">
        <f>Registro!AY29</f>
        <v>c) Un hermano/a, h) Una amiga</v>
      </c>
    </row>
    <row r="30" spans="1:56" ht="15" customHeight="1" x14ac:dyDescent="0.25">
      <c r="A30" s="101">
        <f>Registro!A30</f>
        <v>42066.465787037036</v>
      </c>
      <c r="B30" s="89" t="str">
        <f>Registro!B30</f>
        <v>c) Obra Social San José de Calasanz de Valencia</v>
      </c>
      <c r="C30" s="89" t="str">
        <f>Registro!C30</f>
        <v>d) Quinto año</v>
      </c>
      <c r="D30" s="89" t="str">
        <f>Registro!D30</f>
        <v>c) Entre Primero y Tercer año</v>
      </c>
      <c r="E30" s="89" t="str">
        <f>Registro!E30</f>
        <v>b) Femenino</v>
      </c>
      <c r="F30" s="89" t="str">
        <f>Registro!F30</f>
        <v>b) Evangélica</v>
      </c>
      <c r="G30" s="89" t="str">
        <f>Registro!G30</f>
        <v>e) Otros familiares</v>
      </c>
      <c r="H30" s="89" t="str">
        <f>Registro!H30</f>
        <v>b) Casa Urbana</v>
      </c>
      <c r="I30" s="89" t="str">
        <f>Registro!I30</f>
        <v>c) Algo</v>
      </c>
      <c r="J30" s="89" t="str">
        <f>Registro!J30</f>
        <v>b) Lavadora, i) Computadora</v>
      </c>
      <c r="K30" s="89" t="str">
        <f>Registro!K30</f>
        <v>d) Tres</v>
      </c>
      <c r="L30" s="89" t="str">
        <f>Registro!L30</f>
        <v>a) La familia, c) Los estudios, i) La música</v>
      </c>
      <c r="M30" s="94">
        <f t="shared" si="3"/>
        <v>3</v>
      </c>
      <c r="N30" s="89" t="str">
        <f>Registro!M30</f>
        <v>f) La situación política del país</v>
      </c>
      <c r="O30" s="89" t="str">
        <f>Registro!N30</f>
        <v>c) Poco</v>
      </c>
      <c r="P30" s="89" t="str">
        <f>Registro!O30</f>
        <v>b) Suficiente</v>
      </c>
      <c r="Q30" s="89" t="str">
        <f>Registro!P30</f>
        <v>c) Poco</v>
      </c>
      <c r="R30" s="89" t="str">
        <f>Registro!Q30</f>
        <v>c) Los estudios, d) El cuidado de mi cuerpo, f) Mi fe y mi vida cristiana</v>
      </c>
      <c r="S30" s="94">
        <f t="shared" si="0"/>
        <v>3</v>
      </c>
      <c r="T30" s="89" t="str">
        <f>Registro!R30</f>
        <v>a) Mucho</v>
      </c>
      <c r="U30" s="89" t="str">
        <f>Registro!S30</f>
        <v>a) La Iglesia, b) La naturaleza, k) La oración</v>
      </c>
      <c r="V30" s="89" t="str">
        <f>Registro!T30</f>
        <v>a) Suelo rezar por convicción o porque me gusta</v>
      </c>
      <c r="W30" s="89" t="str">
        <f>Registro!U30</f>
        <v>d) Nunca</v>
      </c>
      <c r="X30" s="89" t="str">
        <f>Registro!V30</f>
        <v>b) Suelo bendedir los alimentos antes de comer, d) Suelo orar todos los días</v>
      </c>
      <c r="Y30" s="89" t="str">
        <f>Registro!W30</f>
        <v>d) No pertenezco a ninguno</v>
      </c>
      <c r="Z30" s="89" t="str">
        <f>Registro!X30</f>
        <v>d) No pertenezco a grupos juveniles cristianos</v>
      </c>
      <c r="AA30" s="89" t="str">
        <f>Registro!Y30</f>
        <v>b) No</v>
      </c>
      <c r="AB30" s="89" t="str">
        <f>Registro!Z30</f>
        <v>b) No</v>
      </c>
      <c r="AC30" s="89" t="str">
        <f>Registro!AA30</f>
        <v>f) Ciencias policiales o artes militares</v>
      </c>
      <c r="AD30" s="94">
        <f t="shared" si="4"/>
        <v>1</v>
      </c>
      <c r="AE30" s="89" t="str">
        <f>Registro!AB30</f>
        <v>a) Ganar mucho dinero</v>
      </c>
      <c r="AF30" s="89" t="str">
        <f>Registro!AC30</f>
        <v>d) Mucho o muchísimo</v>
      </c>
      <c r="AG30" s="89" t="str">
        <f>Registro!AD30</f>
        <v>b) El ambiente de estudio y de trabajo, e) La mayor posibilidad de vivir mi fe</v>
      </c>
      <c r="AH30" s="94">
        <f t="shared" si="1"/>
        <v>2</v>
      </c>
      <c r="AI30" s="89" t="str">
        <f>Registro!AE30</f>
        <v>e) 9 a 10 horas</v>
      </c>
      <c r="AJ30" s="89" t="str">
        <f>Registro!AF30</f>
        <v>b) Navego en Internet, l) Escucho música y/o veo videos musicales, m) Veo televisión y/o películas</v>
      </c>
      <c r="AK30" s="94">
        <f t="shared" si="2"/>
        <v>3</v>
      </c>
      <c r="AL30" s="89" t="str">
        <f>Registro!AG30</f>
        <v>a) Muy bueno</v>
      </c>
      <c r="AM30" s="89" t="str">
        <f>Registro!AH30</f>
        <v>a) Muy buena</v>
      </c>
      <c r="AN30" s="89">
        <f>Registro!AI30</f>
        <v>0</v>
      </c>
      <c r="AO30" s="89" t="str">
        <f>Registro!AJ30</f>
        <v>a) Muy buena</v>
      </c>
      <c r="AP30" s="89" t="str">
        <f>Registro!AK30</f>
        <v>b) Buena</v>
      </c>
      <c r="AQ30" s="89" t="str">
        <f>Registro!AL30</f>
        <v>a) Muy buena</v>
      </c>
      <c r="AR30" s="89" t="str">
        <f>Registro!AM30</f>
        <v>c) Regular</v>
      </c>
      <c r="AS30" s="89" t="str">
        <f>Registro!AN30</f>
        <v>b) Buena</v>
      </c>
      <c r="AT30" s="89" t="str">
        <f>Registro!AO30</f>
        <v>a) Muy buena</v>
      </c>
      <c r="AU30" s="89" t="str">
        <f>Registro!AP30</f>
        <v>c) Regular</v>
      </c>
      <c r="AV30" s="89" t="str">
        <f>Registro!AQ30</f>
        <v>a) Muy buena</v>
      </c>
      <c r="AW30" s="89" t="str">
        <f>Registro!AR30</f>
        <v>c) El estudio</v>
      </c>
      <c r="AX30" s="89" t="str">
        <f>Registro!AS30</f>
        <v>b) Darme una buena educación</v>
      </c>
      <c r="AY30" s="89" t="str">
        <f>Registro!AT30</f>
        <v>d) Bastante necesaria</v>
      </c>
      <c r="AZ30" s="89" t="str">
        <f>Registro!AU30</f>
        <v>b) Las veces que bebo, es con moderación</v>
      </c>
      <c r="BA30" s="89" t="str">
        <f>Registro!AV30</f>
        <v>e) Educadores que se preocupan de nosotros</v>
      </c>
      <c r="BB30" s="89" t="str">
        <f>Registro!AW30</f>
        <v>c) Bastante</v>
      </c>
      <c r="BC30" s="89" t="str">
        <f>Registro!AX30</f>
        <v>d) Hay de todo tipo, pero predomina lo positivo</v>
      </c>
      <c r="BD30" s="89" t="str">
        <f>Registro!AY30</f>
        <v>b) Mi madre, h) Una amiga</v>
      </c>
    </row>
    <row r="31" spans="1:56" ht="15" customHeight="1" x14ac:dyDescent="0.25">
      <c r="A31" s="101">
        <f>Registro!A31</f>
        <v>42066.466226851851</v>
      </c>
      <c r="B31" s="89" t="str">
        <f>Registro!B31</f>
        <v>c) Obra Social San José de Calasanz de Valencia</v>
      </c>
      <c r="C31" s="89" t="str">
        <f>Registro!C31</f>
        <v>d) Quinto año</v>
      </c>
      <c r="D31" s="89" t="str">
        <f>Registro!D31</f>
        <v>a) Educación Inicial</v>
      </c>
      <c r="E31" s="89" t="str">
        <f>Registro!E31</f>
        <v>b) Femenino</v>
      </c>
      <c r="F31" s="89" t="str">
        <f>Registro!F31</f>
        <v>a) Católica</v>
      </c>
      <c r="G31" s="89" t="str">
        <f>Registro!G31</f>
        <v>a) Mamá, b) Papá, c) Hermanos</v>
      </c>
      <c r="H31" s="89" t="str">
        <f>Registro!H31</f>
        <v>b) Casa Urbana</v>
      </c>
      <c r="I31" s="89" t="str">
        <f>Registro!I31</f>
        <v>c) Algo</v>
      </c>
      <c r="J31" s="89" t="str">
        <f>Registro!J31</f>
        <v>b) Lavadora, d) TV pantalla plana, h) Carro, j) Cámara digital, k) Aire acondicionado</v>
      </c>
      <c r="K31" s="89" t="str">
        <f>Registro!K31</f>
        <v>c) Dos</v>
      </c>
      <c r="L31" s="89" t="str">
        <f>Registro!L31</f>
        <v>a) La familia, b) Los amigos, c) Los estudios</v>
      </c>
      <c r="M31" s="94">
        <f t="shared" si="3"/>
        <v>3</v>
      </c>
      <c r="N31" s="89" t="str">
        <f>Registro!M31</f>
        <v>b) El futuro</v>
      </c>
      <c r="O31" s="89" t="str">
        <f>Registro!N31</f>
        <v>b) Suficiente</v>
      </c>
      <c r="P31" s="89" t="str">
        <f>Registro!O31</f>
        <v>b) Suficiente</v>
      </c>
      <c r="Q31" s="89" t="str">
        <f>Registro!P31</f>
        <v>d) Nada</v>
      </c>
      <c r="R31" s="89" t="str">
        <f>Registro!Q31</f>
        <v>b) Los amigos, c) Los estudios, g) La felicidad</v>
      </c>
      <c r="S31" s="94">
        <f t="shared" si="0"/>
        <v>3</v>
      </c>
      <c r="T31" s="89" t="str">
        <f>Registro!R31</f>
        <v>a) Mucho</v>
      </c>
      <c r="U31" s="89" t="str">
        <f>Registro!S31</f>
        <v>b) La naturaleza, g) Mi familia, i) Los necesitados</v>
      </c>
      <c r="V31" s="89" t="str">
        <f>Registro!T31</f>
        <v>b) Rezo por costumbre</v>
      </c>
      <c r="W31" s="89" t="str">
        <f>Registro!U31</f>
        <v>d) Nunca</v>
      </c>
      <c r="X31" s="89" t="str">
        <f>Registro!V31</f>
        <v>f) En alguna ocasión he rezado el rosario</v>
      </c>
      <c r="Y31" s="89" t="str">
        <f>Registro!W31</f>
        <v>d) No pertenezco a ninguno</v>
      </c>
      <c r="Z31" s="89" t="str">
        <f>Registro!X31</f>
        <v>d) No pertenezco a grupos juveniles cristianos</v>
      </c>
      <c r="AA31" s="89" t="str">
        <f>Registro!Y31</f>
        <v>b) No</v>
      </c>
      <c r="AB31" s="89" t="str">
        <f>Registro!Z31</f>
        <v>b) No</v>
      </c>
      <c r="AC31" s="89" t="str">
        <f>Registro!AA31</f>
        <v>a) Medicina, h) Ciencias políticas</v>
      </c>
      <c r="AD31" s="94">
        <f t="shared" si="4"/>
        <v>2</v>
      </c>
      <c r="AE31" s="89" t="str">
        <f>Registro!AB31</f>
        <v>a) Ganar mucho dinero</v>
      </c>
      <c r="AF31" s="89" t="str">
        <f>Registro!AC31</f>
        <v>c) Bastante</v>
      </c>
      <c r="AG31" s="89" t="str">
        <f>Registro!AD31</f>
        <v>b) El ambiente de estudio y de trabajo, c) Las instalaciones del Colegio</v>
      </c>
      <c r="AH31" s="94">
        <f t="shared" si="1"/>
        <v>2</v>
      </c>
      <c r="AI31" s="89" t="str">
        <f>Registro!AE31</f>
        <v>f) 11 o más horas</v>
      </c>
      <c r="AJ31" s="89" t="str">
        <f>Registro!AF31</f>
        <v>b) Navego en Internet, i) Leo revistas o libros, l) Escucho música y/o veo videos musicales</v>
      </c>
      <c r="AK31" s="94">
        <f t="shared" si="2"/>
        <v>3</v>
      </c>
      <c r="AL31" s="89" t="str">
        <f>Registro!AG31</f>
        <v>c) Regular</v>
      </c>
      <c r="AM31" s="89" t="str">
        <f>Registro!AH31</f>
        <v>c) Regular</v>
      </c>
      <c r="AN31" s="89" t="str">
        <f>Registro!AI31</f>
        <v>b) Buena</v>
      </c>
      <c r="AO31" s="89" t="str">
        <f>Registro!AJ31</f>
        <v>c) Regular</v>
      </c>
      <c r="AP31" s="89" t="str">
        <f>Registro!AK31</f>
        <v>f) No aplica</v>
      </c>
      <c r="AQ31" s="89" t="str">
        <f>Registro!AL31</f>
        <v>b) Buena</v>
      </c>
      <c r="AR31" s="89" t="str">
        <f>Registro!AM31</f>
        <v>e) Muy mala</v>
      </c>
      <c r="AS31" s="89" t="str">
        <f>Registro!AN31</f>
        <v>b) Buena</v>
      </c>
      <c r="AT31" s="89" t="str">
        <f>Registro!AO31</f>
        <v>b) Buena</v>
      </c>
      <c r="AU31" s="89" t="str">
        <f>Registro!AP31</f>
        <v>d) Mala</v>
      </c>
      <c r="AV31" s="89" t="str">
        <f>Registro!AQ31</f>
        <v>a) Muy buena</v>
      </c>
      <c r="AW31" s="89" t="str">
        <f>Registro!AR31</f>
        <v>e) La disciplina y el orden</v>
      </c>
      <c r="AX31" s="89" t="str">
        <f>Registro!AS31</f>
        <v>a) Que sea un buen profesional</v>
      </c>
      <c r="AY31" s="89" t="str">
        <f>Registro!AT31</f>
        <v>d) Bastante necesaria</v>
      </c>
      <c r="AZ31" s="89" t="str">
        <f>Registro!AU31</f>
        <v>b) Las veces que bebo, es con moderación</v>
      </c>
      <c r="BA31" s="89" t="str">
        <f>Registro!AV31</f>
        <v>a) Personas a las que tengo que aguantar</v>
      </c>
      <c r="BB31" s="89" t="str">
        <f>Registro!AW31</f>
        <v>c) Bastante</v>
      </c>
      <c r="BC31" s="89" t="str">
        <f>Registro!AX31</f>
        <v>d) Hay de todo tipo, pero predomina lo positivo</v>
      </c>
      <c r="BD31" s="89" t="str">
        <f>Registro!AY31</f>
        <v>a) Mi padre, b) Mi madre, g) Un amigo, h) Una amiga</v>
      </c>
    </row>
    <row r="32" spans="1:56" ht="15" customHeight="1" x14ac:dyDescent="0.25">
      <c r="A32" s="101">
        <f>Registro!A32</f>
        <v>42066.468912037039</v>
      </c>
      <c r="B32" s="89" t="str">
        <f>Registro!B32</f>
        <v>c) Obra Social San José de Calasanz de Valencia</v>
      </c>
      <c r="C32" s="89" t="str">
        <f>Registro!C32</f>
        <v>d) Quinto año</v>
      </c>
      <c r="D32" s="89" t="str">
        <f>Registro!D32</f>
        <v>b) Primaria</v>
      </c>
      <c r="E32" s="89" t="str">
        <f>Registro!E32</f>
        <v>a) Masculino</v>
      </c>
      <c r="F32" s="89" t="str">
        <f>Registro!F32</f>
        <v>a) Católica</v>
      </c>
      <c r="G32" s="89" t="str">
        <f>Registro!G32</f>
        <v>a) Mamá, e) Otros familiares</v>
      </c>
      <c r="H32" s="89" t="str">
        <f>Registro!H32</f>
        <v>b) Casa Urbana</v>
      </c>
      <c r="I32" s="89" t="str">
        <f>Registro!I32</f>
        <v>a) Sí</v>
      </c>
      <c r="J32" s="89" t="str">
        <f>Registro!J32</f>
        <v>b) Lavadora, c) Microondas, d) TV pantalla plana, i) Computadora, k) Aire acondicionado</v>
      </c>
      <c r="K32" s="89" t="str">
        <f>Registro!K32</f>
        <v>f) Más de cuatro</v>
      </c>
      <c r="L32" s="89"/>
      <c r="M32" s="94">
        <f t="shared" si="3"/>
        <v>0</v>
      </c>
      <c r="N32" s="89" t="str">
        <f>Registro!M32</f>
        <v>a) Seguridad personal (la violencia y la delincuencia)</v>
      </c>
      <c r="O32" s="89" t="str">
        <f>Registro!N32</f>
        <v>a) Mucho</v>
      </c>
      <c r="P32" s="89" t="str">
        <f>Registro!O32</f>
        <v>b) Suficiente</v>
      </c>
      <c r="Q32" s="89" t="str">
        <f>Registro!P32</f>
        <v>c) Poco</v>
      </c>
      <c r="R32" s="89" t="str">
        <f>Registro!Q32</f>
        <v>b) Los amigos, c) Los estudios, i) La música</v>
      </c>
      <c r="S32" s="94">
        <f t="shared" si="0"/>
        <v>3</v>
      </c>
      <c r="T32" s="89">
        <f>Registro!R32</f>
        <v>0</v>
      </c>
      <c r="U32" s="89" t="str">
        <f>Registro!S32</f>
        <v>a) La Iglesia, k) La oración</v>
      </c>
      <c r="V32" s="89" t="str">
        <f>Registro!T32</f>
        <v>b) Rezo por costumbre</v>
      </c>
      <c r="W32" s="89" t="str">
        <f>Registro!U32</f>
        <v>c) Solo en fechas especiales</v>
      </c>
      <c r="X32" s="89" t="str">
        <f>Registro!V32</f>
        <v>a) Suelo llevar una cruz o algún objeto religioso, e) Voy a misa en las fechas de mis familiares difuntos, i) Tengo en mi cuarto alguna imagen religiosa</v>
      </c>
      <c r="Y32" s="89" t="str">
        <f>Registro!W32</f>
        <v xml:space="preserve">a) Deportivo, b) Cultural (folklórico, musicales, danzas, scout, banda marcial,...) </v>
      </c>
      <c r="Z32" s="89" t="str">
        <f>Registro!X32</f>
        <v>d) No pertenezco a grupos juveniles cristianos</v>
      </c>
      <c r="AA32" s="89" t="str">
        <f>Registro!Y32</f>
        <v>b) No</v>
      </c>
      <c r="AB32" s="89" t="str">
        <f>Registro!Z32</f>
        <v>b) No</v>
      </c>
      <c r="AC32" s="89"/>
      <c r="AD32" s="94">
        <f t="shared" si="4"/>
        <v>0</v>
      </c>
      <c r="AE32" s="89" t="str">
        <f>Registro!AB32</f>
        <v>d) Desarrollarme personalmente</v>
      </c>
      <c r="AF32" s="89" t="str">
        <f>Registro!AC32</f>
        <v>b) Poco</v>
      </c>
      <c r="AG32" s="89" t="str">
        <f>Registro!AD32</f>
        <v>a) Los deportes y diversiones, h) Las actividades extraescolares</v>
      </c>
      <c r="AH32" s="94">
        <f t="shared" si="1"/>
        <v>2</v>
      </c>
      <c r="AI32" s="89" t="str">
        <f>Registro!AE32</f>
        <v>a) 0 a 2 horas</v>
      </c>
      <c r="AJ32" s="89" t="str">
        <f>Registro!AF32</f>
        <v>a) Me divierto con juegos para computadoras, f) Toco un instrumento musical, k) Practico algún deporte</v>
      </c>
      <c r="AK32" s="94">
        <f t="shared" si="2"/>
        <v>3</v>
      </c>
      <c r="AL32" s="89" t="str">
        <f>Registro!AG32</f>
        <v>b) Bueno</v>
      </c>
      <c r="AM32" s="89" t="str">
        <f>Registro!AH32</f>
        <v>f) No aplica</v>
      </c>
      <c r="AN32" s="89" t="str">
        <f>Registro!AI32</f>
        <v>f) No aplica</v>
      </c>
      <c r="AO32" s="89" t="str">
        <f>Registro!AJ32</f>
        <v>b) Buena</v>
      </c>
      <c r="AP32" s="89" t="str">
        <f>Registro!AK32</f>
        <v>c) Regular</v>
      </c>
      <c r="AQ32" s="89" t="str">
        <f>Registro!AL32</f>
        <v>b) Buena</v>
      </c>
      <c r="AR32" s="89" t="str">
        <f>Registro!AM32</f>
        <v>a) Muy buena</v>
      </c>
      <c r="AS32" s="89" t="str">
        <f>Registro!AN32</f>
        <v>d) Mala</v>
      </c>
      <c r="AT32" s="89" t="str">
        <f>Registro!AO32</f>
        <v>a) Muy buena</v>
      </c>
      <c r="AU32" s="89" t="str">
        <f>Registro!AP32</f>
        <v>d) Mala</v>
      </c>
      <c r="AV32" s="89" t="str">
        <f>Registro!AQ32</f>
        <v>c) Regular</v>
      </c>
      <c r="AW32" s="89" t="str">
        <f>Registro!AR32</f>
        <v>e) La disciplina y el orden</v>
      </c>
      <c r="AX32" s="89" t="str">
        <f>Registro!AS32</f>
        <v>b) Darme una buena educación</v>
      </c>
      <c r="AY32" s="89" t="str">
        <f>Registro!AT32</f>
        <v>d) Bastante necesaria</v>
      </c>
      <c r="AZ32" s="89" t="str">
        <f>Registro!AU32</f>
        <v>b) Las veces que bebo, es con moderación</v>
      </c>
      <c r="BA32" s="89" t="str">
        <f>Registro!AV32</f>
        <v>d) Buenos profesionales de la educación</v>
      </c>
      <c r="BB32" s="89" t="str">
        <f>Registro!AW32</f>
        <v>d) Mucho o muchísimo</v>
      </c>
      <c r="BC32" s="89" t="str">
        <f>Registro!AX32</f>
        <v>c) Son personas normales y corrientes</v>
      </c>
      <c r="BD32" s="89" t="str">
        <f>Registro!AY32</f>
        <v>b) Mi madre</v>
      </c>
    </row>
    <row r="33" spans="1:56" ht="15" customHeight="1" x14ac:dyDescent="0.25">
      <c r="A33" s="101">
        <f>Registro!A33</f>
        <v>42066.470567129632</v>
      </c>
      <c r="B33" s="89" t="str">
        <f>Registro!B33</f>
        <v>c) Obra Social San José de Calasanz de Valencia</v>
      </c>
      <c r="C33" s="89" t="str">
        <f>Registro!C33</f>
        <v>d) Quinto año</v>
      </c>
      <c r="D33" s="89" t="str">
        <f>Registro!D33</f>
        <v>a) Educación Inicial</v>
      </c>
      <c r="E33" s="89" t="str">
        <f>Registro!E33</f>
        <v>b) Femenino</v>
      </c>
      <c r="F33" s="89" t="str">
        <f>Registro!F33</f>
        <v>a) Católica</v>
      </c>
      <c r="G33" s="89" t="str">
        <f>Registro!G33</f>
        <v>a) Mamá</v>
      </c>
      <c r="H33" s="89" t="str">
        <f>Registro!H33</f>
        <v>d) Casa Rural</v>
      </c>
      <c r="I33" s="89" t="str">
        <f>Registro!I33</f>
        <v>a) Sí</v>
      </c>
      <c r="J33" s="89" t="str">
        <f>Registro!J33</f>
        <v>b) Lavadora, d) TV pantalla plana, e) Moto, h) Carro, i) Computadora, k) Aire acondicionado</v>
      </c>
      <c r="K33" s="89" t="str">
        <f>Registro!K33</f>
        <v>c) Dos</v>
      </c>
      <c r="L33" s="89" t="str">
        <f>Registro!L33</f>
        <v>a) La familia, b) Los amigos, c) Los estudios</v>
      </c>
      <c r="M33" s="94">
        <f t="shared" si="3"/>
        <v>3</v>
      </c>
      <c r="N33" s="89" t="str">
        <f>Registro!M33</f>
        <v>b) El futuro</v>
      </c>
      <c r="O33" s="89" t="str">
        <f>Registro!N33</f>
        <v>d) Nada</v>
      </c>
      <c r="P33" s="89" t="str">
        <f>Registro!O33</f>
        <v>a) Mucho</v>
      </c>
      <c r="Q33" s="89" t="str">
        <f>Registro!P33</f>
        <v>c) Poco</v>
      </c>
      <c r="R33" s="89"/>
      <c r="S33" s="94">
        <f t="shared" si="0"/>
        <v>0</v>
      </c>
      <c r="T33" s="89" t="str">
        <f>Registro!R33</f>
        <v>c) Poco</v>
      </c>
      <c r="U33" s="89" t="str">
        <f>Registro!S33</f>
        <v>c) El salón de clase, d) Las convivencias, e) Los amigos</v>
      </c>
      <c r="V33" s="89" t="str">
        <f>Registro!T33</f>
        <v>d) No rezo nunca</v>
      </c>
      <c r="W33" s="89" t="str">
        <f>Registro!U33</f>
        <v>d) Nunca</v>
      </c>
      <c r="X33" s="89" t="str">
        <f>Registro!V33</f>
        <v>g) En ocasiones, en mi casa tenemos una oración familiar</v>
      </c>
      <c r="Y33" s="89" t="str">
        <f>Registro!W33</f>
        <v>d) No pertenezco a ninguno</v>
      </c>
      <c r="Z33" s="89" t="str">
        <f>Registro!X33</f>
        <v>d) No pertenezco a grupos juveniles cristianos</v>
      </c>
      <c r="AA33" s="89" t="str">
        <f>Registro!Y33</f>
        <v>b) No</v>
      </c>
      <c r="AB33" s="89" t="str">
        <f>Registro!Z33</f>
        <v>b) No</v>
      </c>
      <c r="AC33" s="89"/>
      <c r="AD33" s="94">
        <f t="shared" si="4"/>
        <v>0</v>
      </c>
      <c r="AE33" s="89" t="str">
        <f>Registro!AB33</f>
        <v>c) Ser un excelente profesional</v>
      </c>
      <c r="AF33" s="89" t="str">
        <f>Registro!AC33</f>
        <v>b) Poco</v>
      </c>
      <c r="AG33" s="89"/>
      <c r="AH33" s="94">
        <f t="shared" si="1"/>
        <v>0</v>
      </c>
      <c r="AI33" s="89" t="str">
        <f>Registro!AE33</f>
        <v>a) 0 a 2 horas</v>
      </c>
      <c r="AJ33" s="89" t="str">
        <f>Registro!AF33</f>
        <v>b) Navego en Internet, e) Suelo ir a algún parque, g) Suelo ir a discotecas o a fiestas</v>
      </c>
      <c r="AK33" s="94">
        <f t="shared" si="2"/>
        <v>3</v>
      </c>
      <c r="AL33" s="89" t="str">
        <f>Registro!AG33</f>
        <v>c) Regular</v>
      </c>
      <c r="AM33" s="89" t="str">
        <f>Registro!AH33</f>
        <v>c) Regular</v>
      </c>
      <c r="AN33" s="89" t="str">
        <f>Registro!AI33</f>
        <v>a) Muy buena</v>
      </c>
      <c r="AO33" s="89" t="str">
        <f>Registro!AJ33</f>
        <v>a) Muy buena</v>
      </c>
      <c r="AP33" s="89" t="str">
        <f>Registro!AK33</f>
        <v>c) Regular</v>
      </c>
      <c r="AQ33" s="89" t="str">
        <f>Registro!AL33</f>
        <v>c) Regular</v>
      </c>
      <c r="AR33" s="89" t="str">
        <f>Registro!AM33</f>
        <v>c) Regular</v>
      </c>
      <c r="AS33" s="89" t="str">
        <f>Registro!AN33</f>
        <v>c) Regular</v>
      </c>
      <c r="AT33" s="89" t="str">
        <f>Registro!AO33</f>
        <v>a) Muy buena</v>
      </c>
      <c r="AU33" s="89" t="str">
        <f>Registro!AP33</f>
        <v>a) Muy buena</v>
      </c>
      <c r="AV33" s="89" t="str">
        <f>Registro!AQ33</f>
        <v>c) Regular</v>
      </c>
      <c r="AW33" s="89" t="str">
        <f>Registro!AR33</f>
        <v>a) El compañerismo</v>
      </c>
      <c r="AX33" s="89" t="str">
        <f>Registro!AS33</f>
        <v>a) Que sea un buen profesional</v>
      </c>
      <c r="AY33" s="89" t="str">
        <f>Registro!AT33</f>
        <v>d) Bastante necesaria</v>
      </c>
      <c r="AZ33" s="89" t="str">
        <f>Registro!AU33</f>
        <v>a) No acostumbro a tomarlo nunca</v>
      </c>
      <c r="BA33" s="89" t="str">
        <f>Registro!AV33</f>
        <v>d) Buenos profesionales de la educación</v>
      </c>
      <c r="BB33" s="89" t="str">
        <f>Registro!AW33</f>
        <v>d) Mucho o muchísimo</v>
      </c>
      <c r="BC33" s="89" t="str">
        <f>Registro!AX33</f>
        <v>a) No me gustan en absoluto</v>
      </c>
      <c r="BD33" s="89" t="str">
        <f>Registro!AY33</f>
        <v>j) Nadie</v>
      </c>
    </row>
    <row r="34" spans="1:56" ht="15" customHeight="1" x14ac:dyDescent="0.25">
      <c r="A34" s="101">
        <f>Registro!A34</f>
        <v>42066.470821759256</v>
      </c>
      <c r="B34" s="89" t="str">
        <f>Registro!B34</f>
        <v>c) Obra Social San José de Calasanz de Valencia</v>
      </c>
      <c r="C34" s="89" t="str">
        <f>Registro!C34</f>
        <v>d) Quinto año</v>
      </c>
      <c r="D34" s="89" t="str">
        <f>Registro!D34</f>
        <v>b) Primaria</v>
      </c>
      <c r="E34" s="89" t="str">
        <f>Registro!E34</f>
        <v>a) Masculino</v>
      </c>
      <c r="F34" s="89" t="str">
        <f>Registro!F34</f>
        <v>d) Otra</v>
      </c>
      <c r="G34" s="89" t="str">
        <f>Registro!G34</f>
        <v>d) Abuelos, e) Otros familiares</v>
      </c>
      <c r="H34" s="89" t="str">
        <f>Registro!H34</f>
        <v>b) Casa Urbana</v>
      </c>
      <c r="I34" s="89" t="str">
        <f>Registro!I34</f>
        <v>a) Sí</v>
      </c>
      <c r="J34" s="89" t="str">
        <f>Registro!J34</f>
        <v>c) Microondas, i) Computadora</v>
      </c>
      <c r="K34" s="89" t="str">
        <f>Registro!K34</f>
        <v>c) Dos</v>
      </c>
      <c r="L34" s="89" t="str">
        <f>Registro!L34</f>
        <v>a) La familia, i) La música, j) El deporte</v>
      </c>
      <c r="M34" s="94">
        <f t="shared" si="3"/>
        <v>3</v>
      </c>
      <c r="N34" s="89" t="str">
        <f>Registro!M34</f>
        <v>f) La situación política del país</v>
      </c>
      <c r="O34" s="89" t="str">
        <f>Registro!N34</f>
        <v>d) Nada</v>
      </c>
      <c r="P34" s="89" t="str">
        <f>Registro!O34</f>
        <v>c) Poco</v>
      </c>
      <c r="Q34" s="89" t="str">
        <f>Registro!P34</f>
        <v>c) Poco</v>
      </c>
      <c r="R34" s="89"/>
      <c r="S34" s="94">
        <f t="shared" si="0"/>
        <v>0</v>
      </c>
      <c r="T34" s="89" t="str">
        <f>Registro!R34</f>
        <v>d) Nada</v>
      </c>
      <c r="U34" s="89">
        <f>Registro!S34</f>
        <v>0</v>
      </c>
      <c r="V34" s="89" t="str">
        <f>Registro!T34</f>
        <v>d) No rezo nunca</v>
      </c>
      <c r="W34" s="89" t="str">
        <f>Registro!U34</f>
        <v>c) Solo en fechas especiales</v>
      </c>
      <c r="X34" s="89" t="str">
        <f>Registro!V34</f>
        <v>e) Voy a misa en las fechas de mis familiares difuntos, i) Tengo en mi cuarto alguna imagen religiosa</v>
      </c>
      <c r="Y34" s="89" t="str">
        <f>Registro!W34</f>
        <v>a) Deportivo</v>
      </c>
      <c r="Z34" s="89" t="str">
        <f>Registro!X34</f>
        <v>d) No pertenezco a grupos juveniles cristianos</v>
      </c>
      <c r="AA34" s="89" t="str">
        <f>Registro!Y34</f>
        <v>b) No</v>
      </c>
      <c r="AB34" s="89" t="str">
        <f>Registro!Z34</f>
        <v>b) No</v>
      </c>
      <c r="AC34" s="89"/>
      <c r="AD34" s="94">
        <f t="shared" si="4"/>
        <v>0</v>
      </c>
      <c r="AE34" s="89" t="str">
        <f>Registro!AB34</f>
        <v>c) Ser un excelente profesional</v>
      </c>
      <c r="AF34" s="89" t="str">
        <f>Registro!AC34</f>
        <v>a) No, en absoluto</v>
      </c>
      <c r="AG34" s="89" t="str">
        <f>Registro!AD34</f>
        <v>a) Los deportes y diversiones, h) Las actividades extraescolares</v>
      </c>
      <c r="AH34" s="94">
        <f t="shared" si="1"/>
        <v>2</v>
      </c>
      <c r="AI34" s="89" t="str">
        <f>Registro!AE34</f>
        <v>a) 0 a 2 horas</v>
      </c>
      <c r="AJ34" s="89" t="str">
        <f>Registro!AF34</f>
        <v>d) Estoy la mayor parte del tiempo en la casa sin hacer nada, k) Practico algún deporte, m) Veo televisión y/o películas</v>
      </c>
      <c r="AK34" s="94">
        <f t="shared" si="2"/>
        <v>3</v>
      </c>
      <c r="AL34" s="89" t="str">
        <f>Registro!AG34</f>
        <v>d) Deficiente</v>
      </c>
      <c r="AM34" s="89" t="str">
        <f>Registro!AH34</f>
        <v>e) Muy mala</v>
      </c>
      <c r="AN34" s="89" t="str">
        <f>Registro!AI34</f>
        <v>c) Regular</v>
      </c>
      <c r="AO34" s="89" t="str">
        <f>Registro!AJ34</f>
        <v>c) Regular</v>
      </c>
      <c r="AP34" s="89" t="str">
        <f>Registro!AK34</f>
        <v>e) Muy mala</v>
      </c>
      <c r="AQ34" s="89" t="str">
        <f>Registro!AL34</f>
        <v>e) Muy mala</v>
      </c>
      <c r="AR34" s="89" t="str">
        <f>Registro!AM34</f>
        <v>d) Mala</v>
      </c>
      <c r="AS34" s="89" t="str">
        <f>Registro!AN34</f>
        <v>e) Muy mala</v>
      </c>
      <c r="AT34" s="89" t="str">
        <f>Registro!AO34</f>
        <v>e) Muy mala</v>
      </c>
      <c r="AU34" s="89" t="str">
        <f>Registro!AP34</f>
        <v>e) Muy mala</v>
      </c>
      <c r="AV34" s="89" t="str">
        <f>Registro!AQ34</f>
        <v>d) Mala</v>
      </c>
      <c r="AW34" s="89" t="str">
        <f>Registro!AR34</f>
        <v>i) En nada</v>
      </c>
      <c r="AX34" s="89" t="str">
        <f>Registro!AS34</f>
        <v>b) Darme una buena educación</v>
      </c>
      <c r="AY34" s="89" t="str">
        <f>Registro!AT34</f>
        <v>a) Innecesaria</v>
      </c>
      <c r="AZ34" s="89" t="str">
        <f>Registro!AU34</f>
        <v>d) Con frecuencia (fines de semana u otros momentos) suelo beber más de la cuenta</v>
      </c>
      <c r="BA34" s="89" t="str">
        <f>Registro!AV34</f>
        <v>a) Personas a las que tengo que aguantar</v>
      </c>
      <c r="BB34" s="89" t="str">
        <f>Registro!AW34</f>
        <v>b) Poco</v>
      </c>
      <c r="BC34" s="89" t="str">
        <f>Registro!AX34</f>
        <v>a) No me gustan en absoluto</v>
      </c>
      <c r="BD34" s="89" t="str">
        <f>Registro!AY34</f>
        <v>g) Un amigo, h) Una amiga, j) Nadie</v>
      </c>
    </row>
    <row r="35" spans="1:56" ht="15" customHeight="1" x14ac:dyDescent="0.25">
      <c r="A35" s="101">
        <f>Registro!A35</f>
        <v>42066.471296296295</v>
      </c>
      <c r="B35" s="89" t="str">
        <f>Registro!B35</f>
        <v>c) Obra Social San José de Calasanz de Valencia</v>
      </c>
      <c r="C35" s="89" t="str">
        <f>Registro!C35</f>
        <v>d) Quinto año</v>
      </c>
      <c r="D35" s="89" t="str">
        <f>Registro!D35</f>
        <v>b) Primaria</v>
      </c>
      <c r="E35" s="89" t="str">
        <f>Registro!E35</f>
        <v>a) Masculino</v>
      </c>
      <c r="F35" s="89">
        <f>Registro!F35</f>
        <v>0</v>
      </c>
      <c r="G35" s="89" t="str">
        <f>Registro!G35</f>
        <v>a) Mamá, b) Papá, c) Hermanos</v>
      </c>
      <c r="H35" s="89" t="str">
        <f>Registro!H35</f>
        <v>b) Casa Urbana</v>
      </c>
      <c r="I35" s="89" t="str">
        <f>Registro!I35</f>
        <v>c) Algo</v>
      </c>
      <c r="J35" s="89" t="str">
        <f>Registro!J35</f>
        <v>b) Lavadora, c) Microondas, d) TV pantalla plana, i) Computadora, k) Aire acondicionado</v>
      </c>
      <c r="K35" s="89" t="str">
        <f>Registro!K35</f>
        <v>c) Dos</v>
      </c>
      <c r="L35" s="89" t="str">
        <f>Registro!L35</f>
        <v>a) La familia, e) Disponer de dinero, k) El internet</v>
      </c>
      <c r="M35" s="94">
        <f t="shared" si="3"/>
        <v>3</v>
      </c>
      <c r="N35" s="89" t="str">
        <f>Registro!M35</f>
        <v>e) La situación económica</v>
      </c>
      <c r="O35" s="89" t="str">
        <f>Registro!N35</f>
        <v>c) Poco</v>
      </c>
      <c r="P35" s="89" t="str">
        <f>Registro!O35</f>
        <v>c) Poco</v>
      </c>
      <c r="Q35" s="89" t="str">
        <f>Registro!P35</f>
        <v>c) Poco</v>
      </c>
      <c r="R35" s="89"/>
      <c r="S35" s="94">
        <f t="shared" si="0"/>
        <v>0</v>
      </c>
      <c r="T35" s="89" t="str">
        <f>Registro!R35</f>
        <v>a) Mucho</v>
      </c>
      <c r="U35" s="89" t="str">
        <f>Registro!S35</f>
        <v>b) La naturaleza, j) Todas partes</v>
      </c>
      <c r="V35" s="89">
        <f>Registro!T35</f>
        <v>0</v>
      </c>
      <c r="W35" s="89" t="str">
        <f>Registro!U35</f>
        <v>d) Nunca</v>
      </c>
      <c r="X35" s="89" t="str">
        <f>Registro!V35</f>
        <v>e) Voy a misa en las fechas de mis familiares difuntos</v>
      </c>
      <c r="Y35" s="89" t="str">
        <f>Registro!W35</f>
        <v>d) No pertenezco a ninguno</v>
      </c>
      <c r="Z35" s="89" t="str">
        <f>Registro!X35</f>
        <v>d) No pertenezco a grupos juveniles cristianos</v>
      </c>
      <c r="AA35" s="89" t="str">
        <f>Registro!Y35</f>
        <v>b) No</v>
      </c>
      <c r="AB35" s="89" t="str">
        <f>Registro!Z35</f>
        <v>b) No</v>
      </c>
      <c r="AC35" s="89" t="str">
        <f>Registro!AA35</f>
        <v>j) Trabajador calificado</v>
      </c>
      <c r="AD35" s="94">
        <f t="shared" si="4"/>
        <v>1</v>
      </c>
      <c r="AE35" s="89" t="str">
        <f>Registro!AB35</f>
        <v>e) Servir a los demás</v>
      </c>
      <c r="AF35" s="89" t="str">
        <f>Registro!AC35</f>
        <v>c) Bastante</v>
      </c>
      <c r="AG35" s="89" t="str">
        <f>Registro!AD35</f>
        <v>c) Las instalaciones del Colegio</v>
      </c>
      <c r="AH35" s="94">
        <f t="shared" si="1"/>
        <v>1</v>
      </c>
      <c r="AI35" s="89">
        <f>Registro!AE35</f>
        <v>0</v>
      </c>
      <c r="AJ35" s="89"/>
      <c r="AK35" s="94">
        <f t="shared" si="2"/>
        <v>0</v>
      </c>
      <c r="AL35" s="89" t="str">
        <f>Registro!AG35</f>
        <v>b) Bueno</v>
      </c>
      <c r="AM35" s="89" t="str">
        <f>Registro!AH35</f>
        <v>b) Buena</v>
      </c>
      <c r="AN35" s="89" t="str">
        <f>Registro!AI35</f>
        <v>b) Buena</v>
      </c>
      <c r="AO35" s="89" t="str">
        <f>Registro!AJ35</f>
        <v>b) Buena</v>
      </c>
      <c r="AP35" s="89" t="str">
        <f>Registro!AK35</f>
        <v>b) Buena</v>
      </c>
      <c r="AQ35" s="89" t="str">
        <f>Registro!AL35</f>
        <v>b) Buena</v>
      </c>
      <c r="AR35" s="89" t="str">
        <f>Registro!AM35</f>
        <v>b) Buena</v>
      </c>
      <c r="AS35" s="89" t="str">
        <f>Registro!AN35</f>
        <v>c) Regular</v>
      </c>
      <c r="AT35" s="89" t="str">
        <f>Registro!AO35</f>
        <v>c) Regular</v>
      </c>
      <c r="AU35" s="89" t="str">
        <f>Registro!AP35</f>
        <v>c) Regular</v>
      </c>
      <c r="AV35" s="89" t="str">
        <f>Registro!AQ35</f>
        <v>b) Buena</v>
      </c>
      <c r="AW35" s="89" t="str">
        <f>Registro!AR35</f>
        <v>e) La disciplina y el orden</v>
      </c>
      <c r="AX35" s="89" t="str">
        <f>Registro!AS35</f>
        <v>a) Que sea un buen profesional</v>
      </c>
      <c r="AY35" s="89" t="str">
        <f>Registro!AT35</f>
        <v>c) Conveniente</v>
      </c>
      <c r="AZ35" s="89" t="str">
        <f>Registro!AU35</f>
        <v>c) Alguna vez he bebido más de la cuenta</v>
      </c>
      <c r="BA35" s="89" t="str">
        <f>Registro!AV35</f>
        <v>b) Profesionales que no se preocupan de nosotros</v>
      </c>
      <c r="BB35" s="89" t="str">
        <f>Registro!AW35</f>
        <v>b) Poco</v>
      </c>
      <c r="BC35" s="89" t="str">
        <f>Registro!AX35</f>
        <v>c) Son personas normales y corrientes</v>
      </c>
      <c r="BD35" s="89" t="str">
        <f>Registro!AY35</f>
        <v>j) Nadie</v>
      </c>
    </row>
    <row r="36" spans="1:56" ht="15" customHeight="1" x14ac:dyDescent="0.25">
      <c r="A36" s="101">
        <f>Registro!A36</f>
        <v>42066.513611111113</v>
      </c>
      <c r="B36" s="89" t="str">
        <f>Registro!B36</f>
        <v>c) Obra Social San José de Calasanz de Valencia</v>
      </c>
      <c r="C36" s="89" t="str">
        <f>Registro!C36</f>
        <v>d) Quinto año</v>
      </c>
      <c r="D36" s="89" t="str">
        <f>Registro!D36</f>
        <v>a) Educación Inicial</v>
      </c>
      <c r="E36" s="89" t="str">
        <f>Registro!E36</f>
        <v>a) Masculino</v>
      </c>
      <c r="F36" s="89" t="str">
        <f>Registro!F36</f>
        <v>a) Católica</v>
      </c>
      <c r="G36" s="89" t="str">
        <f>Registro!G36</f>
        <v>a) Mamá, b) Papá, c) Hermanos, e) Otros familiares</v>
      </c>
      <c r="H36" s="89" t="str">
        <f>Registro!H36</f>
        <v>b) Casa Urbana</v>
      </c>
      <c r="I36" s="89" t="str">
        <f>Registro!I36</f>
        <v>c) Algo</v>
      </c>
      <c r="J36" s="89" t="str">
        <f>Registro!J36</f>
        <v>b) Lavadora, j) Cámara digital</v>
      </c>
      <c r="K36" s="89" t="str">
        <f>Registro!K36</f>
        <v>b) Una</v>
      </c>
      <c r="L36" s="89" t="str">
        <f>Registro!L36</f>
        <v>a) La familia, f) Mi fe y vida cristiana, i) La música</v>
      </c>
      <c r="M36" s="94">
        <f t="shared" si="3"/>
        <v>3</v>
      </c>
      <c r="N36" s="89" t="str">
        <f>Registro!M36</f>
        <v>b) El futuro</v>
      </c>
      <c r="O36" s="89" t="str">
        <f>Registro!N36</f>
        <v>a) Mucho</v>
      </c>
      <c r="P36" s="89" t="str">
        <f>Registro!O36</f>
        <v>c) Poco</v>
      </c>
      <c r="Q36" s="89" t="str">
        <f>Registro!P36</f>
        <v>c) Poco</v>
      </c>
      <c r="R36" s="89" t="str">
        <f>Registro!Q36</f>
        <v>c) Los estudios, d) El cuidado de mi cuerpo, g) La felicidad</v>
      </c>
      <c r="S36" s="94">
        <f t="shared" si="0"/>
        <v>3</v>
      </c>
      <c r="T36" s="89" t="str">
        <f>Registro!R36</f>
        <v>a) Mucho</v>
      </c>
      <c r="U36" s="89" t="str">
        <f>Registro!S36</f>
        <v>b) La naturaleza, d) Las convivencias, g) Mi familia, i) Los necesitados</v>
      </c>
      <c r="V36" s="89" t="str">
        <f>Registro!T36</f>
        <v>b) Rezo por costumbre</v>
      </c>
      <c r="W36" s="89" t="str">
        <f>Registro!U36</f>
        <v>c) Solo en fechas especiales</v>
      </c>
      <c r="X36" s="89" t="str">
        <f>Registro!V36</f>
        <v>a) Suelo llevar una cruz o algún objeto religioso</v>
      </c>
      <c r="Y36" s="89" t="str">
        <f>Registro!W36</f>
        <v>c) Religioso o parroquial</v>
      </c>
      <c r="Z36" s="89" t="str">
        <f>Registro!X36</f>
        <v>a) Un grupo donde profundizo mi fe</v>
      </c>
      <c r="AA36" s="89" t="str">
        <f>Registro!Y36</f>
        <v>b) No</v>
      </c>
      <c r="AB36" s="89" t="str">
        <f>Registro!Z36</f>
        <v>b) No</v>
      </c>
      <c r="AC36" s="89"/>
      <c r="AD36" s="94">
        <f t="shared" si="4"/>
        <v>0</v>
      </c>
      <c r="AE36" s="89" t="str">
        <f>Registro!AB36</f>
        <v>b) Tener una buena posición social, ser importante</v>
      </c>
      <c r="AF36" s="89" t="str">
        <f>Registro!AC36</f>
        <v>d) Mucho o muchísimo</v>
      </c>
      <c r="AG36" s="89" t="str">
        <f>Registro!AD36</f>
        <v>d) Los grupos juveniles cristianos, g) La relación con los docentes</v>
      </c>
      <c r="AH36" s="94">
        <f t="shared" si="1"/>
        <v>2</v>
      </c>
      <c r="AI36" s="89" t="str">
        <f>Registro!AE36</f>
        <v>b) 3 a 4 horas</v>
      </c>
      <c r="AJ36" s="89" t="str">
        <f>Registro!AF36</f>
        <v>f) Toco un instrumento musical, l) Escucho música y/o veo videos musicales</v>
      </c>
      <c r="AK36" s="94">
        <f t="shared" si="2"/>
        <v>2</v>
      </c>
      <c r="AL36" s="89" t="str">
        <f>Registro!AG36</f>
        <v>c) Regular</v>
      </c>
      <c r="AM36" s="89" t="str">
        <f>Registro!AH36</f>
        <v>d) Mala</v>
      </c>
      <c r="AN36" s="89" t="str">
        <f>Registro!AI36</f>
        <v>d) Mala</v>
      </c>
      <c r="AO36" s="89" t="str">
        <f>Registro!AJ36</f>
        <v>a) Muy buena</v>
      </c>
      <c r="AP36" s="89" t="str">
        <f>Registro!AK36</f>
        <v>b) Buena</v>
      </c>
      <c r="AQ36" s="89" t="str">
        <f>Registro!AL36</f>
        <v>b) Buena</v>
      </c>
      <c r="AR36" s="89" t="str">
        <f>Registro!AM36</f>
        <v>c) Regular</v>
      </c>
      <c r="AS36" s="89" t="str">
        <f>Registro!AN36</f>
        <v>b) Buena</v>
      </c>
      <c r="AT36" s="89" t="str">
        <f>Registro!AO36</f>
        <v>a) Muy buena</v>
      </c>
      <c r="AU36" s="89" t="str">
        <f>Registro!AP36</f>
        <v>c) Regular</v>
      </c>
      <c r="AV36" s="89" t="str">
        <f>Registro!AQ36</f>
        <v>a) Muy buena</v>
      </c>
      <c r="AW36" s="89" t="str">
        <f>Registro!AR36</f>
        <v>f) la práctica religiosa</v>
      </c>
      <c r="AX36" s="89" t="str">
        <f>Registro!AS36</f>
        <v>c) Que me preocupe de los demás</v>
      </c>
      <c r="AY36" s="89" t="str">
        <f>Registro!AT36</f>
        <v>d) Bastante necesaria</v>
      </c>
      <c r="AZ36" s="89" t="str">
        <f>Registro!AU36</f>
        <v>b) Las veces que bebo, es con moderación</v>
      </c>
      <c r="BA36" s="89" t="str">
        <f>Registro!AV36</f>
        <v>e) Educadores que se preocupan de nosotros</v>
      </c>
      <c r="BB36" s="89" t="str">
        <f>Registro!AW36</f>
        <v>c) Bastante</v>
      </c>
      <c r="BC36" s="89" t="str">
        <f>Registro!AX36</f>
        <v>e) Son personas que me gustan y admiro</v>
      </c>
      <c r="BD36" s="89" t="str">
        <f>Registro!AY36</f>
        <v>b) Mi madre, c) Un hermano/a, d) Un escolapio, religioso o religiosa, g) Un amigo, i) Un, una catequista o responsable de grupo</v>
      </c>
    </row>
    <row r="37" spans="1:56" ht="15" customHeight="1" x14ac:dyDescent="0.25">
      <c r="A37" s="101">
        <f>Registro!A37</f>
        <v>42066.516134259262</v>
      </c>
      <c r="B37" s="89" t="str">
        <f>Registro!B37</f>
        <v>c) Obra Social San José de Calasanz de Valencia</v>
      </c>
      <c r="C37" s="89" t="str">
        <f>Registro!C37</f>
        <v>d) Quinto año</v>
      </c>
      <c r="D37" s="89" t="str">
        <f>Registro!D37</f>
        <v>c) Entre Primero y Tercer año</v>
      </c>
      <c r="E37" s="89" t="str">
        <f>Registro!E37</f>
        <v>a) Masculino</v>
      </c>
      <c r="F37" s="89">
        <f>Registro!F37</f>
        <v>0</v>
      </c>
      <c r="G37" s="89" t="str">
        <f>Registro!G37</f>
        <v>a) Mamá</v>
      </c>
      <c r="H37" s="89" t="str">
        <f>Registro!H37</f>
        <v>e) Rancho</v>
      </c>
      <c r="I37" s="89" t="str">
        <f>Registro!I37</f>
        <v>c) Algo</v>
      </c>
      <c r="J37" s="89" t="str">
        <f>Registro!J37</f>
        <v>d) TV pantalla plana, f) MP3, i) Computadora</v>
      </c>
      <c r="K37" s="89" t="str">
        <f>Registro!K37</f>
        <v>c) Dos</v>
      </c>
      <c r="L37" s="89"/>
      <c r="M37" s="94">
        <f t="shared" si="3"/>
        <v>0</v>
      </c>
      <c r="N37" s="89" t="str">
        <f>Registro!M37</f>
        <v>b) El futuro</v>
      </c>
      <c r="O37" s="89" t="str">
        <f>Registro!N37</f>
        <v>b) Suficiente</v>
      </c>
      <c r="P37" s="89" t="str">
        <f>Registro!O37</f>
        <v>b) Suficiente</v>
      </c>
      <c r="Q37" s="89" t="str">
        <f>Registro!P37</f>
        <v>b) Suficiente</v>
      </c>
      <c r="R37" s="89"/>
      <c r="S37" s="94">
        <f t="shared" si="0"/>
        <v>0</v>
      </c>
      <c r="T37" s="89" t="str">
        <f>Registro!R37</f>
        <v>a) Mucho</v>
      </c>
      <c r="U37" s="89" t="str">
        <f>Registro!S37</f>
        <v>b) La naturaleza, d) Las convivencias, f) Todas las personas, j) Todas partes</v>
      </c>
      <c r="V37" s="89" t="str">
        <f>Registro!T37</f>
        <v>d) No rezo nunca</v>
      </c>
      <c r="W37" s="89" t="str">
        <f>Registro!U37</f>
        <v>c) Solo en fechas especiales</v>
      </c>
      <c r="X37" s="89" t="str">
        <f>Registro!V37</f>
        <v>i) Tengo en mi cuarto alguna imagen religiosa</v>
      </c>
      <c r="Y37" s="89" t="str">
        <f>Registro!W37</f>
        <v>a) Deportivo</v>
      </c>
      <c r="Z37" s="89" t="str">
        <f>Registro!X37</f>
        <v>c) Un lugar donde me lo paso bien</v>
      </c>
      <c r="AA37" s="89" t="str">
        <f>Registro!Y37</f>
        <v>b) No</v>
      </c>
      <c r="AB37" s="89" t="str">
        <f>Registro!Z37</f>
        <v>b) No</v>
      </c>
      <c r="AC37" s="89"/>
      <c r="AD37" s="94">
        <f t="shared" si="4"/>
        <v>0</v>
      </c>
      <c r="AE37" s="89" t="str">
        <f>Registro!AB37</f>
        <v>b) Tener una buena posición social, ser importante</v>
      </c>
      <c r="AF37" s="89" t="str">
        <f>Registro!AC37</f>
        <v>b) Poco</v>
      </c>
      <c r="AG37" s="89" t="str">
        <f>Registro!AD37</f>
        <v>a) Los deportes y diversiones, h) Las actividades extraescolares</v>
      </c>
      <c r="AH37" s="94">
        <f t="shared" si="1"/>
        <v>2</v>
      </c>
      <c r="AI37" s="89" t="str">
        <f>Registro!AE37</f>
        <v>a) 0 a 2 horas</v>
      </c>
      <c r="AJ37" s="89" t="str">
        <f>Registro!AF37</f>
        <v>a) Me divierto con juegos para computadoras, g) Suelo ir a discotecas o a fiestas, k) Practico algún deporte</v>
      </c>
      <c r="AK37" s="94">
        <f t="shared" si="2"/>
        <v>3</v>
      </c>
      <c r="AL37" s="89" t="str">
        <f>Registro!AG37</f>
        <v>a) Muy bueno</v>
      </c>
      <c r="AM37" s="89" t="str">
        <f>Registro!AH37</f>
        <v>a) Muy buena</v>
      </c>
      <c r="AN37" s="89" t="str">
        <f>Registro!AI37</f>
        <v>b) Buena</v>
      </c>
      <c r="AO37" s="89" t="str">
        <f>Registro!AJ37</f>
        <v>b) Buena</v>
      </c>
      <c r="AP37" s="89" t="str">
        <f>Registro!AK37</f>
        <v>a) Muy buena</v>
      </c>
      <c r="AQ37" s="89" t="str">
        <f>Registro!AL37</f>
        <v>b) Buena</v>
      </c>
      <c r="AR37" s="89" t="str">
        <f>Registro!AM37</f>
        <v>a) Muy buena</v>
      </c>
      <c r="AS37" s="89">
        <f>Registro!AN37</f>
        <v>0</v>
      </c>
      <c r="AT37" s="89" t="str">
        <f>Registro!AO37</f>
        <v>a) Muy buena</v>
      </c>
      <c r="AU37" s="89">
        <f>Registro!AP37</f>
        <v>0</v>
      </c>
      <c r="AV37" s="89" t="str">
        <f>Registro!AQ37</f>
        <v>b) Buena</v>
      </c>
      <c r="AW37" s="89" t="str">
        <f>Registro!AR37</f>
        <v>e) La disciplina y el orden</v>
      </c>
      <c r="AX37" s="89" t="str">
        <f>Registro!AS37</f>
        <v>a) Que sea un buen profesional</v>
      </c>
      <c r="AY37" s="89" t="str">
        <f>Registro!AT37</f>
        <v>d) Bastante necesaria</v>
      </c>
      <c r="AZ37" s="89" t="str">
        <f>Registro!AU37</f>
        <v>d) Con frecuencia (fines de semana u otros momentos) suelo beber más de la cuenta</v>
      </c>
      <c r="BA37" s="89" t="str">
        <f>Registro!AV37</f>
        <v>d) Buenos profesionales de la educación</v>
      </c>
      <c r="BB37" s="89" t="str">
        <f>Registro!AW37</f>
        <v>c) Bastante</v>
      </c>
      <c r="BC37" s="89" t="str">
        <f>Registro!AX37</f>
        <v>c) Son personas normales y corrientes</v>
      </c>
      <c r="BD37" s="89" t="str">
        <f>Registro!AY37</f>
        <v>a) Mi padre, b) Mi madre, g) Un amigo</v>
      </c>
    </row>
    <row r="38" spans="1:56" ht="15" customHeight="1" x14ac:dyDescent="0.25">
      <c r="A38" s="101">
        <f>Registro!A38</f>
        <v>42066.517048611109</v>
      </c>
      <c r="B38" s="89" t="str">
        <f>Registro!B38</f>
        <v>c) Obra Social San José de Calasanz de Valencia</v>
      </c>
      <c r="C38" s="89" t="str">
        <f>Registro!C38</f>
        <v>d) Quinto año</v>
      </c>
      <c r="D38" s="89" t="str">
        <f>Registro!D38</f>
        <v>a) Educación Inicial</v>
      </c>
      <c r="E38" s="89" t="str">
        <f>Registro!E38</f>
        <v>b) Femenino</v>
      </c>
      <c r="F38" s="89" t="str">
        <f>Registro!F38</f>
        <v>a) Católica</v>
      </c>
      <c r="G38" s="89" t="str">
        <f>Registro!G38</f>
        <v>a) Mamá, b) Papá, c) Hermanos, d) Abuelos</v>
      </c>
      <c r="H38" s="89" t="str">
        <f>Registro!H38</f>
        <v>b) Casa Urbana</v>
      </c>
      <c r="I38" s="89" t="str">
        <f>Registro!I38</f>
        <v>c) Algo</v>
      </c>
      <c r="J38" s="89" t="str">
        <f>Registro!J38</f>
        <v>b) Lavadora, c) Microondas, d) TV pantalla plana, g) MP4, i) Computadora, j) Cámara digital</v>
      </c>
      <c r="K38" s="89" t="str">
        <f>Registro!K38</f>
        <v>c) Dos</v>
      </c>
      <c r="L38" s="89" t="str">
        <f>Registro!L38</f>
        <v>a) La familia, c) Los estudios, j) El deporte</v>
      </c>
      <c r="M38" s="94">
        <f t="shared" si="3"/>
        <v>3</v>
      </c>
      <c r="N38" s="89" t="str">
        <f>Registro!M38</f>
        <v>d) Los problemas familiares</v>
      </c>
      <c r="O38" s="89" t="str">
        <f>Registro!N38</f>
        <v>c) Poco</v>
      </c>
      <c r="P38" s="89" t="str">
        <f>Registro!O38</f>
        <v>b) Suficiente</v>
      </c>
      <c r="Q38" s="89" t="str">
        <f>Registro!P38</f>
        <v>c) Poco</v>
      </c>
      <c r="R38" s="89" t="str">
        <f>Registro!Q38</f>
        <v>a) La familia, b) Los amigos, h) La sexualidad</v>
      </c>
      <c r="S38" s="94">
        <f t="shared" si="0"/>
        <v>3</v>
      </c>
      <c r="T38" s="89" t="str">
        <f>Registro!R38</f>
        <v>a) Mucho</v>
      </c>
      <c r="U38" s="89" t="str">
        <f>Registro!S38</f>
        <v>a) La Iglesia, d) Las convivencias, e) Los amigos, h) Algunas personas cercanas a Dios, j) Todas partes, k) La oración</v>
      </c>
      <c r="V38" s="89" t="str">
        <f>Registro!T38</f>
        <v>c) Rezo solo en situación de dificultad</v>
      </c>
      <c r="W38" s="89" t="str">
        <f>Registro!U38</f>
        <v>c) Solo en fechas especiales</v>
      </c>
      <c r="X38" s="89" t="str">
        <f>Registro!V38</f>
        <v>e) Voy a misa en las fechas de mis familiares difuntos</v>
      </c>
      <c r="Y38" s="89" t="str">
        <f>Registro!W38</f>
        <v>c) Religioso o parroquial</v>
      </c>
      <c r="Z38" s="89" t="str">
        <f>Registro!X38</f>
        <v>a) Un grupo donde profundizo mi fe</v>
      </c>
      <c r="AA38" s="89" t="str">
        <f>Registro!Y38</f>
        <v>b) No</v>
      </c>
      <c r="AB38" s="89" t="str">
        <f>Registro!Z38</f>
        <v>b) No</v>
      </c>
      <c r="AC38" s="89" t="str">
        <f>Registro!AA38</f>
        <v>a) Medicina, c) Sacerdocio o hermana religiosa</v>
      </c>
      <c r="AD38" s="94">
        <f t="shared" si="4"/>
        <v>2</v>
      </c>
      <c r="AE38" s="89" t="str">
        <f>Registro!AB38</f>
        <v>e) Servir a los demás</v>
      </c>
      <c r="AF38" s="89" t="str">
        <f>Registro!AC38</f>
        <v>c) Bastante</v>
      </c>
      <c r="AG38" s="89" t="str">
        <f>Registro!AD38</f>
        <v>b) El ambiente de estudio y de trabajo, h) Las actividades extraescolares</v>
      </c>
      <c r="AH38" s="94">
        <f t="shared" si="1"/>
        <v>2</v>
      </c>
      <c r="AI38" s="89" t="str">
        <f>Registro!AE38</f>
        <v>c) 5 a 6 horas</v>
      </c>
      <c r="AJ38" s="89" t="str">
        <f>Registro!AF38</f>
        <v>b) Navego en Internet, d) Estoy la mayor parte del tiempo en la casa sin hacer nada, m) Veo televisión y/o películas</v>
      </c>
      <c r="AK38" s="94">
        <f t="shared" si="2"/>
        <v>3</v>
      </c>
      <c r="AL38" s="89" t="str">
        <f>Registro!AG38</f>
        <v>d) Deficiente</v>
      </c>
      <c r="AM38" s="89" t="str">
        <f>Registro!AH38</f>
        <v>c) Regular</v>
      </c>
      <c r="AN38" s="89" t="str">
        <f>Registro!AI38</f>
        <v>b) Buena</v>
      </c>
      <c r="AO38" s="89" t="str">
        <f>Registro!AJ38</f>
        <v>c) Regular</v>
      </c>
      <c r="AP38" s="89" t="str">
        <f>Registro!AK38</f>
        <v>f) No aplica</v>
      </c>
      <c r="AQ38" s="89" t="str">
        <f>Registro!AL38</f>
        <v>b) Buena</v>
      </c>
      <c r="AR38" s="89" t="str">
        <f>Registro!AM38</f>
        <v>b) Buena</v>
      </c>
      <c r="AS38" s="89" t="str">
        <f>Registro!AN38</f>
        <v>b) Buena</v>
      </c>
      <c r="AT38" s="89" t="str">
        <f>Registro!AO38</f>
        <v>b) Buena</v>
      </c>
      <c r="AU38" s="89" t="str">
        <f>Registro!AP38</f>
        <v>b) Buena</v>
      </c>
      <c r="AV38" s="89" t="str">
        <f>Registro!AQ38</f>
        <v>b) Buena</v>
      </c>
      <c r="AW38" s="89" t="str">
        <f>Registro!AR38</f>
        <v>e) La disciplina y el orden</v>
      </c>
      <c r="AX38" s="89" t="str">
        <f>Registro!AS38</f>
        <v>b) Darme una buena educación</v>
      </c>
      <c r="AY38" s="89" t="str">
        <f>Registro!AT38</f>
        <v>e) Absolutamente necesaria</v>
      </c>
      <c r="AZ38" s="89" t="str">
        <f>Registro!AU38</f>
        <v>b) Las veces que bebo, es con moderación</v>
      </c>
      <c r="BA38" s="89" t="str">
        <f>Registro!AV38</f>
        <v>a) Personas a las que tengo que aguantar</v>
      </c>
      <c r="BB38" s="89" t="str">
        <f>Registro!AW38</f>
        <v>b) Poco</v>
      </c>
      <c r="BC38" s="89" t="str">
        <f>Registro!AX38</f>
        <v>d) Hay de todo tipo, pero predomina lo positivo</v>
      </c>
      <c r="BD38" s="89" t="str">
        <f>Registro!AY38</f>
        <v>e) Un, una docente, g) Un amigo, h) Una amiga</v>
      </c>
    </row>
    <row r="39" spans="1:56" ht="15" customHeight="1" x14ac:dyDescent="0.25">
      <c r="A39" s="101">
        <f>Registro!A39</f>
        <v>42066.517847222225</v>
      </c>
      <c r="B39" s="89" t="str">
        <f>Registro!B39</f>
        <v>c) Obra Social San José de Calasanz de Valencia</v>
      </c>
      <c r="C39" s="89" t="str">
        <f>Registro!C39</f>
        <v>d) Quinto año</v>
      </c>
      <c r="D39" s="89" t="str">
        <f>Registro!D39</f>
        <v>c) Entre Primero y Tercer año</v>
      </c>
      <c r="E39" s="89" t="str">
        <f>Registro!E39</f>
        <v>b) Femenino</v>
      </c>
      <c r="F39" s="89" t="str">
        <f>Registro!F39</f>
        <v>b) Evangélica</v>
      </c>
      <c r="G39" s="89" t="str">
        <f>Registro!G39</f>
        <v>e) Otros familiares</v>
      </c>
      <c r="H39" s="89" t="str">
        <f>Registro!H39</f>
        <v>b) Casa Urbana</v>
      </c>
      <c r="I39" s="89" t="str">
        <f>Registro!I39</f>
        <v>a) Sí</v>
      </c>
      <c r="J39" s="89" t="str">
        <f>Registro!J39</f>
        <v>b) Lavadora</v>
      </c>
      <c r="K39" s="89" t="str">
        <f>Registro!K39</f>
        <v>e) Cuatro</v>
      </c>
      <c r="L39" s="89"/>
      <c r="M39" s="94">
        <f t="shared" si="3"/>
        <v>0</v>
      </c>
      <c r="N39" s="89" t="str">
        <f>Registro!M39</f>
        <v>g) Mis estudios</v>
      </c>
      <c r="O39" s="89" t="str">
        <f>Registro!N39</f>
        <v>d) Nada</v>
      </c>
      <c r="P39" s="89" t="str">
        <f>Registro!O39</f>
        <v>a) Mucho</v>
      </c>
      <c r="Q39" s="89" t="str">
        <f>Registro!P39</f>
        <v>c) Poco</v>
      </c>
      <c r="R39" s="89" t="str">
        <f>Registro!Q39</f>
        <v>c) Los estudios</v>
      </c>
      <c r="S39" s="94">
        <f t="shared" si="0"/>
        <v>1</v>
      </c>
      <c r="T39" s="89" t="str">
        <f>Registro!R39</f>
        <v>a) Mucho</v>
      </c>
      <c r="U39" s="89" t="str">
        <f>Registro!S39</f>
        <v>a) La Iglesia</v>
      </c>
      <c r="V39" s="89" t="str">
        <f>Registro!T39</f>
        <v>d) No rezo nunca</v>
      </c>
      <c r="W39" s="89" t="str">
        <f>Registro!U39</f>
        <v>d) Nunca</v>
      </c>
      <c r="X39" s="89" t="str">
        <f>Registro!V39</f>
        <v>d) Suelo orar todos los días</v>
      </c>
      <c r="Y39" s="89" t="str">
        <f>Registro!W39</f>
        <v>c) Religioso o parroquial</v>
      </c>
      <c r="Z39" s="89">
        <f>Registro!X39</f>
        <v>0</v>
      </c>
      <c r="AA39" s="89" t="str">
        <f>Registro!Y39</f>
        <v>b) No</v>
      </c>
      <c r="AB39" s="89" t="str">
        <f>Registro!Z39</f>
        <v>b) No</v>
      </c>
      <c r="AC39" s="89"/>
      <c r="AD39" s="94">
        <f t="shared" si="4"/>
        <v>0</v>
      </c>
      <c r="AE39" s="89" t="str">
        <f>Registro!AB39</f>
        <v>e) Servir a los demás</v>
      </c>
      <c r="AF39" s="89" t="str">
        <f>Registro!AC39</f>
        <v>d) Mucho o muchísimo</v>
      </c>
      <c r="AG39" s="89" t="str">
        <f>Registro!AD39</f>
        <v>b) El ambiente de estudio y de trabajo</v>
      </c>
      <c r="AH39" s="94">
        <f t="shared" si="1"/>
        <v>1</v>
      </c>
      <c r="AI39" s="89" t="str">
        <f>Registro!AE39</f>
        <v>b) 3 a 4 horas</v>
      </c>
      <c r="AJ39" s="89" t="str">
        <f>Registro!AF39</f>
        <v>i) Leo revistas o libros</v>
      </c>
      <c r="AK39" s="94">
        <f t="shared" si="2"/>
        <v>1</v>
      </c>
      <c r="AL39" s="89" t="str">
        <f>Registro!AG39</f>
        <v>e) Muy deficiente</v>
      </c>
      <c r="AM39" s="89" t="str">
        <f>Registro!AH39</f>
        <v>a) Muy buena</v>
      </c>
      <c r="AN39" s="89" t="str">
        <f>Registro!AI39</f>
        <v>a) Muy buena</v>
      </c>
      <c r="AO39" s="89" t="str">
        <f>Registro!AJ39</f>
        <v>a) Muy buena</v>
      </c>
      <c r="AP39" s="89" t="str">
        <f>Registro!AK39</f>
        <v>b) Buena</v>
      </c>
      <c r="AQ39" s="89" t="str">
        <f>Registro!AL39</f>
        <v>b) Buena</v>
      </c>
      <c r="AR39" s="89" t="str">
        <f>Registro!AM39</f>
        <v>b) Buena</v>
      </c>
      <c r="AS39" s="89" t="str">
        <f>Registro!AN39</f>
        <v>b) Buena</v>
      </c>
      <c r="AT39" s="89" t="str">
        <f>Registro!AO39</f>
        <v>c) Regular</v>
      </c>
      <c r="AU39" s="89" t="str">
        <f>Registro!AP39</f>
        <v>e) Muy mala</v>
      </c>
      <c r="AV39" s="89" t="str">
        <f>Registro!AQ39</f>
        <v>a) Muy buena</v>
      </c>
      <c r="AW39" s="89" t="str">
        <f>Registro!AR39</f>
        <v>g) La orientación profesional futura</v>
      </c>
      <c r="AX39" s="89" t="str">
        <f>Registro!AS39</f>
        <v>a) Que sea un buen profesional</v>
      </c>
      <c r="AY39" s="89" t="str">
        <f>Registro!AT39</f>
        <v>e) Absolutamente necesaria</v>
      </c>
      <c r="AZ39" s="89" t="str">
        <f>Registro!AU39</f>
        <v>a) No acostumbro a tomarlo nunca</v>
      </c>
      <c r="BA39" s="89" t="str">
        <f>Registro!AV39</f>
        <v>e) Educadores que se preocupan de nosotros</v>
      </c>
      <c r="BB39" s="89" t="str">
        <f>Registro!AW39</f>
        <v>d) Mucho o muchísimo</v>
      </c>
      <c r="BC39" s="89" t="str">
        <f>Registro!AX39</f>
        <v>a) No me gustan en absoluto</v>
      </c>
      <c r="BD39" s="89" t="str">
        <f>Registro!AY39</f>
        <v>j) Nadie</v>
      </c>
    </row>
    <row r="40" spans="1:56" ht="15" customHeight="1" x14ac:dyDescent="0.25">
      <c r="A40" s="101">
        <f>Registro!A40</f>
        <v>42066.517870370371</v>
      </c>
      <c r="B40" s="89" t="str">
        <f>Registro!B40</f>
        <v>c) Obra Social San José de Calasanz de Valencia</v>
      </c>
      <c r="C40" s="89" t="str">
        <f>Registro!C40</f>
        <v>d) Quinto año</v>
      </c>
      <c r="D40" s="89" t="str">
        <f>Registro!D40</f>
        <v>a) Educación Inicial</v>
      </c>
      <c r="E40" s="89" t="str">
        <f>Registro!E40</f>
        <v>b) Femenino</v>
      </c>
      <c r="F40" s="89" t="str">
        <f>Registro!F40</f>
        <v>a) Católica</v>
      </c>
      <c r="G40" s="89" t="str">
        <f>Registro!G40</f>
        <v>a) Mamá, b) Papá, c) Hermanos, d) Abuelos</v>
      </c>
      <c r="H40" s="89" t="str">
        <f>Registro!H40</f>
        <v>b) Casa Urbana</v>
      </c>
      <c r="I40" s="89" t="str">
        <f>Registro!I40</f>
        <v>a) Sí</v>
      </c>
      <c r="J40" s="89" t="str">
        <f>Registro!J40</f>
        <v>b) Lavadora, c) Microondas, e) Moto, g) MP4, i) Computadora, j) Cámara digital, k) Aire acondicionado</v>
      </c>
      <c r="K40" s="89" t="str">
        <f>Registro!K40</f>
        <v>f) Más de cuatro</v>
      </c>
      <c r="L40" s="89" t="str">
        <f>Registro!L40</f>
        <v>a) La familia, b) Los amigos, c) Los estudios</v>
      </c>
      <c r="M40" s="94">
        <f t="shared" si="3"/>
        <v>3</v>
      </c>
      <c r="N40" s="89" t="str">
        <f>Registro!M40</f>
        <v>g) Mis estudios</v>
      </c>
      <c r="O40" s="89" t="str">
        <f>Registro!N40</f>
        <v>a) Mucho</v>
      </c>
      <c r="P40" s="89" t="str">
        <f>Registro!O40</f>
        <v>c) Poco</v>
      </c>
      <c r="Q40" s="89" t="str">
        <f>Registro!P40</f>
        <v>a) Mucho</v>
      </c>
      <c r="R40" s="89"/>
      <c r="S40" s="94">
        <f t="shared" si="0"/>
        <v>0</v>
      </c>
      <c r="T40" s="89" t="str">
        <f>Registro!R40</f>
        <v>a) Mucho</v>
      </c>
      <c r="U40" s="89" t="str">
        <f>Registro!S40</f>
        <v>a) La Iglesia, d) Las convivencias, f) Todas las personas</v>
      </c>
      <c r="V40" s="89" t="str">
        <f>Registro!T40</f>
        <v>b) Rezo por costumbre</v>
      </c>
      <c r="W40" s="89" t="str">
        <f>Registro!U40</f>
        <v>c) Solo en fechas especiales</v>
      </c>
      <c r="X40" s="89" t="str">
        <f>Registro!V40</f>
        <v>d) Suelo orar todos los días, i) Tengo en mi cuarto alguna imagen religiosa</v>
      </c>
      <c r="Y40" s="89" t="str">
        <f>Registro!W40</f>
        <v>c) Religioso o parroquial</v>
      </c>
      <c r="Z40" s="89" t="str">
        <f>Registro!X40</f>
        <v>a) Un grupo donde profundizo mi fe</v>
      </c>
      <c r="AA40" s="89" t="str">
        <f>Registro!Y40</f>
        <v>b) No</v>
      </c>
      <c r="AB40" s="89" t="str">
        <f>Registro!Z40</f>
        <v>b) No</v>
      </c>
      <c r="AC40" s="89"/>
      <c r="AD40" s="94">
        <f t="shared" si="4"/>
        <v>0</v>
      </c>
      <c r="AE40" s="89" t="str">
        <f>Registro!AB40</f>
        <v>e) Servir a los demás</v>
      </c>
      <c r="AF40" s="89" t="str">
        <f>Registro!AC40</f>
        <v>c) Bastante</v>
      </c>
      <c r="AG40" s="89" t="str">
        <f>Registro!AD40</f>
        <v>b) El ambiente de estudio y de trabajo, h) Las actividades extraescolares</v>
      </c>
      <c r="AH40" s="94">
        <f t="shared" si="1"/>
        <v>2</v>
      </c>
      <c r="AI40" s="89" t="str">
        <f>Registro!AE40</f>
        <v>d) 7 a 8 horas</v>
      </c>
      <c r="AJ40" s="89" t="str">
        <f>Registro!AF40</f>
        <v>b) Navego en Internet, d) Estoy la mayor parte del tiempo en la casa sin hacer nada, n) Estoy conversando con los amigos/as</v>
      </c>
      <c r="AK40" s="94">
        <f t="shared" si="2"/>
        <v>3</v>
      </c>
      <c r="AL40" s="89" t="str">
        <f>Registro!AG40</f>
        <v>c) Regular</v>
      </c>
      <c r="AM40" s="89" t="str">
        <f>Registro!AH40</f>
        <v>a) Muy buena</v>
      </c>
      <c r="AN40" s="89" t="str">
        <f>Registro!AI40</f>
        <v>a) Muy buena</v>
      </c>
      <c r="AO40" s="89" t="str">
        <f>Registro!AJ40</f>
        <v>b) Buena</v>
      </c>
      <c r="AP40" s="89" t="str">
        <f>Registro!AK40</f>
        <v>c) Regular</v>
      </c>
      <c r="AQ40" s="89" t="str">
        <f>Registro!AL40</f>
        <v>b) Buena</v>
      </c>
      <c r="AR40" s="89" t="str">
        <f>Registro!AM40</f>
        <v>a) Muy buena</v>
      </c>
      <c r="AS40" s="89" t="str">
        <f>Registro!AN40</f>
        <v>c) Regular</v>
      </c>
      <c r="AT40" s="89" t="str">
        <f>Registro!AO40</f>
        <v>a) Muy buena</v>
      </c>
      <c r="AU40" s="89" t="str">
        <f>Registro!AP40</f>
        <v>b) Buena</v>
      </c>
      <c r="AV40" s="89" t="str">
        <f>Registro!AQ40</f>
        <v>b) Buena</v>
      </c>
      <c r="AW40" s="89" t="str">
        <f>Registro!AR40</f>
        <v>e) La disciplina y el orden</v>
      </c>
      <c r="AX40" s="89" t="str">
        <f>Registro!AS40</f>
        <v>b) Darme una buena educación</v>
      </c>
      <c r="AY40" s="89" t="str">
        <f>Registro!AT40</f>
        <v>e) Absolutamente necesaria</v>
      </c>
      <c r="AZ40" s="89" t="str">
        <f>Registro!AU40</f>
        <v>b) Las veces que bebo, es con moderación</v>
      </c>
      <c r="BA40" s="89" t="str">
        <f>Registro!AV40</f>
        <v>e) Educadores que se preocupan de nosotros</v>
      </c>
      <c r="BB40" s="89" t="str">
        <f>Registro!AW40</f>
        <v>b) Poco</v>
      </c>
      <c r="BC40" s="89" t="str">
        <f>Registro!AX40</f>
        <v>e) Son personas que me gustan y admiro</v>
      </c>
      <c r="BD40" s="89" t="str">
        <f>Registro!AY40</f>
        <v>c) Un hermano/a, g) Un amigo, h) Una amiga</v>
      </c>
    </row>
    <row r="41" spans="1:56" ht="15" customHeight="1" x14ac:dyDescent="0.25">
      <c r="A41" s="101">
        <f>Registro!A41</f>
        <v>42066.519571759258</v>
      </c>
      <c r="B41" s="89" t="str">
        <f>Registro!B41</f>
        <v>c) Obra Social San José de Calasanz de Valencia</v>
      </c>
      <c r="C41" s="89" t="str">
        <f>Registro!C41</f>
        <v>d) Quinto año</v>
      </c>
      <c r="D41" s="89" t="str">
        <f>Registro!D41</f>
        <v>a) Educación Inicial</v>
      </c>
      <c r="E41" s="89" t="str">
        <f>Registro!E41</f>
        <v>a) Masculino</v>
      </c>
      <c r="F41" s="89" t="str">
        <f>Registro!F41</f>
        <v>a) Católica</v>
      </c>
      <c r="G41" s="89" t="str">
        <f>Registro!G41</f>
        <v>a) Mamá, c) Hermanos, e) Otros familiares</v>
      </c>
      <c r="H41" s="89" t="str">
        <f>Registro!H41</f>
        <v>b) Casa Urbana</v>
      </c>
      <c r="I41" s="89" t="str">
        <f>Registro!I41</f>
        <v>a) Sí</v>
      </c>
      <c r="J41" s="89" t="str">
        <f>Registro!J41</f>
        <v>b) Lavadora, c) Microondas, d) TV pantalla plana, k) Aire acondicionado</v>
      </c>
      <c r="K41" s="89" t="str">
        <f>Registro!K41</f>
        <v>b) Una</v>
      </c>
      <c r="L41" s="89"/>
      <c r="M41" s="94">
        <f t="shared" si="3"/>
        <v>0</v>
      </c>
      <c r="N41" s="89" t="str">
        <f>Registro!M41</f>
        <v>f) La situación política del país</v>
      </c>
      <c r="O41" s="89" t="str">
        <f>Registro!N41</f>
        <v>c) Poco</v>
      </c>
      <c r="P41" s="89" t="str">
        <f>Registro!O41</f>
        <v>b) Suficiente</v>
      </c>
      <c r="Q41" s="89" t="str">
        <f>Registro!P41</f>
        <v>c) Poco</v>
      </c>
      <c r="R41" s="89"/>
      <c r="S41" s="94">
        <f t="shared" si="0"/>
        <v>0</v>
      </c>
      <c r="T41" s="89" t="str">
        <f>Registro!R41</f>
        <v>a) Mucho</v>
      </c>
      <c r="U41" s="89" t="str">
        <f>Registro!S41</f>
        <v>b) La naturaleza, f) Todas las personas, g) Mi familia, i) Los necesitados, j) Todas partes, k) La oración</v>
      </c>
      <c r="V41" s="89" t="str">
        <f>Registro!T41</f>
        <v>a) Suelo rezar por convicción o porque me gusta</v>
      </c>
      <c r="W41" s="89" t="str">
        <f>Registro!U41</f>
        <v>d) Nunca</v>
      </c>
      <c r="X41" s="89" t="str">
        <f>Registro!V41</f>
        <v>b) Suelo bendedir los alimentos antes de comer, d) Suelo orar todos los días</v>
      </c>
      <c r="Y41" s="89" t="str">
        <f>Registro!W41</f>
        <v>d) No pertenezco a ninguno</v>
      </c>
      <c r="Z41" s="89" t="str">
        <f>Registro!X41</f>
        <v>d) No pertenezco a grupos juveniles cristianos</v>
      </c>
      <c r="AA41" s="89" t="str">
        <f>Registro!Y41</f>
        <v>b) No</v>
      </c>
      <c r="AB41" s="89" t="str">
        <f>Registro!Z41</f>
        <v>b) No</v>
      </c>
      <c r="AC41" s="89"/>
      <c r="AD41" s="94">
        <f t="shared" si="4"/>
        <v>0</v>
      </c>
      <c r="AE41" s="89" t="str">
        <f>Registro!AB41</f>
        <v>e) Servir a los demás</v>
      </c>
      <c r="AF41" s="89" t="str">
        <f>Registro!AC41</f>
        <v>d) Mucho o muchísimo</v>
      </c>
      <c r="AG41" s="89" t="str">
        <f>Registro!AD41</f>
        <v>c) Las instalaciones del Colegio, e) La mayor posibilidad de vivir mi fe</v>
      </c>
      <c r="AH41" s="94">
        <f t="shared" si="1"/>
        <v>2</v>
      </c>
      <c r="AI41" s="89" t="str">
        <f>Registro!AE41</f>
        <v>b) 3 a 4 horas</v>
      </c>
      <c r="AJ41" s="89"/>
      <c r="AK41" s="94">
        <f t="shared" si="2"/>
        <v>0</v>
      </c>
      <c r="AL41" s="89" t="str">
        <f>Registro!AG41</f>
        <v>b) Bueno</v>
      </c>
      <c r="AM41" s="89" t="str">
        <f>Registro!AH41</f>
        <v>a) Muy buena</v>
      </c>
      <c r="AN41" s="89" t="str">
        <f>Registro!AI41</f>
        <v>a) Muy buena</v>
      </c>
      <c r="AO41" s="89" t="str">
        <f>Registro!AJ41</f>
        <v>b) Buena</v>
      </c>
      <c r="AP41" s="89" t="str">
        <f>Registro!AK41</f>
        <v>c) Regular</v>
      </c>
      <c r="AQ41" s="89" t="str">
        <f>Registro!AL41</f>
        <v>b) Buena</v>
      </c>
      <c r="AR41" s="89" t="str">
        <f>Registro!AM41</f>
        <v>c) Regular</v>
      </c>
      <c r="AS41" s="89" t="str">
        <f>Registro!AN41</f>
        <v>b) Buena</v>
      </c>
      <c r="AT41" s="89" t="str">
        <f>Registro!AO41</f>
        <v>b) Buena</v>
      </c>
      <c r="AU41" s="89" t="str">
        <f>Registro!AP41</f>
        <v>c) Regular</v>
      </c>
      <c r="AV41" s="89" t="str">
        <f>Registro!AQ41</f>
        <v>a) Muy buena</v>
      </c>
      <c r="AW41" s="89" t="str">
        <f>Registro!AR41</f>
        <v>h) La responsabilidad social y el servicio a los demás</v>
      </c>
      <c r="AX41" s="89" t="str">
        <f>Registro!AS41</f>
        <v>c) Que me preocupe de los demás</v>
      </c>
      <c r="AY41" s="89" t="str">
        <f>Registro!AT41</f>
        <v>d) Bastante necesaria</v>
      </c>
      <c r="AZ41" s="89" t="str">
        <f>Registro!AU41</f>
        <v>b) Las veces que bebo, es con moderación</v>
      </c>
      <c r="BA41" s="89" t="str">
        <f>Registro!AV41</f>
        <v>e) Educadores que se preocupan de nosotros</v>
      </c>
      <c r="BB41" s="89" t="str">
        <f>Registro!AW41</f>
        <v>c) Bastante</v>
      </c>
      <c r="BC41" s="89" t="str">
        <f>Registro!AX41</f>
        <v>d) Hay de todo tipo, pero predomina lo positivo</v>
      </c>
      <c r="BD41" s="89" t="str">
        <f>Registro!AY41</f>
        <v>b) Mi madre, c) Un hermano/a, f) La orientadora, g) Un amigo, h) Una amiga</v>
      </c>
    </row>
    <row r="42" spans="1:56" ht="15" customHeight="1" x14ac:dyDescent="0.25">
      <c r="A42" s="101">
        <f>Registro!A42</f>
        <v>42066.52103009259</v>
      </c>
      <c r="B42" s="89" t="str">
        <f>Registro!B42</f>
        <v>c) Obra Social San José de Calasanz de Valencia</v>
      </c>
      <c r="C42" s="89" t="str">
        <f>Registro!C42</f>
        <v>d) Quinto año</v>
      </c>
      <c r="D42" s="89" t="str">
        <f>Registro!D42</f>
        <v>d) En Cuarto año o posterior</v>
      </c>
      <c r="E42" s="89" t="str">
        <f>Registro!E42</f>
        <v>b) Femenino</v>
      </c>
      <c r="F42" s="89" t="str">
        <f>Registro!F42</f>
        <v>a) Católica</v>
      </c>
      <c r="G42" s="89" t="str">
        <f>Registro!G42</f>
        <v>a) Mamá, c) Hermanos</v>
      </c>
      <c r="H42" s="89" t="str">
        <f>Registro!H42</f>
        <v>b) Casa Urbana</v>
      </c>
      <c r="I42" s="89" t="str">
        <f>Registro!I42</f>
        <v>c) Algo</v>
      </c>
      <c r="J42" s="89" t="str">
        <f>Registro!J42</f>
        <v>b) Lavadora, c) Microondas, k) Aire acondicionado</v>
      </c>
      <c r="K42" s="89" t="str">
        <f>Registro!K42</f>
        <v>d) Tres</v>
      </c>
      <c r="L42" s="89" t="str">
        <f>Registro!L42</f>
        <v>a) La familia, b) Los amigos, j) El deporte</v>
      </c>
      <c r="M42" s="94">
        <f t="shared" si="3"/>
        <v>3</v>
      </c>
      <c r="N42" s="89" t="str">
        <f>Registro!M42</f>
        <v>b) El futuro</v>
      </c>
      <c r="O42" s="89" t="str">
        <f>Registro!N42</f>
        <v>b) Suficiente</v>
      </c>
      <c r="P42" s="89" t="str">
        <f>Registro!O42</f>
        <v>a) Mucho</v>
      </c>
      <c r="Q42" s="89" t="str">
        <f>Registro!P42</f>
        <v>b) Suficiente</v>
      </c>
      <c r="R42" s="89"/>
      <c r="S42" s="94">
        <f t="shared" si="0"/>
        <v>0</v>
      </c>
      <c r="T42" s="89" t="str">
        <f>Registro!R42</f>
        <v>c) Poco</v>
      </c>
      <c r="U42" s="89" t="str">
        <f>Registro!S42</f>
        <v>a) La Iglesia, b) La naturaleza, d) Las convivencias, f) Todas las personas, g) Mi familia, h) Algunas personas cercanas a Dios, i) Los necesitados</v>
      </c>
      <c r="V42" s="89" t="str">
        <f>Registro!T42</f>
        <v>a) Suelo rezar por convicción o porque me gusta</v>
      </c>
      <c r="W42" s="89" t="str">
        <f>Registro!U42</f>
        <v>c) Solo en fechas especiales</v>
      </c>
      <c r="X42" s="89" t="str">
        <f>Registro!V42</f>
        <v>e) Voy a misa en las fechas de mis familiares difuntos, g) En ocasiones, en mi casa tenemos una oración familiar, h) En Semana Santa asisto a las procesiones</v>
      </c>
      <c r="Y42" s="89" t="str">
        <f>Registro!W42</f>
        <v>a) Deportivo, b) Cultural (folklórico, musicales, danzas, scout, banda marcial,...) , c) Religioso o parroquial</v>
      </c>
      <c r="Z42" s="89" t="str">
        <f>Registro!X42</f>
        <v>d) No pertenezco a grupos juveniles cristianos</v>
      </c>
      <c r="AA42" s="89" t="str">
        <f>Registro!Y42</f>
        <v>b) No</v>
      </c>
      <c r="AB42" s="89" t="str">
        <f>Registro!Z42</f>
        <v>b) No</v>
      </c>
      <c r="AC42" s="89" t="str">
        <f>Registro!AA42</f>
        <v>a) Medicina, g) Artista</v>
      </c>
      <c r="AD42" s="94">
        <f t="shared" si="4"/>
        <v>2</v>
      </c>
      <c r="AE42" s="89" t="str">
        <f>Registro!AB42</f>
        <v>c) Ser un excelente profesional</v>
      </c>
      <c r="AF42" s="89" t="str">
        <f>Registro!AC42</f>
        <v>b) Poco</v>
      </c>
      <c r="AG42" s="89" t="str">
        <f>Registro!AD42</f>
        <v>a) Los deportes y diversiones, e) La mayor posibilidad de vivir mi fe</v>
      </c>
      <c r="AH42" s="94">
        <f t="shared" si="1"/>
        <v>2</v>
      </c>
      <c r="AI42" s="89" t="str">
        <f>Registro!AE42</f>
        <v>c) 5 a 6 horas</v>
      </c>
      <c r="AJ42" s="89" t="str">
        <f>Registro!AF42</f>
        <v>k) Practico algún deporte, m) Veo televisión y/o películas, n) Estoy conversando con los amigos/as</v>
      </c>
      <c r="AK42" s="94">
        <f t="shared" si="2"/>
        <v>3</v>
      </c>
      <c r="AL42" s="89" t="str">
        <f>Registro!AG42</f>
        <v>c) Regular</v>
      </c>
      <c r="AM42" s="89" t="str">
        <f>Registro!AH42</f>
        <v>c) Regular</v>
      </c>
      <c r="AN42" s="89" t="str">
        <f>Registro!AI42</f>
        <v>c) Regular</v>
      </c>
      <c r="AO42" s="89" t="str">
        <f>Registro!AJ42</f>
        <v>c) Regular</v>
      </c>
      <c r="AP42" s="89" t="str">
        <f>Registro!AK42</f>
        <v>f) No aplica</v>
      </c>
      <c r="AQ42" s="89" t="str">
        <f>Registro!AL42</f>
        <v>c) Regular</v>
      </c>
      <c r="AR42" s="89" t="str">
        <f>Registro!AM42</f>
        <v>b) Buena</v>
      </c>
      <c r="AS42" s="89" t="str">
        <f>Registro!AN42</f>
        <v>b) Buena</v>
      </c>
      <c r="AT42" s="89" t="str">
        <f>Registro!AO42</f>
        <v>c) Regular</v>
      </c>
      <c r="AU42" s="89" t="str">
        <f>Registro!AP42</f>
        <v>c) Regular</v>
      </c>
      <c r="AV42" s="89" t="str">
        <f>Registro!AQ42</f>
        <v>e) Muy mala</v>
      </c>
      <c r="AW42" s="89" t="str">
        <f>Registro!AR42</f>
        <v>b) La orientación cristiana</v>
      </c>
      <c r="AX42" s="89" t="str">
        <f>Registro!AS42</f>
        <v>a) Que sea un buen profesional</v>
      </c>
      <c r="AY42" s="89" t="str">
        <f>Registro!AT42</f>
        <v>d) Bastante necesaria</v>
      </c>
      <c r="AZ42" s="89" t="str">
        <f>Registro!AU42</f>
        <v>a) No acostumbro a tomarlo nunca</v>
      </c>
      <c r="BA42" s="89" t="str">
        <f>Registro!AV42</f>
        <v>c) Profesionales que hacen lo que pueden</v>
      </c>
      <c r="BB42" s="89" t="str">
        <f>Registro!AW42</f>
        <v>c) Bastante</v>
      </c>
      <c r="BC42" s="89" t="str">
        <f>Registro!AX42</f>
        <v>a) No me gustan en absoluto</v>
      </c>
      <c r="BD42" s="89" t="str">
        <f>Registro!AY42</f>
        <v>j) Nadie</v>
      </c>
    </row>
    <row r="43" spans="1:56" ht="15" customHeight="1" x14ac:dyDescent="0.25">
      <c r="A43" s="101">
        <f>Registro!A43</f>
        <v>42066.521365740744</v>
      </c>
      <c r="B43" s="89" t="str">
        <f>Registro!B43</f>
        <v>c) Obra Social San José de Calasanz de Valencia</v>
      </c>
      <c r="C43" s="89" t="str">
        <f>Registro!C43</f>
        <v>d) Quinto año</v>
      </c>
      <c r="D43" s="89" t="str">
        <f>Registro!D43</f>
        <v>b) Primaria</v>
      </c>
      <c r="E43" s="89" t="str">
        <f>Registro!E43</f>
        <v>b) Femenino</v>
      </c>
      <c r="F43" s="89" t="str">
        <f>Registro!F43</f>
        <v>b) Evangélica</v>
      </c>
      <c r="G43" s="89" t="str">
        <f>Registro!G43</f>
        <v>a) Mamá, b) Papá, c) Hermanos, d) Abuelos</v>
      </c>
      <c r="H43" s="89" t="str">
        <f>Registro!H43</f>
        <v>b) Casa Urbana</v>
      </c>
      <c r="I43" s="89" t="str">
        <f>Registro!I43</f>
        <v>a) Sí</v>
      </c>
      <c r="J43" s="89" t="str">
        <f>Registro!J43</f>
        <v>a) Cónsola videojuegos, b) Lavadora, c) Microondas, d) TV pantalla plana, f) MP3, h) Carro, i) Computadora, j) Cámara digital, k) Aire acondicionado</v>
      </c>
      <c r="K43" s="89" t="str">
        <f>Registro!K43</f>
        <v>c) Dos</v>
      </c>
      <c r="L43" s="89"/>
      <c r="M43" s="94">
        <f t="shared" si="3"/>
        <v>0</v>
      </c>
      <c r="N43" s="89" t="str">
        <f>Registro!M43</f>
        <v>g) Mis estudios</v>
      </c>
      <c r="O43" s="89" t="str">
        <f>Registro!N43</f>
        <v>a) Mucho</v>
      </c>
      <c r="P43" s="89" t="str">
        <f>Registro!O43</f>
        <v>b) Suficiente</v>
      </c>
      <c r="Q43" s="89" t="str">
        <f>Registro!P43</f>
        <v>a) Mucho</v>
      </c>
      <c r="R43" s="89" t="str">
        <f>Registro!Q43</f>
        <v>a) La familia, c) Los estudios, f) Mi fe y mi vida cristiana</v>
      </c>
      <c r="S43" s="94">
        <f t="shared" si="0"/>
        <v>3</v>
      </c>
      <c r="T43" s="89" t="str">
        <f>Registro!R43</f>
        <v>a) Mucho</v>
      </c>
      <c r="U43" s="89" t="str">
        <f>Registro!S43</f>
        <v>j) Todas partes</v>
      </c>
      <c r="V43" s="89" t="str">
        <f>Registro!T43</f>
        <v>a) Suelo rezar por convicción o porque me gusta</v>
      </c>
      <c r="W43" s="89" t="str">
        <f>Registro!U43</f>
        <v>d) Nunca</v>
      </c>
      <c r="X43" s="89" t="str">
        <f>Registro!V43</f>
        <v>b) Suelo bendedir los alimentos antes de comer, d) Suelo orar todos los días, g) En ocasiones, en mi casa tenemos una oración familiar</v>
      </c>
      <c r="Y43" s="89" t="str">
        <f>Registro!W43</f>
        <v>c) Religioso o parroquial</v>
      </c>
      <c r="Z43" s="89" t="str">
        <f>Registro!X43</f>
        <v>a) Un grupo donde profundizo mi fe</v>
      </c>
      <c r="AA43" s="89" t="str">
        <f>Registro!Y43</f>
        <v>b) No</v>
      </c>
      <c r="AB43" s="89" t="str">
        <f>Registro!Z43</f>
        <v>b) No</v>
      </c>
      <c r="AC43" s="89" t="str">
        <f>Registro!AA43</f>
        <v>a) Medicina, b) Docencia</v>
      </c>
      <c r="AD43" s="94">
        <f t="shared" si="4"/>
        <v>2</v>
      </c>
      <c r="AE43" s="89" t="str">
        <f>Registro!AB43</f>
        <v>f) Ejecutar una tarea conforme a mi fe</v>
      </c>
      <c r="AF43" s="89" t="str">
        <f>Registro!AC43</f>
        <v>d) Mucho o muchísimo</v>
      </c>
      <c r="AG43" s="89" t="str">
        <f>Registro!AD43</f>
        <v>a) Los deportes y diversiones, c) Las instalaciones del Colegio</v>
      </c>
      <c r="AH43" s="94">
        <f t="shared" si="1"/>
        <v>2</v>
      </c>
      <c r="AI43" s="89" t="str">
        <f>Registro!AE43</f>
        <v>c) 5 a 6 horas</v>
      </c>
      <c r="AJ43" s="89" t="str">
        <f>Registro!AF43</f>
        <v>b) Navego en Internet, n) Estoy conversando con los amigos/as</v>
      </c>
      <c r="AK43" s="94">
        <f t="shared" si="2"/>
        <v>2</v>
      </c>
      <c r="AL43" s="89" t="str">
        <f>Registro!AG43</f>
        <v>c) Regular</v>
      </c>
      <c r="AM43" s="89" t="str">
        <f>Registro!AH43</f>
        <v>f) No aplica</v>
      </c>
      <c r="AN43" s="89" t="str">
        <f>Registro!AI43</f>
        <v>c) Regular</v>
      </c>
      <c r="AO43" s="89" t="str">
        <f>Registro!AJ43</f>
        <v>b) Buena</v>
      </c>
      <c r="AP43" s="89" t="str">
        <f>Registro!AK43</f>
        <v>f) No aplica</v>
      </c>
      <c r="AQ43" s="89" t="str">
        <f>Registro!AL43</f>
        <v>a) Muy buena</v>
      </c>
      <c r="AR43" s="89" t="str">
        <f>Registro!AM43</f>
        <v>b) Buena</v>
      </c>
      <c r="AS43" s="89" t="str">
        <f>Registro!AN43</f>
        <v>e) Muy mala</v>
      </c>
      <c r="AT43" s="89" t="str">
        <f>Registro!AO43</f>
        <v>e) Muy mala</v>
      </c>
      <c r="AU43" s="89" t="str">
        <f>Registro!AP43</f>
        <v>e) Muy mala</v>
      </c>
      <c r="AV43" s="89" t="str">
        <f>Registro!AQ43</f>
        <v>c) Regular</v>
      </c>
      <c r="AW43" s="89" t="str">
        <f>Registro!AR43</f>
        <v>e) La disciplina y el orden</v>
      </c>
      <c r="AX43" s="89" t="str">
        <f>Registro!AS43</f>
        <v>b) Darme una buena educación</v>
      </c>
      <c r="AY43" s="89" t="str">
        <f>Registro!AT43</f>
        <v>e) Absolutamente necesaria</v>
      </c>
      <c r="AZ43" s="89" t="str">
        <f>Registro!AU43</f>
        <v>a) No acostumbro a tomarlo nunca</v>
      </c>
      <c r="BA43" s="89" t="str">
        <f>Registro!AV43</f>
        <v>e) Educadores que se preocupan de nosotros</v>
      </c>
      <c r="BB43" s="89" t="str">
        <f>Registro!AW43</f>
        <v>c) Bastante</v>
      </c>
      <c r="BC43" s="89" t="str">
        <f>Registro!AX43</f>
        <v>a) No me gustan en absoluto</v>
      </c>
      <c r="BD43" s="89" t="str">
        <f>Registro!AY43</f>
        <v>a) Mi padre, b) Mi madre, c) Un hermano/a, g) Un amigo, h) Una amiga</v>
      </c>
    </row>
    <row r="44" spans="1:56" ht="15" customHeight="1" x14ac:dyDescent="0.25">
      <c r="A44" s="101">
        <f>Registro!A44</f>
        <v>42066.522893518515</v>
      </c>
      <c r="B44" s="89" t="str">
        <f>Registro!B44</f>
        <v>c) Obra Social San José de Calasanz de Valencia</v>
      </c>
      <c r="C44" s="89" t="str">
        <f>Registro!C44</f>
        <v>d) Quinto año</v>
      </c>
      <c r="D44" s="89" t="str">
        <f>Registro!D44</f>
        <v>a) Educación Inicial</v>
      </c>
      <c r="E44" s="89" t="str">
        <f>Registro!E44</f>
        <v>b) Femenino</v>
      </c>
      <c r="F44" s="89" t="str">
        <f>Registro!F44</f>
        <v>a) Católica</v>
      </c>
      <c r="G44" s="89" t="str">
        <f>Registro!G44</f>
        <v>a) Mamá, b) Papá, c) Hermanos</v>
      </c>
      <c r="H44" s="89" t="str">
        <f>Registro!H44</f>
        <v>b) Casa Urbana</v>
      </c>
      <c r="I44" s="89" t="str">
        <f>Registro!I44</f>
        <v>a) Sí</v>
      </c>
      <c r="J44" s="89" t="str">
        <f>Registro!J44</f>
        <v>b) Lavadora, c) Microondas, d) TV pantalla plana, h) Carro, k) Aire acondicionado</v>
      </c>
      <c r="K44" s="89" t="str">
        <f>Registro!K44</f>
        <v>b) Una</v>
      </c>
      <c r="L44" s="89" t="str">
        <f>Registro!L44</f>
        <v>a) La familia, b) Los amigos, c) Los estudios</v>
      </c>
      <c r="M44" s="94">
        <f t="shared" si="3"/>
        <v>3</v>
      </c>
      <c r="N44" s="89" t="str">
        <f>Registro!M44</f>
        <v>a) Seguridad personal (la violencia y la delincuencia)</v>
      </c>
      <c r="O44" s="89" t="str">
        <f>Registro!N44</f>
        <v>b) Suficiente</v>
      </c>
      <c r="P44" s="89" t="str">
        <f>Registro!O44</f>
        <v>b) Suficiente</v>
      </c>
      <c r="Q44" s="89" t="str">
        <f>Registro!P44</f>
        <v>b) Suficiente</v>
      </c>
      <c r="R44" s="89" t="str">
        <f>Registro!Q44</f>
        <v>b) Los amigos, e) Disponer de dinero, g) La felicidad</v>
      </c>
      <c r="S44" s="94">
        <f t="shared" si="0"/>
        <v>3</v>
      </c>
      <c r="T44" s="89" t="str">
        <f>Registro!R44</f>
        <v>a) Mucho</v>
      </c>
      <c r="U44" s="89" t="str">
        <f>Registro!S44</f>
        <v>a) La Iglesia, d) Las convivencias, e) Los amigos, k) La oración</v>
      </c>
      <c r="V44" s="89" t="str">
        <f>Registro!T44</f>
        <v>c) Rezo solo en situación de dificultad</v>
      </c>
      <c r="W44" s="89" t="str">
        <f>Registro!U44</f>
        <v>c) Solo en fechas especiales</v>
      </c>
      <c r="X44" s="89">
        <f>Registro!V44</f>
        <v>0</v>
      </c>
      <c r="Y44" s="89" t="str">
        <f>Registro!W44</f>
        <v>d) No pertenezco a ninguno</v>
      </c>
      <c r="Z44" s="89" t="str">
        <f>Registro!X44</f>
        <v>d) No pertenezco a grupos juveniles cristianos</v>
      </c>
      <c r="AA44" s="89" t="str">
        <f>Registro!Y44</f>
        <v>b) No</v>
      </c>
      <c r="AB44" s="89" t="str">
        <f>Registro!Z44</f>
        <v>b) No</v>
      </c>
      <c r="AC44" s="89"/>
      <c r="AD44" s="94">
        <f t="shared" si="4"/>
        <v>0</v>
      </c>
      <c r="AE44" s="89" t="str">
        <f>Registro!AB44</f>
        <v>a) Ganar mucho dinero</v>
      </c>
      <c r="AF44" s="89" t="str">
        <f>Registro!AC44</f>
        <v>d) Mucho o muchísimo</v>
      </c>
      <c r="AG44" s="89" t="str">
        <f>Registro!AD44</f>
        <v>a) Los deportes y diversiones, b) El ambiente de estudio y de trabajo</v>
      </c>
      <c r="AH44" s="94">
        <f t="shared" si="1"/>
        <v>2</v>
      </c>
      <c r="AI44" s="89" t="str">
        <f>Registro!AE44</f>
        <v>c) 5 a 6 horas</v>
      </c>
      <c r="AJ44" s="89"/>
      <c r="AK44" s="94">
        <f t="shared" si="2"/>
        <v>0</v>
      </c>
      <c r="AL44" s="89" t="str">
        <f>Registro!AG44</f>
        <v>d) Deficiente</v>
      </c>
      <c r="AM44" s="89" t="str">
        <f>Registro!AH44</f>
        <v>c) Regular</v>
      </c>
      <c r="AN44" s="89" t="str">
        <f>Registro!AI44</f>
        <v>c) Regular</v>
      </c>
      <c r="AO44" s="89" t="str">
        <f>Registro!AJ44</f>
        <v>a) Muy buena</v>
      </c>
      <c r="AP44" s="89" t="str">
        <f>Registro!AK44</f>
        <v>d) Mala</v>
      </c>
      <c r="AQ44" s="89" t="str">
        <f>Registro!AL44</f>
        <v>b) Buena</v>
      </c>
      <c r="AR44" s="89" t="str">
        <f>Registro!AM44</f>
        <v>b) Buena</v>
      </c>
      <c r="AS44" s="89" t="str">
        <f>Registro!AN44</f>
        <v>b) Buena</v>
      </c>
      <c r="AT44" s="89" t="str">
        <f>Registro!AO44</f>
        <v>c) Regular</v>
      </c>
      <c r="AU44" s="89" t="str">
        <f>Registro!AP44</f>
        <v>b) Buena</v>
      </c>
      <c r="AV44" s="89" t="str">
        <f>Registro!AQ44</f>
        <v>b) Buena</v>
      </c>
      <c r="AW44" s="89" t="str">
        <f>Registro!AR44</f>
        <v>b) La orientación cristiana</v>
      </c>
      <c r="AX44" s="89" t="str">
        <f>Registro!AS44</f>
        <v>a) Que sea un buen profesional</v>
      </c>
      <c r="AY44" s="89" t="str">
        <f>Registro!AT44</f>
        <v>e) Absolutamente necesaria</v>
      </c>
      <c r="AZ44" s="89" t="str">
        <f>Registro!AU44</f>
        <v>b) Las veces que bebo, es con moderación</v>
      </c>
      <c r="BA44" s="89" t="str">
        <f>Registro!AV44</f>
        <v>e) Educadores que se preocupan de nosotros</v>
      </c>
      <c r="BB44" s="89" t="str">
        <f>Registro!AW44</f>
        <v>b) Poco</v>
      </c>
      <c r="BC44" s="89" t="str">
        <f>Registro!AX44</f>
        <v>d) Hay de todo tipo, pero predomina lo positivo</v>
      </c>
      <c r="BD44" s="89" t="str">
        <f>Registro!AY44</f>
        <v>b) Mi madre, h) Una amiga</v>
      </c>
    </row>
    <row r="45" spans="1:56" ht="15" customHeight="1" x14ac:dyDescent="0.25">
      <c r="A45" s="101">
        <f>Registro!A45</f>
        <v>42066.524131944447</v>
      </c>
      <c r="B45" s="89" t="str">
        <f>Registro!B45</f>
        <v>c) Obra Social San José de Calasanz de Valencia</v>
      </c>
      <c r="C45" s="89" t="str">
        <f>Registro!C45</f>
        <v>d) Quinto año</v>
      </c>
      <c r="D45" s="89" t="str">
        <f>Registro!D45</f>
        <v>b) Primaria</v>
      </c>
      <c r="E45" s="89" t="str">
        <f>Registro!E45</f>
        <v>a) Masculino</v>
      </c>
      <c r="F45" s="89" t="str">
        <f>Registro!F45</f>
        <v>a) Católica</v>
      </c>
      <c r="G45" s="89" t="str">
        <f>Registro!G45</f>
        <v>a) Mamá, b) Papá, c) Hermanos</v>
      </c>
      <c r="H45" s="89" t="str">
        <f>Registro!H45</f>
        <v>b) Casa Urbana</v>
      </c>
      <c r="I45" s="89" t="str">
        <f>Registro!I45</f>
        <v>a) Sí</v>
      </c>
      <c r="J45" s="89" t="str">
        <f>Registro!J45</f>
        <v>a) Cónsola videojuegos, b) Lavadora, c) Microondas, i) Computadora</v>
      </c>
      <c r="K45" s="89" t="str">
        <f>Registro!K45</f>
        <v>d) Tres</v>
      </c>
      <c r="L45" s="89" t="str">
        <f>Registro!L45</f>
        <v>a) La familia, b) Los amigos, c) Los estudios</v>
      </c>
      <c r="M45" s="94">
        <f t="shared" si="3"/>
        <v>3</v>
      </c>
      <c r="N45" s="89" t="str">
        <f>Registro!M45</f>
        <v>a) Seguridad personal (la violencia y la delincuencia)</v>
      </c>
      <c r="O45" s="89" t="str">
        <f>Registro!N45</f>
        <v>a) Mucho</v>
      </c>
      <c r="P45" s="89" t="str">
        <f>Registro!O45</f>
        <v>a) Mucho</v>
      </c>
      <c r="Q45" s="89" t="str">
        <f>Registro!P45</f>
        <v>c) Poco</v>
      </c>
      <c r="R45" s="89" t="str">
        <f>Registro!Q45</f>
        <v>b) Los amigos, e) Disponer de dinero, i) La música</v>
      </c>
      <c r="S45" s="94">
        <f t="shared" si="0"/>
        <v>3</v>
      </c>
      <c r="T45" s="89" t="str">
        <f>Registro!R45</f>
        <v>a) Mucho</v>
      </c>
      <c r="U45" s="89" t="str">
        <f>Registro!S45</f>
        <v>a) La Iglesia, b) La naturaleza, c) El salón de clase, d) Las convivencias, e) Los amigos, f) Todas las personas, g) Mi familia, h) Algunas personas cercanas a Dios, i) Los necesitados, j) Todas partes, k) La oración, l) Los sacramentos</v>
      </c>
      <c r="V45" s="89" t="str">
        <f>Registro!T45</f>
        <v>a) Suelo rezar por convicción o porque me gusta</v>
      </c>
      <c r="W45" s="89" t="str">
        <f>Registro!U45</f>
        <v>c) Solo en fechas especiales</v>
      </c>
      <c r="X45" s="89" t="str">
        <f>Registro!V45</f>
        <v>b) Suelo bendedir los alimentos antes de comer, d) Suelo orar todos los días</v>
      </c>
      <c r="Y45" s="89" t="str">
        <f>Registro!W45</f>
        <v>a) Deportivo</v>
      </c>
      <c r="Z45" s="89" t="str">
        <f>Registro!X45</f>
        <v>c) Un lugar donde me lo paso bien</v>
      </c>
      <c r="AA45" s="89" t="str">
        <f>Registro!Y45</f>
        <v>b) No</v>
      </c>
      <c r="AB45" s="89" t="str">
        <f>Registro!Z45</f>
        <v>b) No</v>
      </c>
      <c r="AC45" s="89" t="str">
        <f>Registro!AA45</f>
        <v>f) Ciencias policiales o artes militares, j) Trabajador calificado</v>
      </c>
      <c r="AD45" s="94">
        <f t="shared" si="4"/>
        <v>2</v>
      </c>
      <c r="AE45" s="89" t="str">
        <f>Registro!AB45</f>
        <v>a) Ganar mucho dinero</v>
      </c>
      <c r="AF45" s="89" t="str">
        <f>Registro!AC45</f>
        <v>b) Poco</v>
      </c>
      <c r="AG45" s="89" t="str">
        <f>Registro!AD45</f>
        <v>a) Los deportes y diversiones, c) Las instalaciones del Colegio</v>
      </c>
      <c r="AH45" s="94">
        <f t="shared" si="1"/>
        <v>2</v>
      </c>
      <c r="AI45" s="89" t="str">
        <f>Registro!AE45</f>
        <v>a) 0 a 2 horas</v>
      </c>
      <c r="AJ45" s="89"/>
      <c r="AK45" s="94">
        <f t="shared" si="2"/>
        <v>0</v>
      </c>
      <c r="AL45" s="89" t="str">
        <f>Registro!AG45</f>
        <v>b) Bueno</v>
      </c>
      <c r="AM45" s="89" t="str">
        <f>Registro!AH45</f>
        <v>c) Regular</v>
      </c>
      <c r="AN45" s="89" t="str">
        <f>Registro!AI45</f>
        <v>c) Regular</v>
      </c>
      <c r="AO45" s="89" t="str">
        <f>Registro!AJ45</f>
        <v>c) Regular</v>
      </c>
      <c r="AP45" s="89" t="str">
        <f>Registro!AK45</f>
        <v>c) Regular</v>
      </c>
      <c r="AQ45" s="89" t="str">
        <f>Registro!AL45</f>
        <v>c) Regular</v>
      </c>
      <c r="AR45" s="89" t="str">
        <f>Registro!AM45</f>
        <v>b) Buena</v>
      </c>
      <c r="AS45" s="89" t="str">
        <f>Registro!AN45</f>
        <v>c) Regular</v>
      </c>
      <c r="AT45" s="89" t="str">
        <f>Registro!AO45</f>
        <v>b) Buena</v>
      </c>
      <c r="AU45" s="89" t="str">
        <f>Registro!AP45</f>
        <v>c) Regular</v>
      </c>
      <c r="AV45" s="89" t="str">
        <f>Registro!AQ45</f>
        <v>b) Buena</v>
      </c>
      <c r="AW45" s="89" t="str">
        <f>Registro!AR45</f>
        <v>f) la práctica religiosa</v>
      </c>
      <c r="AX45" s="89" t="str">
        <f>Registro!AS45</f>
        <v>a) Que sea un buen profesional</v>
      </c>
      <c r="AY45" s="89" t="str">
        <f>Registro!AT45</f>
        <v>d) Bastante necesaria</v>
      </c>
      <c r="AZ45" s="89" t="str">
        <f>Registro!AU45</f>
        <v>b) Las veces que bebo, es con moderación</v>
      </c>
      <c r="BA45" s="89" t="str">
        <f>Registro!AV45</f>
        <v>c) Profesionales que hacen lo que pueden</v>
      </c>
      <c r="BB45" s="89" t="str">
        <f>Registro!AW45</f>
        <v>c) Bastante</v>
      </c>
      <c r="BC45" s="89" t="str">
        <f>Registro!AX45</f>
        <v>c) Son personas normales y corrientes</v>
      </c>
      <c r="BD45" s="89" t="str">
        <f>Registro!AY45</f>
        <v>a) Mi padre, b) Mi madre, c) Un hermano/a, g) Un amigo, h) Una amiga</v>
      </c>
    </row>
    <row r="46" spans="1:56" ht="15" customHeight="1" x14ac:dyDescent="0.25">
      <c r="A46" s="101">
        <f>Registro!A46</f>
        <v>42066.528969907406</v>
      </c>
      <c r="B46" s="89" t="str">
        <f>Registro!B46</f>
        <v>c) Obra Social San José de Calasanz de Valencia</v>
      </c>
      <c r="C46" s="89" t="str">
        <f>Registro!C46</f>
        <v>d) Quinto año</v>
      </c>
      <c r="D46" s="89" t="str">
        <f>Registro!D46</f>
        <v>c) Entre Primero y Tercer año</v>
      </c>
      <c r="E46" s="89" t="str">
        <f>Registro!E46</f>
        <v>b) Femenino</v>
      </c>
      <c r="F46" s="89" t="str">
        <f>Registro!F46</f>
        <v>b) Evangélica</v>
      </c>
      <c r="G46" s="89" t="str">
        <f>Registro!G46</f>
        <v>a) Mamá, b) Papá, c) Hermanos</v>
      </c>
      <c r="H46" s="89" t="str">
        <f>Registro!H46</f>
        <v>b) Casa Urbana</v>
      </c>
      <c r="I46" s="89" t="str">
        <f>Registro!I46</f>
        <v>a) Sí</v>
      </c>
      <c r="J46" s="89" t="str">
        <f>Registro!J46</f>
        <v>a) Cónsola videojuegos, b) Lavadora, i) Computadora</v>
      </c>
      <c r="K46" s="89" t="str">
        <f>Registro!K46</f>
        <v>c) Dos</v>
      </c>
      <c r="L46" s="89" t="str">
        <f>Registro!L46</f>
        <v>a) La familia, c) Los estudios, f) Mi fe y vida cristiana</v>
      </c>
      <c r="M46" s="94">
        <f t="shared" si="3"/>
        <v>3</v>
      </c>
      <c r="N46" s="89" t="str">
        <f>Registro!M46</f>
        <v>g) Mis estudios</v>
      </c>
      <c r="O46" s="89" t="str">
        <f>Registro!N46</f>
        <v>b) Suficiente</v>
      </c>
      <c r="P46" s="89" t="str">
        <f>Registro!O46</f>
        <v>c) Poco</v>
      </c>
      <c r="Q46" s="89" t="str">
        <f>Registro!P46</f>
        <v>b) Suficiente</v>
      </c>
      <c r="R46" s="89"/>
      <c r="S46" s="94">
        <f t="shared" si="0"/>
        <v>0</v>
      </c>
      <c r="T46" s="89" t="str">
        <f>Registro!R46</f>
        <v>a) Mucho</v>
      </c>
      <c r="U46" s="89" t="str">
        <f>Registro!S46</f>
        <v>a) La Iglesia, b) La naturaleza, e) Los amigos, g) Mi familia, i) Los necesitados, k) La oración</v>
      </c>
      <c r="V46" s="89" t="str">
        <f>Registro!T46</f>
        <v>a) Suelo rezar por convicción o porque me gusta</v>
      </c>
      <c r="W46" s="89" t="str">
        <f>Registro!U46</f>
        <v>d) Nunca</v>
      </c>
      <c r="X46" s="89" t="str">
        <f>Registro!V46</f>
        <v>b) Suelo bendedir los alimentos antes de comer, d) Suelo orar todos los días</v>
      </c>
      <c r="Y46" s="89" t="str">
        <f>Registro!W46</f>
        <v>c) Religioso o parroquial</v>
      </c>
      <c r="Z46" s="89" t="str">
        <f>Registro!X46</f>
        <v>a) Un grupo donde profundizo mi fe</v>
      </c>
      <c r="AA46" s="89" t="str">
        <f>Registro!Y46</f>
        <v>b) No</v>
      </c>
      <c r="AB46" s="89" t="str">
        <f>Registro!Z46</f>
        <v>b) No</v>
      </c>
      <c r="AC46" s="89" t="str">
        <f>Registro!AA46</f>
        <v>a) Medicina, h) Ciencias políticas</v>
      </c>
      <c r="AD46" s="94">
        <f t="shared" si="4"/>
        <v>2</v>
      </c>
      <c r="AE46" s="89" t="str">
        <f>Registro!AB46</f>
        <v>c) Ser un excelente profesional</v>
      </c>
      <c r="AF46" s="89" t="str">
        <f>Registro!AC46</f>
        <v>b) Poco</v>
      </c>
      <c r="AG46" s="89"/>
      <c r="AH46" s="94">
        <f t="shared" si="1"/>
        <v>0</v>
      </c>
      <c r="AI46" s="89" t="str">
        <f>Registro!AE46</f>
        <v>a) 0 a 2 horas</v>
      </c>
      <c r="AJ46" s="89"/>
      <c r="AK46" s="94">
        <f t="shared" si="2"/>
        <v>0</v>
      </c>
      <c r="AL46" s="89" t="str">
        <f>Registro!AG46</f>
        <v>b) Bueno</v>
      </c>
      <c r="AM46" s="89" t="str">
        <f>Registro!AH46</f>
        <v>b) Buena</v>
      </c>
      <c r="AN46" s="89" t="str">
        <f>Registro!AI46</f>
        <v>b) Buena</v>
      </c>
      <c r="AO46" s="89" t="str">
        <f>Registro!AJ46</f>
        <v>a) Muy buena</v>
      </c>
      <c r="AP46" s="89" t="str">
        <f>Registro!AK46</f>
        <v>c) Regular</v>
      </c>
      <c r="AQ46" s="89" t="str">
        <f>Registro!AL46</f>
        <v>a) Muy buena</v>
      </c>
      <c r="AR46" s="89" t="str">
        <f>Registro!AM46</f>
        <v>b) Buena</v>
      </c>
      <c r="AS46" s="89" t="str">
        <f>Registro!AN46</f>
        <v>b) Buena</v>
      </c>
      <c r="AT46" s="89" t="str">
        <f>Registro!AO46</f>
        <v>c) Regular</v>
      </c>
      <c r="AU46" s="89" t="str">
        <f>Registro!AP46</f>
        <v>b) Buena</v>
      </c>
      <c r="AV46" s="89" t="str">
        <f>Registro!AQ46</f>
        <v>b) Buena</v>
      </c>
      <c r="AW46" s="89" t="str">
        <f>Registro!AR46</f>
        <v>c) El estudio</v>
      </c>
      <c r="AX46" s="89" t="str">
        <f>Registro!AS46</f>
        <v>e) Que sea cristiano responsable</v>
      </c>
      <c r="AY46" s="89" t="str">
        <f>Registro!AT46</f>
        <v>e) Absolutamente necesaria</v>
      </c>
      <c r="AZ46" s="89" t="str">
        <f>Registro!AU46</f>
        <v>a) No acostumbro a tomarlo nunca</v>
      </c>
      <c r="BA46" s="89" t="str">
        <f>Registro!AV46</f>
        <v>d) Buenos profesionales de la educación</v>
      </c>
      <c r="BB46" s="89" t="str">
        <f>Registro!AW46</f>
        <v>c) Bastante</v>
      </c>
      <c r="BC46" s="89" t="str">
        <f>Registro!AX46</f>
        <v>d) Hay de todo tipo, pero predomina lo positivo</v>
      </c>
      <c r="BD46" s="89" t="str">
        <f>Registro!AY46</f>
        <v>b) Mi madre, h) Una amiga</v>
      </c>
    </row>
    <row r="47" spans="1:56" ht="15" customHeight="1" x14ac:dyDescent="0.25">
      <c r="A47" s="101">
        <f>Registro!A47</f>
        <v>42097.380486111113</v>
      </c>
      <c r="B47" s="89" t="str">
        <f>Registro!B47</f>
        <v>c) Obra Social San José de Calasanz de Valencia</v>
      </c>
      <c r="C47" s="89" t="str">
        <f>Registro!C47</f>
        <v>d) Quinto año</v>
      </c>
      <c r="D47" s="89" t="str">
        <f>Registro!D47</f>
        <v>a) Educación Inicial</v>
      </c>
      <c r="E47" s="89" t="str">
        <f>Registro!E47</f>
        <v>a) Masculino</v>
      </c>
      <c r="F47" s="89" t="str">
        <f>Registro!F47</f>
        <v>a) Católica</v>
      </c>
      <c r="G47" s="89" t="str">
        <f>Registro!G47</f>
        <v>a) Mamá, c) Hermanos</v>
      </c>
      <c r="H47" s="89" t="str">
        <f>Registro!H47</f>
        <v>b) Casa Urbana</v>
      </c>
      <c r="I47" s="89" t="str">
        <f>Registro!I47</f>
        <v>c) Algo</v>
      </c>
      <c r="J47" s="89" t="str">
        <f>Registro!J47</f>
        <v>a) Cónsola videojuegos, c) Microondas, d) TV pantalla plana, h) Carro, i) Computadora, k) Aire acondicionado</v>
      </c>
      <c r="K47" s="89" t="str">
        <f>Registro!K47</f>
        <v>c) Dos</v>
      </c>
      <c r="L47" s="89" t="str">
        <f>Registro!L47</f>
        <v>a) La familia, b) Los amigos, g) La felicidad</v>
      </c>
      <c r="M47" s="94">
        <f t="shared" si="3"/>
        <v>3</v>
      </c>
      <c r="N47" s="89" t="str">
        <f>Registro!M47</f>
        <v>b) El futuro</v>
      </c>
      <c r="O47" s="89">
        <f>Registro!N47</f>
        <v>0</v>
      </c>
      <c r="P47" s="89" t="str">
        <f>Registro!O47</f>
        <v>b) Suficiente</v>
      </c>
      <c r="Q47" s="89" t="str">
        <f>Registro!P47</f>
        <v>c) Poco</v>
      </c>
      <c r="R47" s="89" t="str">
        <f>Registro!Q47</f>
        <v>b) Los amigos</v>
      </c>
      <c r="S47" s="94">
        <f t="shared" si="0"/>
        <v>1</v>
      </c>
      <c r="T47" s="89" t="str">
        <f>Registro!R47</f>
        <v>b) Suficiente</v>
      </c>
      <c r="U47" s="89" t="str">
        <f>Registro!S47</f>
        <v>a) La Iglesia, g) Mi familia</v>
      </c>
      <c r="V47" s="89" t="str">
        <f>Registro!T47</f>
        <v>c) Rezo solo en situación de dificultad</v>
      </c>
      <c r="W47" s="89" t="str">
        <f>Registro!U47</f>
        <v>b) Algunos domingos</v>
      </c>
      <c r="X47" s="89" t="str">
        <f>Registro!V47</f>
        <v>f) En alguna ocasión he rezado el rosario, h) En Semana Santa asisto a las procesiones, i) Tengo en mi cuarto alguna imagen religiosa</v>
      </c>
      <c r="Y47" s="89" t="str">
        <f>Registro!W47</f>
        <v>a) Deportivo</v>
      </c>
      <c r="Z47" s="89" t="str">
        <f>Registro!X47</f>
        <v>d) No pertenezco a grupos juveniles cristianos</v>
      </c>
      <c r="AA47" s="89" t="str">
        <f>Registro!Y47</f>
        <v>b) No</v>
      </c>
      <c r="AB47" s="89" t="str">
        <f>Registro!Z47</f>
        <v>b) No</v>
      </c>
      <c r="AC47" s="89"/>
      <c r="AD47" s="94">
        <f t="shared" si="4"/>
        <v>0</v>
      </c>
      <c r="AE47" s="89" t="str">
        <f>Registro!AB47</f>
        <v>b) Tener una buena posición social, ser importante</v>
      </c>
      <c r="AF47" s="89" t="str">
        <f>Registro!AC47</f>
        <v>b) Poco</v>
      </c>
      <c r="AG47" s="89" t="str">
        <f>Registro!AD47</f>
        <v>b) El ambiente de estudio y de trabajo, h) Las actividades extraescolares</v>
      </c>
      <c r="AH47" s="94">
        <f t="shared" si="1"/>
        <v>2</v>
      </c>
      <c r="AI47" s="89" t="str">
        <f>Registro!AE47</f>
        <v>a) 0 a 2 horas</v>
      </c>
      <c r="AJ47" s="89" t="str">
        <f>Registro!AF47</f>
        <v>d) Estoy la mayor parte del tiempo en la casa sin hacer nada, m) Veo televisión y/o películas, n) Estoy conversando con los amigos/as</v>
      </c>
      <c r="AK47" s="94">
        <f t="shared" si="2"/>
        <v>3</v>
      </c>
      <c r="AL47" s="89" t="str">
        <f>Registro!AG47</f>
        <v>c) Regular</v>
      </c>
      <c r="AM47" s="89" t="str">
        <f>Registro!AH47</f>
        <v>c) Regular</v>
      </c>
      <c r="AN47" s="89" t="str">
        <f>Registro!AI47</f>
        <v>b) Buena</v>
      </c>
      <c r="AO47" s="89" t="str">
        <f>Registro!AJ47</f>
        <v>c) Regular</v>
      </c>
      <c r="AP47" s="89" t="str">
        <f>Registro!AK47</f>
        <v>c) Regular</v>
      </c>
      <c r="AQ47" s="89" t="str">
        <f>Registro!AL47</f>
        <v>c) Regular</v>
      </c>
      <c r="AR47" s="89" t="str">
        <f>Registro!AM47</f>
        <v>e) Muy mala</v>
      </c>
      <c r="AS47" s="89" t="str">
        <f>Registro!AN47</f>
        <v>c) Regular</v>
      </c>
      <c r="AT47" s="89" t="str">
        <f>Registro!AO47</f>
        <v>c) Regular</v>
      </c>
      <c r="AU47" s="89" t="str">
        <f>Registro!AP47</f>
        <v>b) Buena</v>
      </c>
      <c r="AV47" s="89" t="str">
        <f>Registro!AQ47</f>
        <v>c) Regular</v>
      </c>
      <c r="AW47" s="89" t="str">
        <f>Registro!AR47</f>
        <v>e) La disciplina y el orden</v>
      </c>
      <c r="AX47" s="89" t="str">
        <f>Registro!AS47</f>
        <v>g) No tienen una preocupación especial</v>
      </c>
      <c r="AY47" s="89" t="str">
        <f>Registro!AT47</f>
        <v>c) Conveniente</v>
      </c>
      <c r="AZ47" s="89" t="str">
        <f>Registro!AU47</f>
        <v>b) Las veces que bebo, es con moderación</v>
      </c>
      <c r="BA47" s="89" t="str">
        <f>Registro!AV47</f>
        <v>c) Profesionales que hacen lo que pueden</v>
      </c>
      <c r="BB47" s="89">
        <f>Registro!AW47</f>
        <v>0</v>
      </c>
      <c r="BC47" s="89" t="str">
        <f>Registro!AX47</f>
        <v>c) Son personas normales y corrientes</v>
      </c>
      <c r="BD47" s="89" t="str">
        <f>Registro!AY47</f>
        <v>b) Mi madre, g) Un amigo</v>
      </c>
    </row>
    <row r="48" spans="1:56" ht="15" customHeight="1" x14ac:dyDescent="0.25">
      <c r="A48" s="101">
        <f>Registro!A48</f>
        <v>42127.18577546296</v>
      </c>
      <c r="B48" s="89" t="str">
        <f>Registro!B48</f>
        <v>c) Obra Social San José de Calasanz de Valencia</v>
      </c>
      <c r="C48" s="89" t="str">
        <f>Registro!C48</f>
        <v>c) Cuarto año</v>
      </c>
      <c r="D48" s="89" t="str">
        <f>Registro!D48</f>
        <v>c) Entre Primero y Tercer año</v>
      </c>
      <c r="E48" s="89" t="str">
        <f>Registro!E48</f>
        <v>a) Masculino</v>
      </c>
      <c r="F48" s="89" t="str">
        <f>Registro!F48</f>
        <v>a) Católica</v>
      </c>
      <c r="G48" s="89" t="str">
        <f>Registro!G48</f>
        <v>b) Papá, c) Hermanos, d) Abuelos</v>
      </c>
      <c r="H48" s="89" t="str">
        <f>Registro!H48</f>
        <v>b) Casa Urbana</v>
      </c>
      <c r="I48" s="89" t="str">
        <f>Registro!I48</f>
        <v>a) Sí</v>
      </c>
      <c r="J48" s="89" t="str">
        <f>Registro!J48</f>
        <v>b) Lavadora, i) Computadora</v>
      </c>
      <c r="K48" s="89" t="str">
        <f>Registro!K48</f>
        <v>b) Una</v>
      </c>
      <c r="L48" s="89"/>
      <c r="M48" s="94">
        <f t="shared" si="3"/>
        <v>0</v>
      </c>
      <c r="N48" s="89" t="str">
        <f>Registro!M48</f>
        <v>d) Los problemas familiares</v>
      </c>
      <c r="O48" s="89" t="str">
        <f>Registro!N48</f>
        <v>d) Nada</v>
      </c>
      <c r="P48" s="89" t="str">
        <f>Registro!O48</f>
        <v>c) Poco</v>
      </c>
      <c r="Q48" s="89" t="str">
        <f>Registro!P48</f>
        <v>b) Suficiente</v>
      </c>
      <c r="R48" s="89"/>
      <c r="S48" s="94">
        <f t="shared" si="0"/>
        <v>0</v>
      </c>
      <c r="T48" s="89" t="str">
        <f>Registro!R48</f>
        <v>a) Mucho</v>
      </c>
      <c r="U48" s="89" t="str">
        <f>Registro!S48</f>
        <v>a) La Iglesia, d) Las convivencias, k) La oración</v>
      </c>
      <c r="V48" s="89" t="str">
        <f>Registro!T48</f>
        <v>b) Rezo por costumbre</v>
      </c>
      <c r="W48" s="89" t="str">
        <f>Registro!U48</f>
        <v>d) Nunca</v>
      </c>
      <c r="X48" s="89">
        <f>Registro!V48</f>
        <v>0</v>
      </c>
      <c r="Y48" s="89" t="str">
        <f>Registro!W48</f>
        <v>d) No pertenezco a ninguno</v>
      </c>
      <c r="Z48" s="89" t="str">
        <f>Registro!X48</f>
        <v>d) No pertenezco a grupos juveniles cristianos</v>
      </c>
      <c r="AA48" s="89" t="str">
        <f>Registro!Y48</f>
        <v>b) No</v>
      </c>
      <c r="AB48" s="89" t="str">
        <f>Registro!Z48</f>
        <v>b) No</v>
      </c>
      <c r="AC48" s="89"/>
      <c r="AD48" s="94">
        <f t="shared" si="4"/>
        <v>0</v>
      </c>
      <c r="AE48" s="89" t="str">
        <f>Registro!AB48</f>
        <v>c) Ser un excelente profesional</v>
      </c>
      <c r="AF48" s="89" t="str">
        <f>Registro!AC48</f>
        <v>d) Mucho o muchísimo</v>
      </c>
      <c r="AG48" s="89" t="str">
        <f>Registro!AD48</f>
        <v>a) Los deportes y diversiones, c) Las instalaciones del Colegio</v>
      </c>
      <c r="AH48" s="94">
        <f t="shared" si="1"/>
        <v>2</v>
      </c>
      <c r="AI48" s="89" t="str">
        <f>Registro!AE48</f>
        <v>b) 3 a 4 horas</v>
      </c>
      <c r="AJ48" s="89" t="str">
        <f>Registro!AF48</f>
        <v>a) Me divierto con juegos para computadoras, d) Estoy la mayor parte del tiempo en la casa sin hacer nada, k) Practico algún deporte</v>
      </c>
      <c r="AK48" s="94">
        <f t="shared" si="2"/>
        <v>3</v>
      </c>
      <c r="AL48" s="89" t="str">
        <f>Registro!AG48</f>
        <v>a) Muy bueno</v>
      </c>
      <c r="AM48" s="89" t="str">
        <f>Registro!AH48</f>
        <v>b) Buena</v>
      </c>
      <c r="AN48" s="89" t="str">
        <f>Registro!AI48</f>
        <v>b) Buena</v>
      </c>
      <c r="AO48" s="89" t="str">
        <f>Registro!AJ48</f>
        <v>a) Muy buena</v>
      </c>
      <c r="AP48" s="89" t="str">
        <f>Registro!AK48</f>
        <v>f) No aplica</v>
      </c>
      <c r="AQ48" s="89" t="str">
        <f>Registro!AL48</f>
        <v>b) Buena</v>
      </c>
      <c r="AR48" s="89" t="str">
        <f>Registro!AM48</f>
        <v>a) Muy buena</v>
      </c>
      <c r="AS48" s="89" t="str">
        <f>Registro!AN48</f>
        <v>b) Buena</v>
      </c>
      <c r="AT48" s="89" t="str">
        <f>Registro!AO48</f>
        <v>a) Muy buena</v>
      </c>
      <c r="AU48" s="89" t="str">
        <f>Registro!AP48</f>
        <v>a) Muy buena</v>
      </c>
      <c r="AV48" s="89" t="str">
        <f>Registro!AQ48</f>
        <v>a) Muy buena</v>
      </c>
      <c r="AW48" s="89" t="str">
        <f>Registro!AR48</f>
        <v>b) La orientación cristiana</v>
      </c>
      <c r="AX48" s="89" t="str">
        <f>Registro!AS48</f>
        <v>a) Que sea un buen profesional</v>
      </c>
      <c r="AY48" s="89" t="str">
        <f>Registro!AT48</f>
        <v>e) Absolutamente necesaria</v>
      </c>
      <c r="AZ48" s="89" t="str">
        <f>Registro!AU48</f>
        <v>b) Las veces que bebo, es con moderación</v>
      </c>
      <c r="BA48" s="89" t="str">
        <f>Registro!AV48</f>
        <v>f) Educadores que, además, me han abierto caminos</v>
      </c>
      <c r="BB48" s="89" t="str">
        <f>Registro!AW48</f>
        <v>d) Mucho o muchísimo</v>
      </c>
      <c r="BC48" s="89" t="str">
        <f>Registro!AX48</f>
        <v>e) Son personas que me gustan y admiro</v>
      </c>
      <c r="BD48" s="89" t="str">
        <f>Registro!AY48</f>
        <v>h) Una amiga</v>
      </c>
    </row>
    <row r="49" spans="1:56" ht="15" customHeight="1" x14ac:dyDescent="0.25">
      <c r="A49" s="101">
        <f>Registro!A49</f>
        <v>42127.186597222222</v>
      </c>
      <c r="B49" s="89" t="str">
        <f>Registro!B49</f>
        <v>c) Obra Social San José de Calasanz de Valencia</v>
      </c>
      <c r="C49" s="89" t="str">
        <f>Registro!C49</f>
        <v>c) Cuarto año</v>
      </c>
      <c r="D49" s="89" t="str">
        <f>Registro!D49</f>
        <v>b) Primaria</v>
      </c>
      <c r="E49" s="89" t="str">
        <f>Registro!E49</f>
        <v>b) Femenino</v>
      </c>
      <c r="F49" s="89" t="str">
        <f>Registro!F49</f>
        <v>a) Católica</v>
      </c>
      <c r="G49" s="89" t="str">
        <f>Registro!G49</f>
        <v>a) Mamá, b) Papá, c) Hermanos</v>
      </c>
      <c r="H49" s="89" t="str">
        <f>Registro!H49</f>
        <v>b) Casa Urbana</v>
      </c>
      <c r="I49" s="89" t="str">
        <f>Registro!I49</f>
        <v>a) Sí</v>
      </c>
      <c r="J49" s="89" t="str">
        <f>Registro!J49</f>
        <v>b) Lavadora, c) Microondas, d) TV pantalla plana, i) Computadora, k) Aire acondicionado</v>
      </c>
      <c r="K49" s="89" t="str">
        <f>Registro!K49</f>
        <v>c) Dos</v>
      </c>
      <c r="L49" s="89"/>
      <c r="M49" s="94">
        <f t="shared" si="3"/>
        <v>0</v>
      </c>
      <c r="N49" s="89" t="str">
        <f>Registro!M49</f>
        <v>g) Mis estudios</v>
      </c>
      <c r="O49" s="89" t="str">
        <f>Registro!N49</f>
        <v>b) Suficiente</v>
      </c>
      <c r="P49" s="89" t="str">
        <f>Registro!O49</f>
        <v>c) Poco</v>
      </c>
      <c r="Q49" s="89" t="str">
        <f>Registro!P49</f>
        <v>a) Mucho</v>
      </c>
      <c r="R49" s="89" t="str">
        <f>Registro!Q49</f>
        <v>b) Los amigos, c) Los estudios, g) La felicidad</v>
      </c>
      <c r="S49" s="94">
        <f t="shared" si="0"/>
        <v>3</v>
      </c>
      <c r="T49" s="89" t="str">
        <f>Registro!R49</f>
        <v>b) Suficiente</v>
      </c>
      <c r="U49" s="89" t="str">
        <f>Registro!S49</f>
        <v>b) La naturaleza, d) Las convivencias, k) La oración</v>
      </c>
      <c r="V49" s="89" t="str">
        <f>Registro!T49</f>
        <v>c) Rezo solo en situación de dificultad</v>
      </c>
      <c r="W49" s="89" t="str">
        <f>Registro!U49</f>
        <v>c) Solo en fechas especiales</v>
      </c>
      <c r="X49" s="89" t="str">
        <f>Registro!V49</f>
        <v>e) Voy a misa en las fechas de mis familiares difuntos</v>
      </c>
      <c r="Y49" s="89" t="str">
        <f>Registro!W49</f>
        <v xml:space="preserve">b) Cultural (folklórico, musicales, danzas, scout, banda marcial,...) </v>
      </c>
      <c r="Z49" s="89" t="str">
        <f>Registro!X49</f>
        <v>a) Un grupo donde profundizo mi fe</v>
      </c>
      <c r="AA49" s="89" t="str">
        <f>Registro!Y49</f>
        <v>b) No</v>
      </c>
      <c r="AB49" s="89" t="str">
        <f>Registro!Z49</f>
        <v>b) No</v>
      </c>
      <c r="AC49" s="89"/>
      <c r="AD49" s="94">
        <f t="shared" si="4"/>
        <v>0</v>
      </c>
      <c r="AE49" s="89" t="str">
        <f>Registro!AB49</f>
        <v>c) Ser un excelente profesional</v>
      </c>
      <c r="AF49" s="89" t="str">
        <f>Registro!AC49</f>
        <v>c) Bastante</v>
      </c>
      <c r="AG49" s="89" t="str">
        <f>Registro!AD49</f>
        <v>a) Los deportes y diversiones, d) Los grupos juveniles cristianos</v>
      </c>
      <c r="AH49" s="94">
        <f t="shared" si="1"/>
        <v>2</v>
      </c>
      <c r="AI49" s="89" t="str">
        <f>Registro!AE49</f>
        <v>b) 3 a 4 horas</v>
      </c>
      <c r="AJ49" s="89" t="str">
        <f>Registro!AF49</f>
        <v>d) Estoy la mayor parte del tiempo en la casa sin hacer nada, m) Veo televisión y/o películas, n) Estoy conversando con los amigos/as</v>
      </c>
      <c r="AK49" s="94">
        <f t="shared" si="2"/>
        <v>3</v>
      </c>
      <c r="AL49" s="89" t="str">
        <f>Registro!AG49</f>
        <v>b) Bueno</v>
      </c>
      <c r="AM49" s="89" t="str">
        <f>Registro!AH49</f>
        <v>a) Muy buena</v>
      </c>
      <c r="AN49" s="89" t="str">
        <f>Registro!AI49</f>
        <v>a) Muy buena</v>
      </c>
      <c r="AO49" s="89" t="str">
        <f>Registro!AJ49</f>
        <v>b) Buena</v>
      </c>
      <c r="AP49" s="89" t="str">
        <f>Registro!AK49</f>
        <v>c) Regular</v>
      </c>
      <c r="AQ49" s="89" t="str">
        <f>Registro!AL49</f>
        <v>b) Buena</v>
      </c>
      <c r="AR49" s="89" t="str">
        <f>Registro!AM49</f>
        <v>a) Muy buena</v>
      </c>
      <c r="AS49" s="89" t="str">
        <f>Registro!AN49</f>
        <v>b) Buena</v>
      </c>
      <c r="AT49" s="89">
        <f>Registro!AO49</f>
        <v>0</v>
      </c>
      <c r="AU49" s="89" t="str">
        <f>Registro!AP49</f>
        <v>b) Buena</v>
      </c>
      <c r="AV49" s="89" t="str">
        <f>Registro!AQ49</f>
        <v>a) Muy buena</v>
      </c>
      <c r="AW49" s="89" t="str">
        <f>Registro!AR49</f>
        <v>e) La disciplina y el orden</v>
      </c>
      <c r="AX49" s="89" t="str">
        <f>Registro!AS49</f>
        <v>b) Darme una buena educación</v>
      </c>
      <c r="AY49" s="89" t="str">
        <f>Registro!AT49</f>
        <v>d) Bastante necesaria</v>
      </c>
      <c r="AZ49" s="89" t="str">
        <f>Registro!AU49</f>
        <v>a) No acostumbro a tomarlo nunca</v>
      </c>
      <c r="BA49" s="89" t="str">
        <f>Registro!AV49</f>
        <v>e) Educadores que se preocupan de nosotros</v>
      </c>
      <c r="BB49" s="89" t="str">
        <f>Registro!AW49</f>
        <v>c) Bastante</v>
      </c>
      <c r="BC49" s="89" t="str">
        <f>Registro!AX49</f>
        <v>d) Hay de todo tipo, pero predomina lo positivo</v>
      </c>
      <c r="BD49" s="89" t="str">
        <f>Registro!AY49</f>
        <v>b) Mi madre, g) Un amigo, h) Una amiga</v>
      </c>
    </row>
    <row r="50" spans="1:56" ht="15" customHeight="1" x14ac:dyDescent="0.25">
      <c r="A50" s="101">
        <f>Registro!A50</f>
        <v>42127.186851851853</v>
      </c>
      <c r="B50" s="89" t="str">
        <f>Registro!B50</f>
        <v>c) Obra Social San José de Calasanz de Valencia</v>
      </c>
      <c r="C50" s="89" t="str">
        <f>Registro!C50</f>
        <v>c) Cuarto año</v>
      </c>
      <c r="D50" s="89" t="str">
        <f>Registro!D50</f>
        <v>a) Educación Inicial</v>
      </c>
      <c r="E50" s="89" t="str">
        <f>Registro!E50</f>
        <v>b) Femenino</v>
      </c>
      <c r="F50" s="89" t="str">
        <f>Registro!F50</f>
        <v>a) Católica</v>
      </c>
      <c r="G50" s="89" t="str">
        <f>Registro!G50</f>
        <v>a) Mamá</v>
      </c>
      <c r="H50" s="89" t="str">
        <f>Registro!H50</f>
        <v>b) Casa Urbana</v>
      </c>
      <c r="I50" s="89" t="str">
        <f>Registro!I50</f>
        <v>a) Sí</v>
      </c>
      <c r="J50" s="89" t="str">
        <f>Registro!J50</f>
        <v>b) Lavadora, c) Microondas, d) TV pantalla plana, k) Aire acondicionado</v>
      </c>
      <c r="K50" s="89" t="str">
        <f>Registro!K50</f>
        <v>c) Dos</v>
      </c>
      <c r="L50" s="89"/>
      <c r="M50" s="94">
        <f t="shared" si="3"/>
        <v>0</v>
      </c>
      <c r="N50" s="89" t="str">
        <f>Registro!M50</f>
        <v>b) El futuro</v>
      </c>
      <c r="O50" s="89" t="str">
        <f>Registro!N50</f>
        <v>b) Suficiente</v>
      </c>
      <c r="P50" s="89" t="str">
        <f>Registro!O50</f>
        <v>b) Suficiente</v>
      </c>
      <c r="Q50" s="89" t="str">
        <f>Registro!P50</f>
        <v>c) Poco</v>
      </c>
      <c r="R50" s="89" t="str">
        <f>Registro!Q50</f>
        <v>a) La familia, c) Los estudios, g) La felicidad</v>
      </c>
      <c r="S50" s="94">
        <f t="shared" si="0"/>
        <v>3</v>
      </c>
      <c r="T50" s="89" t="str">
        <f>Registro!R50</f>
        <v>a) Mucho</v>
      </c>
      <c r="U50" s="89" t="str">
        <f>Registro!S50</f>
        <v>j) Todas partes</v>
      </c>
      <c r="V50" s="89" t="str">
        <f>Registro!T50</f>
        <v>c) Rezo solo en situación de dificultad</v>
      </c>
      <c r="W50" s="89" t="str">
        <f>Registro!U50</f>
        <v>c) Solo en fechas especiales</v>
      </c>
      <c r="X50" s="89" t="str">
        <f>Registro!V50</f>
        <v>e) Voy a misa en las fechas de mis familiares difuntos</v>
      </c>
      <c r="Y50" s="89" t="str">
        <f>Registro!W50</f>
        <v>d) No pertenezco a ninguno</v>
      </c>
      <c r="Z50" s="89" t="str">
        <f>Registro!X50</f>
        <v>d) No pertenezco a grupos juveniles cristianos</v>
      </c>
      <c r="AA50" s="89" t="str">
        <f>Registro!Y50</f>
        <v>b) No</v>
      </c>
      <c r="AB50" s="89" t="str">
        <f>Registro!Z50</f>
        <v>b) No</v>
      </c>
      <c r="AC50" s="89"/>
      <c r="AD50" s="94">
        <f t="shared" si="4"/>
        <v>0</v>
      </c>
      <c r="AE50" s="89" t="str">
        <f>Registro!AB50</f>
        <v>c) Ser un excelente profesional</v>
      </c>
      <c r="AF50" s="89" t="str">
        <f>Registro!AC50</f>
        <v>c) Bastante</v>
      </c>
      <c r="AG50" s="89" t="str">
        <f>Registro!AD50</f>
        <v>b) El ambiente de estudio y de trabajo, c) Las instalaciones del Colegio</v>
      </c>
      <c r="AH50" s="94">
        <f t="shared" si="1"/>
        <v>2</v>
      </c>
      <c r="AI50" s="89" t="str">
        <f>Registro!AE50</f>
        <v>b) 3 a 4 horas</v>
      </c>
      <c r="AJ50" s="89" t="str">
        <f>Registro!AF50</f>
        <v>l) Escucho música y/o veo videos musicales, n) Estoy conversando con los amigos/as</v>
      </c>
      <c r="AK50" s="94">
        <f t="shared" si="2"/>
        <v>2</v>
      </c>
      <c r="AL50" s="89" t="str">
        <f>Registro!AG50</f>
        <v>b) Bueno</v>
      </c>
      <c r="AM50" s="89" t="str">
        <f>Registro!AH50</f>
        <v>b) Buena</v>
      </c>
      <c r="AN50" s="89" t="str">
        <f>Registro!AI50</f>
        <v>b) Buena</v>
      </c>
      <c r="AO50" s="89" t="str">
        <f>Registro!AJ50</f>
        <v>a) Muy buena</v>
      </c>
      <c r="AP50" s="89" t="str">
        <f>Registro!AK50</f>
        <v>c) Regular</v>
      </c>
      <c r="AQ50" s="89" t="str">
        <f>Registro!AL50</f>
        <v>b) Buena</v>
      </c>
      <c r="AR50" s="89" t="str">
        <f>Registro!AM50</f>
        <v>b) Buena</v>
      </c>
      <c r="AS50" s="89" t="str">
        <f>Registro!AN50</f>
        <v>b) Buena</v>
      </c>
      <c r="AT50" s="89" t="str">
        <f>Registro!AO50</f>
        <v>c) Regular</v>
      </c>
      <c r="AU50" s="89" t="str">
        <f>Registro!AP50</f>
        <v>a) Muy buena</v>
      </c>
      <c r="AV50" s="89" t="str">
        <f>Registro!AQ50</f>
        <v>a) Muy buena</v>
      </c>
      <c r="AW50" s="89" t="str">
        <f>Registro!AR50</f>
        <v>e) La disciplina y el orden</v>
      </c>
      <c r="AX50" s="89" t="str">
        <f>Registro!AS50</f>
        <v>a) Que sea un buen profesional</v>
      </c>
      <c r="AY50" s="89" t="str">
        <f>Registro!AT50</f>
        <v>d) Bastante necesaria</v>
      </c>
      <c r="AZ50" s="89" t="str">
        <f>Registro!AU50</f>
        <v>b) Las veces que bebo, es con moderación</v>
      </c>
      <c r="BA50" s="89" t="str">
        <f>Registro!AV50</f>
        <v>d) Buenos profesionales de la educación</v>
      </c>
      <c r="BB50" s="89" t="str">
        <f>Registro!AW50</f>
        <v>c) Bastante</v>
      </c>
      <c r="BC50" s="89" t="str">
        <f>Registro!AX50</f>
        <v>e) Son personas que me gustan y admiro</v>
      </c>
      <c r="BD50" s="89" t="str">
        <f>Registro!AY50</f>
        <v>b) Mi madre</v>
      </c>
    </row>
    <row r="51" spans="1:56" ht="15" customHeight="1" x14ac:dyDescent="0.25">
      <c r="A51" s="101">
        <f>Registro!A51</f>
        <v>42127.186851851853</v>
      </c>
      <c r="B51" s="89" t="str">
        <f>Registro!B51</f>
        <v>c) Obra Social San José de Calasanz de Valencia</v>
      </c>
      <c r="C51" s="89" t="str">
        <f>Registro!C51</f>
        <v>c) Cuarto año</v>
      </c>
      <c r="D51" s="89" t="str">
        <f>Registro!D51</f>
        <v>a) Educación Inicial</v>
      </c>
      <c r="E51" s="89" t="str">
        <f>Registro!E51</f>
        <v>b) Femenino</v>
      </c>
      <c r="F51" s="89" t="str">
        <f>Registro!F51</f>
        <v>a) Católica</v>
      </c>
      <c r="G51" s="89" t="str">
        <f>Registro!G51</f>
        <v>a) Mamá, b) Papá, c) Hermanos</v>
      </c>
      <c r="H51" s="89" t="str">
        <f>Registro!H51</f>
        <v>b) Casa Urbana</v>
      </c>
      <c r="I51" s="89" t="str">
        <f>Registro!I51</f>
        <v>a) Sí</v>
      </c>
      <c r="J51" s="89" t="str">
        <f>Registro!J51</f>
        <v>b) Lavadora, c) Microondas, i) Computadora, j) Cámara digital, k) Aire acondicionado</v>
      </c>
      <c r="K51" s="89" t="str">
        <f>Registro!K51</f>
        <v>c) Dos</v>
      </c>
      <c r="L51" s="89" t="str">
        <f>Registro!L51</f>
        <v>a) La familia, b) Los amigos, f) Mi fe y vida cristiana</v>
      </c>
      <c r="M51" s="94">
        <f t="shared" si="3"/>
        <v>3</v>
      </c>
      <c r="N51" s="89" t="str">
        <f>Registro!M51</f>
        <v>b) El futuro</v>
      </c>
      <c r="O51" s="89" t="str">
        <f>Registro!N51</f>
        <v>b) Suficiente</v>
      </c>
      <c r="P51" s="89" t="str">
        <f>Registro!O51</f>
        <v>b) Suficiente</v>
      </c>
      <c r="Q51" s="89" t="str">
        <f>Registro!P51</f>
        <v>b) Suficiente</v>
      </c>
      <c r="R51" s="89"/>
      <c r="S51" s="94">
        <f t="shared" si="0"/>
        <v>0</v>
      </c>
      <c r="T51" s="89" t="str">
        <f>Registro!R51</f>
        <v>a) Mucho</v>
      </c>
      <c r="U51" s="89" t="str">
        <f>Registro!S51</f>
        <v>a) La Iglesia, i) Los necesitados, k) La oración</v>
      </c>
      <c r="V51" s="89" t="str">
        <f>Registro!T51</f>
        <v>b) Rezo por costumbre</v>
      </c>
      <c r="W51" s="89" t="str">
        <f>Registro!U51</f>
        <v>c) Solo en fechas especiales</v>
      </c>
      <c r="X51" s="89" t="str">
        <f>Registro!V51</f>
        <v>d) Suelo orar todos los días, i) Tengo en mi cuarto alguna imagen religiosa</v>
      </c>
      <c r="Y51" s="89" t="str">
        <f>Registro!W51</f>
        <v>c) Religioso o parroquial</v>
      </c>
      <c r="Z51" s="89" t="str">
        <f>Registro!X51</f>
        <v>a) Un grupo donde profundizo mi fe</v>
      </c>
      <c r="AA51" s="89" t="str">
        <f>Registro!Y51</f>
        <v>b) No</v>
      </c>
      <c r="AB51" s="89" t="str">
        <f>Registro!Z51</f>
        <v>b) No</v>
      </c>
      <c r="AC51" s="89"/>
      <c r="AD51" s="94">
        <f t="shared" si="4"/>
        <v>0</v>
      </c>
      <c r="AE51" s="89" t="str">
        <f>Registro!AB51</f>
        <v>c) Ser un excelente profesional</v>
      </c>
      <c r="AF51" s="89" t="str">
        <f>Registro!AC51</f>
        <v>c) Bastante</v>
      </c>
      <c r="AG51" s="89" t="str">
        <f>Registro!AD51</f>
        <v>d) Los grupos juveniles cristianos, h) Las actividades extraescolares</v>
      </c>
      <c r="AH51" s="94">
        <f t="shared" si="1"/>
        <v>2</v>
      </c>
      <c r="AI51" s="89" t="str">
        <f>Registro!AE51</f>
        <v>c) 5 a 6 horas</v>
      </c>
      <c r="AJ51" s="89" t="str">
        <f>Registro!AF51</f>
        <v>i) Leo revistas o libros, j) Estoy en algún grupo juvenil, m) Veo televisión y/o películas</v>
      </c>
      <c r="AK51" s="94">
        <f t="shared" si="2"/>
        <v>3</v>
      </c>
      <c r="AL51" s="89" t="str">
        <f>Registro!AG51</f>
        <v>b) Bueno</v>
      </c>
      <c r="AM51" s="89" t="str">
        <f>Registro!AH51</f>
        <v>c) Regular</v>
      </c>
      <c r="AN51" s="89" t="str">
        <f>Registro!AI51</f>
        <v>b) Buena</v>
      </c>
      <c r="AO51" s="89" t="str">
        <f>Registro!AJ51</f>
        <v>b) Buena</v>
      </c>
      <c r="AP51" s="89" t="str">
        <f>Registro!AK51</f>
        <v>c) Regular</v>
      </c>
      <c r="AQ51" s="89" t="str">
        <f>Registro!AL51</f>
        <v>b) Buena</v>
      </c>
      <c r="AR51" s="89" t="str">
        <f>Registro!AM51</f>
        <v>b) Buena</v>
      </c>
      <c r="AS51" s="89" t="str">
        <f>Registro!AN51</f>
        <v>a) Muy buena</v>
      </c>
      <c r="AT51" s="89" t="str">
        <f>Registro!AO51</f>
        <v>b) Buena</v>
      </c>
      <c r="AU51" s="89" t="str">
        <f>Registro!AP51</f>
        <v>b) Buena</v>
      </c>
      <c r="AV51" s="89" t="str">
        <f>Registro!AQ51</f>
        <v>b) Buena</v>
      </c>
      <c r="AW51" s="89" t="str">
        <f>Registro!AR51</f>
        <v>b) La orientación cristiana</v>
      </c>
      <c r="AX51" s="89" t="str">
        <f>Registro!AS51</f>
        <v>a) Que sea un buen profesional</v>
      </c>
      <c r="AY51" s="89" t="str">
        <f>Registro!AT51</f>
        <v>d) Bastante necesaria</v>
      </c>
      <c r="AZ51" s="89" t="str">
        <f>Registro!AU51</f>
        <v>a) No acostumbro a tomarlo nunca</v>
      </c>
      <c r="BA51" s="89" t="str">
        <f>Registro!AV51</f>
        <v>e) Educadores que se preocupan de nosotros</v>
      </c>
      <c r="BB51" s="89" t="str">
        <f>Registro!AW51</f>
        <v>c) Bastante</v>
      </c>
      <c r="BC51" s="89" t="str">
        <f>Registro!AX51</f>
        <v>e) Son personas que me gustan y admiro</v>
      </c>
      <c r="BD51" s="89" t="str">
        <f>Registro!AY51</f>
        <v>c) Un hermano/a, h) Una amiga</v>
      </c>
    </row>
    <row r="52" spans="1:56" ht="15" customHeight="1" x14ac:dyDescent="0.25">
      <c r="A52" s="101">
        <f>Registro!A52</f>
        <v>42127.188148148147</v>
      </c>
      <c r="B52" s="89" t="str">
        <f>Registro!B52</f>
        <v>c) Obra Social San José de Calasanz de Valencia</v>
      </c>
      <c r="C52" s="89" t="str">
        <f>Registro!C52</f>
        <v>c) Cuarto año</v>
      </c>
      <c r="D52" s="89" t="str">
        <f>Registro!D52</f>
        <v>c) Entre Primero y Tercer año</v>
      </c>
      <c r="E52" s="89" t="str">
        <f>Registro!E52</f>
        <v>a) Masculino</v>
      </c>
      <c r="F52" s="89" t="str">
        <f>Registro!F52</f>
        <v>a) Católica</v>
      </c>
      <c r="G52" s="89" t="str">
        <f>Registro!G52</f>
        <v>a) Mamá, b) Papá</v>
      </c>
      <c r="H52" s="89" t="str">
        <f>Registro!H52</f>
        <v>c) Apartamento</v>
      </c>
      <c r="I52" s="89" t="str">
        <f>Registro!I52</f>
        <v>a) Sí</v>
      </c>
      <c r="J52" s="89" t="str">
        <f>Registro!J52</f>
        <v>a) Cónsola videojuegos, b) Lavadora, c) Microondas, d) TV pantalla plana, e) Moto, f) MP3, g) MP4, h) Carro, i) Computadora, j) Cámara digital, k) Aire acondicionado</v>
      </c>
      <c r="K52" s="89" t="str">
        <f>Registro!K52</f>
        <v>c) Dos</v>
      </c>
      <c r="L52" s="89"/>
      <c r="M52" s="94">
        <f t="shared" si="3"/>
        <v>0</v>
      </c>
      <c r="N52" s="89" t="str">
        <f>Registro!M52</f>
        <v>b) El futuro</v>
      </c>
      <c r="O52" s="89" t="str">
        <f>Registro!N52</f>
        <v>c) Poco</v>
      </c>
      <c r="P52" s="89" t="str">
        <f>Registro!O52</f>
        <v>c) Poco</v>
      </c>
      <c r="Q52" s="89" t="str">
        <f>Registro!P52</f>
        <v>c) Poco</v>
      </c>
      <c r="R52" s="89" t="str">
        <f>Registro!Q52</f>
        <v>c) Los estudios, g) La felicidad, h) La sexualidad</v>
      </c>
      <c r="S52" s="94">
        <f t="shared" si="0"/>
        <v>3</v>
      </c>
      <c r="T52" s="89" t="str">
        <f>Registro!R52</f>
        <v>c) Poco</v>
      </c>
      <c r="U52" s="89" t="str">
        <f>Registro!S52</f>
        <v>a) La Iglesia, b) La naturaleza, c) El salón de clase, d) Las convivencias, e) Los amigos, g) Mi familia, h) Algunas personas cercanas a Dios, j) Todas partes, k) La oración, l) Los sacramentos</v>
      </c>
      <c r="V52" s="89" t="str">
        <f>Registro!T52</f>
        <v>c) Rezo solo en situación de dificultad</v>
      </c>
      <c r="W52" s="89" t="str">
        <f>Registro!U52</f>
        <v>c) Solo en fechas especiales</v>
      </c>
      <c r="X52" s="89" t="str">
        <f>Registro!V52</f>
        <v>b) Suelo bendedir los alimentos antes de comer, c) Suelo ir los domingos y otras fechas especiales a la Iglesia, f) En alguna ocasión he rezado el rosario</v>
      </c>
      <c r="Y52" s="89" t="str">
        <f>Registro!W52</f>
        <v>a) Deportivo, b) Cultural (folklórico, musicales, danzas, scout, banda marcial,...) , c) Religioso o parroquial</v>
      </c>
      <c r="Z52" s="89" t="str">
        <f>Registro!X52</f>
        <v>b) Un lugar donde comparto con mis compañeros</v>
      </c>
      <c r="AA52" s="89" t="str">
        <f>Registro!Y52</f>
        <v>b) No</v>
      </c>
      <c r="AB52" s="89" t="str">
        <f>Registro!Z52</f>
        <v>b) No</v>
      </c>
      <c r="AC52" s="89" t="str">
        <f>Registro!AA52</f>
        <v>e) Derecho, g) Artista</v>
      </c>
      <c r="AD52" s="94">
        <f t="shared" si="4"/>
        <v>2</v>
      </c>
      <c r="AE52" s="89" t="str">
        <f>Registro!AB52</f>
        <v>a) Ganar mucho dinero</v>
      </c>
      <c r="AF52" s="89" t="str">
        <f>Registro!AC52</f>
        <v>c) Bastante</v>
      </c>
      <c r="AG52" s="89" t="str">
        <f>Registro!AD52</f>
        <v>i) No me gusta nada</v>
      </c>
      <c r="AH52" s="94">
        <f t="shared" si="1"/>
        <v>1</v>
      </c>
      <c r="AI52" s="89" t="str">
        <f>Registro!AE52</f>
        <v>a) 0 a 2 horas</v>
      </c>
      <c r="AJ52" s="89" t="str">
        <f>Registro!AF52</f>
        <v>b) Navego en Internet, d) Estoy la mayor parte del tiempo en la casa sin hacer nada, g) Suelo ir a discotecas o a fiestas</v>
      </c>
      <c r="AK52" s="94">
        <f t="shared" si="2"/>
        <v>3</v>
      </c>
      <c r="AL52" s="89" t="str">
        <f>Registro!AG52</f>
        <v>c) Regular</v>
      </c>
      <c r="AM52" s="89" t="str">
        <f>Registro!AH52</f>
        <v>b) Buena</v>
      </c>
      <c r="AN52" s="89" t="str">
        <f>Registro!AI52</f>
        <v>b) Buena</v>
      </c>
      <c r="AO52" s="89" t="str">
        <f>Registro!AJ52</f>
        <v>b) Buena</v>
      </c>
      <c r="AP52" s="89" t="str">
        <f>Registro!AK52</f>
        <v>b) Buena</v>
      </c>
      <c r="AQ52" s="89" t="str">
        <f>Registro!AL52</f>
        <v>b) Buena</v>
      </c>
      <c r="AR52" s="89" t="str">
        <f>Registro!AM52</f>
        <v>b) Buena</v>
      </c>
      <c r="AS52" s="89" t="str">
        <f>Registro!AN52</f>
        <v>b) Buena</v>
      </c>
      <c r="AT52" s="89" t="str">
        <f>Registro!AO52</f>
        <v>a) Muy buena</v>
      </c>
      <c r="AU52" s="89" t="str">
        <f>Registro!AP52</f>
        <v>b) Buena</v>
      </c>
      <c r="AV52" s="89" t="str">
        <f>Registro!AQ52</f>
        <v>c) Regular</v>
      </c>
      <c r="AW52" s="89" t="str">
        <f>Registro!AR52</f>
        <v>a) El compañerismo</v>
      </c>
      <c r="AX52" s="89" t="str">
        <f>Registro!AS52</f>
        <v>a) Que sea un buen profesional</v>
      </c>
      <c r="AY52" s="89" t="str">
        <f>Registro!AT52</f>
        <v>c) Conveniente</v>
      </c>
      <c r="AZ52" s="89" t="str">
        <f>Registro!AU52</f>
        <v>a) No acostumbro a tomarlo nunca</v>
      </c>
      <c r="BA52" s="89" t="str">
        <f>Registro!AV52</f>
        <v>a) Personas a las que tengo que aguantar</v>
      </c>
      <c r="BB52" s="89" t="str">
        <f>Registro!AW52</f>
        <v>a) No, en absoluto</v>
      </c>
      <c r="BC52" s="89" t="str">
        <f>Registro!AX52</f>
        <v>a) No me gustan en absoluto</v>
      </c>
      <c r="BD52" s="89" t="str">
        <f>Registro!AY52</f>
        <v>c) Un hermano/a, h) Una amiga</v>
      </c>
    </row>
    <row r="53" spans="1:56" ht="15" customHeight="1" x14ac:dyDescent="0.25">
      <c r="A53" s="101">
        <f>Registro!A53</f>
        <v>42127.188726851855</v>
      </c>
      <c r="B53" s="89" t="str">
        <f>Registro!B53</f>
        <v>c) Obra Social San José de Calasanz de Valencia</v>
      </c>
      <c r="C53" s="89" t="str">
        <f>Registro!C53</f>
        <v>c) Cuarto año</v>
      </c>
      <c r="D53" s="89" t="str">
        <f>Registro!D53</f>
        <v>b) Primaria</v>
      </c>
      <c r="E53" s="89" t="str">
        <f>Registro!E53</f>
        <v>b) Femenino</v>
      </c>
      <c r="F53" s="89" t="str">
        <f>Registro!F53</f>
        <v>a) Católica</v>
      </c>
      <c r="G53" s="89" t="str">
        <f>Registro!G53</f>
        <v>a) Mamá, c) Hermanos, e) Otros familiares</v>
      </c>
      <c r="H53" s="89" t="str">
        <f>Registro!H53</f>
        <v>b) Casa Urbana</v>
      </c>
      <c r="I53" s="89" t="str">
        <f>Registro!I53</f>
        <v>a) Sí</v>
      </c>
      <c r="J53" s="89" t="str">
        <f>Registro!J53</f>
        <v>b) Lavadora, h) Carro, i) Computadora, k) Aire acondicionado</v>
      </c>
      <c r="K53" s="89" t="str">
        <f>Registro!K53</f>
        <v>e) Cuatro</v>
      </c>
      <c r="L53" s="89" t="str">
        <f>Registro!L53</f>
        <v>a) La familia, c) Los estudios, f) Mi fe y vida cristiana</v>
      </c>
      <c r="M53" s="94">
        <f t="shared" si="3"/>
        <v>3</v>
      </c>
      <c r="N53" s="89" t="str">
        <f>Registro!M53</f>
        <v>b) El futuro</v>
      </c>
      <c r="O53" s="89" t="str">
        <f>Registro!N53</f>
        <v>b) Suficiente</v>
      </c>
      <c r="P53" s="89" t="str">
        <f>Registro!O53</f>
        <v>c) Poco</v>
      </c>
      <c r="Q53" s="89" t="str">
        <f>Registro!P53</f>
        <v>b) Suficiente</v>
      </c>
      <c r="R53" s="89" t="str">
        <f>Registro!Q53</f>
        <v>c) Los estudios</v>
      </c>
      <c r="S53" s="94">
        <f t="shared" si="0"/>
        <v>1</v>
      </c>
      <c r="T53" s="89" t="str">
        <f>Registro!R53</f>
        <v>a) Mucho</v>
      </c>
      <c r="U53" s="89" t="str">
        <f>Registro!S53</f>
        <v>a) La Iglesia, e) Los amigos, i) Los necesitados, k) La oración</v>
      </c>
      <c r="V53" s="89" t="str">
        <f>Registro!T53</f>
        <v>a) Suelo rezar por convicción o porque me gusta</v>
      </c>
      <c r="W53" s="89" t="str">
        <f>Registro!U53</f>
        <v>b) Algunos domingos</v>
      </c>
      <c r="X53" s="89" t="str">
        <f>Registro!V53</f>
        <v>a) Suelo llevar una cruz o algún objeto religioso, d) Suelo orar todos los días, e) Voy a misa en las fechas de mis familiares difuntos, h) En Semana Santa asisto a las procesiones</v>
      </c>
      <c r="Y53" s="89" t="str">
        <f>Registro!W53</f>
        <v>c) Religioso o parroquial</v>
      </c>
      <c r="Z53" s="89" t="str">
        <f>Registro!X53</f>
        <v>a) Un grupo donde profundizo mi fe</v>
      </c>
      <c r="AA53" s="89" t="str">
        <f>Registro!Y53</f>
        <v>b) No</v>
      </c>
      <c r="AB53" s="89" t="str">
        <f>Registro!Z53</f>
        <v>b) No</v>
      </c>
      <c r="AC53" s="89" t="str">
        <f>Registro!AA53</f>
        <v>a) Medicina, b) Docencia</v>
      </c>
      <c r="AD53" s="94">
        <f t="shared" si="4"/>
        <v>2</v>
      </c>
      <c r="AE53" s="89" t="str">
        <f>Registro!AB53</f>
        <v>e) Servir a los demás</v>
      </c>
      <c r="AF53" s="89" t="str">
        <f>Registro!AC53</f>
        <v>b) Poco</v>
      </c>
      <c r="AG53" s="89" t="str">
        <f>Registro!AD53</f>
        <v>c) Las instalaciones del Colegio, h) Las actividades extraescolares</v>
      </c>
      <c r="AH53" s="94">
        <f t="shared" si="1"/>
        <v>2</v>
      </c>
      <c r="AI53" s="89" t="str">
        <f>Registro!AE53</f>
        <v>a) 0 a 2 horas</v>
      </c>
      <c r="AJ53" s="89" t="str">
        <f>Registro!AF53</f>
        <v>b) Navego en Internet, i) Leo revistas o libros, j) Estoy en algún grupo juvenil</v>
      </c>
      <c r="AK53" s="94">
        <f t="shared" si="2"/>
        <v>3</v>
      </c>
      <c r="AL53" s="89" t="str">
        <f>Registro!AG53</f>
        <v>c) Regular</v>
      </c>
      <c r="AM53" s="89" t="str">
        <f>Registro!AH53</f>
        <v>c) Regular</v>
      </c>
      <c r="AN53" s="89" t="str">
        <f>Registro!AI53</f>
        <v>c) Regular</v>
      </c>
      <c r="AO53" s="89" t="str">
        <f>Registro!AJ53</f>
        <v>b) Buena</v>
      </c>
      <c r="AP53" s="89" t="str">
        <f>Registro!AK53</f>
        <v>d) Mala</v>
      </c>
      <c r="AQ53" s="89" t="str">
        <f>Registro!AL53</f>
        <v>c) Regular</v>
      </c>
      <c r="AR53" s="89" t="str">
        <f>Registro!AM53</f>
        <v>d) Mala</v>
      </c>
      <c r="AS53" s="89" t="str">
        <f>Registro!AN53</f>
        <v>b) Buena</v>
      </c>
      <c r="AT53" s="89" t="str">
        <f>Registro!AO53</f>
        <v>c) Regular</v>
      </c>
      <c r="AU53" s="89" t="str">
        <f>Registro!AP53</f>
        <v>b) Buena</v>
      </c>
      <c r="AV53" s="89" t="str">
        <f>Registro!AQ53</f>
        <v>b) Buena</v>
      </c>
      <c r="AW53" s="89" t="str">
        <f>Registro!AR53</f>
        <v>h) La responsabilidad social y el servicio a los demás</v>
      </c>
      <c r="AX53" s="89" t="str">
        <f>Registro!AS53</f>
        <v>f) Que tenga honradez en la vida</v>
      </c>
      <c r="AY53" s="89" t="str">
        <f>Registro!AT53</f>
        <v>e) Absolutamente necesaria</v>
      </c>
      <c r="AZ53" s="89" t="str">
        <f>Registro!AU53</f>
        <v>a) No acostumbro a tomarlo nunca</v>
      </c>
      <c r="BA53" s="89" t="str">
        <f>Registro!AV53</f>
        <v>d) Buenos profesionales de la educación</v>
      </c>
      <c r="BB53" s="89" t="str">
        <f>Registro!AW53</f>
        <v>c) Bastante</v>
      </c>
      <c r="BC53" s="89" t="str">
        <f>Registro!AX53</f>
        <v>e) Son personas que me gustan y admiro</v>
      </c>
      <c r="BD53" s="89" t="str">
        <f>Registro!AY53</f>
        <v>c) Un hermano/a, e) Un, una docente, h) Una amiga</v>
      </c>
    </row>
    <row r="54" spans="1:56" ht="15" customHeight="1" x14ac:dyDescent="0.25">
      <c r="A54" s="101">
        <f>Registro!A54</f>
        <v>42127.189236111109</v>
      </c>
      <c r="B54" s="89" t="str">
        <f>Registro!B54</f>
        <v>c) Obra Social San José de Calasanz de Valencia</v>
      </c>
      <c r="C54" s="89" t="str">
        <f>Registro!C54</f>
        <v>c) Cuarto año</v>
      </c>
      <c r="D54" s="89" t="str">
        <f>Registro!D54</f>
        <v>a) Educación Inicial</v>
      </c>
      <c r="E54" s="89" t="str">
        <f>Registro!E54</f>
        <v>b) Femenino</v>
      </c>
      <c r="F54" s="89" t="str">
        <f>Registro!F54</f>
        <v>a) Católica</v>
      </c>
      <c r="G54" s="89" t="str">
        <f>Registro!G54</f>
        <v>a) Mamá, b) Papá</v>
      </c>
      <c r="H54" s="89" t="str">
        <f>Registro!H54</f>
        <v>b) Casa Urbana</v>
      </c>
      <c r="I54" s="89" t="str">
        <f>Registro!I54</f>
        <v>a) Sí</v>
      </c>
      <c r="J54" s="89" t="str">
        <f>Registro!J54</f>
        <v>b) Lavadora, h) Carro, i) Computadora</v>
      </c>
      <c r="K54" s="89" t="str">
        <f>Registro!K54</f>
        <v>b) Una</v>
      </c>
      <c r="L54" s="89"/>
      <c r="M54" s="94">
        <f t="shared" si="3"/>
        <v>0</v>
      </c>
      <c r="N54" s="89" t="str">
        <f>Registro!M54</f>
        <v>b) El futuro</v>
      </c>
      <c r="O54" s="89" t="str">
        <f>Registro!N54</f>
        <v>b) Suficiente</v>
      </c>
      <c r="P54" s="89" t="str">
        <f>Registro!O54</f>
        <v>c) Poco</v>
      </c>
      <c r="Q54" s="89" t="str">
        <f>Registro!P54</f>
        <v>b) Suficiente</v>
      </c>
      <c r="R54" s="89" t="str">
        <f>Registro!Q54</f>
        <v>a) La familia, c) Los estudios, g) La felicidad</v>
      </c>
      <c r="S54" s="94">
        <f t="shared" si="0"/>
        <v>3</v>
      </c>
      <c r="T54" s="89" t="str">
        <f>Registro!R54</f>
        <v>a) Mucho</v>
      </c>
      <c r="U54" s="89" t="str">
        <f>Registro!S54</f>
        <v>a) La Iglesia, g) Mi familia, j) Todas partes</v>
      </c>
      <c r="V54" s="89" t="str">
        <f>Registro!T54</f>
        <v>c) Rezo solo en situación de dificultad</v>
      </c>
      <c r="W54" s="89" t="str">
        <f>Registro!U54</f>
        <v>c) Solo en fechas especiales</v>
      </c>
      <c r="X54" s="89" t="str">
        <f>Registro!V54</f>
        <v>i) Tengo en mi cuarto alguna imagen religiosa</v>
      </c>
      <c r="Y54" s="89" t="str">
        <f>Registro!W54</f>
        <v>c) Religioso o parroquial</v>
      </c>
      <c r="Z54" s="89" t="str">
        <f>Registro!X54</f>
        <v>a) Un grupo donde profundizo mi fe</v>
      </c>
      <c r="AA54" s="89" t="str">
        <f>Registro!Y54</f>
        <v>b) No</v>
      </c>
      <c r="AB54" s="89" t="str">
        <f>Registro!Z54</f>
        <v>b) No</v>
      </c>
      <c r="AC54" s="89"/>
      <c r="AD54" s="94">
        <f t="shared" si="4"/>
        <v>0</v>
      </c>
      <c r="AE54" s="89" t="str">
        <f>Registro!AB54</f>
        <v>c) Ser un excelente profesional</v>
      </c>
      <c r="AF54" s="89" t="str">
        <f>Registro!AC54</f>
        <v>c) Bastante</v>
      </c>
      <c r="AG54" s="89" t="str">
        <f>Registro!AD54</f>
        <v>b) El ambiente de estudio y de trabajo, c) Las instalaciones del Colegio</v>
      </c>
      <c r="AH54" s="94">
        <f t="shared" si="1"/>
        <v>2</v>
      </c>
      <c r="AI54" s="89" t="str">
        <f>Registro!AE54</f>
        <v>a) 0 a 2 horas</v>
      </c>
      <c r="AJ54" s="89" t="str">
        <f>Registro!AF54</f>
        <v>b) Navego en Internet, m) Veo televisión y/o películas, n) Estoy conversando con los amigos/as</v>
      </c>
      <c r="AK54" s="94">
        <f t="shared" si="2"/>
        <v>3</v>
      </c>
      <c r="AL54" s="89" t="str">
        <f>Registro!AG54</f>
        <v>c) Regular</v>
      </c>
      <c r="AM54" s="89" t="str">
        <f>Registro!AH54</f>
        <v>b) Buena</v>
      </c>
      <c r="AN54" s="89" t="str">
        <f>Registro!AI54</f>
        <v>c) Regular</v>
      </c>
      <c r="AO54" s="89" t="str">
        <f>Registro!AJ54</f>
        <v>c) Regular</v>
      </c>
      <c r="AP54" s="89" t="str">
        <f>Registro!AK54</f>
        <v>e) Muy mala</v>
      </c>
      <c r="AQ54" s="89">
        <f>Registro!AL54</f>
        <v>0</v>
      </c>
      <c r="AR54" s="89" t="str">
        <f>Registro!AM54</f>
        <v>d) Mala</v>
      </c>
      <c r="AS54" s="89" t="str">
        <f>Registro!AN54</f>
        <v>a) Muy buena</v>
      </c>
      <c r="AT54" s="89" t="str">
        <f>Registro!AO54</f>
        <v>e) Muy mala</v>
      </c>
      <c r="AU54" s="89" t="str">
        <f>Registro!AP54</f>
        <v>b) Buena</v>
      </c>
      <c r="AV54" s="89" t="str">
        <f>Registro!AQ54</f>
        <v>b) Buena</v>
      </c>
      <c r="AW54" s="89" t="str">
        <f>Registro!AR54</f>
        <v>h) La responsabilidad social y el servicio a los demás</v>
      </c>
      <c r="AX54" s="89" t="str">
        <f>Registro!AS54</f>
        <v>a) Que sea un buen profesional</v>
      </c>
      <c r="AY54" s="89" t="str">
        <f>Registro!AT54</f>
        <v>d) Bastante necesaria</v>
      </c>
      <c r="AZ54" s="89" t="str">
        <f>Registro!AU54</f>
        <v>a) No acostumbro a tomarlo nunca</v>
      </c>
      <c r="BA54" s="89" t="str">
        <f>Registro!AV54</f>
        <v>d) Buenos profesionales de la educación</v>
      </c>
      <c r="BB54" s="89" t="str">
        <f>Registro!AW54</f>
        <v>c) Bastante</v>
      </c>
      <c r="BC54" s="89" t="str">
        <f>Registro!AX54</f>
        <v>e) Son personas que me gustan y admiro</v>
      </c>
      <c r="BD54" s="89" t="str">
        <f>Registro!AY54</f>
        <v>b) Mi madre, h) Una amiga</v>
      </c>
    </row>
    <row r="55" spans="1:56" ht="15" customHeight="1" x14ac:dyDescent="0.25">
      <c r="A55" s="101">
        <f>Registro!A55</f>
        <v>42127.190034722225</v>
      </c>
      <c r="B55" s="89" t="str">
        <f>Registro!B55</f>
        <v>c) Obra Social San José de Calasanz de Valencia</v>
      </c>
      <c r="C55" s="89" t="str">
        <f>Registro!C55</f>
        <v>c) Cuarto año</v>
      </c>
      <c r="D55" s="89" t="str">
        <f>Registro!D55</f>
        <v>d) En Cuarto año o posterior</v>
      </c>
      <c r="E55" s="89" t="str">
        <f>Registro!E55</f>
        <v>a) Masculino</v>
      </c>
      <c r="F55" s="89" t="str">
        <f>Registro!F55</f>
        <v>b) Evangélica</v>
      </c>
      <c r="G55" s="89" t="str">
        <f>Registro!G55</f>
        <v>a) Mamá, b) Papá</v>
      </c>
      <c r="H55" s="89" t="str">
        <f>Registro!H55</f>
        <v>b) Casa Urbana</v>
      </c>
      <c r="I55" s="89" t="str">
        <f>Registro!I55</f>
        <v>c) Algo</v>
      </c>
      <c r="J55" s="89" t="str">
        <f>Registro!J55</f>
        <v>b) Lavadora, i) Computadora, k) Aire acondicionado</v>
      </c>
      <c r="K55" s="89" t="str">
        <f>Registro!K55</f>
        <v>c) Dos</v>
      </c>
      <c r="L55" s="89" t="str">
        <f>Registro!L55</f>
        <v>a) La familia, d) El cuidado de mi cuerpo, j) El deporte</v>
      </c>
      <c r="M55" s="94">
        <f t="shared" si="3"/>
        <v>3</v>
      </c>
      <c r="N55" s="89" t="str">
        <f>Registro!M55</f>
        <v>g) Mis estudios</v>
      </c>
      <c r="O55" s="89" t="str">
        <f>Registro!N55</f>
        <v>c) Poco</v>
      </c>
      <c r="P55" s="89" t="str">
        <f>Registro!O55</f>
        <v>a) Mucho</v>
      </c>
      <c r="Q55" s="89" t="str">
        <f>Registro!P55</f>
        <v>d) Nada</v>
      </c>
      <c r="R55" s="89" t="str">
        <f>Registro!Q55</f>
        <v>a) La familia, c) Los estudios, j) El deporte</v>
      </c>
      <c r="S55" s="94">
        <f t="shared" si="0"/>
        <v>3</v>
      </c>
      <c r="T55" s="89" t="str">
        <f>Registro!R55</f>
        <v>c) Poco</v>
      </c>
      <c r="U55" s="89" t="str">
        <f>Registro!S55</f>
        <v>h) Algunas personas cercanas a Dios</v>
      </c>
      <c r="V55" s="89" t="str">
        <f>Registro!T55</f>
        <v>d) No rezo nunca</v>
      </c>
      <c r="W55" s="89" t="str">
        <f>Registro!U55</f>
        <v>d) Nunca</v>
      </c>
      <c r="X55" s="89">
        <f>Registro!V55</f>
        <v>0</v>
      </c>
      <c r="Y55" s="89" t="str">
        <f>Registro!W55</f>
        <v>a) Deportivo</v>
      </c>
      <c r="Z55" s="89" t="str">
        <f>Registro!X55</f>
        <v>d) No pertenezco a grupos juveniles cristianos</v>
      </c>
      <c r="AA55" s="89" t="str">
        <f>Registro!Y55</f>
        <v>b) No</v>
      </c>
      <c r="AB55" s="89" t="str">
        <f>Registro!Z55</f>
        <v>b) No</v>
      </c>
      <c r="AC55" s="89"/>
      <c r="AD55" s="94">
        <f t="shared" si="4"/>
        <v>0</v>
      </c>
      <c r="AE55" s="89" t="str">
        <f>Registro!AB55</f>
        <v>a) Ganar mucho dinero</v>
      </c>
      <c r="AF55" s="89" t="str">
        <f>Registro!AC55</f>
        <v>a) No, en absoluto</v>
      </c>
      <c r="AG55" s="89" t="str">
        <f>Registro!AD55</f>
        <v>d) Los grupos juveniles cristianos</v>
      </c>
      <c r="AH55" s="94">
        <f t="shared" si="1"/>
        <v>1</v>
      </c>
      <c r="AI55" s="89" t="str">
        <f>Registro!AE55</f>
        <v>f) 11 o más horas</v>
      </c>
      <c r="AJ55" s="89" t="str">
        <f>Registro!AF55</f>
        <v>b) Navego en Internet, k) Practico algún deporte, l) Escucho música y/o veo videos musicales</v>
      </c>
      <c r="AK55" s="94">
        <f t="shared" si="2"/>
        <v>3</v>
      </c>
      <c r="AL55" s="89" t="str">
        <f>Registro!AG55</f>
        <v>a) Muy bueno</v>
      </c>
      <c r="AM55" s="89" t="str">
        <f>Registro!AH55</f>
        <v>c) Regular</v>
      </c>
      <c r="AN55" s="89" t="str">
        <f>Registro!AI55</f>
        <v>c) Regular</v>
      </c>
      <c r="AO55" s="89" t="str">
        <f>Registro!AJ55</f>
        <v>b) Buena</v>
      </c>
      <c r="AP55" s="89" t="str">
        <f>Registro!AK55</f>
        <v>a) Muy buena</v>
      </c>
      <c r="AQ55" s="89" t="str">
        <f>Registro!AL55</f>
        <v>c) Regular</v>
      </c>
      <c r="AR55" s="89" t="str">
        <f>Registro!AM55</f>
        <v>b) Buena</v>
      </c>
      <c r="AS55" s="89" t="str">
        <f>Registro!AN55</f>
        <v>c) Regular</v>
      </c>
      <c r="AT55" s="89" t="str">
        <f>Registro!AO55</f>
        <v>d) Mala</v>
      </c>
      <c r="AU55" s="89" t="str">
        <f>Registro!AP55</f>
        <v>b) Buena</v>
      </c>
      <c r="AV55" s="89" t="str">
        <f>Registro!AQ55</f>
        <v>c) Regular</v>
      </c>
      <c r="AW55" s="89" t="str">
        <f>Registro!AR55</f>
        <v>e) La disciplina y el orden</v>
      </c>
      <c r="AX55" s="89" t="str">
        <f>Registro!AS55</f>
        <v>b) Darme una buena educación</v>
      </c>
      <c r="AY55" s="89" t="str">
        <f>Registro!AT55</f>
        <v>c) Conveniente</v>
      </c>
      <c r="AZ55" s="89" t="str">
        <f>Registro!AU55</f>
        <v>b) Las veces que bebo, es con moderación</v>
      </c>
      <c r="BA55" s="89" t="str">
        <f>Registro!AV55</f>
        <v>c) Profesionales que hacen lo que pueden</v>
      </c>
      <c r="BB55" s="89" t="str">
        <f>Registro!AW55</f>
        <v>b) Poco</v>
      </c>
      <c r="BC55" s="89" t="str">
        <f>Registro!AX55</f>
        <v>c) Son personas normales y corrientes</v>
      </c>
      <c r="BD55" s="89" t="str">
        <f>Registro!AY55</f>
        <v>j) Nadie</v>
      </c>
    </row>
    <row r="56" spans="1:56" ht="15" customHeight="1" x14ac:dyDescent="0.25">
      <c r="A56" s="101">
        <f>Registro!A56</f>
        <v>42127.191874999997</v>
      </c>
      <c r="B56" s="89" t="str">
        <f>Registro!B56</f>
        <v>c) Obra Social San José de Calasanz de Valencia</v>
      </c>
      <c r="C56" s="89" t="str">
        <f>Registro!C56</f>
        <v>c) Cuarto año</v>
      </c>
      <c r="D56" s="89" t="str">
        <f>Registro!D56</f>
        <v>d) En Cuarto año o posterior</v>
      </c>
      <c r="E56" s="89" t="str">
        <f>Registro!E56</f>
        <v>b) Femenino</v>
      </c>
      <c r="F56" s="89" t="str">
        <f>Registro!F56</f>
        <v>a) Católica</v>
      </c>
      <c r="G56" s="89" t="str">
        <f>Registro!G56</f>
        <v>a) Mamá, c) Hermanos</v>
      </c>
      <c r="H56" s="89" t="str">
        <f>Registro!H56</f>
        <v>b) Casa Urbana</v>
      </c>
      <c r="I56" s="89" t="str">
        <f>Registro!I56</f>
        <v>a) Sí</v>
      </c>
      <c r="J56" s="89" t="str">
        <f>Registro!J56</f>
        <v>i) Computadora</v>
      </c>
      <c r="K56" s="89" t="str">
        <f>Registro!K56</f>
        <v>c) Dos</v>
      </c>
      <c r="L56" s="89"/>
      <c r="M56" s="94">
        <f t="shared" si="3"/>
        <v>0</v>
      </c>
      <c r="N56" s="89" t="str">
        <f>Registro!M56</f>
        <v>d) Los problemas familiares</v>
      </c>
      <c r="O56" s="89" t="str">
        <f>Registro!N56</f>
        <v>a) Mucho</v>
      </c>
      <c r="P56" s="89" t="str">
        <f>Registro!O56</f>
        <v>c) Poco</v>
      </c>
      <c r="Q56" s="89" t="str">
        <f>Registro!P56</f>
        <v>a) Mucho</v>
      </c>
      <c r="R56" s="89"/>
      <c r="S56" s="94">
        <f t="shared" si="0"/>
        <v>0</v>
      </c>
      <c r="T56" s="89" t="str">
        <f>Registro!R56</f>
        <v>a) Mucho</v>
      </c>
      <c r="U56" s="89" t="str">
        <f>Registro!S56</f>
        <v>a) La Iglesia, d) Las convivencias, g) Mi familia, k) La oración, l) Los sacramentos</v>
      </c>
      <c r="V56" s="89" t="str">
        <f>Registro!T56</f>
        <v>a) Suelo rezar por convicción o porque me gusta</v>
      </c>
      <c r="W56" s="89" t="str">
        <f>Registro!U56</f>
        <v>b) Algunos domingos</v>
      </c>
      <c r="X56" s="89" t="str">
        <f>Registro!V56</f>
        <v>b) Suelo bendedir los alimentos antes de comer, c) Suelo ir los domingos y otras fechas especiales a la Iglesia, g) En ocasiones, en mi casa tenemos una oración familiar, h) En Semana Santa asisto a las procesiones, i) Tengo en mi cuarto alguna imagen religiosa</v>
      </c>
      <c r="Y56" s="89" t="str">
        <f>Registro!W56</f>
        <v>a) Deportivo, c) Religioso o parroquial</v>
      </c>
      <c r="Z56" s="89" t="str">
        <f>Registro!X56</f>
        <v>a) Un grupo donde profundizo mi fe</v>
      </c>
      <c r="AA56" s="89" t="str">
        <f>Registro!Y56</f>
        <v>a) Sí</v>
      </c>
      <c r="AB56" s="89" t="str">
        <f>Registro!Z56</f>
        <v>c) Algo</v>
      </c>
      <c r="AC56" s="89"/>
      <c r="AD56" s="94">
        <f t="shared" si="4"/>
        <v>0</v>
      </c>
      <c r="AE56" s="89" t="str">
        <f>Registro!AB56</f>
        <v>c) Ser un excelente profesional</v>
      </c>
      <c r="AF56" s="89" t="str">
        <f>Registro!AC56</f>
        <v>c) Bastante</v>
      </c>
      <c r="AG56" s="89" t="str">
        <f>Registro!AD56</f>
        <v>a) Los deportes y diversiones, d) Los grupos juveniles cristianos</v>
      </c>
      <c r="AH56" s="94">
        <f t="shared" si="1"/>
        <v>2</v>
      </c>
      <c r="AI56" s="89" t="str">
        <f>Registro!AE56</f>
        <v>b) 3 a 4 horas</v>
      </c>
      <c r="AJ56" s="89" t="str">
        <f>Registro!AF56</f>
        <v>e) Suelo ir a algún parque, i) Leo revistas o libros, k) Practico algún deporte</v>
      </c>
      <c r="AK56" s="94">
        <f t="shared" si="2"/>
        <v>3</v>
      </c>
      <c r="AL56" s="89" t="str">
        <f>Registro!AG56</f>
        <v>a) Muy bueno</v>
      </c>
      <c r="AM56" s="89" t="str">
        <f>Registro!AH56</f>
        <v>b) Buena</v>
      </c>
      <c r="AN56" s="89" t="str">
        <f>Registro!AI56</f>
        <v>b) Buena</v>
      </c>
      <c r="AO56" s="89" t="str">
        <f>Registro!AJ56</f>
        <v>b) Buena</v>
      </c>
      <c r="AP56" s="89" t="str">
        <f>Registro!AK56</f>
        <v>a) Muy buena</v>
      </c>
      <c r="AQ56" s="89" t="str">
        <f>Registro!AL56</f>
        <v>b) Buena</v>
      </c>
      <c r="AR56" s="89" t="str">
        <f>Registro!AM56</f>
        <v>b) Buena</v>
      </c>
      <c r="AS56" s="89" t="str">
        <f>Registro!AN56</f>
        <v>a) Muy buena</v>
      </c>
      <c r="AT56" s="89" t="str">
        <f>Registro!AO56</f>
        <v>a) Muy buena</v>
      </c>
      <c r="AU56" s="89" t="str">
        <f>Registro!AP56</f>
        <v>a) Muy buena</v>
      </c>
      <c r="AV56" s="89" t="str">
        <f>Registro!AQ56</f>
        <v>a) Muy buena</v>
      </c>
      <c r="AW56" s="89" t="str">
        <f>Registro!AR56</f>
        <v>c) El estudio</v>
      </c>
      <c r="AX56" s="89" t="str">
        <f>Registro!AS56</f>
        <v>a) Que sea un buen profesional</v>
      </c>
      <c r="AY56" s="89" t="str">
        <f>Registro!AT56</f>
        <v>d) Bastante necesaria</v>
      </c>
      <c r="AZ56" s="89" t="str">
        <f>Registro!AU56</f>
        <v>a) No acostumbro a tomarlo nunca</v>
      </c>
      <c r="BA56" s="89" t="str">
        <f>Registro!AV56</f>
        <v>e) Educadores que se preocupan de nosotros</v>
      </c>
      <c r="BB56" s="89" t="str">
        <f>Registro!AW56</f>
        <v>c) Bastante</v>
      </c>
      <c r="BC56" s="89" t="str">
        <f>Registro!AX56</f>
        <v>e) Son personas que me gustan y admiro</v>
      </c>
      <c r="BD56" s="89" t="str">
        <f>Registro!AY56</f>
        <v>b) Mi madre, c) Un hermano/a</v>
      </c>
    </row>
    <row r="57" spans="1:56" ht="15" customHeight="1" x14ac:dyDescent="0.25">
      <c r="A57" s="101">
        <f>Registro!A57</f>
        <v>42127.26734953704</v>
      </c>
      <c r="B57" s="89" t="str">
        <f>Registro!B57</f>
        <v>c) Obra Social San José de Calasanz de Valencia</v>
      </c>
      <c r="C57" s="89" t="str">
        <f>Registro!C57</f>
        <v>c) Cuarto año</v>
      </c>
      <c r="D57" s="89" t="str">
        <f>Registro!D57</f>
        <v>a) Educación Inicial</v>
      </c>
      <c r="E57" s="89" t="str">
        <f>Registro!E57</f>
        <v>a) Masculino</v>
      </c>
      <c r="F57" s="89" t="str">
        <f>Registro!F57</f>
        <v>a) Católica</v>
      </c>
      <c r="G57" s="89" t="str">
        <f>Registro!G57</f>
        <v>a) Mamá, b) Papá, c) Hermanos</v>
      </c>
      <c r="H57" s="89" t="str">
        <f>Registro!H57</f>
        <v>b) Casa Urbana</v>
      </c>
      <c r="I57" s="89" t="str">
        <f>Registro!I57</f>
        <v>a) Sí</v>
      </c>
      <c r="J57" s="89" t="str">
        <f>Registro!J57</f>
        <v>b) Lavadora, c) Microondas, f) MP3, i) Computadora, k) Aire acondicionado</v>
      </c>
      <c r="K57" s="89" t="str">
        <f>Registro!K57</f>
        <v>c) Dos</v>
      </c>
      <c r="L57" s="89" t="str">
        <f>Registro!L57</f>
        <v>a) La familia, c) Los estudios, g) La felicidad</v>
      </c>
      <c r="M57" s="94">
        <f t="shared" si="3"/>
        <v>3</v>
      </c>
      <c r="N57" s="89" t="str">
        <f>Registro!M57</f>
        <v>g) Mis estudios</v>
      </c>
      <c r="O57" s="89" t="str">
        <f>Registro!N57</f>
        <v>b) Suficiente</v>
      </c>
      <c r="P57" s="89" t="str">
        <f>Registro!O57</f>
        <v>c) Poco</v>
      </c>
      <c r="Q57" s="89" t="str">
        <f>Registro!P57</f>
        <v>b) Suficiente</v>
      </c>
      <c r="R57" s="89" t="str">
        <f>Registro!Q57</f>
        <v>b) Los amigos, c) Los estudios, g) La felicidad</v>
      </c>
      <c r="S57" s="94">
        <f t="shared" si="0"/>
        <v>3</v>
      </c>
      <c r="T57" s="89" t="str">
        <f>Registro!R57</f>
        <v>a) Mucho</v>
      </c>
      <c r="U57" s="89" t="str">
        <f>Registro!S57</f>
        <v>a) La Iglesia, d) Las convivencias, e) Los amigos, g) Mi familia, i) Los necesitados, k) La oración</v>
      </c>
      <c r="V57" s="89" t="str">
        <f>Registro!T57</f>
        <v>a) Suelo rezar por convicción o porque me gusta</v>
      </c>
      <c r="W57" s="89" t="str">
        <f>Registro!U57</f>
        <v>c) Solo en fechas especiales</v>
      </c>
      <c r="X57" s="89" t="str">
        <f>Registro!V57</f>
        <v>d) Suelo orar todos los días, e) Voy a misa en las fechas de mis familiares difuntos, f) En alguna ocasión he rezado el rosario, h) En Semana Santa asisto a las procesiones</v>
      </c>
      <c r="Y57" s="89" t="str">
        <f>Registro!W57</f>
        <v>d) No pertenezco a ninguno</v>
      </c>
      <c r="Z57" s="89" t="str">
        <f>Registro!X57</f>
        <v>c) Un lugar donde me lo paso bien</v>
      </c>
      <c r="AA57" s="89" t="str">
        <f>Registro!Y57</f>
        <v>b) No</v>
      </c>
      <c r="AB57" s="89" t="str">
        <f>Registro!Z57</f>
        <v>b) No</v>
      </c>
      <c r="AC57" s="89"/>
      <c r="AD57" s="94">
        <f t="shared" si="4"/>
        <v>0</v>
      </c>
      <c r="AE57" s="89" t="str">
        <f>Registro!AB57</f>
        <v>c) Ser un excelente profesional</v>
      </c>
      <c r="AF57" s="89" t="str">
        <f>Registro!AC57</f>
        <v>e) No sé</v>
      </c>
      <c r="AG57" s="89"/>
      <c r="AH57" s="94">
        <f t="shared" si="1"/>
        <v>0</v>
      </c>
      <c r="AI57" s="89" t="str">
        <f>Registro!AE57</f>
        <v>a) 0 a 2 horas</v>
      </c>
      <c r="AJ57" s="89"/>
      <c r="AK57" s="94">
        <f t="shared" si="2"/>
        <v>0</v>
      </c>
      <c r="AL57" s="89" t="str">
        <f>Registro!AG57</f>
        <v>c) Regular</v>
      </c>
      <c r="AM57" s="89" t="str">
        <f>Registro!AH57</f>
        <v>b) Buena</v>
      </c>
      <c r="AN57" s="89" t="str">
        <f>Registro!AI57</f>
        <v>b) Buena</v>
      </c>
      <c r="AO57" s="89" t="str">
        <f>Registro!AJ57</f>
        <v>c) Regular</v>
      </c>
      <c r="AP57" s="89" t="str">
        <f>Registro!AK57</f>
        <v>b) Buena</v>
      </c>
      <c r="AQ57" s="89" t="str">
        <f>Registro!AL57</f>
        <v>b) Buena</v>
      </c>
      <c r="AR57" s="89" t="str">
        <f>Registro!AM57</f>
        <v>b) Buena</v>
      </c>
      <c r="AS57" s="89" t="str">
        <f>Registro!AN57</f>
        <v>b) Buena</v>
      </c>
      <c r="AT57" s="89" t="str">
        <f>Registro!AO57</f>
        <v>c) Regular</v>
      </c>
      <c r="AU57" s="89" t="str">
        <f>Registro!AP57</f>
        <v>b) Buena</v>
      </c>
      <c r="AV57" s="89" t="str">
        <f>Registro!AQ57</f>
        <v>c) Regular</v>
      </c>
      <c r="AW57" s="89" t="str">
        <f>Registro!AR57</f>
        <v>e) La disciplina y el orden</v>
      </c>
      <c r="AX57" s="89" t="str">
        <f>Registro!AS57</f>
        <v>h) No sé</v>
      </c>
      <c r="AY57" s="89" t="str">
        <f>Registro!AT57</f>
        <v>d) Bastante necesaria</v>
      </c>
      <c r="AZ57" s="89" t="str">
        <f>Registro!AU57</f>
        <v>b) Las veces que bebo, es con moderación</v>
      </c>
      <c r="BA57" s="89" t="str">
        <f>Registro!AV57</f>
        <v>e) Educadores que se preocupan de nosotros</v>
      </c>
      <c r="BB57" s="89" t="str">
        <f>Registro!AW57</f>
        <v>b) Poco</v>
      </c>
      <c r="BC57" s="89" t="str">
        <f>Registro!AX57</f>
        <v>d) Hay de todo tipo, pero predomina lo positivo</v>
      </c>
      <c r="BD57" s="89" t="str">
        <f>Registro!AY57</f>
        <v>a) Mi padre, b) Mi madre, g) Un amigo</v>
      </c>
    </row>
    <row r="58" spans="1:56" ht="15" customHeight="1" x14ac:dyDescent="0.25">
      <c r="A58" s="101">
        <f>Registro!A58</f>
        <v>42127.271365740744</v>
      </c>
      <c r="B58" s="89" t="str">
        <f>Registro!B58</f>
        <v>c) Obra Social San José de Calasanz de Valencia</v>
      </c>
      <c r="C58" s="89" t="str">
        <f>Registro!C58</f>
        <v>c) Cuarto año</v>
      </c>
      <c r="D58" s="89" t="str">
        <f>Registro!D58</f>
        <v>b) Primaria</v>
      </c>
      <c r="E58" s="89" t="str">
        <f>Registro!E58</f>
        <v>b) Femenino</v>
      </c>
      <c r="F58" s="89" t="str">
        <f>Registro!F58</f>
        <v>a) Católica</v>
      </c>
      <c r="G58" s="89" t="str">
        <f>Registro!G58</f>
        <v>a) Mamá, b) Papá, c) Hermanos, d) Abuelos, e) Otros familiares</v>
      </c>
      <c r="H58" s="89" t="str">
        <f>Registro!H58</f>
        <v>b) Casa Urbana</v>
      </c>
      <c r="I58" s="89" t="str">
        <f>Registro!I58</f>
        <v>c) Algo</v>
      </c>
      <c r="J58" s="89" t="str">
        <f>Registro!J58</f>
        <v>b) Lavadora, i) Computadora, j) Cámara digital, k) Aire acondicionado</v>
      </c>
      <c r="K58" s="89" t="str">
        <f>Registro!K58</f>
        <v>e) Cuatro</v>
      </c>
      <c r="L58" s="89" t="str">
        <f>Registro!L58</f>
        <v>a) La familia, b) Los amigos, c) Los estudios</v>
      </c>
      <c r="M58" s="94">
        <f t="shared" si="3"/>
        <v>3</v>
      </c>
      <c r="N58" s="89" t="str">
        <f>Registro!M58</f>
        <v>d) Los problemas familiares</v>
      </c>
      <c r="O58" s="89" t="str">
        <f>Registro!N58</f>
        <v>c) Poco</v>
      </c>
      <c r="P58" s="89">
        <f>Registro!O58</f>
        <v>0</v>
      </c>
      <c r="Q58" s="89" t="str">
        <f>Registro!P58</f>
        <v>b) Suficiente</v>
      </c>
      <c r="R58" s="89" t="str">
        <f>Registro!Q58</f>
        <v>a) La familia, c) Los estudios, g) La felicidad</v>
      </c>
      <c r="S58" s="94">
        <f t="shared" si="0"/>
        <v>3</v>
      </c>
      <c r="T58" s="89" t="str">
        <f>Registro!R58</f>
        <v>a) Mucho</v>
      </c>
      <c r="U58" s="89" t="str">
        <f>Registro!S58</f>
        <v>a) La Iglesia, d) Las convivencias, g) Mi familia, h) Algunas personas cercanas a Dios, i) Los necesitados, k) La oración, l) Los sacramentos</v>
      </c>
      <c r="V58" s="89" t="str">
        <f>Registro!T58</f>
        <v>b) Rezo por costumbre</v>
      </c>
      <c r="W58" s="89">
        <f>Registro!U58</f>
        <v>0</v>
      </c>
      <c r="X58" s="89" t="str">
        <f>Registro!V58</f>
        <v>d) Suelo orar todos los días, f) En alguna ocasión he rezado el rosario, i) Tengo en mi cuarto alguna imagen religiosa</v>
      </c>
      <c r="Y58" s="89" t="str">
        <f>Registro!W58</f>
        <v>c) Religioso o parroquial, d) No pertenezco a ninguno</v>
      </c>
      <c r="Z58" s="89" t="str">
        <f>Registro!X58</f>
        <v>b) Un lugar donde comparto con mis compañeros</v>
      </c>
      <c r="AA58" s="89" t="str">
        <f>Registro!Y58</f>
        <v>b) No</v>
      </c>
      <c r="AB58" s="89" t="str">
        <f>Registro!Z58</f>
        <v>b) No</v>
      </c>
      <c r="AC58" s="89"/>
      <c r="AD58" s="94">
        <f t="shared" si="4"/>
        <v>0</v>
      </c>
      <c r="AE58" s="89" t="str">
        <f>Registro!AB58</f>
        <v>e) Servir a los demás</v>
      </c>
      <c r="AF58" s="89" t="str">
        <f>Registro!AC58</f>
        <v>c) Bastante</v>
      </c>
      <c r="AG58" s="89" t="str">
        <f>Registro!AD58</f>
        <v>a) Los deportes y diversiones, h) Las actividades extraescolares</v>
      </c>
      <c r="AH58" s="94">
        <f t="shared" si="1"/>
        <v>2</v>
      </c>
      <c r="AI58" s="89" t="str">
        <f>Registro!AE58</f>
        <v>b) 3 a 4 horas</v>
      </c>
      <c r="AJ58" s="89" t="str">
        <f>Registro!AF58</f>
        <v>d) Estoy la mayor parte del tiempo en la casa sin hacer nada, m) Veo televisión y/o películas, n) Estoy conversando con los amigos/as</v>
      </c>
      <c r="AK58" s="94">
        <f t="shared" si="2"/>
        <v>3</v>
      </c>
      <c r="AL58" s="89" t="str">
        <f>Registro!AG58</f>
        <v>b) Bueno</v>
      </c>
      <c r="AM58" s="89" t="str">
        <f>Registro!AH58</f>
        <v>b) Buena</v>
      </c>
      <c r="AN58" s="89" t="str">
        <f>Registro!AI58</f>
        <v>b) Buena</v>
      </c>
      <c r="AO58" s="89" t="str">
        <f>Registro!AJ58</f>
        <v>a) Muy buena</v>
      </c>
      <c r="AP58" s="89" t="str">
        <f>Registro!AK58</f>
        <v>d) Mala</v>
      </c>
      <c r="AQ58" s="89" t="str">
        <f>Registro!AL58</f>
        <v>b) Buena</v>
      </c>
      <c r="AR58" s="89" t="str">
        <f>Registro!AM58</f>
        <v>a) Muy buena</v>
      </c>
      <c r="AS58" s="89" t="str">
        <f>Registro!AN58</f>
        <v>b) Buena</v>
      </c>
      <c r="AT58" s="89" t="str">
        <f>Registro!AO58</f>
        <v>a) Muy buena</v>
      </c>
      <c r="AU58" s="89" t="str">
        <f>Registro!AP58</f>
        <v>a) Muy buena</v>
      </c>
      <c r="AV58" s="89" t="str">
        <f>Registro!AQ58</f>
        <v>a) Muy buena</v>
      </c>
      <c r="AW58" s="89" t="str">
        <f>Registro!AR58</f>
        <v>g) La orientación profesional futura</v>
      </c>
      <c r="AX58" s="89" t="str">
        <f>Registro!AS58</f>
        <v>a) Que sea un buen profesional</v>
      </c>
      <c r="AY58" s="89" t="str">
        <f>Registro!AT58</f>
        <v>e) Absolutamente necesaria</v>
      </c>
      <c r="AZ58" s="89" t="str">
        <f>Registro!AU58</f>
        <v>b) Las veces que bebo, es con moderación</v>
      </c>
      <c r="BA58" s="89" t="str">
        <f>Registro!AV58</f>
        <v>e) Educadores que se preocupan de nosotros</v>
      </c>
      <c r="BB58" s="89" t="str">
        <f>Registro!AW58</f>
        <v>c) Bastante</v>
      </c>
      <c r="BC58" s="89" t="str">
        <f>Registro!AX58</f>
        <v>b) Hay de todo tipo, pero predomina lo negativo</v>
      </c>
      <c r="BD58" s="89" t="str">
        <f>Registro!AY58</f>
        <v>c) Un hermano/a, g) Un amigo, h) Una amiga</v>
      </c>
    </row>
    <row r="59" spans="1:56" ht="15" customHeight="1" x14ac:dyDescent="0.25">
      <c r="A59" s="101">
        <f>Registro!A59</f>
        <v>42127.275127314817</v>
      </c>
      <c r="B59" s="89" t="str">
        <f>Registro!B59</f>
        <v>c) Obra Social San José de Calasanz de Valencia</v>
      </c>
      <c r="C59" s="89" t="str">
        <f>Registro!C59</f>
        <v>c) Cuarto año</v>
      </c>
      <c r="D59" s="89" t="str">
        <f>Registro!D59</f>
        <v>a) Educación Inicial</v>
      </c>
      <c r="E59" s="89" t="str">
        <f>Registro!E59</f>
        <v>a) Masculino</v>
      </c>
      <c r="F59" s="89" t="str">
        <f>Registro!F59</f>
        <v>a) Católica</v>
      </c>
      <c r="G59" s="89" t="str">
        <f>Registro!G59</f>
        <v>a) Mamá, b) Papá, c) Hermanos, d) Abuelos</v>
      </c>
      <c r="H59" s="89" t="str">
        <f>Registro!H59</f>
        <v>b) Casa Urbana</v>
      </c>
      <c r="I59" s="89" t="str">
        <f>Registro!I59</f>
        <v>a) Sí</v>
      </c>
      <c r="J59" s="89" t="str">
        <f>Registro!J59</f>
        <v>a) Cónsola videojuegos, b) Lavadora, c) Microondas, d) TV pantalla plana, h) Carro, i) Computadora, j) Cámara digital, k) Aire acondicionado</v>
      </c>
      <c r="K59" s="89" t="str">
        <f>Registro!K59</f>
        <v>b) Una</v>
      </c>
      <c r="L59" s="89" t="str">
        <f>Registro!L59</f>
        <v>a) La familia, c) Los estudios, j) El deporte</v>
      </c>
      <c r="M59" s="94">
        <f t="shared" si="3"/>
        <v>3</v>
      </c>
      <c r="N59" s="89" t="str">
        <f>Registro!M59</f>
        <v>a) Seguridad personal (la violencia y la delincuencia)</v>
      </c>
      <c r="O59" s="89" t="str">
        <f>Registro!N59</f>
        <v>c) Poco</v>
      </c>
      <c r="P59" s="89" t="str">
        <f>Registro!O59</f>
        <v>c) Poco</v>
      </c>
      <c r="Q59" s="89" t="str">
        <f>Registro!P59</f>
        <v>c) Poco</v>
      </c>
      <c r="R59" s="89" t="str">
        <f>Registro!Q59</f>
        <v>c) Los estudios, g) La felicidad, j) El deporte</v>
      </c>
      <c r="S59" s="94">
        <f t="shared" si="0"/>
        <v>3</v>
      </c>
      <c r="T59" s="89" t="str">
        <f>Registro!R59</f>
        <v>a) Mucho</v>
      </c>
      <c r="U59" s="89" t="str">
        <f>Registro!S59</f>
        <v>g) Mi familia, k) La oración</v>
      </c>
      <c r="V59" s="89" t="str">
        <f>Registro!T59</f>
        <v>c) Rezo solo en situación de dificultad</v>
      </c>
      <c r="W59" s="89" t="str">
        <f>Registro!U59</f>
        <v>c) Solo en fechas especiales</v>
      </c>
      <c r="X59" s="89" t="str">
        <f>Registro!V59</f>
        <v>d) Suelo orar todos los días, e) Voy a misa en las fechas de mis familiares difuntos, f) En alguna ocasión he rezado el rosario, i) Tengo en mi cuarto alguna imagen religiosa</v>
      </c>
      <c r="Y59" s="89" t="str">
        <f>Registro!W59</f>
        <v>a) Deportivo</v>
      </c>
      <c r="Z59" s="89" t="str">
        <f>Registro!X59</f>
        <v>b) Un lugar donde comparto con mis compañeros</v>
      </c>
      <c r="AA59" s="89" t="str">
        <f>Registro!Y59</f>
        <v>b) No</v>
      </c>
      <c r="AB59" s="89" t="str">
        <f>Registro!Z59</f>
        <v>b) No</v>
      </c>
      <c r="AC59" s="89" t="str">
        <f>Registro!AA59</f>
        <v>d) Ingeniería</v>
      </c>
      <c r="AD59" s="94">
        <f t="shared" si="4"/>
        <v>1</v>
      </c>
      <c r="AE59" s="89" t="str">
        <f>Registro!AB59</f>
        <v>b) Tener una buena posición social, ser importante</v>
      </c>
      <c r="AF59" s="89" t="str">
        <f>Registro!AC59</f>
        <v>b) Poco</v>
      </c>
      <c r="AG59" s="89" t="str">
        <f>Registro!AD59</f>
        <v>a) Los deportes y diversiones, c) Las instalaciones del Colegio</v>
      </c>
      <c r="AH59" s="94">
        <f t="shared" si="1"/>
        <v>2</v>
      </c>
      <c r="AI59" s="89" t="str">
        <f>Registro!AE59</f>
        <v>f) 11 o más horas</v>
      </c>
      <c r="AJ59" s="89" t="str">
        <f>Registro!AF59</f>
        <v>d) Estoy la mayor parte del tiempo en la casa sin hacer nada, k) Practico algún deporte, m) Veo televisión y/o películas</v>
      </c>
      <c r="AK59" s="94">
        <f t="shared" si="2"/>
        <v>3</v>
      </c>
      <c r="AL59" s="89" t="str">
        <f>Registro!AG59</f>
        <v>b) Bueno</v>
      </c>
      <c r="AM59" s="89" t="str">
        <f>Registro!AH59</f>
        <v>c) Regular</v>
      </c>
      <c r="AN59" s="89" t="str">
        <f>Registro!AI59</f>
        <v>c) Regular</v>
      </c>
      <c r="AO59" s="89" t="str">
        <f>Registro!AJ59</f>
        <v>b) Buena</v>
      </c>
      <c r="AP59" s="89" t="str">
        <f>Registro!AK59</f>
        <v>c) Regular</v>
      </c>
      <c r="AQ59" s="89" t="str">
        <f>Registro!AL59</f>
        <v>c) Regular</v>
      </c>
      <c r="AR59" s="89" t="str">
        <f>Registro!AM59</f>
        <v>b) Buena</v>
      </c>
      <c r="AS59" s="89" t="str">
        <f>Registro!AN59</f>
        <v>b) Buena</v>
      </c>
      <c r="AT59" s="89" t="str">
        <f>Registro!AO59</f>
        <v>c) Regular</v>
      </c>
      <c r="AU59" s="89" t="str">
        <f>Registro!AP59</f>
        <v>b) Buena</v>
      </c>
      <c r="AV59" s="89" t="str">
        <f>Registro!AQ59</f>
        <v>b) Buena</v>
      </c>
      <c r="AW59" s="89" t="str">
        <f>Registro!AR59</f>
        <v>c) El estudio</v>
      </c>
      <c r="AX59" s="89" t="str">
        <f>Registro!AS59</f>
        <v>b) Darme una buena educación</v>
      </c>
      <c r="AY59" s="89" t="str">
        <f>Registro!AT59</f>
        <v>d) Bastante necesaria</v>
      </c>
      <c r="AZ59" s="89" t="str">
        <f>Registro!AU59</f>
        <v>a) No acostumbro a tomarlo nunca</v>
      </c>
      <c r="BA59" s="89" t="str">
        <f>Registro!AV59</f>
        <v>d) Buenos profesionales de la educación</v>
      </c>
      <c r="BB59" s="89" t="str">
        <f>Registro!AW59</f>
        <v>c) Bastante</v>
      </c>
      <c r="BC59" s="89" t="str">
        <f>Registro!AX59</f>
        <v>e) Son personas que me gustan y admiro</v>
      </c>
      <c r="BD59" s="89" t="str">
        <f>Registro!AY59</f>
        <v>a) Mi padre, b) Mi madre</v>
      </c>
    </row>
    <row r="60" spans="1:56" ht="15" customHeight="1" x14ac:dyDescent="0.25">
      <c r="A60" s="101">
        <f>Registro!A60</f>
        <v>42127.278819444444</v>
      </c>
      <c r="B60" s="89" t="str">
        <f>Registro!B60</f>
        <v>c) Obra Social San José de Calasanz de Valencia</v>
      </c>
      <c r="C60" s="89" t="str">
        <f>Registro!C60</f>
        <v>c) Cuarto año</v>
      </c>
      <c r="D60" s="89" t="str">
        <f>Registro!D60</f>
        <v>a) Educación Inicial</v>
      </c>
      <c r="E60" s="89" t="str">
        <f>Registro!E60</f>
        <v>a) Masculino</v>
      </c>
      <c r="F60" s="89" t="str">
        <f>Registro!F60</f>
        <v>a) Católica</v>
      </c>
      <c r="G60" s="89" t="str">
        <f>Registro!G60</f>
        <v>d) Abuelos</v>
      </c>
      <c r="H60" s="89" t="str">
        <f>Registro!H60</f>
        <v>b) Casa Urbana</v>
      </c>
      <c r="I60" s="89" t="str">
        <f>Registro!I60</f>
        <v>a) Sí</v>
      </c>
      <c r="J60" s="89" t="str">
        <f>Registro!J60</f>
        <v>a) Cónsola videojuegos, b) Lavadora, c) Microondas, d) TV pantalla plana, h) Carro, i) Computadora, k) Aire acondicionado</v>
      </c>
      <c r="K60" s="89" t="str">
        <f>Registro!K60</f>
        <v>d) Tres</v>
      </c>
      <c r="L60" s="89" t="str">
        <f>Registro!L60</f>
        <v>a) La familia, b) Los amigos, g) La felicidad</v>
      </c>
      <c r="M60" s="94">
        <f t="shared" si="3"/>
        <v>3</v>
      </c>
      <c r="N60" s="89" t="str">
        <f>Registro!M60</f>
        <v>g) Mis estudios</v>
      </c>
      <c r="O60" s="89" t="str">
        <f>Registro!N60</f>
        <v>b) Suficiente</v>
      </c>
      <c r="P60" s="89" t="str">
        <f>Registro!O60</f>
        <v>c) Poco</v>
      </c>
      <c r="Q60" s="89" t="str">
        <f>Registro!P60</f>
        <v>c) Poco</v>
      </c>
      <c r="R60" s="89" t="str">
        <f>Registro!Q60</f>
        <v>a) La familia, b) Los amigos, c) Los estudios</v>
      </c>
      <c r="S60" s="94">
        <f t="shared" si="0"/>
        <v>3</v>
      </c>
      <c r="T60" s="89" t="str">
        <f>Registro!R60</f>
        <v>b) Suficiente</v>
      </c>
      <c r="U60" s="89" t="str">
        <f>Registro!S60</f>
        <v>a) La Iglesia, b) La naturaleza</v>
      </c>
      <c r="V60" s="89" t="str">
        <f>Registro!T60</f>
        <v>b) Rezo por costumbre</v>
      </c>
      <c r="W60" s="89" t="str">
        <f>Registro!U60</f>
        <v>c) Solo en fechas especiales</v>
      </c>
      <c r="X60" s="89" t="str">
        <f>Registro!V60</f>
        <v>d) Suelo orar todos los días</v>
      </c>
      <c r="Y60" s="89" t="str">
        <f>Registro!W60</f>
        <v>a) Deportivo</v>
      </c>
      <c r="Z60" s="89" t="str">
        <f>Registro!X60</f>
        <v>c) Un lugar donde me lo paso bien</v>
      </c>
      <c r="AA60" s="89" t="str">
        <f>Registro!Y60</f>
        <v>b) No</v>
      </c>
      <c r="AB60" s="89" t="str">
        <f>Registro!Z60</f>
        <v>b) No</v>
      </c>
      <c r="AC60" s="89" t="str">
        <f>Registro!AA60</f>
        <v>f) Ciencias policiales o artes militares, j) Trabajador calificado</v>
      </c>
      <c r="AD60" s="94">
        <f t="shared" si="4"/>
        <v>2</v>
      </c>
      <c r="AE60" s="89" t="str">
        <f>Registro!AB60</f>
        <v>a) Ganar mucho dinero</v>
      </c>
      <c r="AF60" s="89" t="str">
        <f>Registro!AC60</f>
        <v>b) Poco</v>
      </c>
      <c r="AG60" s="89" t="str">
        <f>Registro!AD60</f>
        <v>a) Los deportes y diversiones, b) El ambiente de estudio y de trabajo</v>
      </c>
      <c r="AH60" s="94">
        <f t="shared" si="1"/>
        <v>2</v>
      </c>
      <c r="AI60" s="89" t="str">
        <f>Registro!AE60</f>
        <v>d) 7 a 8 horas</v>
      </c>
      <c r="AJ60" s="89" t="str">
        <f>Registro!AF60</f>
        <v>b) Navego en Internet</v>
      </c>
      <c r="AK60" s="94">
        <f t="shared" si="2"/>
        <v>1</v>
      </c>
      <c r="AL60" s="89" t="str">
        <f>Registro!AG60</f>
        <v>c) Regular</v>
      </c>
      <c r="AM60" s="89" t="str">
        <f>Registro!AH60</f>
        <v>c) Regular</v>
      </c>
      <c r="AN60" s="89" t="str">
        <f>Registro!AI60</f>
        <v>c) Regular</v>
      </c>
      <c r="AO60" s="89" t="str">
        <f>Registro!AJ60</f>
        <v>c) Regular</v>
      </c>
      <c r="AP60" s="89" t="str">
        <f>Registro!AK60</f>
        <v>b) Buena</v>
      </c>
      <c r="AQ60" s="89" t="str">
        <f>Registro!AL60</f>
        <v>c) Regular</v>
      </c>
      <c r="AR60" s="89" t="str">
        <f>Registro!AM60</f>
        <v>b) Buena</v>
      </c>
      <c r="AS60" s="89" t="str">
        <f>Registro!AN60</f>
        <v>c) Regular</v>
      </c>
      <c r="AT60" s="89" t="str">
        <f>Registro!AO60</f>
        <v>a) Muy buena</v>
      </c>
      <c r="AU60" s="89" t="str">
        <f>Registro!AP60</f>
        <v>b) Buena</v>
      </c>
      <c r="AV60" s="89" t="str">
        <f>Registro!AQ60</f>
        <v>b) Buena</v>
      </c>
      <c r="AW60" s="89" t="str">
        <f>Registro!AR60</f>
        <v>a) El compañerismo</v>
      </c>
      <c r="AX60" s="89" t="str">
        <f>Registro!AS60</f>
        <v>a) Que sea un buen profesional</v>
      </c>
      <c r="AY60" s="89" t="str">
        <f>Registro!AT60</f>
        <v>a) Innecesaria</v>
      </c>
      <c r="AZ60" s="89" t="str">
        <f>Registro!AU60</f>
        <v>a) No acostumbro a tomarlo nunca</v>
      </c>
      <c r="BA60" s="89" t="str">
        <f>Registro!AV60</f>
        <v>c) Profesionales que hacen lo que pueden</v>
      </c>
      <c r="BB60" s="89" t="str">
        <f>Registro!AW60</f>
        <v>b) Poco</v>
      </c>
      <c r="BC60" s="89" t="str">
        <f>Registro!AX60</f>
        <v>a) No me gustan en absoluto</v>
      </c>
      <c r="BD60" s="89" t="str">
        <f>Registro!AY60</f>
        <v>b) Mi madre</v>
      </c>
    </row>
    <row r="61" spans="1:56" ht="15" customHeight="1" x14ac:dyDescent="0.25">
      <c r="A61" s="101">
        <f>Registro!A61</f>
        <v>42127.279583333337</v>
      </c>
      <c r="B61" s="89" t="str">
        <f>Registro!B61</f>
        <v>c) Obra Social San José de Calasanz de Valencia</v>
      </c>
      <c r="C61" s="89" t="str">
        <f>Registro!C61</f>
        <v>c) Cuarto año</v>
      </c>
      <c r="D61" s="89" t="str">
        <f>Registro!D61</f>
        <v>b) Primaria</v>
      </c>
      <c r="E61" s="89" t="str">
        <f>Registro!E61</f>
        <v>b) Femenino</v>
      </c>
      <c r="F61" s="89" t="str">
        <f>Registro!F61</f>
        <v>a) Católica</v>
      </c>
      <c r="G61" s="89" t="str">
        <f>Registro!G61</f>
        <v>a) Mamá, b) Papá, c) Hermanos</v>
      </c>
      <c r="H61" s="89" t="str">
        <f>Registro!H61</f>
        <v>b) Casa Urbana</v>
      </c>
      <c r="I61" s="89" t="str">
        <f>Registro!I61</f>
        <v>c) Algo</v>
      </c>
      <c r="J61" s="89" t="str">
        <f>Registro!J61</f>
        <v>a) Cónsola videojuegos, b) Lavadora, c) Microondas, d) TV pantalla plana, h) Carro, i) Computadora, k) Aire acondicionado</v>
      </c>
      <c r="K61" s="89" t="str">
        <f>Registro!K61</f>
        <v>e) Cuatro</v>
      </c>
      <c r="L61" s="89" t="str">
        <f>Registro!L61</f>
        <v>a) La familia, c) Los estudios, g) La felicidad</v>
      </c>
      <c r="M61" s="94">
        <f t="shared" si="3"/>
        <v>3</v>
      </c>
      <c r="N61" s="89" t="str">
        <f>Registro!M61</f>
        <v>b) El futuro</v>
      </c>
      <c r="O61" s="89" t="str">
        <f>Registro!N61</f>
        <v>c) Poco</v>
      </c>
      <c r="P61" s="89" t="str">
        <f>Registro!O61</f>
        <v>b) Suficiente</v>
      </c>
      <c r="Q61" s="89" t="str">
        <f>Registro!P61</f>
        <v>b) Suficiente</v>
      </c>
      <c r="R61" s="89"/>
      <c r="S61" s="94">
        <f t="shared" si="0"/>
        <v>0</v>
      </c>
      <c r="T61" s="89" t="str">
        <f>Registro!R61</f>
        <v>a) Mucho</v>
      </c>
      <c r="U61" s="89" t="str">
        <f>Registro!S61</f>
        <v>d) Las convivencias, e) Los amigos, g) Mi familia, i) Los necesitados</v>
      </c>
      <c r="V61" s="89" t="str">
        <f>Registro!T61</f>
        <v>a) Suelo rezar por convicción o porque me gusta</v>
      </c>
      <c r="W61" s="89" t="str">
        <f>Registro!U61</f>
        <v>c) Solo en fechas especiales</v>
      </c>
      <c r="X61" s="89" t="str">
        <f>Registro!V61</f>
        <v>f) En alguna ocasión he rezado el rosario</v>
      </c>
      <c r="Y61" s="89" t="str">
        <f>Registro!W61</f>
        <v xml:space="preserve">a) Deportivo, b) Cultural (folklórico, musicales, danzas, scout, banda marcial,...) </v>
      </c>
      <c r="Z61" s="89" t="str">
        <f>Registro!X61</f>
        <v>c) Un lugar donde me lo paso bien</v>
      </c>
      <c r="AA61" s="89" t="str">
        <f>Registro!Y61</f>
        <v>b) No</v>
      </c>
      <c r="AB61" s="89" t="str">
        <f>Registro!Z61</f>
        <v>b) No</v>
      </c>
      <c r="AC61" s="89" t="str">
        <f>Registro!AA61</f>
        <v>d) Ingeniería, f) Ciencias policiales o artes militares</v>
      </c>
      <c r="AD61" s="94">
        <f t="shared" si="4"/>
        <v>2</v>
      </c>
      <c r="AE61" s="89" t="str">
        <f>Registro!AB61</f>
        <v>b) Tener una buena posición social, ser importante</v>
      </c>
      <c r="AF61" s="89" t="str">
        <f>Registro!AC61</f>
        <v>b) Poco</v>
      </c>
      <c r="AG61" s="89" t="str">
        <f>Registro!AD61</f>
        <v>a) Los deportes y diversiones, h) Las actividades extraescolares</v>
      </c>
      <c r="AH61" s="94">
        <f t="shared" si="1"/>
        <v>2</v>
      </c>
      <c r="AI61" s="89" t="str">
        <f>Registro!AE61</f>
        <v>b) 3 a 4 horas</v>
      </c>
      <c r="AJ61" s="89"/>
      <c r="AK61" s="94">
        <f t="shared" si="2"/>
        <v>0</v>
      </c>
      <c r="AL61" s="89" t="str">
        <f>Registro!AG61</f>
        <v>b) Bueno</v>
      </c>
      <c r="AM61" s="89" t="str">
        <f>Registro!AH61</f>
        <v>c) Regular</v>
      </c>
      <c r="AN61" s="89" t="str">
        <f>Registro!AI61</f>
        <v>c) Regular</v>
      </c>
      <c r="AO61" s="89" t="str">
        <f>Registro!AJ61</f>
        <v>b) Buena</v>
      </c>
      <c r="AP61" s="89" t="str">
        <f>Registro!AK61</f>
        <v>c) Regular</v>
      </c>
      <c r="AQ61" s="89" t="str">
        <f>Registro!AL61</f>
        <v>b) Buena</v>
      </c>
      <c r="AR61" s="89" t="str">
        <f>Registro!AM61</f>
        <v>a) Muy buena</v>
      </c>
      <c r="AS61" s="89" t="str">
        <f>Registro!AN61</f>
        <v>c) Regular</v>
      </c>
      <c r="AT61" s="89" t="str">
        <f>Registro!AO61</f>
        <v>c) Regular</v>
      </c>
      <c r="AU61" s="89" t="str">
        <f>Registro!AP61</f>
        <v>c) Regular</v>
      </c>
      <c r="AV61" s="89" t="str">
        <f>Registro!AQ61</f>
        <v>b) Buena</v>
      </c>
      <c r="AW61" s="89" t="str">
        <f>Registro!AR61</f>
        <v>g) La orientación profesional futura</v>
      </c>
      <c r="AX61" s="89" t="str">
        <f>Registro!AS61</f>
        <v>a) Que sea un buen profesional</v>
      </c>
      <c r="AY61" s="89" t="str">
        <f>Registro!AT61</f>
        <v>e) Absolutamente necesaria</v>
      </c>
      <c r="AZ61" s="89" t="str">
        <f>Registro!AU61</f>
        <v>b) Las veces que bebo, es con moderación</v>
      </c>
      <c r="BA61" s="89" t="str">
        <f>Registro!AV61</f>
        <v>e) Educadores que se preocupan de nosotros</v>
      </c>
      <c r="BB61" s="89" t="str">
        <f>Registro!AW61</f>
        <v>b) Poco</v>
      </c>
      <c r="BC61" s="89" t="str">
        <f>Registro!AX61</f>
        <v>c) Son personas normales y corrientes</v>
      </c>
      <c r="BD61" s="89" t="str">
        <f>Registro!AY61</f>
        <v>h) Una amiga</v>
      </c>
    </row>
    <row r="62" spans="1:56" ht="15" customHeight="1" x14ac:dyDescent="0.25">
      <c r="A62" s="101">
        <f>Registro!A62</f>
        <v>42127.281655092593</v>
      </c>
      <c r="B62" s="89" t="str">
        <f>Registro!B62</f>
        <v>c) Obra Social San José de Calasanz de Valencia</v>
      </c>
      <c r="C62" s="89" t="str">
        <f>Registro!C62</f>
        <v>c) Cuarto año</v>
      </c>
      <c r="D62" s="89" t="str">
        <f>Registro!D62</f>
        <v>c) Entre Primero y Tercer año</v>
      </c>
      <c r="E62" s="89" t="str">
        <f>Registro!E62</f>
        <v>b) Femenino</v>
      </c>
      <c r="F62" s="89" t="str">
        <f>Registro!F62</f>
        <v>a) Católica</v>
      </c>
      <c r="G62" s="89" t="str">
        <f>Registro!G62</f>
        <v>a) Mamá, b) Papá, c) Hermanos</v>
      </c>
      <c r="H62" s="89" t="str">
        <f>Registro!H62</f>
        <v>b) Casa Urbana</v>
      </c>
      <c r="I62" s="89" t="str">
        <f>Registro!I62</f>
        <v>a) Sí</v>
      </c>
      <c r="J62" s="89" t="str">
        <f>Registro!J62</f>
        <v>b) Lavadora, d) TV pantalla plana, h) Carro, j) Cámara digital</v>
      </c>
      <c r="K62" s="89" t="str">
        <f>Registro!K62</f>
        <v>b) Una</v>
      </c>
      <c r="L62" s="89"/>
      <c r="M62" s="94">
        <f t="shared" si="3"/>
        <v>0</v>
      </c>
      <c r="N62" s="89" t="str">
        <f>Registro!M62</f>
        <v>g) Mis estudios</v>
      </c>
      <c r="O62" s="89" t="str">
        <f>Registro!N62</f>
        <v>b) Suficiente</v>
      </c>
      <c r="P62" s="89" t="str">
        <f>Registro!O62</f>
        <v>c) Poco</v>
      </c>
      <c r="Q62" s="89" t="str">
        <f>Registro!P62</f>
        <v>c) Poco</v>
      </c>
      <c r="R62" s="89" t="str">
        <f>Registro!Q62</f>
        <v>a) La familia, b) Los amigos, c) Los estudios</v>
      </c>
      <c r="S62" s="94">
        <f t="shared" si="0"/>
        <v>3</v>
      </c>
      <c r="T62" s="89" t="str">
        <f>Registro!R62</f>
        <v>a) Mucho</v>
      </c>
      <c r="U62" s="89" t="str">
        <f>Registro!S62</f>
        <v>a) La Iglesia, b) La naturaleza, c) El salón de clase, d) Las convivencias, e) Los amigos, f) Todas las personas, g) Mi familia, h) Algunas personas cercanas a Dios, i) Los necesitados, j) Todas partes, k) La oración, l) Los sacramentos</v>
      </c>
      <c r="V62" s="89" t="str">
        <f>Registro!T62</f>
        <v>b) Rezo por costumbre</v>
      </c>
      <c r="W62" s="89" t="str">
        <f>Registro!U62</f>
        <v>a) Todos los domingos</v>
      </c>
      <c r="X62" s="89" t="str">
        <f>Registro!V62</f>
        <v>c) Suelo ir los domingos y otras fechas especiales a la Iglesia, e) Voy a misa en las fechas de mis familiares difuntos, g) En ocasiones, en mi casa tenemos una oración familiar</v>
      </c>
      <c r="Y62" s="89" t="str">
        <f>Registro!W62</f>
        <v>d) No pertenezco a ninguno</v>
      </c>
      <c r="Z62" s="89" t="str">
        <f>Registro!X62</f>
        <v>b) Un lugar donde comparto con mis compañeros</v>
      </c>
      <c r="AA62" s="89" t="str">
        <f>Registro!Y62</f>
        <v>b) No</v>
      </c>
      <c r="AB62" s="89" t="str">
        <f>Registro!Z62</f>
        <v>b) No</v>
      </c>
      <c r="AC62" s="89"/>
      <c r="AD62" s="94">
        <f t="shared" si="4"/>
        <v>0</v>
      </c>
      <c r="AE62" s="89" t="str">
        <f>Registro!AB62</f>
        <v>d) Desarrollarme personalmente</v>
      </c>
      <c r="AF62" s="89" t="str">
        <f>Registro!AC62</f>
        <v>c) Bastante</v>
      </c>
      <c r="AG62" s="89" t="str">
        <f>Registro!AD62</f>
        <v>b) El ambiente de estudio y de trabajo, f) La igualdad de trato que se da a todos</v>
      </c>
      <c r="AH62" s="94">
        <f t="shared" si="1"/>
        <v>2</v>
      </c>
      <c r="AI62" s="89" t="str">
        <f>Registro!AE62</f>
        <v>a) 0 a 2 horas</v>
      </c>
      <c r="AJ62" s="89" t="str">
        <f>Registro!AF62</f>
        <v>b) Navego en Internet, i) Leo revistas o libros, l) Escucho música y/o veo videos musicales</v>
      </c>
      <c r="AK62" s="94">
        <f t="shared" si="2"/>
        <v>3</v>
      </c>
      <c r="AL62" s="89" t="str">
        <f>Registro!AG62</f>
        <v>a) Muy bueno</v>
      </c>
      <c r="AM62" s="89" t="str">
        <f>Registro!AH62</f>
        <v>b) Buena</v>
      </c>
      <c r="AN62" s="89" t="str">
        <f>Registro!AI62</f>
        <v>b) Buena</v>
      </c>
      <c r="AO62" s="89" t="str">
        <f>Registro!AJ62</f>
        <v>b) Buena</v>
      </c>
      <c r="AP62" s="89" t="str">
        <f>Registro!AK62</f>
        <v>c) Regular</v>
      </c>
      <c r="AQ62" s="89" t="str">
        <f>Registro!AL62</f>
        <v>b) Buena</v>
      </c>
      <c r="AR62" s="89" t="str">
        <f>Registro!AM62</f>
        <v>b) Buena</v>
      </c>
      <c r="AS62" s="89" t="str">
        <f>Registro!AN62</f>
        <v>b) Buena</v>
      </c>
      <c r="AT62" s="89" t="str">
        <f>Registro!AO62</f>
        <v>f) No aplica</v>
      </c>
      <c r="AU62" s="89" t="str">
        <f>Registro!AP62</f>
        <v>b) Buena</v>
      </c>
      <c r="AV62" s="89" t="str">
        <f>Registro!AQ62</f>
        <v>b) Buena</v>
      </c>
      <c r="AW62" s="89" t="str">
        <f>Registro!AR62</f>
        <v>a) El compañerismo</v>
      </c>
      <c r="AX62" s="89" t="str">
        <f>Registro!AS62</f>
        <v>b) Darme una buena educación</v>
      </c>
      <c r="AY62" s="89" t="str">
        <f>Registro!AT62</f>
        <v>e) Absolutamente necesaria</v>
      </c>
      <c r="AZ62" s="89" t="str">
        <f>Registro!AU62</f>
        <v>a) No acostumbro a tomarlo nunca</v>
      </c>
      <c r="BA62" s="89" t="str">
        <f>Registro!AV62</f>
        <v>e) Educadores que se preocupan de nosotros</v>
      </c>
      <c r="BB62" s="89" t="str">
        <f>Registro!AW62</f>
        <v>b) Poco</v>
      </c>
      <c r="BC62" s="89" t="str">
        <f>Registro!AX62</f>
        <v>e) Son personas que me gustan y admiro</v>
      </c>
      <c r="BD62" s="89" t="str">
        <f>Registro!AY62</f>
        <v>h) Una amiga, j) Nadie</v>
      </c>
    </row>
    <row r="63" spans="1:56" ht="15" customHeight="1" x14ac:dyDescent="0.25">
      <c r="A63" s="101">
        <f>Registro!A63</f>
        <v>42127.281678240739</v>
      </c>
      <c r="B63" s="89" t="str">
        <f>Registro!B63</f>
        <v>c) Obra Social San José de Calasanz de Valencia</v>
      </c>
      <c r="C63" s="89" t="str">
        <f>Registro!C63</f>
        <v>c) Cuarto año</v>
      </c>
      <c r="D63" s="89" t="str">
        <f>Registro!D63</f>
        <v>a) Educación Inicial</v>
      </c>
      <c r="E63" s="89" t="str">
        <f>Registro!E63</f>
        <v>b) Femenino</v>
      </c>
      <c r="F63" s="89" t="str">
        <f>Registro!F63</f>
        <v>a) Católica</v>
      </c>
      <c r="G63" s="89" t="str">
        <f>Registro!G63</f>
        <v>a) Mamá, b) Papá, c) Hermanos</v>
      </c>
      <c r="H63" s="89" t="str">
        <f>Registro!H63</f>
        <v>b) Casa Urbana</v>
      </c>
      <c r="I63" s="89" t="str">
        <f>Registro!I63</f>
        <v>c) Algo</v>
      </c>
      <c r="J63" s="89" t="str">
        <f>Registro!J63</f>
        <v>b) Lavadora, c) Microondas, h) Carro, i) Computadora, j) Cámara digital, k) Aire acondicionado</v>
      </c>
      <c r="K63" s="89" t="str">
        <f>Registro!K63</f>
        <v>c) Dos</v>
      </c>
      <c r="L63" s="89" t="str">
        <f>Registro!L63</f>
        <v>a) La familia, g) La felicidad</v>
      </c>
      <c r="M63" s="94">
        <f t="shared" si="3"/>
        <v>2</v>
      </c>
      <c r="N63" s="89" t="str">
        <f>Registro!M63</f>
        <v>d) Los problemas familiares</v>
      </c>
      <c r="O63" s="89" t="str">
        <f>Registro!N63</f>
        <v>b) Suficiente</v>
      </c>
      <c r="P63" s="89" t="str">
        <f>Registro!O63</f>
        <v>a) Mucho</v>
      </c>
      <c r="Q63" s="89" t="str">
        <f>Registro!P63</f>
        <v>b) Suficiente</v>
      </c>
      <c r="R63" s="89" t="str">
        <f>Registro!Q63</f>
        <v>b) Los amigos, c) Los estudios, g) La felicidad</v>
      </c>
      <c r="S63" s="94">
        <f t="shared" si="0"/>
        <v>3</v>
      </c>
      <c r="T63" s="89" t="str">
        <f>Registro!R63</f>
        <v>a) Mucho</v>
      </c>
      <c r="U63" s="89" t="str">
        <f>Registro!S63</f>
        <v>a) La Iglesia, b) La naturaleza, c) El salón de clase, d) Las convivencias, e) Los amigos, f) Todas las personas, g) Mi familia, h) Algunas personas cercanas a Dios, i) Los necesitados, j) Todas partes, k) La oración, l) Los sacramentos</v>
      </c>
      <c r="V63" s="89" t="str">
        <f>Registro!T63</f>
        <v>b) Rezo por costumbre</v>
      </c>
      <c r="W63" s="89" t="str">
        <f>Registro!U63</f>
        <v>c) Solo en fechas especiales</v>
      </c>
      <c r="X63" s="89" t="str">
        <f>Registro!V63</f>
        <v>d) Suelo orar todos los días</v>
      </c>
      <c r="Y63" s="89" t="str">
        <f>Registro!W63</f>
        <v>c) Religioso o parroquial</v>
      </c>
      <c r="Z63" s="89" t="str">
        <f>Registro!X63</f>
        <v>a) Un grupo donde profundizo mi fe</v>
      </c>
      <c r="AA63" s="89" t="str">
        <f>Registro!Y63</f>
        <v>b) No</v>
      </c>
      <c r="AB63" s="89" t="str">
        <f>Registro!Z63</f>
        <v>b) No</v>
      </c>
      <c r="AC63" s="89" t="str">
        <f>Registro!AA63</f>
        <v>a) Medicina, b) Docencia</v>
      </c>
      <c r="AD63" s="94">
        <f t="shared" si="4"/>
        <v>2</v>
      </c>
      <c r="AE63" s="89" t="str">
        <f>Registro!AB63</f>
        <v>c) Ser un excelente profesional</v>
      </c>
      <c r="AF63" s="89" t="str">
        <f>Registro!AC63</f>
        <v>b) Poco</v>
      </c>
      <c r="AG63" s="89" t="str">
        <f>Registro!AD63</f>
        <v>b) El ambiente de estudio y de trabajo, h) Las actividades extraescolares</v>
      </c>
      <c r="AH63" s="94">
        <f t="shared" si="1"/>
        <v>2</v>
      </c>
      <c r="AI63" s="89" t="str">
        <f>Registro!AE63</f>
        <v>d) 7 a 8 horas</v>
      </c>
      <c r="AJ63" s="89"/>
      <c r="AK63" s="94">
        <f t="shared" si="2"/>
        <v>0</v>
      </c>
      <c r="AL63" s="89" t="str">
        <f>Registro!AG63</f>
        <v>b) Bueno</v>
      </c>
      <c r="AM63" s="89" t="str">
        <f>Registro!AH63</f>
        <v>b) Buena</v>
      </c>
      <c r="AN63" s="89" t="str">
        <f>Registro!AI63</f>
        <v>b) Buena</v>
      </c>
      <c r="AO63" s="89" t="str">
        <f>Registro!AJ63</f>
        <v>b) Buena</v>
      </c>
      <c r="AP63" s="89" t="str">
        <f>Registro!AK63</f>
        <v>b) Buena</v>
      </c>
      <c r="AQ63" s="89" t="str">
        <f>Registro!AL63</f>
        <v>b) Buena</v>
      </c>
      <c r="AR63" s="89" t="str">
        <f>Registro!AM63</f>
        <v>b) Buena</v>
      </c>
      <c r="AS63" s="89" t="str">
        <f>Registro!AN63</f>
        <v>b) Buena</v>
      </c>
      <c r="AT63" s="89" t="str">
        <f>Registro!AO63</f>
        <v>b) Buena</v>
      </c>
      <c r="AU63" s="89" t="str">
        <f>Registro!AP63</f>
        <v>b) Buena</v>
      </c>
      <c r="AV63" s="89" t="str">
        <f>Registro!AQ63</f>
        <v>b) Buena</v>
      </c>
      <c r="AW63" s="89" t="str">
        <f>Registro!AR63</f>
        <v>h) La responsabilidad social y el servicio a los demás</v>
      </c>
      <c r="AX63" s="89" t="str">
        <f>Registro!AS63</f>
        <v>a) Que sea un buen profesional</v>
      </c>
      <c r="AY63" s="89" t="str">
        <f>Registro!AT63</f>
        <v>d) Bastante necesaria</v>
      </c>
      <c r="AZ63" s="89" t="str">
        <f>Registro!AU63</f>
        <v>a) No acostumbro a tomarlo nunca</v>
      </c>
      <c r="BA63" s="89" t="str">
        <f>Registro!AV63</f>
        <v>f) Educadores que, además, me han abierto caminos</v>
      </c>
      <c r="BB63" s="89" t="str">
        <f>Registro!AW63</f>
        <v>b) Poco</v>
      </c>
      <c r="BC63" s="89" t="str">
        <f>Registro!AX63</f>
        <v>c) Son personas normales y corrientes</v>
      </c>
      <c r="BD63" s="89" t="str">
        <f>Registro!AY63</f>
        <v>c) Un hermano/a</v>
      </c>
    </row>
    <row r="64" spans="1:56" ht="15" customHeight="1" x14ac:dyDescent="0.25">
      <c r="A64" s="101">
        <f>Registro!A64</f>
        <v>42127.281793981485</v>
      </c>
      <c r="B64" s="89" t="str">
        <f>Registro!B64</f>
        <v>c) Obra Social San José de Calasanz de Valencia</v>
      </c>
      <c r="C64" s="89" t="str">
        <f>Registro!C64</f>
        <v>c) Cuarto año</v>
      </c>
      <c r="D64" s="89" t="str">
        <f>Registro!D64</f>
        <v>a) Educación Inicial</v>
      </c>
      <c r="E64" s="89" t="str">
        <f>Registro!E64</f>
        <v>b) Femenino</v>
      </c>
      <c r="F64" s="89" t="str">
        <f>Registro!F64</f>
        <v>a) Católica</v>
      </c>
      <c r="G64" s="89" t="str">
        <f>Registro!G64</f>
        <v>a) Mamá, c) Hermanos, d) Abuelos</v>
      </c>
      <c r="H64" s="89" t="str">
        <f>Registro!H64</f>
        <v>b) Casa Urbana</v>
      </c>
      <c r="I64" s="89" t="str">
        <f>Registro!I64</f>
        <v>b) No</v>
      </c>
      <c r="J64" s="89" t="str">
        <f>Registro!J64</f>
        <v>c) Microondas</v>
      </c>
      <c r="K64" s="89" t="str">
        <f>Registro!K64</f>
        <v>b) Una</v>
      </c>
      <c r="L64" s="89"/>
      <c r="M64" s="94">
        <f t="shared" si="3"/>
        <v>0</v>
      </c>
      <c r="N64" s="89" t="str">
        <f>Registro!M64</f>
        <v>b) El futuro</v>
      </c>
      <c r="O64" s="89" t="str">
        <f>Registro!N64</f>
        <v>d) Nada</v>
      </c>
      <c r="P64" s="89" t="str">
        <f>Registro!O64</f>
        <v>b) Suficiente</v>
      </c>
      <c r="Q64" s="89" t="str">
        <f>Registro!P64</f>
        <v>c) Poco</v>
      </c>
      <c r="R64" s="89"/>
      <c r="S64" s="94">
        <f t="shared" si="0"/>
        <v>0</v>
      </c>
      <c r="T64" s="89" t="str">
        <f>Registro!R64</f>
        <v>d) Nada</v>
      </c>
      <c r="U64" s="89" t="str">
        <f>Registro!S64</f>
        <v>k) La oración</v>
      </c>
      <c r="V64" s="89" t="str">
        <f>Registro!T64</f>
        <v>b) Rezo por costumbre</v>
      </c>
      <c r="W64" s="89" t="str">
        <f>Registro!U64</f>
        <v>b) Algunos domingos</v>
      </c>
      <c r="X64" s="89" t="str">
        <f>Registro!V64</f>
        <v>d) Suelo orar todos los días</v>
      </c>
      <c r="Y64" s="89" t="str">
        <f>Registro!W64</f>
        <v>c) Religioso o parroquial</v>
      </c>
      <c r="Z64" s="89" t="str">
        <f>Registro!X64</f>
        <v>c) Un lugar donde me lo paso bien</v>
      </c>
      <c r="AA64" s="89" t="str">
        <f>Registro!Y64</f>
        <v>b) No</v>
      </c>
      <c r="AB64" s="89" t="str">
        <f>Registro!Z64</f>
        <v>b) No</v>
      </c>
      <c r="AC64" s="89"/>
      <c r="AD64" s="94">
        <f t="shared" si="4"/>
        <v>0</v>
      </c>
      <c r="AE64" s="89" t="str">
        <f>Registro!AB64</f>
        <v>c) Ser un excelente profesional</v>
      </c>
      <c r="AF64" s="89" t="str">
        <f>Registro!AC64</f>
        <v>b) Poco</v>
      </c>
      <c r="AG64" s="89" t="str">
        <f>Registro!AD64</f>
        <v>c) Las instalaciones del Colegio</v>
      </c>
      <c r="AH64" s="94">
        <f t="shared" si="1"/>
        <v>1</v>
      </c>
      <c r="AI64" s="89" t="str">
        <f>Registro!AE64</f>
        <v>f) 11 o más horas</v>
      </c>
      <c r="AJ64" s="89" t="str">
        <f>Registro!AF64</f>
        <v>a) Me divierto con juegos para computadoras, c) Suelo ir a centros de video (máquinas de juegos), g) Suelo ir a discotecas o a fiestas</v>
      </c>
      <c r="AK64" s="94">
        <f t="shared" si="2"/>
        <v>3</v>
      </c>
      <c r="AL64" s="89" t="str">
        <f>Registro!AG64</f>
        <v>d) Deficiente</v>
      </c>
      <c r="AM64" s="89" t="str">
        <f>Registro!AH64</f>
        <v>d) Mala</v>
      </c>
      <c r="AN64" s="89" t="str">
        <f>Registro!AI64</f>
        <v>d) Mala</v>
      </c>
      <c r="AO64" s="89" t="str">
        <f>Registro!AJ64</f>
        <v>d) Mala</v>
      </c>
      <c r="AP64" s="89" t="str">
        <f>Registro!AK64</f>
        <v>f) No aplica</v>
      </c>
      <c r="AQ64" s="89" t="str">
        <f>Registro!AL64</f>
        <v>d) Mala</v>
      </c>
      <c r="AR64" s="89" t="str">
        <f>Registro!AM64</f>
        <v>d) Mala</v>
      </c>
      <c r="AS64" s="89" t="str">
        <f>Registro!AN64</f>
        <v>b) Buena</v>
      </c>
      <c r="AT64" s="89" t="str">
        <f>Registro!AO64</f>
        <v>d) Mala</v>
      </c>
      <c r="AU64" s="89" t="str">
        <f>Registro!AP64</f>
        <v>e) Muy mala</v>
      </c>
      <c r="AV64" s="89" t="str">
        <f>Registro!AQ64</f>
        <v>e) Muy mala</v>
      </c>
      <c r="AW64" s="89" t="str">
        <f>Registro!AR64</f>
        <v>g) La orientación profesional futura</v>
      </c>
      <c r="AX64" s="89" t="str">
        <f>Registro!AS64</f>
        <v>b) Darme una buena educación</v>
      </c>
      <c r="AY64" s="89" t="str">
        <f>Registro!AT64</f>
        <v>d) Bastante necesaria</v>
      </c>
      <c r="AZ64" s="89" t="str">
        <f>Registro!AU64</f>
        <v>b) Las veces que bebo, es con moderación</v>
      </c>
      <c r="BA64" s="89" t="str">
        <f>Registro!AV64</f>
        <v>e) Educadores que se preocupan de nosotros</v>
      </c>
      <c r="BB64" s="89" t="str">
        <f>Registro!AW64</f>
        <v>d) Mucho o muchísimo</v>
      </c>
      <c r="BC64" s="89" t="str">
        <f>Registro!AX64</f>
        <v>d) Hay de todo tipo, pero predomina lo positivo</v>
      </c>
      <c r="BD64" s="89" t="str">
        <f>Registro!AY64</f>
        <v>h) Una amiga, j) Nadie</v>
      </c>
    </row>
    <row r="65" spans="1:56" ht="15" customHeight="1" x14ac:dyDescent="0.25">
      <c r="A65" s="101">
        <f>Registro!A65</f>
        <v>42127.282210648147</v>
      </c>
      <c r="B65" s="89" t="str">
        <f>Registro!B65</f>
        <v>c) Obra Social San José de Calasanz de Valencia</v>
      </c>
      <c r="C65" s="89" t="str">
        <f>Registro!C65</f>
        <v>c) Cuarto año</v>
      </c>
      <c r="D65" s="89" t="str">
        <f>Registro!D65</f>
        <v>a) Educación Inicial</v>
      </c>
      <c r="E65" s="89" t="str">
        <f>Registro!E65</f>
        <v>b) Femenino</v>
      </c>
      <c r="F65" s="89" t="str">
        <f>Registro!F65</f>
        <v>b) Evangélica</v>
      </c>
      <c r="G65" s="89" t="str">
        <f>Registro!G65</f>
        <v>d) Abuelos</v>
      </c>
      <c r="H65" s="89" t="str">
        <f>Registro!H65</f>
        <v>b) Casa Urbana</v>
      </c>
      <c r="I65" s="89" t="str">
        <f>Registro!I65</f>
        <v>c) Algo</v>
      </c>
      <c r="J65" s="89" t="str">
        <f>Registro!J65</f>
        <v>i) Computadora, k) Aire acondicionado</v>
      </c>
      <c r="K65" s="89" t="str">
        <f>Registro!K65</f>
        <v>b) Una</v>
      </c>
      <c r="L65" s="89"/>
      <c r="M65" s="94">
        <f t="shared" si="3"/>
        <v>0</v>
      </c>
      <c r="N65" s="89" t="str">
        <f>Registro!M65</f>
        <v>a) Seguridad personal (la violencia y la delincuencia)</v>
      </c>
      <c r="O65" s="89" t="str">
        <f>Registro!N65</f>
        <v>c) Poco</v>
      </c>
      <c r="P65" s="89" t="str">
        <f>Registro!O65</f>
        <v>a) Mucho</v>
      </c>
      <c r="Q65" s="89" t="str">
        <f>Registro!P65</f>
        <v>b) Suficiente</v>
      </c>
      <c r="R65" s="89"/>
      <c r="S65" s="94">
        <f t="shared" si="0"/>
        <v>0</v>
      </c>
      <c r="T65" s="89" t="str">
        <f>Registro!R65</f>
        <v>a) Mucho</v>
      </c>
      <c r="U65" s="89" t="str">
        <f>Registro!S65</f>
        <v>a) La Iglesia, h) Algunas personas cercanas a Dios, k) La oración</v>
      </c>
      <c r="V65" s="89" t="str">
        <f>Registro!T65</f>
        <v>c) Rezo solo en situación de dificultad</v>
      </c>
      <c r="W65" s="89" t="str">
        <f>Registro!U65</f>
        <v>d) Nunca</v>
      </c>
      <c r="X65" s="89" t="str">
        <f>Registro!V65</f>
        <v>b) Suelo bendedir los alimentos antes de comer, g) En ocasiones, en mi casa tenemos una oración familiar</v>
      </c>
      <c r="Y65" s="89" t="str">
        <f>Registro!W65</f>
        <v>d) No pertenezco a ninguno</v>
      </c>
      <c r="Z65" s="89" t="str">
        <f>Registro!X65</f>
        <v>d) No pertenezco a grupos juveniles cristianos</v>
      </c>
      <c r="AA65" s="89" t="str">
        <f>Registro!Y65</f>
        <v>b) No</v>
      </c>
      <c r="AB65" s="89">
        <f>Registro!Z65</f>
        <v>0</v>
      </c>
      <c r="AC65" s="89"/>
      <c r="AD65" s="94">
        <f t="shared" si="4"/>
        <v>0</v>
      </c>
      <c r="AE65" s="89" t="str">
        <f>Registro!AB65</f>
        <v>c) Ser un excelente profesional</v>
      </c>
      <c r="AF65" s="89" t="str">
        <f>Registro!AC65</f>
        <v>b) Poco</v>
      </c>
      <c r="AG65" s="89" t="str">
        <f>Registro!AD65</f>
        <v>c) Las instalaciones del Colegio, h) Las actividades extraescolares</v>
      </c>
      <c r="AH65" s="94">
        <f t="shared" si="1"/>
        <v>2</v>
      </c>
      <c r="AI65" s="89" t="str">
        <f>Registro!AE65</f>
        <v>f) 11 o más horas</v>
      </c>
      <c r="AJ65" s="89" t="str">
        <f>Registro!AF65</f>
        <v>b) Navego en Internet, i) Leo revistas o libros, m) Veo televisión y/o películas</v>
      </c>
      <c r="AK65" s="94">
        <f t="shared" si="2"/>
        <v>3</v>
      </c>
      <c r="AL65" s="89">
        <f>Registro!AG65</f>
        <v>0</v>
      </c>
      <c r="AM65" s="89" t="str">
        <f>Registro!AH65</f>
        <v>c) Regular</v>
      </c>
      <c r="AN65" s="89" t="str">
        <f>Registro!AI65</f>
        <v>c) Regular</v>
      </c>
      <c r="AO65" s="89" t="str">
        <f>Registro!AJ65</f>
        <v>b) Buena</v>
      </c>
      <c r="AP65" s="89" t="str">
        <f>Registro!AK65</f>
        <v>b) Buena</v>
      </c>
      <c r="AQ65" s="89" t="str">
        <f>Registro!AL65</f>
        <v>b) Buena</v>
      </c>
      <c r="AR65" s="89" t="str">
        <f>Registro!AM65</f>
        <v>b) Buena</v>
      </c>
      <c r="AS65" s="89" t="str">
        <f>Registro!AN65</f>
        <v>c) Regular</v>
      </c>
      <c r="AT65" s="89" t="str">
        <f>Registro!AO65</f>
        <v>d) Mala</v>
      </c>
      <c r="AU65" s="89" t="str">
        <f>Registro!AP65</f>
        <v>b) Buena</v>
      </c>
      <c r="AV65" s="89" t="str">
        <f>Registro!AQ65</f>
        <v>a) Muy buena</v>
      </c>
      <c r="AW65" s="89" t="str">
        <f>Registro!AR65</f>
        <v>e) La disciplina y el orden</v>
      </c>
      <c r="AX65" s="89" t="str">
        <f>Registro!AS65</f>
        <v>b) Darme una buena educación</v>
      </c>
      <c r="AY65" s="89" t="str">
        <f>Registro!AT65</f>
        <v>d) Bastante necesaria</v>
      </c>
      <c r="AZ65" s="89" t="str">
        <f>Registro!AU65</f>
        <v>b) Las veces que bebo, es con moderación</v>
      </c>
      <c r="BA65" s="89" t="str">
        <f>Registro!AV65</f>
        <v>e) Educadores que se preocupan de nosotros</v>
      </c>
      <c r="BB65" s="89" t="str">
        <f>Registro!AW65</f>
        <v>b) Poco</v>
      </c>
      <c r="BC65" s="89" t="str">
        <f>Registro!AX65</f>
        <v>d) Hay de todo tipo, pero predomina lo positivo</v>
      </c>
      <c r="BD65" s="89" t="str">
        <f>Registro!AY65</f>
        <v>b) Mi madre, h) Una amiga</v>
      </c>
    </row>
    <row r="66" spans="1:56" ht="15" customHeight="1" x14ac:dyDescent="0.25">
      <c r="A66" s="101">
        <f>Registro!A66</f>
        <v>42127.282500000001</v>
      </c>
      <c r="B66" s="89" t="str">
        <f>Registro!B66</f>
        <v>c) Obra Social San José de Calasanz de Valencia</v>
      </c>
      <c r="C66" s="89" t="str">
        <f>Registro!C66</f>
        <v>c) Cuarto año</v>
      </c>
      <c r="D66" s="89" t="str">
        <f>Registro!D66</f>
        <v>b) Primaria</v>
      </c>
      <c r="E66" s="89" t="str">
        <f>Registro!E66</f>
        <v>b) Femenino</v>
      </c>
      <c r="F66" s="89" t="str">
        <f>Registro!F66</f>
        <v>b) Evangélica</v>
      </c>
      <c r="G66" s="89" t="str">
        <f>Registro!G66</f>
        <v>a) Mamá</v>
      </c>
      <c r="H66" s="89" t="str">
        <f>Registro!H66</f>
        <v>c) Apartamento</v>
      </c>
      <c r="I66" s="89" t="str">
        <f>Registro!I66</f>
        <v>c) Algo</v>
      </c>
      <c r="J66" s="89" t="str">
        <f>Registro!J66</f>
        <v>b) Lavadora, d) TV pantalla plana, i) Computadora, j) Cámara digital, k) Aire acondicionado</v>
      </c>
      <c r="K66" s="89" t="str">
        <f>Registro!K66</f>
        <v>c) Dos</v>
      </c>
      <c r="L66" s="89" t="str">
        <f>Registro!L66</f>
        <v>a) La familia, c) Los estudios, d) El cuidado de mi cuerpo</v>
      </c>
      <c r="M66" s="94">
        <f t="shared" si="3"/>
        <v>3</v>
      </c>
      <c r="N66" s="89" t="str">
        <f>Registro!M66</f>
        <v>b) El futuro</v>
      </c>
      <c r="O66" s="89" t="str">
        <f>Registro!N66</f>
        <v>b) Suficiente</v>
      </c>
      <c r="P66" s="89" t="str">
        <f>Registro!O66</f>
        <v>b) Suficiente</v>
      </c>
      <c r="Q66" s="89" t="str">
        <f>Registro!P66</f>
        <v>a) Mucho</v>
      </c>
      <c r="R66" s="89"/>
      <c r="S66" s="94">
        <f t="shared" si="0"/>
        <v>0</v>
      </c>
      <c r="T66" s="89" t="str">
        <f>Registro!R66</f>
        <v>a) Mucho</v>
      </c>
      <c r="U66" s="89" t="str">
        <f>Registro!S66</f>
        <v>a) La Iglesia, b) La naturaleza, c) El salón de clase, d) Las convivencias, e) Los amigos, f) Todas las personas, g) Mi familia, h) Algunas personas cercanas a Dios, i) Los necesitados, j) Todas partes, k) La oración, l) Los sacramentos</v>
      </c>
      <c r="V66" s="89" t="str">
        <f>Registro!T66</f>
        <v>b) Rezo por costumbre</v>
      </c>
      <c r="W66" s="89" t="str">
        <f>Registro!U66</f>
        <v>d) Nunca</v>
      </c>
      <c r="X66" s="89" t="str">
        <f>Registro!V66</f>
        <v>d) Suelo orar todos los días</v>
      </c>
      <c r="Y66" s="89" t="str">
        <f>Registro!W66</f>
        <v xml:space="preserve">b) Cultural (folklórico, musicales, danzas, scout, banda marcial,...) </v>
      </c>
      <c r="Z66" s="89" t="str">
        <f>Registro!X66</f>
        <v>c) Un lugar donde me lo paso bien</v>
      </c>
      <c r="AA66" s="89" t="str">
        <f>Registro!Y66</f>
        <v>b) No</v>
      </c>
      <c r="AB66" s="89" t="str">
        <f>Registro!Z66</f>
        <v>b) No</v>
      </c>
      <c r="AC66" s="89"/>
      <c r="AD66" s="94">
        <f t="shared" si="4"/>
        <v>0</v>
      </c>
      <c r="AE66" s="89" t="str">
        <f>Registro!AB66</f>
        <v>c) Ser un excelente profesional</v>
      </c>
      <c r="AF66" s="89" t="str">
        <f>Registro!AC66</f>
        <v>a) No, en absoluto</v>
      </c>
      <c r="AG66" s="89" t="str">
        <f>Registro!AD66</f>
        <v>a) Los deportes y diversiones, h) Las actividades extraescolares</v>
      </c>
      <c r="AH66" s="94">
        <f t="shared" si="1"/>
        <v>2</v>
      </c>
      <c r="AI66" s="89" t="str">
        <f>Registro!AE66</f>
        <v>f) 11 o más horas</v>
      </c>
      <c r="AJ66" s="89" t="str">
        <f>Registro!AF66</f>
        <v>b) Navego en Internet, f) Toco un instrumento musical, i) Leo revistas o libros</v>
      </c>
      <c r="AK66" s="94">
        <f t="shared" si="2"/>
        <v>3</v>
      </c>
      <c r="AL66" s="89" t="str">
        <f>Registro!AG66</f>
        <v>c) Regular</v>
      </c>
      <c r="AM66" s="89" t="str">
        <f>Registro!AH66</f>
        <v>c) Regular</v>
      </c>
      <c r="AN66" s="89" t="str">
        <f>Registro!AI66</f>
        <v>c) Regular</v>
      </c>
      <c r="AO66" s="89" t="str">
        <f>Registro!AJ66</f>
        <v>c) Regular</v>
      </c>
      <c r="AP66" s="89" t="str">
        <f>Registro!AK66</f>
        <v>c) Regular</v>
      </c>
      <c r="AQ66" s="89" t="str">
        <f>Registro!AL66</f>
        <v>c) Regular</v>
      </c>
      <c r="AR66" s="89" t="str">
        <f>Registro!AM66</f>
        <v>c) Regular</v>
      </c>
      <c r="AS66" s="89" t="str">
        <f>Registro!AN66</f>
        <v>c) Regular</v>
      </c>
      <c r="AT66" s="89" t="str">
        <f>Registro!AO66</f>
        <v>d) Mala</v>
      </c>
      <c r="AU66" s="89" t="str">
        <f>Registro!AP66</f>
        <v>e) Muy mala</v>
      </c>
      <c r="AV66" s="89" t="str">
        <f>Registro!AQ66</f>
        <v>a) Muy buena</v>
      </c>
      <c r="AW66" s="89" t="str">
        <f>Registro!AR66</f>
        <v>a) El compañerismo</v>
      </c>
      <c r="AX66" s="89">
        <f>Registro!AS66</f>
        <v>0</v>
      </c>
      <c r="AY66" s="89" t="str">
        <f>Registro!AT66</f>
        <v>d) Bastante necesaria</v>
      </c>
      <c r="AZ66" s="89" t="str">
        <f>Registro!AU66</f>
        <v>c) Alguna vez he bebido más de la cuenta</v>
      </c>
      <c r="BA66" s="89">
        <f>Registro!AV66</f>
        <v>0</v>
      </c>
      <c r="BB66" s="89" t="str">
        <f>Registro!AW66</f>
        <v>d) Mucho o muchísimo</v>
      </c>
      <c r="BC66" s="89" t="str">
        <f>Registro!AX66</f>
        <v>e) Son personas que me gustan y admiro</v>
      </c>
      <c r="BD66" s="89" t="str">
        <f>Registro!AY66</f>
        <v>e) Un, una docente, f) La orientadora, g) Un amigo</v>
      </c>
    </row>
    <row r="67" spans="1:56" ht="15" customHeight="1" x14ac:dyDescent="0.25">
      <c r="A67" s="101">
        <f>Registro!A67</f>
        <v>42127.282800925925</v>
      </c>
      <c r="B67" s="89" t="str">
        <f>Registro!B67</f>
        <v>c) Obra Social San José de Calasanz de Valencia</v>
      </c>
      <c r="C67" s="89" t="str">
        <f>Registro!C67</f>
        <v>c) Cuarto año</v>
      </c>
      <c r="D67" s="89" t="str">
        <f>Registro!D67</f>
        <v>b) Primaria</v>
      </c>
      <c r="E67" s="89" t="str">
        <f>Registro!E67</f>
        <v>b) Femenino</v>
      </c>
      <c r="F67" s="89" t="str">
        <f>Registro!F67</f>
        <v>a) Católica</v>
      </c>
      <c r="G67" s="89" t="str">
        <f>Registro!G67</f>
        <v>a) Mamá, b) Papá, c) Hermanos, d) Abuelos</v>
      </c>
      <c r="H67" s="89" t="str">
        <f>Registro!H67</f>
        <v>b) Casa Urbana</v>
      </c>
      <c r="I67" s="89" t="str">
        <f>Registro!I67</f>
        <v>a) Sí</v>
      </c>
      <c r="J67" s="89" t="str">
        <f>Registro!J67</f>
        <v>b) Lavadora, d) TV pantalla plana, i) Computadora, j) Cámara digital, k) Aire acondicionado</v>
      </c>
      <c r="K67" s="89" t="str">
        <f>Registro!K67</f>
        <v>c) Dos</v>
      </c>
      <c r="L67" s="89"/>
      <c r="M67" s="94">
        <f t="shared" si="3"/>
        <v>0</v>
      </c>
      <c r="N67" s="89" t="str">
        <f>Registro!M67</f>
        <v>a) Seguridad personal (la violencia y la delincuencia)</v>
      </c>
      <c r="O67" s="89" t="str">
        <f>Registro!N67</f>
        <v>b) Suficiente</v>
      </c>
      <c r="P67" s="89" t="str">
        <f>Registro!O67</f>
        <v>c) Poco</v>
      </c>
      <c r="Q67" s="89" t="str">
        <f>Registro!P67</f>
        <v>b) Suficiente</v>
      </c>
      <c r="R67" s="89"/>
      <c r="S67" s="94">
        <f t="shared" ref="S67:S130" si="5">COUNTIF(R67,"*a)*")+COUNTIF(R67,"*b)*")+COUNTIF(R67,"*c)*")+COUNTIF(R67,"*d)*")+COUNTIF(R67,"*e)*")+COUNTIF(R67,"*f)*")+COUNTIF(R67,"*g)*")+COUNTIF(R67,"*h)*")+COUNTIF(R67,"*i)*")+COUNTIF(R67,"*j)*")+COUNTIF(R67,"*k)*")+COUNTIF(R67,"*l)*")+COUNTIF(R67,"*m)*")+COUNTIF(R67,"*n)*")+COUNTIF(R67,"*o)*")+COUNTIF(R67,"*p)*")</f>
        <v>0</v>
      </c>
      <c r="T67" s="89" t="str">
        <f>Registro!R67</f>
        <v>a) Mucho</v>
      </c>
      <c r="U67" s="89" t="str">
        <f>Registro!S67</f>
        <v>a) La Iglesia, b) La naturaleza, g) Mi familia, h) Algunas personas cercanas a Dios, k) La oración, l) Los sacramentos</v>
      </c>
      <c r="V67" s="89" t="str">
        <f>Registro!T67</f>
        <v>b) Rezo por costumbre</v>
      </c>
      <c r="W67" s="89" t="str">
        <f>Registro!U67</f>
        <v>a) Todos los domingos</v>
      </c>
      <c r="X67" s="89" t="str">
        <f>Registro!V67</f>
        <v>a) Suelo llevar una cruz o algún objeto religioso, c) Suelo ir los domingos y otras fechas especiales a la Iglesia, d) Suelo orar todos los días, i) Tengo en mi cuarto alguna imagen religiosa</v>
      </c>
      <c r="Y67" s="89" t="str">
        <f>Registro!W67</f>
        <v>c) Religioso o parroquial</v>
      </c>
      <c r="Z67" s="89" t="str">
        <f>Registro!X67</f>
        <v>b) Un lugar donde comparto con mis compañeros</v>
      </c>
      <c r="AA67" s="89" t="str">
        <f>Registro!Y67</f>
        <v>b) No</v>
      </c>
      <c r="AB67" s="89" t="str">
        <f>Registro!Z67</f>
        <v>b) No</v>
      </c>
      <c r="AC67" s="89"/>
      <c r="AD67" s="94">
        <f t="shared" ref="AD67:AD129" si="6">COUNTIF(AC67,"*a)*")+COUNTIF(AC67,"*b)*")+COUNTIF(AC67,"*c)*")+COUNTIF(AC67,"*d)*")+COUNTIF(AC67,"*e)*")+COUNTIF(AC67,"*f)*")+COUNTIF(AC67,"*g)*")+COUNTIF(AC67,"*h)*")+COUNTIF(AC67,"*i)*")+COUNTIF(AC67,"*j)*")+COUNTIF(AC67,"*k)*")+COUNTIF(AC67,"*l)*")+COUNTIF(AC67,"*m)*")+COUNTIF(AC67,"*n)*")+COUNTIF(AC67,"*o)*")+COUNTIF(AC67,"*p)*")</f>
        <v>0</v>
      </c>
      <c r="AE67" s="89" t="str">
        <f>Registro!AB67</f>
        <v>d) Desarrollarme personalmente</v>
      </c>
      <c r="AF67" s="89" t="str">
        <f>Registro!AC67</f>
        <v>c) Bastante</v>
      </c>
      <c r="AG67" s="89" t="str">
        <f>Registro!AD67</f>
        <v>b) El ambiente de estudio y de trabajo, d) Los grupos juveniles cristianos</v>
      </c>
      <c r="AH67" s="94">
        <f t="shared" ref="AH67:AH130" si="7">COUNTIF(AG67,"*a)*")+COUNTIF(AG67,"*b)*")+COUNTIF(AG67,"*c)*")+COUNTIF(AG67,"*d)*")+COUNTIF(AG67,"*e)*")+COUNTIF(AG67,"*f)*")+COUNTIF(AG67,"*g)*")+COUNTIF(AG67,"*h)*")+COUNTIF(AG67,"*i)*")+COUNTIF(AG67,"*j)*")+COUNTIF(AG67,"*k)*")+COUNTIF(AG67,"*l)*")+COUNTIF(AG67,"*m)*")+COUNTIF(AG67,"*n)*")+COUNTIF(AG67,"*o)*")+COUNTIF(AG67,"*p)*")</f>
        <v>2</v>
      </c>
      <c r="AI67" s="89" t="str">
        <f>Registro!AE67</f>
        <v>d) 7 a 8 horas</v>
      </c>
      <c r="AJ67" s="89" t="str">
        <f>Registro!AF67</f>
        <v>b) Navego en Internet, d) Estoy la mayor parte del tiempo en la casa sin hacer nada, j) Estoy en algún grupo juvenil</v>
      </c>
      <c r="AK67" s="94">
        <f t="shared" ref="AK67:AK130" si="8">COUNTIF(AJ67,"*a)*")+COUNTIF(AJ67,"*b)*")+COUNTIF(AJ67,"*c)*")+COUNTIF(AJ67,"*d)*")+COUNTIF(AJ67,"*e)*")+COUNTIF(AJ67,"*f)*")+COUNTIF(AJ67,"*g)*")+COUNTIF(AJ67,"*h)*")+COUNTIF(AJ67,"*i)*")+COUNTIF(AJ67,"*j)*")+COUNTIF(AJ67,"*k)*")+COUNTIF(AJ67,"*l)*")+COUNTIF(AJ67,"*m)*")+COUNTIF(AJ67,"*n)*")+COUNTIF(AJ67,"*o)*")+COUNTIF(AJ67,"*p)*")</f>
        <v>3</v>
      </c>
      <c r="AL67" s="89" t="str">
        <f>Registro!AG67</f>
        <v>a) Muy bueno</v>
      </c>
      <c r="AM67" s="89" t="str">
        <f>Registro!AH67</f>
        <v>a) Muy buena</v>
      </c>
      <c r="AN67" s="89" t="str">
        <f>Registro!AI67</f>
        <v>b) Buena</v>
      </c>
      <c r="AO67" s="89" t="str">
        <f>Registro!AJ67</f>
        <v>b) Buena</v>
      </c>
      <c r="AP67" s="89" t="str">
        <f>Registro!AK67</f>
        <v>a) Muy buena</v>
      </c>
      <c r="AQ67" s="89" t="str">
        <f>Registro!AL67</f>
        <v>a) Muy buena</v>
      </c>
      <c r="AR67" s="89" t="str">
        <f>Registro!AM67</f>
        <v>b) Buena</v>
      </c>
      <c r="AS67" s="89" t="str">
        <f>Registro!AN67</f>
        <v>a) Muy buena</v>
      </c>
      <c r="AT67" s="89" t="str">
        <f>Registro!AO67</f>
        <v>b) Buena</v>
      </c>
      <c r="AU67" s="89" t="str">
        <f>Registro!AP67</f>
        <v>a) Muy buena</v>
      </c>
      <c r="AV67" s="89" t="str">
        <f>Registro!AQ67</f>
        <v>c) Regular</v>
      </c>
      <c r="AW67" s="89" t="str">
        <f>Registro!AR67</f>
        <v>e) La disciplina y el orden</v>
      </c>
      <c r="AX67" s="89" t="str">
        <f>Registro!AS67</f>
        <v>b) Darme una buena educación</v>
      </c>
      <c r="AY67" s="89" t="str">
        <f>Registro!AT67</f>
        <v>d) Bastante necesaria</v>
      </c>
      <c r="AZ67" s="89" t="str">
        <f>Registro!AU67</f>
        <v>b) Las veces que bebo, es con moderación</v>
      </c>
      <c r="BA67" s="89" t="str">
        <f>Registro!AV67</f>
        <v>e) Educadores que se preocupan de nosotros</v>
      </c>
      <c r="BB67" s="89" t="str">
        <f>Registro!AW67</f>
        <v>c) Bastante</v>
      </c>
      <c r="BC67" s="89" t="str">
        <f>Registro!AX67</f>
        <v>d) Hay de todo tipo, pero predomina lo positivo</v>
      </c>
      <c r="BD67" s="89" t="str">
        <f>Registro!AY67</f>
        <v>a) Mi padre, b) Mi madre, h) Una amiga</v>
      </c>
    </row>
    <row r="68" spans="1:56" ht="15" customHeight="1" x14ac:dyDescent="0.25">
      <c r="A68" s="101">
        <f>Registro!A68</f>
        <v>42127.282916666663</v>
      </c>
      <c r="B68" s="89" t="str">
        <f>Registro!B68</f>
        <v>c) Obra Social San José de Calasanz de Valencia</v>
      </c>
      <c r="C68" s="89" t="str">
        <f>Registro!C68</f>
        <v>c) Cuarto año</v>
      </c>
      <c r="D68" s="89" t="str">
        <f>Registro!D68</f>
        <v>a) Educación Inicial</v>
      </c>
      <c r="E68" s="89" t="str">
        <f>Registro!E68</f>
        <v>b) Femenino</v>
      </c>
      <c r="F68" s="89" t="str">
        <f>Registro!F68</f>
        <v>d) Otra</v>
      </c>
      <c r="G68" s="89" t="str">
        <f>Registro!G68</f>
        <v>a) Mamá, b) Papá, c) Hermanos</v>
      </c>
      <c r="H68" s="89" t="str">
        <f>Registro!H68</f>
        <v>b) Casa Urbana</v>
      </c>
      <c r="I68" s="89" t="str">
        <f>Registro!I68</f>
        <v>a) Sí</v>
      </c>
      <c r="J68" s="89" t="str">
        <f>Registro!J68</f>
        <v>b) Lavadora, d) TV pantalla plana, h) Carro, k) Aire acondicionado</v>
      </c>
      <c r="K68" s="89" t="str">
        <f>Registro!K68</f>
        <v>d) Tres</v>
      </c>
      <c r="L68" s="89" t="str">
        <f>Registro!L68</f>
        <v>a) La familia, d) El cuidado de mi cuerpo, f) Mi fe y vida cristiana</v>
      </c>
      <c r="M68" s="94">
        <f t="shared" ref="M68:M131" si="9">COUNTIF(L68,"*a)*")+COUNTIF(L68,"*b)*")+COUNTIF(L68,"*c)*")+COUNTIF(L68,"*d)*")+COUNTIF(L68,"*e)*")+COUNTIF(L68,"*f)*")+COUNTIF(L68,"*g)*")+COUNTIF(L68,"*h)*")+COUNTIF(L68,"*i)*")+COUNTIF(L68,"*j)*")+COUNTIF(L68,"*k)*")+COUNTIF(L68,"*l)*")+COUNTIF(L68,"*m)*")+COUNTIF(L68,"*n)*")+COUNTIF(L68,"*o)*")+COUNTIF(L68,"*p)*")</f>
        <v>3</v>
      </c>
      <c r="N68" s="89" t="str">
        <f>Registro!M68</f>
        <v>g) Mis estudios</v>
      </c>
      <c r="O68" s="89" t="str">
        <f>Registro!N68</f>
        <v>b) Suficiente</v>
      </c>
      <c r="P68" s="89" t="str">
        <f>Registro!O68</f>
        <v>b) Suficiente</v>
      </c>
      <c r="Q68" s="89" t="str">
        <f>Registro!P68</f>
        <v>b) Suficiente</v>
      </c>
      <c r="R68" s="89" t="str">
        <f>Registro!Q68</f>
        <v>c) Los estudios, f) Mi fe y mi vida cristiana, g) La felicidad</v>
      </c>
      <c r="S68" s="94">
        <f t="shared" si="5"/>
        <v>3</v>
      </c>
      <c r="T68" s="89" t="str">
        <f>Registro!R68</f>
        <v>a) Mucho</v>
      </c>
      <c r="U68" s="89" t="str">
        <f>Registro!S68</f>
        <v>a) La Iglesia, b) La naturaleza</v>
      </c>
      <c r="V68" s="89">
        <f>Registro!T68</f>
        <v>0</v>
      </c>
      <c r="W68" s="89" t="str">
        <f>Registro!U68</f>
        <v>a) Todos los domingos</v>
      </c>
      <c r="X68" s="89" t="str">
        <f>Registro!V68</f>
        <v>d) Suelo orar todos los días</v>
      </c>
      <c r="Y68" s="89" t="str">
        <f>Registro!W68</f>
        <v>d) No pertenezco a ninguno</v>
      </c>
      <c r="Z68" s="89">
        <f>Registro!X68</f>
        <v>0</v>
      </c>
      <c r="AA68" s="89">
        <f>Registro!Y68</f>
        <v>0</v>
      </c>
      <c r="AB68" s="89">
        <f>Registro!Z68</f>
        <v>0</v>
      </c>
      <c r="AC68" s="89"/>
      <c r="AD68" s="94">
        <f t="shared" si="6"/>
        <v>0</v>
      </c>
      <c r="AE68" s="89">
        <f>Registro!AB68</f>
        <v>0</v>
      </c>
      <c r="AF68" s="89">
        <f>Registro!AC68</f>
        <v>0</v>
      </c>
      <c r="AG68" s="89">
        <f>Registro!AD68</f>
        <v>0</v>
      </c>
      <c r="AH68" s="94">
        <f t="shared" si="7"/>
        <v>0</v>
      </c>
      <c r="AI68" s="89">
        <f>Registro!AE68</f>
        <v>0</v>
      </c>
      <c r="AJ68" s="89">
        <f>Registro!AF68</f>
        <v>0</v>
      </c>
      <c r="AK68" s="94">
        <f t="shared" si="8"/>
        <v>0</v>
      </c>
      <c r="AL68" s="89">
        <f>Registro!AG68</f>
        <v>0</v>
      </c>
      <c r="AM68" s="89">
        <f>Registro!AH68</f>
        <v>0</v>
      </c>
      <c r="AN68" s="89">
        <f>Registro!AI68</f>
        <v>0</v>
      </c>
      <c r="AO68" s="89">
        <f>Registro!AJ68</f>
        <v>0</v>
      </c>
      <c r="AP68" s="89">
        <f>Registro!AK68</f>
        <v>0</v>
      </c>
      <c r="AQ68" s="89">
        <f>Registro!AL68</f>
        <v>0</v>
      </c>
      <c r="AR68" s="89">
        <f>Registro!AM68</f>
        <v>0</v>
      </c>
      <c r="AS68" s="89">
        <f>Registro!AN68</f>
        <v>0</v>
      </c>
      <c r="AT68" s="89">
        <f>Registro!AO68</f>
        <v>0</v>
      </c>
      <c r="AU68" s="89">
        <f>Registro!AP68</f>
        <v>0</v>
      </c>
      <c r="AV68" s="89">
        <f>Registro!AQ68</f>
        <v>0</v>
      </c>
      <c r="AW68" s="89">
        <f>Registro!AR68</f>
        <v>0</v>
      </c>
      <c r="AX68" s="89">
        <f>Registro!AS68</f>
        <v>0</v>
      </c>
      <c r="AY68" s="89">
        <f>Registro!AT68</f>
        <v>0</v>
      </c>
      <c r="AZ68" s="89">
        <f>Registro!AU68</f>
        <v>0</v>
      </c>
      <c r="BA68" s="89">
        <f>Registro!AV68</f>
        <v>0</v>
      </c>
      <c r="BB68" s="89">
        <f>Registro!AW68</f>
        <v>0</v>
      </c>
      <c r="BC68" s="89">
        <f>Registro!AX68</f>
        <v>0</v>
      </c>
      <c r="BD68" s="89">
        <f>Registro!AY68</f>
        <v>0</v>
      </c>
    </row>
    <row r="69" spans="1:56" ht="15" customHeight="1" x14ac:dyDescent="0.25">
      <c r="A69" s="101">
        <f>Registro!A69</f>
        <v>42127.451215277775</v>
      </c>
      <c r="B69" s="89" t="str">
        <f>Registro!B69</f>
        <v>c) Obra Social San José de Calasanz de Valencia</v>
      </c>
      <c r="C69" s="89" t="str">
        <f>Registro!C69</f>
        <v>c) Cuarto año</v>
      </c>
      <c r="D69" s="89" t="str">
        <f>Registro!D69</f>
        <v>b) Primaria</v>
      </c>
      <c r="E69" s="89" t="str">
        <f>Registro!E69</f>
        <v>b) Femenino</v>
      </c>
      <c r="F69" s="89" t="str">
        <f>Registro!F69</f>
        <v>b) Evangélica</v>
      </c>
      <c r="G69" s="89" t="str">
        <f>Registro!G69</f>
        <v>a) Mamá, b) Papá, c) Hermanos</v>
      </c>
      <c r="H69" s="89" t="str">
        <f>Registro!H69</f>
        <v>b) Casa Urbana</v>
      </c>
      <c r="I69" s="89" t="str">
        <f>Registro!I69</f>
        <v>a) Sí</v>
      </c>
      <c r="J69" s="89" t="str">
        <f>Registro!J69</f>
        <v>b) Lavadora, c) Microondas, d) TV pantalla plana, h) Carro, i) Computadora, k) Aire acondicionado</v>
      </c>
      <c r="K69" s="89" t="str">
        <f>Registro!K69</f>
        <v>c) Dos</v>
      </c>
      <c r="L69" s="89" t="str">
        <f>Registro!L69</f>
        <v>a) La familia, c) Los estudios, f) Mi fe y vida cristiana</v>
      </c>
      <c r="M69" s="94">
        <f t="shared" si="9"/>
        <v>3</v>
      </c>
      <c r="N69" s="89" t="str">
        <f>Registro!M69</f>
        <v>g) Mis estudios</v>
      </c>
      <c r="O69" s="89" t="str">
        <f>Registro!N69</f>
        <v>a) Mucho</v>
      </c>
      <c r="P69" s="89" t="str">
        <f>Registro!O69</f>
        <v>c) Poco</v>
      </c>
      <c r="Q69" s="89" t="str">
        <f>Registro!P69</f>
        <v>b) Suficiente</v>
      </c>
      <c r="R69" s="89" t="str">
        <f>Registro!Q69</f>
        <v>c) Los estudios, f) Mi fe y mi vida cristiana, g) La felicidad</v>
      </c>
      <c r="S69" s="94">
        <f t="shared" si="5"/>
        <v>3</v>
      </c>
      <c r="T69" s="89" t="str">
        <f>Registro!R69</f>
        <v>a) Mucho</v>
      </c>
      <c r="U69" s="89" t="str">
        <f>Registro!S69</f>
        <v>a) La Iglesia, g) Mi familia, h) Algunas personas cercanas a Dios, i) Los necesitados, k) La oración</v>
      </c>
      <c r="V69" s="89" t="str">
        <f>Registro!T69</f>
        <v>a) Suelo rezar por convicción o porque me gusta</v>
      </c>
      <c r="W69" s="89" t="str">
        <f>Registro!U69</f>
        <v>d) Nunca</v>
      </c>
      <c r="X69" s="89" t="str">
        <f>Registro!V69</f>
        <v>d) Suelo orar todos los días</v>
      </c>
      <c r="Y69" s="89" t="str">
        <f>Registro!W69</f>
        <v>d) No pertenezco a ninguno</v>
      </c>
      <c r="Z69" s="89" t="str">
        <f>Registro!X69</f>
        <v>d) No pertenezco a grupos juveniles cristianos</v>
      </c>
      <c r="AA69" s="89" t="str">
        <f>Registro!Y69</f>
        <v>b) No</v>
      </c>
      <c r="AB69" s="89" t="str">
        <f>Registro!Z69</f>
        <v>b) No</v>
      </c>
      <c r="AC69" s="89" t="str">
        <f>Registro!AA69</f>
        <v>a) Medicina</v>
      </c>
      <c r="AD69" s="94">
        <f t="shared" si="6"/>
        <v>1</v>
      </c>
      <c r="AE69" s="89" t="str">
        <f>Registro!AB69</f>
        <v>c) Ser un excelente profesional</v>
      </c>
      <c r="AF69" s="89" t="str">
        <f>Registro!AC69</f>
        <v>b) Poco</v>
      </c>
      <c r="AG69" s="89" t="str">
        <f>Registro!AD69</f>
        <v>b) El ambiente de estudio y de trabajo, c) Las instalaciones del Colegio</v>
      </c>
      <c r="AH69" s="94">
        <f t="shared" si="7"/>
        <v>2</v>
      </c>
      <c r="AI69" s="89" t="str">
        <f>Registro!AE69</f>
        <v>f) 11 o más horas</v>
      </c>
      <c r="AJ69" s="89" t="str">
        <f>Registro!AF69</f>
        <v>i) Leo revistas o libros, l) Escucho música y/o veo videos musicales, n) Estoy conversando con los amigos/as</v>
      </c>
      <c r="AK69" s="94">
        <f t="shared" si="8"/>
        <v>3</v>
      </c>
      <c r="AL69" s="89" t="str">
        <f>Registro!AG69</f>
        <v>b) Bueno</v>
      </c>
      <c r="AM69" s="89" t="str">
        <f>Registro!AH69</f>
        <v>b) Buena</v>
      </c>
      <c r="AN69" s="89" t="str">
        <f>Registro!AI69</f>
        <v>b) Buena</v>
      </c>
      <c r="AO69" s="89" t="str">
        <f>Registro!AJ69</f>
        <v>a) Muy buena</v>
      </c>
      <c r="AP69" s="89" t="str">
        <f>Registro!AK69</f>
        <v>c) Regular</v>
      </c>
      <c r="AQ69" s="89" t="str">
        <f>Registro!AL69</f>
        <v>b) Buena</v>
      </c>
      <c r="AR69" s="89" t="str">
        <f>Registro!AM69</f>
        <v>b) Buena</v>
      </c>
      <c r="AS69" s="89">
        <f>Registro!AN69</f>
        <v>0</v>
      </c>
      <c r="AT69" s="89" t="str">
        <f>Registro!AO69</f>
        <v>c) Regular</v>
      </c>
      <c r="AU69" s="89" t="str">
        <f>Registro!AP69</f>
        <v>c) Regular</v>
      </c>
      <c r="AV69" s="89" t="str">
        <f>Registro!AQ69</f>
        <v>a) Muy buena</v>
      </c>
      <c r="AW69" s="89" t="str">
        <f>Registro!AR69</f>
        <v>c) El estudio</v>
      </c>
      <c r="AX69" s="89" t="str">
        <f>Registro!AS69</f>
        <v>a) Que sea un buen profesional</v>
      </c>
      <c r="AY69" s="89" t="str">
        <f>Registro!AT69</f>
        <v>e) Absolutamente necesaria</v>
      </c>
      <c r="AZ69" s="89" t="str">
        <f>Registro!AU69</f>
        <v>a) No acostumbro a tomarlo nunca</v>
      </c>
      <c r="BA69" s="89" t="str">
        <f>Registro!AV69</f>
        <v>e) Educadores que se preocupan de nosotros</v>
      </c>
      <c r="BB69" s="89" t="str">
        <f>Registro!AW69</f>
        <v>c) Bastante</v>
      </c>
      <c r="BC69" s="89" t="str">
        <f>Registro!AX69</f>
        <v>d) Hay de todo tipo, pero predomina lo positivo</v>
      </c>
      <c r="BD69" s="89" t="str">
        <f>Registro!AY69</f>
        <v>a) Mi padre, b) Mi madre, c) Un hermano/a, g) Un amigo, h) Una amiga</v>
      </c>
    </row>
    <row r="70" spans="1:56" ht="15" customHeight="1" x14ac:dyDescent="0.25">
      <c r="A70" s="101">
        <f>Registro!A70</f>
        <v>42127.45417824074</v>
      </c>
      <c r="B70" s="89" t="str">
        <f>Registro!B70</f>
        <v>c) Obra Social San José de Calasanz de Valencia</v>
      </c>
      <c r="C70" s="89" t="str">
        <f>Registro!C70</f>
        <v>c) Cuarto año</v>
      </c>
      <c r="D70" s="89" t="str">
        <f>Registro!D70</f>
        <v>a) Educación Inicial</v>
      </c>
      <c r="E70" s="89" t="str">
        <f>Registro!E70</f>
        <v>b) Femenino</v>
      </c>
      <c r="F70" s="89" t="str">
        <f>Registro!F70</f>
        <v>c) Musulmana</v>
      </c>
      <c r="G70" s="89" t="str">
        <f>Registro!G70</f>
        <v>a) Mamá, b) Papá, c) Hermanos, d) Abuelos, e) Otros familiares</v>
      </c>
      <c r="H70" s="89" t="str">
        <f>Registro!H70</f>
        <v>e) Rancho</v>
      </c>
      <c r="I70" s="89" t="str">
        <f>Registro!I70</f>
        <v>d) No sé</v>
      </c>
      <c r="J70" s="89" t="str">
        <f>Registro!J70</f>
        <v>f) MP3</v>
      </c>
      <c r="K70" s="89" t="str">
        <f>Registro!K70</f>
        <v>a) Ninguna</v>
      </c>
      <c r="L70" s="89"/>
      <c r="M70" s="94">
        <f t="shared" si="9"/>
        <v>0</v>
      </c>
      <c r="N70" s="89" t="str">
        <f>Registro!M70</f>
        <v>c) Yo mismo</v>
      </c>
      <c r="O70" s="89" t="str">
        <f>Registro!N70</f>
        <v>d) Nada</v>
      </c>
      <c r="P70" s="89" t="str">
        <f>Registro!O70</f>
        <v>a) Mucho</v>
      </c>
      <c r="Q70" s="89" t="str">
        <f>Registro!P70</f>
        <v>b) Suficiente</v>
      </c>
      <c r="R70" s="89"/>
      <c r="S70" s="94">
        <f t="shared" si="5"/>
        <v>0</v>
      </c>
      <c r="T70" s="89" t="str">
        <f>Registro!R70</f>
        <v>a) Mucho</v>
      </c>
      <c r="U70" s="89" t="str">
        <f>Registro!S70</f>
        <v>a) La Iglesia, b) La naturaleza, e) Los amigos, g) Mi familia</v>
      </c>
      <c r="V70" s="89" t="str">
        <f>Registro!T70</f>
        <v>d) No rezo nunca</v>
      </c>
      <c r="W70" s="89" t="str">
        <f>Registro!U70</f>
        <v>d) Nunca</v>
      </c>
      <c r="X70" s="89" t="str">
        <f>Registro!V70</f>
        <v>e) Voy a misa en las fechas de mis familiares difuntos</v>
      </c>
      <c r="Y70" s="89" t="str">
        <f>Registro!W70</f>
        <v>a) Deportivo, c) Religioso o parroquial</v>
      </c>
      <c r="Z70" s="89" t="str">
        <f>Registro!X70</f>
        <v>c) Un lugar donde me lo paso bien</v>
      </c>
      <c r="AA70" s="89" t="str">
        <f>Registro!Y70</f>
        <v>a) Sí</v>
      </c>
      <c r="AB70" s="89" t="str">
        <f>Registro!Z70</f>
        <v>a) Sí</v>
      </c>
      <c r="AC70" s="89"/>
      <c r="AD70" s="94">
        <f t="shared" si="6"/>
        <v>0</v>
      </c>
      <c r="AE70" s="89" t="str">
        <f>Registro!AB70</f>
        <v>a) Ganar mucho dinero</v>
      </c>
      <c r="AF70" s="89" t="str">
        <f>Registro!AC70</f>
        <v>d) Mucho o muchísimo</v>
      </c>
      <c r="AG70" s="89" t="str">
        <f>Registro!AD70</f>
        <v>a) Los deportes y diversiones, d) Los grupos juveniles cristianos</v>
      </c>
      <c r="AH70" s="94">
        <f t="shared" si="7"/>
        <v>2</v>
      </c>
      <c r="AI70" s="89" t="str">
        <f>Registro!AE70</f>
        <v>f) 11 o más horas</v>
      </c>
      <c r="AJ70" s="89"/>
      <c r="AK70" s="94">
        <f t="shared" si="8"/>
        <v>0</v>
      </c>
      <c r="AL70" s="89" t="str">
        <f>Registro!AG70</f>
        <v>e) Muy deficiente</v>
      </c>
      <c r="AM70" s="89" t="str">
        <f>Registro!AH70</f>
        <v>f) No aplica</v>
      </c>
      <c r="AN70" s="89" t="str">
        <f>Registro!AI70</f>
        <v>f) No aplica</v>
      </c>
      <c r="AO70" s="89" t="str">
        <f>Registro!AJ70</f>
        <v>f) No aplica</v>
      </c>
      <c r="AP70" s="89" t="str">
        <f>Registro!AK70</f>
        <v>f) No aplica</v>
      </c>
      <c r="AQ70" s="89" t="str">
        <f>Registro!AL70</f>
        <v>f) No aplica</v>
      </c>
      <c r="AR70" s="89" t="str">
        <f>Registro!AM70</f>
        <v>b) Buena</v>
      </c>
      <c r="AS70" s="89" t="str">
        <f>Registro!AN70</f>
        <v>f) No aplica</v>
      </c>
      <c r="AT70" s="89" t="str">
        <f>Registro!AO70</f>
        <v>f) No aplica</v>
      </c>
      <c r="AU70" s="89" t="str">
        <f>Registro!AP70</f>
        <v>b) Buena</v>
      </c>
      <c r="AV70" s="89" t="str">
        <f>Registro!AQ70</f>
        <v>c) Regular</v>
      </c>
      <c r="AW70" s="89" t="str">
        <f>Registro!AR70</f>
        <v>i) En nada</v>
      </c>
      <c r="AX70" s="89" t="str">
        <f>Registro!AS70</f>
        <v>g) No tienen una preocupación especial</v>
      </c>
      <c r="AY70" s="89" t="str">
        <f>Registro!AT70</f>
        <v>e) Absolutamente necesaria</v>
      </c>
      <c r="AZ70" s="89" t="str">
        <f>Registro!AU70</f>
        <v>d) Con frecuencia (fines de semana u otros momentos) suelo beber más de la cuenta</v>
      </c>
      <c r="BA70" s="89" t="str">
        <f>Registro!AV70</f>
        <v>a) Personas a las que tengo que aguantar</v>
      </c>
      <c r="BB70" s="89" t="str">
        <f>Registro!AW70</f>
        <v>a) No, en absoluto</v>
      </c>
      <c r="BC70" s="89" t="str">
        <f>Registro!AX70</f>
        <v>e) Son personas que me gustan y admiro</v>
      </c>
      <c r="BD70" s="89" t="str">
        <f>Registro!AY70</f>
        <v>a) Mi padre, b) Mi madre, c) Un hermano/a, d) Un escolapio, religioso o religiosa, e) Un, una docente, f) La orientadora, g) Un amigo, h) Una amiga, i) Un, una catequista o responsable de grupo, j) Nadie, k) No tengo problemas personales</v>
      </c>
    </row>
    <row r="71" spans="1:56" ht="15" customHeight="1" x14ac:dyDescent="0.25">
      <c r="A71" s="101">
        <f>Registro!A71</f>
        <v>42127.454328703701</v>
      </c>
      <c r="B71" s="89" t="str">
        <f>Registro!B71</f>
        <v>c) Obra Social San José de Calasanz de Valencia</v>
      </c>
      <c r="C71" s="89" t="str">
        <f>Registro!C71</f>
        <v>c) Cuarto año</v>
      </c>
      <c r="D71" s="89" t="str">
        <f>Registro!D71</f>
        <v>b) Primaria</v>
      </c>
      <c r="E71" s="89" t="str">
        <f>Registro!E71</f>
        <v>b) Femenino</v>
      </c>
      <c r="F71" s="89" t="str">
        <f>Registro!F71</f>
        <v>b) Evangélica</v>
      </c>
      <c r="G71" s="89" t="str">
        <f>Registro!G71</f>
        <v>a) Mamá, b) Papá, c) Hermanos</v>
      </c>
      <c r="H71" s="89" t="str">
        <f>Registro!H71</f>
        <v>b) Casa Urbana</v>
      </c>
      <c r="I71" s="89" t="str">
        <f>Registro!I71</f>
        <v>a) Sí</v>
      </c>
      <c r="J71" s="89" t="str">
        <f>Registro!J71</f>
        <v>b) Lavadora, d) TV pantalla plana</v>
      </c>
      <c r="K71" s="89" t="str">
        <f>Registro!K71</f>
        <v>b) Una</v>
      </c>
      <c r="L71" s="89"/>
      <c r="M71" s="94">
        <f t="shared" si="9"/>
        <v>0</v>
      </c>
      <c r="N71" s="89" t="str">
        <f>Registro!M71</f>
        <v>b) El futuro</v>
      </c>
      <c r="O71" s="89">
        <f>Registro!N71</f>
        <v>0</v>
      </c>
      <c r="P71" s="89" t="str">
        <f>Registro!O71</f>
        <v>b) Suficiente</v>
      </c>
      <c r="Q71" s="89" t="str">
        <f>Registro!P71</f>
        <v>a) Mucho</v>
      </c>
      <c r="R71" s="89" t="str">
        <f>Registro!Q71</f>
        <v>b) Los amigos, c) Los estudios, f) Mi fe y mi vida cristiana</v>
      </c>
      <c r="S71" s="94">
        <f t="shared" si="5"/>
        <v>3</v>
      </c>
      <c r="T71" s="89" t="str">
        <f>Registro!R71</f>
        <v>a) Mucho</v>
      </c>
      <c r="U71" s="89" t="str">
        <f>Registro!S71</f>
        <v>a) La Iglesia, b) La naturaleza, e) Los amigos, g) Mi familia</v>
      </c>
      <c r="V71" s="89" t="str">
        <f>Registro!T71</f>
        <v>a) Suelo rezar por convicción o porque me gusta</v>
      </c>
      <c r="W71" s="89" t="str">
        <f>Registro!U71</f>
        <v>a) Todos los domingos</v>
      </c>
      <c r="X71" s="89" t="str">
        <f>Registro!V71</f>
        <v>c) Suelo ir los domingos y otras fechas especiales a la Iglesia, d) Suelo orar todos los días, g) En ocasiones, en mi casa tenemos una oración familiar</v>
      </c>
      <c r="Y71" s="89" t="str">
        <f>Registro!W71</f>
        <v>c) Religioso o parroquial</v>
      </c>
      <c r="Z71" s="89" t="str">
        <f>Registro!X71</f>
        <v>a) Un grupo donde profundizo mi fe</v>
      </c>
      <c r="AA71" s="89" t="str">
        <f>Registro!Y71</f>
        <v>b) No</v>
      </c>
      <c r="AB71" s="89" t="str">
        <f>Registro!Z71</f>
        <v>b) No</v>
      </c>
      <c r="AC71" s="89"/>
      <c r="AD71" s="94">
        <f t="shared" si="6"/>
        <v>0</v>
      </c>
      <c r="AE71" s="89" t="str">
        <f>Registro!AB71</f>
        <v>d) Desarrollarme personalmente</v>
      </c>
      <c r="AF71" s="89" t="str">
        <f>Registro!AC71</f>
        <v>d) Mucho o muchísimo</v>
      </c>
      <c r="AG71" s="89" t="str">
        <f>Registro!AD71</f>
        <v>f) La igualdad de trato que se da a todos</v>
      </c>
      <c r="AH71" s="94">
        <f t="shared" si="7"/>
        <v>1</v>
      </c>
      <c r="AI71" s="89" t="str">
        <f>Registro!AE71</f>
        <v>b) 3 a 4 horas</v>
      </c>
      <c r="AJ71" s="89" t="str">
        <f>Registro!AF71</f>
        <v>b) Navego en Internet, m) Veo televisión y/o películas, n) Estoy conversando con los amigos/as</v>
      </c>
      <c r="AK71" s="94">
        <f t="shared" si="8"/>
        <v>3</v>
      </c>
      <c r="AL71" s="89">
        <f>Registro!AG71</f>
        <v>0</v>
      </c>
      <c r="AM71" s="89" t="str">
        <f>Registro!AH71</f>
        <v>b) Buena</v>
      </c>
      <c r="AN71" s="89" t="str">
        <f>Registro!AI71</f>
        <v>b) Buena</v>
      </c>
      <c r="AO71" s="89" t="str">
        <f>Registro!AJ71</f>
        <v>a) Muy buena</v>
      </c>
      <c r="AP71" s="89" t="str">
        <f>Registro!AK71</f>
        <v>a) Muy buena</v>
      </c>
      <c r="AQ71" s="89" t="str">
        <f>Registro!AL71</f>
        <v>b) Buena</v>
      </c>
      <c r="AR71" s="89" t="str">
        <f>Registro!AM71</f>
        <v>b) Buena</v>
      </c>
      <c r="AS71" s="89" t="str">
        <f>Registro!AN71</f>
        <v>b) Buena</v>
      </c>
      <c r="AT71" s="89" t="str">
        <f>Registro!AO71</f>
        <v>b) Buena</v>
      </c>
      <c r="AU71" s="89" t="str">
        <f>Registro!AP71</f>
        <v>c) Regular</v>
      </c>
      <c r="AV71" s="89" t="str">
        <f>Registro!AQ71</f>
        <v>b) Buena</v>
      </c>
      <c r="AW71" s="89">
        <f>Registro!AR71</f>
        <v>0</v>
      </c>
      <c r="AX71" s="89" t="str">
        <f>Registro!AS71</f>
        <v>e) Que sea cristiano responsable</v>
      </c>
      <c r="AY71" s="89" t="str">
        <f>Registro!AT71</f>
        <v>e) Absolutamente necesaria</v>
      </c>
      <c r="AZ71" s="89" t="str">
        <f>Registro!AU71</f>
        <v>b) Las veces que bebo, es con moderación</v>
      </c>
      <c r="BA71" s="89" t="str">
        <f>Registro!AV71</f>
        <v>d) Buenos profesionales de la educación</v>
      </c>
      <c r="BB71" s="89" t="str">
        <f>Registro!AW71</f>
        <v>c) Bastante</v>
      </c>
      <c r="BC71" s="89" t="str">
        <f>Registro!AX71</f>
        <v>c) Son personas normales y corrientes</v>
      </c>
      <c r="BD71" s="89" t="str">
        <f>Registro!AY71</f>
        <v>a) Mi padre, b) Mi madre, c) Un hermano/a, h) Una amiga</v>
      </c>
    </row>
    <row r="72" spans="1:56" ht="15" customHeight="1" x14ac:dyDescent="0.25">
      <c r="A72" s="101">
        <f>Registro!A72</f>
        <v>42127.454814814817</v>
      </c>
      <c r="B72" s="89" t="str">
        <f>Registro!B72</f>
        <v>c) Obra Social San José de Calasanz de Valencia</v>
      </c>
      <c r="C72" s="89" t="str">
        <f>Registro!C72</f>
        <v>c) Cuarto año</v>
      </c>
      <c r="D72" s="89" t="str">
        <f>Registro!D72</f>
        <v>b) Primaria</v>
      </c>
      <c r="E72" s="89" t="str">
        <f>Registro!E72</f>
        <v>a) Masculino</v>
      </c>
      <c r="F72" s="89" t="str">
        <f>Registro!F72</f>
        <v>b) Evangélica</v>
      </c>
      <c r="G72" s="89" t="str">
        <f>Registro!G72</f>
        <v>a) Mamá, b) Papá, c) Hermanos</v>
      </c>
      <c r="H72" s="89" t="str">
        <f>Registro!H72</f>
        <v>b) Casa Urbana</v>
      </c>
      <c r="I72" s="89" t="str">
        <f>Registro!I72</f>
        <v>a) Sí</v>
      </c>
      <c r="J72" s="89" t="str">
        <f>Registro!J72</f>
        <v>a) Cónsola videojuegos, b) Lavadora, d) TV pantalla plana, f) MP3, g) MP4, i) Computadora, j) Cámara digital, k) Aire acondicionado</v>
      </c>
      <c r="K72" s="89" t="str">
        <f>Registro!K72</f>
        <v>c) Dos</v>
      </c>
      <c r="L72" s="89" t="str">
        <f>Registro!L72</f>
        <v>e) Disponer de dinero, h) La sexualidad, j) El deporte</v>
      </c>
      <c r="M72" s="94">
        <f t="shared" si="9"/>
        <v>3</v>
      </c>
      <c r="N72" s="89" t="str">
        <f>Registro!M72</f>
        <v>c) Yo mismo</v>
      </c>
      <c r="O72" s="89" t="str">
        <f>Registro!N72</f>
        <v>c) Poco</v>
      </c>
      <c r="P72" s="89" t="str">
        <f>Registro!O72</f>
        <v>b) Suficiente</v>
      </c>
      <c r="Q72" s="89" t="str">
        <f>Registro!P72</f>
        <v>c) Poco</v>
      </c>
      <c r="R72" s="89" t="str">
        <f>Registro!Q72</f>
        <v>b) Los amigos, c) Los estudios, h) La sexualidad</v>
      </c>
      <c r="S72" s="94">
        <f t="shared" si="5"/>
        <v>3</v>
      </c>
      <c r="T72" s="89" t="str">
        <f>Registro!R72</f>
        <v>b) Suficiente</v>
      </c>
      <c r="U72" s="89" t="str">
        <f>Registro!S72</f>
        <v>b) La naturaleza, k) La oración, l) Los sacramentos</v>
      </c>
      <c r="V72" s="89" t="str">
        <f>Registro!T72</f>
        <v>c) Rezo solo en situación de dificultad</v>
      </c>
      <c r="W72" s="89" t="str">
        <f>Registro!U72</f>
        <v>c) Solo en fechas especiales</v>
      </c>
      <c r="X72" s="89" t="str">
        <f>Registro!V72</f>
        <v>c) Suelo ir los domingos y otras fechas especiales a la Iglesia</v>
      </c>
      <c r="Y72" s="89" t="str">
        <f>Registro!W72</f>
        <v xml:space="preserve">a) Deportivo, b) Cultural (folklórico, musicales, danzas, scout, banda marcial,...) </v>
      </c>
      <c r="Z72" s="89" t="str">
        <f>Registro!X72</f>
        <v>b) Un lugar donde comparto con mis compañeros</v>
      </c>
      <c r="AA72" s="89" t="str">
        <f>Registro!Y72</f>
        <v>b) No</v>
      </c>
      <c r="AB72" s="89" t="str">
        <f>Registro!Z72</f>
        <v>b) No</v>
      </c>
      <c r="AC72" s="89" t="str">
        <f>Registro!AA72</f>
        <v>a) Medicina, d) Ingeniería</v>
      </c>
      <c r="AD72" s="94">
        <f t="shared" si="6"/>
        <v>2</v>
      </c>
      <c r="AE72" s="89" t="str">
        <f>Registro!AB72</f>
        <v>c) Ser un excelente profesional</v>
      </c>
      <c r="AF72" s="89" t="str">
        <f>Registro!AC72</f>
        <v>b) Poco</v>
      </c>
      <c r="AG72" s="89" t="str">
        <f>Registro!AD72</f>
        <v>a) Los deportes y diversiones, h) Las actividades extraescolares</v>
      </c>
      <c r="AH72" s="94">
        <f t="shared" si="7"/>
        <v>2</v>
      </c>
      <c r="AI72" s="89" t="str">
        <f>Registro!AE72</f>
        <v>a) 0 a 2 horas</v>
      </c>
      <c r="AJ72" s="89" t="str">
        <f>Registro!AF72</f>
        <v>a) Me divierto con juegos para computadoras, j) Estoy en algún grupo juvenil, l) Escucho música y/o veo videos musicales</v>
      </c>
      <c r="AK72" s="94">
        <f t="shared" si="8"/>
        <v>3</v>
      </c>
      <c r="AL72" s="89" t="str">
        <f>Registro!AG72</f>
        <v>c) Regular</v>
      </c>
      <c r="AM72" s="89" t="str">
        <f>Registro!AH72</f>
        <v>c) Regular</v>
      </c>
      <c r="AN72" s="89" t="str">
        <f>Registro!AI72</f>
        <v>b) Buena</v>
      </c>
      <c r="AO72" s="89" t="str">
        <f>Registro!AJ72</f>
        <v>c) Regular</v>
      </c>
      <c r="AP72" s="89" t="str">
        <f>Registro!AK72</f>
        <v>d) Mala</v>
      </c>
      <c r="AQ72" s="89" t="str">
        <f>Registro!AL72</f>
        <v>c) Regular</v>
      </c>
      <c r="AR72" s="89" t="str">
        <f>Registro!AM72</f>
        <v>b) Buena</v>
      </c>
      <c r="AS72" s="89" t="str">
        <f>Registro!AN72</f>
        <v>c) Regular</v>
      </c>
      <c r="AT72" s="89" t="str">
        <f>Registro!AO72</f>
        <v>d) Mala</v>
      </c>
      <c r="AU72" s="89" t="str">
        <f>Registro!AP72</f>
        <v>c) Regular</v>
      </c>
      <c r="AV72" s="89" t="str">
        <f>Registro!AQ72</f>
        <v>b) Buena</v>
      </c>
      <c r="AW72" s="89" t="str">
        <f>Registro!AR72</f>
        <v>e) La disciplina y el orden</v>
      </c>
      <c r="AX72" s="89" t="str">
        <f>Registro!AS72</f>
        <v>a) Que sea un buen profesional</v>
      </c>
      <c r="AY72" s="89" t="str">
        <f>Registro!AT72</f>
        <v>c) Conveniente</v>
      </c>
      <c r="AZ72" s="89" t="str">
        <f>Registro!AU72</f>
        <v>b) Las veces que bebo, es con moderación</v>
      </c>
      <c r="BA72" s="89" t="str">
        <f>Registro!AV72</f>
        <v>f) Educadores que, además, me han abierto caminos</v>
      </c>
      <c r="BB72" s="89" t="str">
        <f>Registro!AW72</f>
        <v>b) Poco</v>
      </c>
      <c r="BC72" s="89" t="str">
        <f>Registro!AX72</f>
        <v>c) Son personas normales y corrientes</v>
      </c>
      <c r="BD72" s="89" t="str">
        <f>Registro!AY72</f>
        <v>g) Un amigo</v>
      </c>
    </row>
    <row r="73" spans="1:56" ht="15" customHeight="1" x14ac:dyDescent="0.25">
      <c r="A73" s="101">
        <f>Registro!A73</f>
        <v>42127.455104166664</v>
      </c>
      <c r="B73" s="89" t="str">
        <f>Registro!B73</f>
        <v>c) Obra Social San José de Calasanz de Valencia</v>
      </c>
      <c r="C73" s="89" t="str">
        <f>Registro!C73</f>
        <v>c) Cuarto año</v>
      </c>
      <c r="D73" s="89" t="str">
        <f>Registro!D73</f>
        <v>d) En Cuarto año o posterior</v>
      </c>
      <c r="E73" s="89" t="str">
        <f>Registro!E73</f>
        <v>b) Femenino</v>
      </c>
      <c r="F73" s="89" t="str">
        <f>Registro!F73</f>
        <v>d) Otra</v>
      </c>
      <c r="G73" s="89" t="str">
        <f>Registro!G73</f>
        <v>a) Mamá, b) Papá, c) Hermanos</v>
      </c>
      <c r="H73" s="89" t="str">
        <f>Registro!H73</f>
        <v>d) Casa Rural</v>
      </c>
      <c r="I73" s="89" t="str">
        <f>Registro!I73</f>
        <v>a) Sí</v>
      </c>
      <c r="J73" s="89" t="str">
        <f>Registro!J73</f>
        <v>a) Cónsola videojuegos, b) Lavadora, f) MP3, i) Computadora, j) Cámara digital, k) Aire acondicionado</v>
      </c>
      <c r="K73" s="89" t="str">
        <f>Registro!K73</f>
        <v>b) Una</v>
      </c>
      <c r="L73" s="89" t="str">
        <f>Registro!L73</f>
        <v>a) La familia, b) Los amigos, c) Los estudios</v>
      </c>
      <c r="M73" s="94">
        <f t="shared" si="9"/>
        <v>3</v>
      </c>
      <c r="N73" s="89" t="str">
        <f>Registro!M73</f>
        <v>f) La situación política del país</v>
      </c>
      <c r="O73" s="89" t="str">
        <f>Registro!N73</f>
        <v>b) Suficiente</v>
      </c>
      <c r="P73" s="89" t="str">
        <f>Registro!O73</f>
        <v>b) Suficiente</v>
      </c>
      <c r="Q73" s="89" t="str">
        <f>Registro!P73</f>
        <v>b) Suficiente</v>
      </c>
      <c r="R73" s="89" t="str">
        <f>Registro!Q73</f>
        <v>a) La familia, b) Los amigos, c) Los estudios</v>
      </c>
      <c r="S73" s="94">
        <f t="shared" si="5"/>
        <v>3</v>
      </c>
      <c r="T73" s="89" t="str">
        <f>Registro!R73</f>
        <v>b) Suficiente</v>
      </c>
      <c r="U73" s="89" t="str">
        <f>Registro!S73</f>
        <v>a) La Iglesia, g) Mi familia, i) Los necesitados, j) Todas partes, k) La oración</v>
      </c>
      <c r="V73" s="89" t="str">
        <f>Registro!T73</f>
        <v>b) Rezo por costumbre</v>
      </c>
      <c r="W73" s="89" t="str">
        <f>Registro!U73</f>
        <v>c) Solo en fechas especiales</v>
      </c>
      <c r="X73" s="89" t="str">
        <f>Registro!V73</f>
        <v>a) Suelo llevar una cruz o algún objeto religioso, e) Voy a misa en las fechas de mis familiares difuntos, f) En alguna ocasión he rezado el rosario, h) En Semana Santa asisto a las procesiones, i) Tengo en mi cuarto alguna imagen religiosa</v>
      </c>
      <c r="Y73" s="89" t="str">
        <f>Registro!W73</f>
        <v xml:space="preserve">b) Cultural (folklórico, musicales, danzas, scout, banda marcial,...) </v>
      </c>
      <c r="Z73" s="89" t="str">
        <f>Registro!X73</f>
        <v>a) Un grupo donde profundizo mi fe</v>
      </c>
      <c r="AA73" s="89" t="str">
        <f>Registro!Y73</f>
        <v>b) No</v>
      </c>
      <c r="AB73" s="89" t="str">
        <f>Registro!Z73</f>
        <v>b) No</v>
      </c>
      <c r="AC73" s="89"/>
      <c r="AD73" s="94">
        <f t="shared" si="6"/>
        <v>0</v>
      </c>
      <c r="AE73" s="89" t="str">
        <f>Registro!AB73</f>
        <v>c) Ser un excelente profesional</v>
      </c>
      <c r="AF73" s="89" t="str">
        <f>Registro!AC73</f>
        <v>c) Bastante</v>
      </c>
      <c r="AG73" s="89" t="str">
        <f>Registro!AD73</f>
        <v>b) El ambiente de estudio y de trabajo, h) Las actividades extraescolares</v>
      </c>
      <c r="AH73" s="94">
        <f t="shared" si="7"/>
        <v>2</v>
      </c>
      <c r="AI73" s="89" t="str">
        <f>Registro!AE73</f>
        <v>d) 7 a 8 horas</v>
      </c>
      <c r="AJ73" s="89" t="str">
        <f>Registro!AF73</f>
        <v>e) Suelo ir a algún parque, n) Estoy conversando con los amigos/as</v>
      </c>
      <c r="AK73" s="94">
        <f t="shared" si="8"/>
        <v>2</v>
      </c>
      <c r="AL73" s="89" t="str">
        <f>Registro!AG73</f>
        <v>b) Bueno</v>
      </c>
      <c r="AM73" s="89" t="str">
        <f>Registro!AH73</f>
        <v>b) Buena</v>
      </c>
      <c r="AN73" s="89" t="str">
        <f>Registro!AI73</f>
        <v>a) Muy buena</v>
      </c>
      <c r="AO73" s="89" t="str">
        <f>Registro!AJ73</f>
        <v>a) Muy buena</v>
      </c>
      <c r="AP73" s="89">
        <f>Registro!AK73</f>
        <v>0</v>
      </c>
      <c r="AQ73" s="89" t="str">
        <f>Registro!AL73</f>
        <v>a) Muy buena</v>
      </c>
      <c r="AR73" s="89" t="str">
        <f>Registro!AM73</f>
        <v>b) Buena</v>
      </c>
      <c r="AS73" s="89" t="str">
        <f>Registro!AN73</f>
        <v>b) Buena</v>
      </c>
      <c r="AT73" s="89" t="str">
        <f>Registro!AO73</f>
        <v>c) Regular</v>
      </c>
      <c r="AU73" s="89" t="str">
        <f>Registro!AP73</f>
        <v>b) Buena</v>
      </c>
      <c r="AV73" s="89" t="str">
        <f>Registro!AQ73</f>
        <v>a) Muy buena</v>
      </c>
      <c r="AW73" s="89" t="str">
        <f>Registro!AR73</f>
        <v>g) La orientación profesional futura</v>
      </c>
      <c r="AX73" s="89" t="str">
        <f>Registro!AS73</f>
        <v>b) Darme una buena educación</v>
      </c>
      <c r="AY73" s="89" t="str">
        <f>Registro!AT73</f>
        <v>d) Bastante necesaria</v>
      </c>
      <c r="AZ73" s="89" t="str">
        <f>Registro!AU73</f>
        <v>a) No acostumbro a tomarlo nunca</v>
      </c>
      <c r="BA73" s="89" t="str">
        <f>Registro!AV73</f>
        <v>e) Educadores que se preocupan de nosotros</v>
      </c>
      <c r="BB73" s="89" t="str">
        <f>Registro!AW73</f>
        <v>c) Bastante</v>
      </c>
      <c r="BC73" s="89" t="str">
        <f>Registro!AX73</f>
        <v>d) Hay de todo tipo, pero predomina lo positivo</v>
      </c>
      <c r="BD73" s="89" t="str">
        <f>Registro!AY73</f>
        <v>b) Mi madre, c) Un hermano/a, h) Una amiga</v>
      </c>
    </row>
    <row r="74" spans="1:56" ht="15" customHeight="1" x14ac:dyDescent="0.25">
      <c r="A74" s="101">
        <f>Registro!A74</f>
        <v>42127.455370370371</v>
      </c>
      <c r="B74" s="89" t="str">
        <f>Registro!B74</f>
        <v>c) Obra Social San José de Calasanz de Valencia</v>
      </c>
      <c r="C74" s="89" t="str">
        <f>Registro!C74</f>
        <v>c) Cuarto año</v>
      </c>
      <c r="D74" s="89" t="str">
        <f>Registro!D74</f>
        <v>b) Primaria</v>
      </c>
      <c r="E74" s="89" t="str">
        <f>Registro!E74</f>
        <v>a) Masculino</v>
      </c>
      <c r="F74" s="89" t="str">
        <f>Registro!F74</f>
        <v>a) Católica</v>
      </c>
      <c r="G74" s="89" t="str">
        <f>Registro!G74</f>
        <v>a) Mamá, c) Hermanos, d) Abuelos</v>
      </c>
      <c r="H74" s="89" t="str">
        <f>Registro!H74</f>
        <v>b) Casa Urbana</v>
      </c>
      <c r="I74" s="89" t="str">
        <f>Registro!I74</f>
        <v>c) Algo</v>
      </c>
      <c r="J74" s="89" t="str">
        <f>Registro!J74</f>
        <v>b) Lavadora, c) Microondas, i) Computadora</v>
      </c>
      <c r="K74" s="89" t="str">
        <f>Registro!K74</f>
        <v>c) Dos</v>
      </c>
      <c r="L74" s="89" t="str">
        <f>Registro!L74</f>
        <v>a) La familia, d) El cuidado de mi cuerpo, k) El internet</v>
      </c>
      <c r="M74" s="94">
        <f t="shared" si="9"/>
        <v>3</v>
      </c>
      <c r="N74" s="89" t="str">
        <f>Registro!M74</f>
        <v>c) Yo mismo</v>
      </c>
      <c r="O74" s="89" t="str">
        <f>Registro!N74</f>
        <v>b) Suficiente</v>
      </c>
      <c r="P74" s="89" t="str">
        <f>Registro!O74</f>
        <v>c) Poco</v>
      </c>
      <c r="Q74" s="89" t="str">
        <f>Registro!P74</f>
        <v>c) Poco</v>
      </c>
      <c r="R74" s="89" t="str">
        <f>Registro!Q74</f>
        <v>a) La familia, c) Los estudios, g) La felicidad</v>
      </c>
      <c r="S74" s="94">
        <f t="shared" si="5"/>
        <v>3</v>
      </c>
      <c r="T74" s="89" t="str">
        <f>Registro!R74</f>
        <v>a) Mucho</v>
      </c>
      <c r="U74" s="89" t="str">
        <f>Registro!S74</f>
        <v>a) La Iglesia, b) La naturaleza, c) El salón de clase, d) Las convivencias, e) Los amigos, f) Todas las personas, g) Mi familia, h) Algunas personas cercanas a Dios, i) Los necesitados, j) Todas partes, k) La oración, l) Los sacramentos</v>
      </c>
      <c r="V74" s="89" t="str">
        <f>Registro!T74</f>
        <v>b) Rezo por costumbre</v>
      </c>
      <c r="W74" s="89" t="str">
        <f>Registro!U74</f>
        <v>a) Todos los domingos</v>
      </c>
      <c r="X74" s="89" t="str">
        <f>Registro!V74</f>
        <v>c) Suelo ir los domingos y otras fechas especiales a la Iglesia, d) Suelo orar todos los días, e) Voy a misa en las fechas de mis familiares difuntos, f) En alguna ocasión he rezado el rosario, h) En Semana Santa asisto a las procesiones, i) Tengo en mi cuarto alguna imagen religiosa</v>
      </c>
      <c r="Y74" s="89" t="str">
        <f>Registro!W74</f>
        <v>c) Religioso o parroquial</v>
      </c>
      <c r="Z74" s="89" t="str">
        <f>Registro!X74</f>
        <v>b) Un lugar donde comparto con mis compañeros</v>
      </c>
      <c r="AA74" s="89" t="str">
        <f>Registro!Y74</f>
        <v>a) Sí</v>
      </c>
      <c r="AB74" s="89" t="str">
        <f>Registro!Z74</f>
        <v>c) Algo</v>
      </c>
      <c r="AC74" s="89" t="str">
        <f>Registro!AA74</f>
        <v>d) Ingeniería, g) Artista</v>
      </c>
      <c r="AD74" s="94">
        <f t="shared" si="6"/>
        <v>2</v>
      </c>
      <c r="AE74" s="89" t="str">
        <f>Registro!AB74</f>
        <v>d) Desarrollarme personalmente</v>
      </c>
      <c r="AF74" s="89" t="str">
        <f>Registro!AC74</f>
        <v>d) Mucho o muchísimo</v>
      </c>
      <c r="AG74" s="89" t="str">
        <f>Registro!AD74</f>
        <v>d) Los grupos juveniles cristianos, h) Las actividades extraescolares</v>
      </c>
      <c r="AH74" s="94">
        <f t="shared" si="7"/>
        <v>2</v>
      </c>
      <c r="AI74" s="89" t="str">
        <f>Registro!AE74</f>
        <v>e) 9 a 10 horas</v>
      </c>
      <c r="AJ74" s="89"/>
      <c r="AK74" s="94">
        <f t="shared" si="8"/>
        <v>0</v>
      </c>
      <c r="AL74" s="89" t="str">
        <f>Registro!AG74</f>
        <v>b) Bueno</v>
      </c>
      <c r="AM74" s="89" t="str">
        <f>Registro!AH74</f>
        <v>a) Muy buena</v>
      </c>
      <c r="AN74" s="89" t="str">
        <f>Registro!AI74</f>
        <v>c) Regular</v>
      </c>
      <c r="AO74" s="89" t="str">
        <f>Registro!AJ74</f>
        <v>b) Buena</v>
      </c>
      <c r="AP74" s="89" t="str">
        <f>Registro!AK74</f>
        <v>b) Buena</v>
      </c>
      <c r="AQ74" s="89" t="str">
        <f>Registro!AL74</f>
        <v>b) Buena</v>
      </c>
      <c r="AR74" s="89" t="str">
        <f>Registro!AM74</f>
        <v>c) Regular</v>
      </c>
      <c r="AS74" s="89" t="str">
        <f>Registro!AN74</f>
        <v>a) Muy buena</v>
      </c>
      <c r="AT74" s="89" t="str">
        <f>Registro!AO74</f>
        <v>b) Buena</v>
      </c>
      <c r="AU74" s="89" t="str">
        <f>Registro!AP74</f>
        <v>a) Muy buena</v>
      </c>
      <c r="AV74" s="89" t="str">
        <f>Registro!AQ74</f>
        <v>c) Regular</v>
      </c>
      <c r="AW74" s="89" t="str">
        <f>Registro!AR74</f>
        <v>e) La disciplina y el orden</v>
      </c>
      <c r="AX74" s="89" t="str">
        <f>Registro!AS74</f>
        <v>b) Darme una buena educación</v>
      </c>
      <c r="AY74" s="89" t="str">
        <f>Registro!AT74</f>
        <v>d) Bastante necesaria</v>
      </c>
      <c r="AZ74" s="89" t="str">
        <f>Registro!AU74</f>
        <v>a) No acostumbro a tomarlo nunca</v>
      </c>
      <c r="BA74" s="89" t="str">
        <f>Registro!AV74</f>
        <v>e) Educadores que se preocupan de nosotros</v>
      </c>
      <c r="BB74" s="89" t="str">
        <f>Registro!AW74</f>
        <v>c) Bastante</v>
      </c>
      <c r="BC74" s="89" t="str">
        <f>Registro!AX74</f>
        <v>d) Hay de todo tipo, pero predomina lo positivo</v>
      </c>
      <c r="BD74" s="89" t="str">
        <f>Registro!AY74</f>
        <v>h) Una amiga</v>
      </c>
    </row>
    <row r="75" spans="1:56" ht="15" customHeight="1" x14ac:dyDescent="0.25">
      <c r="A75" s="101">
        <f>Registro!A75</f>
        <v>42127.456018518518</v>
      </c>
      <c r="B75" s="89" t="str">
        <f>Registro!B75</f>
        <v>c) Obra Social San José de Calasanz de Valencia</v>
      </c>
      <c r="C75" s="89" t="str">
        <f>Registro!C75</f>
        <v>c) Cuarto año</v>
      </c>
      <c r="D75" s="89" t="str">
        <f>Registro!D75</f>
        <v>a) Educación Inicial</v>
      </c>
      <c r="E75" s="89" t="str">
        <f>Registro!E75</f>
        <v>a) Masculino</v>
      </c>
      <c r="F75" s="89" t="str">
        <f>Registro!F75</f>
        <v>a) Católica</v>
      </c>
      <c r="G75" s="89" t="str">
        <f>Registro!G75</f>
        <v>a) Mamá, b) Papá, c) Hermanos, d) Abuelos</v>
      </c>
      <c r="H75" s="89" t="str">
        <f>Registro!H75</f>
        <v>b) Casa Urbana</v>
      </c>
      <c r="I75" s="89" t="str">
        <f>Registro!I75</f>
        <v>c) Algo</v>
      </c>
      <c r="J75" s="89" t="str">
        <f>Registro!J75</f>
        <v>a) Cónsola videojuegos, b) Lavadora, h) Carro, i) Computadora, k) Aire acondicionado</v>
      </c>
      <c r="K75" s="89" t="str">
        <f>Registro!K75</f>
        <v>e) Cuatro</v>
      </c>
      <c r="L75" s="89" t="str">
        <f>Registro!L75</f>
        <v>a) La familia, d) El cuidado de mi cuerpo</v>
      </c>
      <c r="M75" s="94">
        <f t="shared" si="9"/>
        <v>2</v>
      </c>
      <c r="N75" s="89" t="str">
        <f>Registro!M75</f>
        <v>e) La situación económica</v>
      </c>
      <c r="O75" s="89" t="str">
        <f>Registro!N75</f>
        <v>c) Poco</v>
      </c>
      <c r="P75" s="89" t="str">
        <f>Registro!O75</f>
        <v>c) Poco</v>
      </c>
      <c r="Q75" s="89" t="str">
        <f>Registro!P75</f>
        <v>b) Suficiente</v>
      </c>
      <c r="R75" s="89" t="str">
        <f>Registro!Q75</f>
        <v>b) Los amigos, e) Disponer de dinero, k) Internet</v>
      </c>
      <c r="S75" s="94">
        <f t="shared" si="5"/>
        <v>3</v>
      </c>
      <c r="T75" s="89" t="str">
        <f>Registro!R75</f>
        <v>a) Mucho</v>
      </c>
      <c r="U75" s="89" t="str">
        <f>Registro!S75</f>
        <v>a) La Iglesia, b) La naturaleza, g) Mi familia, h) Algunas personas cercanas a Dios, i) Los necesitados, k) La oración, l) Los sacramentos</v>
      </c>
      <c r="V75" s="89" t="str">
        <f>Registro!T75</f>
        <v>c) Rezo solo en situación de dificultad</v>
      </c>
      <c r="W75" s="89" t="str">
        <f>Registro!U75</f>
        <v>b) Algunos domingos</v>
      </c>
      <c r="X75" s="89" t="str">
        <f>Registro!V75</f>
        <v>f) En alguna ocasión he rezado el rosario, g) En ocasiones, en mi casa tenemos una oración familiar, h) En Semana Santa asisto a las procesiones, i) Tengo en mi cuarto alguna imagen religiosa</v>
      </c>
      <c r="Y75" s="89" t="str">
        <f>Registro!W75</f>
        <v>a) Deportivo</v>
      </c>
      <c r="Z75" s="89" t="str">
        <f>Registro!X75</f>
        <v>d) No pertenezco a grupos juveniles cristianos</v>
      </c>
      <c r="AA75" s="89" t="str">
        <f>Registro!Y75</f>
        <v>b) No</v>
      </c>
      <c r="AB75" s="89" t="str">
        <f>Registro!Z75</f>
        <v>b) No</v>
      </c>
      <c r="AC75" s="89" t="str">
        <f>Registro!AA75</f>
        <v>d) Ingeniería, i) Comerciante</v>
      </c>
      <c r="AD75" s="94">
        <f t="shared" si="6"/>
        <v>2</v>
      </c>
      <c r="AE75" s="89" t="str">
        <f>Registro!AB75</f>
        <v>a) Ganar mucho dinero</v>
      </c>
      <c r="AF75" s="89" t="str">
        <f>Registro!AC75</f>
        <v>d) Mucho o muchísimo</v>
      </c>
      <c r="AG75" s="89" t="str">
        <f>Registro!AD75</f>
        <v>a) Los deportes y diversiones, g) La relación con los docentes</v>
      </c>
      <c r="AH75" s="94">
        <f t="shared" si="7"/>
        <v>2</v>
      </c>
      <c r="AI75" s="89" t="str">
        <f>Registro!AE75</f>
        <v>a) 0 a 2 horas</v>
      </c>
      <c r="AJ75" s="89" t="str">
        <f>Registro!AF75</f>
        <v>a) Me divierto con juegos para computadoras, b) Navego en Internet, l) Escucho música y/o veo videos musicales</v>
      </c>
      <c r="AK75" s="94">
        <f t="shared" si="8"/>
        <v>3</v>
      </c>
      <c r="AL75" s="89" t="str">
        <f>Registro!AG75</f>
        <v>b) Bueno</v>
      </c>
      <c r="AM75" s="89" t="str">
        <f>Registro!AH75</f>
        <v>b) Buena</v>
      </c>
      <c r="AN75" s="89" t="str">
        <f>Registro!AI75</f>
        <v>b) Buena</v>
      </c>
      <c r="AO75" s="89" t="str">
        <f>Registro!AJ75</f>
        <v>b) Buena</v>
      </c>
      <c r="AP75" s="89" t="str">
        <f>Registro!AK75</f>
        <v>d) Mala</v>
      </c>
      <c r="AQ75" s="89" t="str">
        <f>Registro!AL75</f>
        <v>a) Muy buena</v>
      </c>
      <c r="AR75" s="89" t="str">
        <f>Registro!AM75</f>
        <v>b) Buena</v>
      </c>
      <c r="AS75" s="89" t="str">
        <f>Registro!AN75</f>
        <v>a) Muy buena</v>
      </c>
      <c r="AT75" s="89" t="str">
        <f>Registro!AO75</f>
        <v>c) Regular</v>
      </c>
      <c r="AU75" s="89" t="str">
        <f>Registro!AP75</f>
        <v>b) Buena</v>
      </c>
      <c r="AV75" s="89" t="str">
        <f>Registro!AQ75</f>
        <v>b) Buena</v>
      </c>
      <c r="AW75" s="89" t="str">
        <f>Registro!AR75</f>
        <v>f) la práctica religiosa</v>
      </c>
      <c r="AX75" s="89" t="str">
        <f>Registro!AS75</f>
        <v>a) Que sea un buen profesional</v>
      </c>
      <c r="AY75" s="89" t="str">
        <f>Registro!AT75</f>
        <v>e) Absolutamente necesaria</v>
      </c>
      <c r="AZ75" s="89" t="str">
        <f>Registro!AU75</f>
        <v>c) Alguna vez he bebido más de la cuenta</v>
      </c>
      <c r="BA75" s="89" t="str">
        <f>Registro!AV75</f>
        <v>e) Educadores que se preocupan de nosotros</v>
      </c>
      <c r="BB75" s="89" t="str">
        <f>Registro!AW75</f>
        <v>c) Bastante</v>
      </c>
      <c r="BC75" s="89" t="str">
        <f>Registro!AX75</f>
        <v>e) Son personas que me gustan y admiro</v>
      </c>
      <c r="BD75" s="89" t="str">
        <f>Registro!AY75</f>
        <v>b) Mi madre, c) Un hermano/a, d) Un escolapio, religioso o religiosa, g) Un amigo, h) Una amiga</v>
      </c>
    </row>
    <row r="76" spans="1:56" ht="15" customHeight="1" x14ac:dyDescent="0.25">
      <c r="A76" s="101">
        <f>Registro!A76</f>
        <v>42127.456631944442</v>
      </c>
      <c r="B76" s="89" t="str">
        <f>Registro!B76</f>
        <v>c) Obra Social San José de Calasanz de Valencia</v>
      </c>
      <c r="C76" s="89" t="str">
        <f>Registro!C76</f>
        <v>c) Cuarto año</v>
      </c>
      <c r="D76" s="89" t="str">
        <f>Registro!D76</f>
        <v>d) En Cuarto año o posterior</v>
      </c>
      <c r="E76" s="89" t="str">
        <f>Registro!E76</f>
        <v>a) Masculino</v>
      </c>
      <c r="F76" s="89" t="str">
        <f>Registro!F76</f>
        <v>a) Católica</v>
      </c>
      <c r="G76" s="89" t="str">
        <f>Registro!G76</f>
        <v>a) Mamá, b) Papá, d) Abuelos</v>
      </c>
      <c r="H76" s="89" t="str">
        <f>Registro!H76</f>
        <v>b) Casa Urbana</v>
      </c>
      <c r="I76" s="89" t="str">
        <f>Registro!I76</f>
        <v>c) Algo</v>
      </c>
      <c r="J76" s="89" t="str">
        <f>Registro!J76</f>
        <v>b) Lavadora, c) Microondas, i) Computadora, k) Aire acondicionado</v>
      </c>
      <c r="K76" s="89" t="str">
        <f>Registro!K76</f>
        <v>c) Dos</v>
      </c>
      <c r="L76" s="89"/>
      <c r="M76" s="94">
        <f t="shared" si="9"/>
        <v>0</v>
      </c>
      <c r="N76" s="89" t="str">
        <f>Registro!M76</f>
        <v>a) Seguridad personal (la violencia y la delincuencia)</v>
      </c>
      <c r="O76" s="89" t="str">
        <f>Registro!N76</f>
        <v>c) Poco</v>
      </c>
      <c r="P76" s="89" t="str">
        <f>Registro!O76</f>
        <v>c) Poco</v>
      </c>
      <c r="Q76" s="89" t="str">
        <f>Registro!P76</f>
        <v>c) Poco</v>
      </c>
      <c r="R76" s="89" t="str">
        <f>Registro!Q76</f>
        <v>a) La familia, c) Los estudios, g) La felicidad</v>
      </c>
      <c r="S76" s="94">
        <f t="shared" si="5"/>
        <v>3</v>
      </c>
      <c r="T76" s="89" t="str">
        <f>Registro!R76</f>
        <v>a) Mucho</v>
      </c>
      <c r="U76" s="89" t="str">
        <f>Registro!S76</f>
        <v>b) La naturaleza, c) El salón de clase, d) Las convivencias, g) Mi familia</v>
      </c>
      <c r="V76" s="89" t="str">
        <f>Registro!T76</f>
        <v>d) No rezo nunca</v>
      </c>
      <c r="W76" s="89" t="str">
        <f>Registro!U76</f>
        <v>b) Algunos domingos</v>
      </c>
      <c r="X76" s="89" t="str">
        <f>Registro!V76</f>
        <v>c) Suelo ir los domingos y otras fechas especiales a la Iglesia, e) Voy a misa en las fechas de mis familiares difuntos</v>
      </c>
      <c r="Y76" s="89" t="str">
        <f>Registro!W76</f>
        <v>d) No pertenezco a ninguno</v>
      </c>
      <c r="Z76" s="89" t="str">
        <f>Registro!X76</f>
        <v>d) No pertenezco a grupos juveniles cristianos</v>
      </c>
      <c r="AA76" s="89" t="str">
        <f>Registro!Y76</f>
        <v>b) No</v>
      </c>
      <c r="AB76" s="89" t="str">
        <f>Registro!Z76</f>
        <v>b) No</v>
      </c>
      <c r="AC76" s="89" t="str">
        <f>Registro!AA76</f>
        <v>d) Ingeniería, g) Artista</v>
      </c>
      <c r="AD76" s="94">
        <f t="shared" si="6"/>
        <v>2</v>
      </c>
      <c r="AE76" s="89" t="str">
        <f>Registro!AB76</f>
        <v>b) Tener una buena posición social, ser importante</v>
      </c>
      <c r="AF76" s="89" t="str">
        <f>Registro!AC76</f>
        <v>c) Bastante</v>
      </c>
      <c r="AG76" s="89" t="str">
        <f>Registro!AD76</f>
        <v>b) El ambiente de estudio y de trabajo, c) Las instalaciones del Colegio</v>
      </c>
      <c r="AH76" s="94">
        <f t="shared" si="7"/>
        <v>2</v>
      </c>
      <c r="AI76" s="89" t="str">
        <f>Registro!AE76</f>
        <v>f) 11 o más horas</v>
      </c>
      <c r="AJ76" s="89" t="str">
        <f>Registro!AF76</f>
        <v>b) Navego en Internet, l) Escucho música y/o veo videos musicales, n) Estoy conversando con los amigos/as</v>
      </c>
      <c r="AK76" s="94">
        <f t="shared" si="8"/>
        <v>3</v>
      </c>
      <c r="AL76" s="89" t="str">
        <f>Registro!AG76</f>
        <v>a) Muy bueno</v>
      </c>
      <c r="AM76" s="89" t="str">
        <f>Registro!AH76</f>
        <v>b) Buena</v>
      </c>
      <c r="AN76" s="89" t="str">
        <f>Registro!AI76</f>
        <v>b) Buena</v>
      </c>
      <c r="AO76" s="89" t="str">
        <f>Registro!AJ76</f>
        <v>c) Regular</v>
      </c>
      <c r="AP76" s="89" t="str">
        <f>Registro!AK76</f>
        <v>b) Buena</v>
      </c>
      <c r="AQ76" s="89" t="str">
        <f>Registro!AL76</f>
        <v>b) Buena</v>
      </c>
      <c r="AR76" s="89" t="str">
        <f>Registro!AM76</f>
        <v>c) Regular</v>
      </c>
      <c r="AS76" s="89" t="str">
        <f>Registro!AN76</f>
        <v>c) Regular</v>
      </c>
      <c r="AT76" s="89" t="str">
        <f>Registro!AO76</f>
        <v>b) Buena</v>
      </c>
      <c r="AU76" s="89" t="str">
        <f>Registro!AP76</f>
        <v>b) Buena</v>
      </c>
      <c r="AV76" s="89" t="str">
        <f>Registro!AQ76</f>
        <v>b) Buena</v>
      </c>
      <c r="AW76" s="89" t="str">
        <f>Registro!AR76</f>
        <v>c) El estudio</v>
      </c>
      <c r="AX76" s="89" t="str">
        <f>Registro!AS76</f>
        <v>a) Que sea un buen profesional</v>
      </c>
      <c r="AY76" s="89" t="str">
        <f>Registro!AT76</f>
        <v>c) Conveniente</v>
      </c>
      <c r="AZ76" s="89" t="str">
        <f>Registro!AU76</f>
        <v>a) No acostumbro a tomarlo nunca</v>
      </c>
      <c r="BA76" s="89" t="str">
        <f>Registro!AV76</f>
        <v>d) Buenos profesionales de la educación</v>
      </c>
      <c r="BB76" s="89" t="str">
        <f>Registro!AW76</f>
        <v>c) Bastante</v>
      </c>
      <c r="BC76" s="89" t="str">
        <f>Registro!AX76</f>
        <v>d) Hay de todo tipo, pero predomina lo positivo</v>
      </c>
      <c r="BD76" s="89" t="str">
        <f>Registro!AY76</f>
        <v>c) Un hermano/a</v>
      </c>
    </row>
    <row r="77" spans="1:56" ht="15" customHeight="1" x14ac:dyDescent="0.25">
      <c r="A77" s="101">
        <f>Registro!A77</f>
        <v>42127.457592592589</v>
      </c>
      <c r="B77" s="89" t="str">
        <f>Registro!B77</f>
        <v>c) Obra Social San José de Calasanz de Valencia</v>
      </c>
      <c r="C77" s="89" t="str">
        <f>Registro!C77</f>
        <v>c) Cuarto año</v>
      </c>
      <c r="D77" s="89" t="str">
        <f>Registro!D77</f>
        <v>b) Primaria</v>
      </c>
      <c r="E77" s="89" t="str">
        <f>Registro!E77</f>
        <v>b) Femenino</v>
      </c>
      <c r="F77" s="89" t="str">
        <f>Registro!F77</f>
        <v>a) Católica</v>
      </c>
      <c r="G77" s="89" t="str">
        <f>Registro!G77</f>
        <v>a) Mamá, b) Papá, c) Hermanos</v>
      </c>
      <c r="H77" s="89" t="str">
        <f>Registro!H77</f>
        <v>b) Casa Urbana</v>
      </c>
      <c r="I77" s="89" t="str">
        <f>Registro!I77</f>
        <v>a) Sí</v>
      </c>
      <c r="J77" s="89" t="str">
        <f>Registro!J77</f>
        <v>b) Lavadora, c) Microondas, i) Computadora</v>
      </c>
      <c r="K77" s="89" t="str">
        <f>Registro!K77</f>
        <v>b) Una</v>
      </c>
      <c r="L77" s="89" t="str">
        <f>Registro!L77</f>
        <v>a) La familia, b) Los amigos, c) Los estudios</v>
      </c>
      <c r="M77" s="94">
        <f t="shared" si="9"/>
        <v>3</v>
      </c>
      <c r="N77" s="89" t="str">
        <f>Registro!M77</f>
        <v>a) Seguridad personal (la violencia y la delincuencia)</v>
      </c>
      <c r="O77" s="89" t="str">
        <f>Registro!N77</f>
        <v>c) Poco</v>
      </c>
      <c r="P77" s="89" t="str">
        <f>Registro!O77</f>
        <v>c) Poco</v>
      </c>
      <c r="Q77" s="89" t="str">
        <f>Registro!P77</f>
        <v>c) Poco</v>
      </c>
      <c r="R77" s="89" t="str">
        <f>Registro!Q77</f>
        <v>a) La familia, b) Los amigos, c) Los estudios</v>
      </c>
      <c r="S77" s="94">
        <f t="shared" si="5"/>
        <v>3</v>
      </c>
      <c r="T77" s="89" t="str">
        <f>Registro!R77</f>
        <v>b) Suficiente</v>
      </c>
      <c r="U77" s="89" t="str">
        <f>Registro!S77</f>
        <v>a) La Iglesia, g) Mi familia, h) Algunas personas cercanas a Dios, k) La oración</v>
      </c>
      <c r="V77" s="89" t="str">
        <f>Registro!T77</f>
        <v>a) Suelo rezar por convicción o porque me gusta</v>
      </c>
      <c r="W77" s="89" t="str">
        <f>Registro!U77</f>
        <v>c) Solo en fechas especiales</v>
      </c>
      <c r="X77" s="89" t="str">
        <f>Registro!V77</f>
        <v>d) Suelo orar todos los días, e) Voy a misa en las fechas de mis familiares difuntos</v>
      </c>
      <c r="Y77" s="89" t="str">
        <f>Registro!W77</f>
        <v>d) No pertenezco a ninguno</v>
      </c>
      <c r="Z77" s="89" t="str">
        <f>Registro!X77</f>
        <v>d) No pertenezco a grupos juveniles cristianos</v>
      </c>
      <c r="AA77" s="89" t="str">
        <f>Registro!Y77</f>
        <v>b) No</v>
      </c>
      <c r="AB77" s="89" t="str">
        <f>Registro!Z77</f>
        <v>b) No</v>
      </c>
      <c r="AC77" s="89" t="str">
        <f>Registro!AA77</f>
        <v>d) Ingeniería, f) Ciencias policiales o artes militares</v>
      </c>
      <c r="AD77" s="94">
        <f t="shared" si="6"/>
        <v>2</v>
      </c>
      <c r="AE77" s="89" t="str">
        <f>Registro!AB77</f>
        <v>d) Desarrollarme personalmente</v>
      </c>
      <c r="AF77" s="89" t="str">
        <f>Registro!AC77</f>
        <v>c) Bastante</v>
      </c>
      <c r="AG77" s="89" t="str">
        <f>Registro!AD77</f>
        <v>a) Los deportes y diversiones, f) La igualdad de trato que se da a todos</v>
      </c>
      <c r="AH77" s="94">
        <f t="shared" si="7"/>
        <v>2</v>
      </c>
      <c r="AI77" s="89" t="str">
        <f>Registro!AE77</f>
        <v>b) 3 a 4 horas</v>
      </c>
      <c r="AJ77" s="89" t="str">
        <f>Registro!AF77</f>
        <v>d) Estoy la mayor parte del tiempo en la casa sin hacer nada, l) Escucho música y/o veo videos musicales, m) Veo televisión y/o películas</v>
      </c>
      <c r="AK77" s="94">
        <f t="shared" si="8"/>
        <v>3</v>
      </c>
      <c r="AL77" s="89" t="str">
        <f>Registro!AG77</f>
        <v>a) Muy bueno</v>
      </c>
      <c r="AM77" s="89" t="str">
        <f>Registro!AH77</f>
        <v>a) Muy buena</v>
      </c>
      <c r="AN77" s="89" t="str">
        <f>Registro!AI77</f>
        <v>a) Muy buena</v>
      </c>
      <c r="AO77" s="89" t="str">
        <f>Registro!AJ77</f>
        <v>b) Buena</v>
      </c>
      <c r="AP77" s="89" t="str">
        <f>Registro!AK77</f>
        <v>a) Muy buena</v>
      </c>
      <c r="AQ77" s="89" t="str">
        <f>Registro!AL77</f>
        <v>b) Buena</v>
      </c>
      <c r="AR77" s="89" t="str">
        <f>Registro!AM77</f>
        <v>a) Muy buena</v>
      </c>
      <c r="AS77" s="89" t="str">
        <f>Registro!AN77</f>
        <v>b) Buena</v>
      </c>
      <c r="AT77" s="89" t="str">
        <f>Registro!AO77</f>
        <v>b) Buena</v>
      </c>
      <c r="AU77" s="89" t="str">
        <f>Registro!AP77</f>
        <v>b) Buena</v>
      </c>
      <c r="AV77" s="89" t="str">
        <f>Registro!AQ77</f>
        <v>b) Buena</v>
      </c>
      <c r="AW77" s="89" t="str">
        <f>Registro!AR77</f>
        <v>a) El compañerismo</v>
      </c>
      <c r="AX77" s="89" t="str">
        <f>Registro!AS77</f>
        <v>a) Que sea un buen profesional</v>
      </c>
      <c r="AY77" s="89" t="str">
        <f>Registro!AT77</f>
        <v>e) Absolutamente necesaria</v>
      </c>
      <c r="AZ77" s="89" t="str">
        <f>Registro!AU77</f>
        <v>b) Las veces que bebo, es con moderación</v>
      </c>
      <c r="BA77" s="89" t="str">
        <f>Registro!AV77</f>
        <v>e) Educadores que se preocupan de nosotros</v>
      </c>
      <c r="BB77" s="89" t="str">
        <f>Registro!AW77</f>
        <v>b) Poco</v>
      </c>
      <c r="BC77" s="89" t="str">
        <f>Registro!AX77</f>
        <v>c) Son personas normales y corrientes</v>
      </c>
      <c r="BD77" s="89" t="str">
        <f>Registro!AY77</f>
        <v>b) Mi madre, c) Un hermano/a, h) Una amiga</v>
      </c>
    </row>
    <row r="78" spans="1:56" ht="15" customHeight="1" x14ac:dyDescent="0.25">
      <c r="A78" s="101">
        <f>Registro!A78</f>
        <v>42127.463078703702</v>
      </c>
      <c r="B78" s="89" t="str">
        <f>Registro!B78</f>
        <v>c) Obra Social San José de Calasanz de Valencia</v>
      </c>
      <c r="C78" s="89" t="str">
        <f>Registro!C78</f>
        <v>c) Cuarto año</v>
      </c>
      <c r="D78" s="89" t="str">
        <f>Registro!D78</f>
        <v>b) Primaria</v>
      </c>
      <c r="E78" s="89" t="str">
        <f>Registro!E78</f>
        <v>a) Masculino</v>
      </c>
      <c r="F78" s="89" t="str">
        <f>Registro!F78</f>
        <v>a) Católica</v>
      </c>
      <c r="G78" s="89" t="str">
        <f>Registro!G78</f>
        <v>a) Mamá, b) Papá, c) Hermanos</v>
      </c>
      <c r="H78" s="89" t="str">
        <f>Registro!H78</f>
        <v>b) Casa Urbana</v>
      </c>
      <c r="I78" s="89" t="str">
        <f>Registro!I78</f>
        <v>a) Sí</v>
      </c>
      <c r="J78" s="89" t="str">
        <f>Registro!J78</f>
        <v>b) Lavadora, i) Computadora, k) Aire acondicionado</v>
      </c>
      <c r="K78" s="89">
        <f>Registro!K78</f>
        <v>0</v>
      </c>
      <c r="L78" s="89" t="str">
        <f>Registro!L78</f>
        <v>a) La familia, c) Los estudios, g) La felicidad</v>
      </c>
      <c r="M78" s="94">
        <f t="shared" si="9"/>
        <v>3</v>
      </c>
      <c r="N78" s="89" t="str">
        <f>Registro!M78</f>
        <v>f) La situación política del país</v>
      </c>
      <c r="O78" s="89" t="str">
        <f>Registro!N78</f>
        <v>a) Mucho</v>
      </c>
      <c r="P78" s="89" t="str">
        <f>Registro!O78</f>
        <v>c) Poco</v>
      </c>
      <c r="Q78" s="89" t="str">
        <f>Registro!P78</f>
        <v>b) Suficiente</v>
      </c>
      <c r="R78" s="89" t="str">
        <f>Registro!Q78</f>
        <v>a) La familia, e) Disponer de dinero, g) La felicidad</v>
      </c>
      <c r="S78" s="94">
        <f t="shared" si="5"/>
        <v>3</v>
      </c>
      <c r="T78" s="89" t="str">
        <f>Registro!R78</f>
        <v>a) Mucho</v>
      </c>
      <c r="U78" s="89" t="str">
        <f>Registro!S78</f>
        <v>a) La Iglesia, b) La naturaleza, g) Mi familia, j) Todas partes, k) La oración</v>
      </c>
      <c r="V78" s="89" t="str">
        <f>Registro!T78</f>
        <v>a) Suelo rezar por convicción o porque me gusta</v>
      </c>
      <c r="W78" s="89" t="str">
        <f>Registro!U78</f>
        <v>b) Algunos domingos</v>
      </c>
      <c r="X78" s="89" t="str">
        <f>Registro!V78</f>
        <v>d) Suelo orar todos los días, f) En alguna ocasión he rezado el rosario, i) Tengo en mi cuarto alguna imagen religiosa</v>
      </c>
      <c r="Y78" s="89" t="str">
        <f>Registro!W78</f>
        <v>d) No pertenezco a ninguno</v>
      </c>
      <c r="Z78" s="89" t="str">
        <f>Registro!X78</f>
        <v>b) Un lugar donde comparto con mis compañeros</v>
      </c>
      <c r="AA78" s="89" t="str">
        <f>Registro!Y78</f>
        <v>b) No</v>
      </c>
      <c r="AB78" s="89" t="str">
        <f>Registro!Z78</f>
        <v>b) No</v>
      </c>
      <c r="AC78" s="89" t="str">
        <f>Registro!AA78</f>
        <v>d) Ingeniería, j) Trabajador calificado</v>
      </c>
      <c r="AD78" s="94">
        <f t="shared" si="6"/>
        <v>2</v>
      </c>
      <c r="AE78" s="89" t="str">
        <f>Registro!AB78</f>
        <v>d) Desarrollarme personalmente</v>
      </c>
      <c r="AF78" s="89" t="str">
        <f>Registro!AC78</f>
        <v>c) Bastante</v>
      </c>
      <c r="AG78" s="89" t="str">
        <f>Registro!AD78</f>
        <v>a) Los deportes y diversiones, g) La relación con los docentes</v>
      </c>
      <c r="AH78" s="94">
        <f t="shared" si="7"/>
        <v>2</v>
      </c>
      <c r="AI78" s="89" t="str">
        <f>Registro!AE78</f>
        <v>a) 0 a 2 horas</v>
      </c>
      <c r="AJ78" s="89" t="str">
        <f>Registro!AF78</f>
        <v>a) Me divierto con juegos para computadoras, e) Suelo ir a algún parque, m) Veo televisión y/o películas</v>
      </c>
      <c r="AK78" s="94">
        <f t="shared" si="8"/>
        <v>3</v>
      </c>
      <c r="AL78" s="89" t="str">
        <f>Registro!AG78</f>
        <v>c) Regular</v>
      </c>
      <c r="AM78" s="89" t="str">
        <f>Registro!AH78</f>
        <v>c) Regular</v>
      </c>
      <c r="AN78" s="89" t="str">
        <f>Registro!AI78</f>
        <v>c) Regular</v>
      </c>
      <c r="AO78" s="89" t="str">
        <f>Registro!AJ78</f>
        <v>c) Regular</v>
      </c>
      <c r="AP78" s="89" t="str">
        <f>Registro!AK78</f>
        <v>d) Mala</v>
      </c>
      <c r="AQ78" s="89" t="str">
        <f>Registro!AL78</f>
        <v>c) Regular</v>
      </c>
      <c r="AR78" s="89" t="str">
        <f>Registro!AM78</f>
        <v>a) Muy buena</v>
      </c>
      <c r="AS78" s="89" t="str">
        <f>Registro!AN78</f>
        <v>b) Buena</v>
      </c>
      <c r="AT78" s="89" t="str">
        <f>Registro!AO78</f>
        <v>e) Muy mala</v>
      </c>
      <c r="AU78" s="89" t="str">
        <f>Registro!AP78</f>
        <v>b) Buena</v>
      </c>
      <c r="AV78" s="89" t="str">
        <f>Registro!AQ78</f>
        <v>c) Regular</v>
      </c>
      <c r="AW78" s="89" t="str">
        <f>Registro!AR78</f>
        <v>c) El estudio</v>
      </c>
      <c r="AX78" s="89" t="str">
        <f>Registro!AS78</f>
        <v>a) Que sea un buen profesional</v>
      </c>
      <c r="AY78" s="89" t="str">
        <f>Registro!AT78</f>
        <v>c) Conveniente</v>
      </c>
      <c r="AZ78" s="89" t="str">
        <f>Registro!AU78</f>
        <v>a) No acostumbro a tomarlo nunca</v>
      </c>
      <c r="BA78" s="89" t="str">
        <f>Registro!AV78</f>
        <v>e) Educadores que se preocupan de nosotros</v>
      </c>
      <c r="BB78" s="89" t="str">
        <f>Registro!AW78</f>
        <v>c) Bastante</v>
      </c>
      <c r="BC78" s="89" t="str">
        <f>Registro!AX78</f>
        <v>b) Hay de todo tipo, pero predomina lo negativo</v>
      </c>
      <c r="BD78" s="89" t="str">
        <f>Registro!AY78</f>
        <v>a) Mi padre, b) Mi madre, c) Un hermano/a</v>
      </c>
    </row>
    <row r="79" spans="1:56" ht="15" customHeight="1" x14ac:dyDescent="0.25">
      <c r="A79" s="101">
        <f>Registro!A79</f>
        <v>42127.463101851848</v>
      </c>
      <c r="B79" s="89" t="str">
        <f>Registro!B79</f>
        <v>c) Obra Social San José de Calasanz de Valencia</v>
      </c>
      <c r="C79" s="89" t="str">
        <f>Registro!C79</f>
        <v>c) Cuarto año</v>
      </c>
      <c r="D79" s="89" t="str">
        <f>Registro!D79</f>
        <v>a) Educación Inicial</v>
      </c>
      <c r="E79" s="89" t="str">
        <f>Registro!E79</f>
        <v>b) Femenino</v>
      </c>
      <c r="F79" s="89" t="str">
        <f>Registro!F79</f>
        <v>d) Otra</v>
      </c>
      <c r="G79" s="89" t="str">
        <f>Registro!G79</f>
        <v>a) Mamá, b) Papá, c) Hermanos</v>
      </c>
      <c r="H79" s="89" t="str">
        <f>Registro!H79</f>
        <v>b) Casa Urbana</v>
      </c>
      <c r="I79" s="89" t="str">
        <f>Registro!I79</f>
        <v>a) Sí</v>
      </c>
      <c r="J79" s="89" t="str">
        <f>Registro!J79</f>
        <v>b) Lavadora, c) Microondas, h) Carro, i) Computadora, j) Cámara digital, k) Aire acondicionado</v>
      </c>
      <c r="K79" s="89" t="str">
        <f>Registro!K79</f>
        <v>b) Una</v>
      </c>
      <c r="L79" s="89"/>
      <c r="M79" s="94">
        <f t="shared" si="9"/>
        <v>0</v>
      </c>
      <c r="N79" s="89" t="str">
        <f>Registro!M79</f>
        <v>a) Seguridad personal (la violencia y la delincuencia)</v>
      </c>
      <c r="O79" s="89" t="str">
        <f>Registro!N79</f>
        <v>b) Suficiente</v>
      </c>
      <c r="P79" s="89" t="str">
        <f>Registro!O79</f>
        <v>b) Suficiente</v>
      </c>
      <c r="Q79" s="89" t="str">
        <f>Registro!P79</f>
        <v>b) Suficiente</v>
      </c>
      <c r="R79" s="89" t="str">
        <f>Registro!Q79</f>
        <v>a) La familia, c) Los estudios</v>
      </c>
      <c r="S79" s="94">
        <f t="shared" si="5"/>
        <v>2</v>
      </c>
      <c r="T79" s="89" t="str">
        <f>Registro!R79</f>
        <v>a) Mucho</v>
      </c>
      <c r="U79" s="89" t="str">
        <f>Registro!S79</f>
        <v>b) La naturaleza, g) Mi familia, i) Los necesitados</v>
      </c>
      <c r="V79" s="89" t="str">
        <f>Registro!T79</f>
        <v>a) Suelo rezar por convicción o porque me gusta</v>
      </c>
      <c r="W79" s="89" t="str">
        <f>Registro!U79</f>
        <v>b) Algunos domingos</v>
      </c>
      <c r="X79" s="89" t="str">
        <f>Registro!V79</f>
        <v>d) Suelo orar todos los días</v>
      </c>
      <c r="Y79" s="89" t="str">
        <f>Registro!W79</f>
        <v xml:space="preserve">b) Cultural (folklórico, musicales, danzas, scout, banda marcial,...) </v>
      </c>
      <c r="Z79" s="89" t="str">
        <f>Registro!X79</f>
        <v>a) Un grupo donde profundizo mi fe</v>
      </c>
      <c r="AA79" s="89" t="str">
        <f>Registro!Y79</f>
        <v>b) No</v>
      </c>
      <c r="AB79" s="89" t="str">
        <f>Registro!Z79</f>
        <v>b) No</v>
      </c>
      <c r="AC79" s="89"/>
      <c r="AD79" s="94">
        <f t="shared" si="6"/>
        <v>0</v>
      </c>
      <c r="AE79" s="89" t="str">
        <f>Registro!AB79</f>
        <v>d) Desarrollarme personalmente</v>
      </c>
      <c r="AF79" s="89" t="str">
        <f>Registro!AC79</f>
        <v>b) Poco</v>
      </c>
      <c r="AG79" s="89" t="str">
        <f>Registro!AD79</f>
        <v>h) Las actividades extraescolares</v>
      </c>
      <c r="AH79" s="94">
        <f t="shared" si="7"/>
        <v>1</v>
      </c>
      <c r="AI79" s="89" t="str">
        <f>Registro!AE79</f>
        <v>f) 11 o más horas</v>
      </c>
      <c r="AJ79" s="89"/>
      <c r="AK79" s="94">
        <f t="shared" si="8"/>
        <v>0</v>
      </c>
      <c r="AL79" s="89" t="str">
        <f>Registro!AG79</f>
        <v>b) Bueno</v>
      </c>
      <c r="AM79" s="89" t="str">
        <f>Registro!AH79</f>
        <v>b) Buena</v>
      </c>
      <c r="AN79" s="89" t="str">
        <f>Registro!AI79</f>
        <v>b) Buena</v>
      </c>
      <c r="AO79" s="89" t="str">
        <f>Registro!AJ79</f>
        <v>b) Buena</v>
      </c>
      <c r="AP79" s="89" t="str">
        <f>Registro!AK79</f>
        <v>b) Buena</v>
      </c>
      <c r="AQ79" s="89" t="str">
        <f>Registro!AL79</f>
        <v>b) Buena</v>
      </c>
      <c r="AR79" s="89" t="str">
        <f>Registro!AM79</f>
        <v>b) Buena</v>
      </c>
      <c r="AS79" s="89" t="str">
        <f>Registro!AN79</f>
        <v>b) Buena</v>
      </c>
      <c r="AT79" s="89" t="str">
        <f>Registro!AO79</f>
        <v>c) Regular</v>
      </c>
      <c r="AU79" s="89" t="str">
        <f>Registro!AP79</f>
        <v>c) Regular</v>
      </c>
      <c r="AV79" s="89" t="str">
        <f>Registro!AQ79</f>
        <v>b) Buena</v>
      </c>
      <c r="AW79" s="89" t="str">
        <f>Registro!AR79</f>
        <v>e) La disciplina y el orden</v>
      </c>
      <c r="AX79" s="89" t="str">
        <f>Registro!AS79</f>
        <v>b) Darme una buena educación</v>
      </c>
      <c r="AY79" s="89" t="str">
        <f>Registro!AT79</f>
        <v>d) Bastante necesaria</v>
      </c>
      <c r="AZ79" s="89" t="str">
        <f>Registro!AU79</f>
        <v>a) No acostumbro a tomarlo nunca</v>
      </c>
      <c r="BA79" s="89" t="str">
        <f>Registro!AV79</f>
        <v>e) Educadores que se preocupan de nosotros</v>
      </c>
      <c r="BB79" s="89" t="str">
        <f>Registro!AW79</f>
        <v>c) Bastante</v>
      </c>
      <c r="BC79" s="89" t="str">
        <f>Registro!AX79</f>
        <v>d) Hay de todo tipo, pero predomina lo positivo</v>
      </c>
      <c r="BD79" s="89" t="str">
        <f>Registro!AY79</f>
        <v>a) Mi padre, b) Mi madre, c) Un hermano/a, h) Una amiga</v>
      </c>
    </row>
    <row r="80" spans="1:56" ht="15" customHeight="1" x14ac:dyDescent="0.25">
      <c r="A80" s="101">
        <f>Registro!A80</f>
        <v>42127.463310185187</v>
      </c>
      <c r="B80" s="89" t="str">
        <f>Registro!B80</f>
        <v>c) Obra Social San José de Calasanz de Valencia</v>
      </c>
      <c r="C80" s="89" t="str">
        <f>Registro!C80</f>
        <v>c) Cuarto año</v>
      </c>
      <c r="D80" s="89" t="str">
        <f>Registro!D80</f>
        <v>b) Primaria</v>
      </c>
      <c r="E80" s="89" t="str">
        <f>Registro!E80</f>
        <v>b) Femenino</v>
      </c>
      <c r="F80" s="89" t="str">
        <f>Registro!F80</f>
        <v>a) Católica</v>
      </c>
      <c r="G80" s="89" t="str">
        <f>Registro!G80</f>
        <v>a) Mamá, c) Hermanos</v>
      </c>
      <c r="H80" s="89" t="str">
        <f>Registro!H80</f>
        <v>b) Casa Urbana</v>
      </c>
      <c r="I80" s="89" t="str">
        <f>Registro!I80</f>
        <v>d) No sé</v>
      </c>
      <c r="J80" s="89" t="str">
        <f>Registro!J80</f>
        <v>b) Lavadora, d) TV pantalla plana, j) Cámara digital</v>
      </c>
      <c r="K80" s="89" t="str">
        <f>Registro!K80</f>
        <v>c) Dos</v>
      </c>
      <c r="L80" s="89"/>
      <c r="M80" s="94">
        <f t="shared" si="9"/>
        <v>0</v>
      </c>
      <c r="N80" s="89" t="str">
        <f>Registro!M80</f>
        <v>b) El futuro</v>
      </c>
      <c r="O80" s="89" t="str">
        <f>Registro!N80</f>
        <v>c) Poco</v>
      </c>
      <c r="P80" s="89" t="str">
        <f>Registro!O80</f>
        <v>c) Poco</v>
      </c>
      <c r="Q80" s="89" t="str">
        <f>Registro!P80</f>
        <v>b) Suficiente</v>
      </c>
      <c r="R80" s="89" t="str">
        <f>Registro!Q80</f>
        <v>b) Los amigos, d) El cuidado de mi cuerpo, h) La sexualidad</v>
      </c>
      <c r="S80" s="94">
        <f t="shared" si="5"/>
        <v>3</v>
      </c>
      <c r="T80" s="89" t="str">
        <f>Registro!R80</f>
        <v>a) Mucho</v>
      </c>
      <c r="U80" s="89" t="str">
        <f>Registro!S80</f>
        <v>d) Las convivencias, g) Mi familia, j) Todas partes</v>
      </c>
      <c r="V80" s="89" t="str">
        <f>Registro!T80</f>
        <v>c) Rezo solo en situación de dificultad</v>
      </c>
      <c r="W80" s="89" t="str">
        <f>Registro!U80</f>
        <v>a) Todos los domingos</v>
      </c>
      <c r="X80" s="89" t="str">
        <f>Registro!V80</f>
        <v>i) Tengo en mi cuarto alguna imagen religiosa</v>
      </c>
      <c r="Y80" s="89" t="str">
        <f>Registro!W80</f>
        <v>c) Religioso o parroquial</v>
      </c>
      <c r="Z80" s="89" t="str">
        <f>Registro!X80</f>
        <v>a) Un grupo donde profundizo mi fe</v>
      </c>
      <c r="AA80" s="89" t="str">
        <f>Registro!Y80</f>
        <v>b) No</v>
      </c>
      <c r="AB80" s="89" t="str">
        <f>Registro!Z80</f>
        <v>b) No</v>
      </c>
      <c r="AC80" s="89"/>
      <c r="AD80" s="94">
        <f t="shared" si="6"/>
        <v>0</v>
      </c>
      <c r="AE80" s="89" t="str">
        <f>Registro!AB80</f>
        <v>c) Ser un excelente profesional</v>
      </c>
      <c r="AF80" s="89" t="str">
        <f>Registro!AC80</f>
        <v>b) Poco</v>
      </c>
      <c r="AG80" s="89" t="str">
        <f>Registro!AD80</f>
        <v>i) No me gusta nada</v>
      </c>
      <c r="AH80" s="94">
        <f t="shared" si="7"/>
        <v>1</v>
      </c>
      <c r="AI80" s="89" t="str">
        <f>Registro!AE80</f>
        <v>e) 9 a 10 horas</v>
      </c>
      <c r="AJ80" s="89" t="str">
        <f>Registro!AF80</f>
        <v>h) Suelo ir al cine, j) Estoy en algún grupo juvenil, l) Escucho música y/o veo videos musicales</v>
      </c>
      <c r="AK80" s="94">
        <f t="shared" si="8"/>
        <v>3</v>
      </c>
      <c r="AL80" s="89" t="str">
        <f>Registro!AG80</f>
        <v>d) Deficiente</v>
      </c>
      <c r="AM80" s="89" t="str">
        <f>Registro!AH80</f>
        <v>c) Regular</v>
      </c>
      <c r="AN80" s="89" t="str">
        <f>Registro!AI80</f>
        <v>d) Mala</v>
      </c>
      <c r="AO80" s="89" t="str">
        <f>Registro!AJ80</f>
        <v>c) Regular</v>
      </c>
      <c r="AP80" s="89" t="str">
        <f>Registro!AK80</f>
        <v>d) Mala</v>
      </c>
      <c r="AQ80" s="89" t="str">
        <f>Registro!AL80</f>
        <v>c) Regular</v>
      </c>
      <c r="AR80" s="89" t="str">
        <f>Registro!AM80</f>
        <v>e) Muy mala</v>
      </c>
      <c r="AS80" s="89" t="str">
        <f>Registro!AN80</f>
        <v>c) Regular</v>
      </c>
      <c r="AT80" s="89" t="str">
        <f>Registro!AO80</f>
        <v>c) Regular</v>
      </c>
      <c r="AU80" s="89">
        <f>Registro!AP80</f>
        <v>0</v>
      </c>
      <c r="AV80" s="89" t="str">
        <f>Registro!AQ80</f>
        <v>e) Muy mala</v>
      </c>
      <c r="AW80" s="89" t="str">
        <f>Registro!AR80</f>
        <v>e) La disciplina y el orden</v>
      </c>
      <c r="AX80" s="89" t="str">
        <f>Registro!AS80</f>
        <v>b) Darme una buena educación</v>
      </c>
      <c r="AY80" s="89" t="str">
        <f>Registro!AT80</f>
        <v>d) Bastante necesaria</v>
      </c>
      <c r="AZ80" s="89" t="str">
        <f>Registro!AU80</f>
        <v>a) No acostumbro a tomarlo nunca</v>
      </c>
      <c r="BA80" s="89" t="str">
        <f>Registro!AV80</f>
        <v>d) Buenos profesionales de la educación</v>
      </c>
      <c r="BB80" s="89" t="str">
        <f>Registro!AW80</f>
        <v>d) Mucho o muchísimo</v>
      </c>
      <c r="BC80" s="89" t="str">
        <f>Registro!AX80</f>
        <v>d) Hay de todo tipo, pero predomina lo positivo</v>
      </c>
      <c r="BD80" s="89" t="str">
        <f>Registro!AY80</f>
        <v>b) Mi madre, c) Un hermano/a, h) Una amiga</v>
      </c>
    </row>
    <row r="81" spans="1:56" ht="15" customHeight="1" x14ac:dyDescent="0.25">
      <c r="A81" s="101">
        <f>Registro!A81</f>
        <v>42127.465428240743</v>
      </c>
      <c r="B81" s="89" t="str">
        <f>Registro!B81</f>
        <v>c) Obra Social San José de Calasanz de Valencia</v>
      </c>
      <c r="C81" s="89" t="str">
        <f>Registro!C81</f>
        <v>c) Cuarto año</v>
      </c>
      <c r="D81" s="89" t="str">
        <f>Registro!D81</f>
        <v>c) Entre Primero y Tercer año</v>
      </c>
      <c r="E81" s="89" t="str">
        <f>Registro!E81</f>
        <v>b) Femenino</v>
      </c>
      <c r="F81" s="89" t="str">
        <f>Registro!F81</f>
        <v>d) Otra</v>
      </c>
      <c r="G81" s="89" t="str">
        <f>Registro!G81</f>
        <v>a) Mamá, b) Papá, c) Hermanos, d) Abuelos, e) Otros familiares</v>
      </c>
      <c r="H81" s="89" t="str">
        <f>Registro!H81</f>
        <v>b) Casa Urbana</v>
      </c>
      <c r="I81" s="89" t="str">
        <f>Registro!I81</f>
        <v>a) Sí</v>
      </c>
      <c r="J81" s="89" t="str">
        <f>Registro!J81</f>
        <v>b) Lavadora, e) Moto, h) Carro, j) Cámara digital, k) Aire acondicionado</v>
      </c>
      <c r="K81" s="89" t="str">
        <f>Registro!K81</f>
        <v>c) Dos</v>
      </c>
      <c r="L81" s="89" t="str">
        <f>Registro!L81</f>
        <v>a) La familia, b) Los amigos, c) Los estudios</v>
      </c>
      <c r="M81" s="94">
        <f t="shared" si="9"/>
        <v>3</v>
      </c>
      <c r="N81" s="89" t="str">
        <f>Registro!M81</f>
        <v>a) Seguridad personal (la violencia y la delincuencia)</v>
      </c>
      <c r="O81" s="89" t="str">
        <f>Registro!N81</f>
        <v>a) Mucho</v>
      </c>
      <c r="P81" s="89" t="str">
        <f>Registro!O81</f>
        <v>b) Suficiente</v>
      </c>
      <c r="Q81" s="89" t="str">
        <f>Registro!P81</f>
        <v>a) Mucho</v>
      </c>
      <c r="R81" s="89" t="str">
        <f>Registro!Q81</f>
        <v>c) Los estudios, d) El cuidado de mi cuerpo, f) Mi fe y mi vida cristiana</v>
      </c>
      <c r="S81" s="94">
        <f t="shared" si="5"/>
        <v>3</v>
      </c>
      <c r="T81" s="89" t="str">
        <f>Registro!R81</f>
        <v>a) Mucho</v>
      </c>
      <c r="U81" s="89" t="str">
        <f>Registro!S81</f>
        <v>a) La Iglesia, b) La naturaleza, d) Las convivencias, e) Los amigos, g) Mi familia, h) Algunas personas cercanas a Dios, i) Los necesitados, j) Todas partes</v>
      </c>
      <c r="V81" s="89" t="str">
        <f>Registro!T81</f>
        <v>a) Suelo rezar por convicción o porque me gusta</v>
      </c>
      <c r="W81" s="89" t="str">
        <f>Registro!U81</f>
        <v>d) Nunca</v>
      </c>
      <c r="X81" s="89" t="str">
        <f>Registro!V81</f>
        <v>b) Suelo bendedir los alimentos antes de comer, d) Suelo orar todos los días, g) En ocasiones, en mi casa tenemos una oración familiar</v>
      </c>
      <c r="Y81" s="89" t="str">
        <f>Registro!W81</f>
        <v>a) Deportivo</v>
      </c>
      <c r="Z81" s="89" t="str">
        <f>Registro!X81</f>
        <v>a) Un grupo donde profundizo mi fe</v>
      </c>
      <c r="AA81" s="89" t="str">
        <f>Registro!Y81</f>
        <v>b) No</v>
      </c>
      <c r="AB81" s="89" t="str">
        <f>Registro!Z81</f>
        <v>b) No</v>
      </c>
      <c r="AC81" s="89"/>
      <c r="AD81" s="94">
        <f t="shared" si="6"/>
        <v>0</v>
      </c>
      <c r="AE81" s="89" t="str">
        <f>Registro!AB81</f>
        <v>d) Desarrollarme personalmente</v>
      </c>
      <c r="AF81" s="89" t="str">
        <f>Registro!AC81</f>
        <v>c) Bastante</v>
      </c>
      <c r="AG81" s="89" t="str">
        <f>Registro!AD81</f>
        <v>f) La igualdad de trato que se da a todos, h) Las actividades extraescolares</v>
      </c>
      <c r="AH81" s="94">
        <f t="shared" si="7"/>
        <v>2</v>
      </c>
      <c r="AI81" s="89" t="str">
        <f>Registro!AE81</f>
        <v>a) 0 a 2 horas</v>
      </c>
      <c r="AJ81" s="89" t="str">
        <f>Registro!AF81</f>
        <v>i) Leo revistas o libros</v>
      </c>
      <c r="AK81" s="94">
        <f t="shared" si="8"/>
        <v>1</v>
      </c>
      <c r="AL81" s="89" t="str">
        <f>Registro!AG81</f>
        <v>b) Bueno</v>
      </c>
      <c r="AM81" s="89" t="str">
        <f>Registro!AH81</f>
        <v>b) Buena</v>
      </c>
      <c r="AN81" s="89" t="str">
        <f>Registro!AI81</f>
        <v>b) Buena</v>
      </c>
      <c r="AO81" s="89" t="str">
        <f>Registro!AJ81</f>
        <v>b) Buena</v>
      </c>
      <c r="AP81" s="89" t="str">
        <f>Registro!AK81</f>
        <v>b) Buena</v>
      </c>
      <c r="AQ81" s="89" t="str">
        <f>Registro!AL81</f>
        <v>b) Buena</v>
      </c>
      <c r="AR81" s="89" t="str">
        <f>Registro!AM81</f>
        <v>b) Buena</v>
      </c>
      <c r="AS81" s="89" t="str">
        <f>Registro!AN81</f>
        <v>b) Buena</v>
      </c>
      <c r="AT81" s="89" t="str">
        <f>Registro!AO81</f>
        <v>b) Buena</v>
      </c>
      <c r="AU81" s="89" t="str">
        <f>Registro!AP81</f>
        <v>b) Buena</v>
      </c>
      <c r="AV81" s="89" t="str">
        <f>Registro!AQ81</f>
        <v>b) Buena</v>
      </c>
      <c r="AW81" s="89" t="str">
        <f>Registro!AR81</f>
        <v>e) La disciplina y el orden</v>
      </c>
      <c r="AX81" s="89" t="str">
        <f>Registro!AS81</f>
        <v>f) Que tenga honradez en la vida</v>
      </c>
      <c r="AY81" s="89" t="str">
        <f>Registro!AT81</f>
        <v>d) Bastante necesaria</v>
      </c>
      <c r="AZ81" s="89" t="str">
        <f>Registro!AU81</f>
        <v>a) No acostumbro a tomarlo nunca</v>
      </c>
      <c r="BA81" s="89" t="str">
        <f>Registro!AV81</f>
        <v>d) Buenos profesionales de la educación</v>
      </c>
      <c r="BB81" s="89" t="str">
        <f>Registro!AW81</f>
        <v>c) Bastante</v>
      </c>
      <c r="BC81" s="89" t="str">
        <f>Registro!AX81</f>
        <v>d) Hay de todo tipo, pero predomina lo positivo</v>
      </c>
      <c r="BD81" s="89" t="str">
        <f>Registro!AY81</f>
        <v>a) Mi padre, b) Mi madre, c) Un hermano/a, g) Un amigo, h) Una amiga</v>
      </c>
    </row>
    <row r="82" spans="1:56" ht="15" customHeight="1" x14ac:dyDescent="0.25">
      <c r="A82" s="101">
        <f>Registro!A82</f>
        <v>42127.473298611112</v>
      </c>
      <c r="B82" s="89" t="str">
        <f>Registro!B82</f>
        <v>c) Obra Social San José de Calasanz de Valencia</v>
      </c>
      <c r="C82" s="89" t="str">
        <f>Registro!C82</f>
        <v>b) Tercer año</v>
      </c>
      <c r="D82" s="89" t="str">
        <f>Registro!D82</f>
        <v>a) Educación Inicial</v>
      </c>
      <c r="E82" s="89" t="str">
        <f>Registro!E82</f>
        <v>a) Masculino</v>
      </c>
      <c r="F82" s="89" t="str">
        <f>Registro!F82</f>
        <v>a) Católica</v>
      </c>
      <c r="G82" s="89" t="str">
        <f>Registro!G82</f>
        <v>a) Mamá, b) Papá, c) Hermanos</v>
      </c>
      <c r="H82" s="89" t="str">
        <f>Registro!H82</f>
        <v>c) Apartamento</v>
      </c>
      <c r="I82" s="89" t="str">
        <f>Registro!I82</f>
        <v>a) Sí</v>
      </c>
      <c r="J82" s="89" t="str">
        <f>Registro!J82</f>
        <v>a) Cónsola videojuegos, b) Lavadora, f) MP3, g) MP4, i) Computadora, j) Cámara digital, k) Aire acondicionado</v>
      </c>
      <c r="K82" s="89" t="str">
        <f>Registro!K82</f>
        <v>d) Tres</v>
      </c>
      <c r="L82" s="89" t="str">
        <f>Registro!L82</f>
        <v>a) La familia, b) Los amigos, c) Los estudios</v>
      </c>
      <c r="M82" s="94">
        <f t="shared" si="9"/>
        <v>3</v>
      </c>
      <c r="N82" s="89" t="str">
        <f>Registro!M82</f>
        <v>c) Yo mismo</v>
      </c>
      <c r="O82" s="89" t="str">
        <f>Registro!N82</f>
        <v>b) Suficiente</v>
      </c>
      <c r="P82" s="89" t="str">
        <f>Registro!O82</f>
        <v>c) Poco</v>
      </c>
      <c r="Q82" s="89" t="str">
        <f>Registro!P82</f>
        <v>b) Suficiente</v>
      </c>
      <c r="R82" s="89" t="str">
        <f>Registro!Q82</f>
        <v>b) Los amigos, c) Los estudios, g) La felicidad</v>
      </c>
      <c r="S82" s="94">
        <f t="shared" si="5"/>
        <v>3</v>
      </c>
      <c r="T82" s="89" t="str">
        <f>Registro!R82</f>
        <v>a) Mucho</v>
      </c>
      <c r="U82" s="89" t="str">
        <f>Registro!S82</f>
        <v>a) La Iglesia, b) La naturaleza, e) Los amigos, g) Mi familia, h) Algunas personas cercanas a Dios</v>
      </c>
      <c r="V82" s="89" t="str">
        <f>Registro!T82</f>
        <v>b) Rezo por costumbre</v>
      </c>
      <c r="W82" s="89" t="str">
        <f>Registro!U82</f>
        <v>c) Solo en fechas especiales</v>
      </c>
      <c r="X82" s="89" t="str">
        <f>Registro!V82</f>
        <v>f) En alguna ocasión he rezado el rosario, g) En ocasiones, en mi casa tenemos una oración familiar, i) Tengo en mi cuarto alguna imagen religiosa</v>
      </c>
      <c r="Y82" s="89" t="str">
        <f>Registro!W82</f>
        <v>d) No pertenezco a ninguno</v>
      </c>
      <c r="Z82" s="89" t="str">
        <f>Registro!X82</f>
        <v>d) No pertenezco a grupos juveniles cristianos</v>
      </c>
      <c r="AA82" s="89" t="str">
        <f>Registro!Y82</f>
        <v>b) No</v>
      </c>
      <c r="AB82" s="89" t="str">
        <f>Registro!Z82</f>
        <v>b) No</v>
      </c>
      <c r="AC82" s="89" t="str">
        <f>Registro!AA82</f>
        <v>d) Ingeniería, g) Artista</v>
      </c>
      <c r="AD82" s="94">
        <f t="shared" si="6"/>
        <v>2</v>
      </c>
      <c r="AE82" s="89" t="str">
        <f>Registro!AB82</f>
        <v>a) Ganar mucho dinero</v>
      </c>
      <c r="AF82" s="89" t="str">
        <f>Registro!AC82</f>
        <v>b) Poco</v>
      </c>
      <c r="AG82" s="89" t="str">
        <f>Registro!AD82</f>
        <v>b) El ambiente de estudio y de trabajo, c) Las instalaciones del Colegio</v>
      </c>
      <c r="AH82" s="94">
        <f t="shared" si="7"/>
        <v>2</v>
      </c>
      <c r="AI82" s="89" t="str">
        <f>Registro!AE82</f>
        <v>b) 3 a 4 horas</v>
      </c>
      <c r="AJ82" s="89" t="str">
        <f>Registro!AF82</f>
        <v>b) Navego en Internet, i) Leo revistas o libros, l) Escucho música y/o veo videos musicales</v>
      </c>
      <c r="AK82" s="94">
        <f t="shared" si="8"/>
        <v>3</v>
      </c>
      <c r="AL82" s="89" t="str">
        <f>Registro!AG82</f>
        <v>b) Bueno</v>
      </c>
      <c r="AM82" s="89" t="str">
        <f>Registro!AH82</f>
        <v>b) Buena</v>
      </c>
      <c r="AN82" s="89" t="str">
        <f>Registro!AI82</f>
        <v>b) Buena</v>
      </c>
      <c r="AO82" s="89" t="str">
        <f>Registro!AJ82</f>
        <v>b) Buena</v>
      </c>
      <c r="AP82" s="89" t="str">
        <f>Registro!AK82</f>
        <v>d) Mala</v>
      </c>
      <c r="AQ82" s="89" t="str">
        <f>Registro!AL82</f>
        <v>c) Regular</v>
      </c>
      <c r="AR82" s="89" t="str">
        <f>Registro!AM82</f>
        <v>b) Buena</v>
      </c>
      <c r="AS82" s="89" t="str">
        <f>Registro!AN82</f>
        <v>b) Buena</v>
      </c>
      <c r="AT82" s="89" t="str">
        <f>Registro!AO82</f>
        <v>c) Regular</v>
      </c>
      <c r="AU82" s="89" t="str">
        <f>Registro!AP82</f>
        <v>c) Regular</v>
      </c>
      <c r="AV82" s="89" t="str">
        <f>Registro!AQ82</f>
        <v>a) Muy buena</v>
      </c>
      <c r="AW82" s="89" t="str">
        <f>Registro!AR82</f>
        <v>e) La disciplina y el orden</v>
      </c>
      <c r="AX82" s="89" t="str">
        <f>Registro!AS82</f>
        <v>a) Que sea un buen profesional</v>
      </c>
      <c r="AY82" s="89" t="str">
        <f>Registro!AT82</f>
        <v>c) Conveniente</v>
      </c>
      <c r="AZ82" s="89" t="str">
        <f>Registro!AU82</f>
        <v>a) No acostumbro a tomarlo nunca</v>
      </c>
      <c r="BA82" s="89" t="str">
        <f>Registro!AV82</f>
        <v>d) Buenos profesionales de la educación</v>
      </c>
      <c r="BB82" s="89" t="str">
        <f>Registro!AW82</f>
        <v>c) Bastante</v>
      </c>
      <c r="BC82" s="89" t="str">
        <f>Registro!AX82</f>
        <v>c) Son personas normales y corrientes</v>
      </c>
      <c r="BD82" s="89" t="str">
        <f>Registro!AY82</f>
        <v>a) Mi padre, b) Mi madre, c) Un hermano/a, g) Un amigo, h) Una amiga</v>
      </c>
    </row>
    <row r="83" spans="1:56" ht="15" customHeight="1" x14ac:dyDescent="0.25">
      <c r="A83" s="101">
        <f>Registro!A83</f>
        <v>42127.474999999999</v>
      </c>
      <c r="B83" s="89" t="str">
        <f>Registro!B83</f>
        <v>c) Obra Social San José de Calasanz de Valencia</v>
      </c>
      <c r="C83" s="89" t="str">
        <f>Registro!C83</f>
        <v>b) Tercer año</v>
      </c>
      <c r="D83" s="89" t="str">
        <f>Registro!D83</f>
        <v>b) Primaria</v>
      </c>
      <c r="E83" s="89" t="str">
        <f>Registro!E83</f>
        <v>b) Femenino</v>
      </c>
      <c r="F83" s="89" t="str">
        <f>Registro!F83</f>
        <v>a) Católica</v>
      </c>
      <c r="G83" s="89" t="str">
        <f>Registro!G83</f>
        <v>a) Mamá, d) Abuelos</v>
      </c>
      <c r="H83" s="89" t="str">
        <f>Registro!H83</f>
        <v>b) Casa Urbana</v>
      </c>
      <c r="I83" s="89" t="str">
        <f>Registro!I83</f>
        <v>a) Sí</v>
      </c>
      <c r="J83" s="89" t="str">
        <f>Registro!J83</f>
        <v>a) Cónsola videojuegos, i) Computadora, k) Aire acondicionado</v>
      </c>
      <c r="K83" s="89" t="str">
        <f>Registro!K83</f>
        <v>d) Tres</v>
      </c>
      <c r="L83" s="89"/>
      <c r="M83" s="94">
        <f t="shared" si="9"/>
        <v>0</v>
      </c>
      <c r="N83" s="89">
        <f>Registro!M83</f>
        <v>0</v>
      </c>
      <c r="O83" s="89">
        <f>Registro!N83</f>
        <v>0</v>
      </c>
      <c r="P83" s="89" t="str">
        <f>Registro!O83</f>
        <v>b) Suficiente</v>
      </c>
      <c r="Q83" s="89" t="str">
        <f>Registro!P83</f>
        <v>b) Suficiente</v>
      </c>
      <c r="R83" s="89" t="str">
        <f>Registro!Q83</f>
        <v>a) La familia, g) La felicidad, i) La música</v>
      </c>
      <c r="S83" s="94">
        <f t="shared" si="5"/>
        <v>3</v>
      </c>
      <c r="T83" s="89" t="str">
        <f>Registro!R83</f>
        <v>a) Mucho</v>
      </c>
      <c r="U83" s="89" t="str">
        <f>Registro!S83</f>
        <v>i) Los necesitados</v>
      </c>
      <c r="V83" s="89" t="str">
        <f>Registro!T83</f>
        <v>c) Rezo solo en situación de dificultad</v>
      </c>
      <c r="W83" s="89" t="str">
        <f>Registro!U83</f>
        <v>c) Solo en fechas especiales</v>
      </c>
      <c r="X83" s="89" t="str">
        <f>Registro!V83</f>
        <v>a) Suelo llevar una cruz o algún objeto religioso, e) Voy a misa en las fechas de mis familiares difuntos</v>
      </c>
      <c r="Y83" s="89" t="str">
        <f>Registro!W83</f>
        <v xml:space="preserve">a) Deportivo, b) Cultural (folklórico, musicales, danzas, scout, banda marcial,...) </v>
      </c>
      <c r="Z83" s="89" t="str">
        <f>Registro!X83</f>
        <v>d) No pertenezco a grupos juveniles cristianos</v>
      </c>
      <c r="AA83" s="89" t="str">
        <f>Registro!Y83</f>
        <v>b) No</v>
      </c>
      <c r="AB83" s="89" t="str">
        <f>Registro!Z83</f>
        <v>b) No</v>
      </c>
      <c r="AC83" s="89" t="str">
        <f>Registro!AA83</f>
        <v>e) Derecho, g) Artista</v>
      </c>
      <c r="AD83" s="94">
        <f t="shared" si="6"/>
        <v>2</v>
      </c>
      <c r="AE83" s="89" t="str">
        <f>Registro!AB83</f>
        <v>b) Tener una buena posición social, ser importante</v>
      </c>
      <c r="AF83" s="89" t="str">
        <f>Registro!AC83</f>
        <v>e) No sé</v>
      </c>
      <c r="AG83" s="89" t="str">
        <f>Registro!AD83</f>
        <v>a) Los deportes y diversiones, h) Las actividades extraescolares</v>
      </c>
      <c r="AH83" s="94">
        <f t="shared" si="7"/>
        <v>2</v>
      </c>
      <c r="AI83" s="89" t="str">
        <f>Registro!AE83</f>
        <v>a) 0 a 2 horas</v>
      </c>
      <c r="AJ83" s="89"/>
      <c r="AK83" s="94">
        <f t="shared" si="8"/>
        <v>0</v>
      </c>
      <c r="AL83" s="89" t="str">
        <f>Registro!AG83</f>
        <v>c) Regular</v>
      </c>
      <c r="AM83" s="89" t="str">
        <f>Registro!AH83</f>
        <v>c) Regular</v>
      </c>
      <c r="AN83" s="89" t="str">
        <f>Registro!AI83</f>
        <v>c) Regular</v>
      </c>
      <c r="AO83" s="89" t="str">
        <f>Registro!AJ83</f>
        <v>b) Buena</v>
      </c>
      <c r="AP83" s="89" t="str">
        <f>Registro!AK83</f>
        <v>b) Buena</v>
      </c>
      <c r="AQ83" s="89" t="str">
        <f>Registro!AL83</f>
        <v>b) Buena</v>
      </c>
      <c r="AR83" s="89" t="str">
        <f>Registro!AM83</f>
        <v>a) Muy buena</v>
      </c>
      <c r="AS83" s="89" t="str">
        <f>Registro!AN83</f>
        <v>b) Buena</v>
      </c>
      <c r="AT83" s="89" t="str">
        <f>Registro!AO83</f>
        <v>b) Buena</v>
      </c>
      <c r="AU83" s="89" t="str">
        <f>Registro!AP83</f>
        <v>b) Buena</v>
      </c>
      <c r="AV83" s="89" t="str">
        <f>Registro!AQ83</f>
        <v>c) Regular</v>
      </c>
      <c r="AW83" s="89" t="str">
        <f>Registro!AR83</f>
        <v>h) La responsabilidad social y el servicio a los demás</v>
      </c>
      <c r="AX83" s="89" t="str">
        <f>Registro!AS83</f>
        <v>b) Darme una buena educación</v>
      </c>
      <c r="AY83" s="89" t="str">
        <f>Registro!AT83</f>
        <v>e) Absolutamente necesaria</v>
      </c>
      <c r="AZ83" s="89" t="str">
        <f>Registro!AU83</f>
        <v>b) Las veces que bebo, es con moderación</v>
      </c>
      <c r="BA83" s="89" t="str">
        <f>Registro!AV83</f>
        <v>f) Educadores que, además, me han abierto caminos</v>
      </c>
      <c r="BB83" s="89" t="str">
        <f>Registro!AW83</f>
        <v>c) Bastante</v>
      </c>
      <c r="BC83" s="89" t="str">
        <f>Registro!AX83</f>
        <v>c) Son personas normales y corrientes</v>
      </c>
      <c r="BD83" s="89" t="str">
        <f>Registro!AY83</f>
        <v>b) Mi madre</v>
      </c>
    </row>
    <row r="84" spans="1:56" ht="15" customHeight="1" x14ac:dyDescent="0.25">
      <c r="A84" s="101">
        <f>Registro!A84</f>
        <v>42127.475173611114</v>
      </c>
      <c r="B84" s="89" t="str">
        <f>Registro!B84</f>
        <v>c) Obra Social San José de Calasanz de Valencia</v>
      </c>
      <c r="C84" s="89" t="str">
        <f>Registro!C84</f>
        <v>b) Tercer año</v>
      </c>
      <c r="D84" s="89" t="str">
        <f>Registro!D84</f>
        <v>c) Entre Primero y Tercer año</v>
      </c>
      <c r="E84" s="89" t="str">
        <f>Registro!E84</f>
        <v>a) Masculino</v>
      </c>
      <c r="F84" s="89" t="str">
        <f>Registro!F84</f>
        <v>a) Católica</v>
      </c>
      <c r="G84" s="89" t="str">
        <f>Registro!G84</f>
        <v>a) Mamá, b) Papá, c) Hermanos</v>
      </c>
      <c r="H84" s="89" t="str">
        <f>Registro!H84</f>
        <v>b) Casa Urbana</v>
      </c>
      <c r="I84" s="89" t="str">
        <f>Registro!I84</f>
        <v>a) Sí</v>
      </c>
      <c r="J84" s="89" t="str">
        <f>Registro!J84</f>
        <v>a) Cónsola videojuegos, b) Lavadora, d) TV pantalla plana, f) MP3, g) MP4, h) Carro, i) Computadora, j) Cámara digital, k) Aire acondicionado</v>
      </c>
      <c r="K84" s="89" t="str">
        <f>Registro!K84</f>
        <v>d) Tres</v>
      </c>
      <c r="L84" s="89"/>
      <c r="M84" s="94">
        <f t="shared" si="9"/>
        <v>0</v>
      </c>
      <c r="N84" s="89" t="str">
        <f>Registro!M84</f>
        <v>a) Seguridad personal (la violencia y la delincuencia)</v>
      </c>
      <c r="O84" s="89" t="str">
        <f>Registro!N84</f>
        <v>a) Mucho</v>
      </c>
      <c r="P84" s="89" t="str">
        <f>Registro!O84</f>
        <v>b) Suficiente</v>
      </c>
      <c r="Q84" s="89" t="str">
        <f>Registro!P84</f>
        <v>c) Poco</v>
      </c>
      <c r="R84" s="89"/>
      <c r="S84" s="94">
        <f t="shared" si="5"/>
        <v>0</v>
      </c>
      <c r="T84" s="89">
        <f>Registro!R84</f>
        <v>0</v>
      </c>
      <c r="U84" s="89" t="str">
        <f>Registro!S84</f>
        <v>a) La Iglesia, d) Las convivencias, g) Mi familia, k) La oración, l) Los sacramentos</v>
      </c>
      <c r="V84" s="89" t="str">
        <f>Registro!T84</f>
        <v>b) Rezo por costumbre</v>
      </c>
      <c r="W84" s="89" t="str">
        <f>Registro!U84</f>
        <v>d) Nunca</v>
      </c>
      <c r="X84" s="89" t="str">
        <f>Registro!V84</f>
        <v>g) En ocasiones, en mi casa tenemos una oración familiar</v>
      </c>
      <c r="Y84" s="89" t="str">
        <f>Registro!W84</f>
        <v>c) Religioso o parroquial</v>
      </c>
      <c r="Z84" s="89" t="str">
        <f>Registro!X84</f>
        <v>a) Un grupo donde profundizo mi fe</v>
      </c>
      <c r="AA84" s="89" t="str">
        <f>Registro!Y84</f>
        <v>b) No</v>
      </c>
      <c r="AB84" s="89" t="str">
        <f>Registro!Z84</f>
        <v>b) No</v>
      </c>
      <c r="AC84" s="89"/>
      <c r="AD84" s="94">
        <f t="shared" si="6"/>
        <v>0</v>
      </c>
      <c r="AE84" s="89" t="str">
        <f>Registro!AB84</f>
        <v>c) Ser un excelente profesional</v>
      </c>
      <c r="AF84" s="89" t="str">
        <f>Registro!AC84</f>
        <v>b) Poco</v>
      </c>
      <c r="AG84" s="89" t="str">
        <f>Registro!AD84</f>
        <v>a) Los deportes y diversiones, d) Los grupos juveniles cristianos</v>
      </c>
      <c r="AH84" s="94">
        <f t="shared" si="7"/>
        <v>2</v>
      </c>
      <c r="AI84" s="89" t="str">
        <f>Registro!AE84</f>
        <v>b) 3 a 4 horas</v>
      </c>
      <c r="AJ84" s="89"/>
      <c r="AK84" s="94">
        <f t="shared" si="8"/>
        <v>0</v>
      </c>
      <c r="AL84" s="89" t="str">
        <f>Registro!AG84</f>
        <v>c) Regular</v>
      </c>
      <c r="AM84" s="89" t="str">
        <f>Registro!AH84</f>
        <v>c) Regular</v>
      </c>
      <c r="AN84" s="89" t="str">
        <f>Registro!AI84</f>
        <v>c) Regular</v>
      </c>
      <c r="AO84" s="89" t="str">
        <f>Registro!AJ84</f>
        <v>c) Regular</v>
      </c>
      <c r="AP84" s="89" t="str">
        <f>Registro!AK84</f>
        <v>d) Mala</v>
      </c>
      <c r="AQ84" s="89" t="str">
        <f>Registro!AL84</f>
        <v>c) Regular</v>
      </c>
      <c r="AR84" s="89" t="str">
        <f>Registro!AM84</f>
        <v>b) Buena</v>
      </c>
      <c r="AS84" s="89" t="str">
        <f>Registro!AN84</f>
        <v>c) Regular</v>
      </c>
      <c r="AT84" s="89" t="str">
        <f>Registro!AO84</f>
        <v>b) Buena</v>
      </c>
      <c r="AU84" s="89" t="str">
        <f>Registro!AP84</f>
        <v>c) Regular</v>
      </c>
      <c r="AV84" s="89" t="str">
        <f>Registro!AQ84</f>
        <v>c) Regular</v>
      </c>
      <c r="AW84" s="89" t="str">
        <f>Registro!AR84</f>
        <v>e) La disciplina y el orden</v>
      </c>
      <c r="AX84" s="89" t="str">
        <f>Registro!AS84</f>
        <v>a) Que sea un buen profesional</v>
      </c>
      <c r="AY84" s="89" t="str">
        <f>Registro!AT84</f>
        <v>d) Bastante necesaria</v>
      </c>
      <c r="AZ84" s="89" t="str">
        <f>Registro!AU84</f>
        <v>a) No acostumbro a tomarlo nunca</v>
      </c>
      <c r="BA84" s="89" t="str">
        <f>Registro!AV84</f>
        <v>a) Personas a las que tengo que aguantar</v>
      </c>
      <c r="BB84" s="89" t="str">
        <f>Registro!AW84</f>
        <v>b) Poco</v>
      </c>
      <c r="BC84" s="89" t="str">
        <f>Registro!AX84</f>
        <v>c) Son personas normales y corrientes</v>
      </c>
      <c r="BD84" s="89" t="str">
        <f>Registro!AY84</f>
        <v>a) Mi padre, b) Mi madre</v>
      </c>
    </row>
    <row r="85" spans="1:56" ht="15" customHeight="1" x14ac:dyDescent="0.25">
      <c r="A85" s="101">
        <f>Registro!A85</f>
        <v>42127.475428240738</v>
      </c>
      <c r="B85" s="89" t="str">
        <f>Registro!B85</f>
        <v>c) Obra Social San José de Calasanz de Valencia</v>
      </c>
      <c r="C85" s="89" t="str">
        <f>Registro!C85</f>
        <v>b) Tercer año</v>
      </c>
      <c r="D85" s="89" t="str">
        <f>Registro!D85</f>
        <v>a) Educación Inicial</v>
      </c>
      <c r="E85" s="89" t="str">
        <f>Registro!E85</f>
        <v>b) Femenino</v>
      </c>
      <c r="F85" s="89" t="str">
        <f>Registro!F85</f>
        <v>a) Católica</v>
      </c>
      <c r="G85" s="89" t="str">
        <f>Registro!G85</f>
        <v>a) Mamá, b) Papá, c) Hermanos</v>
      </c>
      <c r="H85" s="89" t="str">
        <f>Registro!H85</f>
        <v>b) Casa Urbana</v>
      </c>
      <c r="I85" s="89" t="str">
        <f>Registro!I85</f>
        <v>c) Algo</v>
      </c>
      <c r="J85" s="89" t="str">
        <f>Registro!J85</f>
        <v>b) Lavadora, c) Microondas, d) TV pantalla plana</v>
      </c>
      <c r="K85" s="89" t="str">
        <f>Registro!K85</f>
        <v>b) Una</v>
      </c>
      <c r="L85" s="89" t="str">
        <f>Registro!L85</f>
        <v>a) La familia, c) Los estudios, g) La felicidad</v>
      </c>
      <c r="M85" s="94">
        <f t="shared" si="9"/>
        <v>3</v>
      </c>
      <c r="N85" s="89" t="str">
        <f>Registro!M85</f>
        <v>b) El futuro</v>
      </c>
      <c r="O85" s="89" t="str">
        <f>Registro!N85</f>
        <v>c) Poco</v>
      </c>
      <c r="P85" s="89" t="str">
        <f>Registro!O85</f>
        <v>a) Mucho</v>
      </c>
      <c r="Q85" s="89" t="str">
        <f>Registro!P85</f>
        <v>c) Poco</v>
      </c>
      <c r="R85" s="89" t="str">
        <f>Registro!Q85</f>
        <v>a) La familia, c) Los estudios, g) La felicidad</v>
      </c>
      <c r="S85" s="94">
        <f t="shared" si="5"/>
        <v>3</v>
      </c>
      <c r="T85" s="89" t="str">
        <f>Registro!R85</f>
        <v>a) Mucho</v>
      </c>
      <c r="U85" s="89" t="str">
        <f>Registro!S85</f>
        <v>g) Mi familia, k) La oración</v>
      </c>
      <c r="V85" s="89" t="str">
        <f>Registro!T85</f>
        <v>b) Rezo por costumbre</v>
      </c>
      <c r="W85" s="89" t="str">
        <f>Registro!U85</f>
        <v>c) Solo en fechas especiales</v>
      </c>
      <c r="X85" s="89" t="str">
        <f>Registro!V85</f>
        <v>b) Suelo bendedir los alimentos antes de comer, d) Suelo orar todos los días, e) Voy a misa en las fechas de mis familiares difuntos</v>
      </c>
      <c r="Y85" s="89" t="str">
        <f>Registro!W85</f>
        <v>c) Religioso o parroquial</v>
      </c>
      <c r="Z85" s="89" t="str">
        <f>Registro!X85</f>
        <v>c) Un lugar donde me lo paso bien</v>
      </c>
      <c r="AA85" s="89" t="str">
        <f>Registro!Y85</f>
        <v>b) No</v>
      </c>
      <c r="AB85" s="89" t="str">
        <f>Registro!Z85</f>
        <v>b) No</v>
      </c>
      <c r="AC85" s="89" t="str">
        <f>Registro!AA85</f>
        <v>b) Docencia</v>
      </c>
      <c r="AD85" s="94">
        <f t="shared" si="6"/>
        <v>1</v>
      </c>
      <c r="AE85" s="89" t="str">
        <f>Registro!AB85</f>
        <v>c) Ser un excelente profesional</v>
      </c>
      <c r="AF85" s="89" t="str">
        <f>Registro!AC85</f>
        <v>b) Poco</v>
      </c>
      <c r="AG85" s="89" t="str">
        <f>Registro!AD85</f>
        <v>a) Los deportes y diversiones, g) La relación con los docentes</v>
      </c>
      <c r="AH85" s="94">
        <f t="shared" si="7"/>
        <v>2</v>
      </c>
      <c r="AI85" s="89" t="str">
        <f>Registro!AE85</f>
        <v>b) 3 a 4 horas</v>
      </c>
      <c r="AJ85" s="89"/>
      <c r="AK85" s="94">
        <f t="shared" si="8"/>
        <v>0</v>
      </c>
      <c r="AL85" s="89" t="str">
        <f>Registro!AG85</f>
        <v>c) Regular</v>
      </c>
      <c r="AM85" s="89" t="str">
        <f>Registro!AH85</f>
        <v>c) Regular</v>
      </c>
      <c r="AN85" s="89" t="str">
        <f>Registro!AI85</f>
        <v>d) Mala</v>
      </c>
      <c r="AO85" s="89" t="str">
        <f>Registro!AJ85</f>
        <v>d) Mala</v>
      </c>
      <c r="AP85" s="89" t="str">
        <f>Registro!AK85</f>
        <v>d) Mala</v>
      </c>
      <c r="AQ85" s="89" t="str">
        <f>Registro!AL85</f>
        <v>c) Regular</v>
      </c>
      <c r="AR85" s="89" t="str">
        <f>Registro!AM85</f>
        <v>d) Mala</v>
      </c>
      <c r="AS85" s="89" t="str">
        <f>Registro!AN85</f>
        <v>c) Regular</v>
      </c>
      <c r="AT85" s="89" t="str">
        <f>Registro!AO85</f>
        <v>b) Buena</v>
      </c>
      <c r="AU85" s="89" t="str">
        <f>Registro!AP85</f>
        <v>c) Regular</v>
      </c>
      <c r="AV85" s="89" t="str">
        <f>Registro!AQ85</f>
        <v>c) Regular</v>
      </c>
      <c r="AW85" s="89" t="str">
        <f>Registro!AR85</f>
        <v>e) La disciplina y el orden</v>
      </c>
      <c r="AX85" s="89" t="str">
        <f>Registro!AS85</f>
        <v>a) Que sea un buen profesional</v>
      </c>
      <c r="AY85" s="89" t="str">
        <f>Registro!AT85</f>
        <v>c) Conveniente</v>
      </c>
      <c r="AZ85" s="89" t="str">
        <f>Registro!AU85</f>
        <v>a) No acostumbro a tomarlo nunca</v>
      </c>
      <c r="BA85" s="89" t="str">
        <f>Registro!AV85</f>
        <v>a) Personas a las que tengo que aguantar</v>
      </c>
      <c r="BB85" s="89" t="str">
        <f>Registro!AW85</f>
        <v>b) Poco</v>
      </c>
      <c r="BC85" s="89" t="str">
        <f>Registro!AX85</f>
        <v>c) Son personas normales y corrientes</v>
      </c>
      <c r="BD85" s="89" t="str">
        <f>Registro!AY85</f>
        <v>j) Nadie</v>
      </c>
    </row>
    <row r="86" spans="1:56" ht="15" customHeight="1" x14ac:dyDescent="0.25">
      <c r="A86" s="101">
        <f>Registro!A86</f>
        <v>42127.476550925923</v>
      </c>
      <c r="B86" s="89" t="str">
        <f>Registro!B86</f>
        <v>c) Obra Social San José de Calasanz de Valencia</v>
      </c>
      <c r="C86" s="89" t="str">
        <f>Registro!C86</f>
        <v>b) Tercer año</v>
      </c>
      <c r="D86" s="89" t="str">
        <f>Registro!D86</f>
        <v>a) Educación Inicial</v>
      </c>
      <c r="E86" s="89" t="str">
        <f>Registro!E86</f>
        <v>a) Masculino</v>
      </c>
      <c r="F86" s="89" t="str">
        <f>Registro!F86</f>
        <v>a) Católica</v>
      </c>
      <c r="G86" s="89" t="str">
        <f>Registro!G86</f>
        <v>a) Mamá, b) Papá, c) Hermanos, d) Abuelos</v>
      </c>
      <c r="H86" s="89">
        <f>Registro!H86</f>
        <v>0</v>
      </c>
      <c r="I86" s="89" t="str">
        <f>Registro!I86</f>
        <v>a) Sí</v>
      </c>
      <c r="J86" s="89" t="str">
        <f>Registro!J86</f>
        <v>a) Cónsola videojuegos, b) Lavadora, f) MP3, g) MP4, i) Computadora, k) Aire acondicionado</v>
      </c>
      <c r="K86" s="89" t="str">
        <f>Registro!K86</f>
        <v>d) Tres</v>
      </c>
      <c r="L86" s="89"/>
      <c r="M86" s="94">
        <f t="shared" si="9"/>
        <v>0</v>
      </c>
      <c r="N86" s="89" t="str">
        <f>Registro!M86</f>
        <v>g) Mis estudios</v>
      </c>
      <c r="O86" s="89" t="str">
        <f>Registro!N86</f>
        <v>c) Poco</v>
      </c>
      <c r="P86" s="89" t="str">
        <f>Registro!O86</f>
        <v>b) Suficiente</v>
      </c>
      <c r="Q86" s="89" t="str">
        <f>Registro!P86</f>
        <v>a) Mucho</v>
      </c>
      <c r="R86" s="89"/>
      <c r="S86" s="94">
        <f t="shared" si="5"/>
        <v>0</v>
      </c>
      <c r="T86" s="89" t="str">
        <f>Registro!R86</f>
        <v>a) Mucho</v>
      </c>
      <c r="U86" s="89" t="str">
        <f>Registro!S86</f>
        <v>a) La Iglesia, b) La naturaleza, d) Las convivencias, e) Los amigos, g) Mi familia, i) Los necesitados, k) La oración, l) Los sacramentos</v>
      </c>
      <c r="V86" s="89" t="str">
        <f>Registro!T86</f>
        <v>b) Rezo por costumbre</v>
      </c>
      <c r="W86" s="89" t="str">
        <f>Registro!U86</f>
        <v>a) Todos los domingos</v>
      </c>
      <c r="X86" s="89" t="str">
        <f>Registro!V86</f>
        <v>a) Suelo llevar una cruz o algún objeto religioso, b) Suelo bendedir los alimentos antes de comer, c) Suelo ir los domingos y otras fechas especiales a la Iglesia, e) Voy a misa en las fechas de mis familiares difuntos, f) En alguna ocasión he rezado el rosario, h) En Semana Santa asisto a las procesiones, i) Tengo en mi cuarto alguna imagen religiosa</v>
      </c>
      <c r="Y86" s="89" t="str">
        <f>Registro!W86</f>
        <v>a) Deportivo, c) Religioso o parroquial</v>
      </c>
      <c r="Z86" s="89" t="str">
        <f>Registro!X86</f>
        <v>a) Un grupo donde profundizo mi fe</v>
      </c>
      <c r="AA86" s="89" t="str">
        <f>Registro!Y86</f>
        <v>c) Algo</v>
      </c>
      <c r="AB86" s="89" t="str">
        <f>Registro!Z86</f>
        <v>c) Algo</v>
      </c>
      <c r="AC86" s="89"/>
      <c r="AD86" s="94">
        <f t="shared" si="6"/>
        <v>0</v>
      </c>
      <c r="AE86" s="89" t="str">
        <f>Registro!AB86</f>
        <v>e) Servir a los demás</v>
      </c>
      <c r="AF86" s="89" t="str">
        <f>Registro!AC86</f>
        <v>c) Bastante</v>
      </c>
      <c r="AG86" s="89" t="str">
        <f>Registro!AD86</f>
        <v>a) Los deportes y diversiones, g) La relación con los docentes</v>
      </c>
      <c r="AH86" s="94">
        <f t="shared" si="7"/>
        <v>2</v>
      </c>
      <c r="AI86" s="89" t="str">
        <f>Registro!AE86</f>
        <v>d) 7 a 8 horas</v>
      </c>
      <c r="AJ86" s="89" t="str">
        <f>Registro!AF86</f>
        <v>f) Toco un instrumento musical, k) Practico algún deporte, l) Escucho música y/o veo videos musicales</v>
      </c>
      <c r="AK86" s="94">
        <f t="shared" si="8"/>
        <v>3</v>
      </c>
      <c r="AL86" s="89" t="str">
        <f>Registro!AG86</f>
        <v>b) Bueno</v>
      </c>
      <c r="AM86" s="89" t="str">
        <f>Registro!AH86</f>
        <v>b) Buena</v>
      </c>
      <c r="AN86" s="89" t="str">
        <f>Registro!AI86</f>
        <v>b) Buena</v>
      </c>
      <c r="AO86" s="89" t="str">
        <f>Registro!AJ86</f>
        <v>b) Buena</v>
      </c>
      <c r="AP86" s="89" t="str">
        <f>Registro!AK86</f>
        <v>d) Mala</v>
      </c>
      <c r="AQ86" s="89" t="str">
        <f>Registro!AL86</f>
        <v>c) Regular</v>
      </c>
      <c r="AR86" s="89" t="str">
        <f>Registro!AM86</f>
        <v>a) Muy buena</v>
      </c>
      <c r="AS86" s="89" t="str">
        <f>Registro!AN86</f>
        <v>a) Muy buena</v>
      </c>
      <c r="AT86" s="89" t="str">
        <f>Registro!AO86</f>
        <v>b) Buena</v>
      </c>
      <c r="AU86" s="89" t="str">
        <f>Registro!AP86</f>
        <v>b) Buena</v>
      </c>
      <c r="AV86" s="89" t="str">
        <f>Registro!AQ86</f>
        <v>c) Regular</v>
      </c>
      <c r="AW86" s="89" t="str">
        <f>Registro!AR86</f>
        <v>g) La orientación profesional futura</v>
      </c>
      <c r="AX86" s="89" t="str">
        <f>Registro!AS86</f>
        <v>a) Que sea un buen profesional</v>
      </c>
      <c r="AY86" s="89" t="str">
        <f>Registro!AT86</f>
        <v>b) Indiferente</v>
      </c>
      <c r="AZ86" s="89" t="str">
        <f>Registro!AU86</f>
        <v>b) Las veces que bebo, es con moderación</v>
      </c>
      <c r="BA86" s="89" t="str">
        <f>Registro!AV86</f>
        <v>d) Buenos profesionales de la educación</v>
      </c>
      <c r="BB86" s="89" t="str">
        <f>Registro!AW86</f>
        <v>d) Mucho o muchísimo</v>
      </c>
      <c r="BC86" s="89" t="str">
        <f>Registro!AX86</f>
        <v>d) Hay de todo tipo, pero predomina lo positivo</v>
      </c>
      <c r="BD86" s="89" t="str">
        <f>Registro!AY86</f>
        <v>b) Mi madre, d) Un escolapio, religioso o religiosa, e) Un, una docente, g) Un amigo, h) Una amiga</v>
      </c>
    </row>
    <row r="87" spans="1:56" ht="15" customHeight="1" x14ac:dyDescent="0.25">
      <c r="A87" s="101">
        <f>Registro!A87</f>
        <v>42127.476701388892</v>
      </c>
      <c r="B87" s="89" t="str">
        <f>Registro!B87</f>
        <v>c) Obra Social San José de Calasanz de Valencia</v>
      </c>
      <c r="C87" s="89" t="str">
        <f>Registro!C87</f>
        <v>b) Tercer año</v>
      </c>
      <c r="D87" s="89" t="str">
        <f>Registro!D87</f>
        <v>c) Entre Primero y Tercer año</v>
      </c>
      <c r="E87" s="89" t="str">
        <f>Registro!E87</f>
        <v>a) Masculino</v>
      </c>
      <c r="F87" s="89" t="str">
        <f>Registro!F87</f>
        <v>a) Católica</v>
      </c>
      <c r="G87" s="89" t="str">
        <f>Registro!G87</f>
        <v>a) Mamá, c) Hermanos, d) Abuelos, e) Otros familiares</v>
      </c>
      <c r="H87" s="89" t="str">
        <f>Registro!H87</f>
        <v>d) Casa Rural</v>
      </c>
      <c r="I87" s="89" t="str">
        <f>Registro!I87</f>
        <v>a) Sí</v>
      </c>
      <c r="J87" s="89" t="str">
        <f>Registro!J87</f>
        <v>b) Lavadora, k) Aire acondicionado</v>
      </c>
      <c r="K87" s="89" t="str">
        <f>Registro!K87</f>
        <v>c) Dos</v>
      </c>
      <c r="L87" s="89" t="str">
        <f>Registro!L87</f>
        <v>a) La familia, i) La música, k) El internet</v>
      </c>
      <c r="M87" s="94">
        <f t="shared" si="9"/>
        <v>3</v>
      </c>
      <c r="N87" s="89" t="str">
        <f>Registro!M87</f>
        <v>a) Seguridad personal (la violencia y la delincuencia)</v>
      </c>
      <c r="O87" s="89" t="str">
        <f>Registro!N87</f>
        <v>c) Poco</v>
      </c>
      <c r="P87" s="89" t="str">
        <f>Registro!O87</f>
        <v>c) Poco</v>
      </c>
      <c r="Q87" s="89" t="str">
        <f>Registro!P87</f>
        <v>b) Suficiente</v>
      </c>
      <c r="R87" s="89"/>
      <c r="S87" s="94">
        <f t="shared" si="5"/>
        <v>0</v>
      </c>
      <c r="T87" s="89" t="str">
        <f>Registro!R87</f>
        <v>b) Suficiente</v>
      </c>
      <c r="U87" s="89" t="str">
        <f>Registro!S87</f>
        <v>a) La Iglesia, b) La naturaleza, k) La oración, l) Los sacramentos</v>
      </c>
      <c r="V87" s="89" t="str">
        <f>Registro!T87</f>
        <v>d) No rezo nunca</v>
      </c>
      <c r="W87" s="89" t="str">
        <f>Registro!U87</f>
        <v>a) Todos los domingos</v>
      </c>
      <c r="X87" s="89" t="str">
        <f>Registro!V87</f>
        <v>c) Suelo ir los domingos y otras fechas especiales a la Iglesia</v>
      </c>
      <c r="Y87" s="89" t="str">
        <f>Registro!W87</f>
        <v>d) No pertenezco a ninguno</v>
      </c>
      <c r="Z87" s="89" t="str">
        <f>Registro!X87</f>
        <v>c) Un lugar donde me lo paso bien</v>
      </c>
      <c r="AA87" s="89" t="str">
        <f>Registro!Y87</f>
        <v>b) No</v>
      </c>
      <c r="AB87" s="89" t="str">
        <f>Registro!Z87</f>
        <v>b) No</v>
      </c>
      <c r="AC87" s="89"/>
      <c r="AD87" s="94">
        <f t="shared" si="6"/>
        <v>0</v>
      </c>
      <c r="AE87" s="89" t="str">
        <f>Registro!AB87</f>
        <v>a) Ganar mucho dinero</v>
      </c>
      <c r="AF87" s="89" t="str">
        <f>Registro!AC87</f>
        <v>e) No sé</v>
      </c>
      <c r="AG87" s="89" t="str">
        <f>Registro!AD87</f>
        <v>b) El ambiente de estudio y de trabajo</v>
      </c>
      <c r="AH87" s="94">
        <f t="shared" si="7"/>
        <v>1</v>
      </c>
      <c r="AI87" s="89" t="str">
        <f>Registro!AE87</f>
        <v>a) 0 a 2 horas</v>
      </c>
      <c r="AJ87" s="89" t="str">
        <f>Registro!AF87</f>
        <v>j) Estoy en algún grupo juvenil, l) Escucho música y/o veo videos musicales, n) Estoy conversando con los amigos/as</v>
      </c>
      <c r="AK87" s="94">
        <f t="shared" si="8"/>
        <v>3</v>
      </c>
      <c r="AL87" s="89" t="str">
        <f>Registro!AG87</f>
        <v>b) Bueno</v>
      </c>
      <c r="AM87" s="89" t="str">
        <f>Registro!AH87</f>
        <v>a) Muy buena</v>
      </c>
      <c r="AN87" s="89" t="str">
        <f>Registro!AI87</f>
        <v>a) Muy buena</v>
      </c>
      <c r="AO87" s="89" t="str">
        <f>Registro!AJ87</f>
        <v>b) Buena</v>
      </c>
      <c r="AP87" s="89" t="str">
        <f>Registro!AK87</f>
        <v>b) Buena</v>
      </c>
      <c r="AQ87" s="89" t="str">
        <f>Registro!AL87</f>
        <v>b) Buena</v>
      </c>
      <c r="AR87" s="89" t="str">
        <f>Registro!AM87</f>
        <v>b) Buena</v>
      </c>
      <c r="AS87" s="89" t="str">
        <f>Registro!AN87</f>
        <v>b) Buena</v>
      </c>
      <c r="AT87" s="89" t="str">
        <f>Registro!AO87</f>
        <v>a) Muy buena</v>
      </c>
      <c r="AU87" s="89" t="str">
        <f>Registro!AP87</f>
        <v>b) Buena</v>
      </c>
      <c r="AV87" s="89" t="str">
        <f>Registro!AQ87</f>
        <v>b) Buena</v>
      </c>
      <c r="AW87" s="89" t="str">
        <f>Registro!AR87</f>
        <v>a) El compañerismo</v>
      </c>
      <c r="AX87" s="89" t="str">
        <f>Registro!AS87</f>
        <v>b) Darme una buena educación</v>
      </c>
      <c r="AY87" s="89" t="str">
        <f>Registro!AT87</f>
        <v>e) Absolutamente necesaria</v>
      </c>
      <c r="AZ87" s="89" t="str">
        <f>Registro!AU87</f>
        <v>a) No acostumbro a tomarlo nunca</v>
      </c>
      <c r="BA87" s="89" t="str">
        <f>Registro!AV87</f>
        <v>b) Profesionales que no se preocupan de nosotros</v>
      </c>
      <c r="BB87" s="89" t="str">
        <f>Registro!AW87</f>
        <v>b) Poco</v>
      </c>
      <c r="BC87" s="89" t="str">
        <f>Registro!AX87</f>
        <v>d) Hay de todo tipo, pero predomina lo positivo</v>
      </c>
      <c r="BD87" s="89" t="str">
        <f>Registro!AY87</f>
        <v>j) Nadie</v>
      </c>
    </row>
    <row r="88" spans="1:56" ht="15" customHeight="1" x14ac:dyDescent="0.25">
      <c r="A88" s="101">
        <f>Registro!A88</f>
        <v>42127.477337962962</v>
      </c>
      <c r="B88" s="89" t="str">
        <f>Registro!B88</f>
        <v>c) Obra Social San José de Calasanz de Valencia</v>
      </c>
      <c r="C88" s="89" t="str">
        <f>Registro!C88</f>
        <v>b) Tercer año</v>
      </c>
      <c r="D88" s="89" t="str">
        <f>Registro!D88</f>
        <v>a) Educación Inicial</v>
      </c>
      <c r="E88" s="89" t="str">
        <f>Registro!E88</f>
        <v>a) Masculino</v>
      </c>
      <c r="F88" s="89" t="str">
        <f>Registro!F88</f>
        <v>d) Otra</v>
      </c>
      <c r="G88" s="89" t="str">
        <f>Registro!G88</f>
        <v>a) Mamá</v>
      </c>
      <c r="H88" s="89" t="str">
        <f>Registro!H88</f>
        <v>b) Casa Urbana</v>
      </c>
      <c r="I88" s="89" t="str">
        <f>Registro!I88</f>
        <v>d) No sé</v>
      </c>
      <c r="J88" s="89" t="str">
        <f>Registro!J88</f>
        <v>i) Computadora</v>
      </c>
      <c r="K88" s="89" t="str">
        <f>Registro!K88</f>
        <v>b) Una</v>
      </c>
      <c r="L88" s="89" t="str">
        <f>Registro!L88</f>
        <v>a) La familia, j) El deporte, k) El internet</v>
      </c>
      <c r="M88" s="94">
        <f t="shared" si="9"/>
        <v>3</v>
      </c>
      <c r="N88" s="89" t="str">
        <f>Registro!M88</f>
        <v>c) Yo mismo</v>
      </c>
      <c r="O88" s="89" t="str">
        <f>Registro!N88</f>
        <v>c) Poco</v>
      </c>
      <c r="P88" s="89" t="str">
        <f>Registro!O88</f>
        <v>d) Nada</v>
      </c>
      <c r="Q88" s="89" t="str">
        <f>Registro!P88</f>
        <v>d) Nada</v>
      </c>
      <c r="R88" s="89"/>
      <c r="S88" s="94">
        <f t="shared" si="5"/>
        <v>0</v>
      </c>
      <c r="T88" s="89" t="str">
        <f>Registro!R88</f>
        <v>a) Mucho</v>
      </c>
      <c r="U88" s="89" t="str">
        <f>Registro!S88</f>
        <v>a) La Iglesia, b) La naturaleza, c) El salón de clase, d) Las convivencias, e) Los amigos, f) Todas las personas, g) Mi familia, h) Algunas personas cercanas a Dios, i) Los necesitados, j) Todas partes, k) La oración, l) Los sacramentos</v>
      </c>
      <c r="V88" s="89" t="str">
        <f>Registro!T88</f>
        <v>c) Rezo solo en situación de dificultad</v>
      </c>
      <c r="W88" s="89" t="str">
        <f>Registro!U88</f>
        <v>b) Algunos domingos</v>
      </c>
      <c r="X88" s="89" t="str">
        <f>Registro!V88</f>
        <v>i) Tengo en mi cuarto alguna imagen religiosa</v>
      </c>
      <c r="Y88" s="89" t="str">
        <f>Registro!W88</f>
        <v>a) Deportivo</v>
      </c>
      <c r="Z88" s="89" t="str">
        <f>Registro!X88</f>
        <v>b) Un lugar donde comparto con mis compañeros</v>
      </c>
      <c r="AA88" s="89" t="str">
        <f>Registro!Y88</f>
        <v>b) No</v>
      </c>
      <c r="AB88" s="89" t="str">
        <f>Registro!Z88</f>
        <v>b) No</v>
      </c>
      <c r="AC88" s="89"/>
      <c r="AD88" s="94">
        <f t="shared" si="6"/>
        <v>0</v>
      </c>
      <c r="AE88" s="89" t="str">
        <f>Registro!AB88</f>
        <v>b) Tener una buena posición social, ser importante</v>
      </c>
      <c r="AF88" s="89" t="str">
        <f>Registro!AC88</f>
        <v>b) Poco</v>
      </c>
      <c r="AG88" s="89" t="str">
        <f>Registro!AD88</f>
        <v>a) Los deportes y diversiones</v>
      </c>
      <c r="AH88" s="94">
        <f t="shared" si="7"/>
        <v>1</v>
      </c>
      <c r="AI88" s="89" t="str">
        <f>Registro!AE88</f>
        <v>a) 0 a 2 horas</v>
      </c>
      <c r="AJ88" s="89"/>
      <c r="AK88" s="94">
        <f t="shared" si="8"/>
        <v>0</v>
      </c>
      <c r="AL88" s="89" t="str">
        <f>Registro!AG88</f>
        <v>b) Bueno</v>
      </c>
      <c r="AM88" s="89" t="str">
        <f>Registro!AH88</f>
        <v>b) Buena</v>
      </c>
      <c r="AN88" s="89" t="str">
        <f>Registro!AI88</f>
        <v>b) Buena</v>
      </c>
      <c r="AO88" s="89" t="str">
        <f>Registro!AJ88</f>
        <v>b) Buena</v>
      </c>
      <c r="AP88" s="89" t="str">
        <f>Registro!AK88</f>
        <v>b) Buena</v>
      </c>
      <c r="AQ88" s="89" t="str">
        <f>Registro!AL88</f>
        <v>b) Buena</v>
      </c>
      <c r="AR88" s="89" t="str">
        <f>Registro!AM88</f>
        <v>a) Muy buena</v>
      </c>
      <c r="AS88" s="89" t="str">
        <f>Registro!AN88</f>
        <v>b) Buena</v>
      </c>
      <c r="AT88" s="89" t="str">
        <f>Registro!AO88</f>
        <v>a) Muy buena</v>
      </c>
      <c r="AU88" s="89">
        <f>Registro!AP88</f>
        <v>0</v>
      </c>
      <c r="AV88" s="89" t="str">
        <f>Registro!AQ88</f>
        <v>b) Buena</v>
      </c>
      <c r="AW88" s="89" t="str">
        <f>Registro!AR88</f>
        <v>c) El estudio</v>
      </c>
      <c r="AX88" s="89" t="str">
        <f>Registro!AS88</f>
        <v>h) No sé</v>
      </c>
      <c r="AY88" s="89" t="str">
        <f>Registro!AT88</f>
        <v>c) Conveniente</v>
      </c>
      <c r="AZ88" s="89" t="str">
        <f>Registro!AU88</f>
        <v>d) Con frecuencia (fines de semana u otros momentos) suelo beber más de la cuenta</v>
      </c>
      <c r="BA88" s="89" t="str">
        <f>Registro!AV88</f>
        <v>d) Buenos profesionales de la educación</v>
      </c>
      <c r="BB88" s="89" t="str">
        <f>Registro!AW88</f>
        <v>b) Poco</v>
      </c>
      <c r="BC88" s="89" t="str">
        <f>Registro!AX88</f>
        <v>c) Son personas normales y corrientes</v>
      </c>
      <c r="BD88" s="89" t="str">
        <f>Registro!AY88</f>
        <v>b) Mi madre, c) Un hermano/a, g) Un amigo, h) Una amiga</v>
      </c>
    </row>
    <row r="89" spans="1:56" ht="15" customHeight="1" x14ac:dyDescent="0.25">
      <c r="A89" s="101">
        <f>Registro!A89</f>
        <v>42127.478726851848</v>
      </c>
      <c r="B89" s="89" t="str">
        <f>Registro!B89</f>
        <v>c) Obra Social San José de Calasanz de Valencia</v>
      </c>
      <c r="C89" s="89" t="str">
        <f>Registro!C89</f>
        <v>b) Tercer año</v>
      </c>
      <c r="D89" s="89" t="str">
        <f>Registro!D89</f>
        <v>c) Entre Primero y Tercer año</v>
      </c>
      <c r="E89" s="89" t="str">
        <f>Registro!E89</f>
        <v>b) Femenino</v>
      </c>
      <c r="F89" s="89" t="str">
        <f>Registro!F89</f>
        <v>a) Católica</v>
      </c>
      <c r="G89" s="89" t="str">
        <f>Registro!G89</f>
        <v>a) Mamá</v>
      </c>
      <c r="H89" s="89" t="str">
        <f>Registro!H89</f>
        <v>b) Casa Urbana</v>
      </c>
      <c r="I89" s="89" t="str">
        <f>Registro!I89</f>
        <v>a) Sí</v>
      </c>
      <c r="J89" s="89">
        <f>Registro!J89</f>
        <v>0</v>
      </c>
      <c r="K89" s="89" t="str">
        <f>Registro!K89</f>
        <v>b) Una</v>
      </c>
      <c r="L89" s="89" t="str">
        <f>Registro!L89</f>
        <v>a) La familia, b) Los amigos, i) La música</v>
      </c>
      <c r="M89" s="94">
        <f t="shared" si="9"/>
        <v>3</v>
      </c>
      <c r="N89" s="89" t="str">
        <f>Registro!M89</f>
        <v>f) La situación política del país</v>
      </c>
      <c r="O89" s="89" t="str">
        <f>Registro!N89</f>
        <v>b) Suficiente</v>
      </c>
      <c r="P89" s="89" t="str">
        <f>Registro!O89</f>
        <v>c) Poco</v>
      </c>
      <c r="Q89" s="89" t="str">
        <f>Registro!P89</f>
        <v>b) Suficiente</v>
      </c>
      <c r="R89" s="89" t="str">
        <f>Registro!Q89</f>
        <v>a) La familia, b) Los amigos, i) La música</v>
      </c>
      <c r="S89" s="94">
        <f t="shared" si="5"/>
        <v>3</v>
      </c>
      <c r="T89" s="89" t="str">
        <f>Registro!R89</f>
        <v>b) Suficiente</v>
      </c>
      <c r="U89" s="89" t="str">
        <f>Registro!S89</f>
        <v>d) Las convivencias, e) Los amigos, g) Mi familia</v>
      </c>
      <c r="V89" s="89" t="str">
        <f>Registro!T89</f>
        <v>d) No rezo nunca</v>
      </c>
      <c r="W89" s="89" t="str">
        <f>Registro!U89</f>
        <v>d) Nunca</v>
      </c>
      <c r="X89" s="89" t="str">
        <f>Registro!V89</f>
        <v>b) Suelo bendedir los alimentos antes de comer, e) Voy a misa en las fechas de mis familiares difuntos, g) En ocasiones, en mi casa tenemos una oración familiar</v>
      </c>
      <c r="Y89" s="89" t="str">
        <f>Registro!W89</f>
        <v>d) No pertenezco a ninguno</v>
      </c>
      <c r="Z89" s="89" t="str">
        <f>Registro!X89</f>
        <v>d) No pertenezco a grupos juveniles cristianos</v>
      </c>
      <c r="AA89" s="89" t="str">
        <f>Registro!Y89</f>
        <v>b) No</v>
      </c>
      <c r="AB89" s="89" t="str">
        <f>Registro!Z89</f>
        <v>b) No</v>
      </c>
      <c r="AC89" s="89"/>
      <c r="AD89" s="94">
        <f t="shared" si="6"/>
        <v>0</v>
      </c>
      <c r="AE89" s="89" t="str">
        <f>Registro!AB89</f>
        <v>b) Tener una buena posición social, ser importante</v>
      </c>
      <c r="AF89" s="89" t="str">
        <f>Registro!AC89</f>
        <v>b) Poco</v>
      </c>
      <c r="AG89" s="89" t="str">
        <f>Registro!AD89</f>
        <v>b) El ambiente de estudio y de trabajo, d) Los grupos juveniles cristianos</v>
      </c>
      <c r="AH89" s="94">
        <f t="shared" si="7"/>
        <v>2</v>
      </c>
      <c r="AI89" s="89" t="str">
        <f>Registro!AE89</f>
        <v>a) 0 a 2 horas</v>
      </c>
      <c r="AJ89" s="89" t="str">
        <f>Registro!AF89</f>
        <v>a) Me divierto con juegos para computadoras, b) Navego en Internet, m) Veo televisión y/o películas</v>
      </c>
      <c r="AK89" s="94">
        <f t="shared" si="8"/>
        <v>3</v>
      </c>
      <c r="AL89" s="89" t="str">
        <f>Registro!AG89</f>
        <v>a) Muy bueno</v>
      </c>
      <c r="AM89" s="89" t="str">
        <f>Registro!AH89</f>
        <v>b) Buena</v>
      </c>
      <c r="AN89" s="89" t="str">
        <f>Registro!AI89</f>
        <v>a) Muy buena</v>
      </c>
      <c r="AO89" s="89" t="str">
        <f>Registro!AJ89</f>
        <v>b) Buena</v>
      </c>
      <c r="AP89" s="89" t="str">
        <f>Registro!AK89</f>
        <v>b) Buena</v>
      </c>
      <c r="AQ89" s="89" t="str">
        <f>Registro!AL89</f>
        <v>b) Buena</v>
      </c>
      <c r="AR89" s="89" t="str">
        <f>Registro!AM89</f>
        <v>b) Buena</v>
      </c>
      <c r="AS89" s="89" t="str">
        <f>Registro!AN89</f>
        <v>b) Buena</v>
      </c>
      <c r="AT89" s="89" t="str">
        <f>Registro!AO89</f>
        <v>b) Buena</v>
      </c>
      <c r="AU89" s="89" t="str">
        <f>Registro!AP89</f>
        <v>c) Regular</v>
      </c>
      <c r="AV89" s="89" t="str">
        <f>Registro!AQ89</f>
        <v>c) Regular</v>
      </c>
      <c r="AW89" s="89" t="str">
        <f>Registro!AR89</f>
        <v>i) En nada</v>
      </c>
      <c r="AX89" s="89" t="str">
        <f>Registro!AS89</f>
        <v>h) No sé</v>
      </c>
      <c r="AY89" s="89" t="str">
        <f>Registro!AT89</f>
        <v>e) Absolutamente necesaria</v>
      </c>
      <c r="AZ89" s="89" t="str">
        <f>Registro!AU89</f>
        <v>d) Con frecuencia (fines de semana u otros momentos) suelo beber más de la cuenta</v>
      </c>
      <c r="BA89" s="89" t="str">
        <f>Registro!AV89</f>
        <v>f) Educadores que, además, me han abierto caminos</v>
      </c>
      <c r="BB89" s="89" t="str">
        <f>Registro!AW89</f>
        <v>d) Mucho o muchísimo</v>
      </c>
      <c r="BC89" s="89" t="str">
        <f>Registro!AX89</f>
        <v>d) Hay de todo tipo, pero predomina lo positivo</v>
      </c>
      <c r="BD89" s="89" t="str">
        <f>Registro!AY89</f>
        <v>b) Mi madre, e) Un, una docente, h) Una amiga</v>
      </c>
    </row>
    <row r="90" spans="1:56" ht="15" customHeight="1" x14ac:dyDescent="0.25">
      <c r="A90" s="101">
        <f>Registro!A90</f>
        <v>42127.479861111111</v>
      </c>
      <c r="B90" s="89" t="str">
        <f>Registro!B90</f>
        <v>c) Obra Social San José de Calasanz de Valencia</v>
      </c>
      <c r="C90" s="89" t="str">
        <f>Registro!C90</f>
        <v>b) Tercer año</v>
      </c>
      <c r="D90" s="89" t="str">
        <f>Registro!D90</f>
        <v>a) Educación Inicial</v>
      </c>
      <c r="E90" s="89" t="str">
        <f>Registro!E90</f>
        <v>a) Masculino</v>
      </c>
      <c r="F90" s="89" t="str">
        <f>Registro!F90</f>
        <v>a) Católica</v>
      </c>
      <c r="G90" s="89" t="str">
        <f>Registro!G90</f>
        <v>a) Mamá, b) Papá, c) Hermanos</v>
      </c>
      <c r="H90" s="89" t="str">
        <f>Registro!H90</f>
        <v>b) Casa Urbana</v>
      </c>
      <c r="I90" s="89" t="str">
        <f>Registro!I90</f>
        <v>a) Sí</v>
      </c>
      <c r="J90" s="89" t="str">
        <f>Registro!J90</f>
        <v>b) Lavadora, h) Carro, i) Computadora, j) Cámara digital</v>
      </c>
      <c r="K90" s="89" t="str">
        <f>Registro!K90</f>
        <v>b) Una</v>
      </c>
      <c r="L90" s="89" t="str">
        <f>Registro!L90</f>
        <v>a) La familia, f) Mi fe y vida cristiana, g) La felicidad</v>
      </c>
      <c r="M90" s="94">
        <f t="shared" si="9"/>
        <v>3</v>
      </c>
      <c r="N90" s="89" t="str">
        <f>Registro!M90</f>
        <v>g) Mis estudios</v>
      </c>
      <c r="O90" s="89" t="str">
        <f>Registro!N90</f>
        <v>c) Poco</v>
      </c>
      <c r="P90" s="89" t="str">
        <f>Registro!O90</f>
        <v>a) Mucho</v>
      </c>
      <c r="Q90" s="89" t="str">
        <f>Registro!P90</f>
        <v>b) Suficiente</v>
      </c>
      <c r="R90" s="89" t="str">
        <f>Registro!Q90</f>
        <v>b) Los amigos, c) Los estudios, e) Disponer de dinero</v>
      </c>
      <c r="S90" s="94">
        <f t="shared" si="5"/>
        <v>3</v>
      </c>
      <c r="T90" s="89" t="str">
        <f>Registro!R90</f>
        <v>a) Mucho</v>
      </c>
      <c r="U90" s="89" t="str">
        <f>Registro!S90</f>
        <v>a) La Iglesia, b) La naturaleza, k) La oración</v>
      </c>
      <c r="V90" s="89" t="str">
        <f>Registro!T90</f>
        <v>c) Rezo solo en situación de dificultad</v>
      </c>
      <c r="W90" s="89" t="str">
        <f>Registro!U90</f>
        <v>b) Algunos domingos</v>
      </c>
      <c r="X90" s="89" t="str">
        <f>Registro!V90</f>
        <v>c) Suelo ir los domingos y otras fechas especiales a la Iglesia, h) En Semana Santa asisto a las procesiones</v>
      </c>
      <c r="Y90" s="89" t="str">
        <f>Registro!W90</f>
        <v xml:space="preserve">a) Deportivo, b) Cultural (folklórico, musicales, danzas, scout, banda marcial,...) </v>
      </c>
      <c r="Z90" s="89" t="str">
        <f>Registro!X90</f>
        <v>b) Un lugar donde comparto con mis compañeros</v>
      </c>
      <c r="AA90" s="89" t="str">
        <f>Registro!Y90</f>
        <v>c) Algo</v>
      </c>
      <c r="AB90" s="89" t="str">
        <f>Registro!Z90</f>
        <v>c) Algo</v>
      </c>
      <c r="AC90" s="89"/>
      <c r="AD90" s="94">
        <f t="shared" si="6"/>
        <v>0</v>
      </c>
      <c r="AE90" s="89" t="str">
        <f>Registro!AB90</f>
        <v>d) Desarrollarme personalmente</v>
      </c>
      <c r="AF90" s="89" t="str">
        <f>Registro!AC90</f>
        <v>c) Bastante</v>
      </c>
      <c r="AG90" s="89" t="str">
        <f>Registro!AD90</f>
        <v>d) Los grupos juveniles cristianos, e) La mayor posibilidad de vivir mi fe</v>
      </c>
      <c r="AH90" s="94">
        <f t="shared" si="7"/>
        <v>2</v>
      </c>
      <c r="AI90" s="89" t="str">
        <f>Registro!AE90</f>
        <v>a) 0 a 2 horas</v>
      </c>
      <c r="AJ90" s="89" t="str">
        <f>Registro!AF90</f>
        <v>a) Me divierto con juegos para computadoras, b) Navego en Internet, m) Veo televisión y/o películas</v>
      </c>
      <c r="AK90" s="94">
        <f t="shared" si="8"/>
        <v>3</v>
      </c>
      <c r="AL90" s="89" t="str">
        <f>Registro!AG90</f>
        <v>b) Bueno</v>
      </c>
      <c r="AM90" s="89" t="str">
        <f>Registro!AH90</f>
        <v>b) Buena</v>
      </c>
      <c r="AN90" s="89" t="str">
        <f>Registro!AI90</f>
        <v>c) Regular</v>
      </c>
      <c r="AO90" s="89" t="str">
        <f>Registro!AJ90</f>
        <v>b) Buena</v>
      </c>
      <c r="AP90" s="89" t="str">
        <f>Registro!AK90</f>
        <v>c) Regular</v>
      </c>
      <c r="AQ90" s="89" t="str">
        <f>Registro!AL90</f>
        <v>b) Buena</v>
      </c>
      <c r="AR90" s="89" t="str">
        <f>Registro!AM90</f>
        <v>a) Muy buena</v>
      </c>
      <c r="AS90" s="89" t="str">
        <f>Registro!AN90</f>
        <v>b) Buena</v>
      </c>
      <c r="AT90" s="89" t="str">
        <f>Registro!AO90</f>
        <v>a) Muy buena</v>
      </c>
      <c r="AU90" s="89" t="str">
        <f>Registro!AP90</f>
        <v>b) Buena</v>
      </c>
      <c r="AV90" s="89" t="str">
        <f>Registro!AQ90</f>
        <v>c) Regular</v>
      </c>
      <c r="AW90" s="89" t="str">
        <f>Registro!AR90</f>
        <v>c) El estudio</v>
      </c>
      <c r="AX90" s="89" t="str">
        <f>Registro!AS90</f>
        <v>a) Que sea un buen profesional</v>
      </c>
      <c r="AY90" s="89" t="str">
        <f>Registro!AT90</f>
        <v>d) Bastante necesaria</v>
      </c>
      <c r="AZ90" s="89" t="str">
        <f>Registro!AU90</f>
        <v>c) Alguna vez he bebido más de la cuenta</v>
      </c>
      <c r="BA90" s="89" t="str">
        <f>Registro!AV90</f>
        <v>d) Buenos profesionales de la educación</v>
      </c>
      <c r="BB90" s="89" t="str">
        <f>Registro!AW90</f>
        <v>c) Bastante</v>
      </c>
      <c r="BC90" s="89" t="str">
        <f>Registro!AX90</f>
        <v>c) Son personas normales y corrientes</v>
      </c>
      <c r="BD90" s="89" t="str">
        <f>Registro!AY90</f>
        <v>b) Mi madre, c) Un hermano/a</v>
      </c>
    </row>
    <row r="91" spans="1:56" ht="15" customHeight="1" x14ac:dyDescent="0.25">
      <c r="A91" s="101">
        <f>Registro!A91</f>
        <v>42127.481469907405</v>
      </c>
      <c r="B91" s="89" t="str">
        <f>Registro!B91</f>
        <v>c) Obra Social San José de Calasanz de Valencia</v>
      </c>
      <c r="C91" s="89" t="str">
        <f>Registro!C91</f>
        <v>b) Tercer año</v>
      </c>
      <c r="D91" s="89" t="str">
        <f>Registro!D91</f>
        <v>a) Educación Inicial</v>
      </c>
      <c r="E91" s="89" t="str">
        <f>Registro!E91</f>
        <v>b) Femenino</v>
      </c>
      <c r="F91" s="89" t="str">
        <f>Registro!F91</f>
        <v>a) Católica</v>
      </c>
      <c r="G91" s="89" t="str">
        <f>Registro!G91</f>
        <v>a) Mamá, c) Hermanos, e) Otros familiares</v>
      </c>
      <c r="H91" s="89" t="str">
        <f>Registro!H91</f>
        <v>d) Casa Rural</v>
      </c>
      <c r="I91" s="89" t="str">
        <f>Registro!I91</f>
        <v>a) Sí</v>
      </c>
      <c r="J91" s="89" t="str">
        <f>Registro!J91</f>
        <v>a) Cónsola videojuegos, b) Lavadora, c) Microondas, d) TV pantalla plana, f) MP3, h) Carro, i) Computadora, j) Cámara digital, k) Aire acondicionado</v>
      </c>
      <c r="K91" s="89" t="str">
        <f>Registro!K91</f>
        <v>f) Más de cuatro</v>
      </c>
      <c r="L91" s="89" t="str">
        <f>Registro!L91</f>
        <v>a) La familia, h) La sexualidad, j) El deporte</v>
      </c>
      <c r="M91" s="94">
        <f t="shared" si="9"/>
        <v>3</v>
      </c>
      <c r="N91" s="89" t="str">
        <f>Registro!M91</f>
        <v>f) La situación política del país</v>
      </c>
      <c r="O91" s="89" t="str">
        <f>Registro!N91</f>
        <v>a) Mucho</v>
      </c>
      <c r="P91" s="89" t="str">
        <f>Registro!O91</f>
        <v>b) Suficiente</v>
      </c>
      <c r="Q91" s="89" t="str">
        <f>Registro!P91</f>
        <v>d) Nada</v>
      </c>
      <c r="R91" s="89"/>
      <c r="S91" s="94">
        <f t="shared" si="5"/>
        <v>0</v>
      </c>
      <c r="T91" s="89" t="str">
        <f>Registro!R91</f>
        <v>c) Poco</v>
      </c>
      <c r="U91" s="89" t="str">
        <f>Registro!S91</f>
        <v>d) Las convivencias, k) La oración</v>
      </c>
      <c r="V91" s="89" t="str">
        <f>Registro!T91</f>
        <v>c) Rezo solo en situación de dificultad</v>
      </c>
      <c r="W91" s="89" t="str">
        <f>Registro!U91</f>
        <v>c) Solo en fechas especiales</v>
      </c>
      <c r="X91" s="89" t="str">
        <f>Registro!V91</f>
        <v>e) Voy a misa en las fechas de mis familiares difuntos, f) En alguna ocasión he rezado el rosario</v>
      </c>
      <c r="Y91" s="89" t="str">
        <f>Registro!W91</f>
        <v>d) No pertenezco a ninguno</v>
      </c>
      <c r="Z91" s="89" t="str">
        <f>Registro!X91</f>
        <v>d) No pertenezco a grupos juveniles cristianos</v>
      </c>
      <c r="AA91" s="89" t="str">
        <f>Registro!Y91</f>
        <v>b) No</v>
      </c>
      <c r="AB91" s="89" t="str">
        <f>Registro!Z91</f>
        <v>b) No</v>
      </c>
      <c r="AC91" s="89"/>
      <c r="AD91" s="94">
        <f t="shared" si="6"/>
        <v>0</v>
      </c>
      <c r="AE91" s="89" t="str">
        <f>Registro!AB91</f>
        <v>a) Ganar mucho dinero</v>
      </c>
      <c r="AF91" s="89" t="str">
        <f>Registro!AC91</f>
        <v>e) No sé</v>
      </c>
      <c r="AG91" s="89" t="str">
        <f>Registro!AD91</f>
        <v>a) Los deportes y diversiones, b) El ambiente de estudio y de trabajo</v>
      </c>
      <c r="AH91" s="94">
        <f t="shared" si="7"/>
        <v>2</v>
      </c>
      <c r="AI91" s="89" t="str">
        <f>Registro!AE91</f>
        <v>a) 0 a 2 horas</v>
      </c>
      <c r="AJ91" s="89" t="str">
        <f>Registro!AF91</f>
        <v>b) Navego en Internet, h) Suelo ir al cine, l) Escucho música y/o veo videos musicales</v>
      </c>
      <c r="AK91" s="94">
        <f t="shared" si="8"/>
        <v>3</v>
      </c>
      <c r="AL91" s="89" t="str">
        <f>Registro!AG91</f>
        <v>c) Regular</v>
      </c>
      <c r="AM91" s="89" t="str">
        <f>Registro!AH91</f>
        <v>f) No aplica</v>
      </c>
      <c r="AN91" s="89" t="str">
        <f>Registro!AI91</f>
        <v>b) Buena</v>
      </c>
      <c r="AO91" s="89" t="str">
        <f>Registro!AJ91</f>
        <v>c) Regular</v>
      </c>
      <c r="AP91" s="89" t="str">
        <f>Registro!AK91</f>
        <v>c) Regular</v>
      </c>
      <c r="AQ91" s="89" t="str">
        <f>Registro!AL91</f>
        <v>c) Regular</v>
      </c>
      <c r="AR91" s="89" t="str">
        <f>Registro!AM91</f>
        <v>a) Muy buena</v>
      </c>
      <c r="AS91" s="89" t="str">
        <f>Registro!AN91</f>
        <v>d) Mala</v>
      </c>
      <c r="AT91" s="89" t="str">
        <f>Registro!AO91</f>
        <v>a) Muy buena</v>
      </c>
      <c r="AU91" s="89" t="str">
        <f>Registro!AP91</f>
        <v>c) Regular</v>
      </c>
      <c r="AV91" s="89" t="str">
        <f>Registro!AQ91</f>
        <v>a) Muy buena</v>
      </c>
      <c r="AW91" s="89" t="str">
        <f>Registro!AR91</f>
        <v>c) El estudio</v>
      </c>
      <c r="AX91" s="89" t="str">
        <f>Registro!AS91</f>
        <v>b) Darme una buena educación</v>
      </c>
      <c r="AY91" s="89" t="str">
        <f>Registro!AT91</f>
        <v>d) Bastante necesaria</v>
      </c>
      <c r="AZ91" s="89" t="str">
        <f>Registro!AU91</f>
        <v>c) Alguna vez he bebido más de la cuenta</v>
      </c>
      <c r="BA91" s="89" t="str">
        <f>Registro!AV91</f>
        <v>a) Personas a las que tengo que aguantar</v>
      </c>
      <c r="BB91" s="89" t="str">
        <f>Registro!AW91</f>
        <v>c) Bastante</v>
      </c>
      <c r="BC91" s="89" t="str">
        <f>Registro!AX91</f>
        <v>c) Son personas normales y corrientes</v>
      </c>
      <c r="BD91" s="89" t="str">
        <f>Registro!AY91</f>
        <v>b) Mi madre, h) Una amiga</v>
      </c>
    </row>
    <row r="92" spans="1:56" ht="15" customHeight="1" x14ac:dyDescent="0.25">
      <c r="A92" s="101">
        <f>Registro!A92</f>
        <v>42127.481493055559</v>
      </c>
      <c r="B92" s="89" t="str">
        <f>Registro!B92</f>
        <v>c) Obra Social San José de Calasanz de Valencia</v>
      </c>
      <c r="C92" s="89" t="str">
        <f>Registro!C92</f>
        <v>b) Tercer año</v>
      </c>
      <c r="D92" s="89" t="str">
        <f>Registro!D92</f>
        <v>b) Primaria</v>
      </c>
      <c r="E92" s="89" t="str">
        <f>Registro!E92</f>
        <v>a) Masculino</v>
      </c>
      <c r="F92" s="89" t="str">
        <f>Registro!F92</f>
        <v>a) Católica</v>
      </c>
      <c r="G92" s="89" t="str">
        <f>Registro!G92</f>
        <v>a) Mamá, b) Papá, c) Hermanos</v>
      </c>
      <c r="H92" s="89" t="str">
        <f>Registro!H92</f>
        <v>b) Casa Urbana</v>
      </c>
      <c r="I92" s="89" t="str">
        <f>Registro!I92</f>
        <v>a) Sí</v>
      </c>
      <c r="J92" s="89" t="str">
        <f>Registro!J92</f>
        <v>b) Lavadora, c) Microondas, d) TV pantalla plana, f) MP3, h) Carro, i) Computadora, j) Cámara digital</v>
      </c>
      <c r="K92" s="89" t="str">
        <f>Registro!K92</f>
        <v>c) Dos</v>
      </c>
      <c r="L92" s="89" t="str">
        <f>Registro!L92</f>
        <v>a) La familia, h) La sexualidad, j) El deporte</v>
      </c>
      <c r="M92" s="94">
        <f t="shared" si="9"/>
        <v>3</v>
      </c>
      <c r="N92" s="89" t="str">
        <f>Registro!M92</f>
        <v>f) La situación política del país</v>
      </c>
      <c r="O92" s="89" t="str">
        <f>Registro!N92</f>
        <v>a) Mucho</v>
      </c>
      <c r="P92" s="89">
        <f>Registro!O92</f>
        <v>0</v>
      </c>
      <c r="Q92" s="89" t="str">
        <f>Registro!P92</f>
        <v>c) Poco</v>
      </c>
      <c r="R92" s="89"/>
      <c r="S92" s="94">
        <f t="shared" si="5"/>
        <v>0</v>
      </c>
      <c r="T92" s="89" t="str">
        <f>Registro!R92</f>
        <v>a) Mucho</v>
      </c>
      <c r="U92" s="89" t="str">
        <f>Registro!S92</f>
        <v>a) La Iglesia, b) La naturaleza, d) Las convivencias, f) Todas las personas, g) Mi familia, k) La oración</v>
      </c>
      <c r="V92" s="89" t="str">
        <f>Registro!T92</f>
        <v>c) Rezo solo en situación de dificultad</v>
      </c>
      <c r="W92" s="89" t="str">
        <f>Registro!U92</f>
        <v>c) Solo en fechas especiales</v>
      </c>
      <c r="X92" s="89" t="str">
        <f>Registro!V92</f>
        <v>f) En alguna ocasión he rezado el rosario</v>
      </c>
      <c r="Y92" s="89" t="str">
        <f>Registro!W92</f>
        <v>a) Deportivo</v>
      </c>
      <c r="Z92" s="89" t="str">
        <f>Registro!X92</f>
        <v>d) No pertenezco a grupos juveniles cristianos</v>
      </c>
      <c r="AA92" s="89" t="str">
        <f>Registro!Y92</f>
        <v>b) No</v>
      </c>
      <c r="AB92" s="89" t="str">
        <f>Registro!Z92</f>
        <v>b) No</v>
      </c>
      <c r="AC92" s="89"/>
      <c r="AD92" s="94">
        <f t="shared" si="6"/>
        <v>0</v>
      </c>
      <c r="AE92" s="89" t="str">
        <f>Registro!AB92</f>
        <v>a) Ganar mucho dinero</v>
      </c>
      <c r="AF92" s="89" t="str">
        <f>Registro!AC92</f>
        <v>e) No sé</v>
      </c>
      <c r="AG92" s="89" t="str">
        <f>Registro!AD92</f>
        <v>a) Los deportes y diversiones, b) El ambiente de estudio y de trabajo</v>
      </c>
      <c r="AH92" s="94">
        <f t="shared" si="7"/>
        <v>2</v>
      </c>
      <c r="AI92" s="89" t="str">
        <f>Registro!AE92</f>
        <v>a) 0 a 2 horas</v>
      </c>
      <c r="AJ92" s="89" t="str">
        <f>Registro!AF92</f>
        <v>a) Me divierto con juegos para computadoras, k) Practico algún deporte, l) Escucho música y/o veo videos musicales</v>
      </c>
      <c r="AK92" s="94">
        <f t="shared" si="8"/>
        <v>3</v>
      </c>
      <c r="AL92" s="89" t="str">
        <f>Registro!AG92</f>
        <v>c) Regular</v>
      </c>
      <c r="AM92" s="89" t="str">
        <f>Registro!AH92</f>
        <v>f) No aplica</v>
      </c>
      <c r="AN92" s="89" t="str">
        <f>Registro!AI92</f>
        <v>b) Buena</v>
      </c>
      <c r="AO92" s="89" t="str">
        <f>Registro!AJ92</f>
        <v>c) Regular</v>
      </c>
      <c r="AP92" s="89" t="str">
        <f>Registro!AK92</f>
        <v>c) Regular</v>
      </c>
      <c r="AQ92" s="89" t="str">
        <f>Registro!AL92</f>
        <v>c) Regular</v>
      </c>
      <c r="AR92" s="89" t="str">
        <f>Registro!AM92</f>
        <v>a) Muy buena</v>
      </c>
      <c r="AS92" s="89" t="str">
        <f>Registro!AN92</f>
        <v>c) Regular</v>
      </c>
      <c r="AT92" s="89" t="str">
        <f>Registro!AO92</f>
        <v>a) Muy buena</v>
      </c>
      <c r="AU92" s="89" t="str">
        <f>Registro!AP92</f>
        <v>c) Regular</v>
      </c>
      <c r="AV92" s="89" t="str">
        <f>Registro!AQ92</f>
        <v>a) Muy buena</v>
      </c>
      <c r="AW92" s="89" t="str">
        <f>Registro!AR92</f>
        <v>c) El estudio</v>
      </c>
      <c r="AX92" s="89" t="str">
        <f>Registro!AS92</f>
        <v>b) Darme una buena educación</v>
      </c>
      <c r="AY92" s="89" t="str">
        <f>Registro!AT92</f>
        <v>d) Bastante necesaria</v>
      </c>
      <c r="AZ92" s="89" t="str">
        <f>Registro!AU92</f>
        <v>b) Las veces que bebo, es con moderación</v>
      </c>
      <c r="BA92" s="89" t="str">
        <f>Registro!AV92</f>
        <v>e) Educadores que se preocupan de nosotros</v>
      </c>
      <c r="BB92" s="89" t="str">
        <f>Registro!AW92</f>
        <v>c) Bastante</v>
      </c>
      <c r="BC92" s="89" t="str">
        <f>Registro!AX92</f>
        <v>c) Son personas normales y corrientes</v>
      </c>
      <c r="BD92" s="89" t="str">
        <f>Registro!AY92</f>
        <v>b) Mi madre, h) Una amiga</v>
      </c>
    </row>
    <row r="93" spans="1:56" ht="15" customHeight="1" x14ac:dyDescent="0.25">
      <c r="A93" s="101">
        <f>Registro!A93</f>
        <v>42127.482025462959</v>
      </c>
      <c r="B93" s="89" t="str">
        <f>Registro!B93</f>
        <v>c) Obra Social San José de Calasanz de Valencia</v>
      </c>
      <c r="C93" s="89" t="str">
        <f>Registro!C93</f>
        <v>b) Tercer año</v>
      </c>
      <c r="D93" s="89" t="str">
        <f>Registro!D93</f>
        <v>b) Primaria</v>
      </c>
      <c r="E93" s="89" t="str">
        <f>Registro!E93</f>
        <v>b) Femenino</v>
      </c>
      <c r="F93" s="89" t="str">
        <f>Registro!F93</f>
        <v>a) Católica</v>
      </c>
      <c r="G93" s="89" t="str">
        <f>Registro!G93</f>
        <v>a) Mamá, b) Papá, c) Hermanos, d) Abuelos, e) Otros familiares</v>
      </c>
      <c r="H93" s="89" t="str">
        <f>Registro!H93</f>
        <v>b) Casa Urbana</v>
      </c>
      <c r="I93" s="89" t="str">
        <f>Registro!I93</f>
        <v>a) Sí</v>
      </c>
      <c r="J93" s="89" t="str">
        <f>Registro!J93</f>
        <v>a) Cónsola videojuegos, b) Lavadora, d) TV pantalla plana, i) Computadora</v>
      </c>
      <c r="K93" s="89" t="str">
        <f>Registro!K93</f>
        <v>c) Dos</v>
      </c>
      <c r="L93" s="89" t="str">
        <f>Registro!L93</f>
        <v>a) La familia, c) Los estudios, f) Mi fe y vida cristiana</v>
      </c>
      <c r="M93" s="94">
        <f t="shared" si="9"/>
        <v>3</v>
      </c>
      <c r="N93" s="89" t="str">
        <f>Registro!M93</f>
        <v>e) La situación económica</v>
      </c>
      <c r="O93" s="89" t="str">
        <f>Registro!N93</f>
        <v>b) Suficiente</v>
      </c>
      <c r="P93" s="89" t="str">
        <f>Registro!O93</f>
        <v>b) Suficiente</v>
      </c>
      <c r="Q93" s="89" t="str">
        <f>Registro!P93</f>
        <v>b) Suficiente</v>
      </c>
      <c r="R93" s="89"/>
      <c r="S93" s="94">
        <f t="shared" si="5"/>
        <v>0</v>
      </c>
      <c r="T93" s="89" t="str">
        <f>Registro!R93</f>
        <v>a) Mucho</v>
      </c>
      <c r="U93" s="89" t="str">
        <f>Registro!S93</f>
        <v>a) La Iglesia, d) Las convivencias, g) Mi familia, k) La oración</v>
      </c>
      <c r="V93" s="89" t="str">
        <f>Registro!T93</f>
        <v>a) Suelo rezar por convicción o porque me gusta</v>
      </c>
      <c r="W93" s="89" t="str">
        <f>Registro!U93</f>
        <v>c) Solo en fechas especiales</v>
      </c>
      <c r="X93" s="89" t="str">
        <f>Registro!V93</f>
        <v>c) Suelo ir los domingos y otras fechas especiales a la Iglesia, g) En ocasiones, en mi casa tenemos una oración familiar</v>
      </c>
      <c r="Y93" s="89" t="str">
        <f>Registro!W93</f>
        <v>d) No pertenezco a ninguno</v>
      </c>
      <c r="Z93" s="89" t="str">
        <f>Registro!X93</f>
        <v>a) Un grupo donde profundizo mi fe</v>
      </c>
      <c r="AA93" s="89" t="str">
        <f>Registro!Y93</f>
        <v>b) No</v>
      </c>
      <c r="AB93" s="89" t="str">
        <f>Registro!Z93</f>
        <v>b) No</v>
      </c>
      <c r="AC93" s="89" t="str">
        <f>Registro!AA93</f>
        <v>f) Ciencias policiales o artes militares, j) Trabajador calificado</v>
      </c>
      <c r="AD93" s="94">
        <f t="shared" si="6"/>
        <v>2</v>
      </c>
      <c r="AE93" s="89" t="str">
        <f>Registro!AB93</f>
        <v>c) Ser un excelente profesional</v>
      </c>
      <c r="AF93" s="89" t="str">
        <f>Registro!AC93</f>
        <v>a) No, en absoluto</v>
      </c>
      <c r="AG93" s="89" t="str">
        <f>Registro!AD93</f>
        <v>a) Los deportes y diversiones, c) Las instalaciones del Colegio</v>
      </c>
      <c r="AH93" s="94">
        <f t="shared" si="7"/>
        <v>2</v>
      </c>
      <c r="AI93" s="89" t="str">
        <f>Registro!AE93</f>
        <v>b) 3 a 4 horas</v>
      </c>
      <c r="AJ93" s="89"/>
      <c r="AK93" s="94">
        <f t="shared" si="8"/>
        <v>0</v>
      </c>
      <c r="AL93" s="89" t="str">
        <f>Registro!AG93</f>
        <v>b) Bueno</v>
      </c>
      <c r="AM93" s="89" t="str">
        <f>Registro!AH93</f>
        <v>f) No aplica</v>
      </c>
      <c r="AN93" s="89" t="str">
        <f>Registro!AI93</f>
        <v>f) No aplica</v>
      </c>
      <c r="AO93" s="89" t="str">
        <f>Registro!AJ93</f>
        <v>b) Buena</v>
      </c>
      <c r="AP93" s="89" t="str">
        <f>Registro!AK93</f>
        <v>a) Muy buena</v>
      </c>
      <c r="AQ93" s="89" t="str">
        <f>Registro!AL93</f>
        <v>c) Regular</v>
      </c>
      <c r="AR93" s="89" t="str">
        <f>Registro!AM93</f>
        <v>b) Buena</v>
      </c>
      <c r="AS93" s="89" t="str">
        <f>Registro!AN93</f>
        <v>b) Buena</v>
      </c>
      <c r="AT93" s="89" t="str">
        <f>Registro!AO93</f>
        <v>b) Buena</v>
      </c>
      <c r="AU93" s="89" t="str">
        <f>Registro!AP93</f>
        <v>b) Buena</v>
      </c>
      <c r="AV93" s="89" t="str">
        <f>Registro!AQ93</f>
        <v>b) Buena</v>
      </c>
      <c r="AW93" s="89" t="str">
        <f>Registro!AR93</f>
        <v>a) El compañerismo</v>
      </c>
      <c r="AX93" s="89" t="str">
        <f>Registro!AS93</f>
        <v>a) Que sea un buen profesional</v>
      </c>
      <c r="AY93" s="89" t="str">
        <f>Registro!AT93</f>
        <v>d) Bastante necesaria</v>
      </c>
      <c r="AZ93" s="89">
        <f>Registro!AU93</f>
        <v>0</v>
      </c>
      <c r="BA93" s="89" t="str">
        <f>Registro!AV93</f>
        <v>d) Buenos profesionales de la educación</v>
      </c>
      <c r="BB93" s="89" t="str">
        <f>Registro!AW93</f>
        <v>c) Bastante</v>
      </c>
      <c r="BC93" s="89" t="str">
        <f>Registro!AX93</f>
        <v>e) Son personas que me gustan y admiro</v>
      </c>
      <c r="BD93" s="89" t="str">
        <f>Registro!AY93</f>
        <v>a) Mi padre, b) Mi madre, c) Un hermano/a</v>
      </c>
    </row>
    <row r="94" spans="1:56" ht="15" customHeight="1" x14ac:dyDescent="0.25">
      <c r="A94" s="101">
        <f>Registro!A94</f>
        <v>42127.48609953704</v>
      </c>
      <c r="B94" s="89" t="str">
        <f>Registro!B94</f>
        <v>c) Obra Social San José de Calasanz de Valencia</v>
      </c>
      <c r="C94" s="89" t="str">
        <f>Registro!C94</f>
        <v>b) Tercer año</v>
      </c>
      <c r="D94" s="89" t="str">
        <f>Registro!D94</f>
        <v>c) Entre Primero y Tercer año</v>
      </c>
      <c r="E94" s="89" t="str">
        <f>Registro!E94</f>
        <v>a) Masculino</v>
      </c>
      <c r="F94" s="89" t="str">
        <f>Registro!F94</f>
        <v>a) Católica</v>
      </c>
      <c r="G94" s="89" t="str">
        <f>Registro!G94</f>
        <v>a) Mamá, c) Hermanos, e) Otros familiares</v>
      </c>
      <c r="H94" s="89" t="str">
        <f>Registro!H94</f>
        <v>b) Casa Urbana</v>
      </c>
      <c r="I94" s="89" t="str">
        <f>Registro!I94</f>
        <v>a) Sí</v>
      </c>
      <c r="J94" s="89">
        <f>Registro!J94</f>
        <v>0</v>
      </c>
      <c r="K94" s="89" t="str">
        <f>Registro!K94</f>
        <v>d) Tres</v>
      </c>
      <c r="L94" s="89"/>
      <c r="M94" s="94">
        <f t="shared" si="9"/>
        <v>0</v>
      </c>
      <c r="N94" s="89" t="str">
        <f>Registro!M94</f>
        <v>g) Mis estudios</v>
      </c>
      <c r="O94" s="89" t="str">
        <f>Registro!N94</f>
        <v>b) Suficiente</v>
      </c>
      <c r="P94" s="89" t="str">
        <f>Registro!O94</f>
        <v>b) Suficiente</v>
      </c>
      <c r="Q94" s="89" t="str">
        <f>Registro!P94</f>
        <v>c) Poco</v>
      </c>
      <c r="R94" s="89"/>
      <c r="S94" s="94">
        <f t="shared" si="5"/>
        <v>0</v>
      </c>
      <c r="T94" s="89" t="str">
        <f>Registro!R94</f>
        <v>a) Mucho</v>
      </c>
      <c r="U94" s="89" t="str">
        <f>Registro!S94</f>
        <v>a) La Iglesia, b) La naturaleza, d) Las convivencias, f) Todas las personas, g) Mi familia, i) Los necesitados, j) Todas partes, k) La oración</v>
      </c>
      <c r="V94" s="89" t="str">
        <f>Registro!T94</f>
        <v>c) Rezo solo en situación de dificultad</v>
      </c>
      <c r="W94" s="89" t="str">
        <f>Registro!U94</f>
        <v>c) Solo en fechas especiales</v>
      </c>
      <c r="X94" s="89" t="str">
        <f>Registro!V94</f>
        <v>c) Suelo ir los domingos y otras fechas especiales a la Iglesia, h) En Semana Santa asisto a las procesiones</v>
      </c>
      <c r="Y94" s="89" t="str">
        <f>Registro!W94</f>
        <v>c) Religioso o parroquial</v>
      </c>
      <c r="Z94" s="89" t="str">
        <f>Registro!X94</f>
        <v>c) Un lugar donde me lo paso bien</v>
      </c>
      <c r="AA94" s="89" t="str">
        <f>Registro!Y94</f>
        <v>b) No</v>
      </c>
      <c r="AB94" s="89" t="str">
        <f>Registro!Z94</f>
        <v>b) No</v>
      </c>
      <c r="AC94" s="89" t="str">
        <f>Registro!AA94</f>
        <v>g) Artista</v>
      </c>
      <c r="AD94" s="94">
        <f t="shared" si="6"/>
        <v>1</v>
      </c>
      <c r="AE94" s="89" t="str">
        <f>Registro!AB94</f>
        <v>c) Ser un excelente profesional</v>
      </c>
      <c r="AF94" s="89" t="str">
        <f>Registro!AC94</f>
        <v>b) Poco</v>
      </c>
      <c r="AG94" s="89"/>
      <c r="AH94" s="94">
        <f t="shared" si="7"/>
        <v>0</v>
      </c>
      <c r="AI94" s="89" t="str">
        <f>Registro!AE94</f>
        <v>d) 7 a 8 horas</v>
      </c>
      <c r="AJ94" s="89"/>
      <c r="AK94" s="94">
        <f t="shared" si="8"/>
        <v>0</v>
      </c>
      <c r="AL94" s="89" t="str">
        <f>Registro!AG94</f>
        <v>c) Regular</v>
      </c>
      <c r="AM94" s="89" t="str">
        <f>Registro!AH94</f>
        <v>c) Regular</v>
      </c>
      <c r="AN94" s="89" t="str">
        <f>Registro!AI94</f>
        <v>c) Regular</v>
      </c>
      <c r="AO94" s="89" t="str">
        <f>Registro!AJ94</f>
        <v>c) Regular</v>
      </c>
      <c r="AP94" s="89" t="str">
        <f>Registro!AK94</f>
        <v>a) Muy buena</v>
      </c>
      <c r="AQ94" s="89" t="str">
        <f>Registro!AL94</f>
        <v>b) Buena</v>
      </c>
      <c r="AR94" s="89" t="str">
        <f>Registro!AM94</f>
        <v>a) Muy buena</v>
      </c>
      <c r="AS94" s="89" t="str">
        <f>Registro!AN94</f>
        <v>b) Buena</v>
      </c>
      <c r="AT94" s="89" t="str">
        <f>Registro!AO94</f>
        <v>a) Muy buena</v>
      </c>
      <c r="AU94" s="89" t="str">
        <f>Registro!AP94</f>
        <v>b) Buena</v>
      </c>
      <c r="AV94" s="89" t="str">
        <f>Registro!AQ94</f>
        <v>b) Buena</v>
      </c>
      <c r="AW94" s="89" t="str">
        <f>Registro!AR94</f>
        <v>c) El estudio</v>
      </c>
      <c r="AX94" s="89" t="str">
        <f>Registro!AS94</f>
        <v>a) Que sea un buen profesional</v>
      </c>
      <c r="AY94" s="89" t="str">
        <f>Registro!AT94</f>
        <v>c) Conveniente</v>
      </c>
      <c r="AZ94" s="89" t="str">
        <f>Registro!AU94</f>
        <v>b) Las veces que bebo, es con moderación</v>
      </c>
      <c r="BA94" s="89" t="str">
        <f>Registro!AV94</f>
        <v>b) Profesionales que no se preocupan de nosotros</v>
      </c>
      <c r="BB94" s="89" t="str">
        <f>Registro!AW94</f>
        <v>b) Poco</v>
      </c>
      <c r="BC94" s="89" t="str">
        <f>Registro!AX94</f>
        <v>c) Son personas normales y corrientes</v>
      </c>
      <c r="BD94" s="89" t="str">
        <f>Registro!AY94</f>
        <v>c) Un hermano/a</v>
      </c>
    </row>
    <row r="95" spans="1:56" ht="15" customHeight="1" x14ac:dyDescent="0.25">
      <c r="A95" s="101">
        <f>Registro!A95</f>
        <v>42127.493564814817</v>
      </c>
      <c r="B95" s="89" t="str">
        <f>Registro!B95</f>
        <v>c) Obra Social San José de Calasanz de Valencia</v>
      </c>
      <c r="C95" s="89" t="str">
        <f>Registro!C95</f>
        <v>b) Tercer año</v>
      </c>
      <c r="D95" s="89" t="str">
        <f>Registro!D95</f>
        <v>c) Entre Primero y Tercer año</v>
      </c>
      <c r="E95" s="89" t="str">
        <f>Registro!E95</f>
        <v>b) Femenino</v>
      </c>
      <c r="F95" s="89" t="str">
        <f>Registro!F95</f>
        <v>a) Católica</v>
      </c>
      <c r="G95" s="89" t="str">
        <f>Registro!G95</f>
        <v>a) Mamá, c) Hermanos</v>
      </c>
      <c r="H95" s="89" t="str">
        <f>Registro!H95</f>
        <v>c) Apartamento</v>
      </c>
      <c r="I95" s="89" t="str">
        <f>Registro!I95</f>
        <v>a) Sí</v>
      </c>
      <c r="J95" s="89" t="str">
        <f>Registro!J95</f>
        <v>d) TV pantalla plana, i) Computadora</v>
      </c>
      <c r="K95" s="89" t="str">
        <f>Registro!K95</f>
        <v>d) Tres</v>
      </c>
      <c r="L95" s="89" t="str">
        <f>Registro!L95</f>
        <v>a) La familia, c) Los estudios, f) Mi fe y vida cristiana</v>
      </c>
      <c r="M95" s="94">
        <f t="shared" si="9"/>
        <v>3</v>
      </c>
      <c r="N95" s="89" t="str">
        <f>Registro!M95</f>
        <v>d) Los problemas familiares</v>
      </c>
      <c r="O95" s="89" t="str">
        <f>Registro!N95</f>
        <v>a) Mucho</v>
      </c>
      <c r="P95" s="89" t="str">
        <f>Registro!O95</f>
        <v>c) Poco</v>
      </c>
      <c r="Q95" s="89" t="str">
        <f>Registro!P95</f>
        <v>c) Poco</v>
      </c>
      <c r="R95" s="89"/>
      <c r="S95" s="94">
        <f t="shared" si="5"/>
        <v>0</v>
      </c>
      <c r="T95" s="89" t="str">
        <f>Registro!R95</f>
        <v>a) Mucho</v>
      </c>
      <c r="U95" s="89" t="str">
        <f>Registro!S95</f>
        <v>a) La Iglesia, d) Las convivencias</v>
      </c>
      <c r="V95" s="89" t="str">
        <f>Registro!T95</f>
        <v>c) Rezo solo en situación de dificultad</v>
      </c>
      <c r="W95" s="89" t="str">
        <f>Registro!U95</f>
        <v>c) Solo en fechas especiales</v>
      </c>
      <c r="X95" s="89" t="str">
        <f>Registro!V95</f>
        <v>c) Suelo ir los domingos y otras fechas especiales a la Iglesia, h) En Semana Santa asisto a las procesiones, i) Tengo en mi cuarto alguna imagen religiosa</v>
      </c>
      <c r="Y95" s="89" t="str">
        <f>Registro!W95</f>
        <v>a) Deportivo, b) Cultural (folklórico, musicales, danzas, scout, banda marcial,...) , c) Religioso o parroquial</v>
      </c>
      <c r="Z95" s="89" t="str">
        <f>Registro!X95</f>
        <v>a) Un grupo donde profundizo mi fe</v>
      </c>
      <c r="AA95" s="89" t="str">
        <f>Registro!Y95</f>
        <v>b) No</v>
      </c>
      <c r="AB95" s="89" t="str">
        <f>Registro!Z95</f>
        <v>b) No</v>
      </c>
      <c r="AC95" s="89" t="str">
        <f>Registro!AA95</f>
        <v>a) Medicina, e) Derecho</v>
      </c>
      <c r="AD95" s="94">
        <f t="shared" si="6"/>
        <v>2</v>
      </c>
      <c r="AE95" s="89" t="str">
        <f>Registro!AB95</f>
        <v>e) Servir a los demás</v>
      </c>
      <c r="AF95" s="89" t="str">
        <f>Registro!AC95</f>
        <v>c) Bastante</v>
      </c>
      <c r="AG95" s="89" t="str">
        <f>Registro!AD95</f>
        <v>a) Los deportes y diversiones, e) La mayor posibilidad de vivir mi fe</v>
      </c>
      <c r="AH95" s="94">
        <f t="shared" si="7"/>
        <v>2</v>
      </c>
      <c r="AI95" s="89" t="str">
        <f>Registro!AE95</f>
        <v>a) 0 a 2 horas</v>
      </c>
      <c r="AJ95" s="89" t="str">
        <f>Registro!AF95</f>
        <v>a) Me divierto con juegos para computadoras, e) Suelo ir a algún parque, h) Suelo ir al cine</v>
      </c>
      <c r="AK95" s="94">
        <f t="shared" si="8"/>
        <v>3</v>
      </c>
      <c r="AL95" s="89" t="str">
        <f>Registro!AG95</f>
        <v>a) Muy bueno</v>
      </c>
      <c r="AM95" s="89" t="str">
        <f>Registro!AH95</f>
        <v>a) Muy buena</v>
      </c>
      <c r="AN95" s="89" t="str">
        <f>Registro!AI95</f>
        <v>a) Muy buena</v>
      </c>
      <c r="AO95" s="89" t="str">
        <f>Registro!AJ95</f>
        <v>a) Muy buena</v>
      </c>
      <c r="AP95" s="89" t="str">
        <f>Registro!AK95</f>
        <v>b) Buena</v>
      </c>
      <c r="AQ95" s="89" t="str">
        <f>Registro!AL95</f>
        <v>b) Buena</v>
      </c>
      <c r="AR95" s="89" t="str">
        <f>Registro!AM95</f>
        <v>a) Muy buena</v>
      </c>
      <c r="AS95" s="89" t="str">
        <f>Registro!AN95</f>
        <v>b) Buena</v>
      </c>
      <c r="AT95" s="89" t="str">
        <f>Registro!AO95</f>
        <v>b) Buena</v>
      </c>
      <c r="AU95" s="89" t="str">
        <f>Registro!AP95</f>
        <v>b) Buena</v>
      </c>
      <c r="AV95" s="89" t="str">
        <f>Registro!AQ95</f>
        <v>a) Muy buena</v>
      </c>
      <c r="AW95" s="89" t="str">
        <f>Registro!AR95</f>
        <v>a) El compañerismo</v>
      </c>
      <c r="AX95" s="89" t="str">
        <f>Registro!AS95</f>
        <v>a) Que sea un buen profesional</v>
      </c>
      <c r="AY95" s="89" t="str">
        <f>Registro!AT95</f>
        <v>d) Bastante necesaria</v>
      </c>
      <c r="AZ95" s="89" t="str">
        <f>Registro!AU95</f>
        <v>a) No acostumbro a tomarlo nunca</v>
      </c>
      <c r="BA95" s="89" t="str">
        <f>Registro!AV95</f>
        <v>b) Profesionales que no se preocupan de nosotros</v>
      </c>
      <c r="BB95" s="89" t="str">
        <f>Registro!AW95</f>
        <v>d) Mucho o muchísimo</v>
      </c>
      <c r="BC95" s="89" t="str">
        <f>Registro!AX95</f>
        <v>e) Son personas que me gustan y admiro</v>
      </c>
      <c r="BD95" s="89" t="str">
        <f>Registro!AY95</f>
        <v>a) Mi padre, b) Mi madre, c) Un hermano/a, h) Una amiga</v>
      </c>
    </row>
    <row r="96" spans="1:56" ht="15" customHeight="1" x14ac:dyDescent="0.25">
      <c r="A96" s="101">
        <f>Registro!A96</f>
        <v>42127.495486111111</v>
      </c>
      <c r="B96" s="89" t="str">
        <f>Registro!B96</f>
        <v>c) Obra Social San José de Calasanz de Valencia</v>
      </c>
      <c r="C96" s="89" t="str">
        <f>Registro!C96</f>
        <v>b) Tercer año</v>
      </c>
      <c r="D96" s="89" t="str">
        <f>Registro!D96</f>
        <v>a) Educación Inicial</v>
      </c>
      <c r="E96" s="89" t="str">
        <f>Registro!E96</f>
        <v>a) Masculino</v>
      </c>
      <c r="F96" s="89" t="str">
        <f>Registro!F96</f>
        <v>a) Católica</v>
      </c>
      <c r="G96" s="89" t="str">
        <f>Registro!G96</f>
        <v>a) Mamá, c) Hermanos, d) Abuelos</v>
      </c>
      <c r="H96" s="89" t="str">
        <f>Registro!H96</f>
        <v>b) Casa Urbana</v>
      </c>
      <c r="I96" s="89" t="str">
        <f>Registro!I96</f>
        <v>c) Algo</v>
      </c>
      <c r="J96" s="89" t="str">
        <f>Registro!J96</f>
        <v>b) Lavadora, d) TV pantalla plana, i) Computadora</v>
      </c>
      <c r="K96" s="89" t="str">
        <f>Registro!K96</f>
        <v>e) Cuatro</v>
      </c>
      <c r="L96" s="89"/>
      <c r="M96" s="94">
        <f t="shared" si="9"/>
        <v>0</v>
      </c>
      <c r="N96" s="89" t="str">
        <f>Registro!M96</f>
        <v>g) Mis estudios</v>
      </c>
      <c r="O96" s="89" t="str">
        <f>Registro!N96</f>
        <v>b) Suficiente</v>
      </c>
      <c r="P96" s="89" t="str">
        <f>Registro!O96</f>
        <v>c) Poco</v>
      </c>
      <c r="Q96" s="89" t="str">
        <f>Registro!P96</f>
        <v>a) Mucho</v>
      </c>
      <c r="R96" s="89"/>
      <c r="S96" s="94">
        <f t="shared" si="5"/>
        <v>0</v>
      </c>
      <c r="T96" s="89" t="str">
        <f>Registro!R96</f>
        <v>a) Mucho</v>
      </c>
      <c r="U96" s="89" t="str">
        <f>Registro!S96</f>
        <v>f) Todas las personas</v>
      </c>
      <c r="V96" s="89" t="str">
        <f>Registro!T96</f>
        <v>a) Suelo rezar por convicción o porque me gusta</v>
      </c>
      <c r="W96" s="89" t="str">
        <f>Registro!U96</f>
        <v>c) Solo en fechas especiales</v>
      </c>
      <c r="X96" s="89" t="str">
        <f>Registro!V96</f>
        <v>b) Suelo bendedir los alimentos antes de comer</v>
      </c>
      <c r="Y96" s="89" t="str">
        <f>Registro!W96</f>
        <v>d) No pertenezco a ninguno</v>
      </c>
      <c r="Z96" s="89" t="str">
        <f>Registro!X96</f>
        <v>d) No pertenezco a grupos juveniles cristianos</v>
      </c>
      <c r="AA96" s="89" t="str">
        <f>Registro!Y96</f>
        <v>b) No</v>
      </c>
      <c r="AB96" s="89" t="str">
        <f>Registro!Z96</f>
        <v>b) No</v>
      </c>
      <c r="AC96" s="89" t="str">
        <f>Registro!AA96</f>
        <v>a) Medicina</v>
      </c>
      <c r="AD96" s="94">
        <f t="shared" si="6"/>
        <v>1</v>
      </c>
      <c r="AE96" s="89" t="str">
        <f>Registro!AB96</f>
        <v>c) Ser un excelente profesional</v>
      </c>
      <c r="AF96" s="89" t="str">
        <f>Registro!AC96</f>
        <v>c) Bastante</v>
      </c>
      <c r="AG96" s="89" t="str">
        <f>Registro!AD96</f>
        <v>c) Las instalaciones del Colegio</v>
      </c>
      <c r="AH96" s="94">
        <f t="shared" si="7"/>
        <v>1</v>
      </c>
      <c r="AI96" s="89" t="str">
        <f>Registro!AE96</f>
        <v>a) 0 a 2 horas</v>
      </c>
      <c r="AJ96" s="89" t="str">
        <f>Registro!AF96</f>
        <v>d) Estoy la mayor parte del tiempo en la casa sin hacer nada, m) Veo televisión y/o películas, n) Estoy conversando con los amigos/as</v>
      </c>
      <c r="AK96" s="94">
        <f t="shared" si="8"/>
        <v>3</v>
      </c>
      <c r="AL96" s="89" t="str">
        <f>Registro!AG96</f>
        <v>a) Muy bueno</v>
      </c>
      <c r="AM96" s="89" t="str">
        <f>Registro!AH96</f>
        <v>a) Muy buena</v>
      </c>
      <c r="AN96" s="89" t="str">
        <f>Registro!AI96</f>
        <v>a) Muy buena</v>
      </c>
      <c r="AO96" s="89" t="str">
        <f>Registro!AJ96</f>
        <v>a) Muy buena</v>
      </c>
      <c r="AP96" s="89" t="str">
        <f>Registro!AK96</f>
        <v>a) Muy buena</v>
      </c>
      <c r="AQ96" s="89" t="str">
        <f>Registro!AL96</f>
        <v>a) Muy buena</v>
      </c>
      <c r="AR96" s="89" t="str">
        <f>Registro!AM96</f>
        <v>a) Muy buena</v>
      </c>
      <c r="AS96" s="89" t="str">
        <f>Registro!AN96</f>
        <v>a) Muy buena</v>
      </c>
      <c r="AT96" s="89" t="str">
        <f>Registro!AO96</f>
        <v>c) Regular</v>
      </c>
      <c r="AU96" s="89" t="str">
        <f>Registro!AP96</f>
        <v>a) Muy buena</v>
      </c>
      <c r="AV96" s="89" t="str">
        <f>Registro!AQ96</f>
        <v>c) Regular</v>
      </c>
      <c r="AW96" s="89" t="str">
        <f>Registro!AR96</f>
        <v>a) El compañerismo</v>
      </c>
      <c r="AX96" s="89" t="str">
        <f>Registro!AS96</f>
        <v>a) Que sea un buen profesional</v>
      </c>
      <c r="AY96" s="89" t="str">
        <f>Registro!AT96</f>
        <v>d) Bastante necesaria</v>
      </c>
      <c r="AZ96" s="89" t="str">
        <f>Registro!AU96</f>
        <v>b) Las veces que bebo, es con moderación</v>
      </c>
      <c r="BA96" s="89" t="str">
        <f>Registro!AV96</f>
        <v>f) Educadores que, además, me han abierto caminos</v>
      </c>
      <c r="BB96" s="89" t="str">
        <f>Registro!AW96</f>
        <v>c) Bastante</v>
      </c>
      <c r="BC96" s="89" t="str">
        <f>Registro!AX96</f>
        <v>e) Son personas que me gustan y admiro</v>
      </c>
      <c r="BD96" s="89" t="str">
        <f>Registro!AY96</f>
        <v>b) Mi madre, c) Un hermano/a, g) Un amigo, h) Una amiga</v>
      </c>
    </row>
    <row r="97" spans="1:56" ht="15" customHeight="1" x14ac:dyDescent="0.25">
      <c r="A97" s="101">
        <f>Registro!A97</f>
        <v>42127.496412037035</v>
      </c>
      <c r="B97" s="89" t="str">
        <f>Registro!B97</f>
        <v>c) Obra Social San José de Calasanz de Valencia</v>
      </c>
      <c r="C97" s="89" t="str">
        <f>Registro!C97</f>
        <v>b) Tercer año</v>
      </c>
      <c r="D97" s="89" t="str">
        <f>Registro!D97</f>
        <v>a) Educación Inicial</v>
      </c>
      <c r="E97" s="89" t="str">
        <f>Registro!E97</f>
        <v>b) Femenino</v>
      </c>
      <c r="F97" s="89" t="str">
        <f>Registro!F97</f>
        <v>a) Católica</v>
      </c>
      <c r="G97" s="89" t="str">
        <f>Registro!G97</f>
        <v>a) Mamá, b) Papá, c) Hermanos, d) Abuelos, e) Otros familiares</v>
      </c>
      <c r="H97" s="89" t="str">
        <f>Registro!H97</f>
        <v>b) Casa Urbana</v>
      </c>
      <c r="I97" s="89" t="str">
        <f>Registro!I97</f>
        <v>a) Sí</v>
      </c>
      <c r="J97" s="89" t="str">
        <f>Registro!J97</f>
        <v>b) Lavadora, d) TV pantalla plana, e) Moto, h) Carro, i) Computadora, k) Aire acondicionado</v>
      </c>
      <c r="K97" s="89" t="str">
        <f>Registro!K97</f>
        <v>d) Tres</v>
      </c>
      <c r="L97" s="89" t="str">
        <f>Registro!L97</f>
        <v>a) La familia, b) Los amigos, c) Los estudios</v>
      </c>
      <c r="M97" s="94">
        <f t="shared" si="9"/>
        <v>3</v>
      </c>
      <c r="N97" s="89" t="str">
        <f>Registro!M97</f>
        <v>d) Los problemas familiares</v>
      </c>
      <c r="O97" s="89" t="str">
        <f>Registro!N97</f>
        <v>a) Mucho</v>
      </c>
      <c r="P97" s="89" t="str">
        <f>Registro!O97</f>
        <v>a) Mucho</v>
      </c>
      <c r="Q97" s="89" t="str">
        <f>Registro!P97</f>
        <v>a) Mucho</v>
      </c>
      <c r="R97" s="89"/>
      <c r="S97" s="94">
        <f t="shared" si="5"/>
        <v>0</v>
      </c>
      <c r="T97" s="89" t="str">
        <f>Registro!R97</f>
        <v>a) Mucho</v>
      </c>
      <c r="U97" s="89" t="str">
        <f>Registro!S97</f>
        <v>a) La Iglesia, b) La naturaleza, c) El salón de clase, d) Las convivencias, e) Los amigos, f) Todas las personas, g) Mi familia, h) Algunas personas cercanas a Dios, i) Los necesitados, j) Todas partes, k) La oración, l) Los sacramentos</v>
      </c>
      <c r="V97" s="89" t="str">
        <f>Registro!T97</f>
        <v>b) Rezo por costumbre</v>
      </c>
      <c r="W97" s="89" t="str">
        <f>Registro!U97</f>
        <v>b) Algunos domingos</v>
      </c>
      <c r="X97" s="89" t="str">
        <f>Registro!V97</f>
        <v>d) Suelo orar todos los días, e) Voy a misa en las fechas de mis familiares difuntos, f) En alguna ocasión he rezado el rosario, i) Tengo en mi cuarto alguna imagen religiosa</v>
      </c>
      <c r="Y97" s="89" t="str">
        <f>Registro!W97</f>
        <v>d) No pertenezco a ninguno</v>
      </c>
      <c r="Z97" s="89" t="str">
        <f>Registro!X97</f>
        <v>d) No pertenezco a grupos juveniles cristianos</v>
      </c>
      <c r="AA97" s="89" t="str">
        <f>Registro!Y97</f>
        <v>c) Algo</v>
      </c>
      <c r="AB97" s="89" t="str">
        <f>Registro!Z97</f>
        <v>b) No</v>
      </c>
      <c r="AC97" s="89" t="str">
        <f>Registro!AA97</f>
        <v>a) Medicina, d) Ingeniería</v>
      </c>
      <c r="AD97" s="94">
        <f t="shared" si="6"/>
        <v>2</v>
      </c>
      <c r="AE97" s="89" t="str">
        <f>Registro!AB97</f>
        <v>d) Desarrollarme personalmente</v>
      </c>
      <c r="AF97" s="89" t="str">
        <f>Registro!AC97</f>
        <v>c) Bastante</v>
      </c>
      <c r="AG97" s="89" t="str">
        <f>Registro!AD97</f>
        <v>b) El ambiente de estudio y de trabajo, h) Las actividades extraescolares</v>
      </c>
      <c r="AH97" s="94">
        <f t="shared" si="7"/>
        <v>2</v>
      </c>
      <c r="AI97" s="89" t="str">
        <f>Registro!AE97</f>
        <v>b) 3 a 4 horas</v>
      </c>
      <c r="AJ97" s="89" t="str">
        <f>Registro!AF97</f>
        <v>a) Me divierto con juegos para computadoras, e) Suelo ir a algún parque, m) Veo televisión y/o películas</v>
      </c>
      <c r="AK97" s="94">
        <f t="shared" si="8"/>
        <v>3</v>
      </c>
      <c r="AL97" s="89" t="str">
        <f>Registro!AG97</f>
        <v>b) Bueno</v>
      </c>
      <c r="AM97" s="89" t="str">
        <f>Registro!AH97</f>
        <v>a) Muy buena</v>
      </c>
      <c r="AN97" s="89" t="str">
        <f>Registro!AI97</f>
        <v>a) Muy buena</v>
      </c>
      <c r="AO97" s="89" t="str">
        <f>Registro!AJ97</f>
        <v>b) Buena</v>
      </c>
      <c r="AP97" s="89" t="str">
        <f>Registro!AK97</f>
        <v>c) Regular</v>
      </c>
      <c r="AQ97" s="89" t="str">
        <f>Registro!AL97</f>
        <v>b) Buena</v>
      </c>
      <c r="AR97" s="89" t="str">
        <f>Registro!AM97</f>
        <v>a) Muy buena</v>
      </c>
      <c r="AS97" s="89" t="str">
        <f>Registro!AN97</f>
        <v>b) Buena</v>
      </c>
      <c r="AT97" s="89" t="str">
        <f>Registro!AO97</f>
        <v>c) Regular</v>
      </c>
      <c r="AU97" s="89" t="str">
        <f>Registro!AP97</f>
        <v>a) Muy buena</v>
      </c>
      <c r="AV97" s="89" t="str">
        <f>Registro!AQ97</f>
        <v>b) Buena</v>
      </c>
      <c r="AW97" s="89" t="str">
        <f>Registro!AR97</f>
        <v>e) La disciplina y el orden</v>
      </c>
      <c r="AX97" s="89" t="str">
        <f>Registro!AS97</f>
        <v>c) Que me preocupe de los demás</v>
      </c>
      <c r="AY97" s="89" t="str">
        <f>Registro!AT97</f>
        <v>d) Bastante necesaria</v>
      </c>
      <c r="AZ97" s="89" t="str">
        <f>Registro!AU97</f>
        <v>a) No acostumbro a tomarlo nunca</v>
      </c>
      <c r="BA97" s="89" t="str">
        <f>Registro!AV97</f>
        <v>f) Educadores que, además, me han abierto caminos</v>
      </c>
      <c r="BB97" s="89" t="str">
        <f>Registro!AW97</f>
        <v>c) Bastante</v>
      </c>
      <c r="BC97" s="89" t="str">
        <f>Registro!AX97</f>
        <v>e) Son personas que me gustan y admiro</v>
      </c>
      <c r="BD97" s="89" t="str">
        <f>Registro!AY97</f>
        <v>b) Mi madre, c) Un hermano/a, h) Una amiga</v>
      </c>
    </row>
    <row r="98" spans="1:56" ht="15" customHeight="1" x14ac:dyDescent="0.25">
      <c r="A98" s="101">
        <f>Registro!A98</f>
        <v>42127.496539351851</v>
      </c>
      <c r="B98" s="89" t="str">
        <f>Registro!B98</f>
        <v>c) Obra Social San José de Calasanz de Valencia</v>
      </c>
      <c r="C98" s="89" t="str">
        <f>Registro!C98</f>
        <v>b) Tercer año</v>
      </c>
      <c r="D98" s="89" t="str">
        <f>Registro!D98</f>
        <v>a) Educación Inicial</v>
      </c>
      <c r="E98" s="89" t="str">
        <f>Registro!E98</f>
        <v>a) Masculino</v>
      </c>
      <c r="F98" s="89" t="str">
        <f>Registro!F98</f>
        <v>a) Católica</v>
      </c>
      <c r="G98" s="89" t="str">
        <f>Registro!G98</f>
        <v>a) Mamá, b) Papá, c) Hermanos, d) Abuelos, e) Otros familiares</v>
      </c>
      <c r="H98" s="89" t="str">
        <f>Registro!H98</f>
        <v>b) Casa Urbana</v>
      </c>
      <c r="I98" s="89" t="str">
        <f>Registro!I98</f>
        <v>a) Sí</v>
      </c>
      <c r="J98" s="89" t="str">
        <f>Registro!J98</f>
        <v>a) Cónsola videojuegos, d) TV pantalla plana, f) MP3, h) Carro, i) Computadora, j) Cámara digital, k) Aire acondicionado</v>
      </c>
      <c r="K98" s="89" t="str">
        <f>Registro!K98</f>
        <v>d) Tres</v>
      </c>
      <c r="L98" s="89" t="str">
        <f>Registro!L98</f>
        <v>a) La familia, b) Los amigos, j) El deporte</v>
      </c>
      <c r="M98" s="94">
        <f t="shared" si="9"/>
        <v>3</v>
      </c>
      <c r="N98" s="89" t="str">
        <f>Registro!M98</f>
        <v>e) La situación económica</v>
      </c>
      <c r="O98" s="89" t="str">
        <f>Registro!N98</f>
        <v>c) Poco</v>
      </c>
      <c r="P98" s="89" t="str">
        <f>Registro!O98</f>
        <v>b) Suficiente</v>
      </c>
      <c r="Q98" s="89" t="str">
        <f>Registro!P98</f>
        <v>b) Suficiente</v>
      </c>
      <c r="R98" s="89" t="str">
        <f>Registro!Q98</f>
        <v>a) La familia, e) Disponer de dinero, j) El deporte</v>
      </c>
      <c r="S98" s="94">
        <f t="shared" si="5"/>
        <v>3</v>
      </c>
      <c r="T98" s="89" t="str">
        <f>Registro!R98</f>
        <v>a) Mucho</v>
      </c>
      <c r="U98" s="89" t="str">
        <f>Registro!S98</f>
        <v>a) La Iglesia, b) La naturaleza, d) Las convivencias, e) Los amigos, f) Todas las personas, g) Mi familia, k) La oración</v>
      </c>
      <c r="V98" s="89" t="str">
        <f>Registro!T98</f>
        <v>c) Rezo solo en situación de dificultad</v>
      </c>
      <c r="W98" s="89" t="str">
        <f>Registro!U98</f>
        <v>d) Nunca</v>
      </c>
      <c r="X98" s="89" t="str">
        <f>Registro!V98</f>
        <v>b) Suelo bendedir los alimentos antes de comer, e) Voy a misa en las fechas de mis familiares difuntos, f) En alguna ocasión he rezado el rosario, g) En ocasiones, en mi casa tenemos una oración familiar</v>
      </c>
      <c r="Y98" s="89" t="str">
        <f>Registro!W98</f>
        <v>a) Deportivo</v>
      </c>
      <c r="Z98" s="89" t="str">
        <f>Registro!X98</f>
        <v>b) Un lugar donde comparto con mis compañeros</v>
      </c>
      <c r="AA98" s="89" t="str">
        <f>Registro!Y98</f>
        <v>b) No</v>
      </c>
      <c r="AB98" s="89" t="str">
        <f>Registro!Z98</f>
        <v>b) No</v>
      </c>
      <c r="AC98" s="89" t="str">
        <f>Registro!AA98</f>
        <v>f) Ciencias policiales o artes militares, h) Ciencias políticas</v>
      </c>
      <c r="AD98" s="94">
        <f t="shared" si="6"/>
        <v>2</v>
      </c>
      <c r="AE98" s="89" t="str">
        <f>Registro!AB98</f>
        <v>d) Desarrollarme personalmente</v>
      </c>
      <c r="AF98" s="89" t="str">
        <f>Registro!AC98</f>
        <v>d) Mucho o muchísimo</v>
      </c>
      <c r="AG98" s="89" t="str">
        <f>Registro!AD98</f>
        <v>a) Los deportes y diversiones, c) Las instalaciones del Colegio</v>
      </c>
      <c r="AH98" s="94">
        <f t="shared" si="7"/>
        <v>2</v>
      </c>
      <c r="AI98" s="89" t="str">
        <f>Registro!AE98</f>
        <v>e) 9 a 10 horas</v>
      </c>
      <c r="AJ98" s="89" t="str">
        <f>Registro!AF98</f>
        <v>b) Navego en Internet, k) Practico algún deporte, m) Veo televisión y/o películas</v>
      </c>
      <c r="AK98" s="94">
        <f t="shared" si="8"/>
        <v>3</v>
      </c>
      <c r="AL98" s="89" t="str">
        <f>Registro!AG98</f>
        <v>b) Bueno</v>
      </c>
      <c r="AM98" s="89" t="str">
        <f>Registro!AH98</f>
        <v>b) Buena</v>
      </c>
      <c r="AN98" s="89" t="str">
        <f>Registro!AI98</f>
        <v>b) Buena</v>
      </c>
      <c r="AO98" s="89" t="str">
        <f>Registro!AJ98</f>
        <v>d) Mala</v>
      </c>
      <c r="AP98" s="89" t="str">
        <f>Registro!AK98</f>
        <v>c) Regular</v>
      </c>
      <c r="AQ98" s="89" t="str">
        <f>Registro!AL98</f>
        <v>b) Buena</v>
      </c>
      <c r="AR98" s="89" t="str">
        <f>Registro!AM98</f>
        <v>a) Muy buena</v>
      </c>
      <c r="AS98" s="89" t="str">
        <f>Registro!AN98</f>
        <v>a) Muy buena</v>
      </c>
      <c r="AT98" s="89" t="str">
        <f>Registro!AO98</f>
        <v>b) Buena</v>
      </c>
      <c r="AU98" s="89" t="str">
        <f>Registro!AP98</f>
        <v>a) Muy buena</v>
      </c>
      <c r="AV98" s="89" t="str">
        <f>Registro!AQ98</f>
        <v>b) Buena</v>
      </c>
      <c r="AW98" s="89" t="str">
        <f>Registro!AR98</f>
        <v>h) La responsabilidad social y el servicio a los demás</v>
      </c>
      <c r="AX98" s="89" t="str">
        <f>Registro!AS98</f>
        <v>a) Que sea un buen profesional</v>
      </c>
      <c r="AY98" s="89" t="str">
        <f>Registro!AT98</f>
        <v>e) Absolutamente necesaria</v>
      </c>
      <c r="AZ98" s="89" t="str">
        <f>Registro!AU98</f>
        <v>b) Las veces que bebo, es con moderación</v>
      </c>
      <c r="BA98" s="89" t="str">
        <f>Registro!AV98</f>
        <v>e) Educadores que se preocupan de nosotros</v>
      </c>
      <c r="BB98" s="89" t="str">
        <f>Registro!AW98</f>
        <v>b) Poco</v>
      </c>
      <c r="BC98" s="89" t="str">
        <f>Registro!AX98</f>
        <v>d) Hay de todo tipo, pero predomina lo positivo</v>
      </c>
      <c r="BD98" s="89" t="str">
        <f>Registro!AY98</f>
        <v>b) Mi madre, c) Un hermano/a, g) Un amigo, h) Una amiga, j) Nadie</v>
      </c>
    </row>
    <row r="99" spans="1:56" ht="15" customHeight="1" x14ac:dyDescent="0.25">
      <c r="A99" s="101">
        <f>Registro!A99</f>
        <v>42127.496550925927</v>
      </c>
      <c r="B99" s="89" t="str">
        <f>Registro!B99</f>
        <v>c) Obra Social San José de Calasanz de Valencia</v>
      </c>
      <c r="C99" s="89" t="str">
        <f>Registro!C99</f>
        <v>b) Tercer año</v>
      </c>
      <c r="D99" s="89" t="str">
        <f>Registro!D99</f>
        <v>b) Primaria</v>
      </c>
      <c r="E99" s="89" t="str">
        <f>Registro!E99</f>
        <v>a) Masculino</v>
      </c>
      <c r="F99" s="89" t="str">
        <f>Registro!F99</f>
        <v>a) Católica</v>
      </c>
      <c r="G99" s="89" t="str">
        <f>Registro!G99</f>
        <v>a) Mamá, b) Papá, c) Hermanos, e) Otros familiares</v>
      </c>
      <c r="H99" s="89" t="str">
        <f>Registro!H99</f>
        <v>b) Casa Urbana</v>
      </c>
      <c r="I99" s="89" t="str">
        <f>Registro!I99</f>
        <v>c) Algo</v>
      </c>
      <c r="J99" s="89" t="str">
        <f>Registro!J99</f>
        <v>b) Lavadora, c) Microondas, d) TV pantalla plana, h) Carro, k) Aire acondicionado</v>
      </c>
      <c r="K99" s="89" t="str">
        <f>Registro!K99</f>
        <v>c) Dos</v>
      </c>
      <c r="L99" s="89" t="str">
        <f>Registro!L99</f>
        <v>a) La familia, c) Los estudios, d) El cuidado de mi cuerpo</v>
      </c>
      <c r="M99" s="94">
        <f t="shared" si="9"/>
        <v>3</v>
      </c>
      <c r="N99" s="89" t="str">
        <f>Registro!M99</f>
        <v>g) Mis estudios</v>
      </c>
      <c r="O99" s="89" t="str">
        <f>Registro!N99</f>
        <v>a) Mucho</v>
      </c>
      <c r="P99" s="89" t="str">
        <f>Registro!O99</f>
        <v>b) Suficiente</v>
      </c>
      <c r="Q99" s="89" t="str">
        <f>Registro!P99</f>
        <v>b) Suficiente</v>
      </c>
      <c r="R99" s="89" t="str">
        <f>Registro!Q99</f>
        <v>a) La familia, c) Los estudios, d) El cuidado de mi cuerpo</v>
      </c>
      <c r="S99" s="94">
        <f t="shared" si="5"/>
        <v>3</v>
      </c>
      <c r="T99" s="89" t="str">
        <f>Registro!R99</f>
        <v>a) Mucho</v>
      </c>
      <c r="U99" s="89" t="str">
        <f>Registro!S99</f>
        <v>a) La Iglesia, b) La naturaleza, c) El salón de clase, d) Las convivencias, e) Los amigos, f) Todas las personas, g) Mi familia, h) Algunas personas cercanas a Dios</v>
      </c>
      <c r="V99" s="89" t="str">
        <f>Registro!T99</f>
        <v>c) Rezo solo en situación de dificultad</v>
      </c>
      <c r="W99" s="89" t="str">
        <f>Registro!U99</f>
        <v>b) Algunos domingos</v>
      </c>
      <c r="X99" s="89" t="str">
        <f>Registro!V99</f>
        <v>d) Suelo orar todos los días</v>
      </c>
      <c r="Y99" s="89" t="str">
        <f>Registro!W99</f>
        <v>a) Deportivo</v>
      </c>
      <c r="Z99" s="89" t="str">
        <f>Registro!X99</f>
        <v>c) Un lugar donde me lo paso bien</v>
      </c>
      <c r="AA99" s="89" t="str">
        <f>Registro!Y99</f>
        <v>a) Sí</v>
      </c>
      <c r="AB99" s="89" t="str">
        <f>Registro!Z99</f>
        <v>b) No</v>
      </c>
      <c r="AC99" s="89" t="str">
        <f>Registro!AA99</f>
        <v>a) Medicina, h) Ciencias políticas</v>
      </c>
      <c r="AD99" s="94">
        <f t="shared" si="6"/>
        <v>2</v>
      </c>
      <c r="AE99" s="89" t="str">
        <f>Registro!AB99</f>
        <v>c) Ser un excelente profesional</v>
      </c>
      <c r="AF99" s="89" t="str">
        <f>Registro!AC99</f>
        <v>b) Poco</v>
      </c>
      <c r="AG99" s="89" t="str">
        <f>Registro!AD99</f>
        <v>a) Los deportes y diversiones, g) La relación con los docentes</v>
      </c>
      <c r="AH99" s="94">
        <f t="shared" si="7"/>
        <v>2</v>
      </c>
      <c r="AI99" s="89" t="str">
        <f>Registro!AE99</f>
        <v>e) 9 a 10 horas</v>
      </c>
      <c r="AJ99" s="89" t="str">
        <f>Registro!AF99</f>
        <v>b) Navego en Internet, e) Suelo ir a algún parque, h) Suelo ir al cine</v>
      </c>
      <c r="AK99" s="94">
        <f t="shared" si="8"/>
        <v>3</v>
      </c>
      <c r="AL99" s="89" t="str">
        <f>Registro!AG99</f>
        <v>c) Regular</v>
      </c>
      <c r="AM99" s="89" t="str">
        <f>Registro!AH99</f>
        <v>c) Regular</v>
      </c>
      <c r="AN99" s="89" t="str">
        <f>Registro!AI99</f>
        <v>c) Regular</v>
      </c>
      <c r="AO99" s="89" t="str">
        <f>Registro!AJ99</f>
        <v>b) Buena</v>
      </c>
      <c r="AP99" s="89" t="str">
        <f>Registro!AK99</f>
        <v>d) Mala</v>
      </c>
      <c r="AQ99" s="89" t="str">
        <f>Registro!AL99</f>
        <v>d) Mala</v>
      </c>
      <c r="AR99" s="89" t="str">
        <f>Registro!AM99</f>
        <v>b) Buena</v>
      </c>
      <c r="AS99" s="89" t="str">
        <f>Registro!AN99</f>
        <v>c) Regular</v>
      </c>
      <c r="AT99" s="89" t="str">
        <f>Registro!AO99</f>
        <v>a) Muy buena</v>
      </c>
      <c r="AU99" s="89" t="str">
        <f>Registro!AP99</f>
        <v>c) Regular</v>
      </c>
      <c r="AV99" s="89" t="str">
        <f>Registro!AQ99</f>
        <v>b) Buena</v>
      </c>
      <c r="AW99" s="89" t="str">
        <f>Registro!AR99</f>
        <v>c) El estudio</v>
      </c>
      <c r="AX99" s="89" t="str">
        <f>Registro!AS99</f>
        <v>a) Que sea un buen profesional</v>
      </c>
      <c r="AY99" s="89" t="str">
        <f>Registro!AT99</f>
        <v>c) Conveniente</v>
      </c>
      <c r="AZ99" s="89" t="str">
        <f>Registro!AU99</f>
        <v>b) Las veces que bebo, es con moderación</v>
      </c>
      <c r="BA99" s="89" t="str">
        <f>Registro!AV99</f>
        <v>a) Personas a las que tengo que aguantar</v>
      </c>
      <c r="BB99" s="89" t="str">
        <f>Registro!AW99</f>
        <v>e) No sé</v>
      </c>
      <c r="BC99" s="89" t="str">
        <f>Registro!AX99</f>
        <v>a) No me gustan en absoluto</v>
      </c>
      <c r="BD99" s="89" t="str">
        <f>Registro!AY99</f>
        <v>a) Mi padre, b) Mi madre, c) Un hermano/a, g) Un amigo, h) Una amiga</v>
      </c>
    </row>
    <row r="100" spans="1:56" ht="15" customHeight="1" x14ac:dyDescent="0.25">
      <c r="A100" s="101">
        <f>Registro!A100</f>
        <v>42127.49658564815</v>
      </c>
      <c r="B100" s="89" t="str">
        <f>Registro!B100</f>
        <v>c) Obra Social San José de Calasanz de Valencia</v>
      </c>
      <c r="C100" s="89" t="str">
        <f>Registro!C100</f>
        <v>b) Tercer año</v>
      </c>
      <c r="D100" s="89" t="str">
        <f>Registro!D100</f>
        <v>a) Educación Inicial</v>
      </c>
      <c r="E100" s="89" t="str">
        <f>Registro!E100</f>
        <v>b) Femenino</v>
      </c>
      <c r="F100" s="89" t="str">
        <f>Registro!F100</f>
        <v>a) Católica</v>
      </c>
      <c r="G100" s="89" t="str">
        <f>Registro!G100</f>
        <v>a) Mamá, b) Papá, c) Hermanos</v>
      </c>
      <c r="H100" s="89" t="str">
        <f>Registro!H100</f>
        <v>b) Casa Urbana</v>
      </c>
      <c r="I100" s="89" t="str">
        <f>Registro!I100</f>
        <v>a) Sí</v>
      </c>
      <c r="J100" s="89" t="str">
        <f>Registro!J100</f>
        <v>b) Lavadora, c) Microondas, d) TV pantalla plana, f) MP3, h) Carro, i) Computadora, j) Cámara digital, k) Aire acondicionado</v>
      </c>
      <c r="K100" s="89" t="str">
        <f>Registro!K100</f>
        <v>d) Tres</v>
      </c>
      <c r="L100" s="89" t="str">
        <f>Registro!L100</f>
        <v>a) La familia, c) Los estudios, d) El cuidado de mi cuerpo</v>
      </c>
      <c r="M100" s="94">
        <f t="shared" si="9"/>
        <v>3</v>
      </c>
      <c r="N100" s="89" t="str">
        <f>Registro!M100</f>
        <v>g) Mis estudios</v>
      </c>
      <c r="O100" s="89" t="str">
        <f>Registro!N100</f>
        <v>a) Mucho</v>
      </c>
      <c r="P100" s="89" t="str">
        <f>Registro!O100</f>
        <v>a) Mucho</v>
      </c>
      <c r="Q100" s="89" t="str">
        <f>Registro!P100</f>
        <v>a) Mucho</v>
      </c>
      <c r="R100" s="89" t="str">
        <f>Registro!Q100</f>
        <v>a) La familia, c) Los estudios</v>
      </c>
      <c r="S100" s="94">
        <f t="shared" si="5"/>
        <v>2</v>
      </c>
      <c r="T100" s="89" t="str">
        <f>Registro!R100</f>
        <v>a) Mucho</v>
      </c>
      <c r="U100" s="89" t="str">
        <f>Registro!S100</f>
        <v>a) La Iglesia, b) La naturaleza, c) El salón de clase, d) Las convivencias, e) Los amigos, f) Todas las personas, g) Mi familia, h) Algunas personas cercanas a Dios, j) Todas partes</v>
      </c>
      <c r="V100" s="89" t="str">
        <f>Registro!T100</f>
        <v>a) Suelo rezar por convicción o porque me gusta</v>
      </c>
      <c r="W100" s="89" t="str">
        <f>Registro!U100</f>
        <v>c) Solo en fechas especiales</v>
      </c>
      <c r="X100" s="89" t="str">
        <f>Registro!V100</f>
        <v>e) Voy a misa en las fechas de mis familiares difuntos, f) En alguna ocasión he rezado el rosario</v>
      </c>
      <c r="Y100" s="89" t="str">
        <f>Registro!W100</f>
        <v>d) No pertenezco a ninguno</v>
      </c>
      <c r="Z100" s="89" t="str">
        <f>Registro!X100</f>
        <v>d) No pertenezco a grupos juveniles cristianos</v>
      </c>
      <c r="AA100" s="89" t="str">
        <f>Registro!Y100</f>
        <v>b) No</v>
      </c>
      <c r="AB100" s="89" t="str">
        <f>Registro!Z100</f>
        <v>b) No</v>
      </c>
      <c r="AC100" s="89"/>
      <c r="AD100" s="94">
        <f t="shared" si="6"/>
        <v>0</v>
      </c>
      <c r="AE100" s="89" t="str">
        <f>Registro!AB100</f>
        <v>b) Tener una buena posición social, ser importante</v>
      </c>
      <c r="AF100" s="89" t="str">
        <f>Registro!AC100</f>
        <v>c) Bastante</v>
      </c>
      <c r="AG100" s="89" t="str">
        <f>Registro!AD100</f>
        <v>a) Los deportes y diversiones</v>
      </c>
      <c r="AH100" s="94">
        <f t="shared" si="7"/>
        <v>1</v>
      </c>
      <c r="AI100" s="89" t="str">
        <f>Registro!AE100</f>
        <v>b) 3 a 4 horas</v>
      </c>
      <c r="AJ100" s="89" t="str">
        <f>Registro!AF100</f>
        <v>e) Suelo ir a algún parque, h) Suelo ir al cine, l) Escucho música y/o veo videos musicales</v>
      </c>
      <c r="AK100" s="94">
        <f t="shared" si="8"/>
        <v>3</v>
      </c>
      <c r="AL100" s="89" t="str">
        <f>Registro!AG100</f>
        <v>b) Bueno</v>
      </c>
      <c r="AM100" s="89" t="str">
        <f>Registro!AH100</f>
        <v>b) Buena</v>
      </c>
      <c r="AN100" s="89" t="str">
        <f>Registro!AI100</f>
        <v>b) Buena</v>
      </c>
      <c r="AO100" s="89" t="str">
        <f>Registro!AJ100</f>
        <v>b) Buena</v>
      </c>
      <c r="AP100" s="89" t="str">
        <f>Registro!AK100</f>
        <v>c) Regular</v>
      </c>
      <c r="AQ100" s="89" t="str">
        <f>Registro!AL100</f>
        <v>b) Buena</v>
      </c>
      <c r="AR100" s="89" t="str">
        <f>Registro!AM100</f>
        <v>b) Buena</v>
      </c>
      <c r="AS100" s="89" t="str">
        <f>Registro!AN100</f>
        <v>b) Buena</v>
      </c>
      <c r="AT100" s="89" t="str">
        <f>Registro!AO100</f>
        <v>c) Regular</v>
      </c>
      <c r="AU100" s="89" t="str">
        <f>Registro!AP100</f>
        <v>b) Buena</v>
      </c>
      <c r="AV100" s="89" t="str">
        <f>Registro!AQ100</f>
        <v>c) Regular</v>
      </c>
      <c r="AW100" s="89" t="str">
        <f>Registro!AR100</f>
        <v>e) La disciplina y el orden</v>
      </c>
      <c r="AX100" s="89" t="str">
        <f>Registro!AS100</f>
        <v>b) Darme una buena educación</v>
      </c>
      <c r="AY100" s="89" t="str">
        <f>Registro!AT100</f>
        <v>d) Bastante necesaria</v>
      </c>
      <c r="AZ100" s="89" t="str">
        <f>Registro!AU100</f>
        <v>c) Alguna vez he bebido más de la cuenta</v>
      </c>
      <c r="BA100" s="89" t="str">
        <f>Registro!AV100</f>
        <v>e) Educadores que se preocupan de nosotros</v>
      </c>
      <c r="BB100" s="89" t="str">
        <f>Registro!AW100</f>
        <v>c) Bastante</v>
      </c>
      <c r="BC100" s="89" t="str">
        <f>Registro!AX100</f>
        <v>b) Hay de todo tipo, pero predomina lo negativo</v>
      </c>
      <c r="BD100" s="89" t="str">
        <f>Registro!AY100</f>
        <v>a) Mi padre, c) Un hermano/a</v>
      </c>
    </row>
    <row r="101" spans="1:56" ht="15" customHeight="1" x14ac:dyDescent="0.25">
      <c r="A101" s="101">
        <f>Registro!A101</f>
        <v>42127.497083333335</v>
      </c>
      <c r="B101" s="89" t="str">
        <f>Registro!B101</f>
        <v>c) Obra Social San José de Calasanz de Valencia</v>
      </c>
      <c r="C101" s="89" t="str">
        <f>Registro!C101</f>
        <v>b) Tercer año</v>
      </c>
      <c r="D101" s="89" t="str">
        <f>Registro!D101</f>
        <v>a) Educación Inicial</v>
      </c>
      <c r="E101" s="89" t="str">
        <f>Registro!E101</f>
        <v>b) Femenino</v>
      </c>
      <c r="F101" s="89" t="str">
        <f>Registro!F101</f>
        <v>a) Católica</v>
      </c>
      <c r="G101" s="89" t="str">
        <f>Registro!G101</f>
        <v>a) Mamá, b) Papá, c) Hermanos</v>
      </c>
      <c r="H101" s="89" t="str">
        <f>Registro!H101</f>
        <v>e) Rancho</v>
      </c>
      <c r="I101" s="89" t="str">
        <f>Registro!I101</f>
        <v>a) Sí</v>
      </c>
      <c r="J101" s="89" t="str">
        <f>Registro!J101</f>
        <v>b) Lavadora</v>
      </c>
      <c r="K101" s="89" t="str">
        <f>Registro!K101</f>
        <v>b) Una</v>
      </c>
      <c r="L101" s="89" t="str">
        <f>Registro!L101</f>
        <v>a) La familia, c) Los estudios, d) El cuidado de mi cuerpo</v>
      </c>
      <c r="M101" s="94">
        <f t="shared" si="9"/>
        <v>3</v>
      </c>
      <c r="N101" s="89" t="str">
        <f>Registro!M101</f>
        <v>e) La situación económica</v>
      </c>
      <c r="O101" s="89" t="str">
        <f>Registro!N101</f>
        <v>c) Poco</v>
      </c>
      <c r="P101" s="89" t="str">
        <f>Registro!O101</f>
        <v>a) Mucho</v>
      </c>
      <c r="Q101" s="89" t="str">
        <f>Registro!P101</f>
        <v>a) Mucho</v>
      </c>
      <c r="R101" s="89" t="str">
        <f>Registro!Q101</f>
        <v>a) La familia, c) Los estudios, d) El cuidado de mi cuerpo</v>
      </c>
      <c r="S101" s="94">
        <f t="shared" si="5"/>
        <v>3</v>
      </c>
      <c r="T101" s="89" t="str">
        <f>Registro!R101</f>
        <v>a) Mucho</v>
      </c>
      <c r="U101" s="89" t="str">
        <f>Registro!S101</f>
        <v>a) La Iglesia, c) El salón de clase, d) Las convivencias, f) Todas las personas, g) Mi familia</v>
      </c>
      <c r="V101" s="89" t="str">
        <f>Registro!T101</f>
        <v>b) Rezo por costumbre</v>
      </c>
      <c r="W101" s="89" t="str">
        <f>Registro!U101</f>
        <v>a) Todos los domingos</v>
      </c>
      <c r="X101" s="89" t="str">
        <f>Registro!V101</f>
        <v>b) Suelo bendedir los alimentos antes de comer, d) Suelo orar todos los días, h) En Semana Santa asisto a las procesiones</v>
      </c>
      <c r="Y101" s="89" t="str">
        <f>Registro!W101</f>
        <v>d) No pertenezco a ninguno</v>
      </c>
      <c r="Z101" s="89" t="str">
        <f>Registro!X101</f>
        <v>d) No pertenezco a grupos juveniles cristianos</v>
      </c>
      <c r="AA101" s="89" t="str">
        <f>Registro!Y101</f>
        <v>b) No</v>
      </c>
      <c r="AB101" s="89" t="str">
        <f>Registro!Z101</f>
        <v>b) No</v>
      </c>
      <c r="AC101" s="89"/>
      <c r="AD101" s="94">
        <f t="shared" si="6"/>
        <v>0</v>
      </c>
      <c r="AE101" s="89" t="str">
        <f>Registro!AB101</f>
        <v>c) Ser un excelente profesional</v>
      </c>
      <c r="AF101" s="89" t="str">
        <f>Registro!AC101</f>
        <v>c) Bastante</v>
      </c>
      <c r="AG101" s="89" t="str">
        <f>Registro!AD101</f>
        <v>c) Las instalaciones del Colegio, h) Las actividades extraescolares</v>
      </c>
      <c r="AH101" s="94">
        <f t="shared" si="7"/>
        <v>2</v>
      </c>
      <c r="AI101" s="89" t="str">
        <f>Registro!AE101</f>
        <v>b) 3 a 4 horas</v>
      </c>
      <c r="AJ101" s="89" t="str">
        <f>Registro!AF101</f>
        <v>e) Suelo ir a algún parque, l) Escucho música y/o veo videos musicales, m) Veo televisión y/o películas</v>
      </c>
      <c r="AK101" s="94">
        <f t="shared" si="8"/>
        <v>3</v>
      </c>
      <c r="AL101" s="89" t="str">
        <f>Registro!AG101</f>
        <v>b) Bueno</v>
      </c>
      <c r="AM101" s="89" t="str">
        <f>Registro!AH101</f>
        <v>b) Buena</v>
      </c>
      <c r="AN101" s="89" t="str">
        <f>Registro!AI101</f>
        <v>b) Buena</v>
      </c>
      <c r="AO101" s="89" t="str">
        <f>Registro!AJ101</f>
        <v>a) Muy buena</v>
      </c>
      <c r="AP101" s="89" t="str">
        <f>Registro!AK101</f>
        <v>a) Muy buena</v>
      </c>
      <c r="AQ101" s="89" t="str">
        <f>Registro!AL101</f>
        <v>a) Muy buena</v>
      </c>
      <c r="AR101" s="89" t="str">
        <f>Registro!AM101</f>
        <v>a) Muy buena</v>
      </c>
      <c r="AS101" s="89" t="str">
        <f>Registro!AN101</f>
        <v>a) Muy buena</v>
      </c>
      <c r="AT101" s="89" t="str">
        <f>Registro!AO101</f>
        <v>b) Buena</v>
      </c>
      <c r="AU101" s="89" t="str">
        <f>Registro!AP101</f>
        <v>a) Muy buena</v>
      </c>
      <c r="AV101" s="89" t="str">
        <f>Registro!AQ101</f>
        <v>a) Muy buena</v>
      </c>
      <c r="AW101" s="89" t="str">
        <f>Registro!AR101</f>
        <v>c) El estudio</v>
      </c>
      <c r="AX101" s="89" t="str">
        <f>Registro!AS101</f>
        <v>b) Darme una buena educación</v>
      </c>
      <c r="AY101" s="89" t="str">
        <f>Registro!AT101</f>
        <v>e) Absolutamente necesaria</v>
      </c>
      <c r="AZ101" s="89">
        <f>Registro!AU101</f>
        <v>0</v>
      </c>
      <c r="BA101" s="89" t="str">
        <f>Registro!AV101</f>
        <v>f) Educadores que, además, me han abierto caminos</v>
      </c>
      <c r="BB101" s="89" t="str">
        <f>Registro!AW101</f>
        <v>b) Poco</v>
      </c>
      <c r="BC101" s="89" t="str">
        <f>Registro!AX101</f>
        <v>c) Son personas normales y corrientes</v>
      </c>
      <c r="BD101" s="89" t="str">
        <f>Registro!AY101</f>
        <v>a) Mi padre, b) Mi madre, e) Un, una docente, f) La orientadora, h) Una amiga</v>
      </c>
    </row>
    <row r="102" spans="1:56" ht="15" customHeight="1" x14ac:dyDescent="0.25">
      <c r="A102" s="101">
        <f>Registro!A102</f>
        <v>42127.498240740744</v>
      </c>
      <c r="B102" s="89" t="str">
        <f>Registro!B102</f>
        <v>c) Obra Social San José de Calasanz de Valencia</v>
      </c>
      <c r="C102" s="89" t="str">
        <f>Registro!C102</f>
        <v>b) Tercer año</v>
      </c>
      <c r="D102" s="89" t="str">
        <f>Registro!D102</f>
        <v>a) Educación Inicial</v>
      </c>
      <c r="E102" s="89" t="str">
        <f>Registro!E102</f>
        <v>a) Masculino</v>
      </c>
      <c r="F102" s="89" t="str">
        <f>Registro!F102</f>
        <v>a) Católica</v>
      </c>
      <c r="G102" s="89" t="str">
        <f>Registro!G102</f>
        <v>a) Mamá, c) Hermanos, d) Abuelos, e) Otros familiares</v>
      </c>
      <c r="H102" s="89" t="str">
        <f>Registro!H102</f>
        <v>b) Casa Urbana</v>
      </c>
      <c r="I102" s="89" t="str">
        <f>Registro!I102</f>
        <v>a) Sí</v>
      </c>
      <c r="J102" s="89" t="str">
        <f>Registro!J102</f>
        <v>a) Cónsola videojuegos, b) Lavadora, d) TV pantalla plana, f) MP3, g) MP4, i) Computadora, j) Cámara digital, k) Aire acondicionado</v>
      </c>
      <c r="K102" s="89" t="str">
        <f>Registro!K102</f>
        <v>c) Dos</v>
      </c>
      <c r="L102" s="89"/>
      <c r="M102" s="94">
        <f t="shared" si="9"/>
        <v>0</v>
      </c>
      <c r="N102" s="89" t="str">
        <f>Registro!M102</f>
        <v>d) Los problemas familiares</v>
      </c>
      <c r="O102" s="89" t="str">
        <f>Registro!N102</f>
        <v>b) Suficiente</v>
      </c>
      <c r="P102" s="89" t="str">
        <f>Registro!O102</f>
        <v>c) Poco</v>
      </c>
      <c r="Q102" s="89" t="str">
        <f>Registro!P102</f>
        <v>b) Suficiente</v>
      </c>
      <c r="R102" s="89" t="str">
        <f>Registro!Q102</f>
        <v>a) La familia, c) Los estudios, g) La felicidad</v>
      </c>
      <c r="S102" s="94">
        <f t="shared" si="5"/>
        <v>3</v>
      </c>
      <c r="T102" s="89" t="str">
        <f>Registro!R102</f>
        <v>b) Suficiente</v>
      </c>
      <c r="U102" s="89" t="str">
        <f>Registro!S102</f>
        <v>a) La Iglesia, b) La naturaleza, e) Los amigos, g) Mi familia, k) La oración</v>
      </c>
      <c r="V102" s="89" t="str">
        <f>Registro!T102</f>
        <v>a) Suelo rezar por convicción o porque me gusta</v>
      </c>
      <c r="W102" s="89" t="str">
        <f>Registro!U102</f>
        <v>c) Solo en fechas especiales</v>
      </c>
      <c r="X102" s="89" t="str">
        <f>Registro!V102</f>
        <v>d) Suelo orar todos los días, e) Voy a misa en las fechas de mis familiares difuntos, f) En alguna ocasión he rezado el rosario, i) Tengo en mi cuarto alguna imagen religiosa</v>
      </c>
      <c r="Y102" s="89" t="str">
        <f>Registro!W102</f>
        <v>a) Deportivo</v>
      </c>
      <c r="Z102" s="89" t="str">
        <f>Registro!X102</f>
        <v>d) No pertenezco a grupos juveniles cristianos</v>
      </c>
      <c r="AA102" s="89" t="str">
        <f>Registro!Y102</f>
        <v>b) No</v>
      </c>
      <c r="AB102" s="89" t="str">
        <f>Registro!Z102</f>
        <v>c) Algo</v>
      </c>
      <c r="AC102" s="89"/>
      <c r="AD102" s="94">
        <f t="shared" si="6"/>
        <v>0</v>
      </c>
      <c r="AE102" s="89" t="str">
        <f>Registro!AB102</f>
        <v>c) Ser un excelente profesional</v>
      </c>
      <c r="AF102" s="89" t="str">
        <f>Registro!AC102</f>
        <v>d) Mucho o muchísimo</v>
      </c>
      <c r="AG102" s="89"/>
      <c r="AH102" s="94">
        <f t="shared" si="7"/>
        <v>0</v>
      </c>
      <c r="AI102" s="89" t="str">
        <f>Registro!AE102</f>
        <v>c) 5 a 6 horas</v>
      </c>
      <c r="AJ102" s="89"/>
      <c r="AK102" s="94">
        <f t="shared" si="8"/>
        <v>0</v>
      </c>
      <c r="AL102" s="89" t="str">
        <f>Registro!AG102</f>
        <v>b) Bueno</v>
      </c>
      <c r="AM102" s="89" t="str">
        <f>Registro!AH102</f>
        <v>b) Buena</v>
      </c>
      <c r="AN102" s="89" t="str">
        <f>Registro!AI102</f>
        <v>b) Buena</v>
      </c>
      <c r="AO102" s="89" t="str">
        <f>Registro!AJ102</f>
        <v>b) Buena</v>
      </c>
      <c r="AP102" s="89" t="str">
        <f>Registro!AK102</f>
        <v>b) Buena</v>
      </c>
      <c r="AQ102" s="89" t="str">
        <f>Registro!AL102</f>
        <v>b) Buena</v>
      </c>
      <c r="AR102" s="89" t="str">
        <f>Registro!AM102</f>
        <v>c) Regular</v>
      </c>
      <c r="AS102" s="89" t="str">
        <f>Registro!AN102</f>
        <v>b) Buena</v>
      </c>
      <c r="AT102" s="89" t="str">
        <f>Registro!AO102</f>
        <v>b) Buena</v>
      </c>
      <c r="AU102" s="89" t="str">
        <f>Registro!AP102</f>
        <v>b) Buena</v>
      </c>
      <c r="AV102" s="89" t="str">
        <f>Registro!AQ102</f>
        <v>b) Buena</v>
      </c>
      <c r="AW102" s="89" t="str">
        <f>Registro!AR102</f>
        <v>c) El estudio</v>
      </c>
      <c r="AX102" s="89" t="str">
        <f>Registro!AS102</f>
        <v>a) Que sea un buen profesional</v>
      </c>
      <c r="AY102" s="89" t="str">
        <f>Registro!AT102</f>
        <v>e) Absolutamente necesaria</v>
      </c>
      <c r="AZ102" s="89" t="str">
        <f>Registro!AU102</f>
        <v>b) Las veces que bebo, es con moderación</v>
      </c>
      <c r="BA102" s="89" t="str">
        <f>Registro!AV102</f>
        <v>f) Educadores que, además, me han abierto caminos</v>
      </c>
      <c r="BB102" s="89" t="str">
        <f>Registro!AW102</f>
        <v>d) Mucho o muchísimo</v>
      </c>
      <c r="BC102" s="89" t="str">
        <f>Registro!AX102</f>
        <v>d) Hay de todo tipo, pero predomina lo positivo</v>
      </c>
      <c r="BD102" s="89" t="str">
        <f>Registro!AY102</f>
        <v>b) Mi madre, d) Un escolapio, religioso o religiosa, g) Un amigo, h) Una amiga</v>
      </c>
    </row>
    <row r="103" spans="1:56" ht="15" customHeight="1" x14ac:dyDescent="0.25">
      <c r="A103" s="101">
        <f>Registro!A103</f>
        <v>42127.499074074076</v>
      </c>
      <c r="B103" s="89" t="str">
        <f>Registro!B103</f>
        <v>c) Obra Social San José de Calasanz de Valencia</v>
      </c>
      <c r="C103" s="89" t="str">
        <f>Registro!C103</f>
        <v>b) Tercer año</v>
      </c>
      <c r="D103" s="89" t="str">
        <f>Registro!D103</f>
        <v>a) Educación Inicial</v>
      </c>
      <c r="E103" s="89" t="str">
        <f>Registro!E103</f>
        <v>b) Femenino</v>
      </c>
      <c r="F103" s="89" t="str">
        <f>Registro!F103</f>
        <v>a) Católica</v>
      </c>
      <c r="G103" s="89" t="str">
        <f>Registro!G103</f>
        <v>a) Mamá, c) Hermanos</v>
      </c>
      <c r="H103" s="89" t="str">
        <f>Registro!H103</f>
        <v>b) Casa Urbana</v>
      </c>
      <c r="I103" s="89" t="str">
        <f>Registro!I103</f>
        <v>a) Sí</v>
      </c>
      <c r="J103" s="89" t="str">
        <f>Registro!J103</f>
        <v>b) Lavadora, e) Moto, f) MP3, i) Computadora, j) Cámara digital</v>
      </c>
      <c r="K103" s="89" t="str">
        <f>Registro!K103</f>
        <v>b) Una</v>
      </c>
      <c r="L103" s="89"/>
      <c r="M103" s="94">
        <f t="shared" si="9"/>
        <v>0</v>
      </c>
      <c r="N103" s="89" t="str">
        <f>Registro!M103</f>
        <v>b) El futuro</v>
      </c>
      <c r="O103" s="89" t="str">
        <f>Registro!N103</f>
        <v>a) Mucho</v>
      </c>
      <c r="P103" s="89" t="str">
        <f>Registro!O103</f>
        <v>b) Suficiente</v>
      </c>
      <c r="Q103" s="89" t="str">
        <f>Registro!P103</f>
        <v>b) Suficiente</v>
      </c>
      <c r="R103" s="89" t="str">
        <f>Registro!Q103</f>
        <v>a) La familia, c) Los estudios, f) Mi fe y mi vida cristiana</v>
      </c>
      <c r="S103" s="94">
        <f t="shared" si="5"/>
        <v>3</v>
      </c>
      <c r="T103" s="89" t="str">
        <f>Registro!R103</f>
        <v>a) Mucho</v>
      </c>
      <c r="U103" s="89" t="str">
        <f>Registro!S103</f>
        <v>a) La Iglesia, h) Algunas personas cercanas a Dios</v>
      </c>
      <c r="V103" s="89">
        <f>Registro!T103</f>
        <v>0</v>
      </c>
      <c r="W103" s="89">
        <f>Registro!U103</f>
        <v>0</v>
      </c>
      <c r="X103" s="89" t="str">
        <f>Registro!V103</f>
        <v>d) Suelo orar todos los días, e) Voy a misa en las fechas de mis familiares difuntos, f) En alguna ocasión he rezado el rosario</v>
      </c>
      <c r="Y103" s="89" t="str">
        <f>Registro!W103</f>
        <v>d) No pertenezco a ninguno</v>
      </c>
      <c r="Z103" s="89" t="str">
        <f>Registro!X103</f>
        <v>b) Un lugar donde comparto con mis compañeros</v>
      </c>
      <c r="AA103" s="89" t="str">
        <f>Registro!Y103</f>
        <v>b) No</v>
      </c>
      <c r="AB103" s="89" t="str">
        <f>Registro!Z103</f>
        <v>b) No</v>
      </c>
      <c r="AC103" s="89"/>
      <c r="AD103" s="94">
        <f t="shared" si="6"/>
        <v>0</v>
      </c>
      <c r="AE103" s="89" t="str">
        <f>Registro!AB103</f>
        <v>d) Desarrollarme personalmente</v>
      </c>
      <c r="AF103" s="89" t="str">
        <f>Registro!AC103</f>
        <v>b) Poco</v>
      </c>
      <c r="AG103" s="89" t="str">
        <f>Registro!AD103</f>
        <v>c) Las instalaciones del Colegio, h) Las actividades extraescolares</v>
      </c>
      <c r="AH103" s="94">
        <f t="shared" si="7"/>
        <v>2</v>
      </c>
      <c r="AI103" s="89" t="str">
        <f>Registro!AE103</f>
        <v>d) 7 a 8 horas</v>
      </c>
      <c r="AJ103" s="89" t="str">
        <f>Registro!AF103</f>
        <v>e) Suelo ir a algún parque, l) Escucho música y/o veo videos musicales</v>
      </c>
      <c r="AK103" s="94">
        <f t="shared" si="8"/>
        <v>2</v>
      </c>
      <c r="AL103" s="89" t="str">
        <f>Registro!AG103</f>
        <v>b) Bueno</v>
      </c>
      <c r="AM103" s="89" t="str">
        <f>Registro!AH103</f>
        <v>b) Buena</v>
      </c>
      <c r="AN103" s="89" t="str">
        <f>Registro!AI103</f>
        <v>a) Muy buena</v>
      </c>
      <c r="AO103" s="89" t="str">
        <f>Registro!AJ103</f>
        <v>b) Buena</v>
      </c>
      <c r="AP103" s="89" t="str">
        <f>Registro!AK103</f>
        <v>c) Regular</v>
      </c>
      <c r="AQ103" s="89" t="str">
        <f>Registro!AL103</f>
        <v>c) Regular</v>
      </c>
      <c r="AR103" s="89" t="str">
        <f>Registro!AM103</f>
        <v>c) Regular</v>
      </c>
      <c r="AS103" s="89" t="str">
        <f>Registro!AN103</f>
        <v>c) Regular</v>
      </c>
      <c r="AT103" s="89" t="str">
        <f>Registro!AO103</f>
        <v>c) Regular</v>
      </c>
      <c r="AU103" s="89" t="str">
        <f>Registro!AP103</f>
        <v>b) Buena</v>
      </c>
      <c r="AV103" s="89" t="str">
        <f>Registro!AQ103</f>
        <v>b) Buena</v>
      </c>
      <c r="AW103" s="89" t="str">
        <f>Registro!AR103</f>
        <v>e) La disciplina y el orden</v>
      </c>
      <c r="AX103" s="89" t="str">
        <f>Registro!AS103</f>
        <v>b) Darme una buena educación</v>
      </c>
      <c r="AY103" s="89" t="str">
        <f>Registro!AT103</f>
        <v>d) Bastante necesaria</v>
      </c>
      <c r="AZ103" s="89" t="str">
        <f>Registro!AU103</f>
        <v>b) Las veces que bebo, es con moderación</v>
      </c>
      <c r="BA103" s="89" t="str">
        <f>Registro!AV103</f>
        <v>d) Buenos profesionales de la educación</v>
      </c>
      <c r="BB103" s="89" t="str">
        <f>Registro!AW103</f>
        <v>b) Poco</v>
      </c>
      <c r="BC103" s="89" t="str">
        <f>Registro!AX103</f>
        <v>a) No me gustan en absoluto</v>
      </c>
      <c r="BD103" s="89" t="str">
        <f>Registro!AY103</f>
        <v>c) Un hermano/a</v>
      </c>
    </row>
    <row r="104" spans="1:56" ht="15" customHeight="1" x14ac:dyDescent="0.25">
      <c r="A104" s="101">
        <f>Registro!A104</f>
        <v>42127.49927083333</v>
      </c>
      <c r="B104" s="89" t="str">
        <f>Registro!B104</f>
        <v>c) Obra Social San José de Calasanz de Valencia</v>
      </c>
      <c r="C104" s="89" t="str">
        <f>Registro!C104</f>
        <v>b) Tercer año</v>
      </c>
      <c r="D104" s="89" t="str">
        <f>Registro!D104</f>
        <v>c) Entre Primero y Tercer año</v>
      </c>
      <c r="E104" s="89" t="str">
        <f>Registro!E104</f>
        <v>a) Masculino</v>
      </c>
      <c r="F104" s="89" t="str">
        <f>Registro!F104</f>
        <v>a) Católica</v>
      </c>
      <c r="G104" s="89" t="str">
        <f>Registro!G104</f>
        <v>a) Mamá, b) Papá, c) Hermanos, d) Abuelos, e) Otros familiares</v>
      </c>
      <c r="H104" s="89" t="str">
        <f>Registro!H104</f>
        <v>b) Casa Urbana</v>
      </c>
      <c r="I104" s="89" t="str">
        <f>Registro!I104</f>
        <v>a) Sí</v>
      </c>
      <c r="J104" s="89" t="str">
        <f>Registro!J104</f>
        <v>a) Cónsola videojuegos, b) Lavadora, c) Microondas, d) TV pantalla plana, f) MP3, g) MP4, h) Carro, i) Computadora, j) Cámara digital, k) Aire acondicionado</v>
      </c>
      <c r="K104" s="89" t="str">
        <f>Registro!K104</f>
        <v>e) Cuatro</v>
      </c>
      <c r="L104" s="89" t="str">
        <f>Registro!L104</f>
        <v>a) La familia, d) El cuidado de mi cuerpo, j) El deporte</v>
      </c>
      <c r="M104" s="94">
        <f t="shared" si="9"/>
        <v>3</v>
      </c>
      <c r="N104" s="89" t="str">
        <f>Registro!M104</f>
        <v>g) Mis estudios</v>
      </c>
      <c r="O104" s="89" t="str">
        <f>Registro!N104</f>
        <v>b) Suficiente</v>
      </c>
      <c r="P104" s="89" t="str">
        <f>Registro!O104</f>
        <v>c) Poco</v>
      </c>
      <c r="Q104" s="89" t="str">
        <f>Registro!P104</f>
        <v>b) Suficiente</v>
      </c>
      <c r="R104" s="89" t="str">
        <f>Registro!Q104</f>
        <v>a) La familia, c) Los estudios, d) El cuidado de mi cuerpo</v>
      </c>
      <c r="S104" s="94">
        <f t="shared" si="5"/>
        <v>3</v>
      </c>
      <c r="T104" s="89" t="str">
        <f>Registro!R104</f>
        <v>a) Mucho</v>
      </c>
      <c r="U104" s="89" t="str">
        <f>Registro!S104</f>
        <v>a) La Iglesia, b) La naturaleza, g) Mi familia, j) Todas partes</v>
      </c>
      <c r="V104" s="89" t="str">
        <f>Registro!T104</f>
        <v>a) Suelo rezar por convicción o porque me gusta</v>
      </c>
      <c r="W104" s="89" t="str">
        <f>Registro!U104</f>
        <v>b) Algunos domingos</v>
      </c>
      <c r="X104" s="89" t="str">
        <f>Registro!V104</f>
        <v>e) Voy a misa en las fechas de mis familiares difuntos</v>
      </c>
      <c r="Y104" s="89" t="str">
        <f>Registro!W104</f>
        <v>d) No pertenezco a ninguno</v>
      </c>
      <c r="Z104" s="89" t="str">
        <f>Registro!X104</f>
        <v>d) No pertenezco a grupos juveniles cristianos</v>
      </c>
      <c r="AA104" s="89" t="str">
        <f>Registro!Y104</f>
        <v>b) No</v>
      </c>
      <c r="AB104" s="89" t="str">
        <f>Registro!Z104</f>
        <v>b) No</v>
      </c>
      <c r="AC104" s="89"/>
      <c r="AD104" s="94">
        <f t="shared" si="6"/>
        <v>0</v>
      </c>
      <c r="AE104" s="89" t="str">
        <f>Registro!AB104</f>
        <v>b) Tener una buena posición social, ser importante</v>
      </c>
      <c r="AF104" s="89" t="str">
        <f>Registro!AC104</f>
        <v>e) No sé</v>
      </c>
      <c r="AG104" s="89" t="str">
        <f>Registro!AD104</f>
        <v>a) Los deportes y diversiones</v>
      </c>
      <c r="AH104" s="94">
        <f t="shared" si="7"/>
        <v>1</v>
      </c>
      <c r="AI104" s="89" t="str">
        <f>Registro!AE104</f>
        <v>a) 0 a 2 horas</v>
      </c>
      <c r="AJ104" s="89" t="str">
        <f>Registro!AF104</f>
        <v>e) Suelo ir a algún parque</v>
      </c>
      <c r="AK104" s="94">
        <f t="shared" si="8"/>
        <v>1</v>
      </c>
      <c r="AL104" s="89" t="str">
        <f>Registro!AG104</f>
        <v>b) Bueno</v>
      </c>
      <c r="AM104" s="89" t="str">
        <f>Registro!AH104</f>
        <v>f) No aplica</v>
      </c>
      <c r="AN104" s="89" t="str">
        <f>Registro!AI104</f>
        <v>f) No aplica</v>
      </c>
      <c r="AO104" s="89" t="str">
        <f>Registro!AJ104</f>
        <v>f) No aplica</v>
      </c>
      <c r="AP104" s="89" t="str">
        <f>Registro!AK104</f>
        <v>f) No aplica</v>
      </c>
      <c r="AQ104" s="89" t="str">
        <f>Registro!AL104</f>
        <v>f) No aplica</v>
      </c>
      <c r="AR104" s="89" t="str">
        <f>Registro!AM104</f>
        <v>f) No aplica</v>
      </c>
      <c r="AS104" s="89" t="str">
        <f>Registro!AN104</f>
        <v>f) No aplica</v>
      </c>
      <c r="AT104" s="89" t="str">
        <f>Registro!AO104</f>
        <v>f) No aplica</v>
      </c>
      <c r="AU104" s="89" t="str">
        <f>Registro!AP104</f>
        <v>f) No aplica</v>
      </c>
      <c r="AV104" s="89" t="str">
        <f>Registro!AQ104</f>
        <v>f) No aplica</v>
      </c>
      <c r="AW104" s="89" t="str">
        <f>Registro!AR104</f>
        <v>a) El compañerismo</v>
      </c>
      <c r="AX104" s="89">
        <f>Registro!AS104</f>
        <v>0</v>
      </c>
      <c r="AY104" s="89">
        <f>Registro!AT104</f>
        <v>0</v>
      </c>
      <c r="AZ104" s="89">
        <f>Registro!AU104</f>
        <v>0</v>
      </c>
      <c r="BA104" s="89">
        <f>Registro!AV104</f>
        <v>0</v>
      </c>
      <c r="BB104" s="89" t="str">
        <f>Registro!AW104</f>
        <v>e) No sé</v>
      </c>
      <c r="BC104" s="89">
        <f>Registro!AX104</f>
        <v>0</v>
      </c>
      <c r="BD104" s="89" t="str">
        <f>Registro!AY104</f>
        <v>a) Mi padre, b) Mi madre, c) Un hermano/a</v>
      </c>
    </row>
    <row r="105" spans="1:56" ht="15" customHeight="1" x14ac:dyDescent="0.25">
      <c r="A105" s="101">
        <f>Registro!A105</f>
        <v>42127.499907407408</v>
      </c>
      <c r="B105" s="89" t="str">
        <f>Registro!B105</f>
        <v>c) Obra Social San José de Calasanz de Valencia</v>
      </c>
      <c r="C105" s="89" t="str">
        <f>Registro!C105</f>
        <v>b) Tercer año</v>
      </c>
      <c r="D105" s="89" t="str">
        <f>Registro!D105</f>
        <v>a) Educación Inicial</v>
      </c>
      <c r="E105" s="89" t="str">
        <f>Registro!E105</f>
        <v>a) Masculino</v>
      </c>
      <c r="F105" s="89" t="str">
        <f>Registro!F105</f>
        <v>b) Evangélica</v>
      </c>
      <c r="G105" s="89" t="str">
        <f>Registro!G105</f>
        <v>a) Mamá, c) Hermanos</v>
      </c>
      <c r="H105" s="89" t="str">
        <f>Registro!H105</f>
        <v>b) Casa Urbana</v>
      </c>
      <c r="I105" s="89" t="str">
        <f>Registro!I105</f>
        <v>c) Algo</v>
      </c>
      <c r="J105" s="89" t="str">
        <f>Registro!J105</f>
        <v>i) Computadora</v>
      </c>
      <c r="K105" s="89" t="str">
        <f>Registro!K105</f>
        <v>a) Ninguna</v>
      </c>
      <c r="L105" s="89"/>
      <c r="M105" s="94">
        <f t="shared" si="9"/>
        <v>0</v>
      </c>
      <c r="N105" s="89" t="str">
        <f>Registro!M105</f>
        <v>g) Mis estudios</v>
      </c>
      <c r="O105" s="89" t="str">
        <f>Registro!N105</f>
        <v>c) Poco</v>
      </c>
      <c r="P105" s="89" t="str">
        <f>Registro!O105</f>
        <v>c) Poco</v>
      </c>
      <c r="Q105" s="89" t="str">
        <f>Registro!P105</f>
        <v>c) Poco</v>
      </c>
      <c r="R105" s="89" t="str">
        <f>Registro!Q105</f>
        <v>b) Los amigos, c) Los estudios</v>
      </c>
      <c r="S105" s="94">
        <f t="shared" si="5"/>
        <v>2</v>
      </c>
      <c r="T105" s="89" t="str">
        <f>Registro!R105</f>
        <v>a) Mucho</v>
      </c>
      <c r="U105" s="89" t="str">
        <f>Registro!S105</f>
        <v>a) La Iglesia, b) La naturaleza, c) El salón de clase, d) Las convivencias, e) Los amigos, f) Todas las personas, g) Mi familia, h) Algunas personas cercanas a Dios, i) Los necesitados, j) Todas partes, k) La oración</v>
      </c>
      <c r="V105" s="89" t="str">
        <f>Registro!T105</f>
        <v>a) Suelo rezar por convicción o porque me gusta</v>
      </c>
      <c r="W105" s="89" t="str">
        <f>Registro!U105</f>
        <v>d) Nunca</v>
      </c>
      <c r="X105" s="89" t="str">
        <f>Registro!V105</f>
        <v>b) Suelo bendedir los alimentos antes de comer</v>
      </c>
      <c r="Y105" s="89" t="str">
        <f>Registro!W105</f>
        <v>c) Religioso o parroquial</v>
      </c>
      <c r="Z105" s="89" t="str">
        <f>Registro!X105</f>
        <v>a) Un grupo donde profundizo mi fe</v>
      </c>
      <c r="AA105" s="89" t="str">
        <f>Registro!Y105</f>
        <v>b) No</v>
      </c>
      <c r="AB105" s="89" t="str">
        <f>Registro!Z105</f>
        <v>b) No</v>
      </c>
      <c r="AC105" s="89" t="str">
        <f>Registro!AA105</f>
        <v>d) Ingeniería</v>
      </c>
      <c r="AD105" s="94">
        <f t="shared" si="6"/>
        <v>1</v>
      </c>
      <c r="AE105" s="89" t="str">
        <f>Registro!AB105</f>
        <v>a) Ganar mucho dinero</v>
      </c>
      <c r="AF105" s="89" t="str">
        <f>Registro!AC105</f>
        <v>d) Mucho o muchísimo</v>
      </c>
      <c r="AG105" s="89" t="str">
        <f>Registro!AD105</f>
        <v>h) Las actividades extraescolares</v>
      </c>
      <c r="AH105" s="94">
        <f t="shared" si="7"/>
        <v>1</v>
      </c>
      <c r="AI105" s="89" t="str">
        <f>Registro!AE105</f>
        <v>f) 11 o más horas</v>
      </c>
      <c r="AJ105" s="89" t="str">
        <f>Registro!AF105</f>
        <v>l) Escucho música y/o veo videos musicales</v>
      </c>
      <c r="AK105" s="94">
        <f t="shared" si="8"/>
        <v>1</v>
      </c>
      <c r="AL105" s="89" t="str">
        <f>Registro!AG105</f>
        <v>a) Muy bueno</v>
      </c>
      <c r="AM105" s="89" t="str">
        <f>Registro!AH105</f>
        <v>a) Muy buena</v>
      </c>
      <c r="AN105" s="89" t="str">
        <f>Registro!AI105</f>
        <v>a) Muy buena</v>
      </c>
      <c r="AO105" s="89" t="str">
        <f>Registro!AJ105</f>
        <v>a) Muy buena</v>
      </c>
      <c r="AP105" s="89" t="str">
        <f>Registro!AK105</f>
        <v>a) Muy buena</v>
      </c>
      <c r="AQ105" s="89" t="str">
        <f>Registro!AL105</f>
        <v>a) Muy buena</v>
      </c>
      <c r="AR105" s="89" t="str">
        <f>Registro!AM105</f>
        <v>a) Muy buena</v>
      </c>
      <c r="AS105" s="89" t="str">
        <f>Registro!AN105</f>
        <v>a) Muy buena</v>
      </c>
      <c r="AT105" s="89" t="str">
        <f>Registro!AO105</f>
        <v>d) Mala</v>
      </c>
      <c r="AU105" s="89" t="str">
        <f>Registro!AP105</f>
        <v>c) Regular</v>
      </c>
      <c r="AV105" s="89" t="str">
        <f>Registro!AQ105</f>
        <v>a) Muy buena</v>
      </c>
      <c r="AW105" s="89" t="str">
        <f>Registro!AR105</f>
        <v>c) El estudio</v>
      </c>
      <c r="AX105" s="89" t="str">
        <f>Registro!AS105</f>
        <v>b) Darme una buena educación</v>
      </c>
      <c r="AY105" s="89" t="str">
        <f>Registro!AT105</f>
        <v>a) Innecesaria</v>
      </c>
      <c r="AZ105" s="89">
        <f>Registro!AU105</f>
        <v>0</v>
      </c>
      <c r="BA105" s="89" t="str">
        <f>Registro!AV105</f>
        <v>b) Profesionales que no se preocupan de nosotros</v>
      </c>
      <c r="BB105" s="89" t="str">
        <f>Registro!AW105</f>
        <v>d) Mucho o muchísimo</v>
      </c>
      <c r="BC105" s="89" t="str">
        <f>Registro!AX105</f>
        <v>d) Hay de todo tipo, pero predomina lo positivo</v>
      </c>
      <c r="BD105" s="89" t="str">
        <f>Registro!AY105</f>
        <v>a) Mi padre</v>
      </c>
    </row>
    <row r="106" spans="1:56" ht="15" customHeight="1" x14ac:dyDescent="0.25">
      <c r="A106" s="101">
        <f>Registro!A106</f>
        <v>42158.181759259256</v>
      </c>
      <c r="B106" s="89" t="str">
        <f>Registro!B106</f>
        <v>c) Obra Social San José de Calasanz de Valencia</v>
      </c>
      <c r="C106" s="89" t="str">
        <f>Registro!C106</f>
        <v>d) Quinto año</v>
      </c>
      <c r="D106" s="89" t="str">
        <f>Registro!D106</f>
        <v>a) Educación Inicial</v>
      </c>
      <c r="E106" s="89" t="str">
        <f>Registro!E106</f>
        <v>b) Femenino</v>
      </c>
      <c r="F106" s="89" t="str">
        <f>Registro!F106</f>
        <v>a) Católica</v>
      </c>
      <c r="G106" s="89" t="str">
        <f>Registro!G106</f>
        <v>a) Mamá, b) Papá, c) Hermanos, e) Otros familiares</v>
      </c>
      <c r="H106" s="89" t="str">
        <f>Registro!H106</f>
        <v>d) Casa Rural</v>
      </c>
      <c r="I106" s="89" t="str">
        <f>Registro!I106</f>
        <v>c) Algo</v>
      </c>
      <c r="J106" s="89" t="str">
        <f>Registro!J106</f>
        <v>b) Lavadora, c) Microondas, h) Carro, j) Cámara digital, k) Aire acondicionado</v>
      </c>
      <c r="K106" s="89" t="str">
        <f>Registro!K106</f>
        <v>f) Más de cuatro</v>
      </c>
      <c r="L106" s="89" t="str">
        <f>Registro!L106</f>
        <v>a) La familia, c) Los estudios, g) La felicidad</v>
      </c>
      <c r="M106" s="94">
        <f t="shared" si="9"/>
        <v>3</v>
      </c>
      <c r="N106" s="89" t="str">
        <f>Registro!M106</f>
        <v>f) La situación política del país</v>
      </c>
      <c r="O106" s="89" t="str">
        <f>Registro!N106</f>
        <v>a) Mucho</v>
      </c>
      <c r="P106" s="89" t="str">
        <f>Registro!O106</f>
        <v>b) Suficiente</v>
      </c>
      <c r="Q106" s="89" t="str">
        <f>Registro!P106</f>
        <v>b) Suficiente</v>
      </c>
      <c r="R106" s="89" t="str">
        <f>Registro!Q106</f>
        <v>a) La familia, c) Los estudios, g) La felicidad</v>
      </c>
      <c r="S106" s="94">
        <f t="shared" si="5"/>
        <v>3</v>
      </c>
      <c r="T106" s="89" t="str">
        <f>Registro!R106</f>
        <v>b) Suficiente</v>
      </c>
      <c r="U106" s="89" t="str">
        <f>Registro!S106</f>
        <v>a) La Iglesia, d) Las convivencias, g) Mi familia, k) La oración</v>
      </c>
      <c r="V106" s="89" t="str">
        <f>Registro!T106</f>
        <v>b) Rezo por costumbre</v>
      </c>
      <c r="W106" s="89" t="str">
        <f>Registro!U106</f>
        <v>b) Algunos domingos</v>
      </c>
      <c r="X106" s="89" t="str">
        <f>Registro!V106</f>
        <v>c) Suelo ir los domingos y otras fechas especiales a la Iglesia, d) Suelo orar todos los días, i) Tengo en mi cuarto alguna imagen religiosa</v>
      </c>
      <c r="Y106" s="89" t="str">
        <f>Registro!W106</f>
        <v>d) No pertenezco a ninguno</v>
      </c>
      <c r="Z106" s="89" t="str">
        <f>Registro!X106</f>
        <v>d) No pertenezco a grupos juveniles cristianos</v>
      </c>
      <c r="AA106" s="89" t="str">
        <f>Registro!Y106</f>
        <v>b) No</v>
      </c>
      <c r="AB106" s="89" t="str">
        <f>Registro!Z106</f>
        <v>b) No</v>
      </c>
      <c r="AC106" s="89" t="str">
        <f>Registro!AA106</f>
        <v>a) Medicina, f) Ciencias policiales o artes militares</v>
      </c>
      <c r="AD106" s="94">
        <f t="shared" si="6"/>
        <v>2</v>
      </c>
      <c r="AE106" s="89" t="str">
        <f>Registro!AB106</f>
        <v>b) Tener una buena posición social, ser importante</v>
      </c>
      <c r="AF106" s="89" t="str">
        <f>Registro!AC106</f>
        <v>c) Bastante</v>
      </c>
      <c r="AG106" s="89" t="str">
        <f>Registro!AD106</f>
        <v>b) El ambiente de estudio y de trabajo</v>
      </c>
      <c r="AH106" s="94">
        <f t="shared" si="7"/>
        <v>1</v>
      </c>
      <c r="AI106" s="89" t="str">
        <f>Registro!AE106</f>
        <v>a) 0 a 2 horas</v>
      </c>
      <c r="AJ106" s="89" t="str">
        <f>Registro!AF106</f>
        <v>e) Suelo ir a algún parque, i) Leo revistas o libros, m) Veo televisión y/o películas</v>
      </c>
      <c r="AK106" s="94">
        <f t="shared" si="8"/>
        <v>3</v>
      </c>
      <c r="AL106" s="89" t="str">
        <f>Registro!AG106</f>
        <v>c) Regular</v>
      </c>
      <c r="AM106" s="89" t="str">
        <f>Registro!AH106</f>
        <v>c) Regular</v>
      </c>
      <c r="AN106" s="89" t="str">
        <f>Registro!AI106</f>
        <v>c) Regular</v>
      </c>
      <c r="AO106" s="89" t="str">
        <f>Registro!AJ106</f>
        <v>c) Regular</v>
      </c>
      <c r="AP106" s="89" t="str">
        <f>Registro!AK106</f>
        <v>b) Buena</v>
      </c>
      <c r="AQ106" s="89" t="str">
        <f>Registro!AL106</f>
        <v>c) Regular</v>
      </c>
      <c r="AR106" s="89" t="str">
        <f>Registro!AM106</f>
        <v>c) Regular</v>
      </c>
      <c r="AS106" s="89" t="str">
        <f>Registro!AN106</f>
        <v>b) Buena</v>
      </c>
      <c r="AT106" s="89" t="str">
        <f>Registro!AO106</f>
        <v>a) Muy buena</v>
      </c>
      <c r="AU106" s="89" t="str">
        <f>Registro!AP106</f>
        <v>b) Buena</v>
      </c>
      <c r="AV106" s="89" t="str">
        <f>Registro!AQ106</f>
        <v>b) Buena</v>
      </c>
      <c r="AW106" s="89" t="str">
        <f>Registro!AR106</f>
        <v>e) La disciplina y el orden</v>
      </c>
      <c r="AX106" s="89" t="str">
        <f>Registro!AS106</f>
        <v>e) Que sea cristiano responsable</v>
      </c>
      <c r="AY106" s="89" t="str">
        <f>Registro!AT106</f>
        <v>e) Absolutamente necesaria</v>
      </c>
      <c r="AZ106" s="89" t="str">
        <f>Registro!AU106</f>
        <v>a) No acostumbro a tomarlo nunca</v>
      </c>
      <c r="BA106" s="89" t="str">
        <f>Registro!AV106</f>
        <v>f) Educadores que, además, me han abierto caminos</v>
      </c>
      <c r="BB106" s="89" t="str">
        <f>Registro!AW106</f>
        <v>d) Mucho o muchísimo</v>
      </c>
      <c r="BC106" s="89" t="str">
        <f>Registro!AX106</f>
        <v>e) Son personas que me gustan y admiro</v>
      </c>
      <c r="BD106" s="89" t="str">
        <f>Registro!AY106</f>
        <v>a) Mi padre, b) Mi madre, c) Un hermano/a</v>
      </c>
    </row>
    <row r="107" spans="1:56" ht="15" customHeight="1" x14ac:dyDescent="0.25">
      <c r="A107" s="101">
        <f>Registro!A107</f>
        <v>42158.182141203702</v>
      </c>
      <c r="B107" s="89" t="str">
        <f>Registro!B107</f>
        <v>c) Obra Social San José de Calasanz de Valencia</v>
      </c>
      <c r="C107" s="89" t="str">
        <f>Registro!C107</f>
        <v>d) Quinto año</v>
      </c>
      <c r="D107" s="89" t="str">
        <f>Registro!D107</f>
        <v>c) Entre Primero y Tercer año</v>
      </c>
      <c r="E107" s="89" t="str">
        <f>Registro!E107</f>
        <v>b) Femenino</v>
      </c>
      <c r="F107" s="89" t="str">
        <f>Registro!F107</f>
        <v>a) Católica</v>
      </c>
      <c r="G107" s="89" t="str">
        <f>Registro!G107</f>
        <v>a) Mamá, d) Abuelos, e) Otros familiares</v>
      </c>
      <c r="H107" s="89" t="str">
        <f>Registro!H107</f>
        <v>b) Casa Urbana</v>
      </c>
      <c r="I107" s="89" t="str">
        <f>Registro!I107</f>
        <v>a) Sí</v>
      </c>
      <c r="J107" s="89" t="str">
        <f>Registro!J107</f>
        <v>b) Lavadora, c) Microondas, i) Computadora</v>
      </c>
      <c r="K107" s="89" t="str">
        <f>Registro!K107</f>
        <v>f) Más de cuatro</v>
      </c>
      <c r="L107" s="89"/>
      <c r="M107" s="94">
        <f t="shared" si="9"/>
        <v>0</v>
      </c>
      <c r="N107" s="89" t="str">
        <f>Registro!M107</f>
        <v>e) La situación económica</v>
      </c>
      <c r="O107" s="89" t="str">
        <f>Registro!N107</f>
        <v>d) Nada</v>
      </c>
      <c r="P107" s="89" t="str">
        <f>Registro!O107</f>
        <v>a) Mucho</v>
      </c>
      <c r="Q107" s="89" t="str">
        <f>Registro!P107</f>
        <v>c) Poco</v>
      </c>
      <c r="R107" s="89" t="str">
        <f>Registro!Q107</f>
        <v>c) Los estudios, e) Disponer de dinero, f) Mi fe y mi vida cristiana</v>
      </c>
      <c r="S107" s="94">
        <f t="shared" si="5"/>
        <v>3</v>
      </c>
      <c r="T107" s="89" t="str">
        <f>Registro!R107</f>
        <v>a) Mucho</v>
      </c>
      <c r="U107" s="89" t="str">
        <f>Registro!S107</f>
        <v>e) Los amigos, i) Los necesitados, k) La oración</v>
      </c>
      <c r="V107" s="89" t="str">
        <f>Registro!T107</f>
        <v>c) Rezo solo en situación de dificultad</v>
      </c>
      <c r="W107" s="89" t="str">
        <f>Registro!U107</f>
        <v>c) Solo en fechas especiales</v>
      </c>
      <c r="X107" s="89" t="str">
        <f>Registro!V107</f>
        <v>c) Suelo ir los domingos y otras fechas especiales a la Iglesia, e) Voy a misa en las fechas de mis familiares difuntos, f) En alguna ocasión he rezado el rosario</v>
      </c>
      <c r="Y107" s="89" t="str">
        <f>Registro!W107</f>
        <v>d) No pertenezco a ninguno</v>
      </c>
      <c r="Z107" s="89" t="str">
        <f>Registro!X107</f>
        <v>d) No pertenezco a grupos juveniles cristianos</v>
      </c>
      <c r="AA107" s="89" t="str">
        <f>Registro!Y107</f>
        <v>b) No</v>
      </c>
      <c r="AB107" s="89" t="str">
        <f>Registro!Z107</f>
        <v>b) No</v>
      </c>
      <c r="AC107" s="89" t="str">
        <f>Registro!AA107</f>
        <v>a) Medicina, e) Derecho</v>
      </c>
      <c r="AD107" s="94">
        <f t="shared" si="6"/>
        <v>2</v>
      </c>
      <c r="AE107" s="89" t="str">
        <f>Registro!AB107</f>
        <v>d) Desarrollarme personalmente</v>
      </c>
      <c r="AF107" s="89" t="str">
        <f>Registro!AC107</f>
        <v>a) No, en absoluto</v>
      </c>
      <c r="AG107" s="89"/>
      <c r="AH107" s="94">
        <f t="shared" si="7"/>
        <v>0</v>
      </c>
      <c r="AI107" s="89" t="str">
        <f>Registro!AE107</f>
        <v>f) 11 o más horas</v>
      </c>
      <c r="AJ107" s="89"/>
      <c r="AK107" s="94">
        <f t="shared" si="8"/>
        <v>0</v>
      </c>
      <c r="AL107" s="89" t="str">
        <f>Registro!AG107</f>
        <v>a) Muy bueno</v>
      </c>
      <c r="AM107" s="89" t="str">
        <f>Registro!AH107</f>
        <v>c) Regular</v>
      </c>
      <c r="AN107" s="89" t="str">
        <f>Registro!AI107</f>
        <v>c) Regular</v>
      </c>
      <c r="AO107" s="89" t="str">
        <f>Registro!AJ107</f>
        <v>c) Regular</v>
      </c>
      <c r="AP107" s="89" t="str">
        <f>Registro!AK107</f>
        <v>d) Mala</v>
      </c>
      <c r="AQ107" s="89" t="str">
        <f>Registro!AL107</f>
        <v>a) Muy buena</v>
      </c>
      <c r="AR107" s="89" t="str">
        <f>Registro!AM107</f>
        <v>b) Buena</v>
      </c>
      <c r="AS107" s="89" t="str">
        <f>Registro!AN107</f>
        <v>c) Regular</v>
      </c>
      <c r="AT107" s="89" t="str">
        <f>Registro!AO107</f>
        <v>d) Mala</v>
      </c>
      <c r="AU107" s="89" t="str">
        <f>Registro!AP107</f>
        <v>c) Regular</v>
      </c>
      <c r="AV107" s="89" t="str">
        <f>Registro!AQ107</f>
        <v>b) Buena</v>
      </c>
      <c r="AW107" s="89" t="str">
        <f>Registro!AR107</f>
        <v>e) La disciplina y el orden</v>
      </c>
      <c r="AX107" s="89" t="str">
        <f>Registro!AS107</f>
        <v>b) Darme una buena educación</v>
      </c>
      <c r="AY107" s="89" t="str">
        <f>Registro!AT107</f>
        <v>e) Absolutamente necesaria</v>
      </c>
      <c r="AZ107" s="89" t="str">
        <f>Registro!AU107</f>
        <v>b) Las veces que bebo, es con moderación</v>
      </c>
      <c r="BA107" s="89" t="str">
        <f>Registro!AV107</f>
        <v>f) Educadores que, además, me han abierto caminos</v>
      </c>
      <c r="BB107" s="89" t="str">
        <f>Registro!AW107</f>
        <v>b) Poco</v>
      </c>
      <c r="BC107" s="89" t="str">
        <f>Registro!AX107</f>
        <v>c) Son personas normales y corrientes</v>
      </c>
      <c r="BD107" s="89" t="str">
        <f>Registro!AY107</f>
        <v>b) Mi madre, f) La orientadora, h) Una amiga</v>
      </c>
    </row>
    <row r="108" spans="1:56" ht="15" customHeight="1" x14ac:dyDescent="0.25">
      <c r="A108" s="101">
        <f>Registro!A108</f>
        <v>42158.192719907405</v>
      </c>
      <c r="B108" s="89" t="str">
        <f>Registro!B108</f>
        <v>c) Obra Social San José de Calasanz de Valencia</v>
      </c>
      <c r="C108" s="89" t="str">
        <f>Registro!C108</f>
        <v>a) Primer año</v>
      </c>
      <c r="D108" s="89" t="str">
        <f>Registro!D108</f>
        <v>a) Educación Inicial</v>
      </c>
      <c r="E108" s="89" t="str">
        <f>Registro!E108</f>
        <v>b) Femenino</v>
      </c>
      <c r="F108" s="89" t="str">
        <f>Registro!F108</f>
        <v>a) Católica</v>
      </c>
      <c r="G108" s="89" t="str">
        <f>Registro!G108</f>
        <v>b) Papá, c) Hermanos, d) Abuelos</v>
      </c>
      <c r="H108" s="89" t="str">
        <f>Registro!H108</f>
        <v>b) Casa Urbana</v>
      </c>
      <c r="I108" s="89" t="str">
        <f>Registro!I108</f>
        <v>c) Algo</v>
      </c>
      <c r="J108" s="89" t="str">
        <f>Registro!J108</f>
        <v>a) Cónsola videojuegos, c) Microondas, d) TV pantalla plana, g) MP4, i) Computadora, j) Cámara digital, k) Aire acondicionado</v>
      </c>
      <c r="K108" s="89" t="str">
        <f>Registro!K108</f>
        <v>d) Tres</v>
      </c>
      <c r="L108" s="89" t="str">
        <f>Registro!L108</f>
        <v>a) La familia, b) Los amigos, g) La felicidad</v>
      </c>
      <c r="M108" s="94">
        <f t="shared" si="9"/>
        <v>3</v>
      </c>
      <c r="N108" s="89" t="str">
        <f>Registro!M108</f>
        <v>b) El futuro</v>
      </c>
      <c r="O108" s="89" t="str">
        <f>Registro!N108</f>
        <v>b) Suficiente</v>
      </c>
      <c r="P108" s="89" t="str">
        <f>Registro!O108</f>
        <v>b) Suficiente</v>
      </c>
      <c r="Q108" s="89" t="str">
        <f>Registro!P108</f>
        <v>a) Mucho</v>
      </c>
      <c r="R108" s="89" t="str">
        <f>Registro!Q108</f>
        <v>a) La familia, c) Los estudios, g) La felicidad</v>
      </c>
      <c r="S108" s="94">
        <f t="shared" si="5"/>
        <v>3</v>
      </c>
      <c r="T108" s="89" t="str">
        <f>Registro!R108</f>
        <v>a) Mucho</v>
      </c>
      <c r="U108" s="89" t="str">
        <f>Registro!S108</f>
        <v>a) La Iglesia, g) Mi familia, k) La oración</v>
      </c>
      <c r="V108" s="89" t="str">
        <f>Registro!T108</f>
        <v>b) Rezo por costumbre</v>
      </c>
      <c r="W108" s="89" t="str">
        <f>Registro!U108</f>
        <v>b) Algunos domingos</v>
      </c>
      <c r="X108" s="89" t="str">
        <f>Registro!V108</f>
        <v>c) Suelo ir los domingos y otras fechas especiales a la Iglesia, h) En Semana Santa asisto a las procesiones</v>
      </c>
      <c r="Y108" s="89" t="str">
        <f>Registro!W108</f>
        <v>a) Deportivo</v>
      </c>
      <c r="Z108" s="89" t="str">
        <f>Registro!X108</f>
        <v>b) Un lugar donde comparto con mis compañeros</v>
      </c>
      <c r="AA108" s="89" t="str">
        <f>Registro!Y108</f>
        <v>b) No</v>
      </c>
      <c r="AB108" s="89" t="str">
        <f>Registro!Z108</f>
        <v>b) No</v>
      </c>
      <c r="AC108" s="89" t="str">
        <f>Registro!AA108</f>
        <v>e) Derecho, h) Ciencias políticas</v>
      </c>
      <c r="AD108" s="94">
        <f t="shared" si="6"/>
        <v>2</v>
      </c>
      <c r="AE108" s="89" t="str">
        <f>Registro!AB108</f>
        <v>e) Servir a los demás</v>
      </c>
      <c r="AF108" s="89" t="str">
        <f>Registro!AC108</f>
        <v>c) Bastante</v>
      </c>
      <c r="AG108" s="89" t="str">
        <f>Registro!AD108</f>
        <v>a) Los deportes y diversiones, b) El ambiente de estudio y de trabajo</v>
      </c>
      <c r="AH108" s="94">
        <f t="shared" si="7"/>
        <v>2</v>
      </c>
      <c r="AI108" s="89" t="str">
        <f>Registro!AE108</f>
        <v>a) 0 a 2 horas</v>
      </c>
      <c r="AJ108" s="89" t="str">
        <f>Registro!AF108</f>
        <v>e) Suelo ir a algún parque, k) Practico algún deporte, n) Estoy conversando con los amigos/as</v>
      </c>
      <c r="AK108" s="94">
        <f t="shared" si="8"/>
        <v>3</v>
      </c>
      <c r="AL108" s="89" t="str">
        <f>Registro!AG108</f>
        <v>a) Muy bueno</v>
      </c>
      <c r="AM108" s="89" t="str">
        <f>Registro!AH108</f>
        <v>b) Buena</v>
      </c>
      <c r="AN108" s="89" t="str">
        <f>Registro!AI108</f>
        <v>b) Buena</v>
      </c>
      <c r="AO108" s="89" t="str">
        <f>Registro!AJ108</f>
        <v>a) Muy buena</v>
      </c>
      <c r="AP108" s="89" t="str">
        <f>Registro!AK108</f>
        <v>b) Buena</v>
      </c>
      <c r="AQ108" s="89" t="str">
        <f>Registro!AL108</f>
        <v>b) Buena</v>
      </c>
      <c r="AR108" s="89" t="str">
        <f>Registro!AM108</f>
        <v>b) Buena</v>
      </c>
      <c r="AS108" s="89" t="str">
        <f>Registro!AN108</f>
        <v>a) Muy buena</v>
      </c>
      <c r="AT108" s="89" t="str">
        <f>Registro!AO108</f>
        <v>b) Buena</v>
      </c>
      <c r="AU108" s="89" t="str">
        <f>Registro!AP108</f>
        <v>b) Buena</v>
      </c>
      <c r="AV108" s="89" t="str">
        <f>Registro!AQ108</f>
        <v>c) Regular</v>
      </c>
      <c r="AW108" s="89" t="str">
        <f>Registro!AR108</f>
        <v>c) El estudio</v>
      </c>
      <c r="AX108" s="89" t="str">
        <f>Registro!AS108</f>
        <v>a) Que sea un buen profesional</v>
      </c>
      <c r="AY108" s="89" t="str">
        <f>Registro!AT108</f>
        <v>c) Conveniente</v>
      </c>
      <c r="AZ108" s="89" t="str">
        <f>Registro!AU108</f>
        <v>a) No acostumbro a tomarlo nunca</v>
      </c>
      <c r="BA108" s="89" t="str">
        <f>Registro!AV108</f>
        <v>d) Buenos profesionales de la educación</v>
      </c>
      <c r="BB108" s="89" t="str">
        <f>Registro!AW108</f>
        <v>c) Bastante</v>
      </c>
      <c r="BC108" s="89" t="str">
        <f>Registro!AX108</f>
        <v>c) Son personas normales y corrientes</v>
      </c>
      <c r="BD108" s="89" t="str">
        <f>Registro!AY108</f>
        <v>a) Mi padre, b) Mi madre, h) Una amiga</v>
      </c>
    </row>
    <row r="109" spans="1:56" ht="15" customHeight="1" x14ac:dyDescent="0.25">
      <c r="A109" s="101">
        <f>Registro!A109</f>
        <v>42158.193240740744</v>
      </c>
      <c r="B109" s="89" t="str">
        <f>Registro!B109</f>
        <v>c) Obra Social San José de Calasanz de Valencia</v>
      </c>
      <c r="C109" s="89" t="str">
        <f>Registro!C109</f>
        <v>a) Primer año</v>
      </c>
      <c r="D109" s="89" t="str">
        <f>Registro!D109</f>
        <v>c) Entre Primero y Tercer año</v>
      </c>
      <c r="E109" s="89" t="str">
        <f>Registro!E109</f>
        <v>a) Masculino</v>
      </c>
      <c r="F109" s="89" t="str">
        <f>Registro!F109</f>
        <v>d) Otra</v>
      </c>
      <c r="G109" s="89" t="str">
        <f>Registro!G109</f>
        <v>a) Mamá, b) Papá, c) Hermanos, d) Abuelos, e) Otros familiares</v>
      </c>
      <c r="H109" s="89" t="str">
        <f>Registro!H109</f>
        <v>b) Casa Urbana</v>
      </c>
      <c r="I109" s="89" t="str">
        <f>Registro!I109</f>
        <v>a) Sí</v>
      </c>
      <c r="J109" s="89" t="str">
        <f>Registro!J109</f>
        <v>a) Cónsola videojuegos, b) Lavadora, d) TV pantalla plana, h) Carro, i) Computadora, j) Cámara digital, k) Aire acondicionado</v>
      </c>
      <c r="K109" s="89" t="str">
        <f>Registro!K109</f>
        <v>d) Tres</v>
      </c>
      <c r="L109" s="89"/>
      <c r="M109" s="94">
        <f t="shared" si="9"/>
        <v>0</v>
      </c>
      <c r="N109" s="89" t="str">
        <f>Registro!M109</f>
        <v>h) Los amigos</v>
      </c>
      <c r="O109" s="89" t="str">
        <f>Registro!N109</f>
        <v>a) Mucho</v>
      </c>
      <c r="P109" s="89" t="str">
        <f>Registro!O109</f>
        <v>a) Mucho</v>
      </c>
      <c r="Q109" s="89" t="str">
        <f>Registro!P109</f>
        <v>c) Poco</v>
      </c>
      <c r="R109" s="89"/>
      <c r="S109" s="94">
        <f t="shared" si="5"/>
        <v>0</v>
      </c>
      <c r="T109" s="89" t="str">
        <f>Registro!R109</f>
        <v>a) Mucho</v>
      </c>
      <c r="U109" s="89" t="str">
        <f>Registro!S109</f>
        <v>a) La Iglesia, b) La naturaleza, c) El salón de clase, d) Las convivencias, e) Los amigos, f) Todas las personas, g) Mi familia, h) Algunas personas cercanas a Dios, i) Los necesitados, j) Todas partes, k) La oración, l) Los sacramentos</v>
      </c>
      <c r="V109" s="89" t="str">
        <f>Registro!T109</f>
        <v>c) Rezo solo en situación de dificultad</v>
      </c>
      <c r="W109" s="89" t="str">
        <f>Registro!U109</f>
        <v>d) Nunca</v>
      </c>
      <c r="X109" s="89">
        <f>Registro!V109</f>
        <v>0</v>
      </c>
      <c r="Y109" s="89" t="str">
        <f>Registro!W109</f>
        <v>a) Deportivo</v>
      </c>
      <c r="Z109" s="89">
        <f>Registro!X109</f>
        <v>0</v>
      </c>
      <c r="AA109" s="89" t="str">
        <f>Registro!Y109</f>
        <v>c) Algo</v>
      </c>
      <c r="AB109" s="89" t="str">
        <f>Registro!Z109</f>
        <v>c) Algo</v>
      </c>
      <c r="AC109" s="89" t="str">
        <f>Registro!AA109</f>
        <v>g) Artista, j) Trabajador calificado</v>
      </c>
      <c r="AD109" s="94">
        <f t="shared" si="6"/>
        <v>2</v>
      </c>
      <c r="AE109" s="89" t="str">
        <f>Registro!AB109</f>
        <v>c) Ser un excelente profesional</v>
      </c>
      <c r="AF109" s="89" t="str">
        <f>Registro!AC109</f>
        <v>a) No, en absoluto</v>
      </c>
      <c r="AG109" s="89"/>
      <c r="AH109" s="94">
        <f t="shared" si="7"/>
        <v>0</v>
      </c>
      <c r="AI109" s="89">
        <f>Registro!AE109</f>
        <v>0</v>
      </c>
      <c r="AJ109" s="89">
        <f>Registro!AF109</f>
        <v>0</v>
      </c>
      <c r="AK109" s="94">
        <f t="shared" si="8"/>
        <v>0</v>
      </c>
      <c r="AL109" s="89">
        <f>Registro!AG109</f>
        <v>0</v>
      </c>
      <c r="AM109" s="89">
        <f>Registro!AH109</f>
        <v>0</v>
      </c>
      <c r="AN109" s="89">
        <f>Registro!AI109</f>
        <v>0</v>
      </c>
      <c r="AO109" s="89">
        <f>Registro!AJ109</f>
        <v>0</v>
      </c>
      <c r="AP109" s="89">
        <f>Registro!AK109</f>
        <v>0</v>
      </c>
      <c r="AQ109" s="89">
        <f>Registro!AL109</f>
        <v>0</v>
      </c>
      <c r="AR109" s="89">
        <f>Registro!AM109</f>
        <v>0</v>
      </c>
      <c r="AS109" s="89">
        <f>Registro!AN109</f>
        <v>0</v>
      </c>
      <c r="AT109" s="89">
        <f>Registro!AO109</f>
        <v>0</v>
      </c>
      <c r="AU109" s="89">
        <f>Registro!AP109</f>
        <v>0</v>
      </c>
      <c r="AV109" s="89">
        <f>Registro!AQ109</f>
        <v>0</v>
      </c>
      <c r="AW109" s="89">
        <f>Registro!AR109</f>
        <v>0</v>
      </c>
      <c r="AX109" s="89">
        <f>Registro!AS109</f>
        <v>0</v>
      </c>
      <c r="AY109" s="89">
        <f>Registro!AT109</f>
        <v>0</v>
      </c>
      <c r="AZ109" s="89">
        <f>Registro!AU109</f>
        <v>0</v>
      </c>
      <c r="BA109" s="89">
        <f>Registro!AV109</f>
        <v>0</v>
      </c>
      <c r="BB109" s="89" t="str">
        <f>Registro!AW109</f>
        <v>d) Mucho o muchísimo</v>
      </c>
      <c r="BC109" s="89" t="str">
        <f>Registro!AX109</f>
        <v>a) No me gustan en absoluto</v>
      </c>
      <c r="BD109" s="89" t="str">
        <f>Registro!AY109</f>
        <v>a) Mi padre, b) Mi madre, c) Un hermano/a, g) Un amigo, h) Una amiga</v>
      </c>
    </row>
    <row r="110" spans="1:56" ht="15" customHeight="1" x14ac:dyDescent="0.25">
      <c r="A110" s="101">
        <f>Registro!A110</f>
        <v>42158.194699074076</v>
      </c>
      <c r="B110" s="89" t="str">
        <f>Registro!B110</f>
        <v>c) Obra Social San José de Calasanz de Valencia</v>
      </c>
      <c r="C110" s="89" t="str">
        <f>Registro!C110</f>
        <v>a) Primer año</v>
      </c>
      <c r="D110" s="89" t="str">
        <f>Registro!D110</f>
        <v>b) Primaria</v>
      </c>
      <c r="E110" s="89" t="str">
        <f>Registro!E110</f>
        <v>b) Femenino</v>
      </c>
      <c r="F110" s="89" t="str">
        <f>Registro!F110</f>
        <v>a) Católica</v>
      </c>
      <c r="G110" s="89" t="str">
        <f>Registro!G110</f>
        <v>a) Mamá, b) Papá, c) Hermanos</v>
      </c>
      <c r="H110" s="89" t="str">
        <f>Registro!H110</f>
        <v>b) Casa Urbana</v>
      </c>
      <c r="I110" s="89" t="str">
        <f>Registro!I110</f>
        <v>c) Algo</v>
      </c>
      <c r="J110" s="89" t="str">
        <f>Registro!J110</f>
        <v>b) Lavadora, c) Microondas, d) TV pantalla plana, h) Carro, i) Computadora, k) Aire acondicionado</v>
      </c>
      <c r="K110" s="89" t="str">
        <f>Registro!K110</f>
        <v>c) Dos</v>
      </c>
      <c r="L110" s="89" t="str">
        <f>Registro!L110</f>
        <v>a) La familia, b) Los amigos, i) La música</v>
      </c>
      <c r="M110" s="94">
        <f t="shared" si="9"/>
        <v>3</v>
      </c>
      <c r="N110" s="89" t="str">
        <f>Registro!M110</f>
        <v>a) Seguridad personal (la violencia y la delincuencia)</v>
      </c>
      <c r="O110" s="89" t="str">
        <f>Registro!N110</f>
        <v>b) Suficiente</v>
      </c>
      <c r="P110" s="89" t="str">
        <f>Registro!O110</f>
        <v>b) Suficiente</v>
      </c>
      <c r="Q110" s="89" t="str">
        <f>Registro!P110</f>
        <v>c) Poco</v>
      </c>
      <c r="R110" s="89" t="str">
        <f>Registro!Q110</f>
        <v>c) Los estudios, d) El cuidado de mi cuerpo, g) La felicidad</v>
      </c>
      <c r="S110" s="94">
        <f t="shared" si="5"/>
        <v>3</v>
      </c>
      <c r="T110" s="89" t="str">
        <f>Registro!R110</f>
        <v>a) Mucho</v>
      </c>
      <c r="U110" s="89" t="str">
        <f>Registro!S110</f>
        <v>a) La Iglesia, b) La naturaleza, g) Mi familia, j) Todas partes</v>
      </c>
      <c r="V110" s="89" t="str">
        <f>Registro!T110</f>
        <v>a) Suelo rezar por convicción o porque me gusta</v>
      </c>
      <c r="W110" s="89" t="str">
        <f>Registro!U110</f>
        <v>a) Todos los domingos</v>
      </c>
      <c r="X110" s="89" t="str">
        <f>Registro!V110</f>
        <v>d) Suelo orar todos los días</v>
      </c>
      <c r="Y110" s="89" t="str">
        <f>Registro!W110</f>
        <v xml:space="preserve">b) Cultural (folklórico, musicales, danzas, scout, banda marcial,...) </v>
      </c>
      <c r="Z110" s="89" t="str">
        <f>Registro!X110</f>
        <v>d) No pertenezco a grupos juveniles cristianos</v>
      </c>
      <c r="AA110" s="89" t="str">
        <f>Registro!Y110</f>
        <v>b) No</v>
      </c>
      <c r="AB110" s="89" t="str">
        <f>Registro!Z110</f>
        <v>b) No</v>
      </c>
      <c r="AC110" s="89" t="str">
        <f>Registro!AA110</f>
        <v>d) Ingeniería, g) Artista</v>
      </c>
      <c r="AD110" s="94">
        <f t="shared" si="6"/>
        <v>2</v>
      </c>
      <c r="AE110" s="89" t="str">
        <f>Registro!AB110</f>
        <v>c) Ser un excelente profesional</v>
      </c>
      <c r="AF110" s="89" t="str">
        <f>Registro!AC110</f>
        <v>e) No sé</v>
      </c>
      <c r="AG110" s="89" t="str">
        <f>Registro!AD110</f>
        <v>a) Los deportes y diversiones</v>
      </c>
      <c r="AH110" s="94">
        <f t="shared" si="7"/>
        <v>1</v>
      </c>
      <c r="AI110" s="89" t="str">
        <f>Registro!AE110</f>
        <v>a) 0 a 2 horas</v>
      </c>
      <c r="AJ110" s="89" t="str">
        <f>Registro!AF110</f>
        <v>a) Me divierto con juegos para computadoras, l) Escucho música y/o veo videos musicales</v>
      </c>
      <c r="AK110" s="94">
        <f t="shared" si="8"/>
        <v>2</v>
      </c>
      <c r="AL110" s="89" t="str">
        <f>Registro!AG110</f>
        <v>c) Regular</v>
      </c>
      <c r="AM110" s="89" t="str">
        <f>Registro!AH110</f>
        <v>c) Regular</v>
      </c>
      <c r="AN110" s="89" t="str">
        <f>Registro!AI110</f>
        <v>c) Regular</v>
      </c>
      <c r="AO110" s="89" t="str">
        <f>Registro!AJ110</f>
        <v>b) Buena</v>
      </c>
      <c r="AP110" s="89" t="str">
        <f>Registro!AK110</f>
        <v>b) Buena</v>
      </c>
      <c r="AQ110" s="89" t="str">
        <f>Registro!AL110</f>
        <v>c) Regular</v>
      </c>
      <c r="AR110" s="89" t="str">
        <f>Registro!AM110</f>
        <v>b) Buena</v>
      </c>
      <c r="AS110" s="89" t="str">
        <f>Registro!AN110</f>
        <v>b) Buena</v>
      </c>
      <c r="AT110" s="89" t="str">
        <f>Registro!AO110</f>
        <v>c) Regular</v>
      </c>
      <c r="AU110" s="89" t="str">
        <f>Registro!AP110</f>
        <v>b) Buena</v>
      </c>
      <c r="AV110" s="89" t="str">
        <f>Registro!AQ110</f>
        <v>c) Regular</v>
      </c>
      <c r="AW110" s="89" t="str">
        <f>Registro!AR110</f>
        <v>a) El compañerismo</v>
      </c>
      <c r="AX110" s="89" t="str">
        <f>Registro!AS110</f>
        <v>a) Que sea un buen profesional</v>
      </c>
      <c r="AY110" s="89" t="str">
        <f>Registro!AT110</f>
        <v>c) Conveniente</v>
      </c>
      <c r="AZ110" s="89" t="str">
        <f>Registro!AU110</f>
        <v>a) No acostumbro a tomarlo nunca</v>
      </c>
      <c r="BA110" s="89" t="str">
        <f>Registro!AV110</f>
        <v>d) Buenos profesionales de la educación</v>
      </c>
      <c r="BB110" s="89" t="str">
        <f>Registro!AW110</f>
        <v>c) Bastante</v>
      </c>
      <c r="BC110" s="89" t="str">
        <f>Registro!AX110</f>
        <v>c) Son personas normales y corrientes</v>
      </c>
      <c r="BD110" s="89" t="str">
        <f>Registro!AY110</f>
        <v>c) Un hermano/a, g) Un amigo</v>
      </c>
    </row>
    <row r="111" spans="1:56" ht="15" customHeight="1" x14ac:dyDescent="0.25">
      <c r="A111" s="101">
        <f>Registro!A111</f>
        <v>42158.195428240739</v>
      </c>
      <c r="B111" s="89" t="str">
        <f>Registro!B111</f>
        <v>c) Obra Social San José de Calasanz de Valencia</v>
      </c>
      <c r="C111" s="89" t="str">
        <f>Registro!C111</f>
        <v>a) Primer año</v>
      </c>
      <c r="D111" s="89" t="str">
        <f>Registro!D111</f>
        <v>b) Primaria</v>
      </c>
      <c r="E111" s="89" t="str">
        <f>Registro!E111</f>
        <v>b) Femenino</v>
      </c>
      <c r="F111" s="89" t="str">
        <f>Registro!F111</f>
        <v>a) Católica</v>
      </c>
      <c r="G111" s="89" t="str">
        <f>Registro!G111</f>
        <v>a) Mamá, b) Papá, c) Hermanos</v>
      </c>
      <c r="H111" s="89" t="str">
        <f>Registro!H111</f>
        <v>b) Casa Urbana</v>
      </c>
      <c r="I111" s="89" t="str">
        <f>Registro!I111</f>
        <v>c) Algo</v>
      </c>
      <c r="J111" s="89" t="str">
        <f>Registro!J111</f>
        <v>b) Lavadora, d) TV pantalla plana, h) Carro, k) Aire acondicionado</v>
      </c>
      <c r="K111" s="89" t="str">
        <f>Registro!K111</f>
        <v>c) Dos</v>
      </c>
      <c r="L111" s="89" t="str">
        <f>Registro!L111</f>
        <v>a) La familia, b) Los amigos, c) Los estudios</v>
      </c>
      <c r="M111" s="94">
        <f t="shared" si="9"/>
        <v>3</v>
      </c>
      <c r="N111" s="89" t="str">
        <f>Registro!M111</f>
        <v>e) La situación económica</v>
      </c>
      <c r="O111" s="89" t="str">
        <f>Registro!N111</f>
        <v>c) Poco</v>
      </c>
      <c r="P111" s="89" t="str">
        <f>Registro!O111</f>
        <v>b) Suficiente</v>
      </c>
      <c r="Q111" s="89" t="str">
        <f>Registro!P111</f>
        <v>c) Poco</v>
      </c>
      <c r="R111" s="89" t="str">
        <f>Registro!Q111</f>
        <v>c) Los estudios, d) El cuidado de mi cuerpo, g) La felicidad</v>
      </c>
      <c r="S111" s="94">
        <f t="shared" si="5"/>
        <v>3</v>
      </c>
      <c r="T111" s="89" t="str">
        <f>Registro!R111</f>
        <v>a) Mucho</v>
      </c>
      <c r="U111" s="89" t="str">
        <f>Registro!S111</f>
        <v>a) La Iglesia, b) La naturaleza, g) Mi familia, k) La oración</v>
      </c>
      <c r="V111" s="89" t="str">
        <f>Registro!T111</f>
        <v>a) Suelo rezar por convicción o porque me gusta</v>
      </c>
      <c r="W111" s="89" t="str">
        <f>Registro!U111</f>
        <v>d) Nunca</v>
      </c>
      <c r="X111" s="89" t="str">
        <f>Registro!V111</f>
        <v>d) Suelo orar todos los días</v>
      </c>
      <c r="Y111" s="89" t="str">
        <f>Registro!W111</f>
        <v>a) Deportivo</v>
      </c>
      <c r="Z111" s="89" t="str">
        <f>Registro!X111</f>
        <v>d) No pertenezco a grupos juveniles cristianos</v>
      </c>
      <c r="AA111" s="89" t="str">
        <f>Registro!Y111</f>
        <v>b) No</v>
      </c>
      <c r="AB111" s="89" t="str">
        <f>Registro!Z111</f>
        <v>b) No</v>
      </c>
      <c r="AC111" s="89" t="str">
        <f>Registro!AA111</f>
        <v>d) Ingeniería, i) Comerciante</v>
      </c>
      <c r="AD111" s="94">
        <f t="shared" si="6"/>
        <v>2</v>
      </c>
      <c r="AE111" s="89" t="str">
        <f>Registro!AB111</f>
        <v>d) Desarrollarme personalmente</v>
      </c>
      <c r="AF111" s="89" t="str">
        <f>Registro!AC111</f>
        <v>e) No sé</v>
      </c>
      <c r="AG111" s="89" t="str">
        <f>Registro!AD111</f>
        <v>i) No me gusta nada</v>
      </c>
      <c r="AH111" s="94">
        <f t="shared" si="7"/>
        <v>1</v>
      </c>
      <c r="AI111" s="89" t="str">
        <f>Registro!AE111</f>
        <v>f) 11 o más horas</v>
      </c>
      <c r="AJ111" s="89" t="str">
        <f>Registro!AF111</f>
        <v>b) Navego en Internet, m) Veo televisión y/o películas, n) Estoy conversando con los amigos/as</v>
      </c>
      <c r="AK111" s="94">
        <f t="shared" si="8"/>
        <v>3</v>
      </c>
      <c r="AL111" s="89" t="str">
        <f>Registro!AG111</f>
        <v>b) Bueno</v>
      </c>
      <c r="AM111" s="89" t="str">
        <f>Registro!AH111</f>
        <v>b) Buena</v>
      </c>
      <c r="AN111" s="89" t="str">
        <f>Registro!AI111</f>
        <v>b) Buena</v>
      </c>
      <c r="AO111" s="89" t="str">
        <f>Registro!AJ111</f>
        <v>b) Buena</v>
      </c>
      <c r="AP111" s="89" t="str">
        <f>Registro!AK111</f>
        <v>b) Buena</v>
      </c>
      <c r="AQ111" s="89" t="str">
        <f>Registro!AL111</f>
        <v>c) Regular</v>
      </c>
      <c r="AR111" s="89" t="str">
        <f>Registro!AM111</f>
        <v>b) Buena</v>
      </c>
      <c r="AS111" s="89" t="str">
        <f>Registro!AN111</f>
        <v>a) Muy buena</v>
      </c>
      <c r="AT111" s="89" t="str">
        <f>Registro!AO111</f>
        <v>b) Buena</v>
      </c>
      <c r="AU111" s="89" t="str">
        <f>Registro!AP111</f>
        <v>c) Regular</v>
      </c>
      <c r="AV111" s="89" t="str">
        <f>Registro!AQ111</f>
        <v>c) Regular</v>
      </c>
      <c r="AW111" s="89" t="str">
        <f>Registro!AR111</f>
        <v>f) la práctica religiosa</v>
      </c>
      <c r="AX111" s="89" t="str">
        <f>Registro!AS111</f>
        <v>a) Que sea un buen profesional</v>
      </c>
      <c r="AY111" s="89" t="str">
        <f>Registro!AT111</f>
        <v>e) Absolutamente necesaria</v>
      </c>
      <c r="AZ111" s="89" t="str">
        <f>Registro!AU111</f>
        <v>a) No acostumbro a tomarlo nunca</v>
      </c>
      <c r="BA111" s="89" t="str">
        <f>Registro!AV111</f>
        <v>e) Educadores que se preocupan de nosotros</v>
      </c>
      <c r="BB111" s="89" t="str">
        <f>Registro!AW111</f>
        <v>c) Bastante</v>
      </c>
      <c r="BC111" s="89" t="str">
        <f>Registro!AX111</f>
        <v>c) Son personas normales y corrientes</v>
      </c>
      <c r="BD111" s="89" t="str">
        <f>Registro!AY111</f>
        <v>b) Mi madre, c) Un hermano/a</v>
      </c>
    </row>
    <row r="112" spans="1:56" ht="15" customHeight="1" x14ac:dyDescent="0.25">
      <c r="A112" s="101">
        <f>Registro!A112</f>
        <v>42158.195497685185</v>
      </c>
      <c r="B112" s="89" t="str">
        <f>Registro!B112</f>
        <v>c) Obra Social San José de Calasanz de Valencia</v>
      </c>
      <c r="C112" s="89" t="str">
        <f>Registro!C112</f>
        <v>a) Primer año</v>
      </c>
      <c r="D112" s="89" t="str">
        <f>Registro!D112</f>
        <v>b) Primaria</v>
      </c>
      <c r="E112" s="89" t="str">
        <f>Registro!E112</f>
        <v>a) Masculino</v>
      </c>
      <c r="F112" s="89" t="str">
        <f>Registro!F112</f>
        <v>a) Católica</v>
      </c>
      <c r="G112" s="89" t="str">
        <f>Registro!G112</f>
        <v>a) Mamá, c) Hermanos, d) Abuelos</v>
      </c>
      <c r="H112" s="89" t="str">
        <f>Registro!H112</f>
        <v>d) Casa Rural</v>
      </c>
      <c r="I112" s="89" t="str">
        <f>Registro!I112</f>
        <v>c) Algo</v>
      </c>
      <c r="J112" s="89" t="str">
        <f>Registro!J112</f>
        <v>a) Cónsola videojuegos, f) MP3, i) Computadora, k) Aire acondicionado</v>
      </c>
      <c r="K112" s="89" t="str">
        <f>Registro!K112</f>
        <v>c) Dos</v>
      </c>
      <c r="L112" s="89" t="str">
        <f>Registro!L112</f>
        <v>a) La familia, c) Los estudios, g) La felicidad</v>
      </c>
      <c r="M112" s="94">
        <f t="shared" si="9"/>
        <v>3</v>
      </c>
      <c r="N112" s="89" t="str">
        <f>Registro!M112</f>
        <v>d) Los problemas familiares</v>
      </c>
      <c r="O112" s="89" t="str">
        <f>Registro!N112</f>
        <v>b) Suficiente</v>
      </c>
      <c r="P112" s="89" t="str">
        <f>Registro!O112</f>
        <v>b) Suficiente</v>
      </c>
      <c r="Q112" s="89" t="str">
        <f>Registro!P112</f>
        <v>b) Suficiente</v>
      </c>
      <c r="R112" s="89" t="str">
        <f>Registro!Q112</f>
        <v>a) La familia, c) Los estudios, g) La felicidad</v>
      </c>
      <c r="S112" s="94">
        <f t="shared" si="5"/>
        <v>3</v>
      </c>
      <c r="T112" s="89">
        <f>Registro!R112</f>
        <v>0</v>
      </c>
      <c r="U112" s="89" t="str">
        <f>Registro!S112</f>
        <v>a) La Iglesia, d) Las convivencias, k) La oración</v>
      </c>
      <c r="V112" s="89" t="str">
        <f>Registro!T112</f>
        <v>b) Rezo por costumbre</v>
      </c>
      <c r="W112" s="89" t="str">
        <f>Registro!U112</f>
        <v>b) Algunos domingos</v>
      </c>
      <c r="X112" s="89" t="str">
        <f>Registro!V112</f>
        <v>e) Voy a misa en las fechas de mis familiares difuntos, f) En alguna ocasión he rezado el rosario, g) En ocasiones, en mi casa tenemos una oración familiar, i) Tengo en mi cuarto alguna imagen religiosa</v>
      </c>
      <c r="Y112" s="89" t="str">
        <f>Registro!W112</f>
        <v>c) Religioso o parroquial</v>
      </c>
      <c r="Z112" s="89" t="str">
        <f>Registro!X112</f>
        <v>b) Un lugar donde comparto con mis compañeros</v>
      </c>
      <c r="AA112" s="89" t="str">
        <f>Registro!Y112</f>
        <v>b) No</v>
      </c>
      <c r="AB112" s="89" t="str">
        <f>Registro!Z112</f>
        <v>b) No</v>
      </c>
      <c r="AC112" s="89" t="str">
        <f>Registro!AA112</f>
        <v>e) Derecho, f) Ciencias policiales o artes militares</v>
      </c>
      <c r="AD112" s="94">
        <f t="shared" si="6"/>
        <v>2</v>
      </c>
      <c r="AE112" s="89" t="str">
        <f>Registro!AB112</f>
        <v>c) Ser un excelente profesional</v>
      </c>
      <c r="AF112" s="89" t="str">
        <f>Registro!AC112</f>
        <v>c) Bastante</v>
      </c>
      <c r="AG112" s="89" t="str">
        <f>Registro!AD112</f>
        <v>b) El ambiente de estudio y de trabajo, d) Los grupos juveniles cristianos</v>
      </c>
      <c r="AH112" s="94">
        <f t="shared" si="7"/>
        <v>2</v>
      </c>
      <c r="AI112" s="89" t="str">
        <f>Registro!AE112</f>
        <v>c) 5 a 6 horas</v>
      </c>
      <c r="AJ112" s="89" t="str">
        <f>Registro!AF112</f>
        <v>b) Navego en Internet, c) Suelo ir a centros de video (máquinas de juegos), j) Estoy en algún grupo juvenil</v>
      </c>
      <c r="AK112" s="94">
        <f t="shared" si="8"/>
        <v>3</v>
      </c>
      <c r="AL112" s="89" t="str">
        <f>Registro!AG112</f>
        <v>a) Muy bueno</v>
      </c>
      <c r="AM112" s="89" t="str">
        <f>Registro!AH112</f>
        <v>a) Muy buena</v>
      </c>
      <c r="AN112" s="89" t="str">
        <f>Registro!AI112</f>
        <v>b) Buena</v>
      </c>
      <c r="AO112" s="89" t="str">
        <f>Registro!AJ112</f>
        <v>b) Buena</v>
      </c>
      <c r="AP112" s="89" t="str">
        <f>Registro!AK112</f>
        <v>b) Buena</v>
      </c>
      <c r="AQ112" s="89" t="str">
        <f>Registro!AL112</f>
        <v>b) Buena</v>
      </c>
      <c r="AR112" s="89" t="str">
        <f>Registro!AM112</f>
        <v>a) Muy buena</v>
      </c>
      <c r="AS112" s="89" t="str">
        <f>Registro!AN112</f>
        <v>a) Muy buena</v>
      </c>
      <c r="AT112" s="89" t="str">
        <f>Registro!AO112</f>
        <v>b) Buena</v>
      </c>
      <c r="AU112" s="89" t="str">
        <f>Registro!AP112</f>
        <v>b) Buena</v>
      </c>
      <c r="AV112" s="89" t="str">
        <f>Registro!AQ112</f>
        <v>b) Buena</v>
      </c>
      <c r="AW112" s="89" t="str">
        <f>Registro!AR112</f>
        <v>c) El estudio</v>
      </c>
      <c r="AX112" s="89" t="str">
        <f>Registro!AS112</f>
        <v>a) Que sea un buen profesional</v>
      </c>
      <c r="AY112" s="89" t="str">
        <f>Registro!AT112</f>
        <v>d) Bastante necesaria</v>
      </c>
      <c r="AZ112" s="89" t="str">
        <f>Registro!AU112</f>
        <v>a) No acostumbro a tomarlo nunca</v>
      </c>
      <c r="BA112" s="89" t="str">
        <f>Registro!AV112</f>
        <v>c) Profesionales que hacen lo que pueden</v>
      </c>
      <c r="BB112" s="89" t="str">
        <f>Registro!AW112</f>
        <v>c) Bastante</v>
      </c>
      <c r="BC112" s="89" t="str">
        <f>Registro!AX112</f>
        <v>e) Son personas que me gustan y admiro</v>
      </c>
      <c r="BD112" s="89" t="str">
        <f>Registro!AY112</f>
        <v>c) Un hermano/a, g) Un amigo</v>
      </c>
    </row>
    <row r="113" spans="1:14334 14340:16314" ht="15" customHeight="1" x14ac:dyDescent="0.25">
      <c r="A113" s="101">
        <f>Registro!A113</f>
        <v>42158.196400462963</v>
      </c>
      <c r="B113" s="89" t="str">
        <f>Registro!B113</f>
        <v>c) Obra Social San José de Calasanz de Valencia</v>
      </c>
      <c r="C113" s="89" t="str">
        <f>Registro!C113</f>
        <v>a) Primer año</v>
      </c>
      <c r="D113" s="89" t="str">
        <f>Registro!D113</f>
        <v>a) Educación Inicial</v>
      </c>
      <c r="E113" s="89" t="str">
        <f>Registro!E113</f>
        <v>b) Femenino</v>
      </c>
      <c r="F113" s="89" t="str">
        <f>Registro!F113</f>
        <v>a) Católica</v>
      </c>
      <c r="G113" s="89" t="str">
        <f>Registro!G113</f>
        <v>a) Mamá, b) Papá, c) Hermanos, d) Abuelos</v>
      </c>
      <c r="H113" s="89" t="str">
        <f>Registro!H113</f>
        <v>b) Casa Urbana</v>
      </c>
      <c r="I113" s="89" t="str">
        <f>Registro!I113</f>
        <v>a) Sí</v>
      </c>
      <c r="J113" s="89" t="str">
        <f>Registro!J113</f>
        <v>a) Cónsola videojuegos, b) Lavadora, d) TV pantalla plana, f) MP3, i) Computadora, j) Cámara digital, k) Aire acondicionado</v>
      </c>
      <c r="K113" s="89" t="str">
        <f>Registro!K113</f>
        <v>c) Dos</v>
      </c>
      <c r="L113" s="89"/>
      <c r="M113" s="94">
        <f t="shared" si="9"/>
        <v>0</v>
      </c>
      <c r="N113" s="89" t="str">
        <f>Registro!M113</f>
        <v>c) Yo mismo</v>
      </c>
      <c r="O113" s="89" t="str">
        <f>Registro!N113</f>
        <v>c) Poco</v>
      </c>
      <c r="P113" s="89" t="str">
        <f>Registro!O113</f>
        <v>b) Suficiente</v>
      </c>
      <c r="Q113" s="89" t="str">
        <f>Registro!P113</f>
        <v>c) Poco</v>
      </c>
      <c r="R113" s="89" t="str">
        <f>Registro!Q113</f>
        <v>c) Los estudios, g) La felicidad</v>
      </c>
      <c r="S113" s="94">
        <f t="shared" si="5"/>
        <v>2</v>
      </c>
      <c r="T113" s="89" t="str">
        <f>Registro!R113</f>
        <v>a) Mucho</v>
      </c>
      <c r="U113" s="89" t="str">
        <f>Registro!S113</f>
        <v>a) La Iglesia, b) La naturaleza, j) Todas partes</v>
      </c>
      <c r="V113" s="89" t="str">
        <f>Registro!T113</f>
        <v>b) Rezo por costumbre</v>
      </c>
      <c r="W113" s="89" t="str">
        <f>Registro!U113</f>
        <v>c) Solo en fechas especiales</v>
      </c>
      <c r="X113" s="89" t="str">
        <f>Registro!V113</f>
        <v>f) En alguna ocasión he rezado el rosario</v>
      </c>
      <c r="Y113" s="89" t="str">
        <f>Registro!W113</f>
        <v>d) No pertenezco a ninguno</v>
      </c>
      <c r="Z113" s="89" t="str">
        <f>Registro!X113</f>
        <v>b) Un lugar donde comparto con mis compañeros</v>
      </c>
      <c r="AA113" s="89" t="str">
        <f>Registro!Y113</f>
        <v>b) No</v>
      </c>
      <c r="AB113" s="89" t="str">
        <f>Registro!Z113</f>
        <v>b) No</v>
      </c>
      <c r="AC113" s="89"/>
      <c r="AD113" s="94">
        <f t="shared" si="6"/>
        <v>0</v>
      </c>
      <c r="AE113" s="89" t="str">
        <f>Registro!AB113</f>
        <v>c) Ser un excelente profesional</v>
      </c>
      <c r="AF113" s="89" t="str">
        <f>Registro!AC113</f>
        <v>b) Poco</v>
      </c>
      <c r="AG113" s="89" t="str">
        <f>Registro!AD113</f>
        <v>b) El ambiente de estudio y de trabajo, c) Las instalaciones del Colegio</v>
      </c>
      <c r="AH113" s="94">
        <f t="shared" si="7"/>
        <v>2</v>
      </c>
      <c r="AI113" s="89" t="str">
        <f>Registro!AE113</f>
        <v>e) 9 a 10 horas</v>
      </c>
      <c r="AJ113" s="89"/>
      <c r="AK113" s="94">
        <f t="shared" si="8"/>
        <v>0</v>
      </c>
      <c r="AL113" s="89" t="str">
        <f>Registro!AG113</f>
        <v>b) Bueno</v>
      </c>
      <c r="AM113" s="89" t="str">
        <f>Registro!AH113</f>
        <v>c) Regular</v>
      </c>
      <c r="AN113" s="89" t="str">
        <f>Registro!AI113</f>
        <v>c) Regular</v>
      </c>
      <c r="AO113" s="89" t="str">
        <f>Registro!AJ113</f>
        <v>b) Buena</v>
      </c>
      <c r="AP113" s="89" t="str">
        <f>Registro!AK113</f>
        <v>c) Regular</v>
      </c>
      <c r="AQ113" s="89" t="str">
        <f>Registro!AL113</f>
        <v>b) Buena</v>
      </c>
      <c r="AR113" s="89" t="str">
        <f>Registro!AM113</f>
        <v>b) Buena</v>
      </c>
      <c r="AS113" s="89" t="str">
        <f>Registro!AN113</f>
        <v>c) Regular</v>
      </c>
      <c r="AT113" s="89" t="str">
        <f>Registro!AO113</f>
        <v>b) Buena</v>
      </c>
      <c r="AU113" s="89" t="str">
        <f>Registro!AP113</f>
        <v>c) Regular</v>
      </c>
      <c r="AV113" s="89" t="str">
        <f>Registro!AQ113</f>
        <v>b) Buena</v>
      </c>
      <c r="AW113" s="89" t="str">
        <f>Registro!AR113</f>
        <v>d) La formación del carácter</v>
      </c>
      <c r="AX113" s="89" t="str">
        <f>Registro!AS113</f>
        <v>a) Que sea un buen profesional</v>
      </c>
      <c r="AY113" s="89" t="str">
        <f>Registro!AT113</f>
        <v>c) Conveniente</v>
      </c>
      <c r="AZ113" s="89" t="str">
        <f>Registro!AU113</f>
        <v>a) No acostumbro a tomarlo nunca</v>
      </c>
      <c r="BA113" s="89" t="str">
        <f>Registro!AV113</f>
        <v>e) Educadores que se preocupan de nosotros</v>
      </c>
      <c r="BB113" s="89" t="str">
        <f>Registro!AW113</f>
        <v>c) Bastante</v>
      </c>
      <c r="BC113" s="89" t="str">
        <f>Registro!AX113</f>
        <v>c) Son personas normales y corrientes</v>
      </c>
      <c r="BD113" s="89" t="str">
        <f>Registro!AY113</f>
        <v>h) Una amiga</v>
      </c>
    </row>
    <row r="114" spans="1:14334 14340:16314" ht="15" customHeight="1" x14ac:dyDescent="0.25">
      <c r="A114" s="101">
        <f>Registro!A114</f>
        <v>42158.196458333332</v>
      </c>
      <c r="B114" s="89" t="str">
        <f>Registro!B114</f>
        <v>c) Obra Social San José de Calasanz de Valencia</v>
      </c>
      <c r="C114" s="89" t="str">
        <f>Registro!C114</f>
        <v>a) Primer año</v>
      </c>
      <c r="D114" s="89" t="str">
        <f>Registro!D114</f>
        <v>b) Primaria</v>
      </c>
      <c r="E114" s="89" t="str">
        <f>Registro!E114</f>
        <v>b) Femenino</v>
      </c>
      <c r="F114" s="89" t="str">
        <f>Registro!F114</f>
        <v>b) Evangélica</v>
      </c>
      <c r="G114" s="89" t="str">
        <f>Registro!G114</f>
        <v>a) Mamá, b) Papá, c) Hermanos</v>
      </c>
      <c r="H114" s="89" t="str">
        <f>Registro!H114</f>
        <v>b) Casa Urbana</v>
      </c>
      <c r="I114" s="89" t="str">
        <f>Registro!I114</f>
        <v>a) Sí</v>
      </c>
      <c r="J114" s="89" t="str">
        <f>Registro!J114</f>
        <v>b) Lavadora, c) Microondas, d) TV pantalla plana, h) Carro, i) Computadora, j) Cámara digital, k) Aire acondicionado</v>
      </c>
      <c r="K114" s="89" t="str">
        <f>Registro!K114</f>
        <v>b) Una</v>
      </c>
      <c r="L114" s="89"/>
      <c r="M114" s="94">
        <f t="shared" si="9"/>
        <v>0</v>
      </c>
      <c r="N114" s="89" t="str">
        <f>Registro!M114</f>
        <v>c) Yo mismo</v>
      </c>
      <c r="O114" s="89" t="str">
        <f>Registro!N114</f>
        <v>c) Poco</v>
      </c>
      <c r="P114" s="89" t="str">
        <f>Registro!O114</f>
        <v>b) Suficiente</v>
      </c>
      <c r="Q114" s="89" t="str">
        <f>Registro!P114</f>
        <v>c) Poco</v>
      </c>
      <c r="R114" s="89" t="str">
        <f>Registro!Q114</f>
        <v>c) Los estudios, f) Mi fe y mi vida cristiana, g) La felicidad</v>
      </c>
      <c r="S114" s="94">
        <f t="shared" si="5"/>
        <v>3</v>
      </c>
      <c r="T114" s="89" t="str">
        <f>Registro!R114</f>
        <v>a) Mucho</v>
      </c>
      <c r="U114" s="89" t="str">
        <f>Registro!S114</f>
        <v>j) Todas partes</v>
      </c>
      <c r="V114" s="89" t="str">
        <f>Registro!T114</f>
        <v>d) No rezo nunca</v>
      </c>
      <c r="W114" s="89" t="str">
        <f>Registro!U114</f>
        <v>c) Solo en fechas especiales</v>
      </c>
      <c r="X114" s="89" t="str">
        <f>Registro!V114</f>
        <v>c) Suelo ir los domingos y otras fechas especiales a la Iglesia</v>
      </c>
      <c r="Y114" s="89" t="str">
        <f>Registro!W114</f>
        <v>d) No pertenezco a ninguno</v>
      </c>
      <c r="Z114" s="89" t="str">
        <f>Registro!X114</f>
        <v>b) Un lugar donde comparto con mis compañeros</v>
      </c>
      <c r="AA114" s="89" t="str">
        <f>Registro!Y114</f>
        <v>b) No</v>
      </c>
      <c r="AB114" s="89" t="str">
        <f>Registro!Z114</f>
        <v>b) No</v>
      </c>
      <c r="AC114" s="89"/>
      <c r="AD114" s="94">
        <f t="shared" si="6"/>
        <v>0</v>
      </c>
      <c r="AE114" s="89" t="str">
        <f>Registro!AB114</f>
        <v>c) Ser un excelente profesional</v>
      </c>
      <c r="AF114" s="89" t="str">
        <f>Registro!AC114</f>
        <v>b) Poco</v>
      </c>
      <c r="AG114" s="89" t="str">
        <f>Registro!AD114</f>
        <v>c) Las instalaciones del Colegio, h) Las actividades extraescolares</v>
      </c>
      <c r="AH114" s="94">
        <f t="shared" si="7"/>
        <v>2</v>
      </c>
      <c r="AI114" s="89" t="str">
        <f>Registro!AE114</f>
        <v>e) 9 a 10 horas</v>
      </c>
      <c r="AJ114" s="89" t="str">
        <f>Registro!AF114</f>
        <v>b) Navego en Internet, d) Estoy la mayor parte del tiempo en la casa sin hacer nada, m) Veo televisión y/o películas</v>
      </c>
      <c r="AK114" s="94">
        <f t="shared" si="8"/>
        <v>3</v>
      </c>
      <c r="AL114" s="89" t="str">
        <f>Registro!AG114</f>
        <v>b) Bueno</v>
      </c>
      <c r="AM114" s="89" t="str">
        <f>Registro!AH114</f>
        <v>c) Regular</v>
      </c>
      <c r="AN114" s="89" t="str">
        <f>Registro!AI114</f>
        <v>c) Regular</v>
      </c>
      <c r="AO114" s="89" t="str">
        <f>Registro!AJ114</f>
        <v>b) Buena</v>
      </c>
      <c r="AP114" s="89" t="str">
        <f>Registro!AK114</f>
        <v>b) Buena</v>
      </c>
      <c r="AQ114" s="89" t="str">
        <f>Registro!AL114</f>
        <v>b) Buena</v>
      </c>
      <c r="AR114" s="89" t="str">
        <f>Registro!AM114</f>
        <v>b) Buena</v>
      </c>
      <c r="AS114" s="89" t="str">
        <f>Registro!AN114</f>
        <v>c) Regular</v>
      </c>
      <c r="AT114" s="89" t="str">
        <f>Registro!AO114</f>
        <v>b) Buena</v>
      </c>
      <c r="AU114" s="89" t="str">
        <f>Registro!AP114</f>
        <v>c) Regular</v>
      </c>
      <c r="AV114" s="89" t="str">
        <f>Registro!AQ114</f>
        <v>b) Buena</v>
      </c>
      <c r="AW114" s="89" t="str">
        <f>Registro!AR114</f>
        <v>e) La disciplina y el orden</v>
      </c>
      <c r="AX114" s="89" t="str">
        <f>Registro!AS114</f>
        <v>b) Darme una buena educación</v>
      </c>
      <c r="AY114" s="89" t="str">
        <f>Registro!AT114</f>
        <v>c) Conveniente</v>
      </c>
      <c r="AZ114" s="89" t="str">
        <f>Registro!AU114</f>
        <v>a) No acostumbro a tomarlo nunca</v>
      </c>
      <c r="BA114" s="89" t="str">
        <f>Registro!AV114</f>
        <v>e) Educadores que se preocupan de nosotros</v>
      </c>
      <c r="BB114" s="89" t="str">
        <f>Registro!AW114</f>
        <v>c) Bastante</v>
      </c>
      <c r="BC114" s="89" t="str">
        <f>Registro!AX114</f>
        <v>c) Son personas normales y corrientes</v>
      </c>
      <c r="BD114" s="89" t="str">
        <f>Registro!AY114</f>
        <v>h) Una amiga</v>
      </c>
    </row>
    <row r="115" spans="1:14334 14340:16314" ht="15" customHeight="1" x14ac:dyDescent="0.25">
      <c r="A115" s="101">
        <f>Registro!A115</f>
        <v>42158.196793981479</v>
      </c>
      <c r="B115" s="89" t="str">
        <f>Registro!B115</f>
        <v>c) Obra Social San José de Calasanz de Valencia</v>
      </c>
      <c r="C115" s="89" t="str">
        <f>Registro!C115</f>
        <v>a) Primer año</v>
      </c>
      <c r="D115" s="89" t="str">
        <f>Registro!D115</f>
        <v>a) Educación Inicial</v>
      </c>
      <c r="E115" s="89" t="str">
        <f>Registro!E115</f>
        <v>a) Masculino</v>
      </c>
      <c r="F115" s="89" t="str">
        <f>Registro!F115</f>
        <v>a) Católica</v>
      </c>
      <c r="G115" s="89" t="str">
        <f>Registro!G115</f>
        <v>a) Mamá, b) Papá, c) Hermanos, d) Abuelos</v>
      </c>
      <c r="H115" s="89" t="str">
        <f>Registro!H115</f>
        <v>d) Casa Rural</v>
      </c>
      <c r="I115" s="89" t="str">
        <f>Registro!I115</f>
        <v>c) Algo</v>
      </c>
      <c r="J115" s="89" t="str">
        <f>Registro!J115</f>
        <v>b) Lavadora, c) Microondas, d) TV pantalla plana, f) MP3, h) Carro, i) Computadora, j) Cámara digital</v>
      </c>
      <c r="K115" s="89" t="str">
        <f>Registro!K115</f>
        <v>c) Dos</v>
      </c>
      <c r="L115" s="89"/>
      <c r="M115" s="94">
        <f t="shared" si="9"/>
        <v>0</v>
      </c>
      <c r="N115" s="89" t="str">
        <f>Registro!M115</f>
        <v>a) Seguridad personal (la violencia y la delincuencia)</v>
      </c>
      <c r="O115" s="89">
        <f>Registro!N115</f>
        <v>0</v>
      </c>
      <c r="P115" s="89">
        <f>Registro!O115</f>
        <v>0</v>
      </c>
      <c r="Q115" s="89" t="str">
        <f>Registro!P115</f>
        <v>b) Suficiente</v>
      </c>
      <c r="R115" s="89"/>
      <c r="S115" s="94">
        <f t="shared" si="5"/>
        <v>0</v>
      </c>
      <c r="T115" s="89" t="str">
        <f>Registro!R115</f>
        <v>a) Mucho</v>
      </c>
      <c r="U115" s="89" t="str">
        <f>Registro!S115</f>
        <v>a) La Iglesia, b) La naturaleza, d) Las convivencias, g) Mi familia, k) La oración, l) Los sacramentos</v>
      </c>
      <c r="V115" s="89" t="str">
        <f>Registro!T115</f>
        <v>c) Rezo solo en situación de dificultad</v>
      </c>
      <c r="W115" s="89" t="str">
        <f>Registro!U115</f>
        <v>b) Algunos domingos</v>
      </c>
      <c r="X115" s="89" t="str">
        <f>Registro!V115</f>
        <v>d) Suelo orar todos los días, e) Voy a misa en las fechas de mis familiares difuntos</v>
      </c>
      <c r="Y115" s="89" t="str">
        <f>Registro!W115</f>
        <v>a) Deportivo</v>
      </c>
      <c r="Z115" s="89" t="str">
        <f>Registro!X115</f>
        <v>b) Un lugar donde comparto con mis compañeros</v>
      </c>
      <c r="AA115" s="89" t="str">
        <f>Registro!Y115</f>
        <v>c) Algo</v>
      </c>
      <c r="AB115" s="89" t="str">
        <f>Registro!Z115</f>
        <v>c) Algo</v>
      </c>
      <c r="AC115" s="89" t="str">
        <f>Registro!AA115</f>
        <v>d) Ingeniería, f) Ciencias policiales o artes militares</v>
      </c>
      <c r="AD115" s="94">
        <f t="shared" si="6"/>
        <v>2</v>
      </c>
      <c r="AE115" s="89" t="str">
        <f>Registro!AB115</f>
        <v>c) Ser un excelente profesional</v>
      </c>
      <c r="AF115" s="89" t="str">
        <f>Registro!AC115</f>
        <v>d) Mucho o muchísimo</v>
      </c>
      <c r="AG115" s="89" t="str">
        <f>Registro!AD115</f>
        <v>a) Los deportes y diversiones, b) El ambiente de estudio y de trabajo</v>
      </c>
      <c r="AH115" s="94">
        <f t="shared" si="7"/>
        <v>2</v>
      </c>
      <c r="AI115" s="89" t="str">
        <f>Registro!AE115</f>
        <v>a) 0 a 2 horas</v>
      </c>
      <c r="AJ115" s="89"/>
      <c r="AK115" s="94">
        <f t="shared" si="8"/>
        <v>0</v>
      </c>
      <c r="AL115" s="89">
        <f>Registro!AG115</f>
        <v>0</v>
      </c>
      <c r="AM115" s="89" t="str">
        <f>Registro!AH115</f>
        <v>b) Buena</v>
      </c>
      <c r="AN115" s="89" t="str">
        <f>Registro!AI115</f>
        <v>b) Buena</v>
      </c>
      <c r="AO115" s="89" t="str">
        <f>Registro!AJ115</f>
        <v>b) Buena</v>
      </c>
      <c r="AP115" s="89" t="str">
        <f>Registro!AK115</f>
        <v>b) Buena</v>
      </c>
      <c r="AQ115" s="89" t="str">
        <f>Registro!AL115</f>
        <v>b) Buena</v>
      </c>
      <c r="AR115" s="89" t="str">
        <f>Registro!AM115</f>
        <v>a) Muy buena</v>
      </c>
      <c r="AS115" s="89" t="str">
        <f>Registro!AN115</f>
        <v>b) Buena</v>
      </c>
      <c r="AT115" s="89" t="str">
        <f>Registro!AO115</f>
        <v>a) Muy buena</v>
      </c>
      <c r="AU115" s="89" t="str">
        <f>Registro!AP115</f>
        <v>b) Buena</v>
      </c>
      <c r="AV115" s="89" t="str">
        <f>Registro!AQ115</f>
        <v>b) Buena</v>
      </c>
      <c r="AW115" s="89" t="str">
        <f>Registro!AR115</f>
        <v>a) El compañerismo</v>
      </c>
      <c r="AX115" s="89" t="str">
        <f>Registro!AS115</f>
        <v>a) Que sea un buen profesional</v>
      </c>
      <c r="AY115" s="89" t="str">
        <f>Registro!AT115</f>
        <v>d) Bastante necesaria</v>
      </c>
      <c r="AZ115" s="89" t="str">
        <f>Registro!AU115</f>
        <v>b) Las veces que bebo, es con moderación</v>
      </c>
      <c r="BA115" s="89" t="str">
        <f>Registro!AV115</f>
        <v>b) Profesionales que no se preocupan de nosotros</v>
      </c>
      <c r="BB115" s="89" t="str">
        <f>Registro!AW115</f>
        <v>c) Bastante</v>
      </c>
      <c r="BC115" s="89" t="str">
        <f>Registro!AX115</f>
        <v>b) Hay de todo tipo, pero predomina lo negativo</v>
      </c>
      <c r="BD115" s="89" t="str">
        <f>Registro!AY115</f>
        <v>a) Mi padre, c) Un hermano/a</v>
      </c>
    </row>
    <row r="116" spans="1:14334 14340:16314" ht="15" customHeight="1" x14ac:dyDescent="0.25">
      <c r="A116" s="101">
        <f>Registro!A116</f>
        <v>42158.198217592595</v>
      </c>
      <c r="B116" s="89" t="str">
        <f>Registro!B116</f>
        <v>c) Obra Social San José de Calasanz de Valencia</v>
      </c>
      <c r="C116" s="89" t="str">
        <f>Registro!C116</f>
        <v>a) Primer año</v>
      </c>
      <c r="D116" s="89" t="str">
        <f>Registro!D116</f>
        <v>b) Primaria</v>
      </c>
      <c r="E116" s="89" t="str">
        <f>Registro!E116</f>
        <v>b) Femenino</v>
      </c>
      <c r="F116" s="89" t="str">
        <f>Registro!F116</f>
        <v>b) Evangélica</v>
      </c>
      <c r="G116" s="89" t="str">
        <f>Registro!G116</f>
        <v>a) Mamá, b) Papá, c) Hermanos, d) Abuelos</v>
      </c>
      <c r="H116" s="89" t="str">
        <f>Registro!H116</f>
        <v>b) Casa Urbana</v>
      </c>
      <c r="I116" s="89" t="str">
        <f>Registro!I116</f>
        <v>a) Sí</v>
      </c>
      <c r="J116" s="89" t="str">
        <f>Registro!J116</f>
        <v>b) Lavadora, c) Microondas, d) TV pantalla plana, e) Moto, g) MP4, h) Carro, k) Aire acondicionado</v>
      </c>
      <c r="K116" s="89" t="str">
        <f>Registro!K116</f>
        <v>f) Más de cuatro</v>
      </c>
      <c r="L116" s="89"/>
      <c r="M116" s="94">
        <f t="shared" si="9"/>
        <v>0</v>
      </c>
      <c r="N116" s="89" t="str">
        <f>Registro!M116</f>
        <v>d) Los problemas familiares</v>
      </c>
      <c r="O116" s="89" t="str">
        <f>Registro!N116</f>
        <v>a) Mucho</v>
      </c>
      <c r="P116" s="89" t="str">
        <f>Registro!O116</f>
        <v>a) Mucho</v>
      </c>
      <c r="Q116" s="89" t="str">
        <f>Registro!P116</f>
        <v>a) Mucho</v>
      </c>
      <c r="R116" s="89"/>
      <c r="S116" s="94">
        <f t="shared" si="5"/>
        <v>0</v>
      </c>
      <c r="T116" s="89" t="str">
        <f>Registro!R116</f>
        <v>a) Mucho</v>
      </c>
      <c r="U116" s="89" t="str">
        <f>Registro!S116</f>
        <v>a) La Iglesia, e) Los amigos, f) Todas las personas, g) Mi familia, i) Los necesitados, k) La oración</v>
      </c>
      <c r="V116" s="89" t="str">
        <f>Registro!T116</f>
        <v>a) Suelo rezar por convicción o porque me gusta</v>
      </c>
      <c r="W116" s="89" t="str">
        <f>Registro!U116</f>
        <v>a) Todos los domingos</v>
      </c>
      <c r="X116" s="89" t="str">
        <f>Registro!V116</f>
        <v>b) Suelo bendedir los alimentos antes de comer, c) Suelo ir los domingos y otras fechas especiales a la Iglesia, d) Suelo orar todos los días, g) En ocasiones, en mi casa tenemos una oración familiar</v>
      </c>
      <c r="Y116" s="89" t="str">
        <f>Registro!W116</f>
        <v>d) No pertenezco a ninguno</v>
      </c>
      <c r="Z116" s="89" t="str">
        <f>Registro!X116</f>
        <v>b) Un lugar donde comparto con mis compañeros</v>
      </c>
      <c r="AA116" s="89" t="str">
        <f>Registro!Y116</f>
        <v>b) No</v>
      </c>
      <c r="AB116" s="89" t="str">
        <f>Registro!Z116</f>
        <v>a) Sí</v>
      </c>
      <c r="AC116" s="89" t="str">
        <f>Registro!AA116</f>
        <v>a) Medicina, e) Derecho</v>
      </c>
      <c r="AD116" s="94">
        <f t="shared" si="6"/>
        <v>2</v>
      </c>
      <c r="AE116" s="89" t="str">
        <f>Registro!AB116</f>
        <v>e) Servir a los demás</v>
      </c>
      <c r="AF116" s="89" t="str">
        <f>Registro!AC116</f>
        <v>d) Mucho o muchísimo</v>
      </c>
      <c r="AG116" s="89" t="str">
        <f>Registro!AD116</f>
        <v>e) La mayor posibilidad de vivir mi fe, h) Las actividades extraescolares</v>
      </c>
      <c r="AH116" s="94">
        <f t="shared" si="7"/>
        <v>2</v>
      </c>
      <c r="AI116" s="89" t="str">
        <f>Registro!AE116</f>
        <v>f) 11 o más horas</v>
      </c>
      <c r="AJ116" s="89" t="str">
        <f>Registro!AF116</f>
        <v>i) Leo revistas o libros</v>
      </c>
      <c r="AK116" s="94">
        <f t="shared" si="8"/>
        <v>1</v>
      </c>
      <c r="AL116" s="89" t="str">
        <f>Registro!AG116</f>
        <v>a) Muy bueno</v>
      </c>
      <c r="AM116" s="89" t="str">
        <f>Registro!AH116</f>
        <v>a) Muy buena</v>
      </c>
      <c r="AN116" s="89">
        <f>Registro!AI116</f>
        <v>0</v>
      </c>
      <c r="AO116" s="89" t="str">
        <f>Registro!AJ116</f>
        <v>a) Muy buena</v>
      </c>
      <c r="AP116" s="89" t="str">
        <f>Registro!AK116</f>
        <v>a) Muy buena</v>
      </c>
      <c r="AQ116" s="89" t="str">
        <f>Registro!AL116</f>
        <v>a) Muy buena</v>
      </c>
      <c r="AR116" s="89" t="str">
        <f>Registro!AM116</f>
        <v>b) Buena</v>
      </c>
      <c r="AS116" s="89" t="str">
        <f>Registro!AN116</f>
        <v>a) Muy buena</v>
      </c>
      <c r="AT116" s="89" t="str">
        <f>Registro!AO116</f>
        <v>a) Muy buena</v>
      </c>
      <c r="AU116" s="89" t="str">
        <f>Registro!AP116</f>
        <v>b) Buena</v>
      </c>
      <c r="AV116" s="89" t="str">
        <f>Registro!AQ116</f>
        <v>a) Muy buena</v>
      </c>
      <c r="AW116" s="89" t="str">
        <f>Registro!AR116</f>
        <v>a) El compañerismo</v>
      </c>
      <c r="AX116" s="89" t="str">
        <f>Registro!AS116</f>
        <v>c) Que me preocupe de los demás</v>
      </c>
      <c r="AY116" s="89" t="str">
        <f>Registro!AT116</f>
        <v>d) Bastante necesaria</v>
      </c>
      <c r="AZ116" s="89" t="str">
        <f>Registro!AU116</f>
        <v>a) No acostumbro a tomarlo nunca</v>
      </c>
      <c r="BA116" s="89" t="str">
        <f>Registro!AV116</f>
        <v>e) Educadores que se preocupan de nosotros</v>
      </c>
      <c r="BB116" s="89" t="str">
        <f>Registro!AW116</f>
        <v>d) Mucho o muchísimo</v>
      </c>
      <c r="BC116" s="89" t="str">
        <f>Registro!AX116</f>
        <v>d) Hay de todo tipo, pero predomina lo positivo</v>
      </c>
      <c r="BD116" s="89" t="str">
        <f>Registro!AY116</f>
        <v>b) Mi madre, e) Un, una docente, h) Una amiga</v>
      </c>
      <c r="BJ116" s="89"/>
      <c r="BK116" s="89"/>
      <c r="BL116" s="89"/>
      <c r="BM116" s="89"/>
      <c r="BN116" s="89"/>
      <c r="BO116" s="89"/>
      <c r="BP116" s="89"/>
      <c r="BQ116" s="89"/>
      <c r="BR116" s="89"/>
      <c r="BS116" s="89"/>
      <c r="BT116" s="89"/>
      <c r="BU116" s="89"/>
      <c r="BV116" s="94"/>
      <c r="BW116" s="89"/>
      <c r="BX116" s="89"/>
      <c r="BY116" s="89"/>
      <c r="BZ116" s="89"/>
      <c r="CA116" s="89"/>
      <c r="CB116" s="94"/>
      <c r="CC116" s="89"/>
      <c r="CD116" s="89"/>
      <c r="CE116" s="89"/>
      <c r="CF116" s="89"/>
      <c r="CG116" s="89"/>
      <c r="CH116" s="89"/>
      <c r="CI116" s="89"/>
      <c r="CJ116" s="89"/>
      <c r="CK116" s="89"/>
      <c r="CL116" s="89"/>
      <c r="CM116" s="94"/>
      <c r="CN116" s="89"/>
      <c r="CO116" s="89"/>
      <c r="CP116" s="89"/>
      <c r="CQ116" s="89"/>
      <c r="CR116" s="89"/>
      <c r="CS116" s="89"/>
      <c r="CT116" s="89"/>
      <c r="CU116" s="89"/>
      <c r="CV116" s="89"/>
      <c r="CW116" s="89"/>
      <c r="CX116" s="89"/>
      <c r="CY116" s="89"/>
      <c r="CZ116" s="89"/>
      <c r="DA116" s="89"/>
      <c r="DB116" s="89"/>
      <c r="DC116" s="89"/>
      <c r="DD116" s="89"/>
      <c r="DE116" s="89"/>
      <c r="DF116" s="89"/>
      <c r="DG116" s="89"/>
      <c r="DH116" s="89"/>
      <c r="DI116" s="89"/>
      <c r="DJ116" s="89"/>
      <c r="DK116" s="89"/>
      <c r="DQ116" s="89"/>
      <c r="DR116" s="89"/>
      <c r="DS116" s="89"/>
      <c r="DT116" s="89"/>
      <c r="DU116" s="89"/>
      <c r="DV116" s="89"/>
      <c r="DW116" s="89"/>
      <c r="DX116" s="89"/>
      <c r="DY116" s="89"/>
      <c r="DZ116" s="89"/>
      <c r="EA116" s="89"/>
      <c r="EB116" s="89"/>
      <c r="EC116" s="94"/>
      <c r="ED116" s="89"/>
      <c r="EE116" s="89"/>
      <c r="EF116" s="89"/>
      <c r="EG116" s="89"/>
      <c r="EH116" s="89"/>
      <c r="EI116" s="94"/>
      <c r="EJ116" s="89"/>
      <c r="EK116" s="89"/>
      <c r="EL116" s="89"/>
      <c r="EM116" s="89"/>
      <c r="EN116" s="89"/>
      <c r="EO116" s="89"/>
      <c r="EP116" s="89"/>
      <c r="EQ116" s="89"/>
      <c r="ER116" s="89"/>
      <c r="ES116" s="89"/>
      <c r="ET116" s="94"/>
      <c r="EU116" s="89"/>
      <c r="EV116" s="89"/>
      <c r="EW116" s="89"/>
      <c r="EX116" s="89"/>
      <c r="EY116" s="89"/>
      <c r="EZ116" s="89"/>
      <c r="FA116" s="89"/>
      <c r="FB116" s="89"/>
      <c r="FC116" s="89"/>
      <c r="FD116" s="89"/>
      <c r="FE116" s="89"/>
      <c r="FF116" s="89"/>
      <c r="FG116" s="89"/>
      <c r="FH116" s="89"/>
      <c r="FI116" s="89"/>
      <c r="FJ116" s="89"/>
      <c r="FK116" s="89"/>
      <c r="FL116" s="89"/>
      <c r="FM116" s="89"/>
      <c r="FN116" s="89"/>
      <c r="FO116" s="89"/>
      <c r="FP116" s="89"/>
      <c r="FQ116" s="89"/>
      <c r="FR116" s="89"/>
      <c r="FX116" s="89"/>
      <c r="FY116" s="89"/>
      <c r="FZ116" s="89"/>
      <c r="GA116" s="89"/>
      <c r="GB116" s="89"/>
      <c r="GC116" s="89"/>
      <c r="GD116" s="89"/>
      <c r="GE116" s="89"/>
      <c r="GF116" s="89"/>
      <c r="GG116" s="89"/>
      <c r="GH116" s="89"/>
      <c r="GI116" s="89"/>
      <c r="GJ116" s="94"/>
      <c r="GK116" s="89"/>
      <c r="GL116" s="89"/>
      <c r="GM116" s="89"/>
      <c r="GN116" s="89"/>
      <c r="GO116" s="89"/>
      <c r="GP116" s="94"/>
      <c r="GQ116" s="89"/>
      <c r="GR116" s="89"/>
      <c r="GS116" s="89"/>
      <c r="GT116" s="89"/>
      <c r="GU116" s="89"/>
      <c r="GV116" s="89"/>
      <c r="GW116" s="89"/>
      <c r="GX116" s="89"/>
      <c r="GY116" s="89"/>
      <c r="GZ116" s="89"/>
      <c r="HA116" s="94"/>
      <c r="HB116" s="89"/>
      <c r="HC116" s="89"/>
      <c r="HD116" s="89"/>
      <c r="HE116" s="89"/>
      <c r="HF116" s="89"/>
      <c r="HG116" s="89"/>
      <c r="HH116" s="89"/>
      <c r="HI116" s="89"/>
      <c r="HJ116" s="89"/>
      <c r="HK116" s="89"/>
      <c r="HL116" s="89"/>
      <c r="HM116" s="89"/>
      <c r="HN116" s="89"/>
      <c r="HO116" s="89"/>
      <c r="HP116" s="89"/>
      <c r="HQ116" s="89"/>
      <c r="HR116" s="89"/>
      <c r="HS116" s="89"/>
      <c r="HT116" s="89"/>
      <c r="HU116" s="89"/>
      <c r="HV116" s="89"/>
      <c r="HW116" s="89"/>
      <c r="HX116" s="89"/>
      <c r="HY116" s="89"/>
      <c r="IE116" s="89"/>
      <c r="IF116" s="89"/>
      <c r="IG116" s="89"/>
      <c r="IH116" s="89"/>
      <c r="II116" s="89"/>
      <c r="IJ116" s="89"/>
      <c r="IK116" s="89"/>
      <c r="IL116" s="89"/>
      <c r="IM116" s="89"/>
      <c r="IN116" s="89"/>
      <c r="IO116" s="89"/>
      <c r="IP116" s="89"/>
      <c r="IQ116" s="94"/>
      <c r="IR116" s="89"/>
      <c r="IS116" s="89"/>
      <c r="IT116" s="89"/>
      <c r="IU116" s="89"/>
      <c r="IV116" s="89"/>
      <c r="IW116" s="94"/>
      <c r="IX116" s="89"/>
      <c r="IY116" s="89"/>
      <c r="IZ116" s="89"/>
      <c r="JA116" s="89"/>
      <c r="JB116" s="89"/>
      <c r="JC116" s="89"/>
      <c r="JD116" s="89"/>
      <c r="JE116" s="89"/>
      <c r="JF116" s="89"/>
      <c r="JG116" s="89"/>
      <c r="JH116" s="94"/>
      <c r="JI116" s="89"/>
      <c r="JJ116" s="89"/>
      <c r="JK116" s="89"/>
      <c r="JL116" s="89"/>
      <c r="JM116" s="89"/>
      <c r="JN116" s="89"/>
      <c r="JO116" s="89"/>
      <c r="JP116" s="89"/>
      <c r="JQ116" s="89"/>
      <c r="JR116" s="89"/>
      <c r="JS116" s="89"/>
      <c r="JT116" s="89"/>
      <c r="JU116" s="89"/>
      <c r="JV116" s="89"/>
      <c r="JW116" s="89"/>
      <c r="JX116" s="89"/>
      <c r="JY116" s="89"/>
      <c r="JZ116" s="89"/>
      <c r="KA116" s="89"/>
      <c r="KB116" s="89"/>
      <c r="KC116" s="89"/>
      <c r="KD116" s="89"/>
      <c r="KE116" s="89"/>
      <c r="KF116" s="89"/>
      <c r="KL116" s="89"/>
      <c r="KM116" s="89"/>
      <c r="KN116" s="89"/>
      <c r="KO116" s="89"/>
      <c r="KP116" s="89"/>
      <c r="KQ116" s="89"/>
      <c r="KR116" s="89"/>
      <c r="KS116" s="89"/>
      <c r="KT116" s="89"/>
      <c r="KU116" s="89"/>
      <c r="KV116" s="89"/>
      <c r="KW116" s="89"/>
      <c r="KX116" s="94"/>
      <c r="KY116" s="89"/>
      <c r="KZ116" s="89"/>
      <c r="LA116" s="89"/>
      <c r="LB116" s="89"/>
      <c r="LC116" s="89"/>
      <c r="LD116" s="94"/>
      <c r="LE116" s="89"/>
      <c r="LF116" s="89"/>
      <c r="LG116" s="89"/>
      <c r="LH116" s="89"/>
      <c r="LI116" s="89"/>
      <c r="LJ116" s="89"/>
      <c r="LK116" s="89"/>
      <c r="LL116" s="89"/>
      <c r="LM116" s="89"/>
      <c r="LN116" s="89"/>
      <c r="LO116" s="94"/>
      <c r="LP116" s="89"/>
      <c r="LQ116" s="89"/>
      <c r="LR116" s="89"/>
      <c r="LS116" s="89"/>
      <c r="LT116" s="89"/>
      <c r="LU116" s="89"/>
      <c r="LV116" s="89"/>
      <c r="LW116" s="89"/>
      <c r="LX116" s="89"/>
      <c r="LY116" s="89"/>
      <c r="LZ116" s="89"/>
      <c r="MA116" s="89"/>
      <c r="MB116" s="89"/>
      <c r="MC116" s="89"/>
      <c r="MD116" s="89"/>
      <c r="ME116" s="89"/>
      <c r="MF116" s="89"/>
      <c r="MG116" s="89"/>
      <c r="MH116" s="89"/>
      <c r="MI116" s="89"/>
      <c r="MJ116" s="89"/>
      <c r="MK116" s="89"/>
      <c r="ML116" s="89"/>
      <c r="MM116" s="89"/>
      <c r="MS116" s="89"/>
      <c r="MT116" s="89"/>
      <c r="MU116" s="89"/>
      <c r="MV116" s="89"/>
      <c r="MW116" s="89"/>
      <c r="MX116" s="89"/>
      <c r="MY116" s="89"/>
      <c r="MZ116" s="89"/>
      <c r="NA116" s="89"/>
      <c r="NB116" s="89"/>
      <c r="NC116" s="89"/>
      <c r="ND116" s="89"/>
      <c r="NE116" s="94"/>
      <c r="NF116" s="89"/>
      <c r="NG116" s="89"/>
      <c r="NH116" s="89"/>
      <c r="NI116" s="89"/>
      <c r="NJ116" s="89"/>
      <c r="NK116" s="94"/>
      <c r="NL116" s="89"/>
      <c r="NM116" s="89"/>
      <c r="NN116" s="89"/>
      <c r="NO116" s="89"/>
      <c r="NP116" s="89"/>
      <c r="NQ116" s="89"/>
      <c r="NR116" s="89"/>
      <c r="NS116" s="89"/>
      <c r="NT116" s="89"/>
      <c r="NU116" s="89"/>
      <c r="NV116" s="94"/>
      <c r="NW116" s="89"/>
      <c r="NX116" s="89"/>
      <c r="NY116" s="89"/>
      <c r="NZ116" s="89"/>
      <c r="OA116" s="89"/>
      <c r="OB116" s="89"/>
      <c r="OC116" s="89"/>
      <c r="OD116" s="89"/>
      <c r="OE116" s="89"/>
      <c r="OF116" s="89"/>
      <c r="OG116" s="89"/>
      <c r="OH116" s="89"/>
      <c r="OI116" s="89"/>
      <c r="OJ116" s="89"/>
      <c r="OK116" s="89"/>
      <c r="OL116" s="89"/>
      <c r="OM116" s="89"/>
      <c r="ON116" s="89"/>
      <c r="OO116" s="89"/>
      <c r="OP116" s="89"/>
      <c r="OQ116" s="89"/>
      <c r="OR116" s="89"/>
      <c r="OS116" s="89"/>
      <c r="OT116" s="89"/>
      <c r="OZ116" s="89"/>
      <c r="PA116" s="89"/>
      <c r="PB116" s="89"/>
      <c r="PC116" s="89"/>
      <c r="PD116" s="89"/>
      <c r="PE116" s="89"/>
      <c r="PF116" s="89"/>
      <c r="PG116" s="89"/>
      <c r="PH116" s="89"/>
      <c r="PI116" s="89"/>
      <c r="PJ116" s="89"/>
      <c r="PK116" s="89"/>
      <c r="PL116" s="94"/>
      <c r="PM116" s="89"/>
      <c r="PN116" s="89"/>
      <c r="PO116" s="89"/>
      <c r="PP116" s="89"/>
      <c r="PQ116" s="89"/>
      <c r="PR116" s="94"/>
      <c r="PS116" s="89"/>
      <c r="PT116" s="89"/>
      <c r="PU116" s="89"/>
      <c r="PV116" s="89"/>
      <c r="PW116" s="89"/>
      <c r="PX116" s="89"/>
      <c r="PY116" s="89"/>
      <c r="PZ116" s="89"/>
      <c r="QA116" s="89"/>
      <c r="QB116" s="89"/>
      <c r="QC116" s="94"/>
      <c r="QD116" s="89"/>
      <c r="QE116" s="89"/>
      <c r="QF116" s="89"/>
      <c r="QG116" s="89"/>
      <c r="QH116" s="89"/>
      <c r="QI116" s="89"/>
      <c r="QJ116" s="89"/>
      <c r="QK116" s="89"/>
      <c r="QL116" s="89"/>
      <c r="QM116" s="89"/>
      <c r="QN116" s="89"/>
      <c r="QO116" s="89"/>
      <c r="QP116" s="89"/>
      <c r="QQ116" s="89"/>
      <c r="QR116" s="89"/>
      <c r="QS116" s="89"/>
      <c r="QT116" s="89"/>
      <c r="QU116" s="89"/>
      <c r="QV116" s="89"/>
      <c r="QW116" s="89"/>
      <c r="QX116" s="89"/>
      <c r="QY116" s="89"/>
      <c r="QZ116" s="89"/>
      <c r="RA116" s="89"/>
      <c r="RG116" s="89"/>
      <c r="RH116" s="89"/>
      <c r="RI116" s="89"/>
      <c r="RJ116" s="89"/>
      <c r="RK116" s="89"/>
      <c r="RL116" s="89"/>
      <c r="RM116" s="89"/>
      <c r="RN116" s="89"/>
      <c r="RO116" s="89"/>
      <c r="RP116" s="89"/>
      <c r="RQ116" s="89"/>
      <c r="RR116" s="89"/>
      <c r="RS116" s="94"/>
      <c r="RT116" s="89"/>
      <c r="RU116" s="89"/>
      <c r="RV116" s="89"/>
      <c r="RW116" s="89"/>
      <c r="RX116" s="89"/>
      <c r="RY116" s="94"/>
      <c r="RZ116" s="89"/>
      <c r="SA116" s="89"/>
      <c r="SB116" s="89"/>
      <c r="SC116" s="89"/>
      <c r="SD116" s="89"/>
      <c r="SE116" s="89"/>
      <c r="SF116" s="89"/>
      <c r="SG116" s="89"/>
      <c r="SH116" s="89"/>
      <c r="SI116" s="89"/>
      <c r="SJ116" s="94"/>
      <c r="SK116" s="89"/>
      <c r="SL116" s="89"/>
      <c r="SM116" s="89"/>
      <c r="SN116" s="89"/>
      <c r="SO116" s="89"/>
      <c r="SP116" s="89"/>
      <c r="SQ116" s="89"/>
      <c r="SR116" s="89"/>
      <c r="SS116" s="89"/>
      <c r="ST116" s="89"/>
      <c r="SU116" s="89"/>
      <c r="SV116" s="89"/>
      <c r="SW116" s="89"/>
      <c r="SX116" s="89"/>
      <c r="SY116" s="89"/>
      <c r="SZ116" s="89"/>
      <c r="TA116" s="89"/>
      <c r="TB116" s="89"/>
      <c r="TC116" s="89"/>
      <c r="TD116" s="89"/>
      <c r="TE116" s="89"/>
      <c r="TF116" s="89"/>
      <c r="TG116" s="89"/>
      <c r="TH116" s="89"/>
      <c r="TN116" s="89"/>
      <c r="TO116" s="89"/>
      <c r="TP116" s="89"/>
      <c r="TQ116" s="89"/>
      <c r="TR116" s="89"/>
      <c r="TS116" s="89"/>
      <c r="TT116" s="89"/>
      <c r="TU116" s="89"/>
      <c r="TV116" s="89"/>
      <c r="TW116" s="89"/>
      <c r="TX116" s="89"/>
      <c r="TY116" s="89"/>
      <c r="TZ116" s="94"/>
      <c r="UA116" s="89"/>
      <c r="UB116" s="89"/>
      <c r="UC116" s="89"/>
      <c r="UD116" s="89"/>
      <c r="UE116" s="89"/>
      <c r="UF116" s="94"/>
      <c r="UG116" s="89"/>
      <c r="UH116" s="89"/>
      <c r="UI116" s="89"/>
      <c r="UJ116" s="89"/>
      <c r="UK116" s="89"/>
      <c r="UL116" s="89"/>
      <c r="UM116" s="89"/>
      <c r="UN116" s="89"/>
      <c r="UO116" s="89"/>
      <c r="UP116" s="89"/>
      <c r="UQ116" s="94"/>
      <c r="UR116" s="89"/>
      <c r="US116" s="89"/>
      <c r="UT116" s="89"/>
      <c r="UU116" s="89"/>
      <c r="UV116" s="89"/>
      <c r="UW116" s="89"/>
      <c r="UX116" s="89"/>
      <c r="UY116" s="89"/>
      <c r="UZ116" s="89"/>
      <c r="VA116" s="89"/>
      <c r="VB116" s="89"/>
      <c r="VC116" s="89"/>
      <c r="VD116" s="89"/>
      <c r="VE116" s="89"/>
      <c r="VF116" s="89"/>
      <c r="VG116" s="89"/>
      <c r="VH116" s="89"/>
      <c r="VI116" s="89"/>
      <c r="VJ116" s="89"/>
      <c r="VK116" s="89"/>
      <c r="VL116" s="89"/>
      <c r="VM116" s="89"/>
      <c r="VN116" s="89"/>
      <c r="VO116" s="89"/>
      <c r="VU116" s="89"/>
      <c r="VV116" s="89"/>
      <c r="VW116" s="89"/>
      <c r="VX116" s="89"/>
      <c r="VY116" s="89"/>
      <c r="VZ116" s="89"/>
      <c r="WA116" s="89"/>
      <c r="WB116" s="89"/>
      <c r="WC116" s="89"/>
      <c r="WD116" s="89"/>
      <c r="WE116" s="89"/>
      <c r="WF116" s="89"/>
      <c r="WG116" s="94"/>
      <c r="WH116" s="89"/>
      <c r="WI116" s="89"/>
      <c r="WJ116" s="89"/>
      <c r="WK116" s="89"/>
      <c r="WL116" s="89"/>
      <c r="WM116" s="94"/>
      <c r="WN116" s="89"/>
      <c r="WO116" s="89"/>
      <c r="WP116" s="89"/>
      <c r="WQ116" s="89"/>
      <c r="WR116" s="89"/>
      <c r="WS116" s="89"/>
      <c r="WT116" s="89"/>
      <c r="WU116" s="89"/>
      <c r="WV116" s="89"/>
      <c r="WW116" s="89"/>
      <c r="WX116" s="94"/>
      <c r="WY116" s="89"/>
      <c r="WZ116" s="89"/>
      <c r="XA116" s="89"/>
      <c r="XB116" s="89"/>
      <c r="XC116" s="89"/>
      <c r="XD116" s="89"/>
      <c r="XE116" s="89"/>
      <c r="XF116" s="89"/>
      <c r="XG116" s="89"/>
      <c r="XH116" s="89"/>
      <c r="XI116" s="89"/>
      <c r="XJ116" s="89"/>
      <c r="XK116" s="89"/>
      <c r="XL116" s="89"/>
      <c r="XM116" s="89"/>
      <c r="XN116" s="89"/>
      <c r="XO116" s="89"/>
      <c r="XP116" s="89"/>
      <c r="XQ116" s="89"/>
      <c r="XR116" s="89"/>
      <c r="XS116" s="89"/>
      <c r="XT116" s="89"/>
      <c r="XU116" s="89"/>
      <c r="XV116" s="89"/>
      <c r="YB116" s="89"/>
      <c r="YC116" s="89"/>
      <c r="YD116" s="89"/>
      <c r="YE116" s="89"/>
      <c r="YF116" s="89"/>
      <c r="YG116" s="89"/>
      <c r="YH116" s="89"/>
      <c r="YI116" s="89"/>
      <c r="YJ116" s="89"/>
      <c r="YK116" s="89"/>
      <c r="YL116" s="89"/>
      <c r="YM116" s="89"/>
      <c r="YN116" s="94"/>
      <c r="YO116" s="89"/>
      <c r="YP116" s="89"/>
      <c r="YQ116" s="89"/>
      <c r="YR116" s="89"/>
      <c r="YS116" s="89"/>
      <c r="YT116" s="94"/>
      <c r="YU116" s="89"/>
      <c r="YV116" s="89"/>
      <c r="YW116" s="89"/>
      <c r="YX116" s="89"/>
      <c r="YY116" s="89"/>
      <c r="YZ116" s="89"/>
      <c r="ZA116" s="89"/>
      <c r="ZB116" s="89"/>
      <c r="ZC116" s="89"/>
      <c r="ZD116" s="89"/>
      <c r="ZE116" s="94"/>
      <c r="ZF116" s="89"/>
      <c r="ZG116" s="89"/>
      <c r="ZH116" s="89"/>
      <c r="ZI116" s="89"/>
      <c r="ZJ116" s="89"/>
      <c r="ZK116" s="89"/>
      <c r="ZL116" s="89"/>
      <c r="ZM116" s="89"/>
      <c r="ZN116" s="89"/>
      <c r="ZO116" s="89"/>
      <c r="ZP116" s="89"/>
      <c r="ZQ116" s="89"/>
      <c r="ZR116" s="89"/>
      <c r="ZS116" s="89"/>
      <c r="ZT116" s="89"/>
      <c r="ZU116" s="89"/>
      <c r="ZV116" s="89"/>
      <c r="ZW116" s="89"/>
      <c r="ZX116" s="89"/>
      <c r="ZY116" s="89"/>
      <c r="ZZ116" s="89"/>
      <c r="AAA116" s="89"/>
      <c r="AAB116" s="89"/>
      <c r="AAC116" s="89"/>
      <c r="AAI116" s="89"/>
      <c r="AAJ116" s="89"/>
      <c r="AAK116" s="89"/>
      <c r="AAL116" s="89"/>
      <c r="AAM116" s="89"/>
      <c r="AAN116" s="89"/>
      <c r="AAO116" s="89"/>
      <c r="AAP116" s="89"/>
      <c r="AAQ116" s="89"/>
      <c r="AAR116" s="89"/>
      <c r="AAS116" s="89"/>
      <c r="AAT116" s="89"/>
      <c r="AAU116" s="94"/>
      <c r="AAV116" s="89"/>
      <c r="AAW116" s="89"/>
      <c r="AAX116" s="89"/>
      <c r="AAY116" s="89"/>
      <c r="AAZ116" s="89"/>
      <c r="ABA116" s="94"/>
      <c r="ABB116" s="89"/>
      <c r="ABC116" s="89"/>
      <c r="ABD116" s="89"/>
      <c r="ABE116" s="89"/>
      <c r="ABF116" s="89"/>
      <c r="ABG116" s="89"/>
      <c r="ABH116" s="89"/>
      <c r="ABI116" s="89"/>
      <c r="ABJ116" s="89"/>
      <c r="ABK116" s="89"/>
      <c r="ABL116" s="94"/>
      <c r="ABM116" s="89"/>
      <c r="ABN116" s="89"/>
      <c r="ABO116" s="89"/>
      <c r="ABP116" s="89"/>
      <c r="ABQ116" s="89"/>
      <c r="ABR116" s="89"/>
      <c r="ABS116" s="89"/>
      <c r="ABT116" s="89"/>
      <c r="ABU116" s="89"/>
      <c r="ABV116" s="89"/>
      <c r="ABW116" s="89"/>
      <c r="ABX116" s="89"/>
      <c r="ABY116" s="89"/>
      <c r="ABZ116" s="89"/>
      <c r="ACA116" s="89"/>
      <c r="ACB116" s="89"/>
      <c r="ACC116" s="89"/>
      <c r="ACD116" s="89"/>
      <c r="ACE116" s="89"/>
      <c r="ACF116" s="89"/>
      <c r="ACG116" s="89"/>
      <c r="ACH116" s="89"/>
      <c r="ACI116" s="89"/>
      <c r="ACJ116" s="89"/>
      <c r="ACP116" s="89"/>
      <c r="ACQ116" s="89"/>
      <c r="ACR116" s="89"/>
      <c r="ACS116" s="89"/>
      <c r="ACT116" s="89"/>
      <c r="ACU116" s="89"/>
      <c r="ACV116" s="89"/>
      <c r="ACW116" s="89"/>
      <c r="ACX116" s="89"/>
      <c r="ACY116" s="89"/>
      <c r="ACZ116" s="89"/>
      <c r="ADA116" s="89"/>
      <c r="ADB116" s="94"/>
      <c r="ADC116" s="89"/>
      <c r="ADD116" s="89"/>
      <c r="ADE116" s="89"/>
      <c r="ADF116" s="89"/>
      <c r="ADG116" s="89"/>
      <c r="ADH116" s="94"/>
      <c r="ADI116" s="89"/>
      <c r="ADJ116" s="89"/>
      <c r="ADK116" s="89"/>
      <c r="ADL116" s="89"/>
      <c r="ADM116" s="89"/>
      <c r="ADN116" s="89"/>
      <c r="ADO116" s="89"/>
      <c r="ADP116" s="89"/>
      <c r="ADQ116" s="89"/>
      <c r="ADR116" s="89"/>
      <c r="ADS116" s="94"/>
      <c r="ADT116" s="89"/>
      <c r="ADU116" s="89"/>
      <c r="ADV116" s="89"/>
      <c r="ADW116" s="89"/>
      <c r="ADX116" s="89"/>
      <c r="ADY116" s="89"/>
      <c r="ADZ116" s="89"/>
      <c r="AEA116" s="89"/>
      <c r="AEB116" s="89"/>
      <c r="AEC116" s="89"/>
      <c r="AED116" s="89"/>
      <c r="AEE116" s="89"/>
      <c r="AEF116" s="89"/>
      <c r="AEG116" s="89"/>
      <c r="AEH116" s="89"/>
      <c r="AEI116" s="89"/>
      <c r="AEJ116" s="89"/>
      <c r="AEK116" s="89"/>
      <c r="AEL116" s="89"/>
      <c r="AEM116" s="89"/>
      <c r="AEN116" s="89"/>
      <c r="AEO116" s="89"/>
      <c r="AEP116" s="89"/>
      <c r="AEQ116" s="89"/>
      <c r="AEW116" s="89"/>
      <c r="AEX116" s="89"/>
      <c r="AEY116" s="89"/>
      <c r="AEZ116" s="89"/>
      <c r="AFA116" s="89"/>
      <c r="AFB116" s="89"/>
      <c r="AFC116" s="89"/>
      <c r="AFD116" s="89"/>
      <c r="AFE116" s="89"/>
      <c r="AFF116" s="89"/>
      <c r="AFG116" s="89"/>
      <c r="AFH116" s="89"/>
      <c r="AFI116" s="94"/>
      <c r="AFJ116" s="89"/>
      <c r="AFK116" s="89"/>
      <c r="AFL116" s="89"/>
      <c r="AFM116" s="89"/>
      <c r="AFN116" s="89"/>
      <c r="AFO116" s="94"/>
      <c r="AFP116" s="89"/>
      <c r="AFQ116" s="89"/>
      <c r="AFR116" s="89"/>
      <c r="AFS116" s="89"/>
      <c r="AFT116" s="89"/>
      <c r="AFU116" s="89"/>
      <c r="AFV116" s="89"/>
      <c r="AFW116" s="89"/>
      <c r="AFX116" s="89"/>
      <c r="AFY116" s="89"/>
      <c r="AFZ116" s="94"/>
      <c r="AGA116" s="89"/>
      <c r="AGB116" s="89"/>
      <c r="AGC116" s="89"/>
      <c r="AGD116" s="89"/>
      <c r="AGE116" s="89"/>
      <c r="AGF116" s="89"/>
      <c r="AGG116" s="89"/>
      <c r="AGH116" s="89"/>
      <c r="AGI116" s="89"/>
      <c r="AGJ116" s="89"/>
      <c r="AGK116" s="89"/>
      <c r="AGL116" s="89"/>
      <c r="AGM116" s="89"/>
      <c r="AGN116" s="89"/>
      <c r="AGO116" s="89"/>
      <c r="AGP116" s="89"/>
      <c r="AGQ116" s="89"/>
      <c r="AGR116" s="89"/>
      <c r="AGS116" s="89"/>
      <c r="AGT116" s="89"/>
      <c r="AGU116" s="89"/>
      <c r="AGV116" s="89"/>
      <c r="AGW116" s="89"/>
      <c r="AGX116" s="89"/>
      <c r="AHD116" s="89"/>
      <c r="AHE116" s="89"/>
      <c r="AHF116" s="89"/>
      <c r="AHG116" s="89"/>
      <c r="AHH116" s="89"/>
      <c r="AHI116" s="89"/>
      <c r="AHJ116" s="89"/>
      <c r="AHK116" s="89"/>
      <c r="AHL116" s="89"/>
      <c r="AHM116" s="89"/>
      <c r="AHN116" s="89"/>
      <c r="AHO116" s="89"/>
      <c r="AHP116" s="94"/>
      <c r="AHQ116" s="89"/>
      <c r="AHR116" s="89"/>
      <c r="AHS116" s="89"/>
      <c r="AHT116" s="89"/>
      <c r="AHU116" s="89"/>
      <c r="AHV116" s="94"/>
      <c r="AHW116" s="89"/>
      <c r="AHX116" s="89"/>
      <c r="AHY116" s="89"/>
      <c r="AHZ116" s="89"/>
      <c r="AIA116" s="89"/>
      <c r="AIB116" s="89"/>
      <c r="AIC116" s="89"/>
      <c r="AID116" s="89"/>
      <c r="AIE116" s="89"/>
      <c r="AIF116" s="89"/>
      <c r="AIG116" s="94"/>
      <c r="AIH116" s="89"/>
      <c r="AII116" s="89"/>
      <c r="AIJ116" s="89"/>
      <c r="AIK116" s="89"/>
      <c r="AIL116" s="89"/>
      <c r="AIM116" s="89"/>
      <c r="AIN116" s="89"/>
      <c r="AIO116" s="89"/>
      <c r="AIP116" s="89"/>
      <c r="AIQ116" s="89"/>
      <c r="AIR116" s="89"/>
      <c r="AIS116" s="89"/>
      <c r="AIT116" s="89"/>
      <c r="AIU116" s="89"/>
      <c r="AIV116" s="89"/>
      <c r="AIW116" s="89"/>
      <c r="AIX116" s="89"/>
      <c r="AIY116" s="89"/>
      <c r="AIZ116" s="89"/>
      <c r="AJA116" s="89"/>
      <c r="AJB116" s="89"/>
      <c r="AJC116" s="89"/>
      <c r="AJD116" s="89"/>
      <c r="AJE116" s="89"/>
      <c r="AJK116" s="89"/>
      <c r="AJL116" s="89"/>
      <c r="AJM116" s="89"/>
      <c r="AJN116" s="89"/>
      <c r="AJO116" s="89"/>
      <c r="AJP116" s="89"/>
      <c r="AJQ116" s="89"/>
      <c r="AJR116" s="89"/>
      <c r="AJS116" s="89"/>
      <c r="AJT116" s="89"/>
      <c r="AJU116" s="89"/>
      <c r="AJV116" s="89"/>
      <c r="AJW116" s="94"/>
      <c r="AJX116" s="89"/>
      <c r="AJY116" s="89"/>
      <c r="AJZ116" s="89"/>
      <c r="AKA116" s="89"/>
      <c r="AKB116" s="89"/>
      <c r="AKC116" s="94"/>
      <c r="AKD116" s="89"/>
      <c r="AKE116" s="89"/>
      <c r="AKF116" s="89"/>
      <c r="AKG116" s="89"/>
      <c r="AKH116" s="89"/>
      <c r="AKI116" s="89"/>
      <c r="AKJ116" s="89"/>
      <c r="AKK116" s="89"/>
      <c r="AKL116" s="89"/>
      <c r="AKM116" s="89"/>
      <c r="AKN116" s="94"/>
      <c r="AKO116" s="89"/>
      <c r="AKP116" s="89"/>
      <c r="AKQ116" s="89"/>
      <c r="AKR116" s="89"/>
      <c r="AKS116" s="89"/>
      <c r="AKT116" s="89"/>
      <c r="AKU116" s="89"/>
      <c r="AKV116" s="89"/>
      <c r="AKW116" s="89"/>
      <c r="AKX116" s="89"/>
      <c r="AKY116" s="89"/>
      <c r="AKZ116" s="89"/>
      <c r="ALA116" s="89"/>
      <c r="ALB116" s="89"/>
      <c r="ALC116" s="89"/>
      <c r="ALD116" s="89"/>
      <c r="ALE116" s="89"/>
      <c r="ALF116" s="89"/>
      <c r="ALG116" s="89"/>
      <c r="ALH116" s="89"/>
      <c r="ALI116" s="89"/>
      <c r="ALJ116" s="89"/>
      <c r="ALK116" s="89"/>
      <c r="ALL116" s="89"/>
      <c r="ALR116" s="89"/>
      <c r="ALS116" s="89"/>
      <c r="ALT116" s="89"/>
      <c r="ALU116" s="89"/>
      <c r="ALV116" s="89"/>
      <c r="ALW116" s="89"/>
      <c r="ALX116" s="89"/>
      <c r="ALY116" s="89"/>
      <c r="ALZ116" s="89"/>
      <c r="AMA116" s="89"/>
      <c r="AMB116" s="89"/>
      <c r="AMC116" s="89"/>
      <c r="AMD116" s="94"/>
      <c r="AME116" s="89"/>
      <c r="AMF116" s="89"/>
      <c r="AMG116" s="89"/>
      <c r="AMH116" s="89"/>
      <c r="AMI116" s="89"/>
      <c r="AMJ116" s="94"/>
      <c r="AMK116" s="89"/>
      <c r="AML116" s="89"/>
      <c r="AMM116" s="89"/>
      <c r="AMN116" s="89"/>
      <c r="AMO116" s="89"/>
      <c r="AMP116" s="89"/>
      <c r="AMQ116" s="89"/>
      <c r="AMR116" s="89"/>
      <c r="AMS116" s="89"/>
      <c r="AMT116" s="89"/>
      <c r="AMU116" s="94"/>
      <c r="AMV116" s="89"/>
      <c r="AMW116" s="89"/>
      <c r="AMX116" s="89"/>
      <c r="AMY116" s="89"/>
      <c r="AMZ116" s="89"/>
      <c r="ANA116" s="89"/>
      <c r="ANB116" s="89"/>
      <c r="ANC116" s="89"/>
      <c r="AND116" s="89"/>
      <c r="ANE116" s="89"/>
      <c r="ANF116" s="89"/>
      <c r="ANG116" s="89"/>
      <c r="ANH116" s="89"/>
      <c r="ANI116" s="89"/>
      <c r="ANJ116" s="89"/>
      <c r="ANK116" s="89"/>
      <c r="ANL116" s="89"/>
      <c r="ANM116" s="89"/>
      <c r="ANN116" s="89"/>
      <c r="ANO116" s="89"/>
      <c r="ANP116" s="89"/>
      <c r="ANQ116" s="89"/>
      <c r="ANR116" s="89"/>
      <c r="ANS116" s="89"/>
      <c r="ANY116" s="89"/>
      <c r="ANZ116" s="89"/>
      <c r="AOA116" s="89"/>
      <c r="AOB116" s="89"/>
      <c r="AOC116" s="89"/>
      <c r="AOD116" s="89"/>
      <c r="AOE116" s="89"/>
      <c r="AOF116" s="89"/>
      <c r="AOG116" s="89"/>
      <c r="AOH116" s="89"/>
      <c r="AOI116" s="89"/>
      <c r="AOJ116" s="89"/>
      <c r="AOK116" s="94"/>
      <c r="AOL116" s="89"/>
      <c r="AOM116" s="89"/>
      <c r="AON116" s="89"/>
      <c r="AOO116" s="89"/>
      <c r="AOP116" s="89"/>
      <c r="AOQ116" s="94"/>
      <c r="AOR116" s="89"/>
      <c r="AOS116" s="89"/>
      <c r="AOT116" s="89"/>
      <c r="AOU116" s="89"/>
      <c r="AOV116" s="89"/>
      <c r="AOW116" s="89"/>
      <c r="AOX116" s="89"/>
      <c r="AOY116" s="89"/>
      <c r="AOZ116" s="89"/>
      <c r="APA116" s="89"/>
      <c r="APB116" s="94"/>
      <c r="APC116" s="89"/>
      <c r="APD116" s="89"/>
      <c r="APE116" s="89"/>
      <c r="APF116" s="89"/>
      <c r="APG116" s="89"/>
      <c r="APH116" s="89"/>
      <c r="API116" s="89"/>
      <c r="APJ116" s="89"/>
      <c r="APK116" s="89"/>
      <c r="APL116" s="89"/>
      <c r="APM116" s="89"/>
      <c r="APN116" s="89"/>
      <c r="APO116" s="89"/>
      <c r="APP116" s="89"/>
      <c r="APQ116" s="89"/>
      <c r="APR116" s="89"/>
      <c r="APS116" s="89"/>
      <c r="APT116" s="89"/>
      <c r="APU116" s="89"/>
      <c r="APV116" s="89"/>
      <c r="APW116" s="89"/>
      <c r="APX116" s="89"/>
      <c r="APY116" s="89"/>
      <c r="APZ116" s="89"/>
      <c r="AQF116" s="89"/>
      <c r="AQG116" s="89"/>
      <c r="AQH116" s="89"/>
      <c r="AQI116" s="89"/>
      <c r="AQJ116" s="89"/>
      <c r="AQK116" s="89"/>
      <c r="AQL116" s="89"/>
      <c r="AQM116" s="89"/>
      <c r="AQN116" s="89"/>
      <c r="AQO116" s="89"/>
      <c r="AQP116" s="89"/>
      <c r="AQQ116" s="89"/>
      <c r="AQR116" s="94"/>
      <c r="AQS116" s="89"/>
      <c r="AQT116" s="89"/>
      <c r="AQU116" s="89"/>
      <c r="AQV116" s="89"/>
      <c r="AQW116" s="89"/>
      <c r="AQX116" s="94"/>
      <c r="AQY116" s="89"/>
      <c r="AQZ116" s="89"/>
      <c r="ARA116" s="89"/>
      <c r="ARB116" s="89"/>
      <c r="ARC116" s="89"/>
      <c r="ARD116" s="89"/>
      <c r="ARE116" s="89"/>
      <c r="ARF116" s="89"/>
      <c r="ARG116" s="89"/>
      <c r="ARH116" s="89"/>
      <c r="ARI116" s="94"/>
      <c r="ARJ116" s="89"/>
      <c r="ARK116" s="89"/>
      <c r="ARL116" s="89"/>
      <c r="ARM116" s="89"/>
      <c r="ARN116" s="89"/>
      <c r="ARO116" s="89"/>
      <c r="ARP116" s="89"/>
      <c r="ARQ116" s="89"/>
      <c r="ARR116" s="89"/>
      <c r="ARS116" s="89"/>
      <c r="ART116" s="89"/>
      <c r="ARU116" s="89"/>
      <c r="ARV116" s="89"/>
      <c r="ARW116" s="89"/>
      <c r="ARX116" s="89"/>
      <c r="ARY116" s="89"/>
      <c r="ARZ116" s="89"/>
      <c r="ASA116" s="89"/>
      <c r="ASB116" s="89"/>
      <c r="ASC116" s="89"/>
      <c r="ASD116" s="89"/>
      <c r="ASE116" s="89"/>
      <c r="ASF116" s="89"/>
      <c r="ASG116" s="89"/>
      <c r="ASM116" s="89"/>
      <c r="ASN116" s="89"/>
      <c r="ASO116" s="89"/>
      <c r="ASP116" s="89"/>
      <c r="ASQ116" s="89"/>
      <c r="ASR116" s="89"/>
      <c r="ASS116" s="89"/>
      <c r="AST116" s="89"/>
      <c r="ASU116" s="89"/>
      <c r="ASV116" s="89"/>
      <c r="ASW116" s="89"/>
      <c r="ASX116" s="89"/>
      <c r="ASY116" s="94"/>
      <c r="ASZ116" s="89"/>
      <c r="ATA116" s="89"/>
      <c r="ATB116" s="89"/>
      <c r="ATC116" s="89"/>
      <c r="ATD116" s="89"/>
      <c r="ATE116" s="94"/>
      <c r="ATF116" s="89"/>
      <c r="ATG116" s="89"/>
      <c r="ATH116" s="89"/>
      <c r="ATI116" s="89"/>
      <c r="ATJ116" s="89"/>
      <c r="ATK116" s="89"/>
      <c r="ATL116" s="89"/>
      <c r="ATM116" s="89"/>
      <c r="ATN116" s="89"/>
      <c r="ATO116" s="89"/>
      <c r="ATP116" s="94"/>
      <c r="ATQ116" s="89"/>
      <c r="ATR116" s="89"/>
      <c r="ATS116" s="89"/>
      <c r="ATT116" s="89"/>
      <c r="ATU116" s="89"/>
      <c r="ATV116" s="89"/>
      <c r="ATW116" s="89"/>
      <c r="ATX116" s="89"/>
      <c r="ATY116" s="89"/>
      <c r="ATZ116" s="89"/>
      <c r="AUA116" s="89"/>
      <c r="AUB116" s="89"/>
      <c r="AUC116" s="89"/>
      <c r="AUD116" s="89"/>
      <c r="AUE116" s="89"/>
      <c r="AUF116" s="89"/>
      <c r="AUG116" s="89"/>
      <c r="AUH116" s="89"/>
      <c r="AUI116" s="89"/>
      <c r="AUJ116" s="89"/>
      <c r="AUK116" s="89"/>
      <c r="AUL116" s="89"/>
      <c r="AUM116" s="89"/>
      <c r="AUN116" s="89"/>
      <c r="AUT116" s="89"/>
      <c r="AUU116" s="89"/>
      <c r="AUV116" s="89"/>
      <c r="AUW116" s="89"/>
      <c r="AUX116" s="89"/>
      <c r="AUY116" s="89"/>
      <c r="AUZ116" s="89"/>
      <c r="AVA116" s="89"/>
      <c r="AVB116" s="89"/>
      <c r="AVC116" s="89"/>
      <c r="AVD116" s="89"/>
      <c r="AVE116" s="89"/>
      <c r="AVF116" s="94"/>
      <c r="AVG116" s="89"/>
      <c r="AVH116" s="89"/>
      <c r="AVI116" s="89"/>
      <c r="AVJ116" s="89"/>
      <c r="AVK116" s="89"/>
      <c r="AVL116" s="94"/>
      <c r="AVM116" s="89"/>
      <c r="AVN116" s="89"/>
      <c r="AVO116" s="89"/>
      <c r="AVP116" s="89"/>
      <c r="AVQ116" s="89"/>
      <c r="AVR116" s="89"/>
      <c r="AVS116" s="89"/>
      <c r="AVT116" s="89"/>
      <c r="AVU116" s="89"/>
      <c r="AVV116" s="89"/>
      <c r="AVW116" s="94"/>
      <c r="AVX116" s="89"/>
      <c r="AVY116" s="89"/>
      <c r="AVZ116" s="89"/>
      <c r="AWA116" s="89"/>
      <c r="AWB116" s="89"/>
      <c r="AWC116" s="89"/>
      <c r="AWD116" s="89"/>
      <c r="AWE116" s="89"/>
      <c r="AWF116" s="89"/>
      <c r="AWG116" s="89"/>
      <c r="AWH116" s="89"/>
      <c r="AWI116" s="89"/>
      <c r="AWJ116" s="89"/>
      <c r="AWK116" s="89"/>
      <c r="AWL116" s="89"/>
      <c r="AWM116" s="89"/>
      <c r="AWN116" s="89"/>
      <c r="AWO116" s="89"/>
      <c r="AWP116" s="89"/>
      <c r="AWQ116" s="89"/>
      <c r="AWR116" s="89"/>
      <c r="AWS116" s="89"/>
      <c r="AWT116" s="89"/>
      <c r="AWU116" s="89"/>
      <c r="AXA116" s="89"/>
      <c r="AXB116" s="89"/>
      <c r="AXC116" s="89"/>
      <c r="AXD116" s="89"/>
      <c r="AXE116" s="89"/>
      <c r="AXF116" s="89"/>
      <c r="AXG116" s="89"/>
      <c r="AXH116" s="89"/>
      <c r="AXI116" s="89"/>
      <c r="AXJ116" s="89"/>
      <c r="AXK116" s="89"/>
      <c r="AXL116" s="89"/>
      <c r="AXM116" s="94"/>
      <c r="AXN116" s="89"/>
      <c r="AXO116" s="89"/>
      <c r="AXP116" s="89"/>
      <c r="AXQ116" s="89"/>
      <c r="AXR116" s="89"/>
      <c r="AXS116" s="94"/>
      <c r="AXT116" s="89"/>
      <c r="AXU116" s="89"/>
      <c r="AXV116" s="89"/>
      <c r="AXW116" s="89"/>
      <c r="AXX116" s="89"/>
      <c r="AXY116" s="89"/>
      <c r="AXZ116" s="89"/>
      <c r="AYA116" s="89"/>
      <c r="AYB116" s="89"/>
      <c r="AYC116" s="89"/>
      <c r="AYD116" s="94"/>
      <c r="AYE116" s="89"/>
      <c r="AYF116" s="89"/>
      <c r="AYG116" s="89"/>
      <c r="AYH116" s="89"/>
      <c r="AYI116" s="89"/>
      <c r="AYJ116" s="89"/>
      <c r="AYK116" s="89"/>
      <c r="AYL116" s="89"/>
      <c r="AYM116" s="89"/>
      <c r="AYN116" s="89"/>
      <c r="AYO116" s="89"/>
      <c r="AYP116" s="89"/>
      <c r="AYQ116" s="89"/>
      <c r="AYR116" s="89"/>
      <c r="AYS116" s="89"/>
      <c r="AYT116" s="89"/>
      <c r="AYU116" s="89"/>
      <c r="AYV116" s="89"/>
      <c r="AYW116" s="89"/>
      <c r="AYX116" s="89"/>
      <c r="AYY116" s="89"/>
      <c r="AYZ116" s="89"/>
      <c r="AZA116" s="89"/>
      <c r="AZB116" s="89"/>
      <c r="AZH116" s="89"/>
      <c r="AZI116" s="89"/>
      <c r="AZJ116" s="89"/>
      <c r="AZK116" s="89"/>
      <c r="AZL116" s="89"/>
      <c r="AZM116" s="89"/>
      <c r="AZN116" s="89"/>
      <c r="AZO116" s="89"/>
      <c r="AZP116" s="89"/>
      <c r="AZQ116" s="89"/>
      <c r="AZR116" s="89"/>
      <c r="AZS116" s="89"/>
      <c r="AZT116" s="94"/>
      <c r="AZU116" s="89"/>
      <c r="AZV116" s="89"/>
      <c r="AZW116" s="89"/>
      <c r="AZX116" s="89"/>
      <c r="AZY116" s="89"/>
      <c r="AZZ116" s="94"/>
      <c r="BAA116" s="89"/>
      <c r="BAB116" s="89"/>
      <c r="BAC116" s="89"/>
      <c r="BAD116" s="89"/>
      <c r="BAE116" s="89"/>
      <c r="BAF116" s="89"/>
      <c r="BAG116" s="89"/>
      <c r="BAH116" s="89"/>
      <c r="BAI116" s="89"/>
      <c r="BAJ116" s="89"/>
      <c r="BAK116" s="94"/>
      <c r="BAL116" s="89"/>
      <c r="BAM116" s="89"/>
      <c r="BAN116" s="89"/>
      <c r="BAO116" s="89"/>
      <c r="BAP116" s="89"/>
      <c r="BAQ116" s="89"/>
      <c r="BAR116" s="89"/>
      <c r="BAS116" s="89"/>
      <c r="BAT116" s="89"/>
      <c r="BAU116" s="89"/>
      <c r="BAV116" s="89"/>
      <c r="BAW116" s="89"/>
      <c r="BAX116" s="89"/>
      <c r="BAY116" s="89"/>
      <c r="BAZ116" s="89"/>
      <c r="BBA116" s="89"/>
      <c r="BBB116" s="89"/>
      <c r="BBC116" s="89"/>
      <c r="BBD116" s="89"/>
      <c r="BBE116" s="89"/>
      <c r="BBF116" s="89"/>
      <c r="BBG116" s="89"/>
      <c r="BBH116" s="89"/>
      <c r="BBI116" s="89"/>
      <c r="BBO116" s="89"/>
      <c r="BBP116" s="89"/>
      <c r="BBQ116" s="89"/>
      <c r="BBR116" s="89"/>
      <c r="BBS116" s="89"/>
      <c r="BBT116" s="89"/>
      <c r="BBU116" s="89"/>
      <c r="BBV116" s="89"/>
      <c r="BBW116" s="89"/>
      <c r="BBX116" s="89"/>
      <c r="BBY116" s="89"/>
      <c r="BBZ116" s="89"/>
      <c r="BCA116" s="94"/>
      <c r="BCB116" s="89"/>
      <c r="BCC116" s="89"/>
      <c r="BCD116" s="89"/>
      <c r="BCE116" s="89"/>
      <c r="BCF116" s="89"/>
      <c r="BCG116" s="94"/>
      <c r="BCH116" s="89"/>
      <c r="BCI116" s="89"/>
      <c r="BCJ116" s="89"/>
      <c r="BCK116" s="89"/>
      <c r="BCL116" s="89"/>
      <c r="BCM116" s="89"/>
      <c r="BCN116" s="89"/>
      <c r="BCO116" s="89"/>
      <c r="BCP116" s="89"/>
      <c r="BCQ116" s="89"/>
      <c r="BCR116" s="94"/>
      <c r="BCS116" s="89"/>
      <c r="BCT116" s="89"/>
      <c r="BCU116" s="89"/>
      <c r="BCV116" s="89"/>
      <c r="BCW116" s="89"/>
      <c r="BCX116" s="89"/>
      <c r="BCY116" s="89"/>
      <c r="BCZ116" s="89"/>
      <c r="BDA116" s="89"/>
      <c r="BDB116" s="89"/>
      <c r="BDC116" s="89"/>
      <c r="BDD116" s="89"/>
      <c r="BDE116" s="89"/>
      <c r="BDF116" s="89"/>
      <c r="BDG116" s="89"/>
      <c r="BDH116" s="89"/>
      <c r="BDI116" s="89"/>
      <c r="BDJ116" s="89"/>
      <c r="BDK116" s="89"/>
      <c r="BDL116" s="89"/>
      <c r="BDM116" s="89"/>
      <c r="BDN116" s="89"/>
      <c r="BDO116" s="89"/>
      <c r="BDP116" s="89"/>
      <c r="BDV116" s="89"/>
      <c r="BDW116" s="89"/>
      <c r="BDX116" s="89"/>
      <c r="BDY116" s="89"/>
      <c r="BDZ116" s="89"/>
      <c r="BEA116" s="89"/>
      <c r="BEB116" s="89"/>
      <c r="BEC116" s="89"/>
      <c r="BED116" s="89"/>
      <c r="BEE116" s="89"/>
      <c r="BEF116" s="89"/>
      <c r="BEG116" s="89"/>
      <c r="BEH116" s="94"/>
      <c r="BEI116" s="89"/>
      <c r="BEJ116" s="89"/>
      <c r="BEK116" s="89"/>
      <c r="BEL116" s="89"/>
      <c r="BEM116" s="89"/>
      <c r="BEN116" s="94"/>
      <c r="BEO116" s="89"/>
      <c r="BEP116" s="89"/>
      <c r="BEQ116" s="89"/>
      <c r="BER116" s="89"/>
      <c r="BES116" s="89"/>
      <c r="BET116" s="89"/>
      <c r="BEU116" s="89"/>
      <c r="BEV116" s="89"/>
      <c r="BEW116" s="89"/>
      <c r="BEX116" s="89"/>
      <c r="BEY116" s="94"/>
      <c r="BEZ116" s="89"/>
      <c r="BFA116" s="89"/>
      <c r="BFB116" s="89"/>
      <c r="BFC116" s="89"/>
      <c r="BFD116" s="89"/>
      <c r="BFE116" s="89"/>
      <c r="BFF116" s="89"/>
      <c r="BFG116" s="89"/>
      <c r="BFH116" s="89"/>
      <c r="BFI116" s="89"/>
      <c r="BFJ116" s="89"/>
      <c r="BFK116" s="89"/>
      <c r="BFL116" s="89"/>
      <c r="BFM116" s="89"/>
      <c r="BFN116" s="89"/>
      <c r="BFO116" s="89"/>
      <c r="BFP116" s="89"/>
      <c r="BFQ116" s="89"/>
      <c r="BFR116" s="89"/>
      <c r="BFS116" s="89"/>
      <c r="BFT116" s="89"/>
      <c r="BFU116" s="89"/>
      <c r="BFV116" s="89"/>
      <c r="BFW116" s="89"/>
      <c r="BGC116" s="89"/>
      <c r="BGD116" s="89"/>
      <c r="BGE116" s="89"/>
      <c r="BGF116" s="89"/>
      <c r="BGG116" s="89"/>
      <c r="BGH116" s="89"/>
      <c r="BGI116" s="89"/>
      <c r="BGJ116" s="89"/>
      <c r="BGK116" s="89"/>
      <c r="BGL116" s="89"/>
      <c r="BGM116" s="89"/>
      <c r="BGN116" s="89"/>
      <c r="BGO116" s="94"/>
      <c r="BGP116" s="89"/>
      <c r="BGQ116" s="89"/>
      <c r="BGR116" s="89"/>
      <c r="BGS116" s="89"/>
      <c r="BGT116" s="89"/>
      <c r="BGU116" s="94"/>
      <c r="BGV116" s="89"/>
      <c r="BGW116" s="89"/>
      <c r="BGX116" s="89"/>
      <c r="BGY116" s="89"/>
      <c r="BGZ116" s="89"/>
      <c r="BHA116" s="89"/>
      <c r="BHB116" s="89"/>
      <c r="BHC116" s="89"/>
      <c r="BHD116" s="89"/>
      <c r="BHE116" s="89"/>
      <c r="BHF116" s="94"/>
      <c r="BHG116" s="89"/>
      <c r="BHH116" s="89"/>
      <c r="BHI116" s="89"/>
      <c r="BHJ116" s="89"/>
      <c r="BHK116" s="89"/>
      <c r="BHL116" s="89"/>
      <c r="BHM116" s="89"/>
      <c r="BHN116" s="89"/>
      <c r="BHO116" s="89"/>
      <c r="BHP116" s="89"/>
      <c r="BHQ116" s="89"/>
      <c r="BHR116" s="89"/>
      <c r="BHS116" s="89"/>
      <c r="BHT116" s="89"/>
      <c r="BHU116" s="89"/>
      <c r="BHV116" s="89"/>
      <c r="BHW116" s="89"/>
      <c r="BHX116" s="89"/>
      <c r="BHY116" s="89"/>
      <c r="BHZ116" s="89"/>
      <c r="BIA116" s="89"/>
      <c r="BIB116" s="89"/>
      <c r="BIC116" s="89"/>
      <c r="BID116" s="89"/>
      <c r="BIJ116" s="89"/>
      <c r="BIK116" s="89"/>
      <c r="BIL116" s="89"/>
      <c r="BIM116" s="89"/>
      <c r="BIN116" s="89"/>
      <c r="BIO116" s="89"/>
      <c r="BIP116" s="89"/>
      <c r="BIQ116" s="89"/>
      <c r="BIR116" s="89"/>
      <c r="BIS116" s="89"/>
      <c r="BIT116" s="89"/>
      <c r="BIU116" s="89"/>
      <c r="BIV116" s="94"/>
      <c r="BIW116" s="89"/>
      <c r="BIX116" s="89"/>
      <c r="BIY116" s="89"/>
      <c r="BIZ116" s="89"/>
      <c r="BJA116" s="89"/>
      <c r="BJB116" s="94"/>
      <c r="BJC116" s="89"/>
      <c r="BJD116" s="89"/>
      <c r="BJE116" s="89"/>
      <c r="BJF116" s="89"/>
      <c r="BJG116" s="89"/>
      <c r="BJH116" s="89"/>
      <c r="BJI116" s="89"/>
      <c r="BJJ116" s="89"/>
      <c r="BJK116" s="89"/>
      <c r="BJL116" s="89"/>
      <c r="BJM116" s="94"/>
      <c r="BJN116" s="89"/>
      <c r="BJO116" s="89"/>
      <c r="BJP116" s="89"/>
      <c r="BJQ116" s="89"/>
      <c r="BJR116" s="89"/>
      <c r="BJS116" s="89"/>
      <c r="BJT116" s="89"/>
      <c r="BJU116" s="89"/>
      <c r="BJV116" s="89"/>
      <c r="BJW116" s="89"/>
      <c r="BJX116" s="89"/>
      <c r="BJY116" s="89"/>
      <c r="BJZ116" s="89"/>
      <c r="BKA116" s="89"/>
      <c r="BKB116" s="89"/>
      <c r="BKC116" s="89"/>
      <c r="BKD116" s="89"/>
      <c r="BKE116" s="89"/>
      <c r="BKF116" s="89"/>
      <c r="BKG116" s="89"/>
      <c r="BKH116" s="89"/>
      <c r="BKI116" s="89"/>
      <c r="BKJ116" s="89"/>
      <c r="BKK116" s="89"/>
      <c r="BKQ116" s="89"/>
      <c r="BKR116" s="89"/>
      <c r="BKS116" s="89"/>
      <c r="BKT116" s="89"/>
      <c r="BKU116" s="89"/>
      <c r="BKV116" s="89"/>
      <c r="BKW116" s="89"/>
      <c r="BKX116" s="89"/>
      <c r="BKY116" s="89"/>
      <c r="BKZ116" s="89"/>
      <c r="BLA116" s="89"/>
      <c r="BLB116" s="89"/>
      <c r="BLC116" s="94"/>
      <c r="BLD116" s="89"/>
      <c r="BLE116" s="89"/>
      <c r="BLF116" s="89"/>
      <c r="BLG116" s="89"/>
      <c r="BLH116" s="89"/>
      <c r="BLI116" s="94"/>
      <c r="BLJ116" s="89"/>
      <c r="BLK116" s="89"/>
      <c r="BLL116" s="89"/>
      <c r="BLM116" s="89"/>
      <c r="BLN116" s="89"/>
      <c r="BLO116" s="89"/>
      <c r="BLP116" s="89"/>
      <c r="BLQ116" s="89"/>
      <c r="BLR116" s="89"/>
      <c r="BLS116" s="89"/>
      <c r="BLT116" s="94"/>
      <c r="BLU116" s="89"/>
      <c r="BLV116" s="89"/>
      <c r="BLW116" s="89"/>
      <c r="BLX116" s="89"/>
      <c r="BLY116" s="89"/>
      <c r="BLZ116" s="89"/>
      <c r="BMA116" s="89"/>
      <c r="BMB116" s="89"/>
      <c r="BMC116" s="89"/>
      <c r="BMD116" s="89"/>
      <c r="BME116" s="89"/>
      <c r="BMF116" s="89"/>
      <c r="BMG116" s="89"/>
      <c r="BMH116" s="89"/>
      <c r="BMI116" s="89"/>
      <c r="BMJ116" s="89"/>
      <c r="BMK116" s="89"/>
      <c r="BML116" s="89"/>
      <c r="BMM116" s="89"/>
      <c r="BMN116" s="89"/>
      <c r="BMO116" s="89"/>
      <c r="BMP116" s="89"/>
      <c r="BMQ116" s="89"/>
      <c r="BMR116" s="89"/>
      <c r="BMX116" s="89"/>
      <c r="BMY116" s="89"/>
      <c r="BMZ116" s="89"/>
      <c r="BNA116" s="89"/>
      <c r="BNB116" s="89"/>
      <c r="BNC116" s="89"/>
      <c r="BND116" s="89"/>
      <c r="BNE116" s="89"/>
      <c r="BNF116" s="89"/>
      <c r="BNG116" s="89"/>
      <c r="BNH116" s="89"/>
      <c r="BNI116" s="89"/>
      <c r="BNJ116" s="94"/>
      <c r="BNK116" s="89"/>
      <c r="BNL116" s="89"/>
      <c r="BNM116" s="89"/>
      <c r="BNN116" s="89"/>
      <c r="BNO116" s="89"/>
      <c r="BNP116" s="94"/>
      <c r="BNQ116" s="89"/>
      <c r="BNR116" s="89"/>
      <c r="BNS116" s="89"/>
      <c r="BNT116" s="89"/>
      <c r="BNU116" s="89"/>
      <c r="BNV116" s="89"/>
      <c r="BNW116" s="89"/>
      <c r="BNX116" s="89"/>
      <c r="BNY116" s="89"/>
      <c r="BNZ116" s="89"/>
      <c r="BOA116" s="94"/>
      <c r="BOB116" s="89"/>
      <c r="BOC116" s="89"/>
      <c r="BOD116" s="89"/>
      <c r="BOE116" s="89"/>
      <c r="BOF116" s="89"/>
      <c r="BOG116" s="89"/>
      <c r="BOH116" s="89"/>
      <c r="BOI116" s="89"/>
      <c r="BOJ116" s="89"/>
      <c r="BOK116" s="89"/>
      <c r="BOL116" s="89"/>
      <c r="BOM116" s="89"/>
      <c r="BON116" s="89"/>
      <c r="BOO116" s="89"/>
      <c r="BOP116" s="89"/>
      <c r="BOQ116" s="89"/>
      <c r="BOR116" s="89"/>
      <c r="BOS116" s="89"/>
      <c r="BOT116" s="89"/>
      <c r="BOU116" s="89"/>
      <c r="BOV116" s="89"/>
      <c r="BOW116" s="89"/>
      <c r="BOX116" s="89"/>
      <c r="BOY116" s="89"/>
      <c r="BPE116" s="89"/>
      <c r="BPF116" s="89"/>
      <c r="BPG116" s="89"/>
      <c r="BPH116" s="89"/>
      <c r="BPI116" s="89"/>
      <c r="BPJ116" s="89"/>
      <c r="BPK116" s="89"/>
      <c r="BPL116" s="89"/>
      <c r="BPM116" s="89"/>
      <c r="BPN116" s="89"/>
      <c r="BPO116" s="89"/>
      <c r="BPP116" s="89"/>
      <c r="BPQ116" s="94"/>
      <c r="BPR116" s="89"/>
      <c r="BPS116" s="89"/>
      <c r="BPT116" s="89"/>
      <c r="BPU116" s="89"/>
      <c r="BPV116" s="89"/>
      <c r="BPW116" s="94"/>
      <c r="BPX116" s="89"/>
      <c r="BPY116" s="89"/>
      <c r="BPZ116" s="89"/>
      <c r="BQA116" s="89"/>
      <c r="BQB116" s="89"/>
      <c r="BQC116" s="89"/>
      <c r="BQD116" s="89"/>
      <c r="BQE116" s="89"/>
      <c r="BQF116" s="89"/>
      <c r="BQG116" s="89"/>
      <c r="BQH116" s="94"/>
      <c r="BQI116" s="89"/>
      <c r="BQJ116" s="89"/>
      <c r="BQK116" s="89"/>
      <c r="BQL116" s="89"/>
      <c r="BQM116" s="89"/>
      <c r="BQN116" s="89"/>
      <c r="BQO116" s="89"/>
      <c r="BQP116" s="89"/>
      <c r="BQQ116" s="89"/>
      <c r="BQR116" s="89"/>
      <c r="BQS116" s="89"/>
      <c r="BQT116" s="89"/>
      <c r="BQU116" s="89"/>
      <c r="BQV116" s="89"/>
      <c r="BQW116" s="89"/>
      <c r="BQX116" s="89"/>
      <c r="BQY116" s="89"/>
      <c r="BQZ116" s="89"/>
      <c r="BRA116" s="89"/>
      <c r="BRB116" s="89"/>
      <c r="BRC116" s="89"/>
      <c r="BRD116" s="89"/>
      <c r="BRE116" s="89"/>
      <c r="BRF116" s="89"/>
      <c r="BRL116" s="89"/>
      <c r="BRM116" s="89"/>
      <c r="BRN116" s="89"/>
      <c r="BRO116" s="89"/>
      <c r="BRP116" s="89"/>
      <c r="BRQ116" s="89"/>
      <c r="BRR116" s="89"/>
      <c r="BRS116" s="89"/>
      <c r="BRT116" s="89"/>
      <c r="BRU116" s="89"/>
      <c r="BRV116" s="89"/>
      <c r="BRW116" s="89"/>
      <c r="BRX116" s="94"/>
      <c r="BRY116" s="89"/>
      <c r="BRZ116" s="89"/>
      <c r="BSA116" s="89"/>
      <c r="BSB116" s="89"/>
      <c r="BSC116" s="89"/>
      <c r="BSD116" s="94"/>
      <c r="BSE116" s="89"/>
      <c r="BSF116" s="89"/>
      <c r="BSG116" s="89"/>
      <c r="BSH116" s="89"/>
      <c r="BSI116" s="89"/>
      <c r="BSJ116" s="89"/>
      <c r="BSK116" s="89"/>
      <c r="BSL116" s="89"/>
      <c r="BSM116" s="89"/>
      <c r="BSN116" s="89"/>
      <c r="BSO116" s="94"/>
      <c r="BSP116" s="89"/>
      <c r="BSQ116" s="89"/>
      <c r="BSR116" s="89"/>
      <c r="BSS116" s="89"/>
      <c r="BST116" s="89"/>
      <c r="BSU116" s="89"/>
      <c r="BSV116" s="89"/>
      <c r="BSW116" s="89"/>
      <c r="BSX116" s="89"/>
      <c r="BSY116" s="89"/>
      <c r="BSZ116" s="89"/>
      <c r="BTA116" s="89"/>
      <c r="BTB116" s="89"/>
      <c r="BTC116" s="89"/>
      <c r="BTD116" s="89"/>
      <c r="BTE116" s="89"/>
      <c r="BTF116" s="89"/>
      <c r="BTG116" s="89"/>
      <c r="BTH116" s="89"/>
      <c r="BTI116" s="89"/>
      <c r="BTJ116" s="89"/>
      <c r="BTK116" s="89"/>
      <c r="BTL116" s="89"/>
      <c r="BTM116" s="89"/>
      <c r="BTS116" s="89"/>
      <c r="BTT116" s="89"/>
      <c r="BTU116" s="89"/>
      <c r="BTV116" s="89"/>
      <c r="BTW116" s="89"/>
      <c r="BTX116" s="89"/>
      <c r="BTY116" s="89"/>
      <c r="BTZ116" s="89"/>
      <c r="BUA116" s="89"/>
      <c r="BUB116" s="89"/>
      <c r="BUC116" s="89"/>
      <c r="BUD116" s="89"/>
      <c r="BUE116" s="94"/>
      <c r="BUF116" s="89"/>
      <c r="BUG116" s="89"/>
      <c r="BUH116" s="89"/>
      <c r="BUI116" s="89"/>
      <c r="BUJ116" s="89"/>
      <c r="BUK116" s="94"/>
      <c r="BUL116" s="89"/>
      <c r="BUM116" s="89"/>
      <c r="BUN116" s="89"/>
      <c r="BUO116" s="89"/>
      <c r="BUP116" s="89"/>
      <c r="BUQ116" s="89"/>
      <c r="BUR116" s="89"/>
      <c r="BUS116" s="89"/>
      <c r="BUT116" s="89"/>
      <c r="BUU116" s="89"/>
      <c r="BUV116" s="94"/>
      <c r="BUW116" s="89"/>
      <c r="BUX116" s="89"/>
      <c r="BUY116" s="89"/>
      <c r="BUZ116" s="89"/>
      <c r="BVA116" s="89"/>
      <c r="BVB116" s="89"/>
      <c r="BVC116" s="89"/>
      <c r="BVD116" s="89"/>
      <c r="BVE116" s="89"/>
      <c r="BVF116" s="89"/>
      <c r="BVG116" s="89"/>
      <c r="BVH116" s="89"/>
      <c r="BVI116" s="89"/>
      <c r="BVJ116" s="89"/>
      <c r="BVK116" s="89"/>
      <c r="BVL116" s="89"/>
      <c r="BVM116" s="89"/>
      <c r="BVN116" s="89"/>
      <c r="BVO116" s="89"/>
      <c r="BVP116" s="89"/>
      <c r="BVQ116" s="89"/>
      <c r="BVR116" s="89"/>
      <c r="BVS116" s="89"/>
      <c r="BVT116" s="89"/>
      <c r="BVZ116" s="89"/>
      <c r="BWA116" s="89"/>
      <c r="BWB116" s="89"/>
      <c r="BWC116" s="89"/>
      <c r="BWD116" s="89"/>
      <c r="BWE116" s="89"/>
      <c r="BWF116" s="89"/>
      <c r="BWG116" s="89"/>
      <c r="BWH116" s="89"/>
      <c r="BWI116" s="89"/>
      <c r="BWJ116" s="89"/>
      <c r="BWK116" s="89"/>
      <c r="BWL116" s="94"/>
      <c r="BWM116" s="89"/>
      <c r="BWN116" s="89"/>
      <c r="BWO116" s="89"/>
      <c r="BWP116" s="89"/>
      <c r="BWQ116" s="89"/>
      <c r="BWR116" s="94"/>
      <c r="BWS116" s="89"/>
      <c r="BWT116" s="89"/>
      <c r="BWU116" s="89"/>
      <c r="BWV116" s="89"/>
      <c r="BWW116" s="89"/>
      <c r="BWX116" s="89"/>
      <c r="BWY116" s="89"/>
      <c r="BWZ116" s="89"/>
      <c r="BXA116" s="89"/>
      <c r="BXB116" s="89"/>
      <c r="BXC116" s="94"/>
      <c r="BXD116" s="89"/>
      <c r="BXE116" s="89"/>
      <c r="BXF116" s="89"/>
      <c r="BXG116" s="89"/>
      <c r="BXH116" s="89"/>
      <c r="BXI116" s="89"/>
      <c r="BXJ116" s="89"/>
      <c r="BXK116" s="89"/>
      <c r="BXL116" s="89"/>
      <c r="BXM116" s="89"/>
      <c r="BXN116" s="89"/>
      <c r="BXO116" s="89"/>
      <c r="BXP116" s="89"/>
      <c r="BXQ116" s="89"/>
      <c r="BXR116" s="89"/>
      <c r="BXS116" s="89"/>
      <c r="BXT116" s="89"/>
      <c r="BXU116" s="89"/>
      <c r="BXV116" s="89"/>
      <c r="BXW116" s="89"/>
      <c r="BXX116" s="89"/>
      <c r="BXY116" s="89"/>
      <c r="BXZ116" s="89"/>
      <c r="BYA116" s="89"/>
      <c r="BYG116" s="89"/>
      <c r="BYH116" s="89"/>
      <c r="BYI116" s="89"/>
      <c r="BYJ116" s="89"/>
      <c r="BYK116" s="89"/>
      <c r="BYL116" s="89"/>
      <c r="BYM116" s="89"/>
      <c r="BYN116" s="89"/>
      <c r="BYO116" s="89"/>
      <c r="BYP116" s="89"/>
      <c r="BYQ116" s="89"/>
      <c r="BYR116" s="89"/>
      <c r="BYS116" s="94"/>
      <c r="BYT116" s="89"/>
      <c r="BYU116" s="89"/>
      <c r="BYV116" s="89"/>
      <c r="BYW116" s="89"/>
      <c r="BYX116" s="89"/>
      <c r="BYY116" s="94"/>
      <c r="BYZ116" s="89"/>
      <c r="BZA116" s="89"/>
      <c r="BZB116" s="89"/>
      <c r="BZC116" s="89"/>
      <c r="BZD116" s="89"/>
      <c r="BZE116" s="89"/>
      <c r="BZF116" s="89"/>
      <c r="BZG116" s="89"/>
      <c r="BZH116" s="89"/>
      <c r="BZI116" s="89"/>
      <c r="BZJ116" s="94"/>
      <c r="BZK116" s="89"/>
      <c r="BZL116" s="89"/>
      <c r="BZM116" s="89"/>
      <c r="BZN116" s="89"/>
      <c r="BZO116" s="89"/>
      <c r="BZP116" s="89"/>
      <c r="BZQ116" s="89"/>
      <c r="BZR116" s="89"/>
      <c r="BZS116" s="89"/>
      <c r="BZT116" s="89"/>
      <c r="BZU116" s="89"/>
      <c r="BZV116" s="89"/>
      <c r="BZW116" s="89"/>
      <c r="BZX116" s="89"/>
      <c r="BZY116" s="89"/>
      <c r="BZZ116" s="89"/>
      <c r="CAA116" s="89"/>
      <c r="CAB116" s="89"/>
      <c r="CAC116" s="89"/>
      <c r="CAD116" s="89"/>
      <c r="CAE116" s="89"/>
      <c r="CAF116" s="89"/>
      <c r="CAG116" s="89"/>
      <c r="CAH116" s="89"/>
      <c r="CAN116" s="89"/>
      <c r="CAO116" s="89"/>
      <c r="CAP116" s="89"/>
      <c r="CAQ116" s="89"/>
      <c r="CAR116" s="89"/>
      <c r="CAS116" s="89"/>
      <c r="CAT116" s="89"/>
      <c r="CAU116" s="89"/>
      <c r="CAV116" s="89"/>
      <c r="CAW116" s="89"/>
      <c r="CAX116" s="89"/>
      <c r="CAY116" s="89"/>
      <c r="CAZ116" s="94"/>
      <c r="CBA116" s="89"/>
      <c r="CBB116" s="89"/>
      <c r="CBC116" s="89"/>
      <c r="CBD116" s="89"/>
      <c r="CBE116" s="89"/>
      <c r="CBF116" s="94"/>
      <c r="CBG116" s="89"/>
      <c r="CBH116" s="89"/>
      <c r="CBI116" s="89"/>
      <c r="CBJ116" s="89"/>
      <c r="CBK116" s="89"/>
      <c r="CBL116" s="89"/>
      <c r="CBM116" s="89"/>
      <c r="CBN116" s="89"/>
      <c r="CBO116" s="89"/>
      <c r="CBP116" s="89"/>
      <c r="CBQ116" s="94"/>
      <c r="CBR116" s="89"/>
      <c r="CBS116" s="89"/>
      <c r="CBT116" s="89"/>
      <c r="CBU116" s="89"/>
      <c r="CBV116" s="89"/>
      <c r="CBW116" s="89"/>
      <c r="CBX116" s="89"/>
      <c r="CBY116" s="89"/>
      <c r="CBZ116" s="89"/>
      <c r="CCA116" s="89"/>
      <c r="CCB116" s="89"/>
      <c r="CCC116" s="89"/>
      <c r="CCD116" s="89"/>
      <c r="CCE116" s="89"/>
      <c r="CCF116" s="89"/>
      <c r="CCG116" s="89"/>
      <c r="CCH116" s="89"/>
      <c r="CCI116" s="89"/>
      <c r="CCJ116" s="89"/>
      <c r="CCK116" s="89"/>
      <c r="CCL116" s="89"/>
      <c r="CCM116" s="89"/>
      <c r="CCN116" s="89"/>
      <c r="CCO116" s="89"/>
      <c r="CCU116" s="89"/>
      <c r="CCV116" s="89"/>
      <c r="CCW116" s="89"/>
      <c r="CCX116" s="89"/>
      <c r="CCY116" s="89"/>
      <c r="CCZ116" s="89"/>
      <c r="CDA116" s="89"/>
      <c r="CDB116" s="89"/>
      <c r="CDC116" s="89"/>
      <c r="CDD116" s="89"/>
      <c r="CDE116" s="89"/>
      <c r="CDF116" s="89"/>
      <c r="CDG116" s="94"/>
      <c r="CDH116" s="89"/>
      <c r="CDI116" s="89"/>
      <c r="CDJ116" s="89"/>
      <c r="CDK116" s="89"/>
      <c r="CDL116" s="89"/>
      <c r="CDM116" s="94"/>
      <c r="CDN116" s="89"/>
      <c r="CDO116" s="89"/>
      <c r="CDP116" s="89"/>
      <c r="CDQ116" s="89"/>
      <c r="CDR116" s="89"/>
      <c r="CDS116" s="89"/>
      <c r="CDT116" s="89"/>
      <c r="CDU116" s="89"/>
      <c r="CDV116" s="89"/>
      <c r="CDW116" s="89"/>
      <c r="CDX116" s="94"/>
      <c r="CDY116" s="89"/>
      <c r="CDZ116" s="89"/>
      <c r="CEA116" s="89"/>
      <c r="CEB116" s="89"/>
      <c r="CEC116" s="89"/>
      <c r="CED116" s="89"/>
      <c r="CEE116" s="89"/>
      <c r="CEF116" s="89"/>
      <c r="CEG116" s="89"/>
      <c r="CEH116" s="89"/>
      <c r="CEI116" s="89"/>
      <c r="CEJ116" s="89"/>
      <c r="CEK116" s="89"/>
      <c r="CEL116" s="89"/>
      <c r="CEM116" s="89"/>
      <c r="CEN116" s="89"/>
      <c r="CEO116" s="89"/>
      <c r="CEP116" s="89"/>
      <c r="CEQ116" s="89"/>
      <c r="CER116" s="89"/>
      <c r="CES116" s="89"/>
      <c r="CET116" s="89"/>
      <c r="CEU116" s="89"/>
      <c r="CEV116" s="89"/>
      <c r="CFB116" s="89"/>
      <c r="CFC116" s="89"/>
      <c r="CFD116" s="89"/>
      <c r="CFE116" s="89"/>
      <c r="CFF116" s="89"/>
      <c r="CFG116" s="89"/>
      <c r="CFH116" s="89"/>
      <c r="CFI116" s="89"/>
      <c r="CFJ116" s="89"/>
      <c r="CFK116" s="89"/>
      <c r="CFL116" s="89"/>
      <c r="CFM116" s="89"/>
      <c r="CFN116" s="94"/>
      <c r="CFO116" s="89"/>
      <c r="CFP116" s="89"/>
      <c r="CFQ116" s="89"/>
      <c r="CFR116" s="89"/>
      <c r="CFS116" s="89"/>
      <c r="CFT116" s="94"/>
      <c r="CFU116" s="89"/>
      <c r="CFV116" s="89"/>
      <c r="CFW116" s="89"/>
      <c r="CFX116" s="89"/>
      <c r="CFY116" s="89"/>
      <c r="CFZ116" s="89"/>
      <c r="CGA116" s="89"/>
      <c r="CGB116" s="89"/>
      <c r="CGC116" s="89"/>
      <c r="CGD116" s="89"/>
      <c r="CGE116" s="94"/>
      <c r="CGF116" s="89"/>
      <c r="CGG116" s="89"/>
      <c r="CGH116" s="89"/>
      <c r="CGI116" s="89"/>
      <c r="CGJ116" s="89"/>
      <c r="CGK116" s="89"/>
      <c r="CGL116" s="89"/>
      <c r="CGM116" s="89"/>
      <c r="CGN116" s="89"/>
      <c r="CGO116" s="89"/>
      <c r="CGP116" s="89"/>
      <c r="CGQ116" s="89"/>
      <c r="CGR116" s="89"/>
      <c r="CGS116" s="89"/>
      <c r="CGT116" s="89"/>
      <c r="CGU116" s="89"/>
      <c r="CGV116" s="89"/>
      <c r="CGW116" s="89"/>
      <c r="CGX116" s="89"/>
      <c r="CGY116" s="89"/>
      <c r="CGZ116" s="89"/>
      <c r="CHA116" s="89"/>
      <c r="CHB116" s="89"/>
      <c r="CHC116" s="89"/>
      <c r="CHI116" s="89"/>
      <c r="CHJ116" s="89"/>
      <c r="CHK116" s="89"/>
      <c r="CHL116" s="89"/>
      <c r="CHM116" s="89"/>
      <c r="CHN116" s="89"/>
      <c r="CHO116" s="89"/>
      <c r="CHP116" s="89"/>
      <c r="CHQ116" s="89"/>
      <c r="CHR116" s="89"/>
      <c r="CHS116" s="89"/>
      <c r="CHT116" s="89"/>
      <c r="CHU116" s="94"/>
      <c r="CHV116" s="89"/>
      <c r="CHW116" s="89"/>
      <c r="CHX116" s="89"/>
      <c r="CHY116" s="89"/>
      <c r="CHZ116" s="89"/>
      <c r="CIA116" s="94"/>
      <c r="CIB116" s="89"/>
      <c r="CIC116" s="89"/>
      <c r="CID116" s="89"/>
      <c r="CIE116" s="89"/>
      <c r="CIF116" s="89"/>
      <c r="CIG116" s="89"/>
      <c r="CIH116" s="89"/>
      <c r="CII116" s="89"/>
      <c r="CIJ116" s="89"/>
      <c r="CIK116" s="89"/>
      <c r="CIL116" s="94"/>
      <c r="CIM116" s="89"/>
      <c r="CIN116" s="89"/>
      <c r="CIO116" s="89"/>
      <c r="CIP116" s="89"/>
      <c r="CIQ116" s="89"/>
      <c r="CIR116" s="89"/>
      <c r="CIS116" s="89"/>
      <c r="CIT116" s="89"/>
      <c r="CIU116" s="89"/>
      <c r="CIV116" s="89"/>
      <c r="CIW116" s="89"/>
      <c r="CIX116" s="89"/>
      <c r="CIY116" s="89"/>
      <c r="CIZ116" s="89"/>
      <c r="CJA116" s="89"/>
      <c r="CJB116" s="89"/>
      <c r="CJC116" s="89"/>
      <c r="CJD116" s="89"/>
      <c r="CJE116" s="89"/>
      <c r="CJF116" s="89"/>
      <c r="CJG116" s="89"/>
      <c r="CJH116" s="89"/>
      <c r="CJI116" s="89"/>
      <c r="CJJ116" s="89"/>
      <c r="CJP116" s="89"/>
      <c r="CJQ116" s="89"/>
      <c r="CJR116" s="89"/>
      <c r="CJS116" s="89"/>
      <c r="CJT116" s="89"/>
      <c r="CJU116" s="89"/>
      <c r="CJV116" s="89"/>
      <c r="CJW116" s="89"/>
      <c r="CJX116" s="89"/>
      <c r="CJY116" s="89"/>
      <c r="CJZ116" s="89"/>
      <c r="CKA116" s="89"/>
      <c r="CKB116" s="94"/>
      <c r="CKC116" s="89"/>
      <c r="CKD116" s="89"/>
      <c r="CKE116" s="89"/>
      <c r="CKF116" s="89"/>
      <c r="CKG116" s="89"/>
      <c r="CKH116" s="94"/>
      <c r="CKI116" s="89"/>
      <c r="CKJ116" s="89"/>
      <c r="CKK116" s="89"/>
      <c r="CKL116" s="89"/>
      <c r="CKM116" s="89"/>
      <c r="CKN116" s="89"/>
      <c r="CKO116" s="89"/>
      <c r="CKP116" s="89"/>
      <c r="CKQ116" s="89"/>
      <c r="CKR116" s="89"/>
      <c r="CKS116" s="94"/>
      <c r="CKT116" s="89"/>
      <c r="CKU116" s="89"/>
      <c r="CKV116" s="89"/>
      <c r="CKW116" s="89"/>
      <c r="CKX116" s="89"/>
      <c r="CKY116" s="89"/>
      <c r="CKZ116" s="89"/>
      <c r="CLA116" s="89"/>
      <c r="CLB116" s="89"/>
      <c r="CLC116" s="89"/>
      <c r="CLD116" s="89"/>
      <c r="CLE116" s="89"/>
      <c r="CLF116" s="89"/>
      <c r="CLG116" s="89"/>
      <c r="CLH116" s="89"/>
      <c r="CLI116" s="89"/>
      <c r="CLJ116" s="89"/>
      <c r="CLK116" s="89"/>
      <c r="CLL116" s="89"/>
      <c r="CLM116" s="89"/>
      <c r="CLN116" s="89"/>
      <c r="CLO116" s="89"/>
      <c r="CLP116" s="89"/>
      <c r="CLQ116" s="89"/>
      <c r="CLW116" s="89"/>
      <c r="CLX116" s="89"/>
      <c r="CLY116" s="89"/>
      <c r="CLZ116" s="89"/>
      <c r="CMA116" s="89"/>
      <c r="CMB116" s="89"/>
      <c r="CMC116" s="89"/>
      <c r="CMD116" s="89"/>
      <c r="CME116" s="89"/>
      <c r="CMF116" s="89"/>
      <c r="CMG116" s="89"/>
      <c r="CMH116" s="89"/>
      <c r="CMI116" s="94"/>
      <c r="CMJ116" s="89"/>
      <c r="CMK116" s="89"/>
      <c r="CML116" s="89"/>
      <c r="CMM116" s="89"/>
      <c r="CMN116" s="89"/>
      <c r="CMO116" s="94"/>
      <c r="CMP116" s="89"/>
      <c r="CMQ116" s="89"/>
      <c r="CMR116" s="89"/>
      <c r="CMS116" s="89"/>
      <c r="CMT116" s="89"/>
      <c r="CMU116" s="89"/>
      <c r="CMV116" s="89"/>
      <c r="CMW116" s="89"/>
      <c r="CMX116" s="89"/>
      <c r="CMY116" s="89"/>
      <c r="CMZ116" s="94"/>
      <c r="CNA116" s="89"/>
      <c r="CNB116" s="89"/>
      <c r="CNC116" s="89"/>
      <c r="CND116" s="89"/>
      <c r="CNE116" s="89"/>
      <c r="CNF116" s="89"/>
      <c r="CNG116" s="89"/>
      <c r="CNH116" s="89"/>
      <c r="CNI116" s="89"/>
      <c r="CNJ116" s="89"/>
      <c r="CNK116" s="89"/>
      <c r="CNL116" s="89"/>
      <c r="CNM116" s="89"/>
      <c r="CNN116" s="89"/>
      <c r="CNO116" s="89"/>
      <c r="CNP116" s="89"/>
      <c r="CNQ116" s="89"/>
      <c r="CNR116" s="89"/>
      <c r="CNS116" s="89"/>
      <c r="CNT116" s="89"/>
      <c r="CNU116" s="89"/>
      <c r="CNV116" s="89"/>
      <c r="CNW116" s="89"/>
      <c r="CNX116" s="89"/>
      <c r="COD116" s="89"/>
      <c r="COE116" s="89"/>
      <c r="COF116" s="89"/>
      <c r="COG116" s="89"/>
      <c r="COH116" s="89"/>
      <c r="COI116" s="89"/>
      <c r="COJ116" s="89"/>
      <c r="COK116" s="89"/>
      <c r="COL116" s="89"/>
      <c r="COM116" s="89"/>
      <c r="CON116" s="89"/>
      <c r="COO116" s="89"/>
      <c r="COP116" s="94"/>
      <c r="COQ116" s="89"/>
      <c r="COR116" s="89"/>
      <c r="COS116" s="89"/>
      <c r="COT116" s="89"/>
      <c r="COU116" s="89"/>
      <c r="COV116" s="94"/>
      <c r="COW116" s="89"/>
      <c r="COX116" s="89"/>
      <c r="COY116" s="89"/>
      <c r="COZ116" s="89"/>
      <c r="CPA116" s="89"/>
      <c r="CPB116" s="89"/>
      <c r="CPC116" s="89"/>
      <c r="CPD116" s="89"/>
      <c r="CPE116" s="89"/>
      <c r="CPF116" s="89"/>
      <c r="CPG116" s="94"/>
      <c r="CPH116" s="89"/>
      <c r="CPI116" s="89"/>
      <c r="CPJ116" s="89"/>
      <c r="CPK116" s="89"/>
      <c r="CPL116" s="89"/>
      <c r="CPM116" s="89"/>
      <c r="CPN116" s="89"/>
      <c r="CPO116" s="89"/>
      <c r="CPP116" s="89"/>
      <c r="CPQ116" s="89"/>
      <c r="CPR116" s="89"/>
      <c r="CPS116" s="89"/>
      <c r="CPT116" s="89"/>
      <c r="CPU116" s="89"/>
      <c r="CPV116" s="89"/>
      <c r="CPW116" s="89"/>
      <c r="CPX116" s="89"/>
      <c r="CPY116" s="89"/>
      <c r="CPZ116" s="89"/>
      <c r="CQA116" s="89"/>
      <c r="CQB116" s="89"/>
      <c r="CQC116" s="89"/>
      <c r="CQD116" s="89"/>
      <c r="CQE116" s="89"/>
      <c r="CQK116" s="89"/>
      <c r="CQL116" s="89"/>
      <c r="CQM116" s="89"/>
      <c r="CQN116" s="89"/>
      <c r="CQO116" s="89"/>
      <c r="CQP116" s="89"/>
      <c r="CQQ116" s="89"/>
      <c r="CQR116" s="89"/>
      <c r="CQS116" s="89"/>
      <c r="CQT116" s="89"/>
      <c r="CQU116" s="89"/>
      <c r="CQV116" s="89"/>
      <c r="CQW116" s="94"/>
      <c r="CQX116" s="89"/>
      <c r="CQY116" s="89"/>
      <c r="CQZ116" s="89"/>
      <c r="CRA116" s="89"/>
      <c r="CRB116" s="89"/>
      <c r="CRC116" s="94"/>
      <c r="CRD116" s="89"/>
      <c r="CRE116" s="89"/>
      <c r="CRF116" s="89"/>
      <c r="CRG116" s="89"/>
      <c r="CRH116" s="89"/>
      <c r="CRI116" s="89"/>
      <c r="CRJ116" s="89"/>
      <c r="CRK116" s="89"/>
      <c r="CRL116" s="89"/>
      <c r="CRM116" s="89"/>
      <c r="CRN116" s="94"/>
      <c r="CRO116" s="89"/>
      <c r="CRP116" s="89"/>
      <c r="CRQ116" s="89"/>
      <c r="CRR116" s="89"/>
      <c r="CRS116" s="89"/>
      <c r="CRT116" s="89"/>
      <c r="CRU116" s="89"/>
      <c r="CRV116" s="89"/>
      <c r="CRW116" s="89"/>
      <c r="CRX116" s="89"/>
      <c r="CRY116" s="89"/>
      <c r="CRZ116" s="89"/>
      <c r="CSA116" s="89"/>
      <c r="CSB116" s="89"/>
      <c r="CSC116" s="89"/>
      <c r="CSD116" s="89"/>
      <c r="CSE116" s="89"/>
      <c r="CSF116" s="89"/>
      <c r="CSG116" s="89"/>
      <c r="CSH116" s="89"/>
      <c r="CSI116" s="89"/>
      <c r="CSJ116" s="89"/>
      <c r="CSK116" s="89"/>
      <c r="CSL116" s="89"/>
      <c r="CSR116" s="89"/>
      <c r="CSS116" s="89"/>
      <c r="CST116" s="89"/>
      <c r="CSU116" s="89"/>
      <c r="CSV116" s="89"/>
      <c r="CSW116" s="89"/>
      <c r="CSX116" s="89"/>
      <c r="CSY116" s="89"/>
      <c r="CSZ116" s="89"/>
      <c r="CTA116" s="89"/>
      <c r="CTB116" s="89"/>
      <c r="CTC116" s="89"/>
      <c r="CTD116" s="94"/>
      <c r="CTE116" s="89"/>
      <c r="CTF116" s="89"/>
      <c r="CTG116" s="89"/>
      <c r="CTH116" s="89"/>
      <c r="CTI116" s="89"/>
      <c r="CTJ116" s="94"/>
      <c r="CTK116" s="89"/>
      <c r="CTL116" s="89"/>
      <c r="CTM116" s="89"/>
      <c r="CTN116" s="89"/>
      <c r="CTO116" s="89"/>
      <c r="CTP116" s="89"/>
      <c r="CTQ116" s="89"/>
      <c r="CTR116" s="89"/>
      <c r="CTS116" s="89"/>
      <c r="CTT116" s="89"/>
      <c r="CTU116" s="94"/>
      <c r="CTV116" s="89"/>
      <c r="CTW116" s="89"/>
      <c r="CTX116" s="89"/>
      <c r="CTY116" s="89"/>
      <c r="CTZ116" s="89"/>
      <c r="CUA116" s="89"/>
      <c r="CUB116" s="89"/>
      <c r="CUC116" s="89"/>
      <c r="CUD116" s="89"/>
      <c r="CUE116" s="89"/>
      <c r="CUF116" s="89"/>
      <c r="CUG116" s="89"/>
      <c r="CUH116" s="89"/>
      <c r="CUI116" s="89"/>
      <c r="CUJ116" s="89"/>
      <c r="CUK116" s="89"/>
      <c r="CUL116" s="89"/>
      <c r="CUM116" s="89"/>
      <c r="CUN116" s="89"/>
      <c r="CUO116" s="89"/>
      <c r="CUP116" s="89"/>
      <c r="CUQ116" s="89"/>
      <c r="CUR116" s="89"/>
      <c r="CUS116" s="89"/>
      <c r="CUY116" s="89"/>
      <c r="CUZ116" s="89"/>
      <c r="CVA116" s="89"/>
      <c r="CVB116" s="89"/>
      <c r="CVC116" s="89"/>
      <c r="CVD116" s="89"/>
      <c r="CVE116" s="89"/>
      <c r="CVF116" s="89"/>
      <c r="CVG116" s="89"/>
      <c r="CVH116" s="89"/>
      <c r="CVI116" s="89"/>
      <c r="CVJ116" s="89"/>
      <c r="CVK116" s="94"/>
      <c r="CVL116" s="89"/>
      <c r="CVM116" s="89"/>
      <c r="CVN116" s="89"/>
      <c r="CVO116" s="89"/>
      <c r="CVP116" s="89"/>
      <c r="CVQ116" s="94"/>
      <c r="CVR116" s="89"/>
      <c r="CVS116" s="89"/>
      <c r="CVT116" s="89"/>
      <c r="CVU116" s="89"/>
      <c r="CVV116" s="89"/>
      <c r="CVW116" s="89"/>
      <c r="CVX116" s="89"/>
      <c r="CVY116" s="89"/>
      <c r="CVZ116" s="89"/>
      <c r="CWA116" s="89"/>
      <c r="CWB116" s="94"/>
      <c r="CWC116" s="89"/>
      <c r="CWD116" s="89"/>
      <c r="CWE116" s="89"/>
      <c r="CWF116" s="89"/>
      <c r="CWG116" s="89"/>
      <c r="CWH116" s="89"/>
      <c r="CWI116" s="89"/>
      <c r="CWJ116" s="89"/>
      <c r="CWK116" s="89"/>
      <c r="CWL116" s="89"/>
      <c r="CWM116" s="89"/>
      <c r="CWN116" s="89"/>
      <c r="CWO116" s="89"/>
      <c r="CWP116" s="89"/>
      <c r="CWQ116" s="89"/>
      <c r="CWR116" s="89"/>
      <c r="CWS116" s="89"/>
      <c r="CWT116" s="89"/>
      <c r="CWU116" s="89"/>
      <c r="CWV116" s="89"/>
      <c r="CWW116" s="89"/>
      <c r="CWX116" s="89"/>
      <c r="CWY116" s="89"/>
      <c r="CWZ116" s="89"/>
      <c r="CXF116" s="89"/>
      <c r="CXG116" s="89"/>
      <c r="CXH116" s="89"/>
      <c r="CXI116" s="89"/>
      <c r="CXJ116" s="89"/>
      <c r="CXK116" s="89"/>
      <c r="CXL116" s="89"/>
      <c r="CXM116" s="89"/>
      <c r="CXN116" s="89"/>
      <c r="CXO116" s="89"/>
      <c r="CXP116" s="89"/>
      <c r="CXQ116" s="89"/>
      <c r="CXR116" s="94"/>
      <c r="CXS116" s="89"/>
      <c r="CXT116" s="89"/>
      <c r="CXU116" s="89"/>
      <c r="CXV116" s="89"/>
      <c r="CXW116" s="89"/>
      <c r="CXX116" s="94"/>
      <c r="CXY116" s="89"/>
      <c r="CXZ116" s="89"/>
      <c r="CYA116" s="89"/>
      <c r="CYB116" s="89"/>
      <c r="CYC116" s="89"/>
      <c r="CYD116" s="89"/>
      <c r="CYE116" s="89"/>
      <c r="CYF116" s="89"/>
      <c r="CYG116" s="89"/>
      <c r="CYH116" s="89"/>
      <c r="CYI116" s="94"/>
      <c r="CYJ116" s="89"/>
      <c r="CYK116" s="89"/>
      <c r="CYL116" s="89"/>
      <c r="CYM116" s="89"/>
      <c r="CYN116" s="89"/>
      <c r="CYO116" s="89"/>
      <c r="CYP116" s="89"/>
      <c r="CYQ116" s="89"/>
      <c r="CYR116" s="89"/>
      <c r="CYS116" s="89"/>
      <c r="CYT116" s="89"/>
      <c r="CYU116" s="89"/>
      <c r="CYV116" s="89"/>
      <c r="CYW116" s="89"/>
      <c r="CYX116" s="89"/>
      <c r="CYY116" s="89"/>
      <c r="CYZ116" s="89"/>
      <c r="CZA116" s="89"/>
      <c r="CZB116" s="89"/>
      <c r="CZC116" s="89"/>
      <c r="CZD116" s="89"/>
      <c r="CZE116" s="89"/>
      <c r="CZF116" s="89"/>
      <c r="CZG116" s="89"/>
      <c r="CZM116" s="89"/>
      <c r="CZN116" s="89"/>
      <c r="CZO116" s="89"/>
      <c r="CZP116" s="89"/>
      <c r="CZQ116" s="89"/>
      <c r="CZR116" s="89"/>
      <c r="CZS116" s="89"/>
      <c r="CZT116" s="89"/>
      <c r="CZU116" s="89"/>
      <c r="CZV116" s="89"/>
      <c r="CZW116" s="89"/>
      <c r="CZX116" s="89"/>
      <c r="CZY116" s="94"/>
      <c r="CZZ116" s="89"/>
      <c r="DAA116" s="89"/>
      <c r="DAB116" s="89"/>
      <c r="DAC116" s="89"/>
      <c r="DAD116" s="89"/>
      <c r="DAE116" s="94"/>
      <c r="DAF116" s="89"/>
      <c r="DAG116" s="89"/>
      <c r="DAH116" s="89"/>
      <c r="DAI116" s="89"/>
      <c r="DAJ116" s="89"/>
      <c r="DAK116" s="89"/>
      <c r="DAL116" s="89"/>
      <c r="DAM116" s="89"/>
      <c r="DAN116" s="89"/>
      <c r="DAO116" s="89"/>
      <c r="DAP116" s="94"/>
      <c r="DAQ116" s="89"/>
      <c r="DAR116" s="89"/>
      <c r="DAS116" s="89"/>
      <c r="DAT116" s="89"/>
      <c r="DAU116" s="89"/>
      <c r="DAV116" s="89"/>
      <c r="DAW116" s="89"/>
      <c r="DAX116" s="89"/>
      <c r="DAY116" s="89"/>
      <c r="DAZ116" s="89"/>
      <c r="DBA116" s="89"/>
      <c r="DBB116" s="89"/>
      <c r="DBC116" s="89"/>
      <c r="DBD116" s="89"/>
      <c r="DBE116" s="89"/>
      <c r="DBF116" s="89"/>
      <c r="DBG116" s="89"/>
      <c r="DBH116" s="89"/>
      <c r="DBI116" s="89"/>
      <c r="DBJ116" s="89"/>
      <c r="DBK116" s="89"/>
      <c r="DBL116" s="89"/>
      <c r="DBM116" s="89"/>
      <c r="DBN116" s="89"/>
      <c r="DBT116" s="89"/>
      <c r="DBU116" s="89"/>
      <c r="DBV116" s="89"/>
      <c r="DBW116" s="89"/>
      <c r="DBX116" s="89"/>
      <c r="DBY116" s="89"/>
      <c r="DBZ116" s="89"/>
      <c r="DCA116" s="89"/>
      <c r="DCB116" s="89"/>
      <c r="DCC116" s="89"/>
      <c r="DCD116" s="89"/>
      <c r="DCE116" s="89"/>
      <c r="DCF116" s="94"/>
      <c r="DCG116" s="89"/>
      <c r="DCH116" s="89"/>
      <c r="DCI116" s="89"/>
      <c r="DCJ116" s="89"/>
      <c r="DCK116" s="89"/>
      <c r="DCL116" s="94"/>
      <c r="DCM116" s="89"/>
      <c r="DCN116" s="89"/>
      <c r="DCO116" s="89"/>
      <c r="DCP116" s="89"/>
      <c r="DCQ116" s="89"/>
      <c r="DCR116" s="89"/>
      <c r="DCS116" s="89"/>
      <c r="DCT116" s="89"/>
      <c r="DCU116" s="89"/>
      <c r="DCV116" s="89"/>
      <c r="DCW116" s="94"/>
      <c r="DCX116" s="89"/>
      <c r="DCY116" s="89"/>
      <c r="DCZ116" s="89"/>
      <c r="DDA116" s="89"/>
      <c r="DDB116" s="89"/>
      <c r="DDC116" s="89"/>
      <c r="DDD116" s="89"/>
      <c r="DDE116" s="89"/>
      <c r="DDF116" s="89"/>
      <c r="DDG116" s="89"/>
      <c r="DDH116" s="89"/>
      <c r="DDI116" s="89"/>
      <c r="DDJ116" s="89"/>
      <c r="DDK116" s="89"/>
      <c r="DDL116" s="89"/>
      <c r="DDM116" s="89"/>
      <c r="DDN116" s="89"/>
      <c r="DDO116" s="89"/>
      <c r="DDP116" s="89"/>
      <c r="DDQ116" s="89"/>
      <c r="DDR116" s="89"/>
      <c r="DDS116" s="89"/>
      <c r="DDT116" s="89"/>
      <c r="DDU116" s="89"/>
      <c r="DEA116" s="89"/>
      <c r="DEB116" s="89"/>
      <c r="DEC116" s="89"/>
      <c r="DED116" s="89"/>
      <c r="DEE116" s="89"/>
      <c r="DEF116" s="89"/>
      <c r="DEG116" s="89"/>
      <c r="DEH116" s="89"/>
      <c r="DEI116" s="89"/>
      <c r="DEJ116" s="89"/>
      <c r="DEK116" s="89"/>
      <c r="DEL116" s="89"/>
      <c r="DEM116" s="94"/>
      <c r="DEN116" s="89"/>
      <c r="DEO116" s="89"/>
      <c r="DEP116" s="89"/>
      <c r="DEQ116" s="89"/>
      <c r="DER116" s="89"/>
      <c r="DES116" s="94"/>
      <c r="DET116" s="89"/>
      <c r="DEU116" s="89"/>
      <c r="DEV116" s="89"/>
      <c r="DEW116" s="89"/>
      <c r="DEX116" s="89"/>
      <c r="DEY116" s="89"/>
      <c r="DEZ116" s="89"/>
      <c r="DFA116" s="89"/>
      <c r="DFB116" s="89"/>
      <c r="DFC116" s="89"/>
      <c r="DFD116" s="94"/>
      <c r="DFE116" s="89"/>
      <c r="DFF116" s="89"/>
      <c r="DFG116" s="89"/>
      <c r="DFH116" s="89"/>
      <c r="DFI116" s="89"/>
      <c r="DFJ116" s="89"/>
      <c r="DFK116" s="89"/>
      <c r="DFL116" s="89"/>
      <c r="DFM116" s="89"/>
      <c r="DFN116" s="89"/>
      <c r="DFO116" s="89"/>
      <c r="DFP116" s="89"/>
      <c r="DFQ116" s="89"/>
      <c r="DFR116" s="89"/>
      <c r="DFS116" s="89"/>
      <c r="DFT116" s="89"/>
      <c r="DFU116" s="89"/>
      <c r="DFV116" s="89"/>
      <c r="DFW116" s="89"/>
      <c r="DFX116" s="89"/>
      <c r="DFY116" s="89"/>
      <c r="DFZ116" s="89"/>
      <c r="DGA116" s="89"/>
      <c r="DGB116" s="89"/>
      <c r="DGH116" s="89"/>
      <c r="DGI116" s="89"/>
      <c r="DGJ116" s="89"/>
      <c r="DGK116" s="89"/>
      <c r="DGL116" s="89"/>
      <c r="DGM116" s="89"/>
      <c r="DGN116" s="89"/>
      <c r="DGO116" s="89"/>
      <c r="DGP116" s="89"/>
      <c r="DGQ116" s="89"/>
      <c r="DGR116" s="89"/>
      <c r="DGS116" s="89"/>
      <c r="DGT116" s="94"/>
      <c r="DGU116" s="89"/>
      <c r="DGV116" s="89"/>
      <c r="DGW116" s="89"/>
      <c r="DGX116" s="89"/>
      <c r="DGY116" s="89"/>
      <c r="DGZ116" s="94"/>
      <c r="DHA116" s="89"/>
      <c r="DHB116" s="89"/>
      <c r="DHC116" s="89"/>
      <c r="DHD116" s="89"/>
      <c r="DHE116" s="89"/>
      <c r="DHF116" s="89"/>
      <c r="DHG116" s="89"/>
      <c r="DHH116" s="89"/>
      <c r="DHI116" s="89"/>
      <c r="DHJ116" s="89"/>
      <c r="DHK116" s="94"/>
      <c r="DHL116" s="89"/>
      <c r="DHM116" s="89"/>
      <c r="DHN116" s="89"/>
      <c r="DHO116" s="89"/>
      <c r="DHP116" s="89"/>
      <c r="DHQ116" s="89"/>
      <c r="DHR116" s="89"/>
      <c r="DHS116" s="89"/>
      <c r="DHT116" s="89"/>
      <c r="DHU116" s="89"/>
      <c r="DHV116" s="89"/>
      <c r="DHW116" s="89"/>
      <c r="DHX116" s="89"/>
      <c r="DHY116" s="89"/>
      <c r="DHZ116" s="89"/>
      <c r="DIA116" s="89"/>
      <c r="DIB116" s="89"/>
      <c r="DIC116" s="89"/>
      <c r="DID116" s="89"/>
      <c r="DIE116" s="89"/>
      <c r="DIF116" s="89"/>
      <c r="DIG116" s="89"/>
      <c r="DIH116" s="89"/>
      <c r="DII116" s="89"/>
      <c r="DIO116" s="89"/>
      <c r="DIP116" s="89"/>
      <c r="DIQ116" s="89"/>
      <c r="DIR116" s="89"/>
      <c r="DIS116" s="89"/>
      <c r="DIT116" s="89"/>
      <c r="DIU116" s="89"/>
      <c r="DIV116" s="89"/>
      <c r="DIW116" s="89"/>
      <c r="DIX116" s="89"/>
      <c r="DIY116" s="89"/>
      <c r="DIZ116" s="89"/>
      <c r="DJA116" s="94"/>
      <c r="DJB116" s="89"/>
      <c r="DJC116" s="89"/>
      <c r="DJD116" s="89"/>
      <c r="DJE116" s="89"/>
      <c r="DJF116" s="89"/>
      <c r="DJG116" s="94"/>
      <c r="DJH116" s="89"/>
      <c r="DJI116" s="89"/>
      <c r="DJJ116" s="89"/>
      <c r="DJK116" s="89"/>
      <c r="DJL116" s="89"/>
      <c r="DJM116" s="89"/>
      <c r="DJN116" s="89"/>
      <c r="DJO116" s="89"/>
      <c r="DJP116" s="89"/>
      <c r="DJQ116" s="89"/>
      <c r="DJR116" s="94"/>
      <c r="DJS116" s="89"/>
      <c r="DJT116" s="89"/>
      <c r="DJU116" s="89"/>
      <c r="DJV116" s="89"/>
      <c r="DJW116" s="89"/>
      <c r="DJX116" s="89"/>
      <c r="DJY116" s="89"/>
      <c r="DJZ116" s="89"/>
      <c r="DKA116" s="89"/>
      <c r="DKB116" s="89"/>
      <c r="DKC116" s="89"/>
      <c r="DKD116" s="89"/>
      <c r="DKE116" s="89"/>
      <c r="DKF116" s="89"/>
      <c r="DKG116" s="89"/>
      <c r="DKH116" s="89"/>
      <c r="DKI116" s="89"/>
      <c r="DKJ116" s="89"/>
      <c r="DKK116" s="89"/>
      <c r="DKL116" s="89"/>
      <c r="DKM116" s="89"/>
      <c r="DKN116" s="89"/>
      <c r="DKO116" s="89"/>
      <c r="DKP116" s="89"/>
      <c r="DKV116" s="89"/>
      <c r="DKW116" s="89"/>
      <c r="DKX116" s="89"/>
      <c r="DKY116" s="89"/>
      <c r="DKZ116" s="89"/>
      <c r="DLA116" s="89"/>
      <c r="DLB116" s="89"/>
      <c r="DLC116" s="89"/>
      <c r="DLD116" s="89"/>
      <c r="DLE116" s="89"/>
      <c r="DLF116" s="89"/>
      <c r="DLG116" s="89"/>
      <c r="DLH116" s="94"/>
      <c r="DLI116" s="89"/>
      <c r="DLJ116" s="89"/>
      <c r="DLK116" s="89"/>
      <c r="DLL116" s="89"/>
      <c r="DLM116" s="89"/>
      <c r="DLN116" s="94"/>
      <c r="DLO116" s="89"/>
      <c r="DLP116" s="89"/>
      <c r="DLQ116" s="89"/>
      <c r="DLR116" s="89"/>
      <c r="DLS116" s="89"/>
      <c r="DLT116" s="89"/>
      <c r="DLU116" s="89"/>
      <c r="DLV116" s="89"/>
      <c r="DLW116" s="89"/>
      <c r="DLX116" s="89"/>
      <c r="DLY116" s="94"/>
      <c r="DLZ116" s="89"/>
      <c r="DMA116" s="89"/>
      <c r="DMB116" s="89"/>
      <c r="DMC116" s="89"/>
      <c r="DMD116" s="89"/>
      <c r="DME116" s="89"/>
      <c r="DMF116" s="89"/>
      <c r="DMG116" s="89"/>
      <c r="DMH116" s="89"/>
      <c r="DMI116" s="89"/>
      <c r="DMJ116" s="89"/>
      <c r="DMK116" s="89"/>
      <c r="DML116" s="89"/>
      <c r="DMM116" s="89"/>
      <c r="DMN116" s="89"/>
      <c r="DMO116" s="89"/>
      <c r="DMP116" s="89"/>
      <c r="DMQ116" s="89"/>
      <c r="DMR116" s="89"/>
      <c r="DMS116" s="89"/>
      <c r="DMT116" s="89"/>
      <c r="DMU116" s="89"/>
      <c r="DMV116" s="89"/>
      <c r="DMW116" s="89"/>
      <c r="DNC116" s="89"/>
      <c r="DND116" s="89"/>
      <c r="DNE116" s="89"/>
      <c r="DNF116" s="89"/>
      <c r="DNG116" s="89"/>
      <c r="DNH116" s="89"/>
      <c r="DNI116" s="89"/>
      <c r="DNJ116" s="89"/>
      <c r="DNK116" s="89"/>
      <c r="DNL116" s="89"/>
      <c r="DNM116" s="89"/>
      <c r="DNN116" s="89"/>
      <c r="DNO116" s="94"/>
      <c r="DNP116" s="89"/>
      <c r="DNQ116" s="89"/>
      <c r="DNR116" s="89"/>
      <c r="DNS116" s="89"/>
      <c r="DNT116" s="89"/>
      <c r="DNU116" s="94"/>
      <c r="DNV116" s="89"/>
      <c r="DNW116" s="89"/>
      <c r="DNX116" s="89"/>
      <c r="DNY116" s="89"/>
      <c r="DNZ116" s="89"/>
      <c r="DOA116" s="89"/>
      <c r="DOB116" s="89"/>
      <c r="DOC116" s="89"/>
      <c r="DOD116" s="89"/>
      <c r="DOE116" s="89"/>
      <c r="DOF116" s="94"/>
      <c r="DOG116" s="89"/>
      <c r="DOH116" s="89"/>
      <c r="DOI116" s="89"/>
      <c r="DOJ116" s="89"/>
      <c r="DOK116" s="89"/>
      <c r="DOL116" s="89"/>
      <c r="DOM116" s="89"/>
      <c r="DON116" s="89"/>
      <c r="DOO116" s="89"/>
      <c r="DOP116" s="89"/>
      <c r="DOQ116" s="89"/>
      <c r="DOR116" s="89"/>
      <c r="DOS116" s="89"/>
      <c r="DOT116" s="89"/>
      <c r="DOU116" s="89"/>
      <c r="DOV116" s="89"/>
      <c r="DOW116" s="89"/>
      <c r="DOX116" s="89"/>
      <c r="DOY116" s="89"/>
      <c r="DOZ116" s="89"/>
      <c r="DPA116" s="89"/>
      <c r="DPB116" s="89"/>
      <c r="DPC116" s="89"/>
      <c r="DPD116" s="89"/>
      <c r="DPJ116" s="89"/>
      <c r="DPK116" s="89"/>
      <c r="DPL116" s="89"/>
      <c r="DPM116" s="89"/>
      <c r="DPN116" s="89"/>
      <c r="DPO116" s="89"/>
      <c r="DPP116" s="89"/>
      <c r="DPQ116" s="89"/>
      <c r="DPR116" s="89"/>
      <c r="DPS116" s="89"/>
      <c r="DPT116" s="89"/>
      <c r="DPU116" s="89"/>
      <c r="DPV116" s="94"/>
      <c r="DPW116" s="89"/>
      <c r="DPX116" s="89"/>
      <c r="DPY116" s="89"/>
      <c r="DPZ116" s="89"/>
      <c r="DQA116" s="89"/>
      <c r="DQB116" s="94"/>
      <c r="DQC116" s="89"/>
      <c r="DQD116" s="89"/>
      <c r="DQE116" s="89"/>
      <c r="DQF116" s="89"/>
      <c r="DQG116" s="89"/>
      <c r="DQH116" s="89"/>
      <c r="DQI116" s="89"/>
      <c r="DQJ116" s="89"/>
      <c r="DQK116" s="89"/>
      <c r="DQL116" s="89"/>
      <c r="DQM116" s="94"/>
      <c r="DQN116" s="89"/>
      <c r="DQO116" s="89"/>
      <c r="DQP116" s="89"/>
      <c r="DQQ116" s="89"/>
      <c r="DQR116" s="89"/>
      <c r="DQS116" s="89"/>
      <c r="DQT116" s="89"/>
      <c r="DQU116" s="89"/>
      <c r="DQV116" s="89"/>
      <c r="DQW116" s="89"/>
      <c r="DQX116" s="89"/>
      <c r="DQY116" s="89"/>
      <c r="DQZ116" s="89"/>
      <c r="DRA116" s="89"/>
      <c r="DRB116" s="89"/>
      <c r="DRC116" s="89"/>
      <c r="DRD116" s="89"/>
      <c r="DRE116" s="89"/>
      <c r="DRF116" s="89"/>
      <c r="DRG116" s="89"/>
      <c r="DRH116" s="89"/>
      <c r="DRI116" s="89"/>
      <c r="DRJ116" s="89"/>
      <c r="DRK116" s="89"/>
      <c r="DRQ116" s="89"/>
      <c r="DRR116" s="89"/>
      <c r="DRS116" s="89"/>
      <c r="DRT116" s="89"/>
      <c r="DRU116" s="89"/>
      <c r="DRV116" s="89"/>
      <c r="DRW116" s="89"/>
      <c r="DRX116" s="89"/>
      <c r="DRY116" s="89"/>
      <c r="DRZ116" s="89"/>
      <c r="DSA116" s="89"/>
      <c r="DSB116" s="89"/>
      <c r="DSC116" s="94"/>
      <c r="DSD116" s="89"/>
      <c r="DSE116" s="89"/>
      <c r="DSF116" s="89"/>
      <c r="DSG116" s="89"/>
      <c r="DSH116" s="89"/>
      <c r="DSI116" s="94"/>
      <c r="DSJ116" s="89"/>
      <c r="DSK116" s="89"/>
      <c r="DSL116" s="89"/>
      <c r="DSM116" s="89"/>
      <c r="DSN116" s="89"/>
      <c r="DSO116" s="89"/>
      <c r="DSP116" s="89"/>
      <c r="DSQ116" s="89"/>
      <c r="DSR116" s="89"/>
      <c r="DSS116" s="89"/>
      <c r="DST116" s="94"/>
      <c r="DSU116" s="89"/>
      <c r="DSV116" s="89"/>
      <c r="DSW116" s="89"/>
      <c r="DSX116" s="89"/>
      <c r="DSY116" s="89"/>
      <c r="DSZ116" s="89"/>
      <c r="DTA116" s="89"/>
      <c r="DTB116" s="89"/>
      <c r="DTC116" s="89"/>
      <c r="DTD116" s="89"/>
      <c r="DTE116" s="89"/>
      <c r="DTF116" s="89"/>
      <c r="DTG116" s="89"/>
      <c r="DTH116" s="89"/>
      <c r="DTI116" s="89"/>
      <c r="DTJ116" s="89"/>
      <c r="DTK116" s="89"/>
      <c r="DTL116" s="89"/>
      <c r="DTM116" s="89"/>
      <c r="DTN116" s="89"/>
      <c r="DTO116" s="89"/>
      <c r="DTP116" s="89"/>
      <c r="DTQ116" s="89"/>
      <c r="DTR116" s="89"/>
      <c r="DTX116" s="89"/>
      <c r="DTY116" s="89"/>
      <c r="DTZ116" s="89"/>
      <c r="DUA116" s="89"/>
      <c r="DUB116" s="89"/>
      <c r="DUC116" s="89"/>
      <c r="DUD116" s="89"/>
      <c r="DUE116" s="89"/>
      <c r="DUF116" s="89"/>
      <c r="DUG116" s="89"/>
      <c r="DUH116" s="89"/>
      <c r="DUI116" s="89"/>
      <c r="DUJ116" s="94"/>
      <c r="DUK116" s="89"/>
      <c r="DUL116" s="89"/>
      <c r="DUM116" s="89"/>
      <c r="DUN116" s="89"/>
      <c r="DUO116" s="89"/>
      <c r="DUP116" s="94"/>
      <c r="DUQ116" s="89"/>
      <c r="DUR116" s="89"/>
      <c r="DUS116" s="89"/>
      <c r="DUT116" s="89"/>
      <c r="DUU116" s="89"/>
      <c r="DUV116" s="89"/>
      <c r="DUW116" s="89"/>
      <c r="DUX116" s="89"/>
      <c r="DUY116" s="89"/>
      <c r="DUZ116" s="89"/>
      <c r="DVA116" s="94"/>
      <c r="DVB116" s="89"/>
      <c r="DVC116" s="89"/>
      <c r="DVD116" s="89"/>
      <c r="DVE116" s="89"/>
      <c r="DVF116" s="89"/>
      <c r="DVG116" s="89"/>
      <c r="DVH116" s="89"/>
      <c r="DVI116" s="89"/>
      <c r="DVJ116" s="89"/>
      <c r="DVK116" s="89"/>
      <c r="DVL116" s="89"/>
      <c r="DVM116" s="89"/>
      <c r="DVN116" s="89"/>
      <c r="DVO116" s="89"/>
      <c r="DVP116" s="89"/>
      <c r="DVQ116" s="89"/>
      <c r="DVR116" s="89"/>
      <c r="DVS116" s="89"/>
      <c r="DVT116" s="89"/>
      <c r="DVU116" s="89"/>
      <c r="DVV116" s="89"/>
      <c r="DVW116" s="89"/>
      <c r="DVX116" s="89"/>
      <c r="DVY116" s="89"/>
      <c r="DWE116" s="89"/>
      <c r="DWF116" s="89"/>
      <c r="DWG116" s="89"/>
      <c r="DWH116" s="89"/>
      <c r="DWI116" s="89"/>
      <c r="DWJ116" s="89"/>
      <c r="DWK116" s="89"/>
      <c r="DWL116" s="89"/>
      <c r="DWM116" s="89"/>
      <c r="DWN116" s="89"/>
      <c r="DWO116" s="89"/>
      <c r="DWP116" s="89"/>
      <c r="DWQ116" s="94"/>
      <c r="DWR116" s="89"/>
      <c r="DWS116" s="89"/>
      <c r="DWT116" s="89"/>
      <c r="DWU116" s="89"/>
      <c r="DWV116" s="89"/>
      <c r="DWW116" s="94"/>
      <c r="DWX116" s="89"/>
      <c r="DWY116" s="89"/>
      <c r="DWZ116" s="89"/>
      <c r="DXA116" s="89"/>
      <c r="DXB116" s="89"/>
      <c r="DXC116" s="89"/>
      <c r="DXD116" s="89"/>
      <c r="DXE116" s="89"/>
      <c r="DXF116" s="89"/>
      <c r="DXG116" s="89"/>
      <c r="DXH116" s="94"/>
      <c r="DXI116" s="89"/>
      <c r="DXJ116" s="89"/>
      <c r="DXK116" s="89"/>
      <c r="DXL116" s="89"/>
      <c r="DXM116" s="89"/>
      <c r="DXN116" s="89"/>
      <c r="DXO116" s="89"/>
      <c r="DXP116" s="89"/>
      <c r="DXQ116" s="89"/>
      <c r="DXR116" s="89"/>
      <c r="DXS116" s="89"/>
      <c r="DXT116" s="89"/>
      <c r="DXU116" s="89"/>
      <c r="DXV116" s="89"/>
      <c r="DXW116" s="89"/>
      <c r="DXX116" s="89"/>
      <c r="DXY116" s="89"/>
      <c r="DXZ116" s="89"/>
      <c r="DYA116" s="89"/>
      <c r="DYB116" s="89"/>
      <c r="DYC116" s="89"/>
      <c r="DYD116" s="89"/>
      <c r="DYE116" s="89"/>
      <c r="DYF116" s="89"/>
      <c r="DYL116" s="89"/>
      <c r="DYM116" s="89"/>
      <c r="DYN116" s="89"/>
      <c r="DYO116" s="89"/>
      <c r="DYP116" s="89"/>
      <c r="DYQ116" s="89"/>
      <c r="DYR116" s="89"/>
      <c r="DYS116" s="89"/>
      <c r="DYT116" s="89"/>
      <c r="DYU116" s="89"/>
      <c r="DYV116" s="89"/>
      <c r="DYW116" s="89"/>
      <c r="DYX116" s="94"/>
      <c r="DYY116" s="89"/>
      <c r="DYZ116" s="89"/>
      <c r="DZA116" s="89"/>
      <c r="DZB116" s="89"/>
      <c r="DZC116" s="89"/>
      <c r="DZD116" s="94"/>
      <c r="DZE116" s="89"/>
      <c r="DZF116" s="89"/>
      <c r="DZG116" s="89"/>
      <c r="DZH116" s="89"/>
      <c r="DZI116" s="89"/>
      <c r="DZJ116" s="89"/>
      <c r="DZK116" s="89"/>
      <c r="DZL116" s="89"/>
      <c r="DZM116" s="89"/>
      <c r="DZN116" s="89"/>
      <c r="DZO116" s="94"/>
      <c r="DZP116" s="89"/>
      <c r="DZQ116" s="89"/>
      <c r="DZR116" s="89"/>
      <c r="DZS116" s="89"/>
      <c r="DZT116" s="89"/>
      <c r="DZU116" s="89"/>
      <c r="DZV116" s="89"/>
      <c r="DZW116" s="89"/>
      <c r="DZX116" s="89"/>
      <c r="DZY116" s="89"/>
      <c r="DZZ116" s="89"/>
      <c r="EAA116" s="89"/>
      <c r="EAB116" s="89"/>
      <c r="EAC116" s="89"/>
      <c r="EAD116" s="89"/>
      <c r="EAE116" s="89"/>
      <c r="EAF116" s="89"/>
      <c r="EAG116" s="89"/>
      <c r="EAH116" s="89"/>
      <c r="EAI116" s="89"/>
      <c r="EAJ116" s="89"/>
      <c r="EAK116" s="89"/>
      <c r="EAL116" s="89"/>
      <c r="EAM116" s="89"/>
      <c r="EAS116" s="89"/>
      <c r="EAT116" s="89"/>
      <c r="EAU116" s="89"/>
      <c r="EAV116" s="89"/>
      <c r="EAW116" s="89"/>
      <c r="EAX116" s="89"/>
      <c r="EAY116" s="89"/>
      <c r="EAZ116" s="89"/>
      <c r="EBA116" s="89"/>
      <c r="EBB116" s="89"/>
      <c r="EBC116" s="89"/>
      <c r="EBD116" s="89"/>
      <c r="EBE116" s="94"/>
      <c r="EBF116" s="89"/>
      <c r="EBG116" s="89"/>
      <c r="EBH116" s="89"/>
      <c r="EBI116" s="89"/>
      <c r="EBJ116" s="89"/>
      <c r="EBK116" s="94"/>
      <c r="EBL116" s="89"/>
      <c r="EBM116" s="89"/>
      <c r="EBN116" s="89"/>
      <c r="EBO116" s="89"/>
      <c r="EBP116" s="89"/>
      <c r="EBQ116" s="89"/>
      <c r="EBR116" s="89"/>
      <c r="EBS116" s="89"/>
      <c r="EBT116" s="89"/>
      <c r="EBU116" s="89"/>
      <c r="EBV116" s="94"/>
      <c r="EBW116" s="89"/>
      <c r="EBX116" s="89"/>
      <c r="EBY116" s="89"/>
      <c r="EBZ116" s="89"/>
      <c r="ECA116" s="89"/>
      <c r="ECB116" s="89"/>
      <c r="ECC116" s="89"/>
      <c r="ECD116" s="89"/>
      <c r="ECE116" s="89"/>
      <c r="ECF116" s="89"/>
      <c r="ECG116" s="89"/>
      <c r="ECH116" s="89"/>
      <c r="ECI116" s="89"/>
      <c r="ECJ116" s="89"/>
      <c r="ECK116" s="89"/>
      <c r="ECL116" s="89"/>
      <c r="ECM116" s="89"/>
      <c r="ECN116" s="89"/>
      <c r="ECO116" s="89"/>
      <c r="ECP116" s="89"/>
      <c r="ECQ116" s="89"/>
      <c r="ECR116" s="89"/>
      <c r="ECS116" s="89"/>
      <c r="ECT116" s="89"/>
      <c r="ECZ116" s="89"/>
      <c r="EDA116" s="89"/>
      <c r="EDB116" s="89"/>
      <c r="EDC116" s="89"/>
      <c r="EDD116" s="89"/>
      <c r="EDE116" s="89"/>
      <c r="EDF116" s="89"/>
      <c r="EDG116" s="89"/>
      <c r="EDH116" s="89"/>
      <c r="EDI116" s="89"/>
      <c r="EDJ116" s="89"/>
      <c r="EDK116" s="89"/>
      <c r="EDL116" s="94"/>
      <c r="EDM116" s="89"/>
      <c r="EDN116" s="89"/>
      <c r="EDO116" s="89"/>
      <c r="EDP116" s="89"/>
      <c r="EDQ116" s="89"/>
      <c r="EDR116" s="94"/>
      <c r="EDS116" s="89"/>
      <c r="EDT116" s="89"/>
      <c r="EDU116" s="89"/>
      <c r="EDV116" s="89"/>
      <c r="EDW116" s="89"/>
      <c r="EDX116" s="89"/>
      <c r="EDY116" s="89"/>
      <c r="EDZ116" s="89"/>
      <c r="EEA116" s="89"/>
      <c r="EEB116" s="89"/>
      <c r="EEC116" s="94"/>
      <c r="EED116" s="89"/>
      <c r="EEE116" s="89"/>
      <c r="EEF116" s="89"/>
      <c r="EEG116" s="89"/>
      <c r="EEH116" s="89"/>
      <c r="EEI116" s="89"/>
      <c r="EEJ116" s="89"/>
      <c r="EEK116" s="89"/>
      <c r="EEL116" s="89"/>
      <c r="EEM116" s="89"/>
      <c r="EEN116" s="89"/>
      <c r="EEO116" s="89"/>
      <c r="EEP116" s="89"/>
      <c r="EEQ116" s="89"/>
      <c r="EER116" s="89"/>
      <c r="EES116" s="89"/>
      <c r="EET116" s="89"/>
      <c r="EEU116" s="89"/>
      <c r="EEV116" s="89"/>
      <c r="EEW116" s="89"/>
      <c r="EEX116" s="89"/>
      <c r="EEY116" s="89"/>
      <c r="EEZ116" s="89"/>
      <c r="EFA116" s="89"/>
      <c r="EFG116" s="89"/>
      <c r="EFH116" s="89"/>
      <c r="EFI116" s="89"/>
      <c r="EFJ116" s="89"/>
      <c r="EFK116" s="89"/>
      <c r="EFL116" s="89"/>
      <c r="EFM116" s="89"/>
      <c r="EFN116" s="89"/>
      <c r="EFO116" s="89"/>
      <c r="EFP116" s="89"/>
      <c r="EFQ116" s="89"/>
      <c r="EFR116" s="89"/>
      <c r="EFS116" s="94"/>
      <c r="EFT116" s="89"/>
      <c r="EFU116" s="89"/>
      <c r="EFV116" s="89"/>
      <c r="EFW116" s="89"/>
      <c r="EFX116" s="89"/>
      <c r="EFY116" s="94"/>
      <c r="EFZ116" s="89"/>
      <c r="EGA116" s="89"/>
      <c r="EGB116" s="89"/>
      <c r="EGC116" s="89"/>
      <c r="EGD116" s="89"/>
      <c r="EGE116" s="89"/>
      <c r="EGF116" s="89"/>
      <c r="EGG116" s="89"/>
      <c r="EGH116" s="89"/>
      <c r="EGI116" s="89"/>
      <c r="EGJ116" s="94"/>
      <c r="EGK116" s="89"/>
      <c r="EGL116" s="89"/>
      <c r="EGM116" s="89"/>
      <c r="EGN116" s="89"/>
      <c r="EGO116" s="89"/>
      <c r="EGP116" s="89"/>
      <c r="EGQ116" s="89"/>
      <c r="EGR116" s="89"/>
      <c r="EGS116" s="89"/>
      <c r="EGT116" s="89"/>
      <c r="EGU116" s="89"/>
      <c r="EGV116" s="89"/>
      <c r="EGW116" s="89"/>
      <c r="EGX116" s="89"/>
      <c r="EGY116" s="89"/>
      <c r="EGZ116" s="89"/>
      <c r="EHA116" s="89"/>
      <c r="EHB116" s="89"/>
      <c r="EHC116" s="89"/>
      <c r="EHD116" s="89"/>
      <c r="EHE116" s="89"/>
      <c r="EHF116" s="89"/>
      <c r="EHG116" s="89"/>
      <c r="EHH116" s="89"/>
      <c r="EHN116" s="89"/>
      <c r="EHO116" s="89"/>
      <c r="EHP116" s="89"/>
      <c r="EHQ116" s="89"/>
      <c r="EHR116" s="89"/>
      <c r="EHS116" s="89"/>
      <c r="EHT116" s="89"/>
      <c r="EHU116" s="89"/>
      <c r="EHV116" s="89"/>
      <c r="EHW116" s="89"/>
      <c r="EHX116" s="89"/>
      <c r="EHY116" s="89"/>
      <c r="EHZ116" s="94"/>
      <c r="EIA116" s="89"/>
      <c r="EIB116" s="89"/>
      <c r="EIC116" s="89"/>
      <c r="EID116" s="89"/>
      <c r="EIE116" s="89"/>
      <c r="EIF116" s="94"/>
      <c r="EIG116" s="89"/>
      <c r="EIH116" s="89"/>
      <c r="EII116" s="89"/>
      <c r="EIJ116" s="89"/>
      <c r="EIK116" s="89"/>
      <c r="EIL116" s="89"/>
      <c r="EIM116" s="89"/>
      <c r="EIN116" s="89"/>
      <c r="EIO116" s="89"/>
      <c r="EIP116" s="89"/>
      <c r="EIQ116" s="94"/>
      <c r="EIR116" s="89"/>
      <c r="EIS116" s="89"/>
      <c r="EIT116" s="89"/>
      <c r="EIU116" s="89"/>
      <c r="EIV116" s="89"/>
      <c r="EIW116" s="89"/>
      <c r="EIX116" s="89"/>
      <c r="EIY116" s="89"/>
      <c r="EIZ116" s="89"/>
      <c r="EJA116" s="89"/>
      <c r="EJB116" s="89"/>
      <c r="EJC116" s="89"/>
      <c r="EJD116" s="89"/>
      <c r="EJE116" s="89"/>
      <c r="EJF116" s="89"/>
      <c r="EJG116" s="89"/>
      <c r="EJH116" s="89"/>
      <c r="EJI116" s="89"/>
      <c r="EJJ116" s="89"/>
      <c r="EJK116" s="89"/>
      <c r="EJL116" s="89"/>
      <c r="EJM116" s="89"/>
      <c r="EJN116" s="89"/>
      <c r="EJO116" s="89"/>
      <c r="EJU116" s="89"/>
      <c r="EJV116" s="89"/>
      <c r="EJW116" s="89"/>
      <c r="EJX116" s="89"/>
      <c r="EJY116" s="89"/>
      <c r="EJZ116" s="89"/>
      <c r="EKA116" s="89"/>
      <c r="EKB116" s="89"/>
      <c r="EKC116" s="89"/>
      <c r="EKD116" s="89"/>
      <c r="EKE116" s="89"/>
      <c r="EKF116" s="89"/>
      <c r="EKG116" s="94"/>
      <c r="EKH116" s="89"/>
      <c r="EKI116" s="89"/>
      <c r="EKJ116" s="89"/>
      <c r="EKK116" s="89"/>
      <c r="EKL116" s="89"/>
      <c r="EKM116" s="94"/>
      <c r="EKN116" s="89"/>
      <c r="EKO116" s="89"/>
      <c r="EKP116" s="89"/>
      <c r="EKQ116" s="89"/>
      <c r="EKR116" s="89"/>
      <c r="EKS116" s="89"/>
      <c r="EKT116" s="89"/>
      <c r="EKU116" s="89"/>
      <c r="EKV116" s="89"/>
      <c r="EKW116" s="89"/>
      <c r="EKX116" s="94"/>
      <c r="EKY116" s="89"/>
      <c r="EKZ116" s="89"/>
      <c r="ELA116" s="89"/>
      <c r="ELB116" s="89"/>
      <c r="ELC116" s="89"/>
      <c r="ELD116" s="89"/>
      <c r="ELE116" s="89"/>
      <c r="ELF116" s="89"/>
      <c r="ELG116" s="89"/>
      <c r="ELH116" s="89"/>
      <c r="ELI116" s="89"/>
      <c r="ELJ116" s="89"/>
      <c r="ELK116" s="89"/>
      <c r="ELL116" s="89"/>
      <c r="ELM116" s="89"/>
      <c r="ELN116" s="89"/>
      <c r="ELO116" s="89"/>
      <c r="ELP116" s="89"/>
      <c r="ELQ116" s="89"/>
      <c r="ELR116" s="89"/>
      <c r="ELS116" s="89"/>
      <c r="ELT116" s="89"/>
      <c r="ELU116" s="89"/>
      <c r="ELV116" s="89"/>
      <c r="EMB116" s="89"/>
      <c r="EMC116" s="89"/>
      <c r="EMD116" s="89"/>
      <c r="EME116" s="89"/>
      <c r="EMF116" s="89"/>
      <c r="EMG116" s="89"/>
      <c r="EMH116" s="89"/>
      <c r="EMI116" s="89"/>
      <c r="EMJ116" s="89"/>
      <c r="EMK116" s="89"/>
      <c r="EML116" s="89"/>
      <c r="EMM116" s="89"/>
      <c r="EMN116" s="94"/>
      <c r="EMO116" s="89"/>
      <c r="EMP116" s="89"/>
      <c r="EMQ116" s="89"/>
      <c r="EMR116" s="89"/>
      <c r="EMS116" s="89"/>
      <c r="EMT116" s="94"/>
      <c r="EMU116" s="89"/>
      <c r="EMV116" s="89"/>
      <c r="EMW116" s="89"/>
      <c r="EMX116" s="89"/>
      <c r="EMY116" s="89"/>
      <c r="EMZ116" s="89"/>
      <c r="ENA116" s="89"/>
      <c r="ENB116" s="89"/>
      <c r="ENC116" s="89"/>
      <c r="END116" s="89"/>
      <c r="ENE116" s="94"/>
      <c r="ENF116" s="89"/>
      <c r="ENG116" s="89"/>
      <c r="ENH116" s="89"/>
      <c r="ENI116" s="89"/>
      <c r="ENJ116" s="89"/>
      <c r="ENK116" s="89"/>
      <c r="ENL116" s="89"/>
      <c r="ENM116" s="89"/>
      <c r="ENN116" s="89"/>
      <c r="ENO116" s="89"/>
      <c r="ENP116" s="89"/>
      <c r="ENQ116" s="89"/>
      <c r="ENR116" s="89"/>
      <c r="ENS116" s="89"/>
      <c r="ENT116" s="89"/>
      <c r="ENU116" s="89"/>
      <c r="ENV116" s="89"/>
      <c r="ENW116" s="89"/>
      <c r="ENX116" s="89"/>
      <c r="ENY116" s="89"/>
      <c r="ENZ116" s="89"/>
      <c r="EOA116" s="89"/>
      <c r="EOB116" s="89"/>
      <c r="EOC116" s="89"/>
      <c r="EOI116" s="89"/>
      <c r="EOJ116" s="89"/>
      <c r="EOK116" s="89"/>
      <c r="EOL116" s="89"/>
      <c r="EOM116" s="89"/>
      <c r="EON116" s="89"/>
      <c r="EOO116" s="89"/>
      <c r="EOP116" s="89"/>
      <c r="EOQ116" s="89"/>
      <c r="EOR116" s="89"/>
      <c r="EOS116" s="89"/>
      <c r="EOT116" s="89"/>
      <c r="EOU116" s="94"/>
      <c r="EOV116" s="89"/>
      <c r="EOW116" s="89"/>
      <c r="EOX116" s="89"/>
      <c r="EOY116" s="89"/>
      <c r="EOZ116" s="89"/>
      <c r="EPA116" s="94"/>
      <c r="EPB116" s="89"/>
      <c r="EPC116" s="89"/>
      <c r="EPD116" s="89"/>
      <c r="EPE116" s="89"/>
      <c r="EPF116" s="89"/>
      <c r="EPG116" s="89"/>
      <c r="EPH116" s="89"/>
      <c r="EPI116" s="89"/>
      <c r="EPJ116" s="89"/>
      <c r="EPK116" s="89"/>
      <c r="EPL116" s="94"/>
      <c r="EPM116" s="89"/>
      <c r="EPN116" s="89"/>
      <c r="EPO116" s="89"/>
      <c r="EPP116" s="89"/>
      <c r="EPQ116" s="89"/>
      <c r="EPR116" s="89"/>
      <c r="EPS116" s="89"/>
      <c r="EPT116" s="89"/>
      <c r="EPU116" s="89"/>
      <c r="EPV116" s="89"/>
      <c r="EPW116" s="89"/>
      <c r="EPX116" s="89"/>
      <c r="EPY116" s="89"/>
      <c r="EPZ116" s="89"/>
      <c r="EQA116" s="89"/>
      <c r="EQB116" s="89"/>
      <c r="EQC116" s="89"/>
      <c r="EQD116" s="89"/>
      <c r="EQE116" s="89"/>
      <c r="EQF116" s="89"/>
      <c r="EQG116" s="89"/>
      <c r="EQH116" s="89"/>
      <c r="EQI116" s="89"/>
      <c r="EQJ116" s="89"/>
      <c r="EQP116" s="89"/>
      <c r="EQQ116" s="89"/>
      <c r="EQR116" s="89"/>
      <c r="EQS116" s="89"/>
      <c r="EQT116" s="89"/>
      <c r="EQU116" s="89"/>
      <c r="EQV116" s="89"/>
      <c r="EQW116" s="89"/>
      <c r="EQX116" s="89"/>
      <c r="EQY116" s="89"/>
      <c r="EQZ116" s="89"/>
      <c r="ERA116" s="89"/>
      <c r="ERB116" s="94"/>
      <c r="ERC116" s="89"/>
      <c r="ERD116" s="89"/>
      <c r="ERE116" s="89"/>
      <c r="ERF116" s="89"/>
      <c r="ERG116" s="89"/>
      <c r="ERH116" s="94"/>
      <c r="ERI116" s="89"/>
      <c r="ERJ116" s="89"/>
      <c r="ERK116" s="89"/>
      <c r="ERL116" s="89"/>
      <c r="ERM116" s="89"/>
      <c r="ERN116" s="89"/>
      <c r="ERO116" s="89"/>
      <c r="ERP116" s="89"/>
      <c r="ERQ116" s="89"/>
      <c r="ERR116" s="89"/>
      <c r="ERS116" s="94"/>
      <c r="ERT116" s="89"/>
      <c r="ERU116" s="89"/>
      <c r="ERV116" s="89"/>
      <c r="ERW116" s="89"/>
      <c r="ERX116" s="89"/>
      <c r="ERY116" s="89"/>
      <c r="ERZ116" s="89"/>
      <c r="ESA116" s="89"/>
      <c r="ESB116" s="89"/>
      <c r="ESC116" s="89"/>
      <c r="ESD116" s="89"/>
      <c r="ESE116" s="89"/>
      <c r="ESF116" s="89"/>
      <c r="ESG116" s="89"/>
      <c r="ESH116" s="89"/>
      <c r="ESI116" s="89"/>
      <c r="ESJ116" s="89"/>
      <c r="ESK116" s="89"/>
      <c r="ESL116" s="89"/>
      <c r="ESM116" s="89"/>
      <c r="ESN116" s="89"/>
      <c r="ESO116" s="89"/>
      <c r="ESP116" s="89"/>
      <c r="ESQ116" s="89"/>
      <c r="ESW116" s="89"/>
      <c r="ESX116" s="89"/>
      <c r="ESY116" s="89"/>
      <c r="ESZ116" s="89"/>
      <c r="ETA116" s="89"/>
      <c r="ETB116" s="89"/>
      <c r="ETC116" s="89"/>
      <c r="ETD116" s="89"/>
      <c r="ETE116" s="89"/>
      <c r="ETF116" s="89"/>
      <c r="ETG116" s="89"/>
      <c r="ETH116" s="89"/>
      <c r="ETI116" s="94"/>
      <c r="ETJ116" s="89"/>
      <c r="ETK116" s="89"/>
      <c r="ETL116" s="89"/>
      <c r="ETM116" s="89"/>
      <c r="ETN116" s="89"/>
      <c r="ETO116" s="94"/>
      <c r="ETP116" s="89"/>
      <c r="ETQ116" s="89"/>
      <c r="ETR116" s="89"/>
      <c r="ETS116" s="89"/>
      <c r="ETT116" s="89"/>
      <c r="ETU116" s="89"/>
      <c r="ETV116" s="89"/>
      <c r="ETW116" s="89"/>
      <c r="ETX116" s="89"/>
      <c r="ETY116" s="89"/>
      <c r="ETZ116" s="94"/>
      <c r="EUA116" s="89"/>
      <c r="EUB116" s="89"/>
      <c r="EUC116" s="89"/>
      <c r="EUD116" s="89"/>
      <c r="EUE116" s="89"/>
      <c r="EUF116" s="89"/>
      <c r="EUG116" s="89"/>
      <c r="EUH116" s="89"/>
      <c r="EUI116" s="89"/>
      <c r="EUJ116" s="89"/>
      <c r="EUK116" s="89"/>
      <c r="EUL116" s="89"/>
      <c r="EUM116" s="89"/>
      <c r="EUN116" s="89"/>
      <c r="EUO116" s="89"/>
      <c r="EUP116" s="89"/>
      <c r="EUQ116" s="89"/>
      <c r="EUR116" s="89"/>
      <c r="EUS116" s="89"/>
      <c r="EUT116" s="89"/>
      <c r="EUU116" s="89"/>
      <c r="EUV116" s="89"/>
      <c r="EUW116" s="89"/>
      <c r="EUX116" s="89"/>
      <c r="EVD116" s="89"/>
      <c r="EVE116" s="89"/>
      <c r="EVF116" s="89"/>
      <c r="EVG116" s="89"/>
      <c r="EVH116" s="89"/>
      <c r="EVI116" s="89"/>
      <c r="EVJ116" s="89"/>
      <c r="EVK116" s="89"/>
      <c r="EVL116" s="89"/>
      <c r="EVM116" s="89"/>
      <c r="EVN116" s="89"/>
      <c r="EVO116" s="89"/>
      <c r="EVP116" s="94"/>
      <c r="EVQ116" s="89"/>
      <c r="EVR116" s="89"/>
      <c r="EVS116" s="89"/>
      <c r="EVT116" s="89"/>
      <c r="EVU116" s="89"/>
      <c r="EVV116" s="94"/>
      <c r="EVW116" s="89"/>
      <c r="EVX116" s="89"/>
      <c r="EVY116" s="89"/>
      <c r="EVZ116" s="89"/>
      <c r="EWA116" s="89"/>
      <c r="EWB116" s="89"/>
      <c r="EWC116" s="89"/>
      <c r="EWD116" s="89"/>
      <c r="EWE116" s="89"/>
      <c r="EWF116" s="89"/>
      <c r="EWG116" s="94"/>
      <c r="EWH116" s="89"/>
      <c r="EWI116" s="89"/>
      <c r="EWJ116" s="89"/>
      <c r="EWK116" s="89"/>
      <c r="EWL116" s="89"/>
      <c r="EWM116" s="89"/>
      <c r="EWN116" s="89"/>
      <c r="EWO116" s="89"/>
      <c r="EWP116" s="89"/>
      <c r="EWQ116" s="89"/>
      <c r="EWR116" s="89"/>
      <c r="EWS116" s="89"/>
      <c r="EWT116" s="89"/>
      <c r="EWU116" s="89"/>
      <c r="EWV116" s="89"/>
      <c r="EWW116" s="89"/>
      <c r="EWX116" s="89"/>
      <c r="EWY116" s="89"/>
      <c r="EWZ116" s="89"/>
      <c r="EXA116" s="89"/>
      <c r="EXB116" s="89"/>
      <c r="EXC116" s="89"/>
      <c r="EXD116" s="89"/>
      <c r="EXE116" s="89"/>
      <c r="EXK116" s="89"/>
      <c r="EXL116" s="89"/>
      <c r="EXM116" s="89"/>
      <c r="EXN116" s="89"/>
      <c r="EXO116" s="89"/>
      <c r="EXP116" s="89"/>
      <c r="EXQ116" s="89"/>
      <c r="EXR116" s="89"/>
      <c r="EXS116" s="89"/>
      <c r="EXT116" s="89"/>
      <c r="EXU116" s="89"/>
      <c r="EXV116" s="89"/>
      <c r="EXW116" s="94"/>
      <c r="EXX116" s="89"/>
      <c r="EXY116" s="89"/>
      <c r="EXZ116" s="89"/>
      <c r="EYA116" s="89"/>
      <c r="EYB116" s="89"/>
      <c r="EYC116" s="94"/>
      <c r="EYD116" s="89"/>
      <c r="EYE116" s="89"/>
      <c r="EYF116" s="89"/>
      <c r="EYG116" s="89"/>
      <c r="EYH116" s="89"/>
      <c r="EYI116" s="89"/>
      <c r="EYJ116" s="89"/>
      <c r="EYK116" s="89"/>
      <c r="EYL116" s="89"/>
      <c r="EYM116" s="89"/>
      <c r="EYN116" s="94"/>
      <c r="EYO116" s="89"/>
      <c r="EYP116" s="89"/>
      <c r="EYQ116" s="89"/>
      <c r="EYR116" s="89"/>
      <c r="EYS116" s="89"/>
      <c r="EYT116" s="89"/>
      <c r="EYU116" s="89"/>
      <c r="EYV116" s="89"/>
      <c r="EYW116" s="89"/>
      <c r="EYX116" s="89"/>
      <c r="EYY116" s="89"/>
      <c r="EYZ116" s="89"/>
      <c r="EZA116" s="89"/>
      <c r="EZB116" s="89"/>
      <c r="EZC116" s="89"/>
      <c r="EZD116" s="89"/>
      <c r="EZE116" s="89"/>
      <c r="EZF116" s="89"/>
      <c r="EZG116" s="89"/>
      <c r="EZH116" s="89"/>
      <c r="EZI116" s="89"/>
      <c r="EZJ116" s="89"/>
      <c r="EZK116" s="89"/>
      <c r="EZL116" s="89"/>
      <c r="EZR116" s="89"/>
      <c r="EZS116" s="89"/>
      <c r="EZT116" s="89"/>
      <c r="EZU116" s="89"/>
      <c r="EZV116" s="89"/>
      <c r="EZW116" s="89"/>
      <c r="EZX116" s="89"/>
      <c r="EZY116" s="89"/>
      <c r="EZZ116" s="89"/>
      <c r="FAA116" s="89"/>
      <c r="FAB116" s="89"/>
      <c r="FAC116" s="89"/>
      <c r="FAD116" s="94"/>
      <c r="FAE116" s="89"/>
      <c r="FAF116" s="89"/>
      <c r="FAG116" s="89"/>
      <c r="FAH116" s="89"/>
      <c r="FAI116" s="89"/>
      <c r="FAJ116" s="94"/>
      <c r="FAK116" s="89"/>
      <c r="FAL116" s="89"/>
      <c r="FAM116" s="89"/>
      <c r="FAN116" s="89"/>
      <c r="FAO116" s="89"/>
      <c r="FAP116" s="89"/>
      <c r="FAQ116" s="89"/>
      <c r="FAR116" s="89"/>
      <c r="FAS116" s="89"/>
      <c r="FAT116" s="89"/>
      <c r="FAU116" s="94"/>
      <c r="FAV116" s="89"/>
      <c r="FAW116" s="89"/>
      <c r="FAX116" s="89"/>
      <c r="FAY116" s="89"/>
      <c r="FAZ116" s="89"/>
      <c r="FBA116" s="89"/>
      <c r="FBB116" s="89"/>
      <c r="FBC116" s="89"/>
      <c r="FBD116" s="89"/>
      <c r="FBE116" s="89"/>
      <c r="FBF116" s="89"/>
      <c r="FBG116" s="89"/>
      <c r="FBH116" s="89"/>
      <c r="FBI116" s="89"/>
      <c r="FBJ116" s="89"/>
      <c r="FBK116" s="89"/>
      <c r="FBL116" s="89"/>
      <c r="FBM116" s="89"/>
      <c r="FBN116" s="89"/>
      <c r="FBO116" s="89"/>
      <c r="FBP116" s="89"/>
      <c r="FBQ116" s="89"/>
      <c r="FBR116" s="89"/>
      <c r="FBS116" s="89"/>
      <c r="FBY116" s="89"/>
      <c r="FBZ116" s="89"/>
      <c r="FCA116" s="89"/>
      <c r="FCB116" s="89"/>
      <c r="FCC116" s="89"/>
      <c r="FCD116" s="89"/>
      <c r="FCE116" s="89"/>
      <c r="FCF116" s="89"/>
      <c r="FCG116" s="89"/>
      <c r="FCH116" s="89"/>
      <c r="FCI116" s="89"/>
      <c r="FCJ116" s="89"/>
      <c r="FCK116" s="94"/>
      <c r="FCL116" s="89"/>
      <c r="FCM116" s="89"/>
      <c r="FCN116" s="89"/>
      <c r="FCO116" s="89"/>
      <c r="FCP116" s="89"/>
      <c r="FCQ116" s="94"/>
      <c r="FCR116" s="89"/>
      <c r="FCS116" s="89"/>
      <c r="FCT116" s="89"/>
      <c r="FCU116" s="89"/>
      <c r="FCV116" s="89"/>
      <c r="FCW116" s="89"/>
      <c r="FCX116" s="89"/>
      <c r="FCY116" s="89"/>
      <c r="FCZ116" s="89"/>
      <c r="FDA116" s="89"/>
      <c r="FDB116" s="94"/>
      <c r="FDC116" s="89"/>
      <c r="FDD116" s="89"/>
      <c r="FDE116" s="89"/>
      <c r="FDF116" s="89"/>
      <c r="FDG116" s="89"/>
      <c r="FDH116" s="89"/>
      <c r="FDI116" s="89"/>
      <c r="FDJ116" s="89"/>
      <c r="FDK116" s="89"/>
      <c r="FDL116" s="89"/>
      <c r="FDM116" s="89"/>
      <c r="FDN116" s="89"/>
      <c r="FDO116" s="89"/>
      <c r="FDP116" s="89"/>
      <c r="FDQ116" s="89"/>
      <c r="FDR116" s="89"/>
      <c r="FDS116" s="89"/>
      <c r="FDT116" s="89"/>
      <c r="FDU116" s="89"/>
      <c r="FDV116" s="89"/>
      <c r="FDW116" s="89"/>
      <c r="FDX116" s="89"/>
      <c r="FDY116" s="89"/>
      <c r="FDZ116" s="89"/>
      <c r="FEF116" s="89"/>
      <c r="FEG116" s="89"/>
      <c r="FEH116" s="89"/>
      <c r="FEI116" s="89"/>
      <c r="FEJ116" s="89"/>
      <c r="FEK116" s="89"/>
      <c r="FEL116" s="89"/>
      <c r="FEM116" s="89"/>
      <c r="FEN116" s="89"/>
      <c r="FEO116" s="89"/>
      <c r="FEP116" s="89"/>
      <c r="FEQ116" s="89"/>
      <c r="FER116" s="94"/>
      <c r="FES116" s="89"/>
      <c r="FET116" s="89"/>
      <c r="FEU116" s="89"/>
      <c r="FEV116" s="89"/>
      <c r="FEW116" s="89"/>
      <c r="FEX116" s="94"/>
      <c r="FEY116" s="89"/>
      <c r="FEZ116" s="89"/>
      <c r="FFA116" s="89"/>
      <c r="FFB116" s="89"/>
      <c r="FFC116" s="89"/>
      <c r="FFD116" s="89"/>
      <c r="FFE116" s="89"/>
      <c r="FFF116" s="89"/>
      <c r="FFG116" s="89"/>
      <c r="FFH116" s="89"/>
      <c r="FFI116" s="94"/>
      <c r="FFJ116" s="89"/>
      <c r="FFK116" s="89"/>
      <c r="FFL116" s="89"/>
      <c r="FFM116" s="89"/>
      <c r="FFN116" s="89"/>
      <c r="FFO116" s="89"/>
      <c r="FFP116" s="89"/>
      <c r="FFQ116" s="89"/>
      <c r="FFR116" s="89"/>
      <c r="FFS116" s="89"/>
      <c r="FFT116" s="89"/>
      <c r="FFU116" s="89"/>
      <c r="FFV116" s="89"/>
      <c r="FFW116" s="89"/>
      <c r="FFX116" s="89"/>
      <c r="FFY116" s="89"/>
      <c r="FFZ116" s="89"/>
      <c r="FGA116" s="89"/>
      <c r="FGB116" s="89"/>
      <c r="FGC116" s="89"/>
      <c r="FGD116" s="89"/>
      <c r="FGE116" s="89"/>
      <c r="FGF116" s="89"/>
      <c r="FGG116" s="89"/>
      <c r="FGM116" s="89"/>
      <c r="FGN116" s="89"/>
      <c r="FGO116" s="89"/>
      <c r="FGP116" s="89"/>
      <c r="FGQ116" s="89"/>
      <c r="FGR116" s="89"/>
      <c r="FGS116" s="89"/>
      <c r="FGT116" s="89"/>
      <c r="FGU116" s="89"/>
      <c r="FGV116" s="89"/>
      <c r="FGW116" s="89"/>
      <c r="FGX116" s="89"/>
      <c r="FGY116" s="94"/>
      <c r="FGZ116" s="89"/>
      <c r="FHA116" s="89"/>
      <c r="FHB116" s="89"/>
      <c r="FHC116" s="89"/>
      <c r="FHD116" s="89"/>
      <c r="FHE116" s="94"/>
      <c r="FHF116" s="89"/>
      <c r="FHG116" s="89"/>
      <c r="FHH116" s="89"/>
      <c r="FHI116" s="89"/>
      <c r="FHJ116" s="89"/>
      <c r="FHK116" s="89"/>
      <c r="FHL116" s="89"/>
      <c r="FHM116" s="89"/>
      <c r="FHN116" s="89"/>
      <c r="FHO116" s="89"/>
      <c r="FHP116" s="94"/>
      <c r="FHQ116" s="89"/>
      <c r="FHR116" s="89"/>
      <c r="FHS116" s="89"/>
      <c r="FHT116" s="89"/>
      <c r="FHU116" s="89"/>
      <c r="FHV116" s="89"/>
      <c r="FHW116" s="89"/>
      <c r="FHX116" s="89"/>
      <c r="FHY116" s="89"/>
      <c r="FHZ116" s="89"/>
      <c r="FIA116" s="89"/>
      <c r="FIB116" s="89"/>
      <c r="FIC116" s="89"/>
      <c r="FID116" s="89"/>
      <c r="FIE116" s="89"/>
      <c r="FIF116" s="89"/>
      <c r="FIG116" s="89"/>
      <c r="FIH116" s="89"/>
      <c r="FII116" s="89"/>
      <c r="FIJ116" s="89"/>
      <c r="FIK116" s="89"/>
      <c r="FIL116" s="89"/>
      <c r="FIM116" s="89"/>
      <c r="FIN116" s="89"/>
      <c r="FIT116" s="89"/>
      <c r="FIU116" s="89"/>
      <c r="FIV116" s="89"/>
      <c r="FIW116" s="89"/>
      <c r="FIX116" s="89"/>
      <c r="FIY116" s="89"/>
      <c r="FIZ116" s="89"/>
      <c r="FJA116" s="89"/>
      <c r="FJB116" s="89"/>
      <c r="FJC116" s="89"/>
      <c r="FJD116" s="89"/>
      <c r="FJE116" s="89"/>
      <c r="FJF116" s="94"/>
      <c r="FJG116" s="89"/>
      <c r="FJH116" s="89"/>
      <c r="FJI116" s="89"/>
      <c r="FJJ116" s="89"/>
      <c r="FJK116" s="89"/>
      <c r="FJL116" s="94"/>
      <c r="FJM116" s="89"/>
      <c r="FJN116" s="89"/>
      <c r="FJO116" s="89"/>
      <c r="FJP116" s="89"/>
      <c r="FJQ116" s="89"/>
      <c r="FJR116" s="89"/>
      <c r="FJS116" s="89"/>
      <c r="FJT116" s="89"/>
      <c r="FJU116" s="89"/>
      <c r="FJV116" s="89"/>
      <c r="FJW116" s="94"/>
      <c r="FJX116" s="89"/>
      <c r="FJY116" s="89"/>
      <c r="FJZ116" s="89"/>
      <c r="FKA116" s="89"/>
      <c r="FKB116" s="89"/>
      <c r="FKC116" s="89"/>
      <c r="FKD116" s="89"/>
      <c r="FKE116" s="89"/>
      <c r="FKF116" s="89"/>
      <c r="FKG116" s="89"/>
      <c r="FKH116" s="89"/>
      <c r="FKI116" s="89"/>
      <c r="FKJ116" s="89"/>
      <c r="FKK116" s="89"/>
      <c r="FKL116" s="89"/>
      <c r="FKM116" s="89"/>
      <c r="FKN116" s="89"/>
      <c r="FKO116" s="89"/>
      <c r="FKP116" s="89"/>
      <c r="FKQ116" s="89"/>
      <c r="FKR116" s="89"/>
      <c r="FKS116" s="89"/>
      <c r="FKT116" s="89"/>
      <c r="FKU116" s="89"/>
      <c r="FLA116" s="89"/>
      <c r="FLB116" s="89"/>
      <c r="FLC116" s="89"/>
      <c r="FLD116" s="89"/>
      <c r="FLE116" s="89"/>
      <c r="FLF116" s="89"/>
      <c r="FLG116" s="89"/>
      <c r="FLH116" s="89"/>
      <c r="FLI116" s="89"/>
      <c r="FLJ116" s="89"/>
      <c r="FLK116" s="89"/>
      <c r="FLL116" s="89"/>
      <c r="FLM116" s="94"/>
      <c r="FLN116" s="89"/>
      <c r="FLO116" s="89"/>
      <c r="FLP116" s="89"/>
      <c r="FLQ116" s="89"/>
      <c r="FLR116" s="89"/>
      <c r="FLS116" s="94"/>
      <c r="FLT116" s="89"/>
      <c r="FLU116" s="89"/>
      <c r="FLV116" s="89"/>
      <c r="FLW116" s="89"/>
      <c r="FLX116" s="89"/>
      <c r="FLY116" s="89"/>
      <c r="FLZ116" s="89"/>
      <c r="FMA116" s="89"/>
      <c r="FMB116" s="89"/>
      <c r="FMC116" s="89"/>
      <c r="FMD116" s="94"/>
      <c r="FME116" s="89"/>
      <c r="FMF116" s="89"/>
      <c r="FMG116" s="89"/>
      <c r="FMH116" s="89"/>
      <c r="FMI116" s="89"/>
      <c r="FMJ116" s="89"/>
      <c r="FMK116" s="89"/>
      <c r="FML116" s="89"/>
      <c r="FMM116" s="89"/>
      <c r="FMN116" s="89"/>
      <c r="FMO116" s="89"/>
      <c r="FMP116" s="89"/>
      <c r="FMQ116" s="89"/>
      <c r="FMR116" s="89"/>
      <c r="FMS116" s="89"/>
      <c r="FMT116" s="89"/>
      <c r="FMU116" s="89"/>
      <c r="FMV116" s="89"/>
      <c r="FMW116" s="89"/>
      <c r="FMX116" s="89"/>
      <c r="FMY116" s="89"/>
      <c r="FMZ116" s="89"/>
      <c r="FNA116" s="89"/>
      <c r="FNB116" s="89"/>
      <c r="FNH116" s="89"/>
      <c r="FNI116" s="89"/>
      <c r="FNJ116" s="89"/>
      <c r="FNK116" s="89"/>
      <c r="FNL116" s="89"/>
      <c r="FNM116" s="89"/>
      <c r="FNN116" s="89"/>
      <c r="FNO116" s="89"/>
      <c r="FNP116" s="89"/>
      <c r="FNQ116" s="89"/>
      <c r="FNR116" s="89"/>
      <c r="FNS116" s="89"/>
      <c r="FNT116" s="94"/>
      <c r="FNU116" s="89"/>
      <c r="FNV116" s="89"/>
      <c r="FNW116" s="89"/>
      <c r="FNX116" s="89"/>
      <c r="FNY116" s="89"/>
      <c r="FNZ116" s="94"/>
      <c r="FOA116" s="89"/>
      <c r="FOB116" s="89"/>
      <c r="FOC116" s="89"/>
      <c r="FOD116" s="89"/>
      <c r="FOE116" s="89"/>
      <c r="FOF116" s="89"/>
      <c r="FOG116" s="89"/>
      <c r="FOH116" s="89"/>
      <c r="FOI116" s="89"/>
      <c r="FOJ116" s="89"/>
      <c r="FOK116" s="94"/>
      <c r="FOL116" s="89"/>
      <c r="FOM116" s="89"/>
      <c r="FON116" s="89"/>
      <c r="FOO116" s="89"/>
      <c r="FOP116" s="89"/>
      <c r="FOQ116" s="89"/>
      <c r="FOR116" s="89"/>
      <c r="FOS116" s="89"/>
      <c r="FOT116" s="89"/>
      <c r="FOU116" s="89"/>
      <c r="FOV116" s="89"/>
      <c r="FOW116" s="89"/>
      <c r="FOX116" s="89"/>
      <c r="FOY116" s="89"/>
      <c r="FOZ116" s="89"/>
      <c r="FPA116" s="89"/>
      <c r="FPB116" s="89"/>
      <c r="FPC116" s="89"/>
      <c r="FPD116" s="89"/>
      <c r="FPE116" s="89"/>
      <c r="FPF116" s="89"/>
      <c r="FPG116" s="89"/>
      <c r="FPH116" s="89"/>
      <c r="FPI116" s="89"/>
      <c r="FPO116" s="89"/>
      <c r="FPP116" s="89"/>
      <c r="FPQ116" s="89"/>
      <c r="FPR116" s="89"/>
      <c r="FPS116" s="89"/>
      <c r="FPT116" s="89"/>
      <c r="FPU116" s="89"/>
      <c r="FPV116" s="89"/>
      <c r="FPW116" s="89"/>
      <c r="FPX116" s="89"/>
      <c r="FPY116" s="89"/>
      <c r="FPZ116" s="89"/>
      <c r="FQA116" s="94"/>
      <c r="FQB116" s="89"/>
      <c r="FQC116" s="89"/>
      <c r="FQD116" s="89"/>
      <c r="FQE116" s="89"/>
      <c r="FQF116" s="89"/>
      <c r="FQG116" s="94"/>
      <c r="FQH116" s="89"/>
      <c r="FQI116" s="89"/>
      <c r="FQJ116" s="89"/>
      <c r="FQK116" s="89"/>
      <c r="FQL116" s="89"/>
      <c r="FQM116" s="89"/>
      <c r="FQN116" s="89"/>
      <c r="FQO116" s="89"/>
      <c r="FQP116" s="89"/>
      <c r="FQQ116" s="89"/>
      <c r="FQR116" s="94"/>
      <c r="FQS116" s="89"/>
      <c r="FQT116" s="89"/>
      <c r="FQU116" s="89"/>
      <c r="FQV116" s="89"/>
      <c r="FQW116" s="89"/>
      <c r="FQX116" s="89"/>
      <c r="FQY116" s="89"/>
      <c r="FQZ116" s="89"/>
      <c r="FRA116" s="89"/>
      <c r="FRB116" s="89"/>
      <c r="FRC116" s="89"/>
      <c r="FRD116" s="89"/>
      <c r="FRE116" s="89"/>
      <c r="FRF116" s="89"/>
      <c r="FRG116" s="89"/>
      <c r="FRH116" s="89"/>
      <c r="FRI116" s="89"/>
      <c r="FRJ116" s="89"/>
      <c r="FRK116" s="89"/>
      <c r="FRL116" s="89"/>
      <c r="FRM116" s="89"/>
      <c r="FRN116" s="89"/>
      <c r="FRO116" s="89"/>
      <c r="FRP116" s="89"/>
      <c r="FRV116" s="89"/>
      <c r="FRW116" s="89"/>
      <c r="FRX116" s="89"/>
      <c r="FRY116" s="89"/>
      <c r="FRZ116" s="89"/>
      <c r="FSA116" s="89"/>
      <c r="FSB116" s="89"/>
      <c r="FSC116" s="89"/>
      <c r="FSD116" s="89"/>
      <c r="FSE116" s="89"/>
      <c r="FSF116" s="89"/>
      <c r="FSG116" s="89"/>
      <c r="FSH116" s="94"/>
      <c r="FSI116" s="89"/>
      <c r="FSJ116" s="89"/>
      <c r="FSK116" s="89"/>
      <c r="FSL116" s="89"/>
      <c r="FSM116" s="89"/>
      <c r="FSN116" s="94"/>
      <c r="FSO116" s="89"/>
      <c r="FSP116" s="89"/>
      <c r="FSQ116" s="89"/>
      <c r="FSR116" s="89"/>
      <c r="FSS116" s="89"/>
      <c r="FST116" s="89"/>
      <c r="FSU116" s="89"/>
      <c r="FSV116" s="89"/>
      <c r="FSW116" s="89"/>
      <c r="FSX116" s="89"/>
      <c r="FSY116" s="94"/>
      <c r="FSZ116" s="89"/>
      <c r="FTA116" s="89"/>
      <c r="FTB116" s="89"/>
      <c r="FTC116" s="89"/>
      <c r="FTD116" s="89"/>
      <c r="FTE116" s="89"/>
      <c r="FTF116" s="89"/>
      <c r="FTG116" s="89"/>
      <c r="FTH116" s="89"/>
      <c r="FTI116" s="89"/>
      <c r="FTJ116" s="89"/>
      <c r="FTK116" s="89"/>
      <c r="FTL116" s="89"/>
      <c r="FTM116" s="89"/>
      <c r="FTN116" s="89"/>
      <c r="FTO116" s="89"/>
      <c r="FTP116" s="89"/>
      <c r="FTQ116" s="89"/>
      <c r="FTR116" s="89"/>
      <c r="FTS116" s="89"/>
      <c r="FTT116" s="89"/>
      <c r="FTU116" s="89"/>
      <c r="FTV116" s="89"/>
      <c r="FTW116" s="89"/>
      <c r="FUC116" s="89"/>
      <c r="FUD116" s="89"/>
      <c r="FUE116" s="89"/>
      <c r="FUF116" s="89"/>
      <c r="FUG116" s="89"/>
      <c r="FUH116" s="89"/>
      <c r="FUI116" s="89"/>
      <c r="FUJ116" s="89"/>
      <c r="FUK116" s="89"/>
      <c r="FUL116" s="89"/>
      <c r="FUM116" s="89"/>
      <c r="FUN116" s="89"/>
      <c r="FUO116" s="94"/>
      <c r="FUP116" s="89"/>
      <c r="FUQ116" s="89"/>
      <c r="FUR116" s="89"/>
      <c r="FUS116" s="89"/>
      <c r="FUT116" s="89"/>
      <c r="FUU116" s="94"/>
      <c r="FUV116" s="89"/>
      <c r="FUW116" s="89"/>
      <c r="FUX116" s="89"/>
      <c r="FUY116" s="89"/>
      <c r="FUZ116" s="89"/>
      <c r="FVA116" s="89"/>
      <c r="FVB116" s="89"/>
      <c r="FVC116" s="89"/>
      <c r="FVD116" s="89"/>
      <c r="FVE116" s="89"/>
      <c r="FVF116" s="94"/>
      <c r="FVG116" s="89"/>
      <c r="FVH116" s="89"/>
      <c r="FVI116" s="89"/>
      <c r="FVJ116" s="89"/>
      <c r="FVK116" s="89"/>
      <c r="FVL116" s="89"/>
      <c r="FVM116" s="89"/>
      <c r="FVN116" s="89"/>
      <c r="FVO116" s="89"/>
      <c r="FVP116" s="89"/>
      <c r="FVQ116" s="89"/>
      <c r="FVR116" s="89"/>
      <c r="FVS116" s="89"/>
      <c r="FVT116" s="89"/>
      <c r="FVU116" s="89"/>
      <c r="FVV116" s="89"/>
      <c r="FVW116" s="89"/>
      <c r="FVX116" s="89"/>
      <c r="FVY116" s="89"/>
      <c r="FVZ116" s="89"/>
      <c r="FWA116" s="89"/>
      <c r="FWB116" s="89"/>
      <c r="FWC116" s="89"/>
      <c r="FWD116" s="89"/>
      <c r="FWJ116" s="89"/>
      <c r="FWK116" s="89"/>
      <c r="FWL116" s="89"/>
      <c r="FWM116" s="89"/>
      <c r="FWN116" s="89"/>
      <c r="FWO116" s="89"/>
      <c r="FWP116" s="89"/>
      <c r="FWQ116" s="89"/>
      <c r="FWR116" s="89"/>
      <c r="FWS116" s="89"/>
      <c r="FWT116" s="89"/>
      <c r="FWU116" s="89"/>
      <c r="FWV116" s="94"/>
      <c r="FWW116" s="89"/>
      <c r="FWX116" s="89"/>
      <c r="FWY116" s="89"/>
      <c r="FWZ116" s="89"/>
      <c r="FXA116" s="89"/>
      <c r="FXB116" s="94"/>
      <c r="FXC116" s="89"/>
      <c r="FXD116" s="89"/>
      <c r="FXE116" s="89"/>
      <c r="FXF116" s="89"/>
      <c r="FXG116" s="89"/>
      <c r="FXH116" s="89"/>
      <c r="FXI116" s="89"/>
      <c r="FXJ116" s="89"/>
      <c r="FXK116" s="89"/>
      <c r="FXL116" s="89"/>
      <c r="FXM116" s="94"/>
      <c r="FXN116" s="89"/>
      <c r="FXO116" s="89"/>
      <c r="FXP116" s="89"/>
      <c r="FXQ116" s="89"/>
      <c r="FXR116" s="89"/>
      <c r="FXS116" s="89"/>
      <c r="FXT116" s="89"/>
      <c r="FXU116" s="89"/>
      <c r="FXV116" s="89"/>
      <c r="FXW116" s="89"/>
      <c r="FXX116" s="89"/>
      <c r="FXY116" s="89"/>
      <c r="FXZ116" s="89"/>
      <c r="FYA116" s="89"/>
      <c r="FYB116" s="89"/>
      <c r="FYC116" s="89"/>
      <c r="FYD116" s="89"/>
      <c r="FYE116" s="89"/>
      <c r="FYF116" s="89"/>
      <c r="FYG116" s="89"/>
      <c r="FYH116" s="89"/>
      <c r="FYI116" s="89"/>
      <c r="FYJ116" s="89"/>
      <c r="FYK116" s="89"/>
      <c r="FYQ116" s="89"/>
      <c r="FYR116" s="89"/>
      <c r="FYS116" s="89"/>
      <c r="FYT116" s="89"/>
      <c r="FYU116" s="89"/>
      <c r="FYV116" s="89"/>
      <c r="FYW116" s="89"/>
      <c r="FYX116" s="89"/>
      <c r="FYY116" s="89"/>
      <c r="FYZ116" s="89"/>
      <c r="FZA116" s="89"/>
      <c r="FZB116" s="89"/>
      <c r="FZC116" s="94"/>
      <c r="FZD116" s="89"/>
      <c r="FZE116" s="89"/>
      <c r="FZF116" s="89"/>
      <c r="FZG116" s="89"/>
      <c r="FZH116" s="89"/>
      <c r="FZI116" s="94"/>
      <c r="FZJ116" s="89"/>
      <c r="FZK116" s="89"/>
      <c r="FZL116" s="89"/>
      <c r="FZM116" s="89"/>
      <c r="FZN116" s="89"/>
      <c r="FZO116" s="89"/>
      <c r="FZP116" s="89"/>
      <c r="FZQ116" s="89"/>
      <c r="FZR116" s="89"/>
      <c r="FZS116" s="89"/>
      <c r="FZT116" s="94"/>
      <c r="FZU116" s="89"/>
      <c r="FZV116" s="89"/>
      <c r="FZW116" s="89"/>
      <c r="FZX116" s="89"/>
      <c r="FZY116" s="89"/>
      <c r="FZZ116" s="89"/>
      <c r="GAA116" s="89"/>
      <c r="GAB116" s="89"/>
      <c r="GAC116" s="89"/>
      <c r="GAD116" s="89"/>
      <c r="GAE116" s="89"/>
      <c r="GAF116" s="89"/>
      <c r="GAG116" s="89"/>
      <c r="GAH116" s="89"/>
      <c r="GAI116" s="89"/>
      <c r="GAJ116" s="89"/>
      <c r="GAK116" s="89"/>
      <c r="GAL116" s="89"/>
      <c r="GAM116" s="89"/>
      <c r="GAN116" s="89"/>
      <c r="GAO116" s="89"/>
      <c r="GAP116" s="89"/>
      <c r="GAQ116" s="89"/>
      <c r="GAR116" s="89"/>
      <c r="GAX116" s="89"/>
      <c r="GAY116" s="89"/>
      <c r="GAZ116" s="89"/>
      <c r="GBA116" s="89"/>
      <c r="GBB116" s="89"/>
      <c r="GBC116" s="89"/>
      <c r="GBD116" s="89"/>
      <c r="GBE116" s="89"/>
      <c r="GBF116" s="89"/>
      <c r="GBG116" s="89"/>
      <c r="GBH116" s="89"/>
      <c r="GBI116" s="89"/>
      <c r="GBJ116" s="94"/>
      <c r="GBK116" s="89"/>
      <c r="GBL116" s="89"/>
      <c r="GBM116" s="89"/>
      <c r="GBN116" s="89"/>
      <c r="GBO116" s="89"/>
      <c r="GBP116" s="94"/>
      <c r="GBQ116" s="89"/>
      <c r="GBR116" s="89"/>
      <c r="GBS116" s="89"/>
      <c r="GBT116" s="89"/>
      <c r="GBU116" s="89"/>
      <c r="GBV116" s="89"/>
      <c r="GBW116" s="89"/>
      <c r="GBX116" s="89"/>
      <c r="GBY116" s="89"/>
      <c r="GBZ116" s="89"/>
      <c r="GCA116" s="94"/>
      <c r="GCB116" s="89"/>
      <c r="GCC116" s="89"/>
      <c r="GCD116" s="89"/>
      <c r="GCE116" s="89"/>
      <c r="GCF116" s="89"/>
      <c r="GCG116" s="89"/>
      <c r="GCH116" s="89"/>
      <c r="GCI116" s="89"/>
      <c r="GCJ116" s="89"/>
      <c r="GCK116" s="89"/>
      <c r="GCL116" s="89"/>
      <c r="GCM116" s="89"/>
      <c r="GCN116" s="89"/>
      <c r="GCO116" s="89"/>
      <c r="GCP116" s="89"/>
      <c r="GCQ116" s="89"/>
      <c r="GCR116" s="89"/>
      <c r="GCS116" s="89"/>
      <c r="GCT116" s="89"/>
      <c r="GCU116" s="89"/>
      <c r="GCV116" s="89"/>
      <c r="GCW116" s="89"/>
      <c r="GCX116" s="89"/>
      <c r="GCY116" s="89"/>
      <c r="GDE116" s="89"/>
      <c r="GDF116" s="89"/>
      <c r="GDG116" s="89"/>
      <c r="GDH116" s="89"/>
      <c r="GDI116" s="89"/>
      <c r="GDJ116" s="89"/>
      <c r="GDK116" s="89"/>
      <c r="GDL116" s="89"/>
      <c r="GDM116" s="89"/>
      <c r="GDN116" s="89"/>
      <c r="GDO116" s="89"/>
      <c r="GDP116" s="89"/>
      <c r="GDQ116" s="94"/>
      <c r="GDR116" s="89"/>
      <c r="GDS116" s="89"/>
      <c r="GDT116" s="89"/>
      <c r="GDU116" s="89"/>
      <c r="GDV116" s="89"/>
      <c r="GDW116" s="94"/>
      <c r="GDX116" s="89"/>
      <c r="GDY116" s="89"/>
      <c r="GDZ116" s="89"/>
      <c r="GEA116" s="89"/>
      <c r="GEB116" s="89"/>
      <c r="GEC116" s="89"/>
      <c r="GED116" s="89"/>
      <c r="GEE116" s="89"/>
      <c r="GEF116" s="89"/>
      <c r="GEG116" s="89"/>
      <c r="GEH116" s="94"/>
      <c r="GEI116" s="89"/>
      <c r="GEJ116" s="89"/>
      <c r="GEK116" s="89"/>
      <c r="GEL116" s="89"/>
      <c r="GEM116" s="89"/>
      <c r="GEN116" s="89"/>
      <c r="GEO116" s="89"/>
      <c r="GEP116" s="89"/>
      <c r="GEQ116" s="89"/>
      <c r="GER116" s="89"/>
      <c r="GES116" s="89"/>
      <c r="GET116" s="89"/>
      <c r="GEU116" s="89"/>
      <c r="GEV116" s="89"/>
      <c r="GEW116" s="89"/>
      <c r="GEX116" s="89"/>
      <c r="GEY116" s="89"/>
      <c r="GEZ116" s="89"/>
      <c r="GFA116" s="89"/>
      <c r="GFB116" s="89"/>
      <c r="GFC116" s="89"/>
      <c r="GFD116" s="89"/>
      <c r="GFE116" s="89"/>
      <c r="GFF116" s="89"/>
      <c r="GFL116" s="89"/>
      <c r="GFM116" s="89"/>
      <c r="GFN116" s="89"/>
      <c r="GFO116" s="89"/>
      <c r="GFP116" s="89"/>
      <c r="GFQ116" s="89"/>
      <c r="GFR116" s="89"/>
      <c r="GFS116" s="89"/>
      <c r="GFT116" s="89"/>
      <c r="GFU116" s="89"/>
      <c r="GFV116" s="89"/>
      <c r="GFW116" s="89"/>
      <c r="GFX116" s="94"/>
      <c r="GFY116" s="89"/>
      <c r="GFZ116" s="89"/>
      <c r="GGA116" s="89"/>
      <c r="GGB116" s="89"/>
      <c r="GGC116" s="89"/>
      <c r="GGD116" s="94"/>
      <c r="GGE116" s="89"/>
      <c r="GGF116" s="89"/>
      <c r="GGG116" s="89"/>
      <c r="GGH116" s="89"/>
      <c r="GGI116" s="89"/>
      <c r="GGJ116" s="89"/>
      <c r="GGK116" s="89"/>
      <c r="GGL116" s="89"/>
      <c r="GGM116" s="89"/>
      <c r="GGN116" s="89"/>
      <c r="GGO116" s="94"/>
      <c r="GGP116" s="89"/>
      <c r="GGQ116" s="89"/>
      <c r="GGR116" s="89"/>
      <c r="GGS116" s="89"/>
      <c r="GGT116" s="89"/>
      <c r="GGU116" s="89"/>
      <c r="GGV116" s="89"/>
      <c r="GGW116" s="89"/>
      <c r="GGX116" s="89"/>
      <c r="GGY116" s="89"/>
      <c r="GGZ116" s="89"/>
      <c r="GHA116" s="89"/>
      <c r="GHB116" s="89"/>
      <c r="GHC116" s="89"/>
      <c r="GHD116" s="89"/>
      <c r="GHE116" s="89"/>
      <c r="GHF116" s="89"/>
      <c r="GHG116" s="89"/>
      <c r="GHH116" s="89"/>
      <c r="GHI116" s="89"/>
      <c r="GHJ116" s="89"/>
      <c r="GHK116" s="89"/>
      <c r="GHL116" s="89"/>
      <c r="GHM116" s="89"/>
      <c r="GHS116" s="89"/>
      <c r="GHT116" s="89"/>
      <c r="GHU116" s="89"/>
      <c r="GHV116" s="89"/>
      <c r="GHW116" s="89"/>
      <c r="GHX116" s="89"/>
      <c r="GHY116" s="89"/>
      <c r="GHZ116" s="89"/>
      <c r="GIA116" s="89"/>
      <c r="GIB116" s="89"/>
      <c r="GIC116" s="89"/>
      <c r="GID116" s="89"/>
      <c r="GIE116" s="94"/>
      <c r="GIF116" s="89"/>
      <c r="GIG116" s="89"/>
      <c r="GIH116" s="89"/>
      <c r="GII116" s="89"/>
      <c r="GIJ116" s="89"/>
      <c r="GIK116" s="94"/>
      <c r="GIL116" s="89"/>
      <c r="GIM116" s="89"/>
      <c r="GIN116" s="89"/>
      <c r="GIO116" s="89"/>
      <c r="GIP116" s="89"/>
      <c r="GIQ116" s="89"/>
      <c r="GIR116" s="89"/>
      <c r="GIS116" s="89"/>
      <c r="GIT116" s="89"/>
      <c r="GIU116" s="89"/>
      <c r="GIV116" s="94"/>
      <c r="GIW116" s="89"/>
      <c r="GIX116" s="89"/>
      <c r="GIY116" s="89"/>
      <c r="GIZ116" s="89"/>
      <c r="GJA116" s="89"/>
      <c r="GJB116" s="89"/>
      <c r="GJC116" s="89"/>
      <c r="GJD116" s="89"/>
      <c r="GJE116" s="89"/>
      <c r="GJF116" s="89"/>
      <c r="GJG116" s="89"/>
      <c r="GJH116" s="89"/>
      <c r="GJI116" s="89"/>
      <c r="GJJ116" s="89"/>
      <c r="GJK116" s="89"/>
      <c r="GJL116" s="89"/>
      <c r="GJM116" s="89"/>
      <c r="GJN116" s="89"/>
      <c r="GJO116" s="89"/>
      <c r="GJP116" s="89"/>
      <c r="GJQ116" s="89"/>
      <c r="GJR116" s="89"/>
      <c r="GJS116" s="89"/>
      <c r="GJT116" s="89"/>
      <c r="GJZ116" s="89"/>
      <c r="GKA116" s="89"/>
      <c r="GKB116" s="89"/>
      <c r="GKC116" s="89"/>
      <c r="GKD116" s="89"/>
      <c r="GKE116" s="89"/>
      <c r="GKF116" s="89"/>
      <c r="GKG116" s="89"/>
      <c r="GKH116" s="89"/>
      <c r="GKI116" s="89"/>
      <c r="GKJ116" s="89"/>
      <c r="GKK116" s="89"/>
      <c r="GKL116" s="94"/>
      <c r="GKM116" s="89"/>
      <c r="GKN116" s="89"/>
      <c r="GKO116" s="89"/>
      <c r="GKP116" s="89"/>
      <c r="GKQ116" s="89"/>
      <c r="GKR116" s="94"/>
      <c r="GKS116" s="89"/>
      <c r="GKT116" s="89"/>
      <c r="GKU116" s="89"/>
      <c r="GKV116" s="89"/>
      <c r="GKW116" s="89"/>
      <c r="GKX116" s="89"/>
      <c r="GKY116" s="89"/>
      <c r="GKZ116" s="89"/>
      <c r="GLA116" s="89"/>
      <c r="GLB116" s="89"/>
      <c r="GLC116" s="94"/>
      <c r="GLD116" s="89"/>
      <c r="GLE116" s="89"/>
      <c r="GLF116" s="89"/>
      <c r="GLG116" s="89"/>
      <c r="GLH116" s="89"/>
      <c r="GLI116" s="89"/>
      <c r="GLJ116" s="89"/>
      <c r="GLK116" s="89"/>
      <c r="GLL116" s="89"/>
      <c r="GLM116" s="89"/>
      <c r="GLN116" s="89"/>
      <c r="GLO116" s="89"/>
      <c r="GLP116" s="89"/>
      <c r="GLQ116" s="89"/>
      <c r="GLR116" s="89"/>
      <c r="GLS116" s="89"/>
      <c r="GLT116" s="89"/>
      <c r="GLU116" s="89"/>
      <c r="GLV116" s="89"/>
      <c r="GLW116" s="89"/>
      <c r="GLX116" s="89"/>
      <c r="GLY116" s="89"/>
      <c r="GLZ116" s="89"/>
      <c r="GMA116" s="89"/>
      <c r="GMG116" s="89"/>
      <c r="GMH116" s="89"/>
      <c r="GMI116" s="89"/>
      <c r="GMJ116" s="89"/>
      <c r="GMK116" s="89"/>
      <c r="GML116" s="89"/>
      <c r="GMM116" s="89"/>
      <c r="GMN116" s="89"/>
      <c r="GMO116" s="89"/>
      <c r="GMP116" s="89"/>
      <c r="GMQ116" s="89"/>
      <c r="GMR116" s="89"/>
      <c r="GMS116" s="94"/>
      <c r="GMT116" s="89"/>
      <c r="GMU116" s="89"/>
      <c r="GMV116" s="89"/>
      <c r="GMW116" s="89"/>
      <c r="GMX116" s="89"/>
      <c r="GMY116" s="94"/>
      <c r="GMZ116" s="89"/>
      <c r="GNA116" s="89"/>
      <c r="GNB116" s="89"/>
      <c r="GNC116" s="89"/>
      <c r="GND116" s="89"/>
      <c r="GNE116" s="89"/>
      <c r="GNF116" s="89"/>
      <c r="GNG116" s="89"/>
      <c r="GNH116" s="89"/>
      <c r="GNI116" s="89"/>
      <c r="GNJ116" s="94"/>
      <c r="GNK116" s="89"/>
      <c r="GNL116" s="89"/>
      <c r="GNM116" s="89"/>
      <c r="GNN116" s="89"/>
      <c r="GNO116" s="89"/>
      <c r="GNP116" s="89"/>
      <c r="GNQ116" s="89"/>
      <c r="GNR116" s="89"/>
      <c r="GNS116" s="89"/>
      <c r="GNT116" s="89"/>
      <c r="GNU116" s="89"/>
      <c r="GNV116" s="89"/>
      <c r="GNW116" s="89"/>
      <c r="GNX116" s="89"/>
      <c r="GNY116" s="89"/>
      <c r="GNZ116" s="89"/>
      <c r="GOA116" s="89"/>
      <c r="GOB116" s="89"/>
      <c r="GOC116" s="89"/>
      <c r="GOD116" s="89"/>
      <c r="GOE116" s="89"/>
      <c r="GOF116" s="89"/>
      <c r="GOG116" s="89"/>
      <c r="GOH116" s="89"/>
      <c r="GON116" s="89"/>
      <c r="GOO116" s="89"/>
      <c r="GOP116" s="89"/>
      <c r="GOQ116" s="89"/>
      <c r="GOR116" s="89"/>
      <c r="GOS116" s="89"/>
      <c r="GOT116" s="89"/>
      <c r="GOU116" s="89"/>
      <c r="GOV116" s="89"/>
      <c r="GOW116" s="89"/>
      <c r="GOX116" s="89"/>
      <c r="GOY116" s="89"/>
      <c r="GOZ116" s="94"/>
      <c r="GPA116" s="89"/>
      <c r="GPB116" s="89"/>
      <c r="GPC116" s="89"/>
      <c r="GPD116" s="89"/>
      <c r="GPE116" s="89"/>
      <c r="GPF116" s="94"/>
      <c r="GPG116" s="89"/>
      <c r="GPH116" s="89"/>
      <c r="GPI116" s="89"/>
      <c r="GPJ116" s="89"/>
      <c r="GPK116" s="89"/>
      <c r="GPL116" s="89"/>
      <c r="GPM116" s="89"/>
      <c r="GPN116" s="89"/>
      <c r="GPO116" s="89"/>
      <c r="GPP116" s="89"/>
      <c r="GPQ116" s="94"/>
      <c r="GPR116" s="89"/>
      <c r="GPS116" s="89"/>
      <c r="GPT116" s="89"/>
      <c r="GPU116" s="89"/>
      <c r="GPV116" s="89"/>
      <c r="GPW116" s="89"/>
      <c r="GPX116" s="89"/>
      <c r="GPY116" s="89"/>
      <c r="GPZ116" s="89"/>
      <c r="GQA116" s="89"/>
      <c r="GQB116" s="89"/>
      <c r="GQC116" s="89"/>
      <c r="GQD116" s="89"/>
      <c r="GQE116" s="89"/>
      <c r="GQF116" s="89"/>
      <c r="GQG116" s="89"/>
      <c r="GQH116" s="89"/>
      <c r="GQI116" s="89"/>
      <c r="GQJ116" s="89"/>
      <c r="GQK116" s="89"/>
      <c r="GQL116" s="89"/>
      <c r="GQM116" s="89"/>
      <c r="GQN116" s="89"/>
      <c r="GQO116" s="89"/>
      <c r="GQU116" s="89"/>
      <c r="GQV116" s="89"/>
      <c r="GQW116" s="89"/>
      <c r="GQX116" s="89"/>
      <c r="GQY116" s="89"/>
      <c r="GQZ116" s="89"/>
      <c r="GRA116" s="89"/>
      <c r="GRB116" s="89"/>
      <c r="GRC116" s="89"/>
      <c r="GRD116" s="89"/>
      <c r="GRE116" s="89"/>
      <c r="GRF116" s="89"/>
      <c r="GRG116" s="94"/>
      <c r="GRH116" s="89"/>
      <c r="GRI116" s="89"/>
      <c r="GRJ116" s="89"/>
      <c r="GRK116" s="89"/>
      <c r="GRL116" s="89"/>
      <c r="GRM116" s="94"/>
      <c r="GRN116" s="89"/>
      <c r="GRO116" s="89"/>
      <c r="GRP116" s="89"/>
      <c r="GRQ116" s="89"/>
      <c r="GRR116" s="89"/>
      <c r="GRS116" s="89"/>
      <c r="GRT116" s="89"/>
      <c r="GRU116" s="89"/>
      <c r="GRV116" s="89"/>
      <c r="GRW116" s="89"/>
      <c r="GRX116" s="94"/>
      <c r="GRY116" s="89"/>
      <c r="GRZ116" s="89"/>
      <c r="GSA116" s="89"/>
      <c r="GSB116" s="89"/>
      <c r="GSC116" s="89"/>
      <c r="GSD116" s="89"/>
      <c r="GSE116" s="89"/>
      <c r="GSF116" s="89"/>
      <c r="GSG116" s="89"/>
      <c r="GSH116" s="89"/>
      <c r="GSI116" s="89"/>
      <c r="GSJ116" s="89"/>
      <c r="GSK116" s="89"/>
      <c r="GSL116" s="89"/>
      <c r="GSM116" s="89"/>
      <c r="GSN116" s="89"/>
      <c r="GSO116" s="89"/>
      <c r="GSP116" s="89"/>
      <c r="GSQ116" s="89"/>
      <c r="GSR116" s="89"/>
      <c r="GSS116" s="89"/>
      <c r="GST116" s="89"/>
      <c r="GSU116" s="89"/>
      <c r="GSV116" s="89"/>
      <c r="GTB116" s="89"/>
      <c r="GTC116" s="89"/>
      <c r="GTD116" s="89"/>
      <c r="GTE116" s="89"/>
      <c r="GTF116" s="89"/>
      <c r="GTG116" s="89"/>
      <c r="GTH116" s="89"/>
      <c r="GTI116" s="89"/>
      <c r="GTJ116" s="89"/>
      <c r="GTK116" s="89"/>
      <c r="GTL116" s="89"/>
      <c r="GTM116" s="89"/>
      <c r="GTN116" s="94"/>
      <c r="GTO116" s="89"/>
      <c r="GTP116" s="89"/>
      <c r="GTQ116" s="89"/>
      <c r="GTR116" s="89"/>
      <c r="GTS116" s="89"/>
      <c r="GTT116" s="94"/>
      <c r="GTU116" s="89"/>
      <c r="GTV116" s="89"/>
      <c r="GTW116" s="89"/>
      <c r="GTX116" s="89"/>
      <c r="GTY116" s="89"/>
      <c r="GTZ116" s="89"/>
      <c r="GUA116" s="89"/>
      <c r="GUB116" s="89"/>
      <c r="GUC116" s="89"/>
      <c r="GUD116" s="89"/>
      <c r="GUE116" s="94"/>
      <c r="GUF116" s="89"/>
      <c r="GUG116" s="89"/>
      <c r="GUH116" s="89"/>
      <c r="GUI116" s="89"/>
      <c r="GUJ116" s="89"/>
      <c r="GUK116" s="89"/>
      <c r="GUL116" s="89"/>
      <c r="GUM116" s="89"/>
      <c r="GUN116" s="89"/>
      <c r="GUO116" s="89"/>
      <c r="GUP116" s="89"/>
      <c r="GUQ116" s="89"/>
      <c r="GUR116" s="89"/>
      <c r="GUS116" s="89"/>
      <c r="GUT116" s="89"/>
      <c r="GUU116" s="89"/>
      <c r="GUV116" s="89"/>
      <c r="GUW116" s="89"/>
      <c r="GUX116" s="89"/>
      <c r="GUY116" s="89"/>
      <c r="GUZ116" s="89"/>
      <c r="GVA116" s="89"/>
      <c r="GVB116" s="89"/>
      <c r="GVC116" s="89"/>
      <c r="GVI116" s="89"/>
      <c r="GVJ116" s="89"/>
      <c r="GVK116" s="89"/>
      <c r="GVL116" s="89"/>
      <c r="GVM116" s="89"/>
      <c r="GVN116" s="89"/>
      <c r="GVO116" s="89"/>
      <c r="GVP116" s="89"/>
      <c r="GVQ116" s="89"/>
      <c r="GVR116" s="89"/>
      <c r="GVS116" s="89"/>
      <c r="GVT116" s="89"/>
      <c r="GVU116" s="94"/>
      <c r="GVV116" s="89"/>
      <c r="GVW116" s="89"/>
      <c r="GVX116" s="89"/>
      <c r="GVY116" s="89"/>
      <c r="GVZ116" s="89"/>
      <c r="GWA116" s="94"/>
      <c r="GWB116" s="89"/>
      <c r="GWC116" s="89"/>
      <c r="GWD116" s="89"/>
      <c r="GWE116" s="89"/>
      <c r="GWF116" s="89"/>
      <c r="GWG116" s="89"/>
      <c r="GWH116" s="89"/>
      <c r="GWI116" s="89"/>
      <c r="GWJ116" s="89"/>
      <c r="GWK116" s="89"/>
      <c r="GWL116" s="94"/>
      <c r="GWM116" s="89"/>
      <c r="GWN116" s="89"/>
      <c r="GWO116" s="89"/>
      <c r="GWP116" s="89"/>
      <c r="GWQ116" s="89"/>
      <c r="GWR116" s="89"/>
      <c r="GWS116" s="89"/>
      <c r="GWT116" s="89"/>
      <c r="GWU116" s="89"/>
      <c r="GWV116" s="89"/>
      <c r="GWW116" s="89"/>
      <c r="GWX116" s="89"/>
      <c r="GWY116" s="89"/>
      <c r="GWZ116" s="89"/>
      <c r="GXA116" s="89"/>
      <c r="GXB116" s="89"/>
      <c r="GXC116" s="89"/>
      <c r="GXD116" s="89"/>
      <c r="GXE116" s="89"/>
      <c r="GXF116" s="89"/>
      <c r="GXG116" s="89"/>
      <c r="GXH116" s="89"/>
      <c r="GXI116" s="89"/>
      <c r="GXJ116" s="89"/>
      <c r="GXP116" s="89"/>
      <c r="GXQ116" s="89"/>
      <c r="GXR116" s="89"/>
      <c r="GXS116" s="89"/>
      <c r="GXT116" s="89"/>
      <c r="GXU116" s="89"/>
      <c r="GXV116" s="89"/>
      <c r="GXW116" s="89"/>
      <c r="GXX116" s="89"/>
      <c r="GXY116" s="89"/>
      <c r="GXZ116" s="89"/>
      <c r="GYA116" s="89"/>
      <c r="GYB116" s="94"/>
      <c r="GYC116" s="89"/>
      <c r="GYD116" s="89"/>
      <c r="GYE116" s="89"/>
      <c r="GYF116" s="89"/>
      <c r="GYG116" s="89"/>
      <c r="GYH116" s="94"/>
      <c r="GYI116" s="89"/>
      <c r="GYJ116" s="89"/>
      <c r="GYK116" s="89"/>
      <c r="GYL116" s="89"/>
      <c r="GYM116" s="89"/>
      <c r="GYN116" s="89"/>
      <c r="GYO116" s="89"/>
      <c r="GYP116" s="89"/>
      <c r="GYQ116" s="89"/>
      <c r="GYR116" s="89"/>
      <c r="GYS116" s="94"/>
      <c r="GYT116" s="89"/>
      <c r="GYU116" s="89"/>
      <c r="GYV116" s="89"/>
      <c r="GYW116" s="89"/>
      <c r="GYX116" s="89"/>
      <c r="GYY116" s="89"/>
      <c r="GYZ116" s="89"/>
      <c r="GZA116" s="89"/>
      <c r="GZB116" s="89"/>
      <c r="GZC116" s="89"/>
      <c r="GZD116" s="89"/>
      <c r="GZE116" s="89"/>
      <c r="GZF116" s="89"/>
      <c r="GZG116" s="89"/>
      <c r="GZH116" s="89"/>
      <c r="GZI116" s="89"/>
      <c r="GZJ116" s="89"/>
      <c r="GZK116" s="89"/>
      <c r="GZL116" s="89"/>
      <c r="GZM116" s="89"/>
      <c r="GZN116" s="89"/>
      <c r="GZO116" s="89"/>
      <c r="GZP116" s="89"/>
      <c r="GZQ116" s="89"/>
      <c r="GZW116" s="89"/>
      <c r="GZX116" s="89"/>
      <c r="GZY116" s="89"/>
      <c r="GZZ116" s="89"/>
      <c r="HAA116" s="89"/>
      <c r="HAB116" s="89"/>
      <c r="HAC116" s="89"/>
      <c r="HAD116" s="89"/>
      <c r="HAE116" s="89"/>
      <c r="HAF116" s="89"/>
      <c r="HAG116" s="89"/>
      <c r="HAH116" s="89"/>
      <c r="HAI116" s="94"/>
      <c r="HAJ116" s="89"/>
      <c r="HAK116" s="89"/>
      <c r="HAL116" s="89"/>
      <c r="HAM116" s="89"/>
      <c r="HAN116" s="89"/>
      <c r="HAO116" s="94"/>
      <c r="HAP116" s="89"/>
      <c r="HAQ116" s="89"/>
      <c r="HAR116" s="89"/>
      <c r="HAS116" s="89"/>
      <c r="HAT116" s="89"/>
      <c r="HAU116" s="89"/>
      <c r="HAV116" s="89"/>
      <c r="HAW116" s="89"/>
      <c r="HAX116" s="89"/>
      <c r="HAY116" s="89"/>
      <c r="HAZ116" s="94"/>
      <c r="HBA116" s="89"/>
      <c r="HBB116" s="89"/>
      <c r="HBC116" s="89"/>
      <c r="HBD116" s="89"/>
      <c r="HBE116" s="89"/>
      <c r="HBF116" s="89"/>
      <c r="HBG116" s="89"/>
      <c r="HBH116" s="89"/>
      <c r="HBI116" s="89"/>
      <c r="HBJ116" s="89"/>
      <c r="HBK116" s="89"/>
      <c r="HBL116" s="89"/>
      <c r="HBM116" s="89"/>
      <c r="HBN116" s="89"/>
      <c r="HBO116" s="89"/>
      <c r="HBP116" s="89"/>
      <c r="HBQ116" s="89"/>
      <c r="HBR116" s="89"/>
      <c r="HBS116" s="89"/>
      <c r="HBT116" s="89"/>
      <c r="HBU116" s="89"/>
      <c r="HBV116" s="89"/>
      <c r="HBW116" s="89"/>
      <c r="HBX116" s="89"/>
      <c r="HCD116" s="89"/>
      <c r="HCE116" s="89"/>
      <c r="HCF116" s="89"/>
      <c r="HCG116" s="89"/>
      <c r="HCH116" s="89"/>
      <c r="HCI116" s="89"/>
      <c r="HCJ116" s="89"/>
      <c r="HCK116" s="89"/>
      <c r="HCL116" s="89"/>
      <c r="HCM116" s="89"/>
      <c r="HCN116" s="89"/>
      <c r="HCO116" s="89"/>
      <c r="HCP116" s="94"/>
      <c r="HCQ116" s="89"/>
      <c r="HCR116" s="89"/>
      <c r="HCS116" s="89"/>
      <c r="HCT116" s="89"/>
      <c r="HCU116" s="89"/>
      <c r="HCV116" s="94"/>
      <c r="HCW116" s="89"/>
      <c r="HCX116" s="89"/>
      <c r="HCY116" s="89"/>
      <c r="HCZ116" s="89"/>
      <c r="HDA116" s="89"/>
      <c r="HDB116" s="89"/>
      <c r="HDC116" s="89"/>
      <c r="HDD116" s="89"/>
      <c r="HDE116" s="89"/>
      <c r="HDF116" s="89"/>
      <c r="HDG116" s="94"/>
      <c r="HDH116" s="89"/>
      <c r="HDI116" s="89"/>
      <c r="HDJ116" s="89"/>
      <c r="HDK116" s="89"/>
      <c r="HDL116" s="89"/>
      <c r="HDM116" s="89"/>
      <c r="HDN116" s="89"/>
      <c r="HDO116" s="89"/>
      <c r="HDP116" s="89"/>
      <c r="HDQ116" s="89"/>
      <c r="HDR116" s="89"/>
      <c r="HDS116" s="89"/>
      <c r="HDT116" s="89"/>
      <c r="HDU116" s="89"/>
      <c r="HDV116" s="89"/>
      <c r="HDW116" s="89"/>
      <c r="HDX116" s="89"/>
      <c r="HDY116" s="89"/>
      <c r="HDZ116" s="89"/>
      <c r="HEA116" s="89"/>
      <c r="HEB116" s="89"/>
      <c r="HEC116" s="89"/>
      <c r="HED116" s="89"/>
      <c r="HEE116" s="89"/>
      <c r="HEK116" s="89"/>
      <c r="HEL116" s="89"/>
      <c r="HEM116" s="89"/>
      <c r="HEN116" s="89"/>
      <c r="HEO116" s="89"/>
      <c r="HEP116" s="89"/>
      <c r="HEQ116" s="89"/>
      <c r="HER116" s="89"/>
      <c r="HES116" s="89"/>
      <c r="HET116" s="89"/>
      <c r="HEU116" s="89"/>
      <c r="HEV116" s="89"/>
      <c r="HEW116" s="94"/>
      <c r="HEX116" s="89"/>
      <c r="HEY116" s="89"/>
      <c r="HEZ116" s="89"/>
      <c r="HFA116" s="89"/>
      <c r="HFB116" s="89"/>
      <c r="HFC116" s="94"/>
      <c r="HFD116" s="89"/>
      <c r="HFE116" s="89"/>
      <c r="HFF116" s="89"/>
      <c r="HFG116" s="89"/>
      <c r="HFH116" s="89"/>
      <c r="HFI116" s="89"/>
      <c r="HFJ116" s="89"/>
      <c r="HFK116" s="89"/>
      <c r="HFL116" s="89"/>
      <c r="HFM116" s="89"/>
      <c r="HFN116" s="94"/>
      <c r="HFO116" s="89"/>
      <c r="HFP116" s="89"/>
      <c r="HFQ116" s="89"/>
      <c r="HFR116" s="89"/>
      <c r="HFS116" s="89"/>
      <c r="HFT116" s="89"/>
      <c r="HFU116" s="89"/>
      <c r="HFV116" s="89"/>
      <c r="HFW116" s="89"/>
      <c r="HFX116" s="89"/>
      <c r="HFY116" s="89"/>
      <c r="HFZ116" s="89"/>
      <c r="HGA116" s="89"/>
      <c r="HGB116" s="89"/>
      <c r="HGC116" s="89"/>
      <c r="HGD116" s="89"/>
      <c r="HGE116" s="89"/>
      <c r="HGF116" s="89"/>
      <c r="HGG116" s="89"/>
      <c r="HGH116" s="89"/>
      <c r="HGI116" s="89"/>
      <c r="HGJ116" s="89"/>
      <c r="HGK116" s="89"/>
      <c r="HGL116" s="89"/>
      <c r="HGR116" s="89"/>
      <c r="HGS116" s="89"/>
      <c r="HGT116" s="89"/>
      <c r="HGU116" s="89"/>
      <c r="HGV116" s="89"/>
      <c r="HGW116" s="89"/>
      <c r="HGX116" s="89"/>
      <c r="HGY116" s="89"/>
      <c r="HGZ116" s="89"/>
      <c r="HHA116" s="89"/>
      <c r="HHB116" s="89"/>
      <c r="HHC116" s="89"/>
      <c r="HHD116" s="94"/>
      <c r="HHE116" s="89"/>
      <c r="HHF116" s="89"/>
      <c r="HHG116" s="89"/>
      <c r="HHH116" s="89"/>
      <c r="HHI116" s="89"/>
      <c r="HHJ116" s="94"/>
      <c r="HHK116" s="89"/>
      <c r="HHL116" s="89"/>
      <c r="HHM116" s="89"/>
      <c r="HHN116" s="89"/>
      <c r="HHO116" s="89"/>
      <c r="HHP116" s="89"/>
      <c r="HHQ116" s="89"/>
      <c r="HHR116" s="89"/>
      <c r="HHS116" s="89"/>
      <c r="HHT116" s="89"/>
      <c r="HHU116" s="94"/>
      <c r="HHV116" s="89"/>
      <c r="HHW116" s="89"/>
      <c r="HHX116" s="89"/>
      <c r="HHY116" s="89"/>
      <c r="HHZ116" s="89"/>
      <c r="HIA116" s="89"/>
      <c r="HIB116" s="89"/>
      <c r="HIC116" s="89"/>
      <c r="HID116" s="89"/>
      <c r="HIE116" s="89"/>
      <c r="HIF116" s="89"/>
      <c r="HIG116" s="89"/>
      <c r="HIH116" s="89"/>
      <c r="HII116" s="89"/>
      <c r="HIJ116" s="89"/>
      <c r="HIK116" s="89"/>
      <c r="HIL116" s="89"/>
      <c r="HIM116" s="89"/>
      <c r="HIN116" s="89"/>
      <c r="HIO116" s="89"/>
      <c r="HIP116" s="89"/>
      <c r="HIQ116" s="89"/>
      <c r="HIR116" s="89"/>
      <c r="HIS116" s="89"/>
      <c r="HIY116" s="89"/>
      <c r="HIZ116" s="89"/>
      <c r="HJA116" s="89"/>
      <c r="HJB116" s="89"/>
      <c r="HJC116" s="89"/>
      <c r="HJD116" s="89"/>
      <c r="HJE116" s="89"/>
      <c r="HJF116" s="89"/>
      <c r="HJG116" s="89"/>
      <c r="HJH116" s="89"/>
      <c r="HJI116" s="89"/>
      <c r="HJJ116" s="89"/>
      <c r="HJK116" s="94"/>
      <c r="HJL116" s="89"/>
      <c r="HJM116" s="89"/>
      <c r="HJN116" s="89"/>
      <c r="HJO116" s="89"/>
      <c r="HJP116" s="89"/>
      <c r="HJQ116" s="94"/>
      <c r="HJR116" s="89"/>
      <c r="HJS116" s="89"/>
      <c r="HJT116" s="89"/>
      <c r="HJU116" s="89"/>
      <c r="HJV116" s="89"/>
      <c r="HJW116" s="89"/>
      <c r="HJX116" s="89"/>
      <c r="HJY116" s="89"/>
      <c r="HJZ116" s="89"/>
      <c r="HKA116" s="89"/>
      <c r="HKB116" s="94"/>
      <c r="HKC116" s="89"/>
      <c r="HKD116" s="89"/>
      <c r="HKE116" s="89"/>
      <c r="HKF116" s="89"/>
      <c r="HKG116" s="89"/>
      <c r="HKH116" s="89"/>
      <c r="HKI116" s="89"/>
      <c r="HKJ116" s="89"/>
      <c r="HKK116" s="89"/>
      <c r="HKL116" s="89"/>
      <c r="HKM116" s="89"/>
      <c r="HKN116" s="89"/>
      <c r="HKO116" s="89"/>
      <c r="HKP116" s="89"/>
      <c r="HKQ116" s="89"/>
      <c r="HKR116" s="89"/>
      <c r="HKS116" s="89"/>
      <c r="HKT116" s="89"/>
      <c r="HKU116" s="89"/>
      <c r="HKV116" s="89"/>
      <c r="HKW116" s="89"/>
      <c r="HKX116" s="89"/>
      <c r="HKY116" s="89"/>
      <c r="HKZ116" s="89"/>
      <c r="HLF116" s="89"/>
      <c r="HLG116" s="89"/>
      <c r="HLH116" s="89"/>
      <c r="HLI116" s="89"/>
      <c r="HLJ116" s="89"/>
      <c r="HLK116" s="89"/>
      <c r="HLL116" s="89"/>
      <c r="HLM116" s="89"/>
      <c r="HLN116" s="89"/>
      <c r="HLO116" s="89"/>
      <c r="HLP116" s="89"/>
      <c r="HLQ116" s="89"/>
      <c r="HLR116" s="94"/>
      <c r="HLS116" s="89"/>
      <c r="HLT116" s="89"/>
      <c r="HLU116" s="89"/>
      <c r="HLV116" s="89"/>
      <c r="HLW116" s="89"/>
      <c r="HLX116" s="94"/>
      <c r="HLY116" s="89"/>
      <c r="HLZ116" s="89"/>
      <c r="HMA116" s="89"/>
      <c r="HMB116" s="89"/>
      <c r="HMC116" s="89"/>
      <c r="HMD116" s="89"/>
      <c r="HME116" s="89"/>
      <c r="HMF116" s="89"/>
      <c r="HMG116" s="89"/>
      <c r="HMH116" s="89"/>
      <c r="HMI116" s="94"/>
      <c r="HMJ116" s="89"/>
      <c r="HMK116" s="89"/>
      <c r="HML116" s="89"/>
      <c r="HMM116" s="89"/>
      <c r="HMN116" s="89"/>
      <c r="HMO116" s="89"/>
      <c r="HMP116" s="89"/>
      <c r="HMQ116" s="89"/>
      <c r="HMR116" s="89"/>
      <c r="HMS116" s="89"/>
      <c r="HMT116" s="89"/>
      <c r="HMU116" s="89"/>
      <c r="HMV116" s="89"/>
      <c r="HMW116" s="89"/>
      <c r="HMX116" s="89"/>
      <c r="HMY116" s="89"/>
      <c r="HMZ116" s="89"/>
      <c r="HNA116" s="89"/>
      <c r="HNB116" s="89"/>
      <c r="HNC116" s="89"/>
      <c r="HND116" s="89"/>
      <c r="HNE116" s="89"/>
      <c r="HNF116" s="89"/>
      <c r="HNG116" s="89"/>
      <c r="HNM116" s="89"/>
      <c r="HNN116" s="89"/>
      <c r="HNO116" s="89"/>
      <c r="HNP116" s="89"/>
      <c r="HNQ116" s="89"/>
      <c r="HNR116" s="89"/>
      <c r="HNS116" s="89"/>
      <c r="HNT116" s="89"/>
      <c r="HNU116" s="89"/>
      <c r="HNV116" s="89"/>
      <c r="HNW116" s="89"/>
      <c r="HNX116" s="89"/>
      <c r="HNY116" s="94"/>
      <c r="HNZ116" s="89"/>
      <c r="HOA116" s="89"/>
      <c r="HOB116" s="89"/>
      <c r="HOC116" s="89"/>
      <c r="HOD116" s="89"/>
      <c r="HOE116" s="94"/>
      <c r="HOF116" s="89"/>
      <c r="HOG116" s="89"/>
      <c r="HOH116" s="89"/>
      <c r="HOI116" s="89"/>
      <c r="HOJ116" s="89"/>
      <c r="HOK116" s="89"/>
      <c r="HOL116" s="89"/>
      <c r="HOM116" s="89"/>
      <c r="HON116" s="89"/>
      <c r="HOO116" s="89"/>
      <c r="HOP116" s="94"/>
      <c r="HOQ116" s="89"/>
      <c r="HOR116" s="89"/>
      <c r="HOS116" s="89"/>
      <c r="HOT116" s="89"/>
      <c r="HOU116" s="89"/>
      <c r="HOV116" s="89"/>
      <c r="HOW116" s="89"/>
      <c r="HOX116" s="89"/>
      <c r="HOY116" s="89"/>
      <c r="HOZ116" s="89"/>
      <c r="HPA116" s="89"/>
      <c r="HPB116" s="89"/>
      <c r="HPC116" s="89"/>
      <c r="HPD116" s="89"/>
      <c r="HPE116" s="89"/>
      <c r="HPF116" s="89"/>
      <c r="HPG116" s="89"/>
      <c r="HPH116" s="89"/>
      <c r="HPI116" s="89"/>
      <c r="HPJ116" s="89"/>
      <c r="HPK116" s="89"/>
      <c r="HPL116" s="89"/>
      <c r="HPM116" s="89"/>
      <c r="HPN116" s="89"/>
      <c r="HPT116" s="89"/>
      <c r="HPU116" s="89"/>
      <c r="HPV116" s="89"/>
      <c r="HPW116" s="89"/>
      <c r="HPX116" s="89"/>
      <c r="HPY116" s="89"/>
      <c r="HPZ116" s="89"/>
      <c r="HQA116" s="89"/>
      <c r="HQB116" s="89"/>
      <c r="HQC116" s="89"/>
      <c r="HQD116" s="89"/>
      <c r="HQE116" s="89"/>
      <c r="HQF116" s="94"/>
      <c r="HQG116" s="89"/>
      <c r="HQH116" s="89"/>
      <c r="HQI116" s="89"/>
      <c r="HQJ116" s="89"/>
      <c r="HQK116" s="89"/>
      <c r="HQL116" s="94"/>
      <c r="HQM116" s="89"/>
      <c r="HQN116" s="89"/>
      <c r="HQO116" s="89"/>
      <c r="HQP116" s="89"/>
      <c r="HQQ116" s="89"/>
      <c r="HQR116" s="89"/>
      <c r="HQS116" s="89"/>
      <c r="HQT116" s="89"/>
      <c r="HQU116" s="89"/>
      <c r="HQV116" s="89"/>
      <c r="HQW116" s="94"/>
      <c r="HQX116" s="89"/>
      <c r="HQY116" s="89"/>
      <c r="HQZ116" s="89"/>
      <c r="HRA116" s="89"/>
      <c r="HRB116" s="89"/>
      <c r="HRC116" s="89"/>
      <c r="HRD116" s="89"/>
      <c r="HRE116" s="89"/>
      <c r="HRF116" s="89"/>
      <c r="HRG116" s="89"/>
      <c r="HRH116" s="89"/>
      <c r="HRI116" s="89"/>
      <c r="HRJ116" s="89"/>
      <c r="HRK116" s="89"/>
      <c r="HRL116" s="89"/>
      <c r="HRM116" s="89"/>
      <c r="HRN116" s="89"/>
      <c r="HRO116" s="89"/>
      <c r="HRP116" s="89"/>
      <c r="HRQ116" s="89"/>
      <c r="HRR116" s="89"/>
      <c r="HRS116" s="89"/>
      <c r="HRT116" s="89"/>
      <c r="HRU116" s="89"/>
      <c r="HSA116" s="89"/>
      <c r="HSB116" s="89"/>
      <c r="HSC116" s="89"/>
      <c r="HSD116" s="89"/>
      <c r="HSE116" s="89"/>
      <c r="HSF116" s="89"/>
      <c r="HSG116" s="89"/>
      <c r="HSH116" s="89"/>
      <c r="HSI116" s="89"/>
      <c r="HSJ116" s="89"/>
      <c r="HSK116" s="89"/>
      <c r="HSL116" s="89"/>
      <c r="HSM116" s="94"/>
      <c r="HSN116" s="89"/>
      <c r="HSO116" s="89"/>
      <c r="HSP116" s="89"/>
      <c r="HSQ116" s="89"/>
      <c r="HSR116" s="89"/>
      <c r="HSS116" s="94"/>
      <c r="HST116" s="89"/>
      <c r="HSU116" s="89"/>
      <c r="HSV116" s="89"/>
      <c r="HSW116" s="89"/>
      <c r="HSX116" s="89"/>
      <c r="HSY116" s="89"/>
      <c r="HSZ116" s="89"/>
      <c r="HTA116" s="89"/>
      <c r="HTB116" s="89"/>
      <c r="HTC116" s="89"/>
      <c r="HTD116" s="94"/>
      <c r="HTE116" s="89"/>
      <c r="HTF116" s="89"/>
      <c r="HTG116" s="89"/>
      <c r="HTH116" s="89"/>
      <c r="HTI116" s="89"/>
      <c r="HTJ116" s="89"/>
      <c r="HTK116" s="89"/>
      <c r="HTL116" s="89"/>
      <c r="HTM116" s="89"/>
      <c r="HTN116" s="89"/>
      <c r="HTO116" s="89"/>
      <c r="HTP116" s="89"/>
      <c r="HTQ116" s="89"/>
      <c r="HTR116" s="89"/>
      <c r="HTS116" s="89"/>
      <c r="HTT116" s="89"/>
      <c r="HTU116" s="89"/>
      <c r="HTV116" s="89"/>
      <c r="HTW116" s="89"/>
      <c r="HTX116" s="89"/>
      <c r="HTY116" s="89"/>
      <c r="HTZ116" s="89"/>
      <c r="HUA116" s="89"/>
      <c r="HUB116" s="89"/>
      <c r="HUH116" s="89"/>
      <c r="HUI116" s="89"/>
      <c r="HUJ116" s="89"/>
      <c r="HUK116" s="89"/>
      <c r="HUL116" s="89"/>
      <c r="HUM116" s="89"/>
      <c r="HUN116" s="89"/>
      <c r="HUO116" s="89"/>
      <c r="HUP116" s="89"/>
      <c r="HUQ116" s="89"/>
      <c r="HUR116" s="89"/>
      <c r="HUS116" s="89"/>
      <c r="HUT116" s="94"/>
      <c r="HUU116" s="89"/>
      <c r="HUV116" s="89"/>
      <c r="HUW116" s="89"/>
      <c r="HUX116" s="89"/>
      <c r="HUY116" s="89"/>
      <c r="HUZ116" s="94"/>
      <c r="HVA116" s="89"/>
      <c r="HVB116" s="89"/>
      <c r="HVC116" s="89"/>
      <c r="HVD116" s="89"/>
      <c r="HVE116" s="89"/>
      <c r="HVF116" s="89"/>
      <c r="HVG116" s="89"/>
      <c r="HVH116" s="89"/>
      <c r="HVI116" s="89"/>
      <c r="HVJ116" s="89"/>
      <c r="HVK116" s="94"/>
      <c r="HVL116" s="89"/>
      <c r="HVM116" s="89"/>
      <c r="HVN116" s="89"/>
      <c r="HVO116" s="89"/>
      <c r="HVP116" s="89"/>
      <c r="HVQ116" s="89"/>
      <c r="HVR116" s="89"/>
      <c r="HVS116" s="89"/>
      <c r="HVT116" s="89"/>
      <c r="HVU116" s="89"/>
      <c r="HVV116" s="89"/>
      <c r="HVW116" s="89"/>
      <c r="HVX116" s="89"/>
      <c r="HVY116" s="89"/>
      <c r="HVZ116" s="89"/>
      <c r="HWA116" s="89"/>
      <c r="HWB116" s="89"/>
      <c r="HWC116" s="89"/>
      <c r="HWD116" s="89"/>
      <c r="HWE116" s="89"/>
      <c r="HWF116" s="89"/>
      <c r="HWG116" s="89"/>
      <c r="HWH116" s="89"/>
      <c r="HWI116" s="89"/>
      <c r="HWO116" s="89"/>
      <c r="HWP116" s="89"/>
      <c r="HWQ116" s="89"/>
      <c r="HWR116" s="89"/>
      <c r="HWS116" s="89"/>
      <c r="HWT116" s="89"/>
      <c r="HWU116" s="89"/>
      <c r="HWV116" s="89"/>
      <c r="HWW116" s="89"/>
      <c r="HWX116" s="89"/>
      <c r="HWY116" s="89"/>
      <c r="HWZ116" s="89"/>
      <c r="HXA116" s="94"/>
      <c r="HXB116" s="89"/>
      <c r="HXC116" s="89"/>
      <c r="HXD116" s="89"/>
      <c r="HXE116" s="89"/>
      <c r="HXF116" s="89"/>
      <c r="HXG116" s="94"/>
      <c r="HXH116" s="89"/>
      <c r="HXI116" s="89"/>
      <c r="HXJ116" s="89"/>
      <c r="HXK116" s="89"/>
      <c r="HXL116" s="89"/>
      <c r="HXM116" s="89"/>
      <c r="HXN116" s="89"/>
      <c r="HXO116" s="89"/>
      <c r="HXP116" s="89"/>
      <c r="HXQ116" s="89"/>
      <c r="HXR116" s="94"/>
      <c r="HXS116" s="89"/>
      <c r="HXT116" s="89"/>
      <c r="HXU116" s="89"/>
      <c r="HXV116" s="89"/>
      <c r="HXW116" s="89"/>
      <c r="HXX116" s="89"/>
      <c r="HXY116" s="89"/>
      <c r="HXZ116" s="89"/>
      <c r="HYA116" s="89"/>
      <c r="HYB116" s="89"/>
      <c r="HYC116" s="89"/>
      <c r="HYD116" s="89"/>
      <c r="HYE116" s="89"/>
      <c r="HYF116" s="89"/>
      <c r="HYG116" s="89"/>
      <c r="HYH116" s="89"/>
      <c r="HYI116" s="89"/>
      <c r="HYJ116" s="89"/>
      <c r="HYK116" s="89"/>
      <c r="HYL116" s="89"/>
      <c r="HYM116" s="89"/>
      <c r="HYN116" s="89"/>
      <c r="HYO116" s="89"/>
      <c r="HYP116" s="89"/>
      <c r="HYV116" s="89"/>
      <c r="HYW116" s="89"/>
      <c r="HYX116" s="89"/>
      <c r="HYY116" s="89"/>
      <c r="HYZ116" s="89"/>
      <c r="HZA116" s="89"/>
      <c r="HZB116" s="89"/>
      <c r="HZC116" s="89"/>
      <c r="HZD116" s="89"/>
      <c r="HZE116" s="89"/>
      <c r="HZF116" s="89"/>
      <c r="HZG116" s="89"/>
      <c r="HZH116" s="94"/>
      <c r="HZI116" s="89"/>
      <c r="HZJ116" s="89"/>
      <c r="HZK116" s="89"/>
      <c r="HZL116" s="89"/>
      <c r="HZM116" s="89"/>
      <c r="HZN116" s="94"/>
      <c r="HZO116" s="89"/>
      <c r="HZP116" s="89"/>
      <c r="HZQ116" s="89"/>
      <c r="HZR116" s="89"/>
      <c r="HZS116" s="89"/>
      <c r="HZT116" s="89"/>
      <c r="HZU116" s="89"/>
      <c r="HZV116" s="89"/>
      <c r="HZW116" s="89"/>
      <c r="HZX116" s="89"/>
      <c r="HZY116" s="94"/>
      <c r="HZZ116" s="89"/>
      <c r="IAA116" s="89"/>
      <c r="IAB116" s="89"/>
      <c r="IAC116" s="89"/>
      <c r="IAD116" s="89"/>
      <c r="IAE116" s="89"/>
      <c r="IAF116" s="89"/>
      <c r="IAG116" s="89"/>
      <c r="IAH116" s="89"/>
      <c r="IAI116" s="89"/>
      <c r="IAJ116" s="89"/>
      <c r="IAK116" s="89"/>
      <c r="IAL116" s="89"/>
      <c r="IAM116" s="89"/>
      <c r="IAN116" s="89"/>
      <c r="IAO116" s="89"/>
      <c r="IAP116" s="89"/>
      <c r="IAQ116" s="89"/>
      <c r="IAR116" s="89"/>
      <c r="IAS116" s="89"/>
      <c r="IAT116" s="89"/>
      <c r="IAU116" s="89"/>
      <c r="IAV116" s="89"/>
      <c r="IAW116" s="89"/>
      <c r="IBC116" s="89"/>
      <c r="IBD116" s="89"/>
      <c r="IBE116" s="89"/>
      <c r="IBF116" s="89"/>
      <c r="IBG116" s="89"/>
      <c r="IBH116" s="89"/>
      <c r="IBI116" s="89"/>
      <c r="IBJ116" s="89"/>
      <c r="IBK116" s="89"/>
      <c r="IBL116" s="89"/>
      <c r="IBM116" s="89"/>
      <c r="IBN116" s="89"/>
      <c r="IBO116" s="94"/>
      <c r="IBP116" s="89"/>
      <c r="IBQ116" s="89"/>
      <c r="IBR116" s="89"/>
      <c r="IBS116" s="89"/>
      <c r="IBT116" s="89"/>
      <c r="IBU116" s="94"/>
      <c r="IBV116" s="89"/>
      <c r="IBW116" s="89"/>
      <c r="IBX116" s="89"/>
      <c r="IBY116" s="89"/>
      <c r="IBZ116" s="89"/>
      <c r="ICA116" s="89"/>
      <c r="ICB116" s="89"/>
      <c r="ICC116" s="89"/>
      <c r="ICD116" s="89"/>
      <c r="ICE116" s="89"/>
      <c r="ICF116" s="94"/>
      <c r="ICG116" s="89"/>
      <c r="ICH116" s="89"/>
      <c r="ICI116" s="89"/>
      <c r="ICJ116" s="89"/>
      <c r="ICK116" s="89"/>
      <c r="ICL116" s="89"/>
      <c r="ICM116" s="89"/>
      <c r="ICN116" s="89"/>
      <c r="ICO116" s="89"/>
      <c r="ICP116" s="89"/>
      <c r="ICQ116" s="89"/>
      <c r="ICR116" s="89"/>
      <c r="ICS116" s="89"/>
      <c r="ICT116" s="89"/>
      <c r="ICU116" s="89"/>
      <c r="ICV116" s="89"/>
      <c r="ICW116" s="89"/>
      <c r="ICX116" s="89"/>
      <c r="ICY116" s="89"/>
      <c r="ICZ116" s="89"/>
      <c r="IDA116" s="89"/>
      <c r="IDB116" s="89"/>
      <c r="IDC116" s="89"/>
      <c r="IDD116" s="89"/>
      <c r="IDJ116" s="89"/>
      <c r="IDK116" s="89"/>
      <c r="IDL116" s="89"/>
      <c r="IDM116" s="89"/>
      <c r="IDN116" s="89"/>
      <c r="IDO116" s="89"/>
      <c r="IDP116" s="89"/>
      <c r="IDQ116" s="89"/>
      <c r="IDR116" s="89"/>
      <c r="IDS116" s="89"/>
      <c r="IDT116" s="89"/>
      <c r="IDU116" s="89"/>
      <c r="IDV116" s="94"/>
      <c r="IDW116" s="89"/>
      <c r="IDX116" s="89"/>
      <c r="IDY116" s="89"/>
      <c r="IDZ116" s="89"/>
      <c r="IEA116" s="89"/>
      <c r="IEB116" s="94"/>
      <c r="IEC116" s="89"/>
      <c r="IED116" s="89"/>
      <c r="IEE116" s="89"/>
      <c r="IEF116" s="89"/>
      <c r="IEG116" s="89"/>
      <c r="IEH116" s="89"/>
      <c r="IEI116" s="89"/>
      <c r="IEJ116" s="89"/>
      <c r="IEK116" s="89"/>
      <c r="IEL116" s="89"/>
      <c r="IEM116" s="94"/>
      <c r="IEN116" s="89"/>
      <c r="IEO116" s="89"/>
      <c r="IEP116" s="89"/>
      <c r="IEQ116" s="89"/>
      <c r="IER116" s="89"/>
      <c r="IES116" s="89"/>
      <c r="IET116" s="89"/>
      <c r="IEU116" s="89"/>
      <c r="IEV116" s="89"/>
      <c r="IEW116" s="89"/>
      <c r="IEX116" s="89"/>
      <c r="IEY116" s="89"/>
      <c r="IEZ116" s="89"/>
      <c r="IFA116" s="89"/>
      <c r="IFB116" s="89"/>
      <c r="IFC116" s="89"/>
      <c r="IFD116" s="89"/>
      <c r="IFE116" s="89"/>
      <c r="IFF116" s="89"/>
      <c r="IFG116" s="89"/>
      <c r="IFH116" s="89"/>
      <c r="IFI116" s="89"/>
      <c r="IFJ116" s="89"/>
      <c r="IFK116" s="89"/>
      <c r="IFQ116" s="89"/>
      <c r="IFR116" s="89"/>
      <c r="IFS116" s="89"/>
      <c r="IFT116" s="89"/>
      <c r="IFU116" s="89"/>
      <c r="IFV116" s="89"/>
      <c r="IFW116" s="89"/>
      <c r="IFX116" s="89"/>
      <c r="IFY116" s="89"/>
      <c r="IFZ116" s="89"/>
      <c r="IGA116" s="89"/>
      <c r="IGB116" s="89"/>
      <c r="IGC116" s="94"/>
      <c r="IGD116" s="89"/>
      <c r="IGE116" s="89"/>
      <c r="IGF116" s="89"/>
      <c r="IGG116" s="89"/>
      <c r="IGH116" s="89"/>
      <c r="IGI116" s="94"/>
      <c r="IGJ116" s="89"/>
      <c r="IGK116" s="89"/>
      <c r="IGL116" s="89"/>
      <c r="IGM116" s="89"/>
      <c r="IGN116" s="89"/>
      <c r="IGO116" s="89"/>
      <c r="IGP116" s="89"/>
      <c r="IGQ116" s="89"/>
      <c r="IGR116" s="89"/>
      <c r="IGS116" s="89"/>
      <c r="IGT116" s="94"/>
      <c r="IGU116" s="89"/>
      <c r="IGV116" s="89"/>
      <c r="IGW116" s="89"/>
      <c r="IGX116" s="89"/>
      <c r="IGY116" s="89"/>
      <c r="IGZ116" s="89"/>
      <c r="IHA116" s="89"/>
      <c r="IHB116" s="89"/>
      <c r="IHC116" s="89"/>
      <c r="IHD116" s="89"/>
      <c r="IHE116" s="89"/>
      <c r="IHF116" s="89"/>
      <c r="IHG116" s="89"/>
      <c r="IHH116" s="89"/>
      <c r="IHI116" s="89"/>
      <c r="IHJ116" s="89"/>
      <c r="IHK116" s="89"/>
      <c r="IHL116" s="89"/>
      <c r="IHM116" s="89"/>
      <c r="IHN116" s="89"/>
      <c r="IHO116" s="89"/>
      <c r="IHP116" s="89"/>
      <c r="IHQ116" s="89"/>
      <c r="IHR116" s="89"/>
      <c r="IHX116" s="89"/>
      <c r="IHY116" s="89"/>
      <c r="IHZ116" s="89"/>
      <c r="IIA116" s="89"/>
      <c r="IIB116" s="89"/>
      <c r="IIC116" s="89"/>
      <c r="IID116" s="89"/>
      <c r="IIE116" s="89"/>
      <c r="IIF116" s="89"/>
      <c r="IIG116" s="89"/>
      <c r="IIH116" s="89"/>
      <c r="III116" s="89"/>
      <c r="IIJ116" s="94"/>
      <c r="IIK116" s="89"/>
      <c r="IIL116" s="89"/>
      <c r="IIM116" s="89"/>
      <c r="IIN116" s="89"/>
      <c r="IIO116" s="89"/>
      <c r="IIP116" s="94"/>
      <c r="IIQ116" s="89"/>
      <c r="IIR116" s="89"/>
      <c r="IIS116" s="89"/>
      <c r="IIT116" s="89"/>
      <c r="IIU116" s="89"/>
      <c r="IIV116" s="89"/>
      <c r="IIW116" s="89"/>
      <c r="IIX116" s="89"/>
      <c r="IIY116" s="89"/>
      <c r="IIZ116" s="89"/>
      <c r="IJA116" s="94"/>
      <c r="IJB116" s="89"/>
      <c r="IJC116" s="89"/>
      <c r="IJD116" s="89"/>
      <c r="IJE116" s="89"/>
      <c r="IJF116" s="89"/>
      <c r="IJG116" s="89"/>
      <c r="IJH116" s="89"/>
      <c r="IJI116" s="89"/>
      <c r="IJJ116" s="89"/>
      <c r="IJK116" s="89"/>
      <c r="IJL116" s="89"/>
      <c r="IJM116" s="89"/>
      <c r="IJN116" s="89"/>
      <c r="IJO116" s="89"/>
      <c r="IJP116" s="89"/>
      <c r="IJQ116" s="89"/>
      <c r="IJR116" s="89"/>
      <c r="IJS116" s="89"/>
      <c r="IJT116" s="89"/>
      <c r="IJU116" s="89"/>
      <c r="IJV116" s="89"/>
      <c r="IJW116" s="89"/>
      <c r="IJX116" s="89"/>
      <c r="IJY116" s="89"/>
      <c r="IKE116" s="89"/>
      <c r="IKF116" s="89"/>
      <c r="IKG116" s="89"/>
      <c r="IKH116" s="89"/>
      <c r="IKI116" s="89"/>
      <c r="IKJ116" s="89"/>
      <c r="IKK116" s="89"/>
      <c r="IKL116" s="89"/>
      <c r="IKM116" s="89"/>
      <c r="IKN116" s="89"/>
      <c r="IKO116" s="89"/>
      <c r="IKP116" s="89"/>
      <c r="IKQ116" s="94"/>
      <c r="IKR116" s="89"/>
      <c r="IKS116" s="89"/>
      <c r="IKT116" s="89"/>
      <c r="IKU116" s="89"/>
      <c r="IKV116" s="89"/>
      <c r="IKW116" s="94"/>
      <c r="IKX116" s="89"/>
      <c r="IKY116" s="89"/>
      <c r="IKZ116" s="89"/>
      <c r="ILA116" s="89"/>
      <c r="ILB116" s="89"/>
      <c r="ILC116" s="89"/>
      <c r="ILD116" s="89"/>
      <c r="ILE116" s="89"/>
      <c r="ILF116" s="89"/>
      <c r="ILG116" s="89"/>
      <c r="ILH116" s="94"/>
      <c r="ILI116" s="89"/>
      <c r="ILJ116" s="89"/>
      <c r="ILK116" s="89"/>
      <c r="ILL116" s="89"/>
      <c r="ILM116" s="89"/>
      <c r="ILN116" s="89"/>
      <c r="ILO116" s="89"/>
      <c r="ILP116" s="89"/>
      <c r="ILQ116" s="89"/>
      <c r="ILR116" s="89"/>
      <c r="ILS116" s="89"/>
      <c r="ILT116" s="89"/>
      <c r="ILU116" s="89"/>
      <c r="ILV116" s="89"/>
      <c r="ILW116" s="89"/>
      <c r="ILX116" s="89"/>
      <c r="ILY116" s="89"/>
      <c r="ILZ116" s="89"/>
      <c r="IMA116" s="89"/>
      <c r="IMB116" s="89"/>
      <c r="IMC116" s="89"/>
      <c r="IMD116" s="89"/>
      <c r="IME116" s="89"/>
      <c r="IMF116" s="89"/>
      <c r="IML116" s="89"/>
      <c r="IMM116" s="89"/>
      <c r="IMN116" s="89"/>
      <c r="IMO116" s="89"/>
      <c r="IMP116" s="89"/>
      <c r="IMQ116" s="89"/>
      <c r="IMR116" s="89"/>
      <c r="IMS116" s="89"/>
      <c r="IMT116" s="89"/>
      <c r="IMU116" s="89"/>
      <c r="IMV116" s="89"/>
      <c r="IMW116" s="89"/>
      <c r="IMX116" s="94"/>
      <c r="IMY116" s="89"/>
      <c r="IMZ116" s="89"/>
      <c r="INA116" s="89"/>
      <c r="INB116" s="89"/>
      <c r="INC116" s="89"/>
      <c r="IND116" s="94"/>
      <c r="INE116" s="89"/>
      <c r="INF116" s="89"/>
      <c r="ING116" s="89"/>
      <c r="INH116" s="89"/>
      <c r="INI116" s="89"/>
      <c r="INJ116" s="89"/>
      <c r="INK116" s="89"/>
      <c r="INL116" s="89"/>
      <c r="INM116" s="89"/>
      <c r="INN116" s="89"/>
      <c r="INO116" s="94"/>
      <c r="INP116" s="89"/>
      <c r="INQ116" s="89"/>
      <c r="INR116" s="89"/>
      <c r="INS116" s="89"/>
      <c r="INT116" s="89"/>
      <c r="INU116" s="89"/>
      <c r="INV116" s="89"/>
      <c r="INW116" s="89"/>
      <c r="INX116" s="89"/>
      <c r="INY116" s="89"/>
      <c r="INZ116" s="89"/>
      <c r="IOA116" s="89"/>
      <c r="IOB116" s="89"/>
      <c r="IOC116" s="89"/>
      <c r="IOD116" s="89"/>
      <c r="IOE116" s="89"/>
      <c r="IOF116" s="89"/>
      <c r="IOG116" s="89"/>
      <c r="IOH116" s="89"/>
      <c r="IOI116" s="89"/>
      <c r="IOJ116" s="89"/>
      <c r="IOK116" s="89"/>
      <c r="IOL116" s="89"/>
      <c r="IOM116" s="89"/>
      <c r="IOS116" s="89"/>
      <c r="IOT116" s="89"/>
      <c r="IOU116" s="89"/>
      <c r="IOV116" s="89"/>
      <c r="IOW116" s="89"/>
      <c r="IOX116" s="89"/>
      <c r="IOY116" s="89"/>
      <c r="IOZ116" s="89"/>
      <c r="IPA116" s="89"/>
      <c r="IPB116" s="89"/>
      <c r="IPC116" s="89"/>
      <c r="IPD116" s="89"/>
      <c r="IPE116" s="94"/>
      <c r="IPF116" s="89"/>
      <c r="IPG116" s="89"/>
      <c r="IPH116" s="89"/>
      <c r="IPI116" s="89"/>
      <c r="IPJ116" s="89"/>
      <c r="IPK116" s="94"/>
      <c r="IPL116" s="89"/>
      <c r="IPM116" s="89"/>
      <c r="IPN116" s="89"/>
      <c r="IPO116" s="89"/>
      <c r="IPP116" s="89"/>
      <c r="IPQ116" s="89"/>
      <c r="IPR116" s="89"/>
      <c r="IPS116" s="89"/>
      <c r="IPT116" s="89"/>
      <c r="IPU116" s="89"/>
      <c r="IPV116" s="94"/>
      <c r="IPW116" s="89"/>
      <c r="IPX116" s="89"/>
      <c r="IPY116" s="89"/>
      <c r="IPZ116" s="89"/>
      <c r="IQA116" s="89"/>
      <c r="IQB116" s="89"/>
      <c r="IQC116" s="89"/>
      <c r="IQD116" s="89"/>
      <c r="IQE116" s="89"/>
      <c r="IQF116" s="89"/>
      <c r="IQG116" s="89"/>
      <c r="IQH116" s="89"/>
      <c r="IQI116" s="89"/>
      <c r="IQJ116" s="89"/>
      <c r="IQK116" s="89"/>
      <c r="IQL116" s="89"/>
      <c r="IQM116" s="89"/>
      <c r="IQN116" s="89"/>
      <c r="IQO116" s="89"/>
      <c r="IQP116" s="89"/>
      <c r="IQQ116" s="89"/>
      <c r="IQR116" s="89"/>
      <c r="IQS116" s="89"/>
      <c r="IQT116" s="89"/>
      <c r="IQZ116" s="89"/>
      <c r="IRA116" s="89"/>
      <c r="IRB116" s="89"/>
      <c r="IRC116" s="89"/>
      <c r="IRD116" s="89"/>
      <c r="IRE116" s="89"/>
      <c r="IRF116" s="89"/>
      <c r="IRG116" s="89"/>
      <c r="IRH116" s="89"/>
      <c r="IRI116" s="89"/>
      <c r="IRJ116" s="89"/>
      <c r="IRK116" s="89"/>
      <c r="IRL116" s="94"/>
      <c r="IRM116" s="89"/>
      <c r="IRN116" s="89"/>
      <c r="IRO116" s="89"/>
      <c r="IRP116" s="89"/>
      <c r="IRQ116" s="89"/>
      <c r="IRR116" s="94"/>
      <c r="IRS116" s="89"/>
      <c r="IRT116" s="89"/>
      <c r="IRU116" s="89"/>
      <c r="IRV116" s="89"/>
      <c r="IRW116" s="89"/>
      <c r="IRX116" s="89"/>
      <c r="IRY116" s="89"/>
      <c r="IRZ116" s="89"/>
      <c r="ISA116" s="89"/>
      <c r="ISB116" s="89"/>
      <c r="ISC116" s="94"/>
      <c r="ISD116" s="89"/>
      <c r="ISE116" s="89"/>
      <c r="ISF116" s="89"/>
      <c r="ISG116" s="89"/>
      <c r="ISH116" s="89"/>
      <c r="ISI116" s="89"/>
      <c r="ISJ116" s="89"/>
      <c r="ISK116" s="89"/>
      <c r="ISL116" s="89"/>
      <c r="ISM116" s="89"/>
      <c r="ISN116" s="89"/>
      <c r="ISO116" s="89"/>
      <c r="ISP116" s="89"/>
      <c r="ISQ116" s="89"/>
      <c r="ISR116" s="89"/>
      <c r="ISS116" s="89"/>
      <c r="IST116" s="89"/>
      <c r="ISU116" s="89"/>
      <c r="ISV116" s="89"/>
      <c r="ISW116" s="89"/>
      <c r="ISX116" s="89"/>
      <c r="ISY116" s="89"/>
      <c r="ISZ116" s="89"/>
      <c r="ITA116" s="89"/>
      <c r="ITG116" s="89"/>
      <c r="ITH116" s="89"/>
      <c r="ITI116" s="89"/>
      <c r="ITJ116" s="89"/>
      <c r="ITK116" s="89"/>
      <c r="ITL116" s="89"/>
      <c r="ITM116" s="89"/>
      <c r="ITN116" s="89"/>
      <c r="ITO116" s="89"/>
      <c r="ITP116" s="89"/>
      <c r="ITQ116" s="89"/>
      <c r="ITR116" s="89"/>
      <c r="ITS116" s="94"/>
      <c r="ITT116" s="89"/>
      <c r="ITU116" s="89"/>
      <c r="ITV116" s="89"/>
      <c r="ITW116" s="89"/>
      <c r="ITX116" s="89"/>
      <c r="ITY116" s="94"/>
      <c r="ITZ116" s="89"/>
      <c r="IUA116" s="89"/>
      <c r="IUB116" s="89"/>
      <c r="IUC116" s="89"/>
      <c r="IUD116" s="89"/>
      <c r="IUE116" s="89"/>
      <c r="IUF116" s="89"/>
      <c r="IUG116" s="89"/>
      <c r="IUH116" s="89"/>
      <c r="IUI116" s="89"/>
      <c r="IUJ116" s="94"/>
      <c r="IUK116" s="89"/>
      <c r="IUL116" s="89"/>
      <c r="IUM116" s="89"/>
      <c r="IUN116" s="89"/>
      <c r="IUO116" s="89"/>
      <c r="IUP116" s="89"/>
      <c r="IUQ116" s="89"/>
      <c r="IUR116" s="89"/>
      <c r="IUS116" s="89"/>
      <c r="IUT116" s="89"/>
      <c r="IUU116" s="89"/>
      <c r="IUV116" s="89"/>
      <c r="IUW116" s="89"/>
      <c r="IUX116" s="89"/>
      <c r="IUY116" s="89"/>
      <c r="IUZ116" s="89"/>
      <c r="IVA116" s="89"/>
      <c r="IVB116" s="89"/>
      <c r="IVC116" s="89"/>
      <c r="IVD116" s="89"/>
      <c r="IVE116" s="89"/>
      <c r="IVF116" s="89"/>
      <c r="IVG116" s="89"/>
      <c r="IVH116" s="89"/>
      <c r="IVN116" s="89"/>
      <c r="IVO116" s="89"/>
      <c r="IVP116" s="89"/>
      <c r="IVQ116" s="89"/>
      <c r="IVR116" s="89"/>
      <c r="IVS116" s="89"/>
      <c r="IVT116" s="89"/>
      <c r="IVU116" s="89"/>
      <c r="IVV116" s="89"/>
      <c r="IVW116" s="89"/>
      <c r="IVX116" s="89"/>
      <c r="IVY116" s="89"/>
      <c r="IVZ116" s="94"/>
      <c r="IWA116" s="89"/>
      <c r="IWB116" s="89"/>
      <c r="IWC116" s="89"/>
      <c r="IWD116" s="89"/>
      <c r="IWE116" s="89"/>
      <c r="IWF116" s="94"/>
      <c r="IWG116" s="89"/>
      <c r="IWH116" s="89"/>
      <c r="IWI116" s="89"/>
      <c r="IWJ116" s="89"/>
      <c r="IWK116" s="89"/>
      <c r="IWL116" s="89"/>
      <c r="IWM116" s="89"/>
      <c r="IWN116" s="89"/>
      <c r="IWO116" s="89"/>
      <c r="IWP116" s="89"/>
      <c r="IWQ116" s="94"/>
      <c r="IWR116" s="89"/>
      <c r="IWS116" s="89"/>
      <c r="IWT116" s="89"/>
      <c r="IWU116" s="89"/>
      <c r="IWV116" s="89"/>
      <c r="IWW116" s="89"/>
      <c r="IWX116" s="89"/>
      <c r="IWY116" s="89"/>
      <c r="IWZ116" s="89"/>
      <c r="IXA116" s="89"/>
      <c r="IXB116" s="89"/>
      <c r="IXC116" s="89"/>
      <c r="IXD116" s="89"/>
      <c r="IXE116" s="89"/>
      <c r="IXF116" s="89"/>
      <c r="IXG116" s="89"/>
      <c r="IXH116" s="89"/>
      <c r="IXI116" s="89"/>
      <c r="IXJ116" s="89"/>
      <c r="IXK116" s="89"/>
      <c r="IXL116" s="89"/>
      <c r="IXM116" s="89"/>
      <c r="IXN116" s="89"/>
      <c r="IXO116" s="89"/>
      <c r="IXU116" s="89"/>
      <c r="IXV116" s="89"/>
      <c r="IXW116" s="89"/>
      <c r="IXX116" s="89"/>
      <c r="IXY116" s="89"/>
      <c r="IXZ116" s="89"/>
      <c r="IYA116" s="89"/>
      <c r="IYB116" s="89"/>
      <c r="IYC116" s="89"/>
      <c r="IYD116" s="89"/>
      <c r="IYE116" s="89"/>
      <c r="IYF116" s="89"/>
      <c r="IYG116" s="94"/>
      <c r="IYH116" s="89"/>
      <c r="IYI116" s="89"/>
      <c r="IYJ116" s="89"/>
      <c r="IYK116" s="89"/>
      <c r="IYL116" s="89"/>
      <c r="IYM116" s="94"/>
      <c r="IYN116" s="89"/>
      <c r="IYO116" s="89"/>
      <c r="IYP116" s="89"/>
      <c r="IYQ116" s="89"/>
      <c r="IYR116" s="89"/>
      <c r="IYS116" s="89"/>
      <c r="IYT116" s="89"/>
      <c r="IYU116" s="89"/>
      <c r="IYV116" s="89"/>
      <c r="IYW116" s="89"/>
      <c r="IYX116" s="94"/>
      <c r="IYY116" s="89"/>
      <c r="IYZ116" s="89"/>
      <c r="IZA116" s="89"/>
      <c r="IZB116" s="89"/>
      <c r="IZC116" s="89"/>
      <c r="IZD116" s="89"/>
      <c r="IZE116" s="89"/>
      <c r="IZF116" s="89"/>
      <c r="IZG116" s="89"/>
      <c r="IZH116" s="89"/>
      <c r="IZI116" s="89"/>
      <c r="IZJ116" s="89"/>
      <c r="IZK116" s="89"/>
      <c r="IZL116" s="89"/>
      <c r="IZM116" s="89"/>
      <c r="IZN116" s="89"/>
      <c r="IZO116" s="89"/>
      <c r="IZP116" s="89"/>
      <c r="IZQ116" s="89"/>
      <c r="IZR116" s="89"/>
      <c r="IZS116" s="89"/>
      <c r="IZT116" s="89"/>
      <c r="IZU116" s="89"/>
      <c r="IZV116" s="89"/>
      <c r="JAB116" s="89"/>
      <c r="JAC116" s="89"/>
      <c r="JAD116" s="89"/>
      <c r="JAE116" s="89"/>
      <c r="JAF116" s="89"/>
      <c r="JAG116" s="89"/>
      <c r="JAH116" s="89"/>
      <c r="JAI116" s="89"/>
      <c r="JAJ116" s="89"/>
      <c r="JAK116" s="89"/>
      <c r="JAL116" s="89"/>
      <c r="JAM116" s="89"/>
      <c r="JAN116" s="94"/>
      <c r="JAO116" s="89"/>
      <c r="JAP116" s="89"/>
      <c r="JAQ116" s="89"/>
      <c r="JAR116" s="89"/>
      <c r="JAS116" s="89"/>
      <c r="JAT116" s="94"/>
      <c r="JAU116" s="89"/>
      <c r="JAV116" s="89"/>
      <c r="JAW116" s="89"/>
      <c r="JAX116" s="89"/>
      <c r="JAY116" s="89"/>
      <c r="JAZ116" s="89"/>
      <c r="JBA116" s="89"/>
      <c r="JBB116" s="89"/>
      <c r="JBC116" s="89"/>
      <c r="JBD116" s="89"/>
      <c r="JBE116" s="94"/>
      <c r="JBF116" s="89"/>
      <c r="JBG116" s="89"/>
      <c r="JBH116" s="89"/>
      <c r="JBI116" s="89"/>
      <c r="JBJ116" s="89"/>
      <c r="JBK116" s="89"/>
      <c r="JBL116" s="89"/>
      <c r="JBM116" s="89"/>
      <c r="JBN116" s="89"/>
      <c r="JBO116" s="89"/>
      <c r="JBP116" s="89"/>
      <c r="JBQ116" s="89"/>
      <c r="JBR116" s="89"/>
      <c r="JBS116" s="89"/>
      <c r="JBT116" s="89"/>
      <c r="JBU116" s="89"/>
      <c r="JBV116" s="89"/>
      <c r="JBW116" s="89"/>
      <c r="JBX116" s="89"/>
      <c r="JBY116" s="89"/>
      <c r="JBZ116" s="89"/>
      <c r="JCA116" s="89"/>
      <c r="JCB116" s="89"/>
      <c r="JCC116" s="89"/>
      <c r="JCI116" s="89"/>
      <c r="JCJ116" s="89"/>
      <c r="JCK116" s="89"/>
      <c r="JCL116" s="89"/>
      <c r="JCM116" s="89"/>
      <c r="JCN116" s="89"/>
      <c r="JCO116" s="89"/>
      <c r="JCP116" s="89"/>
      <c r="JCQ116" s="89"/>
      <c r="JCR116" s="89"/>
      <c r="JCS116" s="89"/>
      <c r="JCT116" s="89"/>
      <c r="JCU116" s="94"/>
      <c r="JCV116" s="89"/>
      <c r="JCW116" s="89"/>
      <c r="JCX116" s="89"/>
      <c r="JCY116" s="89"/>
      <c r="JCZ116" s="89"/>
      <c r="JDA116" s="94"/>
      <c r="JDB116" s="89"/>
      <c r="JDC116" s="89"/>
      <c r="JDD116" s="89"/>
      <c r="JDE116" s="89"/>
      <c r="JDF116" s="89"/>
      <c r="JDG116" s="89"/>
      <c r="JDH116" s="89"/>
      <c r="JDI116" s="89"/>
      <c r="JDJ116" s="89"/>
      <c r="JDK116" s="89"/>
      <c r="JDL116" s="94"/>
      <c r="JDM116" s="89"/>
      <c r="JDN116" s="89"/>
      <c r="JDO116" s="89"/>
      <c r="JDP116" s="89"/>
      <c r="JDQ116" s="89"/>
      <c r="JDR116" s="89"/>
      <c r="JDS116" s="89"/>
      <c r="JDT116" s="89"/>
      <c r="JDU116" s="89"/>
      <c r="JDV116" s="89"/>
      <c r="JDW116" s="89"/>
      <c r="JDX116" s="89"/>
      <c r="JDY116" s="89"/>
      <c r="JDZ116" s="89"/>
      <c r="JEA116" s="89"/>
      <c r="JEB116" s="89"/>
      <c r="JEC116" s="89"/>
      <c r="JED116" s="89"/>
      <c r="JEE116" s="89"/>
      <c r="JEF116" s="89"/>
      <c r="JEG116" s="89"/>
      <c r="JEH116" s="89"/>
      <c r="JEI116" s="89"/>
      <c r="JEJ116" s="89"/>
      <c r="JEP116" s="89"/>
      <c r="JEQ116" s="89"/>
      <c r="JER116" s="89"/>
      <c r="JES116" s="89"/>
      <c r="JET116" s="89"/>
      <c r="JEU116" s="89"/>
      <c r="JEV116" s="89"/>
      <c r="JEW116" s="89"/>
      <c r="JEX116" s="89"/>
      <c r="JEY116" s="89"/>
      <c r="JEZ116" s="89"/>
      <c r="JFA116" s="89"/>
      <c r="JFB116" s="94"/>
      <c r="JFC116" s="89"/>
      <c r="JFD116" s="89"/>
      <c r="JFE116" s="89"/>
      <c r="JFF116" s="89"/>
      <c r="JFG116" s="89"/>
      <c r="JFH116" s="94"/>
      <c r="JFI116" s="89"/>
      <c r="JFJ116" s="89"/>
      <c r="JFK116" s="89"/>
      <c r="JFL116" s="89"/>
      <c r="JFM116" s="89"/>
      <c r="JFN116" s="89"/>
      <c r="JFO116" s="89"/>
      <c r="JFP116" s="89"/>
      <c r="JFQ116" s="89"/>
      <c r="JFR116" s="89"/>
      <c r="JFS116" s="94"/>
      <c r="JFT116" s="89"/>
      <c r="JFU116" s="89"/>
      <c r="JFV116" s="89"/>
      <c r="JFW116" s="89"/>
      <c r="JFX116" s="89"/>
      <c r="JFY116" s="89"/>
      <c r="JFZ116" s="89"/>
      <c r="JGA116" s="89"/>
      <c r="JGB116" s="89"/>
      <c r="JGC116" s="89"/>
      <c r="JGD116" s="89"/>
      <c r="JGE116" s="89"/>
      <c r="JGF116" s="89"/>
      <c r="JGG116" s="89"/>
      <c r="JGH116" s="89"/>
      <c r="JGI116" s="89"/>
      <c r="JGJ116" s="89"/>
      <c r="JGK116" s="89"/>
      <c r="JGL116" s="89"/>
      <c r="JGM116" s="89"/>
      <c r="JGN116" s="89"/>
      <c r="JGO116" s="89"/>
      <c r="JGP116" s="89"/>
      <c r="JGQ116" s="89"/>
      <c r="JGW116" s="89"/>
      <c r="JGX116" s="89"/>
      <c r="JGY116" s="89"/>
      <c r="JGZ116" s="89"/>
      <c r="JHA116" s="89"/>
      <c r="JHB116" s="89"/>
      <c r="JHC116" s="89"/>
      <c r="JHD116" s="89"/>
      <c r="JHE116" s="89"/>
      <c r="JHF116" s="89"/>
      <c r="JHG116" s="89"/>
      <c r="JHH116" s="89"/>
      <c r="JHI116" s="94"/>
      <c r="JHJ116" s="89"/>
      <c r="JHK116" s="89"/>
      <c r="JHL116" s="89"/>
      <c r="JHM116" s="89"/>
      <c r="JHN116" s="89"/>
      <c r="JHO116" s="94"/>
      <c r="JHP116" s="89"/>
      <c r="JHQ116" s="89"/>
      <c r="JHR116" s="89"/>
      <c r="JHS116" s="89"/>
      <c r="JHT116" s="89"/>
      <c r="JHU116" s="89"/>
      <c r="JHV116" s="89"/>
      <c r="JHW116" s="89"/>
      <c r="JHX116" s="89"/>
      <c r="JHY116" s="89"/>
      <c r="JHZ116" s="94"/>
      <c r="JIA116" s="89"/>
      <c r="JIB116" s="89"/>
      <c r="JIC116" s="89"/>
      <c r="JID116" s="89"/>
      <c r="JIE116" s="89"/>
      <c r="JIF116" s="89"/>
      <c r="JIG116" s="89"/>
      <c r="JIH116" s="89"/>
      <c r="JII116" s="89"/>
      <c r="JIJ116" s="89"/>
      <c r="JIK116" s="89"/>
      <c r="JIL116" s="89"/>
      <c r="JIM116" s="89"/>
      <c r="JIN116" s="89"/>
      <c r="JIO116" s="89"/>
      <c r="JIP116" s="89"/>
      <c r="JIQ116" s="89"/>
      <c r="JIR116" s="89"/>
      <c r="JIS116" s="89"/>
      <c r="JIT116" s="89"/>
      <c r="JIU116" s="89"/>
      <c r="JIV116" s="89"/>
      <c r="JIW116" s="89"/>
      <c r="JIX116" s="89"/>
      <c r="JJD116" s="89"/>
      <c r="JJE116" s="89"/>
      <c r="JJF116" s="89"/>
      <c r="JJG116" s="89"/>
      <c r="JJH116" s="89"/>
      <c r="JJI116" s="89"/>
      <c r="JJJ116" s="89"/>
      <c r="JJK116" s="89"/>
      <c r="JJL116" s="89"/>
      <c r="JJM116" s="89"/>
      <c r="JJN116" s="89"/>
      <c r="JJO116" s="89"/>
      <c r="JJP116" s="94"/>
      <c r="JJQ116" s="89"/>
      <c r="JJR116" s="89"/>
      <c r="JJS116" s="89"/>
      <c r="JJT116" s="89"/>
      <c r="JJU116" s="89"/>
      <c r="JJV116" s="94"/>
      <c r="JJW116" s="89"/>
      <c r="JJX116" s="89"/>
      <c r="JJY116" s="89"/>
      <c r="JJZ116" s="89"/>
      <c r="JKA116" s="89"/>
      <c r="JKB116" s="89"/>
      <c r="JKC116" s="89"/>
      <c r="JKD116" s="89"/>
      <c r="JKE116" s="89"/>
      <c r="JKF116" s="89"/>
      <c r="JKG116" s="94"/>
      <c r="JKH116" s="89"/>
      <c r="JKI116" s="89"/>
      <c r="JKJ116" s="89"/>
      <c r="JKK116" s="89"/>
      <c r="JKL116" s="89"/>
      <c r="JKM116" s="89"/>
      <c r="JKN116" s="89"/>
      <c r="JKO116" s="89"/>
      <c r="JKP116" s="89"/>
      <c r="JKQ116" s="89"/>
      <c r="JKR116" s="89"/>
      <c r="JKS116" s="89"/>
      <c r="JKT116" s="89"/>
      <c r="JKU116" s="89"/>
      <c r="JKV116" s="89"/>
      <c r="JKW116" s="89"/>
      <c r="JKX116" s="89"/>
      <c r="JKY116" s="89"/>
      <c r="JKZ116" s="89"/>
      <c r="JLA116" s="89"/>
      <c r="JLB116" s="89"/>
      <c r="JLC116" s="89"/>
      <c r="JLD116" s="89"/>
      <c r="JLE116" s="89"/>
      <c r="JLK116" s="89"/>
      <c r="JLL116" s="89"/>
      <c r="JLM116" s="89"/>
      <c r="JLN116" s="89"/>
      <c r="JLO116" s="89"/>
      <c r="JLP116" s="89"/>
      <c r="JLQ116" s="89"/>
      <c r="JLR116" s="89"/>
      <c r="JLS116" s="89"/>
      <c r="JLT116" s="89"/>
      <c r="JLU116" s="89"/>
      <c r="JLV116" s="89"/>
      <c r="JLW116" s="94"/>
      <c r="JLX116" s="89"/>
      <c r="JLY116" s="89"/>
      <c r="JLZ116" s="89"/>
      <c r="JMA116" s="89"/>
      <c r="JMB116" s="89"/>
      <c r="JMC116" s="94"/>
      <c r="JMD116" s="89"/>
      <c r="JME116" s="89"/>
      <c r="JMF116" s="89"/>
      <c r="JMG116" s="89"/>
      <c r="JMH116" s="89"/>
      <c r="JMI116" s="89"/>
      <c r="JMJ116" s="89"/>
      <c r="JMK116" s="89"/>
      <c r="JML116" s="89"/>
      <c r="JMM116" s="89"/>
      <c r="JMN116" s="94"/>
      <c r="JMO116" s="89"/>
      <c r="JMP116" s="89"/>
      <c r="JMQ116" s="89"/>
      <c r="JMR116" s="89"/>
      <c r="JMS116" s="89"/>
      <c r="JMT116" s="89"/>
      <c r="JMU116" s="89"/>
      <c r="JMV116" s="89"/>
      <c r="JMW116" s="89"/>
      <c r="JMX116" s="89"/>
      <c r="JMY116" s="89"/>
      <c r="JMZ116" s="89"/>
      <c r="JNA116" s="89"/>
      <c r="JNB116" s="89"/>
      <c r="JNC116" s="89"/>
      <c r="JND116" s="89"/>
      <c r="JNE116" s="89"/>
      <c r="JNF116" s="89"/>
      <c r="JNG116" s="89"/>
      <c r="JNH116" s="89"/>
      <c r="JNI116" s="89"/>
      <c r="JNJ116" s="89"/>
      <c r="JNK116" s="89"/>
      <c r="JNL116" s="89"/>
      <c r="JNR116" s="89"/>
      <c r="JNS116" s="89"/>
      <c r="JNT116" s="89"/>
      <c r="JNU116" s="89"/>
      <c r="JNV116" s="89"/>
      <c r="JNW116" s="89"/>
      <c r="JNX116" s="89"/>
      <c r="JNY116" s="89"/>
      <c r="JNZ116" s="89"/>
      <c r="JOA116" s="89"/>
      <c r="JOB116" s="89"/>
      <c r="JOC116" s="89"/>
      <c r="JOD116" s="94"/>
      <c r="JOE116" s="89"/>
      <c r="JOF116" s="89"/>
      <c r="JOG116" s="89"/>
      <c r="JOH116" s="89"/>
      <c r="JOI116" s="89"/>
      <c r="JOJ116" s="94"/>
      <c r="JOK116" s="89"/>
      <c r="JOL116" s="89"/>
      <c r="JOM116" s="89"/>
      <c r="JON116" s="89"/>
      <c r="JOO116" s="89"/>
      <c r="JOP116" s="89"/>
      <c r="JOQ116" s="89"/>
      <c r="JOR116" s="89"/>
      <c r="JOS116" s="89"/>
      <c r="JOT116" s="89"/>
      <c r="JOU116" s="94"/>
      <c r="JOV116" s="89"/>
      <c r="JOW116" s="89"/>
      <c r="JOX116" s="89"/>
      <c r="JOY116" s="89"/>
      <c r="JOZ116" s="89"/>
      <c r="JPA116" s="89"/>
      <c r="JPB116" s="89"/>
      <c r="JPC116" s="89"/>
      <c r="JPD116" s="89"/>
      <c r="JPE116" s="89"/>
      <c r="JPF116" s="89"/>
      <c r="JPG116" s="89"/>
      <c r="JPH116" s="89"/>
      <c r="JPI116" s="89"/>
      <c r="JPJ116" s="89"/>
      <c r="JPK116" s="89"/>
      <c r="JPL116" s="89"/>
      <c r="JPM116" s="89"/>
      <c r="JPN116" s="89"/>
      <c r="JPO116" s="89"/>
      <c r="JPP116" s="89"/>
      <c r="JPQ116" s="89"/>
      <c r="JPR116" s="89"/>
      <c r="JPS116" s="89"/>
      <c r="JPY116" s="89"/>
      <c r="JPZ116" s="89"/>
      <c r="JQA116" s="89"/>
      <c r="JQB116" s="89"/>
      <c r="JQC116" s="89"/>
      <c r="JQD116" s="89"/>
      <c r="JQE116" s="89"/>
      <c r="JQF116" s="89"/>
      <c r="JQG116" s="89"/>
      <c r="JQH116" s="89"/>
      <c r="JQI116" s="89"/>
      <c r="JQJ116" s="89"/>
      <c r="JQK116" s="94"/>
      <c r="JQL116" s="89"/>
      <c r="JQM116" s="89"/>
      <c r="JQN116" s="89"/>
      <c r="JQO116" s="89"/>
      <c r="JQP116" s="89"/>
      <c r="JQQ116" s="94"/>
      <c r="JQR116" s="89"/>
      <c r="JQS116" s="89"/>
      <c r="JQT116" s="89"/>
      <c r="JQU116" s="89"/>
      <c r="JQV116" s="89"/>
      <c r="JQW116" s="89"/>
      <c r="JQX116" s="89"/>
      <c r="JQY116" s="89"/>
      <c r="JQZ116" s="89"/>
      <c r="JRA116" s="89"/>
      <c r="JRB116" s="94"/>
      <c r="JRC116" s="89"/>
      <c r="JRD116" s="89"/>
      <c r="JRE116" s="89"/>
      <c r="JRF116" s="89"/>
      <c r="JRG116" s="89"/>
      <c r="JRH116" s="89"/>
      <c r="JRI116" s="89"/>
      <c r="JRJ116" s="89"/>
      <c r="JRK116" s="89"/>
      <c r="JRL116" s="89"/>
      <c r="JRM116" s="89"/>
      <c r="JRN116" s="89"/>
      <c r="JRO116" s="89"/>
      <c r="JRP116" s="89"/>
      <c r="JRQ116" s="89"/>
      <c r="JRR116" s="89"/>
      <c r="JRS116" s="89"/>
      <c r="JRT116" s="89"/>
      <c r="JRU116" s="89"/>
      <c r="JRV116" s="89"/>
      <c r="JRW116" s="89"/>
      <c r="JRX116" s="89"/>
      <c r="JRY116" s="89"/>
      <c r="JRZ116" s="89"/>
      <c r="JSF116" s="89"/>
      <c r="JSG116" s="89"/>
      <c r="JSH116" s="89"/>
      <c r="JSI116" s="89"/>
      <c r="JSJ116" s="89"/>
      <c r="JSK116" s="89"/>
      <c r="JSL116" s="89"/>
      <c r="JSM116" s="89"/>
      <c r="JSN116" s="89"/>
      <c r="JSO116" s="89"/>
      <c r="JSP116" s="89"/>
      <c r="JSQ116" s="89"/>
      <c r="JSR116" s="94"/>
      <c r="JSS116" s="89"/>
      <c r="JST116" s="89"/>
      <c r="JSU116" s="89"/>
      <c r="JSV116" s="89"/>
      <c r="JSW116" s="89"/>
      <c r="JSX116" s="94"/>
      <c r="JSY116" s="89"/>
      <c r="JSZ116" s="89"/>
      <c r="JTA116" s="89"/>
      <c r="JTB116" s="89"/>
      <c r="JTC116" s="89"/>
      <c r="JTD116" s="89"/>
      <c r="JTE116" s="89"/>
      <c r="JTF116" s="89"/>
      <c r="JTG116" s="89"/>
      <c r="JTH116" s="89"/>
      <c r="JTI116" s="94"/>
      <c r="JTJ116" s="89"/>
      <c r="JTK116" s="89"/>
      <c r="JTL116" s="89"/>
      <c r="JTM116" s="89"/>
      <c r="JTN116" s="89"/>
      <c r="JTO116" s="89"/>
      <c r="JTP116" s="89"/>
      <c r="JTQ116" s="89"/>
      <c r="JTR116" s="89"/>
      <c r="JTS116" s="89"/>
      <c r="JTT116" s="89"/>
      <c r="JTU116" s="89"/>
      <c r="JTV116" s="89"/>
      <c r="JTW116" s="89"/>
      <c r="JTX116" s="89"/>
      <c r="JTY116" s="89"/>
      <c r="JTZ116" s="89"/>
      <c r="JUA116" s="89"/>
      <c r="JUB116" s="89"/>
      <c r="JUC116" s="89"/>
      <c r="JUD116" s="89"/>
      <c r="JUE116" s="89"/>
      <c r="JUF116" s="89"/>
      <c r="JUG116" s="89"/>
      <c r="JUM116" s="89"/>
      <c r="JUN116" s="89"/>
      <c r="JUO116" s="89"/>
      <c r="JUP116" s="89"/>
      <c r="JUQ116" s="89"/>
      <c r="JUR116" s="89"/>
      <c r="JUS116" s="89"/>
      <c r="JUT116" s="89"/>
      <c r="JUU116" s="89"/>
      <c r="JUV116" s="89"/>
      <c r="JUW116" s="89"/>
      <c r="JUX116" s="89"/>
      <c r="JUY116" s="94"/>
      <c r="JUZ116" s="89"/>
      <c r="JVA116" s="89"/>
      <c r="JVB116" s="89"/>
      <c r="JVC116" s="89"/>
      <c r="JVD116" s="89"/>
      <c r="JVE116" s="94"/>
      <c r="JVF116" s="89"/>
      <c r="JVG116" s="89"/>
      <c r="JVH116" s="89"/>
      <c r="JVI116" s="89"/>
      <c r="JVJ116" s="89"/>
      <c r="JVK116" s="89"/>
      <c r="JVL116" s="89"/>
      <c r="JVM116" s="89"/>
      <c r="JVN116" s="89"/>
      <c r="JVO116" s="89"/>
      <c r="JVP116" s="94"/>
      <c r="JVQ116" s="89"/>
      <c r="JVR116" s="89"/>
      <c r="JVS116" s="89"/>
      <c r="JVT116" s="89"/>
      <c r="JVU116" s="89"/>
      <c r="JVV116" s="89"/>
      <c r="JVW116" s="89"/>
      <c r="JVX116" s="89"/>
      <c r="JVY116" s="89"/>
      <c r="JVZ116" s="89"/>
      <c r="JWA116" s="89"/>
      <c r="JWB116" s="89"/>
      <c r="JWC116" s="89"/>
      <c r="JWD116" s="89"/>
      <c r="JWE116" s="89"/>
      <c r="JWF116" s="89"/>
      <c r="JWG116" s="89"/>
      <c r="JWH116" s="89"/>
      <c r="JWI116" s="89"/>
      <c r="JWJ116" s="89"/>
      <c r="JWK116" s="89"/>
      <c r="JWL116" s="89"/>
      <c r="JWM116" s="89"/>
      <c r="JWN116" s="89"/>
      <c r="JWT116" s="89"/>
      <c r="JWU116" s="89"/>
      <c r="JWV116" s="89"/>
      <c r="JWW116" s="89"/>
      <c r="JWX116" s="89"/>
      <c r="JWY116" s="89"/>
      <c r="JWZ116" s="89"/>
      <c r="JXA116" s="89"/>
      <c r="JXB116" s="89"/>
      <c r="JXC116" s="89"/>
      <c r="JXD116" s="89"/>
      <c r="JXE116" s="89"/>
      <c r="JXF116" s="94"/>
      <c r="JXG116" s="89"/>
      <c r="JXH116" s="89"/>
      <c r="JXI116" s="89"/>
      <c r="JXJ116" s="89"/>
      <c r="JXK116" s="89"/>
      <c r="JXL116" s="94"/>
      <c r="JXM116" s="89"/>
      <c r="JXN116" s="89"/>
      <c r="JXO116" s="89"/>
      <c r="JXP116" s="89"/>
      <c r="JXQ116" s="89"/>
      <c r="JXR116" s="89"/>
      <c r="JXS116" s="89"/>
      <c r="JXT116" s="89"/>
      <c r="JXU116" s="89"/>
      <c r="JXV116" s="89"/>
      <c r="JXW116" s="94"/>
      <c r="JXX116" s="89"/>
      <c r="JXY116" s="89"/>
      <c r="JXZ116" s="89"/>
      <c r="JYA116" s="89"/>
      <c r="JYB116" s="89"/>
      <c r="JYC116" s="89"/>
      <c r="JYD116" s="89"/>
      <c r="JYE116" s="89"/>
      <c r="JYF116" s="89"/>
      <c r="JYG116" s="89"/>
      <c r="JYH116" s="89"/>
      <c r="JYI116" s="89"/>
      <c r="JYJ116" s="89"/>
      <c r="JYK116" s="89"/>
      <c r="JYL116" s="89"/>
      <c r="JYM116" s="89"/>
      <c r="JYN116" s="89"/>
      <c r="JYO116" s="89"/>
      <c r="JYP116" s="89"/>
      <c r="JYQ116" s="89"/>
      <c r="JYR116" s="89"/>
      <c r="JYS116" s="89"/>
      <c r="JYT116" s="89"/>
      <c r="JYU116" s="89"/>
      <c r="JZA116" s="89"/>
      <c r="JZB116" s="89"/>
      <c r="JZC116" s="89"/>
      <c r="JZD116" s="89"/>
      <c r="JZE116" s="89"/>
      <c r="JZF116" s="89"/>
      <c r="JZG116" s="89"/>
      <c r="JZH116" s="89"/>
      <c r="JZI116" s="89"/>
      <c r="JZJ116" s="89"/>
      <c r="JZK116" s="89"/>
      <c r="JZL116" s="89"/>
      <c r="JZM116" s="94"/>
      <c r="JZN116" s="89"/>
      <c r="JZO116" s="89"/>
      <c r="JZP116" s="89"/>
      <c r="JZQ116" s="89"/>
      <c r="JZR116" s="89"/>
      <c r="JZS116" s="94"/>
      <c r="JZT116" s="89"/>
      <c r="JZU116" s="89"/>
      <c r="JZV116" s="89"/>
      <c r="JZW116" s="89"/>
      <c r="JZX116" s="89"/>
      <c r="JZY116" s="89"/>
      <c r="JZZ116" s="89"/>
      <c r="KAA116" s="89"/>
      <c r="KAB116" s="89"/>
      <c r="KAC116" s="89"/>
      <c r="KAD116" s="94"/>
      <c r="KAE116" s="89"/>
      <c r="KAF116" s="89"/>
      <c r="KAG116" s="89"/>
      <c r="KAH116" s="89"/>
      <c r="KAI116" s="89"/>
      <c r="KAJ116" s="89"/>
      <c r="KAK116" s="89"/>
      <c r="KAL116" s="89"/>
      <c r="KAM116" s="89"/>
      <c r="KAN116" s="89"/>
      <c r="KAO116" s="89"/>
      <c r="KAP116" s="89"/>
      <c r="KAQ116" s="89"/>
      <c r="KAR116" s="89"/>
      <c r="KAS116" s="89"/>
      <c r="KAT116" s="89"/>
      <c r="KAU116" s="89"/>
      <c r="KAV116" s="89"/>
      <c r="KAW116" s="89"/>
      <c r="KAX116" s="89"/>
      <c r="KAY116" s="89"/>
      <c r="KAZ116" s="89"/>
      <c r="KBA116" s="89"/>
      <c r="KBB116" s="89"/>
      <c r="KBH116" s="89"/>
      <c r="KBI116" s="89"/>
      <c r="KBJ116" s="89"/>
      <c r="KBK116" s="89"/>
      <c r="KBL116" s="89"/>
      <c r="KBM116" s="89"/>
      <c r="KBN116" s="89"/>
      <c r="KBO116" s="89"/>
      <c r="KBP116" s="89"/>
      <c r="KBQ116" s="89"/>
      <c r="KBR116" s="89"/>
      <c r="KBS116" s="89"/>
      <c r="KBT116" s="94"/>
      <c r="KBU116" s="89"/>
      <c r="KBV116" s="89"/>
      <c r="KBW116" s="89"/>
      <c r="KBX116" s="89"/>
      <c r="KBY116" s="89"/>
      <c r="KBZ116" s="94"/>
      <c r="KCA116" s="89"/>
      <c r="KCB116" s="89"/>
      <c r="KCC116" s="89"/>
      <c r="KCD116" s="89"/>
      <c r="KCE116" s="89"/>
      <c r="KCF116" s="89"/>
      <c r="KCG116" s="89"/>
      <c r="KCH116" s="89"/>
      <c r="KCI116" s="89"/>
      <c r="KCJ116" s="89"/>
      <c r="KCK116" s="94"/>
      <c r="KCL116" s="89"/>
      <c r="KCM116" s="89"/>
      <c r="KCN116" s="89"/>
      <c r="KCO116" s="89"/>
      <c r="KCP116" s="89"/>
      <c r="KCQ116" s="89"/>
      <c r="KCR116" s="89"/>
      <c r="KCS116" s="89"/>
      <c r="KCT116" s="89"/>
      <c r="KCU116" s="89"/>
      <c r="KCV116" s="89"/>
      <c r="KCW116" s="89"/>
      <c r="KCX116" s="89"/>
      <c r="KCY116" s="89"/>
      <c r="KCZ116" s="89"/>
      <c r="KDA116" s="89"/>
      <c r="KDB116" s="89"/>
      <c r="KDC116" s="89"/>
      <c r="KDD116" s="89"/>
      <c r="KDE116" s="89"/>
      <c r="KDF116" s="89"/>
      <c r="KDG116" s="89"/>
      <c r="KDH116" s="89"/>
      <c r="KDI116" s="89"/>
      <c r="KDO116" s="89"/>
      <c r="KDP116" s="89"/>
      <c r="KDQ116" s="89"/>
      <c r="KDR116" s="89"/>
      <c r="KDS116" s="89"/>
      <c r="KDT116" s="89"/>
      <c r="KDU116" s="89"/>
      <c r="KDV116" s="89"/>
      <c r="KDW116" s="89"/>
      <c r="KDX116" s="89"/>
      <c r="KDY116" s="89"/>
      <c r="KDZ116" s="89"/>
      <c r="KEA116" s="94"/>
      <c r="KEB116" s="89"/>
      <c r="KEC116" s="89"/>
      <c r="KED116" s="89"/>
      <c r="KEE116" s="89"/>
      <c r="KEF116" s="89"/>
      <c r="KEG116" s="94"/>
      <c r="KEH116" s="89"/>
      <c r="KEI116" s="89"/>
      <c r="KEJ116" s="89"/>
      <c r="KEK116" s="89"/>
      <c r="KEL116" s="89"/>
      <c r="KEM116" s="89"/>
      <c r="KEN116" s="89"/>
      <c r="KEO116" s="89"/>
      <c r="KEP116" s="89"/>
      <c r="KEQ116" s="89"/>
      <c r="KER116" s="94"/>
      <c r="KES116" s="89"/>
      <c r="KET116" s="89"/>
      <c r="KEU116" s="89"/>
      <c r="KEV116" s="89"/>
      <c r="KEW116" s="89"/>
      <c r="KEX116" s="89"/>
      <c r="KEY116" s="89"/>
      <c r="KEZ116" s="89"/>
      <c r="KFA116" s="89"/>
      <c r="KFB116" s="89"/>
      <c r="KFC116" s="89"/>
      <c r="KFD116" s="89"/>
      <c r="KFE116" s="89"/>
      <c r="KFF116" s="89"/>
      <c r="KFG116" s="89"/>
      <c r="KFH116" s="89"/>
      <c r="KFI116" s="89"/>
      <c r="KFJ116" s="89"/>
      <c r="KFK116" s="89"/>
      <c r="KFL116" s="89"/>
      <c r="KFM116" s="89"/>
      <c r="KFN116" s="89"/>
      <c r="KFO116" s="89"/>
      <c r="KFP116" s="89"/>
      <c r="KFV116" s="89"/>
      <c r="KFW116" s="89"/>
      <c r="KFX116" s="89"/>
      <c r="KFY116" s="89"/>
      <c r="KFZ116" s="89"/>
      <c r="KGA116" s="89"/>
      <c r="KGB116" s="89"/>
      <c r="KGC116" s="89"/>
      <c r="KGD116" s="89"/>
      <c r="KGE116" s="89"/>
      <c r="KGF116" s="89"/>
      <c r="KGG116" s="89"/>
      <c r="KGH116" s="94"/>
      <c r="KGI116" s="89"/>
      <c r="KGJ116" s="89"/>
      <c r="KGK116" s="89"/>
      <c r="KGL116" s="89"/>
      <c r="KGM116" s="89"/>
      <c r="KGN116" s="94"/>
      <c r="KGO116" s="89"/>
      <c r="KGP116" s="89"/>
      <c r="KGQ116" s="89"/>
      <c r="KGR116" s="89"/>
      <c r="KGS116" s="89"/>
      <c r="KGT116" s="89"/>
      <c r="KGU116" s="89"/>
      <c r="KGV116" s="89"/>
      <c r="KGW116" s="89"/>
      <c r="KGX116" s="89"/>
      <c r="KGY116" s="94"/>
      <c r="KGZ116" s="89"/>
      <c r="KHA116" s="89"/>
      <c r="KHB116" s="89"/>
      <c r="KHC116" s="89"/>
      <c r="KHD116" s="89"/>
      <c r="KHE116" s="89"/>
      <c r="KHF116" s="89"/>
      <c r="KHG116" s="89"/>
      <c r="KHH116" s="89"/>
      <c r="KHI116" s="89"/>
      <c r="KHJ116" s="89"/>
      <c r="KHK116" s="89"/>
      <c r="KHL116" s="89"/>
      <c r="KHM116" s="89"/>
      <c r="KHN116" s="89"/>
      <c r="KHO116" s="89"/>
      <c r="KHP116" s="89"/>
      <c r="KHQ116" s="89"/>
      <c r="KHR116" s="89"/>
      <c r="KHS116" s="89"/>
      <c r="KHT116" s="89"/>
      <c r="KHU116" s="89"/>
      <c r="KHV116" s="89"/>
      <c r="KHW116" s="89"/>
      <c r="KIC116" s="89"/>
      <c r="KID116" s="89"/>
      <c r="KIE116" s="89"/>
      <c r="KIF116" s="89"/>
      <c r="KIG116" s="89"/>
      <c r="KIH116" s="89"/>
      <c r="KII116" s="89"/>
      <c r="KIJ116" s="89"/>
      <c r="KIK116" s="89"/>
      <c r="KIL116" s="89"/>
      <c r="KIM116" s="89"/>
      <c r="KIN116" s="89"/>
      <c r="KIO116" s="94"/>
      <c r="KIP116" s="89"/>
      <c r="KIQ116" s="89"/>
      <c r="KIR116" s="89"/>
      <c r="KIS116" s="89"/>
      <c r="KIT116" s="89"/>
      <c r="KIU116" s="94"/>
      <c r="KIV116" s="89"/>
      <c r="KIW116" s="89"/>
      <c r="KIX116" s="89"/>
      <c r="KIY116" s="89"/>
      <c r="KIZ116" s="89"/>
      <c r="KJA116" s="89"/>
      <c r="KJB116" s="89"/>
      <c r="KJC116" s="89"/>
      <c r="KJD116" s="89"/>
      <c r="KJE116" s="89"/>
      <c r="KJF116" s="94"/>
      <c r="KJG116" s="89"/>
      <c r="KJH116" s="89"/>
      <c r="KJI116" s="89"/>
      <c r="KJJ116" s="89"/>
      <c r="KJK116" s="89"/>
      <c r="KJL116" s="89"/>
      <c r="KJM116" s="89"/>
      <c r="KJN116" s="89"/>
      <c r="KJO116" s="89"/>
      <c r="KJP116" s="89"/>
      <c r="KJQ116" s="89"/>
      <c r="KJR116" s="89"/>
      <c r="KJS116" s="89"/>
      <c r="KJT116" s="89"/>
      <c r="KJU116" s="89"/>
      <c r="KJV116" s="89"/>
      <c r="KJW116" s="89"/>
      <c r="KJX116" s="89"/>
      <c r="KJY116" s="89"/>
      <c r="KJZ116" s="89"/>
      <c r="KKA116" s="89"/>
      <c r="KKB116" s="89"/>
      <c r="KKC116" s="89"/>
      <c r="KKD116" s="89"/>
      <c r="KKJ116" s="89"/>
      <c r="KKK116" s="89"/>
      <c r="KKL116" s="89"/>
      <c r="KKM116" s="89"/>
      <c r="KKN116" s="89"/>
      <c r="KKO116" s="89"/>
      <c r="KKP116" s="89"/>
      <c r="KKQ116" s="89"/>
      <c r="KKR116" s="89"/>
      <c r="KKS116" s="89"/>
      <c r="KKT116" s="89"/>
      <c r="KKU116" s="89"/>
      <c r="KKV116" s="94"/>
      <c r="KKW116" s="89"/>
      <c r="KKX116" s="89"/>
      <c r="KKY116" s="89"/>
      <c r="KKZ116" s="89"/>
      <c r="KLA116" s="89"/>
      <c r="KLB116" s="94"/>
      <c r="KLC116" s="89"/>
      <c r="KLD116" s="89"/>
      <c r="KLE116" s="89"/>
      <c r="KLF116" s="89"/>
      <c r="KLG116" s="89"/>
      <c r="KLH116" s="89"/>
      <c r="KLI116" s="89"/>
      <c r="KLJ116" s="89"/>
      <c r="KLK116" s="89"/>
      <c r="KLL116" s="89"/>
      <c r="KLM116" s="94"/>
      <c r="KLN116" s="89"/>
      <c r="KLO116" s="89"/>
      <c r="KLP116" s="89"/>
      <c r="KLQ116" s="89"/>
      <c r="KLR116" s="89"/>
      <c r="KLS116" s="89"/>
      <c r="KLT116" s="89"/>
      <c r="KLU116" s="89"/>
      <c r="KLV116" s="89"/>
      <c r="KLW116" s="89"/>
      <c r="KLX116" s="89"/>
      <c r="KLY116" s="89"/>
      <c r="KLZ116" s="89"/>
      <c r="KMA116" s="89"/>
      <c r="KMB116" s="89"/>
      <c r="KMC116" s="89"/>
      <c r="KMD116" s="89"/>
      <c r="KME116" s="89"/>
      <c r="KMF116" s="89"/>
      <c r="KMG116" s="89"/>
      <c r="KMH116" s="89"/>
      <c r="KMI116" s="89"/>
      <c r="KMJ116" s="89"/>
      <c r="KMK116" s="89"/>
      <c r="KMQ116" s="89"/>
      <c r="KMR116" s="89"/>
      <c r="KMS116" s="89"/>
      <c r="KMT116" s="89"/>
      <c r="KMU116" s="89"/>
      <c r="KMV116" s="89"/>
      <c r="KMW116" s="89"/>
      <c r="KMX116" s="89"/>
      <c r="KMY116" s="89"/>
      <c r="KMZ116" s="89"/>
      <c r="KNA116" s="89"/>
      <c r="KNB116" s="89"/>
      <c r="KNC116" s="94"/>
      <c r="KND116" s="89"/>
      <c r="KNE116" s="89"/>
      <c r="KNF116" s="89"/>
      <c r="KNG116" s="89"/>
      <c r="KNH116" s="89"/>
      <c r="KNI116" s="94"/>
      <c r="KNJ116" s="89"/>
      <c r="KNK116" s="89"/>
      <c r="KNL116" s="89"/>
      <c r="KNM116" s="89"/>
      <c r="KNN116" s="89"/>
      <c r="KNO116" s="89"/>
      <c r="KNP116" s="89"/>
      <c r="KNQ116" s="89"/>
      <c r="KNR116" s="89"/>
      <c r="KNS116" s="89"/>
      <c r="KNT116" s="94"/>
      <c r="KNU116" s="89"/>
      <c r="KNV116" s="89"/>
      <c r="KNW116" s="89"/>
      <c r="KNX116" s="89"/>
      <c r="KNY116" s="89"/>
      <c r="KNZ116" s="89"/>
      <c r="KOA116" s="89"/>
      <c r="KOB116" s="89"/>
      <c r="KOC116" s="89"/>
      <c r="KOD116" s="89"/>
      <c r="KOE116" s="89"/>
      <c r="KOF116" s="89"/>
      <c r="KOG116" s="89"/>
      <c r="KOH116" s="89"/>
      <c r="KOI116" s="89"/>
      <c r="KOJ116" s="89"/>
      <c r="KOK116" s="89"/>
      <c r="KOL116" s="89"/>
      <c r="KOM116" s="89"/>
      <c r="KON116" s="89"/>
      <c r="KOO116" s="89"/>
      <c r="KOP116" s="89"/>
      <c r="KOQ116" s="89"/>
      <c r="KOR116" s="89"/>
      <c r="KOX116" s="89"/>
      <c r="KOY116" s="89"/>
      <c r="KOZ116" s="89"/>
      <c r="KPA116" s="89"/>
      <c r="KPB116" s="89"/>
      <c r="KPC116" s="89"/>
      <c r="KPD116" s="89"/>
      <c r="KPE116" s="89"/>
      <c r="KPF116" s="89"/>
      <c r="KPG116" s="89"/>
      <c r="KPH116" s="89"/>
      <c r="KPI116" s="89"/>
      <c r="KPJ116" s="94"/>
      <c r="KPK116" s="89"/>
      <c r="KPL116" s="89"/>
      <c r="KPM116" s="89"/>
      <c r="KPN116" s="89"/>
      <c r="KPO116" s="89"/>
      <c r="KPP116" s="94"/>
      <c r="KPQ116" s="89"/>
      <c r="KPR116" s="89"/>
      <c r="KPS116" s="89"/>
      <c r="KPT116" s="89"/>
      <c r="KPU116" s="89"/>
      <c r="KPV116" s="89"/>
      <c r="KPW116" s="89"/>
      <c r="KPX116" s="89"/>
      <c r="KPY116" s="89"/>
      <c r="KPZ116" s="89"/>
      <c r="KQA116" s="94"/>
      <c r="KQB116" s="89"/>
      <c r="KQC116" s="89"/>
      <c r="KQD116" s="89"/>
      <c r="KQE116" s="89"/>
      <c r="KQF116" s="89"/>
      <c r="KQG116" s="89"/>
      <c r="KQH116" s="89"/>
      <c r="KQI116" s="89"/>
      <c r="KQJ116" s="89"/>
      <c r="KQK116" s="89"/>
      <c r="KQL116" s="89"/>
      <c r="KQM116" s="89"/>
      <c r="KQN116" s="89"/>
      <c r="KQO116" s="89"/>
      <c r="KQP116" s="89"/>
      <c r="KQQ116" s="89"/>
      <c r="KQR116" s="89"/>
      <c r="KQS116" s="89"/>
      <c r="KQT116" s="89"/>
      <c r="KQU116" s="89"/>
      <c r="KQV116" s="89"/>
      <c r="KQW116" s="89"/>
      <c r="KQX116" s="89"/>
      <c r="KQY116" s="89"/>
      <c r="KRE116" s="89"/>
      <c r="KRF116" s="89"/>
      <c r="KRG116" s="89"/>
      <c r="KRH116" s="89"/>
      <c r="KRI116" s="89"/>
      <c r="KRJ116" s="89"/>
      <c r="KRK116" s="89"/>
      <c r="KRL116" s="89"/>
      <c r="KRM116" s="89"/>
      <c r="KRN116" s="89"/>
      <c r="KRO116" s="89"/>
      <c r="KRP116" s="89"/>
      <c r="KRQ116" s="94"/>
      <c r="KRR116" s="89"/>
      <c r="KRS116" s="89"/>
      <c r="KRT116" s="89"/>
      <c r="KRU116" s="89"/>
      <c r="KRV116" s="89"/>
      <c r="KRW116" s="94"/>
      <c r="KRX116" s="89"/>
      <c r="KRY116" s="89"/>
      <c r="KRZ116" s="89"/>
      <c r="KSA116" s="89"/>
      <c r="KSB116" s="89"/>
      <c r="KSC116" s="89"/>
      <c r="KSD116" s="89"/>
      <c r="KSE116" s="89"/>
      <c r="KSF116" s="89"/>
      <c r="KSG116" s="89"/>
      <c r="KSH116" s="94"/>
      <c r="KSI116" s="89"/>
      <c r="KSJ116" s="89"/>
      <c r="KSK116" s="89"/>
      <c r="KSL116" s="89"/>
      <c r="KSM116" s="89"/>
      <c r="KSN116" s="89"/>
      <c r="KSO116" s="89"/>
      <c r="KSP116" s="89"/>
      <c r="KSQ116" s="89"/>
      <c r="KSR116" s="89"/>
      <c r="KSS116" s="89"/>
      <c r="KST116" s="89"/>
      <c r="KSU116" s="89"/>
      <c r="KSV116" s="89"/>
      <c r="KSW116" s="89"/>
      <c r="KSX116" s="89"/>
      <c r="KSY116" s="89"/>
      <c r="KSZ116" s="89"/>
      <c r="KTA116" s="89"/>
      <c r="KTB116" s="89"/>
      <c r="KTC116" s="89"/>
      <c r="KTD116" s="89"/>
      <c r="KTE116" s="89"/>
      <c r="KTF116" s="89"/>
      <c r="KTL116" s="89"/>
      <c r="KTM116" s="89"/>
      <c r="KTN116" s="89"/>
      <c r="KTO116" s="89"/>
      <c r="KTP116" s="89"/>
      <c r="KTQ116" s="89"/>
      <c r="KTR116" s="89"/>
      <c r="KTS116" s="89"/>
      <c r="KTT116" s="89"/>
      <c r="KTU116" s="89"/>
      <c r="KTV116" s="89"/>
      <c r="KTW116" s="89"/>
      <c r="KTX116" s="94"/>
      <c r="KTY116" s="89"/>
      <c r="KTZ116" s="89"/>
      <c r="KUA116" s="89"/>
      <c r="KUB116" s="89"/>
      <c r="KUC116" s="89"/>
      <c r="KUD116" s="94"/>
      <c r="KUE116" s="89"/>
      <c r="KUF116" s="89"/>
      <c r="KUG116" s="89"/>
      <c r="KUH116" s="89"/>
      <c r="KUI116" s="89"/>
      <c r="KUJ116" s="89"/>
      <c r="KUK116" s="89"/>
      <c r="KUL116" s="89"/>
      <c r="KUM116" s="89"/>
      <c r="KUN116" s="89"/>
      <c r="KUO116" s="94"/>
      <c r="KUP116" s="89"/>
      <c r="KUQ116" s="89"/>
      <c r="KUR116" s="89"/>
      <c r="KUS116" s="89"/>
      <c r="KUT116" s="89"/>
      <c r="KUU116" s="89"/>
      <c r="KUV116" s="89"/>
      <c r="KUW116" s="89"/>
      <c r="KUX116" s="89"/>
      <c r="KUY116" s="89"/>
      <c r="KUZ116" s="89"/>
      <c r="KVA116" s="89"/>
      <c r="KVB116" s="89"/>
      <c r="KVC116" s="89"/>
      <c r="KVD116" s="89"/>
      <c r="KVE116" s="89"/>
      <c r="KVF116" s="89"/>
      <c r="KVG116" s="89"/>
      <c r="KVH116" s="89"/>
      <c r="KVI116" s="89"/>
      <c r="KVJ116" s="89"/>
      <c r="KVK116" s="89"/>
      <c r="KVL116" s="89"/>
      <c r="KVM116" s="89"/>
      <c r="KVS116" s="89"/>
      <c r="KVT116" s="89"/>
      <c r="KVU116" s="89"/>
      <c r="KVV116" s="89"/>
      <c r="KVW116" s="89"/>
      <c r="KVX116" s="89"/>
      <c r="KVY116" s="89"/>
      <c r="KVZ116" s="89"/>
      <c r="KWA116" s="89"/>
      <c r="KWB116" s="89"/>
      <c r="KWC116" s="89"/>
      <c r="KWD116" s="89"/>
      <c r="KWE116" s="94"/>
      <c r="KWF116" s="89"/>
      <c r="KWG116" s="89"/>
      <c r="KWH116" s="89"/>
      <c r="KWI116" s="89"/>
      <c r="KWJ116" s="89"/>
      <c r="KWK116" s="94"/>
      <c r="KWL116" s="89"/>
      <c r="KWM116" s="89"/>
      <c r="KWN116" s="89"/>
      <c r="KWO116" s="89"/>
      <c r="KWP116" s="89"/>
      <c r="KWQ116" s="89"/>
      <c r="KWR116" s="89"/>
      <c r="KWS116" s="89"/>
      <c r="KWT116" s="89"/>
      <c r="KWU116" s="89"/>
      <c r="KWV116" s="94"/>
      <c r="KWW116" s="89"/>
      <c r="KWX116" s="89"/>
      <c r="KWY116" s="89"/>
      <c r="KWZ116" s="89"/>
      <c r="KXA116" s="89"/>
      <c r="KXB116" s="89"/>
      <c r="KXC116" s="89"/>
      <c r="KXD116" s="89"/>
      <c r="KXE116" s="89"/>
      <c r="KXF116" s="89"/>
      <c r="KXG116" s="89"/>
      <c r="KXH116" s="89"/>
      <c r="KXI116" s="89"/>
      <c r="KXJ116" s="89"/>
      <c r="KXK116" s="89"/>
      <c r="KXL116" s="89"/>
      <c r="KXM116" s="89"/>
      <c r="KXN116" s="89"/>
      <c r="KXO116" s="89"/>
      <c r="KXP116" s="89"/>
      <c r="KXQ116" s="89"/>
      <c r="KXR116" s="89"/>
      <c r="KXS116" s="89"/>
      <c r="KXT116" s="89"/>
      <c r="KXZ116" s="89"/>
      <c r="KYA116" s="89"/>
      <c r="KYB116" s="89"/>
      <c r="KYC116" s="89"/>
      <c r="KYD116" s="89"/>
      <c r="KYE116" s="89"/>
      <c r="KYF116" s="89"/>
      <c r="KYG116" s="89"/>
      <c r="KYH116" s="89"/>
      <c r="KYI116" s="89"/>
      <c r="KYJ116" s="89"/>
      <c r="KYK116" s="89"/>
      <c r="KYL116" s="94"/>
      <c r="KYM116" s="89"/>
      <c r="KYN116" s="89"/>
      <c r="KYO116" s="89"/>
      <c r="KYP116" s="89"/>
      <c r="KYQ116" s="89"/>
      <c r="KYR116" s="94"/>
      <c r="KYS116" s="89"/>
      <c r="KYT116" s="89"/>
      <c r="KYU116" s="89"/>
      <c r="KYV116" s="89"/>
      <c r="KYW116" s="89"/>
      <c r="KYX116" s="89"/>
      <c r="KYY116" s="89"/>
      <c r="KYZ116" s="89"/>
      <c r="KZA116" s="89"/>
      <c r="KZB116" s="89"/>
      <c r="KZC116" s="94"/>
      <c r="KZD116" s="89"/>
      <c r="KZE116" s="89"/>
      <c r="KZF116" s="89"/>
      <c r="KZG116" s="89"/>
      <c r="KZH116" s="89"/>
      <c r="KZI116" s="89"/>
      <c r="KZJ116" s="89"/>
      <c r="KZK116" s="89"/>
      <c r="KZL116" s="89"/>
      <c r="KZM116" s="89"/>
      <c r="KZN116" s="89"/>
      <c r="KZO116" s="89"/>
      <c r="KZP116" s="89"/>
      <c r="KZQ116" s="89"/>
      <c r="KZR116" s="89"/>
      <c r="KZS116" s="89"/>
      <c r="KZT116" s="89"/>
      <c r="KZU116" s="89"/>
      <c r="KZV116" s="89"/>
      <c r="KZW116" s="89"/>
      <c r="KZX116" s="89"/>
      <c r="KZY116" s="89"/>
      <c r="KZZ116" s="89"/>
      <c r="LAA116" s="89"/>
      <c r="LAG116" s="89"/>
      <c r="LAH116" s="89"/>
      <c r="LAI116" s="89"/>
      <c r="LAJ116" s="89"/>
      <c r="LAK116" s="89"/>
      <c r="LAL116" s="89"/>
      <c r="LAM116" s="89"/>
      <c r="LAN116" s="89"/>
      <c r="LAO116" s="89"/>
      <c r="LAP116" s="89"/>
      <c r="LAQ116" s="89"/>
      <c r="LAR116" s="89"/>
      <c r="LAS116" s="94"/>
      <c r="LAT116" s="89"/>
      <c r="LAU116" s="89"/>
      <c r="LAV116" s="89"/>
      <c r="LAW116" s="89"/>
      <c r="LAX116" s="89"/>
      <c r="LAY116" s="94"/>
      <c r="LAZ116" s="89"/>
      <c r="LBA116" s="89"/>
      <c r="LBB116" s="89"/>
      <c r="LBC116" s="89"/>
      <c r="LBD116" s="89"/>
      <c r="LBE116" s="89"/>
      <c r="LBF116" s="89"/>
      <c r="LBG116" s="89"/>
      <c r="LBH116" s="89"/>
      <c r="LBI116" s="89"/>
      <c r="LBJ116" s="94"/>
      <c r="LBK116" s="89"/>
      <c r="LBL116" s="89"/>
      <c r="LBM116" s="89"/>
      <c r="LBN116" s="89"/>
      <c r="LBO116" s="89"/>
      <c r="LBP116" s="89"/>
      <c r="LBQ116" s="89"/>
      <c r="LBR116" s="89"/>
      <c r="LBS116" s="89"/>
      <c r="LBT116" s="89"/>
      <c r="LBU116" s="89"/>
      <c r="LBV116" s="89"/>
      <c r="LBW116" s="89"/>
      <c r="LBX116" s="89"/>
      <c r="LBY116" s="89"/>
      <c r="LBZ116" s="89"/>
      <c r="LCA116" s="89"/>
      <c r="LCB116" s="89"/>
      <c r="LCC116" s="89"/>
      <c r="LCD116" s="89"/>
      <c r="LCE116" s="89"/>
      <c r="LCF116" s="89"/>
      <c r="LCG116" s="89"/>
      <c r="LCH116" s="89"/>
      <c r="LCN116" s="89"/>
      <c r="LCO116" s="89"/>
      <c r="LCP116" s="89"/>
      <c r="LCQ116" s="89"/>
      <c r="LCR116" s="89"/>
      <c r="LCS116" s="89"/>
      <c r="LCT116" s="89"/>
      <c r="LCU116" s="89"/>
      <c r="LCV116" s="89"/>
      <c r="LCW116" s="89"/>
      <c r="LCX116" s="89"/>
      <c r="LCY116" s="89"/>
      <c r="LCZ116" s="94"/>
      <c r="LDA116" s="89"/>
      <c r="LDB116" s="89"/>
      <c r="LDC116" s="89"/>
      <c r="LDD116" s="89"/>
      <c r="LDE116" s="89"/>
      <c r="LDF116" s="94"/>
      <c r="LDG116" s="89"/>
      <c r="LDH116" s="89"/>
      <c r="LDI116" s="89"/>
      <c r="LDJ116" s="89"/>
      <c r="LDK116" s="89"/>
      <c r="LDL116" s="89"/>
      <c r="LDM116" s="89"/>
      <c r="LDN116" s="89"/>
      <c r="LDO116" s="89"/>
      <c r="LDP116" s="89"/>
      <c r="LDQ116" s="94"/>
      <c r="LDR116" s="89"/>
      <c r="LDS116" s="89"/>
      <c r="LDT116" s="89"/>
      <c r="LDU116" s="89"/>
      <c r="LDV116" s="89"/>
      <c r="LDW116" s="89"/>
      <c r="LDX116" s="89"/>
      <c r="LDY116" s="89"/>
      <c r="LDZ116" s="89"/>
      <c r="LEA116" s="89"/>
      <c r="LEB116" s="89"/>
      <c r="LEC116" s="89"/>
      <c r="LED116" s="89"/>
      <c r="LEE116" s="89"/>
      <c r="LEF116" s="89"/>
      <c r="LEG116" s="89"/>
      <c r="LEH116" s="89"/>
      <c r="LEI116" s="89"/>
      <c r="LEJ116" s="89"/>
      <c r="LEK116" s="89"/>
      <c r="LEL116" s="89"/>
      <c r="LEM116" s="89"/>
      <c r="LEN116" s="89"/>
      <c r="LEO116" s="89"/>
      <c r="LEU116" s="89"/>
      <c r="LEV116" s="89"/>
      <c r="LEW116" s="89"/>
      <c r="LEX116" s="89"/>
      <c r="LEY116" s="89"/>
      <c r="LEZ116" s="89"/>
      <c r="LFA116" s="89"/>
      <c r="LFB116" s="89"/>
      <c r="LFC116" s="89"/>
      <c r="LFD116" s="89"/>
      <c r="LFE116" s="89"/>
      <c r="LFF116" s="89"/>
      <c r="LFG116" s="94"/>
      <c r="LFH116" s="89"/>
      <c r="LFI116" s="89"/>
      <c r="LFJ116" s="89"/>
      <c r="LFK116" s="89"/>
      <c r="LFL116" s="89"/>
      <c r="LFM116" s="94"/>
      <c r="LFN116" s="89"/>
      <c r="LFO116" s="89"/>
      <c r="LFP116" s="89"/>
      <c r="LFQ116" s="89"/>
      <c r="LFR116" s="89"/>
      <c r="LFS116" s="89"/>
      <c r="LFT116" s="89"/>
      <c r="LFU116" s="89"/>
      <c r="LFV116" s="89"/>
      <c r="LFW116" s="89"/>
      <c r="LFX116" s="94"/>
      <c r="LFY116" s="89"/>
      <c r="LFZ116" s="89"/>
      <c r="LGA116" s="89"/>
      <c r="LGB116" s="89"/>
      <c r="LGC116" s="89"/>
      <c r="LGD116" s="89"/>
      <c r="LGE116" s="89"/>
      <c r="LGF116" s="89"/>
      <c r="LGG116" s="89"/>
      <c r="LGH116" s="89"/>
      <c r="LGI116" s="89"/>
      <c r="LGJ116" s="89"/>
      <c r="LGK116" s="89"/>
      <c r="LGL116" s="89"/>
      <c r="LGM116" s="89"/>
      <c r="LGN116" s="89"/>
      <c r="LGO116" s="89"/>
      <c r="LGP116" s="89"/>
      <c r="LGQ116" s="89"/>
      <c r="LGR116" s="89"/>
      <c r="LGS116" s="89"/>
      <c r="LGT116" s="89"/>
      <c r="LGU116" s="89"/>
      <c r="LGV116" s="89"/>
      <c r="LHB116" s="89"/>
      <c r="LHC116" s="89"/>
      <c r="LHD116" s="89"/>
      <c r="LHE116" s="89"/>
      <c r="LHF116" s="89"/>
      <c r="LHG116" s="89"/>
      <c r="LHH116" s="89"/>
      <c r="LHI116" s="89"/>
      <c r="LHJ116" s="89"/>
      <c r="LHK116" s="89"/>
      <c r="LHL116" s="89"/>
      <c r="LHM116" s="89"/>
      <c r="LHN116" s="94"/>
      <c r="LHO116" s="89"/>
      <c r="LHP116" s="89"/>
      <c r="LHQ116" s="89"/>
      <c r="LHR116" s="89"/>
      <c r="LHS116" s="89"/>
      <c r="LHT116" s="94"/>
      <c r="LHU116" s="89"/>
      <c r="LHV116" s="89"/>
      <c r="LHW116" s="89"/>
      <c r="LHX116" s="89"/>
      <c r="LHY116" s="89"/>
      <c r="LHZ116" s="89"/>
      <c r="LIA116" s="89"/>
      <c r="LIB116" s="89"/>
      <c r="LIC116" s="89"/>
      <c r="LID116" s="89"/>
      <c r="LIE116" s="94"/>
      <c r="LIF116" s="89"/>
      <c r="LIG116" s="89"/>
      <c r="LIH116" s="89"/>
      <c r="LII116" s="89"/>
      <c r="LIJ116" s="89"/>
      <c r="LIK116" s="89"/>
      <c r="LIL116" s="89"/>
      <c r="LIM116" s="89"/>
      <c r="LIN116" s="89"/>
      <c r="LIO116" s="89"/>
      <c r="LIP116" s="89"/>
      <c r="LIQ116" s="89"/>
      <c r="LIR116" s="89"/>
      <c r="LIS116" s="89"/>
      <c r="LIT116" s="89"/>
      <c r="LIU116" s="89"/>
      <c r="LIV116" s="89"/>
      <c r="LIW116" s="89"/>
      <c r="LIX116" s="89"/>
      <c r="LIY116" s="89"/>
      <c r="LIZ116" s="89"/>
      <c r="LJA116" s="89"/>
      <c r="LJB116" s="89"/>
      <c r="LJC116" s="89"/>
      <c r="LJI116" s="89"/>
      <c r="LJJ116" s="89"/>
      <c r="LJK116" s="89"/>
      <c r="LJL116" s="89"/>
      <c r="LJM116" s="89"/>
      <c r="LJN116" s="89"/>
      <c r="LJO116" s="89"/>
      <c r="LJP116" s="89"/>
      <c r="LJQ116" s="89"/>
      <c r="LJR116" s="89"/>
      <c r="LJS116" s="89"/>
      <c r="LJT116" s="89"/>
      <c r="LJU116" s="94"/>
      <c r="LJV116" s="89"/>
      <c r="LJW116" s="89"/>
      <c r="LJX116" s="89"/>
      <c r="LJY116" s="89"/>
      <c r="LJZ116" s="89"/>
      <c r="LKA116" s="94"/>
      <c r="LKB116" s="89"/>
      <c r="LKC116" s="89"/>
      <c r="LKD116" s="89"/>
      <c r="LKE116" s="89"/>
      <c r="LKF116" s="89"/>
      <c r="LKG116" s="89"/>
      <c r="LKH116" s="89"/>
      <c r="LKI116" s="89"/>
      <c r="LKJ116" s="89"/>
      <c r="LKK116" s="89"/>
      <c r="LKL116" s="94"/>
      <c r="LKM116" s="89"/>
      <c r="LKN116" s="89"/>
      <c r="LKO116" s="89"/>
      <c r="LKP116" s="89"/>
      <c r="LKQ116" s="89"/>
      <c r="LKR116" s="89"/>
      <c r="LKS116" s="89"/>
      <c r="LKT116" s="89"/>
      <c r="LKU116" s="89"/>
      <c r="LKV116" s="89"/>
      <c r="LKW116" s="89"/>
      <c r="LKX116" s="89"/>
      <c r="LKY116" s="89"/>
      <c r="LKZ116" s="89"/>
      <c r="LLA116" s="89"/>
      <c r="LLB116" s="89"/>
      <c r="LLC116" s="89"/>
      <c r="LLD116" s="89"/>
      <c r="LLE116" s="89"/>
      <c r="LLF116" s="89"/>
      <c r="LLG116" s="89"/>
      <c r="LLH116" s="89"/>
      <c r="LLI116" s="89"/>
      <c r="LLJ116" s="89"/>
      <c r="LLP116" s="89"/>
      <c r="LLQ116" s="89"/>
      <c r="LLR116" s="89"/>
      <c r="LLS116" s="89"/>
      <c r="LLT116" s="89"/>
      <c r="LLU116" s="89"/>
      <c r="LLV116" s="89"/>
      <c r="LLW116" s="89"/>
      <c r="LLX116" s="89"/>
      <c r="LLY116" s="89"/>
      <c r="LLZ116" s="89"/>
      <c r="LMA116" s="89"/>
      <c r="LMB116" s="94"/>
      <c r="LMC116" s="89"/>
      <c r="LMD116" s="89"/>
      <c r="LME116" s="89"/>
      <c r="LMF116" s="89"/>
      <c r="LMG116" s="89"/>
      <c r="LMH116" s="94"/>
      <c r="LMI116" s="89"/>
      <c r="LMJ116" s="89"/>
      <c r="LMK116" s="89"/>
      <c r="LML116" s="89"/>
      <c r="LMM116" s="89"/>
      <c r="LMN116" s="89"/>
      <c r="LMO116" s="89"/>
      <c r="LMP116" s="89"/>
      <c r="LMQ116" s="89"/>
      <c r="LMR116" s="89"/>
      <c r="LMS116" s="94"/>
      <c r="LMT116" s="89"/>
      <c r="LMU116" s="89"/>
      <c r="LMV116" s="89"/>
      <c r="LMW116" s="89"/>
      <c r="LMX116" s="89"/>
      <c r="LMY116" s="89"/>
      <c r="LMZ116" s="89"/>
      <c r="LNA116" s="89"/>
      <c r="LNB116" s="89"/>
      <c r="LNC116" s="89"/>
      <c r="LND116" s="89"/>
      <c r="LNE116" s="89"/>
      <c r="LNF116" s="89"/>
      <c r="LNG116" s="89"/>
      <c r="LNH116" s="89"/>
      <c r="LNI116" s="89"/>
      <c r="LNJ116" s="89"/>
      <c r="LNK116" s="89"/>
      <c r="LNL116" s="89"/>
      <c r="LNM116" s="89"/>
      <c r="LNN116" s="89"/>
      <c r="LNO116" s="89"/>
      <c r="LNP116" s="89"/>
      <c r="LNQ116" s="89"/>
      <c r="LNW116" s="89"/>
      <c r="LNX116" s="89"/>
      <c r="LNY116" s="89"/>
      <c r="LNZ116" s="89"/>
      <c r="LOA116" s="89"/>
      <c r="LOB116" s="89"/>
      <c r="LOC116" s="89"/>
      <c r="LOD116" s="89"/>
      <c r="LOE116" s="89"/>
      <c r="LOF116" s="89"/>
      <c r="LOG116" s="89"/>
      <c r="LOH116" s="89"/>
      <c r="LOI116" s="94"/>
      <c r="LOJ116" s="89"/>
      <c r="LOK116" s="89"/>
      <c r="LOL116" s="89"/>
      <c r="LOM116" s="89"/>
      <c r="LON116" s="89"/>
      <c r="LOO116" s="94"/>
      <c r="LOP116" s="89"/>
      <c r="LOQ116" s="89"/>
      <c r="LOR116" s="89"/>
      <c r="LOS116" s="89"/>
      <c r="LOT116" s="89"/>
      <c r="LOU116" s="89"/>
      <c r="LOV116" s="89"/>
      <c r="LOW116" s="89"/>
      <c r="LOX116" s="89"/>
      <c r="LOY116" s="89"/>
      <c r="LOZ116" s="94"/>
      <c r="LPA116" s="89"/>
      <c r="LPB116" s="89"/>
      <c r="LPC116" s="89"/>
      <c r="LPD116" s="89"/>
      <c r="LPE116" s="89"/>
      <c r="LPF116" s="89"/>
      <c r="LPG116" s="89"/>
      <c r="LPH116" s="89"/>
      <c r="LPI116" s="89"/>
      <c r="LPJ116" s="89"/>
      <c r="LPK116" s="89"/>
      <c r="LPL116" s="89"/>
      <c r="LPM116" s="89"/>
      <c r="LPN116" s="89"/>
      <c r="LPO116" s="89"/>
      <c r="LPP116" s="89"/>
      <c r="LPQ116" s="89"/>
      <c r="LPR116" s="89"/>
      <c r="LPS116" s="89"/>
      <c r="LPT116" s="89"/>
      <c r="LPU116" s="89"/>
      <c r="LPV116" s="89"/>
      <c r="LPW116" s="89"/>
      <c r="LPX116" s="89"/>
      <c r="LQD116" s="89"/>
      <c r="LQE116" s="89"/>
      <c r="LQF116" s="89"/>
      <c r="LQG116" s="89"/>
      <c r="LQH116" s="89"/>
      <c r="LQI116" s="89"/>
      <c r="LQJ116" s="89"/>
      <c r="LQK116" s="89"/>
      <c r="LQL116" s="89"/>
      <c r="LQM116" s="89"/>
      <c r="LQN116" s="89"/>
      <c r="LQO116" s="89"/>
      <c r="LQP116" s="94"/>
      <c r="LQQ116" s="89"/>
      <c r="LQR116" s="89"/>
      <c r="LQS116" s="89"/>
      <c r="LQT116" s="89"/>
      <c r="LQU116" s="89"/>
      <c r="LQV116" s="94"/>
      <c r="LQW116" s="89"/>
      <c r="LQX116" s="89"/>
      <c r="LQY116" s="89"/>
      <c r="LQZ116" s="89"/>
      <c r="LRA116" s="89"/>
      <c r="LRB116" s="89"/>
      <c r="LRC116" s="89"/>
      <c r="LRD116" s="89"/>
      <c r="LRE116" s="89"/>
      <c r="LRF116" s="89"/>
      <c r="LRG116" s="94"/>
      <c r="LRH116" s="89"/>
      <c r="LRI116" s="89"/>
      <c r="LRJ116" s="89"/>
      <c r="LRK116" s="89"/>
      <c r="LRL116" s="89"/>
      <c r="LRM116" s="89"/>
      <c r="LRN116" s="89"/>
      <c r="LRO116" s="89"/>
      <c r="LRP116" s="89"/>
      <c r="LRQ116" s="89"/>
      <c r="LRR116" s="89"/>
      <c r="LRS116" s="89"/>
      <c r="LRT116" s="89"/>
      <c r="LRU116" s="89"/>
      <c r="LRV116" s="89"/>
      <c r="LRW116" s="89"/>
      <c r="LRX116" s="89"/>
      <c r="LRY116" s="89"/>
      <c r="LRZ116" s="89"/>
      <c r="LSA116" s="89"/>
      <c r="LSB116" s="89"/>
      <c r="LSC116" s="89"/>
      <c r="LSD116" s="89"/>
      <c r="LSE116" s="89"/>
      <c r="LSK116" s="89"/>
      <c r="LSL116" s="89"/>
      <c r="LSM116" s="89"/>
      <c r="LSN116" s="89"/>
      <c r="LSO116" s="89"/>
      <c r="LSP116" s="89"/>
      <c r="LSQ116" s="89"/>
      <c r="LSR116" s="89"/>
      <c r="LSS116" s="89"/>
      <c r="LST116" s="89"/>
      <c r="LSU116" s="89"/>
      <c r="LSV116" s="89"/>
      <c r="LSW116" s="94"/>
      <c r="LSX116" s="89"/>
      <c r="LSY116" s="89"/>
      <c r="LSZ116" s="89"/>
      <c r="LTA116" s="89"/>
      <c r="LTB116" s="89"/>
      <c r="LTC116" s="94"/>
      <c r="LTD116" s="89"/>
      <c r="LTE116" s="89"/>
      <c r="LTF116" s="89"/>
      <c r="LTG116" s="89"/>
      <c r="LTH116" s="89"/>
      <c r="LTI116" s="89"/>
      <c r="LTJ116" s="89"/>
      <c r="LTK116" s="89"/>
      <c r="LTL116" s="89"/>
      <c r="LTM116" s="89"/>
      <c r="LTN116" s="94"/>
      <c r="LTO116" s="89"/>
      <c r="LTP116" s="89"/>
      <c r="LTQ116" s="89"/>
      <c r="LTR116" s="89"/>
      <c r="LTS116" s="89"/>
      <c r="LTT116" s="89"/>
      <c r="LTU116" s="89"/>
      <c r="LTV116" s="89"/>
      <c r="LTW116" s="89"/>
      <c r="LTX116" s="89"/>
      <c r="LTY116" s="89"/>
      <c r="LTZ116" s="89"/>
      <c r="LUA116" s="89"/>
      <c r="LUB116" s="89"/>
      <c r="LUC116" s="89"/>
      <c r="LUD116" s="89"/>
      <c r="LUE116" s="89"/>
      <c r="LUF116" s="89"/>
      <c r="LUG116" s="89"/>
      <c r="LUH116" s="89"/>
      <c r="LUI116" s="89"/>
      <c r="LUJ116" s="89"/>
      <c r="LUK116" s="89"/>
      <c r="LUL116" s="89"/>
      <c r="LUR116" s="89"/>
      <c r="LUS116" s="89"/>
      <c r="LUT116" s="89"/>
      <c r="LUU116" s="89"/>
      <c r="LUV116" s="89"/>
      <c r="LUW116" s="89"/>
      <c r="LUX116" s="89"/>
      <c r="LUY116" s="89"/>
      <c r="LUZ116" s="89"/>
      <c r="LVA116" s="89"/>
      <c r="LVB116" s="89"/>
      <c r="LVC116" s="89"/>
      <c r="LVD116" s="94"/>
      <c r="LVE116" s="89"/>
      <c r="LVF116" s="89"/>
      <c r="LVG116" s="89"/>
      <c r="LVH116" s="89"/>
      <c r="LVI116" s="89"/>
      <c r="LVJ116" s="94"/>
      <c r="LVK116" s="89"/>
      <c r="LVL116" s="89"/>
      <c r="LVM116" s="89"/>
      <c r="LVN116" s="89"/>
      <c r="LVO116" s="89"/>
      <c r="LVP116" s="89"/>
      <c r="LVQ116" s="89"/>
      <c r="LVR116" s="89"/>
      <c r="LVS116" s="89"/>
      <c r="LVT116" s="89"/>
      <c r="LVU116" s="94"/>
      <c r="LVV116" s="89"/>
      <c r="LVW116" s="89"/>
      <c r="LVX116" s="89"/>
      <c r="LVY116" s="89"/>
      <c r="LVZ116" s="89"/>
      <c r="LWA116" s="89"/>
      <c r="LWB116" s="89"/>
      <c r="LWC116" s="89"/>
      <c r="LWD116" s="89"/>
      <c r="LWE116" s="89"/>
      <c r="LWF116" s="89"/>
      <c r="LWG116" s="89"/>
      <c r="LWH116" s="89"/>
      <c r="LWI116" s="89"/>
      <c r="LWJ116" s="89"/>
      <c r="LWK116" s="89"/>
      <c r="LWL116" s="89"/>
      <c r="LWM116" s="89"/>
      <c r="LWN116" s="89"/>
      <c r="LWO116" s="89"/>
      <c r="LWP116" s="89"/>
      <c r="LWQ116" s="89"/>
      <c r="LWR116" s="89"/>
      <c r="LWS116" s="89"/>
      <c r="LWY116" s="89"/>
      <c r="LWZ116" s="89"/>
      <c r="LXA116" s="89"/>
      <c r="LXB116" s="89"/>
      <c r="LXC116" s="89"/>
      <c r="LXD116" s="89"/>
      <c r="LXE116" s="89"/>
      <c r="LXF116" s="89"/>
      <c r="LXG116" s="89"/>
      <c r="LXH116" s="89"/>
      <c r="LXI116" s="89"/>
      <c r="LXJ116" s="89"/>
      <c r="LXK116" s="94"/>
      <c r="LXL116" s="89"/>
      <c r="LXM116" s="89"/>
      <c r="LXN116" s="89"/>
      <c r="LXO116" s="89"/>
      <c r="LXP116" s="89"/>
      <c r="LXQ116" s="94"/>
      <c r="LXR116" s="89"/>
      <c r="LXS116" s="89"/>
      <c r="LXT116" s="89"/>
      <c r="LXU116" s="89"/>
      <c r="LXV116" s="89"/>
      <c r="LXW116" s="89"/>
      <c r="LXX116" s="89"/>
      <c r="LXY116" s="89"/>
      <c r="LXZ116" s="89"/>
      <c r="LYA116" s="89"/>
      <c r="LYB116" s="94"/>
      <c r="LYC116" s="89"/>
      <c r="LYD116" s="89"/>
      <c r="LYE116" s="89"/>
      <c r="LYF116" s="89"/>
      <c r="LYG116" s="89"/>
      <c r="LYH116" s="89"/>
      <c r="LYI116" s="89"/>
      <c r="LYJ116" s="89"/>
      <c r="LYK116" s="89"/>
      <c r="LYL116" s="89"/>
      <c r="LYM116" s="89"/>
      <c r="LYN116" s="89"/>
      <c r="LYO116" s="89"/>
      <c r="LYP116" s="89"/>
      <c r="LYQ116" s="89"/>
      <c r="LYR116" s="89"/>
      <c r="LYS116" s="89"/>
      <c r="LYT116" s="89"/>
      <c r="LYU116" s="89"/>
      <c r="LYV116" s="89"/>
      <c r="LYW116" s="89"/>
      <c r="LYX116" s="89"/>
      <c r="LYY116" s="89"/>
      <c r="LYZ116" s="89"/>
      <c r="LZF116" s="89"/>
      <c r="LZG116" s="89"/>
      <c r="LZH116" s="89"/>
      <c r="LZI116" s="89"/>
      <c r="LZJ116" s="89"/>
      <c r="LZK116" s="89"/>
      <c r="LZL116" s="89"/>
      <c r="LZM116" s="89"/>
      <c r="LZN116" s="89"/>
      <c r="LZO116" s="89"/>
      <c r="LZP116" s="89"/>
      <c r="LZQ116" s="89"/>
      <c r="LZR116" s="94"/>
      <c r="LZS116" s="89"/>
      <c r="LZT116" s="89"/>
      <c r="LZU116" s="89"/>
      <c r="LZV116" s="89"/>
      <c r="LZW116" s="89"/>
      <c r="LZX116" s="94"/>
      <c r="LZY116" s="89"/>
      <c r="LZZ116" s="89"/>
      <c r="MAA116" s="89"/>
      <c r="MAB116" s="89"/>
      <c r="MAC116" s="89"/>
      <c r="MAD116" s="89"/>
      <c r="MAE116" s="89"/>
      <c r="MAF116" s="89"/>
      <c r="MAG116" s="89"/>
      <c r="MAH116" s="89"/>
      <c r="MAI116" s="94"/>
      <c r="MAJ116" s="89"/>
      <c r="MAK116" s="89"/>
      <c r="MAL116" s="89"/>
      <c r="MAM116" s="89"/>
      <c r="MAN116" s="89"/>
      <c r="MAO116" s="89"/>
      <c r="MAP116" s="89"/>
      <c r="MAQ116" s="89"/>
      <c r="MAR116" s="89"/>
      <c r="MAS116" s="89"/>
      <c r="MAT116" s="89"/>
      <c r="MAU116" s="89"/>
      <c r="MAV116" s="89"/>
      <c r="MAW116" s="89"/>
      <c r="MAX116" s="89"/>
      <c r="MAY116" s="89"/>
      <c r="MAZ116" s="89"/>
      <c r="MBA116" s="89"/>
      <c r="MBB116" s="89"/>
      <c r="MBC116" s="89"/>
      <c r="MBD116" s="89"/>
      <c r="MBE116" s="89"/>
      <c r="MBF116" s="89"/>
      <c r="MBG116" s="89"/>
      <c r="MBM116" s="89"/>
      <c r="MBN116" s="89"/>
      <c r="MBO116" s="89"/>
      <c r="MBP116" s="89"/>
      <c r="MBQ116" s="89"/>
      <c r="MBR116" s="89"/>
      <c r="MBS116" s="89"/>
      <c r="MBT116" s="89"/>
      <c r="MBU116" s="89"/>
      <c r="MBV116" s="89"/>
      <c r="MBW116" s="89"/>
      <c r="MBX116" s="89"/>
      <c r="MBY116" s="94"/>
      <c r="MBZ116" s="89"/>
      <c r="MCA116" s="89"/>
      <c r="MCB116" s="89"/>
      <c r="MCC116" s="89"/>
      <c r="MCD116" s="89"/>
      <c r="MCE116" s="94"/>
      <c r="MCF116" s="89"/>
      <c r="MCG116" s="89"/>
      <c r="MCH116" s="89"/>
      <c r="MCI116" s="89"/>
      <c r="MCJ116" s="89"/>
      <c r="MCK116" s="89"/>
      <c r="MCL116" s="89"/>
      <c r="MCM116" s="89"/>
      <c r="MCN116" s="89"/>
      <c r="MCO116" s="89"/>
      <c r="MCP116" s="94"/>
      <c r="MCQ116" s="89"/>
      <c r="MCR116" s="89"/>
      <c r="MCS116" s="89"/>
      <c r="MCT116" s="89"/>
      <c r="MCU116" s="89"/>
      <c r="MCV116" s="89"/>
      <c r="MCW116" s="89"/>
      <c r="MCX116" s="89"/>
      <c r="MCY116" s="89"/>
      <c r="MCZ116" s="89"/>
      <c r="MDA116" s="89"/>
      <c r="MDB116" s="89"/>
      <c r="MDC116" s="89"/>
      <c r="MDD116" s="89"/>
      <c r="MDE116" s="89"/>
      <c r="MDF116" s="89"/>
      <c r="MDG116" s="89"/>
      <c r="MDH116" s="89"/>
      <c r="MDI116" s="89"/>
      <c r="MDJ116" s="89"/>
      <c r="MDK116" s="89"/>
      <c r="MDL116" s="89"/>
      <c r="MDM116" s="89"/>
      <c r="MDN116" s="89"/>
      <c r="MDT116" s="89"/>
      <c r="MDU116" s="89"/>
      <c r="MDV116" s="89"/>
      <c r="MDW116" s="89"/>
      <c r="MDX116" s="89"/>
      <c r="MDY116" s="89"/>
      <c r="MDZ116" s="89"/>
      <c r="MEA116" s="89"/>
      <c r="MEB116" s="89"/>
      <c r="MEC116" s="89"/>
      <c r="MED116" s="89"/>
      <c r="MEE116" s="89"/>
      <c r="MEF116" s="94"/>
      <c r="MEG116" s="89"/>
      <c r="MEH116" s="89"/>
      <c r="MEI116" s="89"/>
      <c r="MEJ116" s="89"/>
      <c r="MEK116" s="89"/>
      <c r="MEL116" s="94"/>
      <c r="MEM116" s="89"/>
      <c r="MEN116" s="89"/>
      <c r="MEO116" s="89"/>
      <c r="MEP116" s="89"/>
      <c r="MEQ116" s="89"/>
      <c r="MER116" s="89"/>
      <c r="MES116" s="89"/>
      <c r="MET116" s="89"/>
      <c r="MEU116" s="89"/>
      <c r="MEV116" s="89"/>
      <c r="MEW116" s="94"/>
      <c r="MEX116" s="89"/>
      <c r="MEY116" s="89"/>
      <c r="MEZ116" s="89"/>
      <c r="MFA116" s="89"/>
      <c r="MFB116" s="89"/>
      <c r="MFC116" s="89"/>
      <c r="MFD116" s="89"/>
      <c r="MFE116" s="89"/>
      <c r="MFF116" s="89"/>
      <c r="MFG116" s="89"/>
      <c r="MFH116" s="89"/>
      <c r="MFI116" s="89"/>
      <c r="MFJ116" s="89"/>
      <c r="MFK116" s="89"/>
      <c r="MFL116" s="89"/>
      <c r="MFM116" s="89"/>
      <c r="MFN116" s="89"/>
      <c r="MFO116" s="89"/>
      <c r="MFP116" s="89"/>
      <c r="MFQ116" s="89"/>
      <c r="MFR116" s="89"/>
      <c r="MFS116" s="89"/>
      <c r="MFT116" s="89"/>
      <c r="MFU116" s="89"/>
      <c r="MGA116" s="89"/>
      <c r="MGB116" s="89"/>
      <c r="MGC116" s="89"/>
      <c r="MGD116" s="89"/>
      <c r="MGE116" s="89"/>
      <c r="MGF116" s="89"/>
      <c r="MGG116" s="89"/>
      <c r="MGH116" s="89"/>
      <c r="MGI116" s="89"/>
      <c r="MGJ116" s="89"/>
      <c r="MGK116" s="89"/>
      <c r="MGL116" s="89"/>
      <c r="MGM116" s="94"/>
      <c r="MGN116" s="89"/>
      <c r="MGO116" s="89"/>
      <c r="MGP116" s="89"/>
      <c r="MGQ116" s="89"/>
      <c r="MGR116" s="89"/>
      <c r="MGS116" s="94"/>
      <c r="MGT116" s="89"/>
      <c r="MGU116" s="89"/>
      <c r="MGV116" s="89"/>
      <c r="MGW116" s="89"/>
      <c r="MGX116" s="89"/>
      <c r="MGY116" s="89"/>
      <c r="MGZ116" s="89"/>
      <c r="MHA116" s="89"/>
      <c r="MHB116" s="89"/>
      <c r="MHC116" s="89"/>
      <c r="MHD116" s="94"/>
      <c r="MHE116" s="89"/>
      <c r="MHF116" s="89"/>
      <c r="MHG116" s="89"/>
      <c r="MHH116" s="89"/>
      <c r="MHI116" s="89"/>
      <c r="MHJ116" s="89"/>
      <c r="MHK116" s="89"/>
      <c r="MHL116" s="89"/>
      <c r="MHM116" s="89"/>
      <c r="MHN116" s="89"/>
      <c r="MHO116" s="89"/>
      <c r="MHP116" s="89"/>
      <c r="MHQ116" s="89"/>
      <c r="MHR116" s="89"/>
      <c r="MHS116" s="89"/>
      <c r="MHT116" s="89"/>
      <c r="MHU116" s="89"/>
      <c r="MHV116" s="89"/>
      <c r="MHW116" s="89"/>
      <c r="MHX116" s="89"/>
      <c r="MHY116" s="89"/>
      <c r="MHZ116" s="89"/>
      <c r="MIA116" s="89"/>
      <c r="MIB116" s="89"/>
      <c r="MIH116" s="89"/>
      <c r="MII116" s="89"/>
      <c r="MIJ116" s="89"/>
      <c r="MIK116" s="89"/>
      <c r="MIL116" s="89"/>
      <c r="MIM116" s="89"/>
      <c r="MIN116" s="89"/>
      <c r="MIO116" s="89"/>
      <c r="MIP116" s="89"/>
      <c r="MIQ116" s="89"/>
      <c r="MIR116" s="89"/>
      <c r="MIS116" s="89"/>
      <c r="MIT116" s="94"/>
      <c r="MIU116" s="89"/>
      <c r="MIV116" s="89"/>
      <c r="MIW116" s="89"/>
      <c r="MIX116" s="89"/>
      <c r="MIY116" s="89"/>
      <c r="MIZ116" s="94"/>
      <c r="MJA116" s="89"/>
      <c r="MJB116" s="89"/>
      <c r="MJC116" s="89"/>
      <c r="MJD116" s="89"/>
      <c r="MJE116" s="89"/>
      <c r="MJF116" s="89"/>
      <c r="MJG116" s="89"/>
      <c r="MJH116" s="89"/>
      <c r="MJI116" s="89"/>
      <c r="MJJ116" s="89"/>
      <c r="MJK116" s="94"/>
      <c r="MJL116" s="89"/>
      <c r="MJM116" s="89"/>
      <c r="MJN116" s="89"/>
      <c r="MJO116" s="89"/>
      <c r="MJP116" s="89"/>
      <c r="MJQ116" s="89"/>
      <c r="MJR116" s="89"/>
      <c r="MJS116" s="89"/>
      <c r="MJT116" s="89"/>
      <c r="MJU116" s="89"/>
      <c r="MJV116" s="89"/>
      <c r="MJW116" s="89"/>
      <c r="MJX116" s="89"/>
      <c r="MJY116" s="89"/>
      <c r="MJZ116" s="89"/>
      <c r="MKA116" s="89"/>
      <c r="MKB116" s="89"/>
      <c r="MKC116" s="89"/>
      <c r="MKD116" s="89"/>
      <c r="MKE116" s="89"/>
      <c r="MKF116" s="89"/>
      <c r="MKG116" s="89"/>
      <c r="MKH116" s="89"/>
      <c r="MKI116" s="89"/>
      <c r="MKO116" s="89"/>
      <c r="MKP116" s="89"/>
      <c r="MKQ116" s="89"/>
      <c r="MKR116" s="89"/>
      <c r="MKS116" s="89"/>
      <c r="MKT116" s="89"/>
      <c r="MKU116" s="89"/>
      <c r="MKV116" s="89"/>
      <c r="MKW116" s="89"/>
      <c r="MKX116" s="89"/>
      <c r="MKY116" s="89"/>
      <c r="MKZ116" s="89"/>
      <c r="MLA116" s="94"/>
      <c r="MLB116" s="89"/>
      <c r="MLC116" s="89"/>
      <c r="MLD116" s="89"/>
      <c r="MLE116" s="89"/>
      <c r="MLF116" s="89"/>
      <c r="MLG116" s="94"/>
      <c r="MLH116" s="89"/>
      <c r="MLI116" s="89"/>
      <c r="MLJ116" s="89"/>
      <c r="MLK116" s="89"/>
      <c r="MLL116" s="89"/>
      <c r="MLM116" s="89"/>
      <c r="MLN116" s="89"/>
      <c r="MLO116" s="89"/>
      <c r="MLP116" s="89"/>
      <c r="MLQ116" s="89"/>
      <c r="MLR116" s="94"/>
      <c r="MLS116" s="89"/>
      <c r="MLT116" s="89"/>
      <c r="MLU116" s="89"/>
      <c r="MLV116" s="89"/>
      <c r="MLW116" s="89"/>
      <c r="MLX116" s="89"/>
      <c r="MLY116" s="89"/>
      <c r="MLZ116" s="89"/>
      <c r="MMA116" s="89"/>
      <c r="MMB116" s="89"/>
      <c r="MMC116" s="89"/>
      <c r="MMD116" s="89"/>
      <c r="MME116" s="89"/>
      <c r="MMF116" s="89"/>
      <c r="MMG116" s="89"/>
      <c r="MMH116" s="89"/>
      <c r="MMI116" s="89"/>
      <c r="MMJ116" s="89"/>
      <c r="MMK116" s="89"/>
      <c r="MML116" s="89"/>
      <c r="MMM116" s="89"/>
      <c r="MMN116" s="89"/>
      <c r="MMO116" s="89"/>
      <c r="MMP116" s="89"/>
      <c r="MMV116" s="89"/>
      <c r="MMW116" s="89"/>
      <c r="MMX116" s="89"/>
      <c r="MMY116" s="89"/>
      <c r="MMZ116" s="89"/>
      <c r="MNA116" s="89"/>
      <c r="MNB116" s="89"/>
      <c r="MNC116" s="89"/>
      <c r="MND116" s="89"/>
      <c r="MNE116" s="89"/>
      <c r="MNF116" s="89"/>
      <c r="MNG116" s="89"/>
      <c r="MNH116" s="94"/>
      <c r="MNI116" s="89"/>
      <c r="MNJ116" s="89"/>
      <c r="MNK116" s="89"/>
      <c r="MNL116" s="89"/>
      <c r="MNM116" s="89"/>
      <c r="MNN116" s="94"/>
      <c r="MNO116" s="89"/>
      <c r="MNP116" s="89"/>
      <c r="MNQ116" s="89"/>
      <c r="MNR116" s="89"/>
      <c r="MNS116" s="89"/>
      <c r="MNT116" s="89"/>
      <c r="MNU116" s="89"/>
      <c r="MNV116" s="89"/>
      <c r="MNW116" s="89"/>
      <c r="MNX116" s="89"/>
      <c r="MNY116" s="94"/>
      <c r="MNZ116" s="89"/>
      <c r="MOA116" s="89"/>
      <c r="MOB116" s="89"/>
      <c r="MOC116" s="89"/>
      <c r="MOD116" s="89"/>
      <c r="MOE116" s="89"/>
      <c r="MOF116" s="89"/>
      <c r="MOG116" s="89"/>
      <c r="MOH116" s="89"/>
      <c r="MOI116" s="89"/>
      <c r="MOJ116" s="89"/>
      <c r="MOK116" s="89"/>
      <c r="MOL116" s="89"/>
      <c r="MOM116" s="89"/>
      <c r="MON116" s="89"/>
      <c r="MOO116" s="89"/>
      <c r="MOP116" s="89"/>
      <c r="MOQ116" s="89"/>
      <c r="MOR116" s="89"/>
      <c r="MOS116" s="89"/>
      <c r="MOT116" s="89"/>
      <c r="MOU116" s="89"/>
      <c r="MOV116" s="89"/>
      <c r="MOW116" s="89"/>
      <c r="MPC116" s="89"/>
      <c r="MPD116" s="89"/>
      <c r="MPE116" s="89"/>
      <c r="MPF116" s="89"/>
      <c r="MPG116" s="89"/>
      <c r="MPH116" s="89"/>
      <c r="MPI116" s="89"/>
      <c r="MPJ116" s="89"/>
      <c r="MPK116" s="89"/>
      <c r="MPL116" s="89"/>
      <c r="MPM116" s="89"/>
      <c r="MPN116" s="89"/>
      <c r="MPO116" s="94"/>
      <c r="MPP116" s="89"/>
      <c r="MPQ116" s="89"/>
      <c r="MPR116" s="89"/>
      <c r="MPS116" s="89"/>
      <c r="MPT116" s="89"/>
      <c r="MPU116" s="94"/>
      <c r="MPV116" s="89"/>
      <c r="MPW116" s="89"/>
      <c r="MPX116" s="89"/>
      <c r="MPY116" s="89"/>
      <c r="MPZ116" s="89"/>
      <c r="MQA116" s="89"/>
      <c r="MQB116" s="89"/>
      <c r="MQC116" s="89"/>
      <c r="MQD116" s="89"/>
      <c r="MQE116" s="89"/>
      <c r="MQF116" s="94"/>
      <c r="MQG116" s="89"/>
      <c r="MQH116" s="89"/>
      <c r="MQI116" s="89"/>
      <c r="MQJ116" s="89"/>
      <c r="MQK116" s="89"/>
      <c r="MQL116" s="89"/>
      <c r="MQM116" s="89"/>
      <c r="MQN116" s="89"/>
      <c r="MQO116" s="89"/>
      <c r="MQP116" s="89"/>
      <c r="MQQ116" s="89"/>
      <c r="MQR116" s="89"/>
      <c r="MQS116" s="89"/>
      <c r="MQT116" s="89"/>
      <c r="MQU116" s="89"/>
      <c r="MQV116" s="89"/>
      <c r="MQW116" s="89"/>
      <c r="MQX116" s="89"/>
      <c r="MQY116" s="89"/>
      <c r="MQZ116" s="89"/>
      <c r="MRA116" s="89"/>
      <c r="MRB116" s="89"/>
      <c r="MRC116" s="89"/>
      <c r="MRD116" s="89"/>
      <c r="MRJ116" s="89"/>
      <c r="MRK116" s="89"/>
      <c r="MRL116" s="89"/>
      <c r="MRM116" s="89"/>
      <c r="MRN116" s="89"/>
      <c r="MRO116" s="89"/>
      <c r="MRP116" s="89"/>
      <c r="MRQ116" s="89"/>
      <c r="MRR116" s="89"/>
      <c r="MRS116" s="89"/>
      <c r="MRT116" s="89"/>
      <c r="MRU116" s="89"/>
      <c r="MRV116" s="94"/>
      <c r="MRW116" s="89"/>
      <c r="MRX116" s="89"/>
      <c r="MRY116" s="89"/>
      <c r="MRZ116" s="89"/>
      <c r="MSA116" s="89"/>
      <c r="MSB116" s="94"/>
      <c r="MSC116" s="89"/>
      <c r="MSD116" s="89"/>
      <c r="MSE116" s="89"/>
      <c r="MSF116" s="89"/>
      <c r="MSG116" s="89"/>
      <c r="MSH116" s="89"/>
      <c r="MSI116" s="89"/>
      <c r="MSJ116" s="89"/>
      <c r="MSK116" s="89"/>
      <c r="MSL116" s="89"/>
      <c r="MSM116" s="94"/>
      <c r="MSN116" s="89"/>
      <c r="MSO116" s="89"/>
      <c r="MSP116" s="89"/>
      <c r="MSQ116" s="89"/>
      <c r="MSR116" s="89"/>
      <c r="MSS116" s="89"/>
      <c r="MST116" s="89"/>
      <c r="MSU116" s="89"/>
      <c r="MSV116" s="89"/>
      <c r="MSW116" s="89"/>
      <c r="MSX116" s="89"/>
      <c r="MSY116" s="89"/>
      <c r="MSZ116" s="89"/>
      <c r="MTA116" s="89"/>
      <c r="MTB116" s="89"/>
      <c r="MTC116" s="89"/>
      <c r="MTD116" s="89"/>
      <c r="MTE116" s="89"/>
      <c r="MTF116" s="89"/>
      <c r="MTG116" s="89"/>
      <c r="MTH116" s="89"/>
      <c r="MTI116" s="89"/>
      <c r="MTJ116" s="89"/>
      <c r="MTK116" s="89"/>
      <c r="MTQ116" s="89"/>
      <c r="MTR116" s="89"/>
      <c r="MTS116" s="89"/>
      <c r="MTT116" s="89"/>
      <c r="MTU116" s="89"/>
      <c r="MTV116" s="89"/>
      <c r="MTW116" s="89"/>
      <c r="MTX116" s="89"/>
      <c r="MTY116" s="89"/>
      <c r="MTZ116" s="89"/>
      <c r="MUA116" s="89"/>
      <c r="MUB116" s="89"/>
      <c r="MUC116" s="94"/>
      <c r="MUD116" s="89"/>
      <c r="MUE116" s="89"/>
      <c r="MUF116" s="89"/>
      <c r="MUG116" s="89"/>
      <c r="MUH116" s="89"/>
      <c r="MUI116" s="94"/>
      <c r="MUJ116" s="89"/>
      <c r="MUK116" s="89"/>
      <c r="MUL116" s="89"/>
      <c r="MUM116" s="89"/>
      <c r="MUN116" s="89"/>
      <c r="MUO116" s="89"/>
      <c r="MUP116" s="89"/>
      <c r="MUQ116" s="89"/>
      <c r="MUR116" s="89"/>
      <c r="MUS116" s="89"/>
      <c r="MUT116" s="94"/>
      <c r="MUU116" s="89"/>
      <c r="MUV116" s="89"/>
      <c r="MUW116" s="89"/>
      <c r="MUX116" s="89"/>
      <c r="MUY116" s="89"/>
      <c r="MUZ116" s="89"/>
      <c r="MVA116" s="89"/>
      <c r="MVB116" s="89"/>
      <c r="MVC116" s="89"/>
      <c r="MVD116" s="89"/>
      <c r="MVE116" s="89"/>
      <c r="MVF116" s="89"/>
      <c r="MVG116" s="89"/>
      <c r="MVH116" s="89"/>
      <c r="MVI116" s="89"/>
      <c r="MVJ116" s="89"/>
      <c r="MVK116" s="89"/>
      <c r="MVL116" s="89"/>
      <c r="MVM116" s="89"/>
      <c r="MVN116" s="89"/>
      <c r="MVO116" s="89"/>
      <c r="MVP116" s="89"/>
      <c r="MVQ116" s="89"/>
      <c r="MVR116" s="89"/>
      <c r="MVX116" s="89"/>
      <c r="MVY116" s="89"/>
      <c r="MVZ116" s="89"/>
      <c r="MWA116" s="89"/>
      <c r="MWB116" s="89"/>
      <c r="MWC116" s="89"/>
      <c r="MWD116" s="89"/>
      <c r="MWE116" s="89"/>
      <c r="MWF116" s="89"/>
      <c r="MWG116" s="89"/>
      <c r="MWH116" s="89"/>
      <c r="MWI116" s="89"/>
      <c r="MWJ116" s="94"/>
      <c r="MWK116" s="89"/>
      <c r="MWL116" s="89"/>
      <c r="MWM116" s="89"/>
      <c r="MWN116" s="89"/>
      <c r="MWO116" s="89"/>
      <c r="MWP116" s="94"/>
      <c r="MWQ116" s="89"/>
      <c r="MWR116" s="89"/>
      <c r="MWS116" s="89"/>
      <c r="MWT116" s="89"/>
      <c r="MWU116" s="89"/>
      <c r="MWV116" s="89"/>
      <c r="MWW116" s="89"/>
      <c r="MWX116" s="89"/>
      <c r="MWY116" s="89"/>
      <c r="MWZ116" s="89"/>
      <c r="MXA116" s="94"/>
      <c r="MXB116" s="89"/>
      <c r="MXC116" s="89"/>
      <c r="MXD116" s="89"/>
      <c r="MXE116" s="89"/>
      <c r="MXF116" s="89"/>
      <c r="MXG116" s="89"/>
      <c r="MXH116" s="89"/>
      <c r="MXI116" s="89"/>
      <c r="MXJ116" s="89"/>
      <c r="MXK116" s="89"/>
      <c r="MXL116" s="89"/>
      <c r="MXM116" s="89"/>
      <c r="MXN116" s="89"/>
      <c r="MXO116" s="89"/>
      <c r="MXP116" s="89"/>
      <c r="MXQ116" s="89"/>
      <c r="MXR116" s="89"/>
      <c r="MXS116" s="89"/>
      <c r="MXT116" s="89"/>
      <c r="MXU116" s="89"/>
      <c r="MXV116" s="89"/>
      <c r="MXW116" s="89"/>
      <c r="MXX116" s="89"/>
      <c r="MXY116" s="89"/>
      <c r="MYE116" s="89"/>
      <c r="MYF116" s="89"/>
      <c r="MYG116" s="89"/>
      <c r="MYH116" s="89"/>
      <c r="MYI116" s="89"/>
      <c r="MYJ116" s="89"/>
      <c r="MYK116" s="89"/>
      <c r="MYL116" s="89"/>
      <c r="MYM116" s="89"/>
      <c r="MYN116" s="89"/>
      <c r="MYO116" s="89"/>
      <c r="MYP116" s="89"/>
      <c r="MYQ116" s="94"/>
      <c r="MYR116" s="89"/>
      <c r="MYS116" s="89"/>
      <c r="MYT116" s="89"/>
      <c r="MYU116" s="89"/>
      <c r="MYV116" s="89"/>
      <c r="MYW116" s="94"/>
      <c r="MYX116" s="89"/>
      <c r="MYY116" s="89"/>
      <c r="MYZ116" s="89"/>
      <c r="MZA116" s="89"/>
      <c r="MZB116" s="89"/>
      <c r="MZC116" s="89"/>
      <c r="MZD116" s="89"/>
      <c r="MZE116" s="89"/>
      <c r="MZF116" s="89"/>
      <c r="MZG116" s="89"/>
      <c r="MZH116" s="94"/>
      <c r="MZI116" s="89"/>
      <c r="MZJ116" s="89"/>
      <c r="MZK116" s="89"/>
      <c r="MZL116" s="89"/>
      <c r="MZM116" s="89"/>
      <c r="MZN116" s="89"/>
      <c r="MZO116" s="89"/>
      <c r="MZP116" s="89"/>
      <c r="MZQ116" s="89"/>
      <c r="MZR116" s="89"/>
      <c r="MZS116" s="89"/>
      <c r="MZT116" s="89"/>
      <c r="MZU116" s="89"/>
      <c r="MZV116" s="89"/>
      <c r="MZW116" s="89"/>
      <c r="MZX116" s="89"/>
      <c r="MZY116" s="89"/>
      <c r="MZZ116" s="89"/>
      <c r="NAA116" s="89"/>
      <c r="NAB116" s="89"/>
      <c r="NAC116" s="89"/>
      <c r="NAD116" s="89"/>
      <c r="NAE116" s="89"/>
      <c r="NAF116" s="89"/>
      <c r="NAL116" s="89"/>
      <c r="NAM116" s="89"/>
      <c r="NAN116" s="89"/>
      <c r="NAO116" s="89"/>
      <c r="NAP116" s="89"/>
      <c r="NAQ116" s="89"/>
      <c r="NAR116" s="89"/>
      <c r="NAS116" s="89"/>
      <c r="NAT116" s="89"/>
      <c r="NAU116" s="89"/>
      <c r="NAV116" s="89"/>
      <c r="NAW116" s="89"/>
      <c r="NAX116" s="94"/>
      <c r="NAY116" s="89"/>
      <c r="NAZ116" s="89"/>
      <c r="NBA116" s="89"/>
      <c r="NBB116" s="89"/>
      <c r="NBC116" s="89"/>
      <c r="NBD116" s="94"/>
      <c r="NBE116" s="89"/>
      <c r="NBF116" s="89"/>
      <c r="NBG116" s="89"/>
      <c r="NBH116" s="89"/>
      <c r="NBI116" s="89"/>
      <c r="NBJ116" s="89"/>
      <c r="NBK116" s="89"/>
      <c r="NBL116" s="89"/>
      <c r="NBM116" s="89"/>
      <c r="NBN116" s="89"/>
      <c r="NBO116" s="94"/>
      <c r="NBP116" s="89"/>
      <c r="NBQ116" s="89"/>
      <c r="NBR116" s="89"/>
      <c r="NBS116" s="89"/>
      <c r="NBT116" s="89"/>
      <c r="NBU116" s="89"/>
      <c r="NBV116" s="89"/>
      <c r="NBW116" s="89"/>
      <c r="NBX116" s="89"/>
      <c r="NBY116" s="89"/>
      <c r="NBZ116" s="89"/>
      <c r="NCA116" s="89"/>
      <c r="NCB116" s="89"/>
      <c r="NCC116" s="89"/>
      <c r="NCD116" s="89"/>
      <c r="NCE116" s="89"/>
      <c r="NCF116" s="89"/>
      <c r="NCG116" s="89"/>
      <c r="NCH116" s="89"/>
      <c r="NCI116" s="89"/>
      <c r="NCJ116" s="89"/>
      <c r="NCK116" s="89"/>
      <c r="NCL116" s="89"/>
      <c r="NCM116" s="89"/>
      <c r="NCS116" s="89"/>
      <c r="NCT116" s="89"/>
      <c r="NCU116" s="89"/>
      <c r="NCV116" s="89"/>
      <c r="NCW116" s="89"/>
      <c r="NCX116" s="89"/>
      <c r="NCY116" s="89"/>
      <c r="NCZ116" s="89"/>
      <c r="NDA116" s="89"/>
      <c r="NDB116" s="89"/>
      <c r="NDC116" s="89"/>
      <c r="NDD116" s="89"/>
      <c r="NDE116" s="94"/>
      <c r="NDF116" s="89"/>
      <c r="NDG116" s="89"/>
      <c r="NDH116" s="89"/>
      <c r="NDI116" s="89"/>
      <c r="NDJ116" s="89"/>
      <c r="NDK116" s="94"/>
      <c r="NDL116" s="89"/>
      <c r="NDM116" s="89"/>
      <c r="NDN116" s="89"/>
      <c r="NDO116" s="89"/>
      <c r="NDP116" s="89"/>
      <c r="NDQ116" s="89"/>
      <c r="NDR116" s="89"/>
      <c r="NDS116" s="89"/>
      <c r="NDT116" s="89"/>
      <c r="NDU116" s="89"/>
      <c r="NDV116" s="94"/>
      <c r="NDW116" s="89"/>
      <c r="NDX116" s="89"/>
      <c r="NDY116" s="89"/>
      <c r="NDZ116" s="89"/>
      <c r="NEA116" s="89"/>
      <c r="NEB116" s="89"/>
      <c r="NEC116" s="89"/>
      <c r="NED116" s="89"/>
      <c r="NEE116" s="89"/>
      <c r="NEF116" s="89"/>
      <c r="NEG116" s="89"/>
      <c r="NEH116" s="89"/>
      <c r="NEI116" s="89"/>
      <c r="NEJ116" s="89"/>
      <c r="NEK116" s="89"/>
      <c r="NEL116" s="89"/>
      <c r="NEM116" s="89"/>
      <c r="NEN116" s="89"/>
      <c r="NEO116" s="89"/>
      <c r="NEP116" s="89"/>
      <c r="NEQ116" s="89"/>
      <c r="NER116" s="89"/>
      <c r="NES116" s="89"/>
      <c r="NET116" s="89"/>
      <c r="NEZ116" s="89"/>
      <c r="NFA116" s="89"/>
      <c r="NFB116" s="89"/>
      <c r="NFC116" s="89"/>
      <c r="NFD116" s="89"/>
      <c r="NFE116" s="89"/>
      <c r="NFF116" s="89"/>
      <c r="NFG116" s="89"/>
      <c r="NFH116" s="89"/>
      <c r="NFI116" s="89"/>
      <c r="NFJ116" s="89"/>
      <c r="NFK116" s="89"/>
      <c r="NFL116" s="94"/>
      <c r="NFM116" s="89"/>
      <c r="NFN116" s="89"/>
      <c r="NFO116" s="89"/>
      <c r="NFP116" s="89"/>
      <c r="NFQ116" s="89"/>
      <c r="NFR116" s="94"/>
      <c r="NFS116" s="89"/>
      <c r="NFT116" s="89"/>
      <c r="NFU116" s="89"/>
      <c r="NFV116" s="89"/>
      <c r="NFW116" s="89"/>
      <c r="NFX116" s="89"/>
      <c r="NFY116" s="89"/>
      <c r="NFZ116" s="89"/>
      <c r="NGA116" s="89"/>
      <c r="NGB116" s="89"/>
      <c r="NGC116" s="94"/>
      <c r="NGD116" s="89"/>
      <c r="NGE116" s="89"/>
      <c r="NGF116" s="89"/>
      <c r="NGG116" s="89"/>
      <c r="NGH116" s="89"/>
      <c r="NGI116" s="89"/>
      <c r="NGJ116" s="89"/>
      <c r="NGK116" s="89"/>
      <c r="NGL116" s="89"/>
      <c r="NGM116" s="89"/>
      <c r="NGN116" s="89"/>
      <c r="NGO116" s="89"/>
      <c r="NGP116" s="89"/>
      <c r="NGQ116" s="89"/>
      <c r="NGR116" s="89"/>
      <c r="NGS116" s="89"/>
      <c r="NGT116" s="89"/>
      <c r="NGU116" s="89"/>
      <c r="NGV116" s="89"/>
      <c r="NGW116" s="89"/>
      <c r="NGX116" s="89"/>
      <c r="NGY116" s="89"/>
      <c r="NGZ116" s="89"/>
      <c r="NHA116" s="89"/>
      <c r="NHG116" s="89"/>
      <c r="NHH116" s="89"/>
      <c r="NHI116" s="89"/>
      <c r="NHJ116" s="89"/>
      <c r="NHK116" s="89"/>
      <c r="NHL116" s="89"/>
      <c r="NHM116" s="89"/>
      <c r="NHN116" s="89"/>
      <c r="NHO116" s="89"/>
      <c r="NHP116" s="89"/>
      <c r="NHQ116" s="89"/>
      <c r="NHR116" s="89"/>
      <c r="NHS116" s="94"/>
      <c r="NHT116" s="89"/>
      <c r="NHU116" s="89"/>
      <c r="NHV116" s="89"/>
      <c r="NHW116" s="89"/>
      <c r="NHX116" s="89"/>
      <c r="NHY116" s="94"/>
      <c r="NHZ116" s="89"/>
      <c r="NIA116" s="89"/>
      <c r="NIB116" s="89"/>
      <c r="NIC116" s="89"/>
      <c r="NID116" s="89"/>
      <c r="NIE116" s="89"/>
      <c r="NIF116" s="89"/>
      <c r="NIG116" s="89"/>
      <c r="NIH116" s="89"/>
      <c r="NII116" s="89"/>
      <c r="NIJ116" s="94"/>
      <c r="NIK116" s="89"/>
      <c r="NIL116" s="89"/>
      <c r="NIM116" s="89"/>
      <c r="NIN116" s="89"/>
      <c r="NIO116" s="89"/>
      <c r="NIP116" s="89"/>
      <c r="NIQ116" s="89"/>
      <c r="NIR116" s="89"/>
      <c r="NIS116" s="89"/>
      <c r="NIT116" s="89"/>
      <c r="NIU116" s="89"/>
      <c r="NIV116" s="89"/>
      <c r="NIW116" s="89"/>
      <c r="NIX116" s="89"/>
      <c r="NIY116" s="89"/>
      <c r="NIZ116" s="89"/>
      <c r="NJA116" s="89"/>
      <c r="NJB116" s="89"/>
      <c r="NJC116" s="89"/>
      <c r="NJD116" s="89"/>
      <c r="NJE116" s="89"/>
      <c r="NJF116" s="89"/>
      <c r="NJG116" s="89"/>
      <c r="NJH116" s="89"/>
      <c r="NJN116" s="89"/>
      <c r="NJO116" s="89"/>
      <c r="NJP116" s="89"/>
      <c r="NJQ116" s="89"/>
      <c r="NJR116" s="89"/>
      <c r="NJS116" s="89"/>
      <c r="NJT116" s="89"/>
      <c r="NJU116" s="89"/>
      <c r="NJV116" s="89"/>
      <c r="NJW116" s="89"/>
      <c r="NJX116" s="89"/>
      <c r="NJY116" s="89"/>
      <c r="NJZ116" s="94"/>
      <c r="NKA116" s="89"/>
      <c r="NKB116" s="89"/>
      <c r="NKC116" s="89"/>
      <c r="NKD116" s="89"/>
      <c r="NKE116" s="89"/>
      <c r="NKF116" s="94"/>
      <c r="NKG116" s="89"/>
      <c r="NKH116" s="89"/>
      <c r="NKI116" s="89"/>
      <c r="NKJ116" s="89"/>
      <c r="NKK116" s="89"/>
      <c r="NKL116" s="89"/>
      <c r="NKM116" s="89"/>
      <c r="NKN116" s="89"/>
      <c r="NKO116" s="89"/>
      <c r="NKP116" s="89"/>
      <c r="NKQ116" s="94"/>
      <c r="NKR116" s="89"/>
      <c r="NKS116" s="89"/>
      <c r="NKT116" s="89"/>
      <c r="NKU116" s="89"/>
      <c r="NKV116" s="89"/>
      <c r="NKW116" s="89"/>
      <c r="NKX116" s="89"/>
      <c r="NKY116" s="89"/>
      <c r="NKZ116" s="89"/>
      <c r="NLA116" s="89"/>
      <c r="NLB116" s="89"/>
      <c r="NLC116" s="89"/>
      <c r="NLD116" s="89"/>
      <c r="NLE116" s="89"/>
      <c r="NLF116" s="89"/>
      <c r="NLG116" s="89"/>
      <c r="NLH116" s="89"/>
      <c r="NLI116" s="89"/>
      <c r="NLJ116" s="89"/>
      <c r="NLK116" s="89"/>
      <c r="NLL116" s="89"/>
      <c r="NLM116" s="89"/>
      <c r="NLN116" s="89"/>
      <c r="NLO116" s="89"/>
      <c r="NLU116" s="89"/>
      <c r="NLV116" s="89"/>
      <c r="NLW116" s="89"/>
      <c r="NLX116" s="89"/>
      <c r="NLY116" s="89"/>
      <c r="NLZ116" s="89"/>
      <c r="NMA116" s="89"/>
      <c r="NMB116" s="89"/>
      <c r="NMC116" s="89"/>
      <c r="NMD116" s="89"/>
      <c r="NME116" s="89"/>
      <c r="NMF116" s="89"/>
      <c r="NMG116" s="94"/>
      <c r="NMH116" s="89"/>
      <c r="NMI116" s="89"/>
      <c r="NMJ116" s="89"/>
      <c r="NMK116" s="89"/>
      <c r="NML116" s="89"/>
      <c r="NMM116" s="94"/>
      <c r="NMN116" s="89"/>
      <c r="NMO116" s="89"/>
      <c r="NMP116" s="89"/>
      <c r="NMQ116" s="89"/>
      <c r="NMR116" s="89"/>
      <c r="NMS116" s="89"/>
      <c r="NMT116" s="89"/>
      <c r="NMU116" s="89"/>
      <c r="NMV116" s="89"/>
      <c r="NMW116" s="89"/>
      <c r="NMX116" s="94"/>
      <c r="NMY116" s="89"/>
      <c r="NMZ116" s="89"/>
      <c r="NNA116" s="89"/>
      <c r="NNB116" s="89"/>
      <c r="NNC116" s="89"/>
      <c r="NND116" s="89"/>
      <c r="NNE116" s="89"/>
      <c r="NNF116" s="89"/>
      <c r="NNG116" s="89"/>
      <c r="NNH116" s="89"/>
      <c r="NNI116" s="89"/>
      <c r="NNJ116" s="89"/>
      <c r="NNK116" s="89"/>
      <c r="NNL116" s="89"/>
      <c r="NNM116" s="89"/>
      <c r="NNN116" s="89"/>
      <c r="NNO116" s="89"/>
      <c r="NNP116" s="89"/>
      <c r="NNQ116" s="89"/>
      <c r="NNR116" s="89"/>
      <c r="NNS116" s="89"/>
      <c r="NNT116" s="89"/>
      <c r="NNU116" s="89"/>
      <c r="NNV116" s="89"/>
      <c r="NOB116" s="89"/>
      <c r="NOC116" s="89"/>
      <c r="NOD116" s="89"/>
      <c r="NOE116" s="89"/>
      <c r="NOF116" s="89"/>
      <c r="NOG116" s="89"/>
      <c r="NOH116" s="89"/>
      <c r="NOI116" s="89"/>
      <c r="NOJ116" s="89"/>
      <c r="NOK116" s="89"/>
      <c r="NOL116" s="89"/>
      <c r="NOM116" s="89"/>
      <c r="NON116" s="94"/>
      <c r="NOO116" s="89"/>
      <c r="NOP116" s="89"/>
      <c r="NOQ116" s="89"/>
      <c r="NOR116" s="89"/>
      <c r="NOS116" s="89"/>
      <c r="NOT116" s="94"/>
      <c r="NOU116" s="89"/>
      <c r="NOV116" s="89"/>
      <c r="NOW116" s="89"/>
      <c r="NOX116" s="89"/>
      <c r="NOY116" s="89"/>
      <c r="NOZ116" s="89"/>
      <c r="NPA116" s="89"/>
      <c r="NPB116" s="89"/>
      <c r="NPC116" s="89"/>
      <c r="NPD116" s="89"/>
      <c r="NPE116" s="94"/>
      <c r="NPF116" s="89"/>
      <c r="NPG116" s="89"/>
      <c r="NPH116" s="89"/>
      <c r="NPI116" s="89"/>
      <c r="NPJ116" s="89"/>
      <c r="NPK116" s="89"/>
      <c r="NPL116" s="89"/>
      <c r="NPM116" s="89"/>
      <c r="NPN116" s="89"/>
      <c r="NPO116" s="89"/>
      <c r="NPP116" s="89"/>
      <c r="NPQ116" s="89"/>
      <c r="NPR116" s="89"/>
      <c r="NPS116" s="89"/>
      <c r="NPT116" s="89"/>
      <c r="NPU116" s="89"/>
      <c r="NPV116" s="89"/>
      <c r="NPW116" s="89"/>
      <c r="NPX116" s="89"/>
      <c r="NPY116" s="89"/>
      <c r="NPZ116" s="89"/>
      <c r="NQA116" s="89"/>
      <c r="NQB116" s="89"/>
      <c r="NQC116" s="89"/>
      <c r="NQI116" s="89"/>
      <c r="NQJ116" s="89"/>
      <c r="NQK116" s="89"/>
      <c r="NQL116" s="89"/>
      <c r="NQM116" s="89"/>
      <c r="NQN116" s="89"/>
      <c r="NQO116" s="89"/>
      <c r="NQP116" s="89"/>
      <c r="NQQ116" s="89"/>
      <c r="NQR116" s="89"/>
      <c r="NQS116" s="89"/>
      <c r="NQT116" s="89"/>
      <c r="NQU116" s="94"/>
      <c r="NQV116" s="89"/>
      <c r="NQW116" s="89"/>
      <c r="NQX116" s="89"/>
      <c r="NQY116" s="89"/>
      <c r="NQZ116" s="89"/>
      <c r="NRA116" s="94"/>
      <c r="NRB116" s="89"/>
      <c r="NRC116" s="89"/>
      <c r="NRD116" s="89"/>
      <c r="NRE116" s="89"/>
      <c r="NRF116" s="89"/>
      <c r="NRG116" s="89"/>
      <c r="NRH116" s="89"/>
      <c r="NRI116" s="89"/>
      <c r="NRJ116" s="89"/>
      <c r="NRK116" s="89"/>
      <c r="NRL116" s="94"/>
      <c r="NRM116" s="89"/>
      <c r="NRN116" s="89"/>
      <c r="NRO116" s="89"/>
      <c r="NRP116" s="89"/>
      <c r="NRQ116" s="89"/>
      <c r="NRR116" s="89"/>
      <c r="NRS116" s="89"/>
      <c r="NRT116" s="89"/>
      <c r="NRU116" s="89"/>
      <c r="NRV116" s="89"/>
      <c r="NRW116" s="89"/>
      <c r="NRX116" s="89"/>
      <c r="NRY116" s="89"/>
      <c r="NRZ116" s="89"/>
      <c r="NSA116" s="89"/>
      <c r="NSB116" s="89"/>
      <c r="NSC116" s="89"/>
      <c r="NSD116" s="89"/>
      <c r="NSE116" s="89"/>
      <c r="NSF116" s="89"/>
      <c r="NSG116" s="89"/>
      <c r="NSH116" s="89"/>
      <c r="NSI116" s="89"/>
      <c r="NSJ116" s="89"/>
      <c r="NSP116" s="89"/>
      <c r="NSQ116" s="89"/>
      <c r="NSR116" s="89"/>
      <c r="NSS116" s="89"/>
      <c r="NST116" s="89"/>
      <c r="NSU116" s="89"/>
      <c r="NSV116" s="89"/>
      <c r="NSW116" s="89"/>
      <c r="NSX116" s="89"/>
      <c r="NSY116" s="89"/>
      <c r="NSZ116" s="89"/>
      <c r="NTA116" s="89"/>
      <c r="NTB116" s="94"/>
      <c r="NTC116" s="89"/>
      <c r="NTD116" s="89"/>
      <c r="NTE116" s="89"/>
      <c r="NTF116" s="89"/>
      <c r="NTG116" s="89"/>
      <c r="NTH116" s="94"/>
      <c r="NTI116" s="89"/>
      <c r="NTJ116" s="89"/>
      <c r="NTK116" s="89"/>
      <c r="NTL116" s="89"/>
      <c r="NTM116" s="89"/>
      <c r="NTN116" s="89"/>
      <c r="NTO116" s="89"/>
      <c r="NTP116" s="89"/>
      <c r="NTQ116" s="89"/>
      <c r="NTR116" s="89"/>
      <c r="NTS116" s="94"/>
      <c r="NTT116" s="89"/>
      <c r="NTU116" s="89"/>
      <c r="NTV116" s="89"/>
      <c r="NTW116" s="89"/>
      <c r="NTX116" s="89"/>
      <c r="NTY116" s="89"/>
      <c r="NTZ116" s="89"/>
      <c r="NUA116" s="89"/>
      <c r="NUB116" s="89"/>
      <c r="NUC116" s="89"/>
      <c r="NUD116" s="89"/>
      <c r="NUE116" s="89"/>
      <c r="NUF116" s="89"/>
      <c r="NUG116" s="89"/>
      <c r="NUH116" s="89"/>
      <c r="NUI116" s="89"/>
      <c r="NUJ116" s="89"/>
      <c r="NUK116" s="89"/>
      <c r="NUL116" s="89"/>
      <c r="NUM116" s="89"/>
      <c r="NUN116" s="89"/>
      <c r="NUO116" s="89"/>
      <c r="NUP116" s="89"/>
      <c r="NUQ116" s="89"/>
      <c r="NUW116" s="89"/>
      <c r="NUX116" s="89"/>
      <c r="NUY116" s="89"/>
      <c r="NUZ116" s="89"/>
      <c r="NVA116" s="89"/>
      <c r="NVB116" s="89"/>
      <c r="NVC116" s="89"/>
      <c r="NVD116" s="89"/>
      <c r="NVE116" s="89"/>
      <c r="NVF116" s="89"/>
      <c r="NVG116" s="89"/>
      <c r="NVH116" s="89"/>
      <c r="NVI116" s="94"/>
      <c r="NVJ116" s="89"/>
      <c r="NVK116" s="89"/>
      <c r="NVL116" s="89"/>
      <c r="NVM116" s="89"/>
      <c r="NVN116" s="89"/>
      <c r="NVO116" s="94"/>
      <c r="NVP116" s="89"/>
      <c r="NVQ116" s="89"/>
      <c r="NVR116" s="89"/>
      <c r="NVS116" s="89"/>
      <c r="NVT116" s="89"/>
      <c r="NVU116" s="89"/>
      <c r="NVV116" s="89"/>
      <c r="NVW116" s="89"/>
      <c r="NVX116" s="89"/>
      <c r="NVY116" s="89"/>
      <c r="NVZ116" s="94"/>
      <c r="NWA116" s="89"/>
      <c r="NWB116" s="89"/>
      <c r="NWC116" s="89"/>
      <c r="NWD116" s="89"/>
      <c r="NWE116" s="89"/>
      <c r="NWF116" s="89"/>
      <c r="NWG116" s="89"/>
      <c r="NWH116" s="89"/>
      <c r="NWI116" s="89"/>
      <c r="NWJ116" s="89"/>
      <c r="NWK116" s="89"/>
      <c r="NWL116" s="89"/>
      <c r="NWM116" s="89"/>
      <c r="NWN116" s="89"/>
      <c r="NWO116" s="89"/>
      <c r="NWP116" s="89"/>
      <c r="NWQ116" s="89"/>
      <c r="NWR116" s="89"/>
      <c r="NWS116" s="89"/>
      <c r="NWT116" s="89"/>
      <c r="NWU116" s="89"/>
      <c r="NWV116" s="89"/>
      <c r="NWW116" s="89"/>
      <c r="NWX116" s="89"/>
      <c r="NXD116" s="89"/>
      <c r="NXE116" s="89"/>
      <c r="NXF116" s="89"/>
      <c r="NXG116" s="89"/>
      <c r="NXH116" s="89"/>
      <c r="NXI116" s="89"/>
      <c r="NXJ116" s="89"/>
      <c r="NXK116" s="89"/>
      <c r="NXL116" s="89"/>
      <c r="NXM116" s="89"/>
      <c r="NXN116" s="89"/>
      <c r="NXO116" s="89"/>
      <c r="NXP116" s="94"/>
      <c r="NXQ116" s="89"/>
      <c r="NXR116" s="89"/>
      <c r="NXS116" s="89"/>
      <c r="NXT116" s="89"/>
      <c r="NXU116" s="89"/>
      <c r="NXV116" s="94"/>
      <c r="NXW116" s="89"/>
      <c r="NXX116" s="89"/>
      <c r="NXY116" s="89"/>
      <c r="NXZ116" s="89"/>
      <c r="NYA116" s="89"/>
      <c r="NYB116" s="89"/>
      <c r="NYC116" s="89"/>
      <c r="NYD116" s="89"/>
      <c r="NYE116" s="89"/>
      <c r="NYF116" s="89"/>
      <c r="NYG116" s="94"/>
      <c r="NYH116" s="89"/>
      <c r="NYI116" s="89"/>
      <c r="NYJ116" s="89"/>
      <c r="NYK116" s="89"/>
      <c r="NYL116" s="89"/>
      <c r="NYM116" s="89"/>
      <c r="NYN116" s="89"/>
      <c r="NYO116" s="89"/>
      <c r="NYP116" s="89"/>
      <c r="NYQ116" s="89"/>
      <c r="NYR116" s="89"/>
      <c r="NYS116" s="89"/>
      <c r="NYT116" s="89"/>
      <c r="NYU116" s="89"/>
      <c r="NYV116" s="89"/>
      <c r="NYW116" s="89"/>
      <c r="NYX116" s="89"/>
      <c r="NYY116" s="89"/>
      <c r="NYZ116" s="89"/>
      <c r="NZA116" s="89"/>
      <c r="NZB116" s="89"/>
      <c r="NZC116" s="89"/>
      <c r="NZD116" s="89"/>
      <c r="NZE116" s="89"/>
      <c r="NZK116" s="89"/>
      <c r="NZL116" s="89"/>
      <c r="NZM116" s="89"/>
      <c r="NZN116" s="89"/>
      <c r="NZO116" s="89"/>
      <c r="NZP116" s="89"/>
      <c r="NZQ116" s="89"/>
      <c r="NZR116" s="89"/>
      <c r="NZS116" s="89"/>
      <c r="NZT116" s="89"/>
      <c r="NZU116" s="89"/>
      <c r="NZV116" s="89"/>
      <c r="NZW116" s="94"/>
      <c r="NZX116" s="89"/>
      <c r="NZY116" s="89"/>
      <c r="NZZ116" s="89"/>
      <c r="OAA116" s="89"/>
      <c r="OAB116" s="89"/>
      <c r="OAC116" s="94"/>
      <c r="OAD116" s="89"/>
      <c r="OAE116" s="89"/>
      <c r="OAF116" s="89"/>
      <c r="OAG116" s="89"/>
      <c r="OAH116" s="89"/>
      <c r="OAI116" s="89"/>
      <c r="OAJ116" s="89"/>
      <c r="OAK116" s="89"/>
      <c r="OAL116" s="89"/>
      <c r="OAM116" s="89"/>
      <c r="OAN116" s="94"/>
      <c r="OAO116" s="89"/>
      <c r="OAP116" s="89"/>
      <c r="OAQ116" s="89"/>
      <c r="OAR116" s="89"/>
      <c r="OAS116" s="89"/>
      <c r="OAT116" s="89"/>
      <c r="OAU116" s="89"/>
      <c r="OAV116" s="89"/>
      <c r="OAW116" s="89"/>
      <c r="OAX116" s="89"/>
      <c r="OAY116" s="89"/>
      <c r="OAZ116" s="89"/>
      <c r="OBA116" s="89"/>
      <c r="OBB116" s="89"/>
      <c r="OBC116" s="89"/>
      <c r="OBD116" s="89"/>
      <c r="OBE116" s="89"/>
      <c r="OBF116" s="89"/>
      <c r="OBG116" s="89"/>
      <c r="OBH116" s="89"/>
      <c r="OBI116" s="89"/>
      <c r="OBJ116" s="89"/>
      <c r="OBK116" s="89"/>
      <c r="OBL116" s="89"/>
      <c r="OBR116" s="89"/>
      <c r="OBS116" s="89"/>
      <c r="OBT116" s="89"/>
      <c r="OBU116" s="89"/>
      <c r="OBV116" s="89"/>
      <c r="OBW116" s="89"/>
      <c r="OBX116" s="89"/>
      <c r="OBY116" s="89"/>
      <c r="OBZ116" s="89"/>
      <c r="OCA116" s="89"/>
      <c r="OCB116" s="89"/>
      <c r="OCC116" s="89"/>
      <c r="OCD116" s="94"/>
      <c r="OCE116" s="89"/>
      <c r="OCF116" s="89"/>
      <c r="OCG116" s="89"/>
      <c r="OCH116" s="89"/>
      <c r="OCI116" s="89"/>
      <c r="OCJ116" s="94"/>
      <c r="OCK116" s="89"/>
      <c r="OCL116" s="89"/>
      <c r="OCM116" s="89"/>
      <c r="OCN116" s="89"/>
      <c r="OCO116" s="89"/>
      <c r="OCP116" s="89"/>
      <c r="OCQ116" s="89"/>
      <c r="OCR116" s="89"/>
      <c r="OCS116" s="89"/>
      <c r="OCT116" s="89"/>
      <c r="OCU116" s="94"/>
      <c r="OCV116" s="89"/>
      <c r="OCW116" s="89"/>
      <c r="OCX116" s="89"/>
      <c r="OCY116" s="89"/>
      <c r="OCZ116" s="89"/>
      <c r="ODA116" s="89"/>
      <c r="ODB116" s="89"/>
      <c r="ODC116" s="89"/>
      <c r="ODD116" s="89"/>
      <c r="ODE116" s="89"/>
      <c r="ODF116" s="89"/>
      <c r="ODG116" s="89"/>
      <c r="ODH116" s="89"/>
      <c r="ODI116" s="89"/>
      <c r="ODJ116" s="89"/>
      <c r="ODK116" s="89"/>
      <c r="ODL116" s="89"/>
      <c r="ODM116" s="89"/>
      <c r="ODN116" s="89"/>
      <c r="ODO116" s="89"/>
      <c r="ODP116" s="89"/>
      <c r="ODQ116" s="89"/>
      <c r="ODR116" s="89"/>
      <c r="ODS116" s="89"/>
      <c r="ODY116" s="89"/>
      <c r="ODZ116" s="89"/>
      <c r="OEA116" s="89"/>
      <c r="OEB116" s="89"/>
      <c r="OEC116" s="89"/>
      <c r="OED116" s="89"/>
      <c r="OEE116" s="89"/>
      <c r="OEF116" s="89"/>
      <c r="OEG116" s="89"/>
      <c r="OEH116" s="89"/>
      <c r="OEI116" s="89"/>
      <c r="OEJ116" s="89"/>
      <c r="OEK116" s="94"/>
      <c r="OEL116" s="89"/>
      <c r="OEM116" s="89"/>
      <c r="OEN116" s="89"/>
      <c r="OEO116" s="89"/>
      <c r="OEP116" s="89"/>
      <c r="OEQ116" s="94"/>
      <c r="OER116" s="89"/>
      <c r="OES116" s="89"/>
      <c r="OET116" s="89"/>
      <c r="OEU116" s="89"/>
      <c r="OEV116" s="89"/>
      <c r="OEW116" s="89"/>
      <c r="OEX116" s="89"/>
      <c r="OEY116" s="89"/>
      <c r="OEZ116" s="89"/>
      <c r="OFA116" s="89"/>
      <c r="OFB116" s="94"/>
      <c r="OFC116" s="89"/>
      <c r="OFD116" s="89"/>
      <c r="OFE116" s="89"/>
      <c r="OFF116" s="89"/>
      <c r="OFG116" s="89"/>
      <c r="OFH116" s="89"/>
      <c r="OFI116" s="89"/>
      <c r="OFJ116" s="89"/>
      <c r="OFK116" s="89"/>
      <c r="OFL116" s="89"/>
      <c r="OFM116" s="89"/>
      <c r="OFN116" s="89"/>
      <c r="OFO116" s="89"/>
      <c r="OFP116" s="89"/>
      <c r="OFQ116" s="89"/>
      <c r="OFR116" s="89"/>
      <c r="OFS116" s="89"/>
      <c r="OFT116" s="89"/>
      <c r="OFU116" s="89"/>
      <c r="OFV116" s="89"/>
      <c r="OFW116" s="89"/>
      <c r="OFX116" s="89"/>
      <c r="OFY116" s="89"/>
      <c r="OFZ116" s="89"/>
      <c r="OGF116" s="89"/>
      <c r="OGG116" s="89"/>
      <c r="OGH116" s="89"/>
      <c r="OGI116" s="89"/>
      <c r="OGJ116" s="89"/>
      <c r="OGK116" s="89"/>
      <c r="OGL116" s="89"/>
      <c r="OGM116" s="89"/>
      <c r="OGN116" s="89"/>
      <c r="OGO116" s="89"/>
      <c r="OGP116" s="89"/>
      <c r="OGQ116" s="89"/>
      <c r="OGR116" s="94"/>
      <c r="OGS116" s="89"/>
      <c r="OGT116" s="89"/>
      <c r="OGU116" s="89"/>
      <c r="OGV116" s="89"/>
      <c r="OGW116" s="89"/>
      <c r="OGX116" s="94"/>
      <c r="OGY116" s="89"/>
      <c r="OGZ116" s="89"/>
      <c r="OHA116" s="89"/>
      <c r="OHB116" s="89"/>
      <c r="OHC116" s="89"/>
      <c r="OHD116" s="89"/>
      <c r="OHE116" s="89"/>
      <c r="OHF116" s="89"/>
      <c r="OHG116" s="89"/>
      <c r="OHH116" s="89"/>
      <c r="OHI116" s="94"/>
      <c r="OHJ116" s="89"/>
      <c r="OHK116" s="89"/>
      <c r="OHL116" s="89"/>
      <c r="OHM116" s="89"/>
      <c r="OHN116" s="89"/>
      <c r="OHO116" s="89"/>
      <c r="OHP116" s="89"/>
      <c r="OHQ116" s="89"/>
      <c r="OHR116" s="89"/>
      <c r="OHS116" s="89"/>
      <c r="OHT116" s="89"/>
      <c r="OHU116" s="89"/>
      <c r="OHV116" s="89"/>
      <c r="OHW116" s="89"/>
      <c r="OHX116" s="89"/>
      <c r="OHY116" s="89"/>
      <c r="OHZ116" s="89"/>
      <c r="OIA116" s="89"/>
      <c r="OIB116" s="89"/>
      <c r="OIC116" s="89"/>
      <c r="OID116" s="89"/>
      <c r="OIE116" s="89"/>
      <c r="OIF116" s="89"/>
      <c r="OIG116" s="89"/>
      <c r="OIM116" s="89"/>
      <c r="OIN116" s="89"/>
      <c r="OIO116" s="89"/>
      <c r="OIP116" s="89"/>
      <c r="OIQ116" s="89"/>
      <c r="OIR116" s="89"/>
      <c r="OIS116" s="89"/>
      <c r="OIT116" s="89"/>
      <c r="OIU116" s="89"/>
      <c r="OIV116" s="89"/>
      <c r="OIW116" s="89"/>
      <c r="OIX116" s="89"/>
      <c r="OIY116" s="94"/>
      <c r="OIZ116" s="89"/>
      <c r="OJA116" s="89"/>
      <c r="OJB116" s="89"/>
      <c r="OJC116" s="89"/>
      <c r="OJD116" s="89"/>
      <c r="OJE116" s="94"/>
      <c r="OJF116" s="89"/>
      <c r="OJG116" s="89"/>
      <c r="OJH116" s="89"/>
      <c r="OJI116" s="89"/>
      <c r="OJJ116" s="89"/>
      <c r="OJK116" s="89"/>
      <c r="OJL116" s="89"/>
      <c r="OJM116" s="89"/>
      <c r="OJN116" s="89"/>
      <c r="OJO116" s="89"/>
      <c r="OJP116" s="94"/>
      <c r="OJQ116" s="89"/>
      <c r="OJR116" s="89"/>
      <c r="OJS116" s="89"/>
      <c r="OJT116" s="89"/>
      <c r="OJU116" s="89"/>
      <c r="OJV116" s="89"/>
      <c r="OJW116" s="89"/>
      <c r="OJX116" s="89"/>
      <c r="OJY116" s="89"/>
      <c r="OJZ116" s="89"/>
      <c r="OKA116" s="89"/>
      <c r="OKB116" s="89"/>
      <c r="OKC116" s="89"/>
      <c r="OKD116" s="89"/>
      <c r="OKE116" s="89"/>
      <c r="OKF116" s="89"/>
      <c r="OKG116" s="89"/>
      <c r="OKH116" s="89"/>
      <c r="OKI116" s="89"/>
      <c r="OKJ116" s="89"/>
      <c r="OKK116" s="89"/>
      <c r="OKL116" s="89"/>
      <c r="OKM116" s="89"/>
      <c r="OKN116" s="89"/>
      <c r="OKT116" s="89"/>
      <c r="OKU116" s="89"/>
      <c r="OKV116" s="89"/>
      <c r="OKW116" s="89"/>
      <c r="OKX116" s="89"/>
      <c r="OKY116" s="89"/>
      <c r="OKZ116" s="89"/>
      <c r="OLA116" s="89"/>
      <c r="OLB116" s="89"/>
      <c r="OLC116" s="89"/>
      <c r="OLD116" s="89"/>
      <c r="OLE116" s="89"/>
      <c r="OLF116" s="94"/>
      <c r="OLG116" s="89"/>
      <c r="OLH116" s="89"/>
      <c r="OLI116" s="89"/>
      <c r="OLJ116" s="89"/>
      <c r="OLK116" s="89"/>
      <c r="OLL116" s="94"/>
      <c r="OLM116" s="89"/>
      <c r="OLN116" s="89"/>
      <c r="OLO116" s="89"/>
      <c r="OLP116" s="89"/>
      <c r="OLQ116" s="89"/>
      <c r="OLR116" s="89"/>
      <c r="OLS116" s="89"/>
      <c r="OLT116" s="89"/>
      <c r="OLU116" s="89"/>
      <c r="OLV116" s="89"/>
      <c r="OLW116" s="94"/>
      <c r="OLX116" s="89"/>
      <c r="OLY116" s="89"/>
      <c r="OLZ116" s="89"/>
      <c r="OMA116" s="89"/>
      <c r="OMB116" s="89"/>
      <c r="OMC116" s="89"/>
      <c r="OMD116" s="89"/>
      <c r="OME116" s="89"/>
      <c r="OMF116" s="89"/>
      <c r="OMG116" s="89"/>
      <c r="OMH116" s="89"/>
      <c r="OMI116" s="89"/>
      <c r="OMJ116" s="89"/>
      <c r="OMK116" s="89"/>
      <c r="OML116" s="89"/>
      <c r="OMM116" s="89"/>
      <c r="OMN116" s="89"/>
      <c r="OMO116" s="89"/>
      <c r="OMP116" s="89"/>
      <c r="OMQ116" s="89"/>
      <c r="OMR116" s="89"/>
      <c r="OMS116" s="89"/>
      <c r="OMT116" s="89"/>
      <c r="OMU116" s="89"/>
      <c r="ONA116" s="89"/>
      <c r="ONB116" s="89"/>
      <c r="ONC116" s="89"/>
      <c r="OND116" s="89"/>
      <c r="ONE116" s="89"/>
      <c r="ONF116" s="89"/>
      <c r="ONG116" s="89"/>
      <c r="ONH116" s="89"/>
      <c r="ONI116" s="89"/>
      <c r="ONJ116" s="89"/>
      <c r="ONK116" s="89"/>
      <c r="ONL116" s="89"/>
      <c r="ONM116" s="94"/>
      <c r="ONN116" s="89"/>
      <c r="ONO116" s="89"/>
      <c r="ONP116" s="89"/>
      <c r="ONQ116" s="89"/>
      <c r="ONR116" s="89"/>
      <c r="ONS116" s="94"/>
      <c r="ONT116" s="89"/>
      <c r="ONU116" s="89"/>
      <c r="ONV116" s="89"/>
      <c r="ONW116" s="89"/>
      <c r="ONX116" s="89"/>
      <c r="ONY116" s="89"/>
      <c r="ONZ116" s="89"/>
      <c r="OOA116" s="89"/>
      <c r="OOB116" s="89"/>
      <c r="OOC116" s="89"/>
      <c r="OOD116" s="94"/>
      <c r="OOE116" s="89"/>
      <c r="OOF116" s="89"/>
      <c r="OOG116" s="89"/>
      <c r="OOH116" s="89"/>
      <c r="OOI116" s="89"/>
      <c r="OOJ116" s="89"/>
      <c r="OOK116" s="89"/>
      <c r="OOL116" s="89"/>
      <c r="OOM116" s="89"/>
      <c r="OON116" s="89"/>
      <c r="OOO116" s="89"/>
      <c r="OOP116" s="89"/>
      <c r="OOQ116" s="89"/>
      <c r="OOR116" s="89"/>
      <c r="OOS116" s="89"/>
      <c r="OOT116" s="89"/>
      <c r="OOU116" s="89"/>
      <c r="OOV116" s="89"/>
      <c r="OOW116" s="89"/>
      <c r="OOX116" s="89"/>
      <c r="OOY116" s="89"/>
      <c r="OOZ116" s="89"/>
      <c r="OPA116" s="89"/>
      <c r="OPB116" s="89"/>
      <c r="OPH116" s="89"/>
      <c r="OPI116" s="89"/>
      <c r="OPJ116" s="89"/>
      <c r="OPK116" s="89"/>
      <c r="OPL116" s="89"/>
      <c r="OPM116" s="89"/>
      <c r="OPN116" s="89"/>
      <c r="OPO116" s="89"/>
      <c r="OPP116" s="89"/>
      <c r="OPQ116" s="89"/>
      <c r="OPR116" s="89"/>
      <c r="OPS116" s="89"/>
      <c r="OPT116" s="94"/>
      <c r="OPU116" s="89"/>
      <c r="OPV116" s="89"/>
      <c r="OPW116" s="89"/>
      <c r="OPX116" s="89"/>
      <c r="OPY116" s="89"/>
      <c r="OPZ116" s="94"/>
      <c r="OQA116" s="89"/>
      <c r="OQB116" s="89"/>
      <c r="OQC116" s="89"/>
      <c r="OQD116" s="89"/>
      <c r="OQE116" s="89"/>
      <c r="OQF116" s="89"/>
      <c r="OQG116" s="89"/>
      <c r="OQH116" s="89"/>
      <c r="OQI116" s="89"/>
      <c r="OQJ116" s="89"/>
      <c r="OQK116" s="94"/>
      <c r="OQL116" s="89"/>
      <c r="OQM116" s="89"/>
      <c r="OQN116" s="89"/>
      <c r="OQO116" s="89"/>
      <c r="OQP116" s="89"/>
      <c r="OQQ116" s="89"/>
      <c r="OQR116" s="89"/>
      <c r="OQS116" s="89"/>
      <c r="OQT116" s="89"/>
      <c r="OQU116" s="89"/>
      <c r="OQV116" s="89"/>
      <c r="OQW116" s="89"/>
      <c r="OQX116" s="89"/>
      <c r="OQY116" s="89"/>
      <c r="OQZ116" s="89"/>
      <c r="ORA116" s="89"/>
      <c r="ORB116" s="89"/>
      <c r="ORC116" s="89"/>
      <c r="ORD116" s="89"/>
      <c r="ORE116" s="89"/>
      <c r="ORF116" s="89"/>
      <c r="ORG116" s="89"/>
      <c r="ORH116" s="89"/>
      <c r="ORI116" s="89"/>
      <c r="ORO116" s="89"/>
      <c r="ORP116" s="89"/>
      <c r="ORQ116" s="89"/>
      <c r="ORR116" s="89"/>
      <c r="ORS116" s="89"/>
      <c r="ORT116" s="89"/>
      <c r="ORU116" s="89"/>
      <c r="ORV116" s="89"/>
      <c r="ORW116" s="89"/>
      <c r="ORX116" s="89"/>
      <c r="ORY116" s="89"/>
      <c r="ORZ116" s="89"/>
      <c r="OSA116" s="94"/>
      <c r="OSB116" s="89"/>
      <c r="OSC116" s="89"/>
      <c r="OSD116" s="89"/>
      <c r="OSE116" s="89"/>
      <c r="OSF116" s="89"/>
      <c r="OSG116" s="94"/>
      <c r="OSH116" s="89"/>
      <c r="OSI116" s="89"/>
      <c r="OSJ116" s="89"/>
      <c r="OSK116" s="89"/>
      <c r="OSL116" s="89"/>
      <c r="OSM116" s="89"/>
      <c r="OSN116" s="89"/>
      <c r="OSO116" s="89"/>
      <c r="OSP116" s="89"/>
      <c r="OSQ116" s="89"/>
      <c r="OSR116" s="94"/>
      <c r="OSS116" s="89"/>
      <c r="OST116" s="89"/>
      <c r="OSU116" s="89"/>
      <c r="OSV116" s="89"/>
      <c r="OSW116" s="89"/>
      <c r="OSX116" s="89"/>
      <c r="OSY116" s="89"/>
      <c r="OSZ116" s="89"/>
      <c r="OTA116" s="89"/>
      <c r="OTB116" s="89"/>
      <c r="OTC116" s="89"/>
      <c r="OTD116" s="89"/>
      <c r="OTE116" s="89"/>
      <c r="OTF116" s="89"/>
      <c r="OTG116" s="89"/>
      <c r="OTH116" s="89"/>
      <c r="OTI116" s="89"/>
      <c r="OTJ116" s="89"/>
      <c r="OTK116" s="89"/>
      <c r="OTL116" s="89"/>
      <c r="OTM116" s="89"/>
      <c r="OTN116" s="89"/>
      <c r="OTO116" s="89"/>
      <c r="OTP116" s="89"/>
      <c r="OTV116" s="89"/>
      <c r="OTW116" s="89"/>
      <c r="OTX116" s="89"/>
      <c r="OTY116" s="89"/>
      <c r="OTZ116" s="89"/>
      <c r="OUA116" s="89"/>
      <c r="OUB116" s="89"/>
      <c r="OUC116" s="89"/>
      <c r="OUD116" s="89"/>
      <c r="OUE116" s="89"/>
      <c r="OUF116" s="89"/>
      <c r="OUG116" s="89"/>
      <c r="OUH116" s="94"/>
      <c r="OUI116" s="89"/>
      <c r="OUJ116" s="89"/>
      <c r="OUK116" s="89"/>
      <c r="OUL116" s="89"/>
      <c r="OUM116" s="89"/>
      <c r="OUN116" s="94"/>
      <c r="OUO116" s="89"/>
      <c r="OUP116" s="89"/>
      <c r="OUQ116" s="89"/>
      <c r="OUR116" s="89"/>
      <c r="OUS116" s="89"/>
      <c r="OUT116" s="89"/>
      <c r="OUU116" s="89"/>
      <c r="OUV116" s="89"/>
      <c r="OUW116" s="89"/>
      <c r="OUX116" s="89"/>
      <c r="OUY116" s="94"/>
      <c r="OUZ116" s="89"/>
      <c r="OVA116" s="89"/>
      <c r="OVB116" s="89"/>
      <c r="OVC116" s="89"/>
      <c r="OVD116" s="89"/>
      <c r="OVE116" s="89"/>
      <c r="OVF116" s="89"/>
      <c r="OVG116" s="89"/>
      <c r="OVH116" s="89"/>
      <c r="OVI116" s="89"/>
      <c r="OVJ116" s="89"/>
      <c r="OVK116" s="89"/>
      <c r="OVL116" s="89"/>
      <c r="OVM116" s="89"/>
      <c r="OVN116" s="89"/>
      <c r="OVO116" s="89"/>
      <c r="OVP116" s="89"/>
      <c r="OVQ116" s="89"/>
      <c r="OVR116" s="89"/>
      <c r="OVS116" s="89"/>
      <c r="OVT116" s="89"/>
      <c r="OVU116" s="89"/>
      <c r="OVV116" s="89"/>
      <c r="OVW116" s="89"/>
      <c r="OWC116" s="89"/>
      <c r="OWD116" s="89"/>
      <c r="OWE116" s="89"/>
      <c r="OWF116" s="89"/>
      <c r="OWG116" s="89"/>
      <c r="OWH116" s="89"/>
      <c r="OWI116" s="89"/>
      <c r="OWJ116" s="89"/>
      <c r="OWK116" s="89"/>
      <c r="OWL116" s="89"/>
      <c r="OWM116" s="89"/>
      <c r="OWN116" s="89"/>
      <c r="OWO116" s="94"/>
      <c r="OWP116" s="89"/>
      <c r="OWQ116" s="89"/>
      <c r="OWR116" s="89"/>
      <c r="OWS116" s="89"/>
      <c r="OWT116" s="89"/>
      <c r="OWU116" s="94"/>
      <c r="OWV116" s="89"/>
      <c r="OWW116" s="89"/>
      <c r="OWX116" s="89"/>
      <c r="OWY116" s="89"/>
      <c r="OWZ116" s="89"/>
      <c r="OXA116" s="89"/>
      <c r="OXB116" s="89"/>
      <c r="OXC116" s="89"/>
      <c r="OXD116" s="89"/>
      <c r="OXE116" s="89"/>
      <c r="OXF116" s="94"/>
      <c r="OXG116" s="89"/>
      <c r="OXH116" s="89"/>
      <c r="OXI116" s="89"/>
      <c r="OXJ116" s="89"/>
      <c r="OXK116" s="89"/>
      <c r="OXL116" s="89"/>
      <c r="OXM116" s="89"/>
      <c r="OXN116" s="89"/>
      <c r="OXO116" s="89"/>
      <c r="OXP116" s="89"/>
      <c r="OXQ116" s="89"/>
      <c r="OXR116" s="89"/>
      <c r="OXS116" s="89"/>
      <c r="OXT116" s="89"/>
      <c r="OXU116" s="89"/>
      <c r="OXV116" s="89"/>
      <c r="OXW116" s="89"/>
      <c r="OXX116" s="89"/>
      <c r="OXY116" s="89"/>
      <c r="OXZ116" s="89"/>
      <c r="OYA116" s="89"/>
      <c r="OYB116" s="89"/>
      <c r="OYC116" s="89"/>
      <c r="OYD116" s="89"/>
      <c r="OYJ116" s="89"/>
      <c r="OYK116" s="89"/>
      <c r="OYL116" s="89"/>
      <c r="OYM116" s="89"/>
      <c r="OYN116" s="89"/>
      <c r="OYO116" s="89"/>
      <c r="OYP116" s="89"/>
      <c r="OYQ116" s="89"/>
      <c r="OYR116" s="89"/>
      <c r="OYS116" s="89"/>
      <c r="OYT116" s="89"/>
      <c r="OYU116" s="89"/>
      <c r="OYV116" s="94"/>
      <c r="OYW116" s="89"/>
      <c r="OYX116" s="89"/>
      <c r="OYY116" s="89"/>
      <c r="OYZ116" s="89"/>
      <c r="OZA116" s="89"/>
      <c r="OZB116" s="94"/>
      <c r="OZC116" s="89"/>
      <c r="OZD116" s="89"/>
      <c r="OZE116" s="89"/>
      <c r="OZF116" s="89"/>
      <c r="OZG116" s="89"/>
      <c r="OZH116" s="89"/>
      <c r="OZI116" s="89"/>
      <c r="OZJ116" s="89"/>
      <c r="OZK116" s="89"/>
      <c r="OZL116" s="89"/>
      <c r="OZM116" s="94"/>
      <c r="OZN116" s="89"/>
      <c r="OZO116" s="89"/>
      <c r="OZP116" s="89"/>
      <c r="OZQ116" s="89"/>
      <c r="OZR116" s="89"/>
      <c r="OZS116" s="89"/>
      <c r="OZT116" s="89"/>
      <c r="OZU116" s="89"/>
      <c r="OZV116" s="89"/>
      <c r="OZW116" s="89"/>
      <c r="OZX116" s="89"/>
      <c r="OZY116" s="89"/>
      <c r="OZZ116" s="89"/>
      <c r="PAA116" s="89"/>
      <c r="PAB116" s="89"/>
      <c r="PAC116" s="89"/>
      <c r="PAD116" s="89"/>
      <c r="PAE116" s="89"/>
      <c r="PAF116" s="89"/>
      <c r="PAG116" s="89"/>
      <c r="PAH116" s="89"/>
      <c r="PAI116" s="89"/>
      <c r="PAJ116" s="89"/>
      <c r="PAK116" s="89"/>
      <c r="PAQ116" s="89"/>
      <c r="PAR116" s="89"/>
      <c r="PAS116" s="89"/>
      <c r="PAT116" s="89"/>
      <c r="PAU116" s="89"/>
      <c r="PAV116" s="89"/>
      <c r="PAW116" s="89"/>
      <c r="PAX116" s="89"/>
      <c r="PAY116" s="89"/>
      <c r="PAZ116" s="89"/>
      <c r="PBA116" s="89"/>
      <c r="PBB116" s="89"/>
      <c r="PBC116" s="94"/>
      <c r="PBD116" s="89"/>
      <c r="PBE116" s="89"/>
      <c r="PBF116" s="89"/>
      <c r="PBG116" s="89"/>
      <c r="PBH116" s="89"/>
      <c r="PBI116" s="94"/>
      <c r="PBJ116" s="89"/>
      <c r="PBK116" s="89"/>
      <c r="PBL116" s="89"/>
      <c r="PBM116" s="89"/>
      <c r="PBN116" s="89"/>
      <c r="PBO116" s="89"/>
      <c r="PBP116" s="89"/>
      <c r="PBQ116" s="89"/>
      <c r="PBR116" s="89"/>
      <c r="PBS116" s="89"/>
      <c r="PBT116" s="94"/>
      <c r="PBU116" s="89"/>
      <c r="PBV116" s="89"/>
      <c r="PBW116" s="89"/>
      <c r="PBX116" s="89"/>
      <c r="PBY116" s="89"/>
      <c r="PBZ116" s="89"/>
      <c r="PCA116" s="89"/>
      <c r="PCB116" s="89"/>
      <c r="PCC116" s="89"/>
      <c r="PCD116" s="89"/>
      <c r="PCE116" s="89"/>
      <c r="PCF116" s="89"/>
      <c r="PCG116" s="89"/>
      <c r="PCH116" s="89"/>
      <c r="PCI116" s="89"/>
      <c r="PCJ116" s="89"/>
      <c r="PCK116" s="89"/>
      <c r="PCL116" s="89"/>
      <c r="PCM116" s="89"/>
      <c r="PCN116" s="89"/>
      <c r="PCO116" s="89"/>
      <c r="PCP116" s="89"/>
      <c r="PCQ116" s="89"/>
      <c r="PCR116" s="89"/>
      <c r="PCX116" s="89"/>
      <c r="PCY116" s="89"/>
      <c r="PCZ116" s="89"/>
      <c r="PDA116" s="89"/>
      <c r="PDB116" s="89"/>
      <c r="PDC116" s="89"/>
      <c r="PDD116" s="89"/>
      <c r="PDE116" s="89"/>
      <c r="PDF116" s="89"/>
      <c r="PDG116" s="89"/>
      <c r="PDH116" s="89"/>
      <c r="PDI116" s="89"/>
      <c r="PDJ116" s="94"/>
      <c r="PDK116" s="89"/>
      <c r="PDL116" s="89"/>
      <c r="PDM116" s="89"/>
      <c r="PDN116" s="89"/>
      <c r="PDO116" s="89"/>
      <c r="PDP116" s="94"/>
      <c r="PDQ116" s="89"/>
      <c r="PDR116" s="89"/>
      <c r="PDS116" s="89"/>
      <c r="PDT116" s="89"/>
      <c r="PDU116" s="89"/>
      <c r="PDV116" s="89"/>
      <c r="PDW116" s="89"/>
      <c r="PDX116" s="89"/>
      <c r="PDY116" s="89"/>
      <c r="PDZ116" s="89"/>
      <c r="PEA116" s="94"/>
      <c r="PEB116" s="89"/>
      <c r="PEC116" s="89"/>
      <c r="PED116" s="89"/>
      <c r="PEE116" s="89"/>
      <c r="PEF116" s="89"/>
      <c r="PEG116" s="89"/>
      <c r="PEH116" s="89"/>
      <c r="PEI116" s="89"/>
      <c r="PEJ116" s="89"/>
      <c r="PEK116" s="89"/>
      <c r="PEL116" s="89"/>
      <c r="PEM116" s="89"/>
      <c r="PEN116" s="89"/>
      <c r="PEO116" s="89"/>
      <c r="PEP116" s="89"/>
      <c r="PEQ116" s="89"/>
      <c r="PER116" s="89"/>
      <c r="PES116" s="89"/>
      <c r="PET116" s="89"/>
      <c r="PEU116" s="89"/>
      <c r="PEV116" s="89"/>
      <c r="PEW116" s="89"/>
      <c r="PEX116" s="89"/>
      <c r="PEY116" s="89"/>
      <c r="PFE116" s="89"/>
      <c r="PFF116" s="89"/>
      <c r="PFG116" s="89"/>
      <c r="PFH116" s="89"/>
      <c r="PFI116" s="89"/>
      <c r="PFJ116" s="89"/>
      <c r="PFK116" s="89"/>
      <c r="PFL116" s="89"/>
      <c r="PFM116" s="89"/>
      <c r="PFN116" s="89"/>
      <c r="PFO116" s="89"/>
      <c r="PFP116" s="89"/>
      <c r="PFQ116" s="94"/>
      <c r="PFR116" s="89"/>
      <c r="PFS116" s="89"/>
      <c r="PFT116" s="89"/>
      <c r="PFU116" s="89"/>
      <c r="PFV116" s="89"/>
      <c r="PFW116" s="94"/>
      <c r="PFX116" s="89"/>
      <c r="PFY116" s="89"/>
      <c r="PFZ116" s="89"/>
      <c r="PGA116" s="89"/>
      <c r="PGB116" s="89"/>
      <c r="PGC116" s="89"/>
      <c r="PGD116" s="89"/>
      <c r="PGE116" s="89"/>
      <c r="PGF116" s="89"/>
      <c r="PGG116" s="89"/>
      <c r="PGH116" s="94"/>
      <c r="PGI116" s="89"/>
      <c r="PGJ116" s="89"/>
      <c r="PGK116" s="89"/>
      <c r="PGL116" s="89"/>
      <c r="PGM116" s="89"/>
      <c r="PGN116" s="89"/>
      <c r="PGO116" s="89"/>
      <c r="PGP116" s="89"/>
      <c r="PGQ116" s="89"/>
      <c r="PGR116" s="89"/>
      <c r="PGS116" s="89"/>
      <c r="PGT116" s="89"/>
      <c r="PGU116" s="89"/>
      <c r="PGV116" s="89"/>
      <c r="PGW116" s="89"/>
      <c r="PGX116" s="89"/>
      <c r="PGY116" s="89"/>
      <c r="PGZ116" s="89"/>
      <c r="PHA116" s="89"/>
      <c r="PHB116" s="89"/>
      <c r="PHC116" s="89"/>
      <c r="PHD116" s="89"/>
      <c r="PHE116" s="89"/>
      <c r="PHF116" s="89"/>
      <c r="PHL116" s="89"/>
      <c r="PHM116" s="89"/>
      <c r="PHN116" s="89"/>
      <c r="PHO116" s="89"/>
      <c r="PHP116" s="89"/>
      <c r="PHQ116" s="89"/>
      <c r="PHR116" s="89"/>
      <c r="PHS116" s="89"/>
      <c r="PHT116" s="89"/>
      <c r="PHU116" s="89"/>
      <c r="PHV116" s="89"/>
      <c r="PHW116" s="89"/>
      <c r="PHX116" s="94"/>
      <c r="PHY116" s="89"/>
      <c r="PHZ116" s="89"/>
      <c r="PIA116" s="89"/>
      <c r="PIB116" s="89"/>
      <c r="PIC116" s="89"/>
      <c r="PID116" s="94"/>
      <c r="PIE116" s="89"/>
      <c r="PIF116" s="89"/>
      <c r="PIG116" s="89"/>
      <c r="PIH116" s="89"/>
      <c r="PII116" s="89"/>
      <c r="PIJ116" s="89"/>
      <c r="PIK116" s="89"/>
      <c r="PIL116" s="89"/>
      <c r="PIM116" s="89"/>
      <c r="PIN116" s="89"/>
      <c r="PIO116" s="94"/>
      <c r="PIP116" s="89"/>
      <c r="PIQ116" s="89"/>
      <c r="PIR116" s="89"/>
      <c r="PIS116" s="89"/>
      <c r="PIT116" s="89"/>
      <c r="PIU116" s="89"/>
      <c r="PIV116" s="89"/>
      <c r="PIW116" s="89"/>
      <c r="PIX116" s="89"/>
      <c r="PIY116" s="89"/>
      <c r="PIZ116" s="89"/>
      <c r="PJA116" s="89"/>
      <c r="PJB116" s="89"/>
      <c r="PJC116" s="89"/>
      <c r="PJD116" s="89"/>
      <c r="PJE116" s="89"/>
      <c r="PJF116" s="89"/>
      <c r="PJG116" s="89"/>
      <c r="PJH116" s="89"/>
      <c r="PJI116" s="89"/>
      <c r="PJJ116" s="89"/>
      <c r="PJK116" s="89"/>
      <c r="PJL116" s="89"/>
      <c r="PJM116" s="89"/>
      <c r="PJS116" s="89"/>
      <c r="PJT116" s="89"/>
      <c r="PJU116" s="89"/>
      <c r="PJV116" s="89"/>
      <c r="PJW116" s="89"/>
      <c r="PJX116" s="89"/>
      <c r="PJY116" s="89"/>
      <c r="PJZ116" s="89"/>
      <c r="PKA116" s="89"/>
      <c r="PKB116" s="89"/>
      <c r="PKC116" s="89"/>
      <c r="PKD116" s="89"/>
      <c r="PKE116" s="94"/>
      <c r="PKF116" s="89"/>
      <c r="PKG116" s="89"/>
      <c r="PKH116" s="89"/>
      <c r="PKI116" s="89"/>
      <c r="PKJ116" s="89"/>
      <c r="PKK116" s="94"/>
      <c r="PKL116" s="89"/>
      <c r="PKM116" s="89"/>
      <c r="PKN116" s="89"/>
      <c r="PKO116" s="89"/>
      <c r="PKP116" s="89"/>
      <c r="PKQ116" s="89"/>
      <c r="PKR116" s="89"/>
      <c r="PKS116" s="89"/>
      <c r="PKT116" s="89"/>
      <c r="PKU116" s="89"/>
      <c r="PKV116" s="94"/>
      <c r="PKW116" s="89"/>
      <c r="PKX116" s="89"/>
      <c r="PKY116" s="89"/>
      <c r="PKZ116" s="89"/>
      <c r="PLA116" s="89"/>
      <c r="PLB116" s="89"/>
      <c r="PLC116" s="89"/>
      <c r="PLD116" s="89"/>
      <c r="PLE116" s="89"/>
      <c r="PLF116" s="89"/>
      <c r="PLG116" s="89"/>
      <c r="PLH116" s="89"/>
      <c r="PLI116" s="89"/>
      <c r="PLJ116" s="89"/>
      <c r="PLK116" s="89"/>
      <c r="PLL116" s="89"/>
      <c r="PLM116" s="89"/>
      <c r="PLN116" s="89"/>
      <c r="PLO116" s="89"/>
      <c r="PLP116" s="89"/>
      <c r="PLQ116" s="89"/>
      <c r="PLR116" s="89"/>
      <c r="PLS116" s="89"/>
      <c r="PLT116" s="89"/>
      <c r="PLZ116" s="89"/>
      <c r="PMA116" s="89"/>
      <c r="PMB116" s="89"/>
      <c r="PMC116" s="89"/>
      <c r="PMD116" s="89"/>
      <c r="PME116" s="89"/>
      <c r="PMF116" s="89"/>
      <c r="PMG116" s="89"/>
      <c r="PMH116" s="89"/>
      <c r="PMI116" s="89"/>
      <c r="PMJ116" s="89"/>
      <c r="PMK116" s="89"/>
      <c r="PML116" s="94"/>
      <c r="PMM116" s="89"/>
      <c r="PMN116" s="89"/>
      <c r="PMO116" s="89"/>
      <c r="PMP116" s="89"/>
      <c r="PMQ116" s="89"/>
      <c r="PMR116" s="94"/>
      <c r="PMS116" s="89"/>
      <c r="PMT116" s="89"/>
      <c r="PMU116" s="89"/>
      <c r="PMV116" s="89"/>
      <c r="PMW116" s="89"/>
      <c r="PMX116" s="89"/>
      <c r="PMY116" s="89"/>
      <c r="PMZ116" s="89"/>
      <c r="PNA116" s="89"/>
      <c r="PNB116" s="89"/>
      <c r="PNC116" s="94"/>
      <c r="PND116" s="89"/>
      <c r="PNE116" s="89"/>
      <c r="PNF116" s="89"/>
      <c r="PNG116" s="89"/>
      <c r="PNH116" s="89"/>
      <c r="PNI116" s="89"/>
      <c r="PNJ116" s="89"/>
      <c r="PNK116" s="89"/>
      <c r="PNL116" s="89"/>
      <c r="PNM116" s="89"/>
      <c r="PNN116" s="89"/>
      <c r="PNO116" s="89"/>
      <c r="PNP116" s="89"/>
      <c r="PNQ116" s="89"/>
      <c r="PNR116" s="89"/>
      <c r="PNS116" s="89"/>
      <c r="PNT116" s="89"/>
      <c r="PNU116" s="89"/>
      <c r="PNV116" s="89"/>
      <c r="PNW116" s="89"/>
      <c r="PNX116" s="89"/>
      <c r="PNY116" s="89"/>
      <c r="PNZ116" s="89"/>
      <c r="POA116" s="89"/>
      <c r="POG116" s="89"/>
      <c r="POH116" s="89"/>
      <c r="POI116" s="89"/>
      <c r="POJ116" s="89"/>
      <c r="POK116" s="89"/>
      <c r="POL116" s="89"/>
      <c r="POM116" s="89"/>
      <c r="PON116" s="89"/>
      <c r="POO116" s="89"/>
      <c r="POP116" s="89"/>
      <c r="POQ116" s="89"/>
      <c r="POR116" s="89"/>
      <c r="POS116" s="94"/>
      <c r="POT116" s="89"/>
      <c r="POU116" s="89"/>
      <c r="POV116" s="89"/>
      <c r="POW116" s="89"/>
      <c r="POX116" s="89"/>
      <c r="POY116" s="94"/>
      <c r="POZ116" s="89"/>
      <c r="PPA116" s="89"/>
      <c r="PPB116" s="89"/>
      <c r="PPC116" s="89"/>
      <c r="PPD116" s="89"/>
      <c r="PPE116" s="89"/>
      <c r="PPF116" s="89"/>
      <c r="PPG116" s="89"/>
      <c r="PPH116" s="89"/>
      <c r="PPI116" s="89"/>
      <c r="PPJ116" s="94"/>
      <c r="PPK116" s="89"/>
      <c r="PPL116" s="89"/>
      <c r="PPM116" s="89"/>
      <c r="PPN116" s="89"/>
      <c r="PPO116" s="89"/>
      <c r="PPP116" s="89"/>
      <c r="PPQ116" s="89"/>
      <c r="PPR116" s="89"/>
      <c r="PPS116" s="89"/>
      <c r="PPT116" s="89"/>
      <c r="PPU116" s="89"/>
      <c r="PPV116" s="89"/>
      <c r="PPW116" s="89"/>
      <c r="PPX116" s="89"/>
      <c r="PPY116" s="89"/>
      <c r="PPZ116" s="89"/>
      <c r="PQA116" s="89"/>
      <c r="PQB116" s="89"/>
      <c r="PQC116" s="89"/>
      <c r="PQD116" s="89"/>
      <c r="PQE116" s="89"/>
      <c r="PQF116" s="89"/>
      <c r="PQG116" s="89"/>
      <c r="PQH116" s="89"/>
      <c r="PQN116" s="89"/>
      <c r="PQO116" s="89"/>
      <c r="PQP116" s="89"/>
      <c r="PQQ116" s="89"/>
      <c r="PQR116" s="89"/>
      <c r="PQS116" s="89"/>
      <c r="PQT116" s="89"/>
      <c r="PQU116" s="89"/>
      <c r="PQV116" s="89"/>
      <c r="PQW116" s="89"/>
      <c r="PQX116" s="89"/>
      <c r="PQY116" s="89"/>
      <c r="PQZ116" s="94"/>
      <c r="PRA116" s="89"/>
      <c r="PRB116" s="89"/>
      <c r="PRC116" s="89"/>
      <c r="PRD116" s="89"/>
      <c r="PRE116" s="89"/>
      <c r="PRF116" s="94"/>
      <c r="PRG116" s="89"/>
      <c r="PRH116" s="89"/>
      <c r="PRI116" s="89"/>
      <c r="PRJ116" s="89"/>
      <c r="PRK116" s="89"/>
      <c r="PRL116" s="89"/>
      <c r="PRM116" s="89"/>
      <c r="PRN116" s="89"/>
      <c r="PRO116" s="89"/>
      <c r="PRP116" s="89"/>
      <c r="PRQ116" s="94"/>
      <c r="PRR116" s="89"/>
      <c r="PRS116" s="89"/>
      <c r="PRT116" s="89"/>
      <c r="PRU116" s="89"/>
      <c r="PRV116" s="89"/>
      <c r="PRW116" s="89"/>
      <c r="PRX116" s="89"/>
      <c r="PRY116" s="89"/>
      <c r="PRZ116" s="89"/>
      <c r="PSA116" s="89"/>
      <c r="PSB116" s="89"/>
      <c r="PSC116" s="89"/>
      <c r="PSD116" s="89"/>
      <c r="PSE116" s="89"/>
      <c r="PSF116" s="89"/>
      <c r="PSG116" s="89"/>
      <c r="PSH116" s="89"/>
      <c r="PSI116" s="89"/>
      <c r="PSJ116" s="89"/>
      <c r="PSK116" s="89"/>
      <c r="PSL116" s="89"/>
      <c r="PSM116" s="89"/>
      <c r="PSN116" s="89"/>
      <c r="PSO116" s="89"/>
      <c r="PSU116" s="89"/>
      <c r="PSV116" s="89"/>
      <c r="PSW116" s="89"/>
      <c r="PSX116" s="89"/>
      <c r="PSY116" s="89"/>
      <c r="PSZ116" s="89"/>
      <c r="PTA116" s="89"/>
      <c r="PTB116" s="89"/>
      <c r="PTC116" s="89"/>
      <c r="PTD116" s="89"/>
      <c r="PTE116" s="89"/>
      <c r="PTF116" s="89"/>
      <c r="PTG116" s="94"/>
      <c r="PTH116" s="89"/>
      <c r="PTI116" s="89"/>
      <c r="PTJ116" s="89"/>
      <c r="PTK116" s="89"/>
      <c r="PTL116" s="89"/>
      <c r="PTM116" s="94"/>
      <c r="PTN116" s="89"/>
      <c r="PTO116" s="89"/>
      <c r="PTP116" s="89"/>
      <c r="PTQ116" s="89"/>
      <c r="PTR116" s="89"/>
      <c r="PTS116" s="89"/>
      <c r="PTT116" s="89"/>
      <c r="PTU116" s="89"/>
      <c r="PTV116" s="89"/>
      <c r="PTW116" s="89"/>
      <c r="PTX116" s="94"/>
      <c r="PTY116" s="89"/>
      <c r="PTZ116" s="89"/>
      <c r="PUA116" s="89"/>
      <c r="PUB116" s="89"/>
      <c r="PUC116" s="89"/>
      <c r="PUD116" s="89"/>
      <c r="PUE116" s="89"/>
      <c r="PUF116" s="89"/>
      <c r="PUG116" s="89"/>
      <c r="PUH116" s="89"/>
      <c r="PUI116" s="89"/>
      <c r="PUJ116" s="89"/>
      <c r="PUK116" s="89"/>
      <c r="PUL116" s="89"/>
      <c r="PUM116" s="89"/>
      <c r="PUN116" s="89"/>
      <c r="PUO116" s="89"/>
      <c r="PUP116" s="89"/>
      <c r="PUQ116" s="89"/>
      <c r="PUR116" s="89"/>
      <c r="PUS116" s="89"/>
      <c r="PUT116" s="89"/>
      <c r="PUU116" s="89"/>
      <c r="PUV116" s="89"/>
      <c r="PVB116" s="89"/>
      <c r="PVC116" s="89"/>
      <c r="PVD116" s="89"/>
      <c r="PVE116" s="89"/>
      <c r="PVF116" s="89"/>
      <c r="PVG116" s="89"/>
      <c r="PVH116" s="89"/>
      <c r="PVI116" s="89"/>
      <c r="PVJ116" s="89"/>
      <c r="PVK116" s="89"/>
      <c r="PVL116" s="89"/>
      <c r="PVM116" s="89"/>
      <c r="PVN116" s="94"/>
      <c r="PVO116" s="89"/>
      <c r="PVP116" s="89"/>
      <c r="PVQ116" s="89"/>
      <c r="PVR116" s="89"/>
      <c r="PVS116" s="89"/>
      <c r="PVT116" s="94"/>
      <c r="PVU116" s="89"/>
      <c r="PVV116" s="89"/>
      <c r="PVW116" s="89"/>
      <c r="PVX116" s="89"/>
      <c r="PVY116" s="89"/>
      <c r="PVZ116" s="89"/>
      <c r="PWA116" s="89"/>
      <c r="PWB116" s="89"/>
      <c r="PWC116" s="89"/>
      <c r="PWD116" s="89"/>
      <c r="PWE116" s="94"/>
      <c r="PWF116" s="89"/>
      <c r="PWG116" s="89"/>
      <c r="PWH116" s="89"/>
      <c r="PWI116" s="89"/>
      <c r="PWJ116" s="89"/>
      <c r="PWK116" s="89"/>
      <c r="PWL116" s="89"/>
      <c r="PWM116" s="89"/>
      <c r="PWN116" s="89"/>
      <c r="PWO116" s="89"/>
      <c r="PWP116" s="89"/>
      <c r="PWQ116" s="89"/>
      <c r="PWR116" s="89"/>
      <c r="PWS116" s="89"/>
      <c r="PWT116" s="89"/>
      <c r="PWU116" s="89"/>
      <c r="PWV116" s="89"/>
      <c r="PWW116" s="89"/>
      <c r="PWX116" s="89"/>
      <c r="PWY116" s="89"/>
      <c r="PWZ116" s="89"/>
      <c r="PXA116" s="89"/>
      <c r="PXB116" s="89"/>
      <c r="PXC116" s="89"/>
      <c r="PXI116" s="89"/>
      <c r="PXJ116" s="89"/>
      <c r="PXK116" s="89"/>
      <c r="PXL116" s="89"/>
      <c r="PXM116" s="89"/>
      <c r="PXN116" s="89"/>
      <c r="PXO116" s="89"/>
      <c r="PXP116" s="89"/>
      <c r="PXQ116" s="89"/>
      <c r="PXR116" s="89"/>
      <c r="PXS116" s="89"/>
      <c r="PXT116" s="89"/>
      <c r="PXU116" s="94"/>
      <c r="PXV116" s="89"/>
      <c r="PXW116" s="89"/>
      <c r="PXX116" s="89"/>
      <c r="PXY116" s="89"/>
      <c r="PXZ116" s="89"/>
      <c r="PYA116" s="94"/>
      <c r="PYB116" s="89"/>
      <c r="PYC116" s="89"/>
      <c r="PYD116" s="89"/>
      <c r="PYE116" s="89"/>
      <c r="PYF116" s="89"/>
      <c r="PYG116" s="89"/>
      <c r="PYH116" s="89"/>
      <c r="PYI116" s="89"/>
      <c r="PYJ116" s="89"/>
      <c r="PYK116" s="89"/>
      <c r="PYL116" s="94"/>
      <c r="PYM116" s="89"/>
      <c r="PYN116" s="89"/>
      <c r="PYO116" s="89"/>
      <c r="PYP116" s="89"/>
      <c r="PYQ116" s="89"/>
      <c r="PYR116" s="89"/>
      <c r="PYS116" s="89"/>
      <c r="PYT116" s="89"/>
      <c r="PYU116" s="89"/>
      <c r="PYV116" s="89"/>
      <c r="PYW116" s="89"/>
      <c r="PYX116" s="89"/>
      <c r="PYY116" s="89"/>
      <c r="PYZ116" s="89"/>
      <c r="PZA116" s="89"/>
      <c r="PZB116" s="89"/>
      <c r="PZC116" s="89"/>
      <c r="PZD116" s="89"/>
      <c r="PZE116" s="89"/>
      <c r="PZF116" s="89"/>
      <c r="PZG116" s="89"/>
      <c r="PZH116" s="89"/>
      <c r="PZI116" s="89"/>
      <c r="PZJ116" s="89"/>
      <c r="PZP116" s="89"/>
      <c r="PZQ116" s="89"/>
      <c r="PZR116" s="89"/>
      <c r="PZS116" s="89"/>
      <c r="PZT116" s="89"/>
      <c r="PZU116" s="89"/>
      <c r="PZV116" s="89"/>
      <c r="PZW116" s="89"/>
      <c r="PZX116" s="89"/>
      <c r="PZY116" s="89"/>
      <c r="PZZ116" s="89"/>
      <c r="QAA116" s="89"/>
      <c r="QAB116" s="94"/>
      <c r="QAC116" s="89"/>
      <c r="QAD116" s="89"/>
      <c r="QAE116" s="89"/>
      <c r="QAF116" s="89"/>
      <c r="QAG116" s="89"/>
      <c r="QAH116" s="94"/>
      <c r="QAI116" s="89"/>
      <c r="QAJ116" s="89"/>
      <c r="QAK116" s="89"/>
      <c r="QAL116" s="89"/>
      <c r="QAM116" s="89"/>
      <c r="QAN116" s="89"/>
      <c r="QAO116" s="89"/>
      <c r="QAP116" s="89"/>
      <c r="QAQ116" s="89"/>
      <c r="QAR116" s="89"/>
      <c r="QAS116" s="94"/>
      <c r="QAT116" s="89"/>
      <c r="QAU116" s="89"/>
      <c r="QAV116" s="89"/>
      <c r="QAW116" s="89"/>
      <c r="QAX116" s="89"/>
      <c r="QAY116" s="89"/>
      <c r="QAZ116" s="89"/>
      <c r="QBA116" s="89"/>
      <c r="QBB116" s="89"/>
      <c r="QBC116" s="89"/>
      <c r="QBD116" s="89"/>
      <c r="QBE116" s="89"/>
      <c r="QBF116" s="89"/>
      <c r="QBG116" s="89"/>
      <c r="QBH116" s="89"/>
      <c r="QBI116" s="89"/>
      <c r="QBJ116" s="89"/>
      <c r="QBK116" s="89"/>
      <c r="QBL116" s="89"/>
      <c r="QBM116" s="89"/>
      <c r="QBN116" s="89"/>
      <c r="QBO116" s="89"/>
      <c r="QBP116" s="89"/>
      <c r="QBQ116" s="89"/>
      <c r="QBW116" s="89"/>
      <c r="QBX116" s="89"/>
      <c r="QBY116" s="89"/>
      <c r="QBZ116" s="89"/>
      <c r="QCA116" s="89"/>
      <c r="QCB116" s="89"/>
      <c r="QCC116" s="89"/>
      <c r="QCD116" s="89"/>
      <c r="QCE116" s="89"/>
      <c r="QCF116" s="89"/>
      <c r="QCG116" s="89"/>
      <c r="QCH116" s="89"/>
      <c r="QCI116" s="94"/>
      <c r="QCJ116" s="89"/>
      <c r="QCK116" s="89"/>
      <c r="QCL116" s="89"/>
      <c r="QCM116" s="89"/>
      <c r="QCN116" s="89"/>
      <c r="QCO116" s="94"/>
      <c r="QCP116" s="89"/>
      <c r="QCQ116" s="89"/>
      <c r="QCR116" s="89"/>
      <c r="QCS116" s="89"/>
      <c r="QCT116" s="89"/>
      <c r="QCU116" s="89"/>
      <c r="QCV116" s="89"/>
      <c r="QCW116" s="89"/>
      <c r="QCX116" s="89"/>
      <c r="QCY116" s="89"/>
      <c r="QCZ116" s="94"/>
      <c r="QDA116" s="89"/>
      <c r="QDB116" s="89"/>
      <c r="QDC116" s="89"/>
      <c r="QDD116" s="89"/>
      <c r="QDE116" s="89"/>
      <c r="QDF116" s="89"/>
      <c r="QDG116" s="89"/>
      <c r="QDH116" s="89"/>
      <c r="QDI116" s="89"/>
      <c r="QDJ116" s="89"/>
      <c r="QDK116" s="89"/>
      <c r="QDL116" s="89"/>
      <c r="QDM116" s="89"/>
      <c r="QDN116" s="89"/>
      <c r="QDO116" s="89"/>
      <c r="QDP116" s="89"/>
      <c r="QDQ116" s="89"/>
      <c r="QDR116" s="89"/>
      <c r="QDS116" s="89"/>
      <c r="QDT116" s="89"/>
      <c r="QDU116" s="89"/>
      <c r="QDV116" s="89"/>
      <c r="QDW116" s="89"/>
      <c r="QDX116" s="89"/>
      <c r="QED116" s="89"/>
      <c r="QEE116" s="89"/>
      <c r="QEF116" s="89"/>
      <c r="QEG116" s="89"/>
      <c r="QEH116" s="89"/>
      <c r="QEI116" s="89"/>
      <c r="QEJ116" s="89"/>
      <c r="QEK116" s="89"/>
      <c r="QEL116" s="89"/>
      <c r="QEM116" s="89"/>
      <c r="QEN116" s="89"/>
      <c r="QEO116" s="89"/>
      <c r="QEP116" s="94"/>
      <c r="QEQ116" s="89"/>
      <c r="QER116" s="89"/>
      <c r="QES116" s="89"/>
      <c r="QET116" s="89"/>
      <c r="QEU116" s="89"/>
      <c r="QEV116" s="94"/>
      <c r="QEW116" s="89"/>
      <c r="QEX116" s="89"/>
      <c r="QEY116" s="89"/>
      <c r="QEZ116" s="89"/>
      <c r="QFA116" s="89"/>
      <c r="QFB116" s="89"/>
      <c r="QFC116" s="89"/>
      <c r="QFD116" s="89"/>
      <c r="QFE116" s="89"/>
      <c r="QFF116" s="89"/>
      <c r="QFG116" s="94"/>
      <c r="QFH116" s="89"/>
      <c r="QFI116" s="89"/>
      <c r="QFJ116" s="89"/>
      <c r="QFK116" s="89"/>
      <c r="QFL116" s="89"/>
      <c r="QFM116" s="89"/>
      <c r="QFN116" s="89"/>
      <c r="QFO116" s="89"/>
      <c r="QFP116" s="89"/>
      <c r="QFQ116" s="89"/>
      <c r="QFR116" s="89"/>
      <c r="QFS116" s="89"/>
      <c r="QFT116" s="89"/>
      <c r="QFU116" s="89"/>
      <c r="QFV116" s="89"/>
      <c r="QFW116" s="89"/>
      <c r="QFX116" s="89"/>
      <c r="QFY116" s="89"/>
      <c r="QFZ116" s="89"/>
      <c r="QGA116" s="89"/>
      <c r="QGB116" s="89"/>
      <c r="QGC116" s="89"/>
      <c r="QGD116" s="89"/>
      <c r="QGE116" s="89"/>
      <c r="QGK116" s="89"/>
      <c r="QGL116" s="89"/>
      <c r="QGM116" s="89"/>
      <c r="QGN116" s="89"/>
      <c r="QGO116" s="89"/>
      <c r="QGP116" s="89"/>
      <c r="QGQ116" s="89"/>
      <c r="QGR116" s="89"/>
      <c r="QGS116" s="89"/>
      <c r="QGT116" s="89"/>
      <c r="QGU116" s="89"/>
      <c r="QGV116" s="89"/>
      <c r="QGW116" s="94"/>
      <c r="QGX116" s="89"/>
      <c r="QGY116" s="89"/>
      <c r="QGZ116" s="89"/>
      <c r="QHA116" s="89"/>
      <c r="QHB116" s="89"/>
      <c r="QHC116" s="94"/>
      <c r="QHD116" s="89"/>
      <c r="QHE116" s="89"/>
      <c r="QHF116" s="89"/>
      <c r="QHG116" s="89"/>
      <c r="QHH116" s="89"/>
      <c r="QHI116" s="89"/>
      <c r="QHJ116" s="89"/>
      <c r="QHK116" s="89"/>
      <c r="QHL116" s="89"/>
      <c r="QHM116" s="89"/>
      <c r="QHN116" s="94"/>
      <c r="QHO116" s="89"/>
      <c r="QHP116" s="89"/>
      <c r="QHQ116" s="89"/>
      <c r="QHR116" s="89"/>
      <c r="QHS116" s="89"/>
      <c r="QHT116" s="89"/>
      <c r="QHU116" s="89"/>
      <c r="QHV116" s="89"/>
      <c r="QHW116" s="89"/>
      <c r="QHX116" s="89"/>
      <c r="QHY116" s="89"/>
      <c r="QHZ116" s="89"/>
      <c r="QIA116" s="89"/>
      <c r="QIB116" s="89"/>
      <c r="QIC116" s="89"/>
      <c r="QID116" s="89"/>
      <c r="QIE116" s="89"/>
      <c r="QIF116" s="89"/>
      <c r="QIG116" s="89"/>
      <c r="QIH116" s="89"/>
      <c r="QII116" s="89"/>
      <c r="QIJ116" s="89"/>
      <c r="QIK116" s="89"/>
      <c r="QIL116" s="89"/>
      <c r="QIR116" s="89"/>
      <c r="QIS116" s="89"/>
      <c r="QIT116" s="89"/>
      <c r="QIU116" s="89"/>
      <c r="QIV116" s="89"/>
      <c r="QIW116" s="89"/>
      <c r="QIX116" s="89"/>
      <c r="QIY116" s="89"/>
      <c r="QIZ116" s="89"/>
      <c r="QJA116" s="89"/>
      <c r="QJB116" s="89"/>
      <c r="QJC116" s="89"/>
      <c r="QJD116" s="94"/>
      <c r="QJE116" s="89"/>
      <c r="QJF116" s="89"/>
      <c r="QJG116" s="89"/>
      <c r="QJH116" s="89"/>
      <c r="QJI116" s="89"/>
      <c r="QJJ116" s="94"/>
      <c r="QJK116" s="89"/>
      <c r="QJL116" s="89"/>
      <c r="QJM116" s="89"/>
      <c r="QJN116" s="89"/>
      <c r="QJO116" s="89"/>
      <c r="QJP116" s="89"/>
      <c r="QJQ116" s="89"/>
      <c r="QJR116" s="89"/>
      <c r="QJS116" s="89"/>
      <c r="QJT116" s="89"/>
      <c r="QJU116" s="94"/>
      <c r="QJV116" s="89"/>
      <c r="QJW116" s="89"/>
      <c r="QJX116" s="89"/>
      <c r="QJY116" s="89"/>
      <c r="QJZ116" s="89"/>
      <c r="QKA116" s="89"/>
      <c r="QKB116" s="89"/>
      <c r="QKC116" s="89"/>
      <c r="QKD116" s="89"/>
      <c r="QKE116" s="89"/>
      <c r="QKF116" s="89"/>
      <c r="QKG116" s="89"/>
      <c r="QKH116" s="89"/>
      <c r="QKI116" s="89"/>
      <c r="QKJ116" s="89"/>
      <c r="QKK116" s="89"/>
      <c r="QKL116" s="89"/>
      <c r="QKM116" s="89"/>
      <c r="QKN116" s="89"/>
      <c r="QKO116" s="89"/>
      <c r="QKP116" s="89"/>
      <c r="QKQ116" s="89"/>
      <c r="QKR116" s="89"/>
      <c r="QKS116" s="89"/>
      <c r="QKY116" s="89"/>
      <c r="QKZ116" s="89"/>
      <c r="QLA116" s="89"/>
      <c r="QLB116" s="89"/>
      <c r="QLC116" s="89"/>
      <c r="QLD116" s="89"/>
      <c r="QLE116" s="89"/>
      <c r="QLF116" s="89"/>
      <c r="QLG116" s="89"/>
      <c r="QLH116" s="89"/>
      <c r="QLI116" s="89"/>
      <c r="QLJ116" s="89"/>
      <c r="QLK116" s="94"/>
      <c r="QLL116" s="89"/>
      <c r="QLM116" s="89"/>
      <c r="QLN116" s="89"/>
      <c r="QLO116" s="89"/>
      <c r="QLP116" s="89"/>
      <c r="QLQ116" s="94"/>
      <c r="QLR116" s="89"/>
      <c r="QLS116" s="89"/>
      <c r="QLT116" s="89"/>
      <c r="QLU116" s="89"/>
      <c r="QLV116" s="89"/>
      <c r="QLW116" s="89"/>
      <c r="QLX116" s="89"/>
      <c r="QLY116" s="89"/>
      <c r="QLZ116" s="89"/>
      <c r="QMA116" s="89"/>
      <c r="QMB116" s="94"/>
      <c r="QMC116" s="89"/>
      <c r="QMD116" s="89"/>
      <c r="QME116" s="89"/>
      <c r="QMF116" s="89"/>
      <c r="QMG116" s="89"/>
      <c r="QMH116" s="89"/>
      <c r="QMI116" s="89"/>
      <c r="QMJ116" s="89"/>
      <c r="QMK116" s="89"/>
      <c r="QML116" s="89"/>
      <c r="QMM116" s="89"/>
      <c r="QMN116" s="89"/>
      <c r="QMO116" s="89"/>
      <c r="QMP116" s="89"/>
      <c r="QMQ116" s="89"/>
      <c r="QMR116" s="89"/>
      <c r="QMS116" s="89"/>
      <c r="QMT116" s="89"/>
      <c r="QMU116" s="89"/>
      <c r="QMV116" s="89"/>
      <c r="QMW116" s="89"/>
      <c r="QMX116" s="89"/>
      <c r="QMY116" s="89"/>
      <c r="QMZ116" s="89"/>
      <c r="QNF116" s="89"/>
      <c r="QNG116" s="89"/>
      <c r="QNH116" s="89"/>
      <c r="QNI116" s="89"/>
      <c r="QNJ116" s="89"/>
      <c r="QNK116" s="89"/>
      <c r="QNL116" s="89"/>
      <c r="QNM116" s="89"/>
      <c r="QNN116" s="89"/>
      <c r="QNO116" s="89"/>
      <c r="QNP116" s="89"/>
      <c r="QNQ116" s="89"/>
      <c r="QNR116" s="94"/>
      <c r="QNS116" s="89"/>
      <c r="QNT116" s="89"/>
      <c r="QNU116" s="89"/>
      <c r="QNV116" s="89"/>
      <c r="QNW116" s="89"/>
      <c r="QNX116" s="94"/>
      <c r="QNY116" s="89"/>
      <c r="QNZ116" s="89"/>
      <c r="QOA116" s="89"/>
      <c r="QOB116" s="89"/>
      <c r="QOC116" s="89"/>
      <c r="QOD116" s="89"/>
      <c r="QOE116" s="89"/>
      <c r="QOF116" s="89"/>
      <c r="QOG116" s="89"/>
      <c r="QOH116" s="89"/>
      <c r="QOI116" s="94"/>
      <c r="QOJ116" s="89"/>
      <c r="QOK116" s="89"/>
      <c r="QOL116" s="89"/>
      <c r="QOM116" s="89"/>
      <c r="QON116" s="89"/>
      <c r="QOO116" s="89"/>
      <c r="QOP116" s="89"/>
      <c r="QOQ116" s="89"/>
      <c r="QOR116" s="89"/>
      <c r="QOS116" s="89"/>
      <c r="QOT116" s="89"/>
      <c r="QOU116" s="89"/>
      <c r="QOV116" s="89"/>
      <c r="QOW116" s="89"/>
      <c r="QOX116" s="89"/>
      <c r="QOY116" s="89"/>
      <c r="QOZ116" s="89"/>
      <c r="QPA116" s="89"/>
      <c r="QPB116" s="89"/>
      <c r="QPC116" s="89"/>
      <c r="QPD116" s="89"/>
      <c r="QPE116" s="89"/>
      <c r="QPF116" s="89"/>
      <c r="QPG116" s="89"/>
      <c r="QPM116" s="89"/>
      <c r="QPN116" s="89"/>
      <c r="QPO116" s="89"/>
      <c r="QPP116" s="89"/>
      <c r="QPQ116" s="89"/>
      <c r="QPR116" s="89"/>
      <c r="QPS116" s="89"/>
      <c r="QPT116" s="89"/>
      <c r="QPU116" s="89"/>
      <c r="QPV116" s="89"/>
      <c r="QPW116" s="89"/>
      <c r="QPX116" s="89"/>
      <c r="QPY116" s="94"/>
      <c r="QPZ116" s="89"/>
      <c r="QQA116" s="89"/>
      <c r="QQB116" s="89"/>
      <c r="QQC116" s="89"/>
      <c r="QQD116" s="89"/>
      <c r="QQE116" s="94"/>
      <c r="QQF116" s="89"/>
      <c r="QQG116" s="89"/>
      <c r="QQH116" s="89"/>
      <c r="QQI116" s="89"/>
      <c r="QQJ116" s="89"/>
      <c r="QQK116" s="89"/>
      <c r="QQL116" s="89"/>
      <c r="QQM116" s="89"/>
      <c r="QQN116" s="89"/>
      <c r="QQO116" s="89"/>
      <c r="QQP116" s="94"/>
      <c r="QQQ116" s="89"/>
      <c r="QQR116" s="89"/>
      <c r="QQS116" s="89"/>
      <c r="QQT116" s="89"/>
      <c r="QQU116" s="89"/>
      <c r="QQV116" s="89"/>
      <c r="QQW116" s="89"/>
      <c r="QQX116" s="89"/>
      <c r="QQY116" s="89"/>
      <c r="QQZ116" s="89"/>
      <c r="QRA116" s="89"/>
      <c r="QRB116" s="89"/>
      <c r="QRC116" s="89"/>
      <c r="QRD116" s="89"/>
      <c r="QRE116" s="89"/>
      <c r="QRF116" s="89"/>
      <c r="QRG116" s="89"/>
      <c r="QRH116" s="89"/>
      <c r="QRI116" s="89"/>
      <c r="QRJ116" s="89"/>
      <c r="QRK116" s="89"/>
      <c r="QRL116" s="89"/>
      <c r="QRM116" s="89"/>
      <c r="QRN116" s="89"/>
      <c r="QRT116" s="89"/>
      <c r="QRU116" s="89"/>
      <c r="QRV116" s="89"/>
      <c r="QRW116" s="89"/>
      <c r="QRX116" s="89"/>
      <c r="QRY116" s="89"/>
      <c r="QRZ116" s="89"/>
      <c r="QSA116" s="89"/>
      <c r="QSB116" s="89"/>
      <c r="QSC116" s="89"/>
      <c r="QSD116" s="89"/>
      <c r="QSE116" s="89"/>
      <c r="QSF116" s="94"/>
      <c r="QSG116" s="89"/>
      <c r="QSH116" s="89"/>
      <c r="QSI116" s="89"/>
      <c r="QSJ116" s="89"/>
      <c r="QSK116" s="89"/>
      <c r="QSL116" s="94"/>
      <c r="QSM116" s="89"/>
      <c r="QSN116" s="89"/>
      <c r="QSO116" s="89"/>
      <c r="QSP116" s="89"/>
      <c r="QSQ116" s="89"/>
      <c r="QSR116" s="89"/>
      <c r="QSS116" s="89"/>
      <c r="QST116" s="89"/>
      <c r="QSU116" s="89"/>
      <c r="QSV116" s="89"/>
      <c r="QSW116" s="94"/>
      <c r="QSX116" s="89"/>
      <c r="QSY116" s="89"/>
      <c r="QSZ116" s="89"/>
      <c r="QTA116" s="89"/>
      <c r="QTB116" s="89"/>
      <c r="QTC116" s="89"/>
      <c r="QTD116" s="89"/>
      <c r="QTE116" s="89"/>
      <c r="QTF116" s="89"/>
      <c r="QTG116" s="89"/>
      <c r="QTH116" s="89"/>
      <c r="QTI116" s="89"/>
      <c r="QTJ116" s="89"/>
      <c r="QTK116" s="89"/>
      <c r="QTL116" s="89"/>
      <c r="QTM116" s="89"/>
      <c r="QTN116" s="89"/>
      <c r="QTO116" s="89"/>
      <c r="QTP116" s="89"/>
      <c r="QTQ116" s="89"/>
      <c r="QTR116" s="89"/>
      <c r="QTS116" s="89"/>
      <c r="QTT116" s="89"/>
      <c r="QTU116" s="89"/>
      <c r="QUA116" s="89"/>
      <c r="QUB116" s="89"/>
      <c r="QUC116" s="89"/>
      <c r="QUD116" s="89"/>
      <c r="QUE116" s="89"/>
      <c r="QUF116" s="89"/>
      <c r="QUG116" s="89"/>
      <c r="QUH116" s="89"/>
      <c r="QUI116" s="89"/>
      <c r="QUJ116" s="89"/>
      <c r="QUK116" s="89"/>
      <c r="QUL116" s="89"/>
      <c r="QUM116" s="94"/>
      <c r="QUN116" s="89"/>
      <c r="QUO116" s="89"/>
      <c r="QUP116" s="89"/>
      <c r="QUQ116" s="89"/>
      <c r="QUR116" s="89"/>
      <c r="QUS116" s="94"/>
      <c r="QUT116" s="89"/>
      <c r="QUU116" s="89"/>
      <c r="QUV116" s="89"/>
      <c r="QUW116" s="89"/>
      <c r="QUX116" s="89"/>
      <c r="QUY116" s="89"/>
      <c r="QUZ116" s="89"/>
      <c r="QVA116" s="89"/>
      <c r="QVB116" s="89"/>
      <c r="QVC116" s="89"/>
      <c r="QVD116" s="94"/>
      <c r="QVE116" s="89"/>
      <c r="QVF116" s="89"/>
      <c r="QVG116" s="89"/>
      <c r="QVH116" s="89"/>
      <c r="QVI116" s="89"/>
      <c r="QVJ116" s="89"/>
      <c r="QVK116" s="89"/>
      <c r="QVL116" s="89"/>
      <c r="QVM116" s="89"/>
      <c r="QVN116" s="89"/>
      <c r="QVO116" s="89"/>
      <c r="QVP116" s="89"/>
      <c r="QVQ116" s="89"/>
      <c r="QVR116" s="89"/>
      <c r="QVS116" s="89"/>
      <c r="QVT116" s="89"/>
      <c r="QVU116" s="89"/>
      <c r="QVV116" s="89"/>
      <c r="QVW116" s="89"/>
      <c r="QVX116" s="89"/>
      <c r="QVY116" s="89"/>
      <c r="QVZ116" s="89"/>
      <c r="QWA116" s="89"/>
      <c r="QWB116" s="89"/>
      <c r="QWH116" s="89"/>
      <c r="QWI116" s="89"/>
      <c r="QWJ116" s="89"/>
      <c r="QWK116" s="89"/>
      <c r="QWL116" s="89"/>
      <c r="QWM116" s="89"/>
      <c r="QWN116" s="89"/>
      <c r="QWO116" s="89"/>
      <c r="QWP116" s="89"/>
      <c r="QWQ116" s="89"/>
      <c r="QWR116" s="89"/>
      <c r="QWS116" s="89"/>
      <c r="QWT116" s="94"/>
      <c r="QWU116" s="89"/>
      <c r="QWV116" s="89"/>
      <c r="QWW116" s="89"/>
      <c r="QWX116" s="89"/>
      <c r="QWY116" s="89"/>
      <c r="QWZ116" s="94"/>
      <c r="QXA116" s="89"/>
      <c r="QXB116" s="89"/>
      <c r="QXC116" s="89"/>
      <c r="QXD116" s="89"/>
      <c r="QXE116" s="89"/>
      <c r="QXF116" s="89"/>
      <c r="QXG116" s="89"/>
      <c r="QXH116" s="89"/>
      <c r="QXI116" s="89"/>
      <c r="QXJ116" s="89"/>
      <c r="QXK116" s="94"/>
      <c r="QXL116" s="89"/>
      <c r="QXM116" s="89"/>
      <c r="QXN116" s="89"/>
      <c r="QXO116" s="89"/>
      <c r="QXP116" s="89"/>
      <c r="QXQ116" s="89"/>
      <c r="QXR116" s="89"/>
      <c r="QXS116" s="89"/>
      <c r="QXT116" s="89"/>
      <c r="QXU116" s="89"/>
      <c r="QXV116" s="89"/>
      <c r="QXW116" s="89"/>
      <c r="QXX116" s="89"/>
      <c r="QXY116" s="89"/>
      <c r="QXZ116" s="89"/>
      <c r="QYA116" s="89"/>
      <c r="QYB116" s="89"/>
      <c r="QYC116" s="89"/>
      <c r="QYD116" s="89"/>
      <c r="QYE116" s="89"/>
      <c r="QYF116" s="89"/>
      <c r="QYG116" s="89"/>
      <c r="QYH116" s="89"/>
      <c r="QYI116" s="89"/>
      <c r="QYO116" s="89"/>
      <c r="QYP116" s="89"/>
      <c r="QYQ116" s="89"/>
      <c r="QYR116" s="89"/>
      <c r="QYS116" s="89"/>
      <c r="QYT116" s="89"/>
      <c r="QYU116" s="89"/>
      <c r="QYV116" s="89"/>
      <c r="QYW116" s="89"/>
      <c r="QYX116" s="89"/>
      <c r="QYY116" s="89"/>
      <c r="QYZ116" s="89"/>
      <c r="QZA116" s="94"/>
      <c r="QZB116" s="89"/>
      <c r="QZC116" s="89"/>
      <c r="QZD116" s="89"/>
      <c r="QZE116" s="89"/>
      <c r="QZF116" s="89"/>
      <c r="QZG116" s="94"/>
      <c r="QZH116" s="89"/>
      <c r="QZI116" s="89"/>
      <c r="QZJ116" s="89"/>
      <c r="QZK116" s="89"/>
      <c r="QZL116" s="89"/>
      <c r="QZM116" s="89"/>
      <c r="QZN116" s="89"/>
      <c r="QZO116" s="89"/>
      <c r="QZP116" s="89"/>
      <c r="QZQ116" s="89"/>
      <c r="QZR116" s="94"/>
      <c r="QZS116" s="89"/>
      <c r="QZT116" s="89"/>
      <c r="QZU116" s="89"/>
      <c r="QZV116" s="89"/>
      <c r="QZW116" s="89"/>
      <c r="QZX116" s="89"/>
      <c r="QZY116" s="89"/>
      <c r="QZZ116" s="89"/>
      <c r="RAA116" s="89"/>
      <c r="RAB116" s="89"/>
      <c r="RAC116" s="89"/>
      <c r="RAD116" s="89"/>
      <c r="RAE116" s="89"/>
      <c r="RAF116" s="89"/>
      <c r="RAG116" s="89"/>
      <c r="RAH116" s="89"/>
      <c r="RAI116" s="89"/>
      <c r="RAJ116" s="89"/>
      <c r="RAK116" s="89"/>
      <c r="RAL116" s="89"/>
      <c r="RAM116" s="89"/>
      <c r="RAN116" s="89"/>
      <c r="RAO116" s="89"/>
      <c r="RAP116" s="89"/>
      <c r="RAV116" s="89"/>
      <c r="RAW116" s="89"/>
      <c r="RAX116" s="89"/>
      <c r="RAY116" s="89"/>
      <c r="RAZ116" s="89"/>
      <c r="RBA116" s="89"/>
      <c r="RBB116" s="89"/>
      <c r="RBC116" s="89"/>
      <c r="RBD116" s="89"/>
      <c r="RBE116" s="89"/>
      <c r="RBF116" s="89"/>
      <c r="RBG116" s="89"/>
      <c r="RBH116" s="94"/>
      <c r="RBI116" s="89"/>
      <c r="RBJ116" s="89"/>
      <c r="RBK116" s="89"/>
      <c r="RBL116" s="89"/>
      <c r="RBM116" s="89"/>
      <c r="RBN116" s="94"/>
      <c r="RBO116" s="89"/>
      <c r="RBP116" s="89"/>
      <c r="RBQ116" s="89"/>
      <c r="RBR116" s="89"/>
      <c r="RBS116" s="89"/>
      <c r="RBT116" s="89"/>
      <c r="RBU116" s="89"/>
      <c r="RBV116" s="89"/>
      <c r="RBW116" s="89"/>
      <c r="RBX116" s="89"/>
      <c r="RBY116" s="94"/>
      <c r="RBZ116" s="89"/>
      <c r="RCA116" s="89"/>
      <c r="RCB116" s="89"/>
      <c r="RCC116" s="89"/>
      <c r="RCD116" s="89"/>
      <c r="RCE116" s="89"/>
      <c r="RCF116" s="89"/>
      <c r="RCG116" s="89"/>
      <c r="RCH116" s="89"/>
      <c r="RCI116" s="89"/>
      <c r="RCJ116" s="89"/>
      <c r="RCK116" s="89"/>
      <c r="RCL116" s="89"/>
      <c r="RCM116" s="89"/>
      <c r="RCN116" s="89"/>
      <c r="RCO116" s="89"/>
      <c r="RCP116" s="89"/>
      <c r="RCQ116" s="89"/>
      <c r="RCR116" s="89"/>
      <c r="RCS116" s="89"/>
      <c r="RCT116" s="89"/>
      <c r="RCU116" s="89"/>
      <c r="RCV116" s="89"/>
      <c r="RCW116" s="89"/>
      <c r="RDC116" s="89"/>
      <c r="RDD116" s="89"/>
      <c r="RDE116" s="89"/>
      <c r="RDF116" s="89"/>
      <c r="RDG116" s="89"/>
      <c r="RDH116" s="89"/>
      <c r="RDI116" s="89"/>
      <c r="RDJ116" s="89"/>
      <c r="RDK116" s="89"/>
      <c r="RDL116" s="89"/>
      <c r="RDM116" s="89"/>
      <c r="RDN116" s="89"/>
      <c r="RDO116" s="94"/>
      <c r="RDP116" s="89"/>
      <c r="RDQ116" s="89"/>
      <c r="RDR116" s="89"/>
      <c r="RDS116" s="89"/>
      <c r="RDT116" s="89"/>
      <c r="RDU116" s="94"/>
      <c r="RDV116" s="89"/>
      <c r="RDW116" s="89"/>
      <c r="RDX116" s="89"/>
      <c r="RDY116" s="89"/>
      <c r="RDZ116" s="89"/>
      <c r="REA116" s="89"/>
      <c r="REB116" s="89"/>
      <c r="REC116" s="89"/>
      <c r="RED116" s="89"/>
      <c r="REE116" s="89"/>
      <c r="REF116" s="94"/>
      <c r="REG116" s="89"/>
      <c r="REH116" s="89"/>
      <c r="REI116" s="89"/>
      <c r="REJ116" s="89"/>
      <c r="REK116" s="89"/>
      <c r="REL116" s="89"/>
      <c r="REM116" s="89"/>
      <c r="REN116" s="89"/>
      <c r="REO116" s="89"/>
      <c r="REP116" s="89"/>
      <c r="REQ116" s="89"/>
      <c r="RER116" s="89"/>
      <c r="RES116" s="89"/>
      <c r="RET116" s="89"/>
      <c r="REU116" s="89"/>
      <c r="REV116" s="89"/>
      <c r="REW116" s="89"/>
      <c r="REX116" s="89"/>
      <c r="REY116" s="89"/>
      <c r="REZ116" s="89"/>
      <c r="RFA116" s="89"/>
      <c r="RFB116" s="89"/>
      <c r="RFC116" s="89"/>
      <c r="RFD116" s="89"/>
      <c r="RFJ116" s="89"/>
      <c r="RFK116" s="89"/>
      <c r="RFL116" s="89"/>
      <c r="RFM116" s="89"/>
      <c r="RFN116" s="89"/>
      <c r="RFO116" s="89"/>
      <c r="RFP116" s="89"/>
      <c r="RFQ116" s="89"/>
      <c r="RFR116" s="89"/>
      <c r="RFS116" s="89"/>
      <c r="RFT116" s="89"/>
      <c r="RFU116" s="89"/>
      <c r="RFV116" s="94"/>
      <c r="RFW116" s="89"/>
      <c r="RFX116" s="89"/>
      <c r="RFY116" s="89"/>
      <c r="RFZ116" s="89"/>
      <c r="RGA116" s="89"/>
      <c r="RGB116" s="94"/>
      <c r="RGC116" s="89"/>
      <c r="RGD116" s="89"/>
      <c r="RGE116" s="89"/>
      <c r="RGF116" s="89"/>
      <c r="RGG116" s="89"/>
      <c r="RGH116" s="89"/>
      <c r="RGI116" s="89"/>
      <c r="RGJ116" s="89"/>
      <c r="RGK116" s="89"/>
      <c r="RGL116" s="89"/>
      <c r="RGM116" s="94"/>
      <c r="RGN116" s="89"/>
      <c r="RGO116" s="89"/>
      <c r="RGP116" s="89"/>
      <c r="RGQ116" s="89"/>
      <c r="RGR116" s="89"/>
      <c r="RGS116" s="89"/>
      <c r="RGT116" s="89"/>
      <c r="RGU116" s="89"/>
      <c r="RGV116" s="89"/>
      <c r="RGW116" s="89"/>
      <c r="RGX116" s="89"/>
      <c r="RGY116" s="89"/>
      <c r="RGZ116" s="89"/>
      <c r="RHA116" s="89"/>
      <c r="RHB116" s="89"/>
      <c r="RHC116" s="89"/>
      <c r="RHD116" s="89"/>
      <c r="RHE116" s="89"/>
      <c r="RHF116" s="89"/>
      <c r="RHG116" s="89"/>
      <c r="RHH116" s="89"/>
      <c r="RHI116" s="89"/>
      <c r="RHJ116" s="89"/>
      <c r="RHK116" s="89"/>
      <c r="RHQ116" s="89"/>
      <c r="RHR116" s="89"/>
      <c r="RHS116" s="89"/>
      <c r="RHT116" s="89"/>
      <c r="RHU116" s="89"/>
      <c r="RHV116" s="89"/>
      <c r="RHW116" s="89"/>
      <c r="RHX116" s="89"/>
      <c r="RHY116" s="89"/>
      <c r="RHZ116" s="89"/>
      <c r="RIA116" s="89"/>
      <c r="RIB116" s="89"/>
      <c r="RIC116" s="94"/>
      <c r="RID116" s="89"/>
      <c r="RIE116" s="89"/>
      <c r="RIF116" s="89"/>
      <c r="RIG116" s="89"/>
      <c r="RIH116" s="89"/>
      <c r="RII116" s="94"/>
      <c r="RIJ116" s="89"/>
      <c r="RIK116" s="89"/>
      <c r="RIL116" s="89"/>
      <c r="RIM116" s="89"/>
      <c r="RIN116" s="89"/>
      <c r="RIO116" s="89"/>
      <c r="RIP116" s="89"/>
      <c r="RIQ116" s="89"/>
      <c r="RIR116" s="89"/>
      <c r="RIS116" s="89"/>
      <c r="RIT116" s="94"/>
      <c r="RIU116" s="89"/>
      <c r="RIV116" s="89"/>
      <c r="RIW116" s="89"/>
      <c r="RIX116" s="89"/>
      <c r="RIY116" s="89"/>
      <c r="RIZ116" s="89"/>
      <c r="RJA116" s="89"/>
      <c r="RJB116" s="89"/>
      <c r="RJC116" s="89"/>
      <c r="RJD116" s="89"/>
      <c r="RJE116" s="89"/>
      <c r="RJF116" s="89"/>
      <c r="RJG116" s="89"/>
      <c r="RJH116" s="89"/>
      <c r="RJI116" s="89"/>
      <c r="RJJ116" s="89"/>
      <c r="RJK116" s="89"/>
      <c r="RJL116" s="89"/>
      <c r="RJM116" s="89"/>
      <c r="RJN116" s="89"/>
      <c r="RJO116" s="89"/>
      <c r="RJP116" s="89"/>
      <c r="RJQ116" s="89"/>
      <c r="RJR116" s="89"/>
      <c r="RJX116" s="89"/>
      <c r="RJY116" s="89"/>
      <c r="RJZ116" s="89"/>
      <c r="RKA116" s="89"/>
      <c r="RKB116" s="89"/>
      <c r="RKC116" s="89"/>
      <c r="RKD116" s="89"/>
      <c r="RKE116" s="89"/>
      <c r="RKF116" s="89"/>
      <c r="RKG116" s="89"/>
      <c r="RKH116" s="89"/>
      <c r="RKI116" s="89"/>
      <c r="RKJ116" s="94"/>
      <c r="RKK116" s="89"/>
      <c r="RKL116" s="89"/>
      <c r="RKM116" s="89"/>
      <c r="RKN116" s="89"/>
      <c r="RKO116" s="89"/>
      <c r="RKP116" s="94"/>
      <c r="RKQ116" s="89"/>
      <c r="RKR116" s="89"/>
      <c r="RKS116" s="89"/>
      <c r="RKT116" s="89"/>
      <c r="RKU116" s="89"/>
      <c r="RKV116" s="89"/>
      <c r="RKW116" s="89"/>
      <c r="RKX116" s="89"/>
      <c r="RKY116" s="89"/>
      <c r="RKZ116" s="89"/>
      <c r="RLA116" s="94"/>
      <c r="RLB116" s="89"/>
      <c r="RLC116" s="89"/>
      <c r="RLD116" s="89"/>
      <c r="RLE116" s="89"/>
      <c r="RLF116" s="89"/>
      <c r="RLG116" s="89"/>
      <c r="RLH116" s="89"/>
      <c r="RLI116" s="89"/>
      <c r="RLJ116" s="89"/>
      <c r="RLK116" s="89"/>
      <c r="RLL116" s="89"/>
      <c r="RLM116" s="89"/>
      <c r="RLN116" s="89"/>
      <c r="RLO116" s="89"/>
      <c r="RLP116" s="89"/>
      <c r="RLQ116" s="89"/>
      <c r="RLR116" s="89"/>
      <c r="RLS116" s="89"/>
      <c r="RLT116" s="89"/>
      <c r="RLU116" s="89"/>
      <c r="RLV116" s="89"/>
      <c r="RLW116" s="89"/>
      <c r="RLX116" s="89"/>
      <c r="RLY116" s="89"/>
      <c r="RME116" s="89"/>
      <c r="RMF116" s="89"/>
      <c r="RMG116" s="89"/>
      <c r="RMH116" s="89"/>
      <c r="RMI116" s="89"/>
      <c r="RMJ116" s="89"/>
      <c r="RMK116" s="89"/>
      <c r="RML116" s="89"/>
      <c r="RMM116" s="89"/>
      <c r="RMN116" s="89"/>
      <c r="RMO116" s="89"/>
      <c r="RMP116" s="89"/>
      <c r="RMQ116" s="94"/>
      <c r="RMR116" s="89"/>
      <c r="RMS116" s="89"/>
      <c r="RMT116" s="89"/>
      <c r="RMU116" s="89"/>
      <c r="RMV116" s="89"/>
      <c r="RMW116" s="94"/>
      <c r="RMX116" s="89"/>
      <c r="RMY116" s="89"/>
      <c r="RMZ116" s="89"/>
      <c r="RNA116" s="89"/>
      <c r="RNB116" s="89"/>
      <c r="RNC116" s="89"/>
      <c r="RND116" s="89"/>
      <c r="RNE116" s="89"/>
      <c r="RNF116" s="89"/>
      <c r="RNG116" s="89"/>
      <c r="RNH116" s="94"/>
      <c r="RNI116" s="89"/>
      <c r="RNJ116" s="89"/>
      <c r="RNK116" s="89"/>
      <c r="RNL116" s="89"/>
      <c r="RNM116" s="89"/>
      <c r="RNN116" s="89"/>
      <c r="RNO116" s="89"/>
      <c r="RNP116" s="89"/>
      <c r="RNQ116" s="89"/>
      <c r="RNR116" s="89"/>
      <c r="RNS116" s="89"/>
      <c r="RNT116" s="89"/>
      <c r="RNU116" s="89"/>
      <c r="RNV116" s="89"/>
      <c r="RNW116" s="89"/>
      <c r="RNX116" s="89"/>
      <c r="RNY116" s="89"/>
      <c r="RNZ116" s="89"/>
      <c r="ROA116" s="89"/>
      <c r="ROB116" s="89"/>
      <c r="ROC116" s="89"/>
      <c r="ROD116" s="89"/>
      <c r="ROE116" s="89"/>
      <c r="ROF116" s="89"/>
      <c r="ROL116" s="89"/>
      <c r="ROM116" s="89"/>
      <c r="RON116" s="89"/>
      <c r="ROO116" s="89"/>
      <c r="ROP116" s="89"/>
      <c r="ROQ116" s="89"/>
      <c r="ROR116" s="89"/>
      <c r="ROS116" s="89"/>
      <c r="ROT116" s="89"/>
      <c r="ROU116" s="89"/>
      <c r="ROV116" s="89"/>
      <c r="ROW116" s="89"/>
      <c r="ROX116" s="94"/>
      <c r="ROY116" s="89"/>
      <c r="ROZ116" s="89"/>
      <c r="RPA116" s="89"/>
      <c r="RPB116" s="89"/>
      <c r="RPC116" s="89"/>
      <c r="RPD116" s="94"/>
      <c r="RPE116" s="89"/>
      <c r="RPF116" s="89"/>
      <c r="RPG116" s="89"/>
      <c r="RPH116" s="89"/>
      <c r="RPI116" s="89"/>
      <c r="RPJ116" s="89"/>
      <c r="RPK116" s="89"/>
      <c r="RPL116" s="89"/>
      <c r="RPM116" s="89"/>
      <c r="RPN116" s="89"/>
      <c r="RPO116" s="94"/>
      <c r="RPP116" s="89"/>
      <c r="RPQ116" s="89"/>
      <c r="RPR116" s="89"/>
      <c r="RPS116" s="89"/>
      <c r="RPT116" s="89"/>
      <c r="RPU116" s="89"/>
      <c r="RPV116" s="89"/>
      <c r="RPW116" s="89"/>
      <c r="RPX116" s="89"/>
      <c r="RPY116" s="89"/>
      <c r="RPZ116" s="89"/>
      <c r="RQA116" s="89"/>
      <c r="RQB116" s="89"/>
      <c r="RQC116" s="89"/>
      <c r="RQD116" s="89"/>
      <c r="RQE116" s="89"/>
      <c r="RQF116" s="89"/>
      <c r="RQG116" s="89"/>
      <c r="RQH116" s="89"/>
      <c r="RQI116" s="89"/>
      <c r="RQJ116" s="89"/>
      <c r="RQK116" s="89"/>
      <c r="RQL116" s="89"/>
      <c r="RQM116" s="89"/>
      <c r="RQS116" s="89"/>
      <c r="RQT116" s="89"/>
      <c r="RQU116" s="89"/>
      <c r="RQV116" s="89"/>
      <c r="RQW116" s="89"/>
      <c r="RQX116" s="89"/>
      <c r="RQY116" s="89"/>
      <c r="RQZ116" s="89"/>
      <c r="RRA116" s="89"/>
      <c r="RRB116" s="89"/>
      <c r="RRC116" s="89"/>
      <c r="RRD116" s="89"/>
      <c r="RRE116" s="94"/>
      <c r="RRF116" s="89"/>
      <c r="RRG116" s="89"/>
      <c r="RRH116" s="89"/>
      <c r="RRI116" s="89"/>
      <c r="RRJ116" s="89"/>
      <c r="RRK116" s="94"/>
      <c r="RRL116" s="89"/>
      <c r="RRM116" s="89"/>
      <c r="RRN116" s="89"/>
      <c r="RRO116" s="89"/>
      <c r="RRP116" s="89"/>
      <c r="RRQ116" s="89"/>
      <c r="RRR116" s="89"/>
      <c r="RRS116" s="89"/>
      <c r="RRT116" s="89"/>
      <c r="RRU116" s="89"/>
      <c r="RRV116" s="94"/>
      <c r="RRW116" s="89"/>
      <c r="RRX116" s="89"/>
      <c r="RRY116" s="89"/>
      <c r="RRZ116" s="89"/>
      <c r="RSA116" s="89"/>
      <c r="RSB116" s="89"/>
      <c r="RSC116" s="89"/>
      <c r="RSD116" s="89"/>
      <c r="RSE116" s="89"/>
      <c r="RSF116" s="89"/>
      <c r="RSG116" s="89"/>
      <c r="RSH116" s="89"/>
      <c r="RSI116" s="89"/>
      <c r="RSJ116" s="89"/>
      <c r="RSK116" s="89"/>
      <c r="RSL116" s="89"/>
      <c r="RSM116" s="89"/>
      <c r="RSN116" s="89"/>
      <c r="RSO116" s="89"/>
      <c r="RSP116" s="89"/>
      <c r="RSQ116" s="89"/>
      <c r="RSR116" s="89"/>
      <c r="RSS116" s="89"/>
      <c r="RST116" s="89"/>
      <c r="RSZ116" s="89"/>
      <c r="RTA116" s="89"/>
      <c r="RTB116" s="89"/>
      <c r="RTC116" s="89"/>
      <c r="RTD116" s="89"/>
      <c r="RTE116" s="89"/>
      <c r="RTF116" s="89"/>
      <c r="RTG116" s="89"/>
      <c r="RTH116" s="89"/>
      <c r="RTI116" s="89"/>
      <c r="RTJ116" s="89"/>
      <c r="RTK116" s="89"/>
      <c r="RTL116" s="94"/>
      <c r="RTM116" s="89"/>
      <c r="RTN116" s="89"/>
      <c r="RTO116" s="89"/>
      <c r="RTP116" s="89"/>
      <c r="RTQ116" s="89"/>
      <c r="RTR116" s="94"/>
      <c r="RTS116" s="89"/>
      <c r="RTT116" s="89"/>
      <c r="RTU116" s="89"/>
      <c r="RTV116" s="89"/>
      <c r="RTW116" s="89"/>
      <c r="RTX116" s="89"/>
      <c r="RTY116" s="89"/>
      <c r="RTZ116" s="89"/>
      <c r="RUA116" s="89"/>
      <c r="RUB116" s="89"/>
      <c r="RUC116" s="94"/>
      <c r="RUD116" s="89"/>
      <c r="RUE116" s="89"/>
      <c r="RUF116" s="89"/>
      <c r="RUG116" s="89"/>
      <c r="RUH116" s="89"/>
      <c r="RUI116" s="89"/>
      <c r="RUJ116" s="89"/>
      <c r="RUK116" s="89"/>
      <c r="RUL116" s="89"/>
      <c r="RUM116" s="89"/>
      <c r="RUN116" s="89"/>
      <c r="RUO116" s="89"/>
      <c r="RUP116" s="89"/>
      <c r="RUQ116" s="89"/>
      <c r="RUR116" s="89"/>
      <c r="RUS116" s="89"/>
      <c r="RUT116" s="89"/>
      <c r="RUU116" s="89"/>
      <c r="RUV116" s="89"/>
      <c r="RUW116" s="89"/>
      <c r="RUX116" s="89"/>
      <c r="RUY116" s="89"/>
      <c r="RUZ116" s="89"/>
      <c r="RVA116" s="89"/>
      <c r="RVG116" s="89"/>
      <c r="RVH116" s="89"/>
      <c r="RVI116" s="89"/>
      <c r="RVJ116" s="89"/>
      <c r="RVK116" s="89"/>
      <c r="RVL116" s="89"/>
      <c r="RVM116" s="89"/>
      <c r="RVN116" s="89"/>
      <c r="RVO116" s="89"/>
      <c r="RVP116" s="89"/>
      <c r="RVQ116" s="89"/>
      <c r="RVR116" s="89"/>
      <c r="RVS116" s="94"/>
      <c r="RVT116" s="89"/>
      <c r="RVU116" s="89"/>
      <c r="RVV116" s="89"/>
      <c r="RVW116" s="89"/>
      <c r="RVX116" s="89"/>
      <c r="RVY116" s="94"/>
      <c r="RVZ116" s="89"/>
      <c r="RWA116" s="89"/>
      <c r="RWB116" s="89"/>
      <c r="RWC116" s="89"/>
      <c r="RWD116" s="89"/>
      <c r="RWE116" s="89"/>
      <c r="RWF116" s="89"/>
      <c r="RWG116" s="89"/>
      <c r="RWH116" s="89"/>
      <c r="RWI116" s="89"/>
      <c r="RWJ116" s="94"/>
      <c r="RWK116" s="89"/>
      <c r="RWL116" s="89"/>
      <c r="RWM116" s="89"/>
      <c r="RWN116" s="89"/>
      <c r="RWO116" s="89"/>
      <c r="RWP116" s="89"/>
      <c r="RWQ116" s="89"/>
      <c r="RWR116" s="89"/>
      <c r="RWS116" s="89"/>
      <c r="RWT116" s="89"/>
      <c r="RWU116" s="89"/>
      <c r="RWV116" s="89"/>
      <c r="RWW116" s="89"/>
      <c r="RWX116" s="89"/>
      <c r="RWY116" s="89"/>
      <c r="RWZ116" s="89"/>
      <c r="RXA116" s="89"/>
      <c r="RXB116" s="89"/>
      <c r="RXC116" s="89"/>
      <c r="RXD116" s="89"/>
      <c r="RXE116" s="89"/>
      <c r="RXF116" s="89"/>
      <c r="RXG116" s="89"/>
      <c r="RXH116" s="89"/>
      <c r="RXN116" s="89"/>
      <c r="RXO116" s="89"/>
      <c r="RXP116" s="89"/>
      <c r="RXQ116" s="89"/>
      <c r="RXR116" s="89"/>
      <c r="RXS116" s="89"/>
      <c r="RXT116" s="89"/>
      <c r="RXU116" s="89"/>
      <c r="RXV116" s="89"/>
      <c r="RXW116" s="89"/>
      <c r="RXX116" s="89"/>
      <c r="RXY116" s="89"/>
      <c r="RXZ116" s="94"/>
      <c r="RYA116" s="89"/>
      <c r="RYB116" s="89"/>
      <c r="RYC116" s="89"/>
      <c r="RYD116" s="89"/>
      <c r="RYE116" s="89"/>
      <c r="RYF116" s="94"/>
      <c r="RYG116" s="89"/>
      <c r="RYH116" s="89"/>
      <c r="RYI116" s="89"/>
      <c r="RYJ116" s="89"/>
      <c r="RYK116" s="89"/>
      <c r="RYL116" s="89"/>
      <c r="RYM116" s="89"/>
      <c r="RYN116" s="89"/>
      <c r="RYO116" s="89"/>
      <c r="RYP116" s="89"/>
      <c r="RYQ116" s="94"/>
      <c r="RYR116" s="89"/>
      <c r="RYS116" s="89"/>
      <c r="RYT116" s="89"/>
      <c r="RYU116" s="89"/>
      <c r="RYV116" s="89"/>
      <c r="RYW116" s="89"/>
      <c r="RYX116" s="89"/>
      <c r="RYY116" s="89"/>
      <c r="RYZ116" s="89"/>
      <c r="RZA116" s="89"/>
      <c r="RZB116" s="89"/>
      <c r="RZC116" s="89"/>
      <c r="RZD116" s="89"/>
      <c r="RZE116" s="89"/>
      <c r="RZF116" s="89"/>
      <c r="RZG116" s="89"/>
      <c r="RZH116" s="89"/>
      <c r="RZI116" s="89"/>
      <c r="RZJ116" s="89"/>
      <c r="RZK116" s="89"/>
      <c r="RZL116" s="89"/>
      <c r="RZM116" s="89"/>
      <c r="RZN116" s="89"/>
      <c r="RZO116" s="89"/>
      <c r="RZU116" s="89"/>
      <c r="RZV116" s="89"/>
      <c r="RZW116" s="89"/>
      <c r="RZX116" s="89"/>
      <c r="RZY116" s="89"/>
      <c r="RZZ116" s="89"/>
      <c r="SAA116" s="89"/>
      <c r="SAB116" s="89"/>
      <c r="SAC116" s="89"/>
      <c r="SAD116" s="89"/>
      <c r="SAE116" s="89"/>
      <c r="SAF116" s="89"/>
      <c r="SAG116" s="94"/>
      <c r="SAH116" s="89"/>
      <c r="SAI116" s="89"/>
      <c r="SAJ116" s="89"/>
      <c r="SAK116" s="89"/>
      <c r="SAL116" s="89"/>
      <c r="SAM116" s="94"/>
      <c r="SAN116" s="89"/>
      <c r="SAO116" s="89"/>
      <c r="SAP116" s="89"/>
      <c r="SAQ116" s="89"/>
      <c r="SAR116" s="89"/>
      <c r="SAS116" s="89"/>
      <c r="SAT116" s="89"/>
      <c r="SAU116" s="89"/>
      <c r="SAV116" s="89"/>
      <c r="SAW116" s="89"/>
      <c r="SAX116" s="94"/>
      <c r="SAY116" s="89"/>
      <c r="SAZ116" s="89"/>
      <c r="SBA116" s="89"/>
      <c r="SBB116" s="89"/>
      <c r="SBC116" s="89"/>
      <c r="SBD116" s="89"/>
      <c r="SBE116" s="89"/>
      <c r="SBF116" s="89"/>
      <c r="SBG116" s="89"/>
      <c r="SBH116" s="89"/>
      <c r="SBI116" s="89"/>
      <c r="SBJ116" s="89"/>
      <c r="SBK116" s="89"/>
      <c r="SBL116" s="89"/>
      <c r="SBM116" s="89"/>
      <c r="SBN116" s="89"/>
      <c r="SBO116" s="89"/>
      <c r="SBP116" s="89"/>
      <c r="SBQ116" s="89"/>
      <c r="SBR116" s="89"/>
      <c r="SBS116" s="89"/>
      <c r="SBT116" s="89"/>
      <c r="SBU116" s="89"/>
      <c r="SBV116" s="89"/>
      <c r="SCB116" s="89"/>
      <c r="SCC116" s="89"/>
      <c r="SCD116" s="89"/>
      <c r="SCE116" s="89"/>
      <c r="SCF116" s="89"/>
      <c r="SCG116" s="89"/>
      <c r="SCH116" s="89"/>
      <c r="SCI116" s="89"/>
      <c r="SCJ116" s="89"/>
      <c r="SCK116" s="89"/>
      <c r="SCL116" s="89"/>
      <c r="SCM116" s="89"/>
      <c r="SCN116" s="94"/>
      <c r="SCO116" s="89"/>
      <c r="SCP116" s="89"/>
      <c r="SCQ116" s="89"/>
      <c r="SCR116" s="89"/>
      <c r="SCS116" s="89"/>
      <c r="SCT116" s="94"/>
      <c r="SCU116" s="89"/>
      <c r="SCV116" s="89"/>
      <c r="SCW116" s="89"/>
      <c r="SCX116" s="89"/>
      <c r="SCY116" s="89"/>
      <c r="SCZ116" s="89"/>
      <c r="SDA116" s="89"/>
      <c r="SDB116" s="89"/>
      <c r="SDC116" s="89"/>
      <c r="SDD116" s="89"/>
      <c r="SDE116" s="94"/>
      <c r="SDF116" s="89"/>
      <c r="SDG116" s="89"/>
      <c r="SDH116" s="89"/>
      <c r="SDI116" s="89"/>
      <c r="SDJ116" s="89"/>
      <c r="SDK116" s="89"/>
      <c r="SDL116" s="89"/>
      <c r="SDM116" s="89"/>
      <c r="SDN116" s="89"/>
      <c r="SDO116" s="89"/>
      <c r="SDP116" s="89"/>
      <c r="SDQ116" s="89"/>
      <c r="SDR116" s="89"/>
      <c r="SDS116" s="89"/>
      <c r="SDT116" s="89"/>
      <c r="SDU116" s="89"/>
      <c r="SDV116" s="89"/>
      <c r="SDW116" s="89"/>
      <c r="SDX116" s="89"/>
      <c r="SDY116" s="89"/>
      <c r="SDZ116" s="89"/>
      <c r="SEA116" s="89"/>
      <c r="SEB116" s="89"/>
      <c r="SEC116" s="89"/>
      <c r="SEI116" s="89"/>
      <c r="SEJ116" s="89"/>
      <c r="SEK116" s="89"/>
      <c r="SEL116" s="89"/>
      <c r="SEM116" s="89"/>
      <c r="SEN116" s="89"/>
      <c r="SEO116" s="89"/>
      <c r="SEP116" s="89"/>
      <c r="SEQ116" s="89"/>
      <c r="SER116" s="89"/>
      <c r="SES116" s="89"/>
      <c r="SET116" s="89"/>
      <c r="SEU116" s="94"/>
      <c r="SEV116" s="89"/>
      <c r="SEW116" s="89"/>
      <c r="SEX116" s="89"/>
      <c r="SEY116" s="89"/>
      <c r="SEZ116" s="89"/>
      <c r="SFA116" s="94"/>
      <c r="SFB116" s="89"/>
      <c r="SFC116" s="89"/>
      <c r="SFD116" s="89"/>
      <c r="SFE116" s="89"/>
      <c r="SFF116" s="89"/>
      <c r="SFG116" s="89"/>
      <c r="SFH116" s="89"/>
      <c r="SFI116" s="89"/>
      <c r="SFJ116" s="89"/>
      <c r="SFK116" s="89"/>
      <c r="SFL116" s="94"/>
      <c r="SFM116" s="89"/>
      <c r="SFN116" s="89"/>
      <c r="SFO116" s="89"/>
      <c r="SFP116" s="89"/>
      <c r="SFQ116" s="89"/>
      <c r="SFR116" s="89"/>
      <c r="SFS116" s="89"/>
      <c r="SFT116" s="89"/>
      <c r="SFU116" s="89"/>
      <c r="SFV116" s="89"/>
      <c r="SFW116" s="89"/>
      <c r="SFX116" s="89"/>
      <c r="SFY116" s="89"/>
      <c r="SFZ116" s="89"/>
      <c r="SGA116" s="89"/>
      <c r="SGB116" s="89"/>
      <c r="SGC116" s="89"/>
      <c r="SGD116" s="89"/>
      <c r="SGE116" s="89"/>
      <c r="SGF116" s="89"/>
      <c r="SGG116" s="89"/>
      <c r="SGH116" s="89"/>
      <c r="SGI116" s="89"/>
      <c r="SGJ116" s="89"/>
      <c r="SGP116" s="89"/>
      <c r="SGQ116" s="89"/>
      <c r="SGR116" s="89"/>
      <c r="SGS116" s="89"/>
      <c r="SGT116" s="89"/>
      <c r="SGU116" s="89"/>
      <c r="SGV116" s="89"/>
      <c r="SGW116" s="89"/>
      <c r="SGX116" s="89"/>
      <c r="SGY116" s="89"/>
      <c r="SGZ116" s="89"/>
      <c r="SHA116" s="89"/>
      <c r="SHB116" s="94"/>
      <c r="SHC116" s="89"/>
      <c r="SHD116" s="89"/>
      <c r="SHE116" s="89"/>
      <c r="SHF116" s="89"/>
      <c r="SHG116" s="89"/>
      <c r="SHH116" s="94"/>
      <c r="SHI116" s="89"/>
      <c r="SHJ116" s="89"/>
      <c r="SHK116" s="89"/>
      <c r="SHL116" s="89"/>
      <c r="SHM116" s="89"/>
      <c r="SHN116" s="89"/>
      <c r="SHO116" s="89"/>
      <c r="SHP116" s="89"/>
      <c r="SHQ116" s="89"/>
      <c r="SHR116" s="89"/>
      <c r="SHS116" s="94"/>
      <c r="SHT116" s="89"/>
      <c r="SHU116" s="89"/>
      <c r="SHV116" s="89"/>
      <c r="SHW116" s="89"/>
      <c r="SHX116" s="89"/>
      <c r="SHY116" s="89"/>
      <c r="SHZ116" s="89"/>
      <c r="SIA116" s="89"/>
      <c r="SIB116" s="89"/>
      <c r="SIC116" s="89"/>
      <c r="SID116" s="89"/>
      <c r="SIE116" s="89"/>
      <c r="SIF116" s="89"/>
      <c r="SIG116" s="89"/>
      <c r="SIH116" s="89"/>
      <c r="SII116" s="89"/>
      <c r="SIJ116" s="89"/>
      <c r="SIK116" s="89"/>
      <c r="SIL116" s="89"/>
      <c r="SIM116" s="89"/>
      <c r="SIN116" s="89"/>
      <c r="SIO116" s="89"/>
      <c r="SIP116" s="89"/>
      <c r="SIQ116" s="89"/>
      <c r="SIW116" s="89"/>
      <c r="SIX116" s="89"/>
      <c r="SIY116" s="89"/>
      <c r="SIZ116" s="89"/>
      <c r="SJA116" s="89"/>
      <c r="SJB116" s="89"/>
      <c r="SJC116" s="89"/>
      <c r="SJD116" s="89"/>
      <c r="SJE116" s="89"/>
      <c r="SJF116" s="89"/>
      <c r="SJG116" s="89"/>
      <c r="SJH116" s="89"/>
      <c r="SJI116" s="94"/>
      <c r="SJJ116" s="89"/>
      <c r="SJK116" s="89"/>
      <c r="SJL116" s="89"/>
      <c r="SJM116" s="89"/>
      <c r="SJN116" s="89"/>
      <c r="SJO116" s="94"/>
      <c r="SJP116" s="89"/>
      <c r="SJQ116" s="89"/>
      <c r="SJR116" s="89"/>
      <c r="SJS116" s="89"/>
      <c r="SJT116" s="89"/>
      <c r="SJU116" s="89"/>
      <c r="SJV116" s="89"/>
      <c r="SJW116" s="89"/>
      <c r="SJX116" s="89"/>
      <c r="SJY116" s="89"/>
      <c r="SJZ116" s="94"/>
      <c r="SKA116" s="89"/>
      <c r="SKB116" s="89"/>
      <c r="SKC116" s="89"/>
      <c r="SKD116" s="89"/>
      <c r="SKE116" s="89"/>
      <c r="SKF116" s="89"/>
      <c r="SKG116" s="89"/>
      <c r="SKH116" s="89"/>
      <c r="SKI116" s="89"/>
      <c r="SKJ116" s="89"/>
      <c r="SKK116" s="89"/>
      <c r="SKL116" s="89"/>
      <c r="SKM116" s="89"/>
      <c r="SKN116" s="89"/>
      <c r="SKO116" s="89"/>
      <c r="SKP116" s="89"/>
      <c r="SKQ116" s="89"/>
      <c r="SKR116" s="89"/>
      <c r="SKS116" s="89"/>
      <c r="SKT116" s="89"/>
      <c r="SKU116" s="89"/>
      <c r="SKV116" s="89"/>
      <c r="SKW116" s="89"/>
      <c r="SKX116" s="89"/>
      <c r="SLD116" s="89"/>
      <c r="SLE116" s="89"/>
      <c r="SLF116" s="89"/>
      <c r="SLG116" s="89"/>
      <c r="SLH116" s="89"/>
      <c r="SLI116" s="89"/>
      <c r="SLJ116" s="89"/>
      <c r="SLK116" s="89"/>
      <c r="SLL116" s="89"/>
      <c r="SLM116" s="89"/>
      <c r="SLN116" s="89"/>
      <c r="SLO116" s="89"/>
      <c r="SLP116" s="94"/>
      <c r="SLQ116" s="89"/>
      <c r="SLR116" s="89"/>
      <c r="SLS116" s="89"/>
      <c r="SLT116" s="89"/>
      <c r="SLU116" s="89"/>
      <c r="SLV116" s="94"/>
      <c r="SLW116" s="89"/>
      <c r="SLX116" s="89"/>
      <c r="SLY116" s="89"/>
      <c r="SLZ116" s="89"/>
      <c r="SMA116" s="89"/>
      <c r="SMB116" s="89"/>
      <c r="SMC116" s="89"/>
      <c r="SMD116" s="89"/>
      <c r="SME116" s="89"/>
      <c r="SMF116" s="89"/>
      <c r="SMG116" s="94"/>
      <c r="SMH116" s="89"/>
      <c r="SMI116" s="89"/>
      <c r="SMJ116" s="89"/>
      <c r="SMK116" s="89"/>
      <c r="SML116" s="89"/>
      <c r="SMM116" s="89"/>
      <c r="SMN116" s="89"/>
      <c r="SMO116" s="89"/>
      <c r="SMP116" s="89"/>
      <c r="SMQ116" s="89"/>
      <c r="SMR116" s="89"/>
      <c r="SMS116" s="89"/>
      <c r="SMT116" s="89"/>
      <c r="SMU116" s="89"/>
      <c r="SMV116" s="89"/>
      <c r="SMW116" s="89"/>
      <c r="SMX116" s="89"/>
      <c r="SMY116" s="89"/>
      <c r="SMZ116" s="89"/>
      <c r="SNA116" s="89"/>
      <c r="SNB116" s="89"/>
      <c r="SNC116" s="89"/>
      <c r="SND116" s="89"/>
      <c r="SNE116" s="89"/>
      <c r="SNK116" s="89"/>
      <c r="SNL116" s="89"/>
      <c r="SNM116" s="89"/>
      <c r="SNN116" s="89"/>
      <c r="SNO116" s="89"/>
      <c r="SNP116" s="89"/>
      <c r="SNQ116" s="89"/>
      <c r="SNR116" s="89"/>
      <c r="SNS116" s="89"/>
      <c r="SNT116" s="89"/>
      <c r="SNU116" s="89"/>
      <c r="SNV116" s="89"/>
      <c r="SNW116" s="94"/>
      <c r="SNX116" s="89"/>
      <c r="SNY116" s="89"/>
      <c r="SNZ116" s="89"/>
      <c r="SOA116" s="89"/>
      <c r="SOB116" s="89"/>
      <c r="SOC116" s="94"/>
      <c r="SOD116" s="89"/>
      <c r="SOE116" s="89"/>
      <c r="SOF116" s="89"/>
      <c r="SOG116" s="89"/>
      <c r="SOH116" s="89"/>
      <c r="SOI116" s="89"/>
      <c r="SOJ116" s="89"/>
      <c r="SOK116" s="89"/>
      <c r="SOL116" s="89"/>
      <c r="SOM116" s="89"/>
      <c r="SON116" s="94"/>
      <c r="SOO116" s="89"/>
      <c r="SOP116" s="89"/>
      <c r="SOQ116" s="89"/>
      <c r="SOR116" s="89"/>
      <c r="SOS116" s="89"/>
      <c r="SOT116" s="89"/>
      <c r="SOU116" s="89"/>
      <c r="SOV116" s="89"/>
      <c r="SOW116" s="89"/>
      <c r="SOX116" s="89"/>
      <c r="SOY116" s="89"/>
      <c r="SOZ116" s="89"/>
      <c r="SPA116" s="89"/>
      <c r="SPB116" s="89"/>
      <c r="SPC116" s="89"/>
      <c r="SPD116" s="89"/>
      <c r="SPE116" s="89"/>
      <c r="SPF116" s="89"/>
      <c r="SPG116" s="89"/>
      <c r="SPH116" s="89"/>
      <c r="SPI116" s="89"/>
      <c r="SPJ116" s="89"/>
      <c r="SPK116" s="89"/>
      <c r="SPL116" s="89"/>
      <c r="SPR116" s="89"/>
      <c r="SPS116" s="89"/>
      <c r="SPT116" s="89"/>
      <c r="SPU116" s="89"/>
      <c r="SPV116" s="89"/>
      <c r="SPW116" s="89"/>
      <c r="SPX116" s="89"/>
      <c r="SPY116" s="89"/>
      <c r="SPZ116" s="89"/>
      <c r="SQA116" s="89"/>
      <c r="SQB116" s="89"/>
      <c r="SQC116" s="89"/>
      <c r="SQD116" s="94"/>
      <c r="SQE116" s="89"/>
      <c r="SQF116" s="89"/>
      <c r="SQG116" s="89"/>
      <c r="SQH116" s="89"/>
      <c r="SQI116" s="89"/>
      <c r="SQJ116" s="94"/>
      <c r="SQK116" s="89"/>
      <c r="SQL116" s="89"/>
      <c r="SQM116" s="89"/>
      <c r="SQN116" s="89"/>
      <c r="SQO116" s="89"/>
      <c r="SQP116" s="89"/>
      <c r="SQQ116" s="89"/>
      <c r="SQR116" s="89"/>
      <c r="SQS116" s="89"/>
      <c r="SQT116" s="89"/>
      <c r="SQU116" s="94"/>
      <c r="SQV116" s="89"/>
      <c r="SQW116" s="89"/>
      <c r="SQX116" s="89"/>
      <c r="SQY116" s="89"/>
      <c r="SQZ116" s="89"/>
      <c r="SRA116" s="89"/>
      <c r="SRB116" s="89"/>
      <c r="SRC116" s="89"/>
      <c r="SRD116" s="89"/>
      <c r="SRE116" s="89"/>
      <c r="SRF116" s="89"/>
      <c r="SRG116" s="89"/>
      <c r="SRH116" s="89"/>
      <c r="SRI116" s="89"/>
      <c r="SRJ116" s="89"/>
      <c r="SRK116" s="89"/>
      <c r="SRL116" s="89"/>
      <c r="SRM116" s="89"/>
      <c r="SRN116" s="89"/>
      <c r="SRO116" s="89"/>
      <c r="SRP116" s="89"/>
      <c r="SRQ116" s="89"/>
      <c r="SRR116" s="89"/>
      <c r="SRS116" s="89"/>
      <c r="SRY116" s="89"/>
      <c r="SRZ116" s="89"/>
      <c r="SSA116" s="89"/>
      <c r="SSB116" s="89"/>
      <c r="SSC116" s="89"/>
      <c r="SSD116" s="89"/>
      <c r="SSE116" s="89"/>
      <c r="SSF116" s="89"/>
      <c r="SSG116" s="89"/>
      <c r="SSH116" s="89"/>
      <c r="SSI116" s="89"/>
      <c r="SSJ116" s="89"/>
      <c r="SSK116" s="94"/>
      <c r="SSL116" s="89"/>
      <c r="SSM116" s="89"/>
      <c r="SSN116" s="89"/>
      <c r="SSO116" s="89"/>
      <c r="SSP116" s="89"/>
      <c r="SSQ116" s="94"/>
      <c r="SSR116" s="89"/>
      <c r="SSS116" s="89"/>
      <c r="SST116" s="89"/>
      <c r="SSU116" s="89"/>
      <c r="SSV116" s="89"/>
      <c r="SSW116" s="89"/>
      <c r="SSX116" s="89"/>
      <c r="SSY116" s="89"/>
      <c r="SSZ116" s="89"/>
      <c r="STA116" s="89"/>
      <c r="STB116" s="94"/>
      <c r="STC116" s="89"/>
      <c r="STD116" s="89"/>
      <c r="STE116" s="89"/>
      <c r="STF116" s="89"/>
      <c r="STG116" s="89"/>
      <c r="STH116" s="89"/>
      <c r="STI116" s="89"/>
      <c r="STJ116" s="89"/>
      <c r="STK116" s="89"/>
      <c r="STL116" s="89"/>
      <c r="STM116" s="89"/>
      <c r="STN116" s="89"/>
      <c r="STO116" s="89"/>
      <c r="STP116" s="89"/>
      <c r="STQ116" s="89"/>
      <c r="STR116" s="89"/>
      <c r="STS116" s="89"/>
      <c r="STT116" s="89"/>
      <c r="STU116" s="89"/>
      <c r="STV116" s="89"/>
      <c r="STW116" s="89"/>
      <c r="STX116" s="89"/>
      <c r="STY116" s="89"/>
      <c r="STZ116" s="89"/>
      <c r="SUF116" s="89"/>
      <c r="SUG116" s="89"/>
      <c r="SUH116" s="89"/>
      <c r="SUI116" s="89"/>
      <c r="SUJ116" s="89"/>
      <c r="SUK116" s="89"/>
      <c r="SUL116" s="89"/>
      <c r="SUM116" s="89"/>
      <c r="SUN116" s="89"/>
      <c r="SUO116" s="89"/>
      <c r="SUP116" s="89"/>
      <c r="SUQ116" s="89"/>
      <c r="SUR116" s="94"/>
      <c r="SUS116" s="89"/>
      <c r="SUT116" s="89"/>
      <c r="SUU116" s="89"/>
      <c r="SUV116" s="89"/>
      <c r="SUW116" s="89"/>
      <c r="SUX116" s="94"/>
      <c r="SUY116" s="89"/>
      <c r="SUZ116" s="89"/>
      <c r="SVA116" s="89"/>
      <c r="SVB116" s="89"/>
      <c r="SVC116" s="89"/>
      <c r="SVD116" s="89"/>
      <c r="SVE116" s="89"/>
      <c r="SVF116" s="89"/>
      <c r="SVG116" s="89"/>
      <c r="SVH116" s="89"/>
      <c r="SVI116" s="94"/>
      <c r="SVJ116" s="89"/>
      <c r="SVK116" s="89"/>
      <c r="SVL116" s="89"/>
      <c r="SVM116" s="89"/>
      <c r="SVN116" s="89"/>
      <c r="SVO116" s="89"/>
      <c r="SVP116" s="89"/>
      <c r="SVQ116" s="89"/>
      <c r="SVR116" s="89"/>
      <c r="SVS116" s="89"/>
      <c r="SVT116" s="89"/>
      <c r="SVU116" s="89"/>
      <c r="SVV116" s="89"/>
      <c r="SVW116" s="89"/>
      <c r="SVX116" s="89"/>
      <c r="SVY116" s="89"/>
      <c r="SVZ116" s="89"/>
      <c r="SWA116" s="89"/>
      <c r="SWB116" s="89"/>
      <c r="SWC116" s="89"/>
      <c r="SWD116" s="89"/>
      <c r="SWE116" s="89"/>
      <c r="SWF116" s="89"/>
      <c r="SWG116" s="89"/>
      <c r="SWM116" s="89"/>
      <c r="SWN116" s="89"/>
      <c r="SWO116" s="89"/>
      <c r="SWP116" s="89"/>
      <c r="SWQ116" s="89"/>
      <c r="SWR116" s="89"/>
      <c r="SWS116" s="89"/>
      <c r="SWT116" s="89"/>
      <c r="SWU116" s="89"/>
      <c r="SWV116" s="89"/>
      <c r="SWW116" s="89"/>
      <c r="SWX116" s="89"/>
      <c r="SWY116" s="94"/>
      <c r="SWZ116" s="89"/>
      <c r="SXA116" s="89"/>
      <c r="SXB116" s="89"/>
      <c r="SXC116" s="89"/>
      <c r="SXD116" s="89"/>
      <c r="SXE116" s="94"/>
      <c r="SXF116" s="89"/>
      <c r="SXG116" s="89"/>
      <c r="SXH116" s="89"/>
      <c r="SXI116" s="89"/>
      <c r="SXJ116" s="89"/>
      <c r="SXK116" s="89"/>
      <c r="SXL116" s="89"/>
      <c r="SXM116" s="89"/>
      <c r="SXN116" s="89"/>
      <c r="SXO116" s="89"/>
      <c r="SXP116" s="94"/>
      <c r="SXQ116" s="89"/>
      <c r="SXR116" s="89"/>
      <c r="SXS116" s="89"/>
      <c r="SXT116" s="89"/>
      <c r="SXU116" s="89"/>
      <c r="SXV116" s="89"/>
      <c r="SXW116" s="89"/>
      <c r="SXX116" s="89"/>
      <c r="SXY116" s="89"/>
      <c r="SXZ116" s="89"/>
      <c r="SYA116" s="89"/>
      <c r="SYB116" s="89"/>
      <c r="SYC116" s="89"/>
      <c r="SYD116" s="89"/>
      <c r="SYE116" s="89"/>
      <c r="SYF116" s="89"/>
      <c r="SYG116" s="89"/>
      <c r="SYH116" s="89"/>
      <c r="SYI116" s="89"/>
      <c r="SYJ116" s="89"/>
      <c r="SYK116" s="89"/>
      <c r="SYL116" s="89"/>
      <c r="SYM116" s="89"/>
      <c r="SYN116" s="89"/>
      <c r="SYT116" s="89"/>
      <c r="SYU116" s="89"/>
      <c r="SYV116" s="89"/>
      <c r="SYW116" s="89"/>
      <c r="SYX116" s="89"/>
      <c r="SYY116" s="89"/>
      <c r="SYZ116" s="89"/>
      <c r="SZA116" s="89"/>
      <c r="SZB116" s="89"/>
      <c r="SZC116" s="89"/>
      <c r="SZD116" s="89"/>
      <c r="SZE116" s="89"/>
      <c r="SZF116" s="94"/>
      <c r="SZG116" s="89"/>
      <c r="SZH116" s="89"/>
      <c r="SZI116" s="89"/>
      <c r="SZJ116" s="89"/>
      <c r="SZK116" s="89"/>
      <c r="SZL116" s="94"/>
      <c r="SZM116" s="89"/>
      <c r="SZN116" s="89"/>
      <c r="SZO116" s="89"/>
      <c r="SZP116" s="89"/>
      <c r="SZQ116" s="89"/>
      <c r="SZR116" s="89"/>
      <c r="SZS116" s="89"/>
      <c r="SZT116" s="89"/>
      <c r="SZU116" s="89"/>
      <c r="SZV116" s="89"/>
      <c r="SZW116" s="94"/>
      <c r="SZX116" s="89"/>
      <c r="SZY116" s="89"/>
      <c r="SZZ116" s="89"/>
      <c r="TAA116" s="89"/>
      <c r="TAB116" s="89"/>
      <c r="TAC116" s="89"/>
      <c r="TAD116" s="89"/>
      <c r="TAE116" s="89"/>
      <c r="TAF116" s="89"/>
      <c r="TAG116" s="89"/>
      <c r="TAH116" s="89"/>
      <c r="TAI116" s="89"/>
      <c r="TAJ116" s="89"/>
      <c r="TAK116" s="89"/>
      <c r="TAL116" s="89"/>
      <c r="TAM116" s="89"/>
      <c r="TAN116" s="89"/>
      <c r="TAO116" s="89"/>
      <c r="TAP116" s="89"/>
      <c r="TAQ116" s="89"/>
      <c r="TAR116" s="89"/>
      <c r="TAS116" s="89"/>
      <c r="TAT116" s="89"/>
      <c r="TAU116" s="89"/>
      <c r="TBA116" s="89"/>
      <c r="TBB116" s="89"/>
      <c r="TBC116" s="89"/>
      <c r="TBD116" s="89"/>
      <c r="TBE116" s="89"/>
      <c r="TBF116" s="89"/>
      <c r="TBG116" s="89"/>
      <c r="TBH116" s="89"/>
      <c r="TBI116" s="89"/>
      <c r="TBJ116" s="89"/>
      <c r="TBK116" s="89"/>
      <c r="TBL116" s="89"/>
      <c r="TBM116" s="94"/>
      <c r="TBN116" s="89"/>
      <c r="TBO116" s="89"/>
      <c r="TBP116" s="89"/>
      <c r="TBQ116" s="89"/>
      <c r="TBR116" s="89"/>
      <c r="TBS116" s="94"/>
      <c r="TBT116" s="89"/>
      <c r="TBU116" s="89"/>
      <c r="TBV116" s="89"/>
      <c r="TBW116" s="89"/>
      <c r="TBX116" s="89"/>
      <c r="TBY116" s="89"/>
      <c r="TBZ116" s="89"/>
      <c r="TCA116" s="89"/>
      <c r="TCB116" s="89"/>
      <c r="TCC116" s="89"/>
      <c r="TCD116" s="94"/>
      <c r="TCE116" s="89"/>
      <c r="TCF116" s="89"/>
      <c r="TCG116" s="89"/>
      <c r="TCH116" s="89"/>
      <c r="TCI116" s="89"/>
      <c r="TCJ116" s="89"/>
      <c r="TCK116" s="89"/>
      <c r="TCL116" s="89"/>
      <c r="TCM116" s="89"/>
      <c r="TCN116" s="89"/>
      <c r="TCO116" s="89"/>
      <c r="TCP116" s="89"/>
      <c r="TCQ116" s="89"/>
      <c r="TCR116" s="89"/>
      <c r="TCS116" s="89"/>
      <c r="TCT116" s="89"/>
      <c r="TCU116" s="89"/>
      <c r="TCV116" s="89"/>
      <c r="TCW116" s="89"/>
      <c r="TCX116" s="89"/>
      <c r="TCY116" s="89"/>
      <c r="TCZ116" s="89"/>
      <c r="TDA116" s="89"/>
      <c r="TDB116" s="89"/>
      <c r="TDH116" s="89"/>
      <c r="TDI116" s="89"/>
      <c r="TDJ116" s="89"/>
      <c r="TDK116" s="89"/>
      <c r="TDL116" s="89"/>
      <c r="TDM116" s="89"/>
      <c r="TDN116" s="89"/>
      <c r="TDO116" s="89"/>
      <c r="TDP116" s="89"/>
      <c r="TDQ116" s="89"/>
      <c r="TDR116" s="89"/>
      <c r="TDS116" s="89"/>
      <c r="TDT116" s="94"/>
      <c r="TDU116" s="89"/>
      <c r="TDV116" s="89"/>
      <c r="TDW116" s="89"/>
      <c r="TDX116" s="89"/>
      <c r="TDY116" s="89"/>
      <c r="TDZ116" s="94"/>
      <c r="TEA116" s="89"/>
      <c r="TEB116" s="89"/>
      <c r="TEC116" s="89"/>
      <c r="TED116" s="89"/>
      <c r="TEE116" s="89"/>
      <c r="TEF116" s="89"/>
      <c r="TEG116" s="89"/>
      <c r="TEH116" s="89"/>
      <c r="TEI116" s="89"/>
      <c r="TEJ116" s="89"/>
      <c r="TEK116" s="94"/>
      <c r="TEL116" s="89"/>
      <c r="TEM116" s="89"/>
      <c r="TEN116" s="89"/>
      <c r="TEO116" s="89"/>
      <c r="TEP116" s="89"/>
      <c r="TEQ116" s="89"/>
      <c r="TER116" s="89"/>
      <c r="TES116" s="89"/>
      <c r="TET116" s="89"/>
      <c r="TEU116" s="89"/>
      <c r="TEV116" s="89"/>
      <c r="TEW116" s="89"/>
      <c r="TEX116" s="89"/>
      <c r="TEY116" s="89"/>
      <c r="TEZ116" s="89"/>
      <c r="TFA116" s="89"/>
      <c r="TFB116" s="89"/>
      <c r="TFC116" s="89"/>
      <c r="TFD116" s="89"/>
      <c r="TFE116" s="89"/>
      <c r="TFF116" s="89"/>
      <c r="TFG116" s="89"/>
      <c r="TFH116" s="89"/>
      <c r="TFI116" s="89"/>
      <c r="TFO116" s="89"/>
      <c r="TFP116" s="89"/>
      <c r="TFQ116" s="89"/>
      <c r="TFR116" s="89"/>
      <c r="TFS116" s="89"/>
      <c r="TFT116" s="89"/>
      <c r="TFU116" s="89"/>
      <c r="TFV116" s="89"/>
      <c r="TFW116" s="89"/>
      <c r="TFX116" s="89"/>
      <c r="TFY116" s="89"/>
      <c r="TFZ116" s="89"/>
      <c r="TGA116" s="94"/>
      <c r="TGB116" s="89"/>
      <c r="TGC116" s="89"/>
      <c r="TGD116" s="89"/>
      <c r="TGE116" s="89"/>
      <c r="TGF116" s="89"/>
      <c r="TGG116" s="94"/>
      <c r="TGH116" s="89"/>
      <c r="TGI116" s="89"/>
      <c r="TGJ116" s="89"/>
      <c r="TGK116" s="89"/>
      <c r="TGL116" s="89"/>
      <c r="TGM116" s="89"/>
      <c r="TGN116" s="89"/>
      <c r="TGO116" s="89"/>
      <c r="TGP116" s="89"/>
      <c r="TGQ116" s="89"/>
      <c r="TGR116" s="94"/>
      <c r="TGS116" s="89"/>
      <c r="TGT116" s="89"/>
      <c r="TGU116" s="89"/>
      <c r="TGV116" s="89"/>
      <c r="TGW116" s="89"/>
      <c r="TGX116" s="89"/>
      <c r="TGY116" s="89"/>
      <c r="TGZ116" s="89"/>
      <c r="THA116" s="89"/>
      <c r="THB116" s="89"/>
      <c r="THC116" s="89"/>
      <c r="THD116" s="89"/>
      <c r="THE116" s="89"/>
      <c r="THF116" s="89"/>
      <c r="THG116" s="89"/>
      <c r="THH116" s="89"/>
      <c r="THI116" s="89"/>
      <c r="THJ116" s="89"/>
      <c r="THK116" s="89"/>
      <c r="THL116" s="89"/>
      <c r="THM116" s="89"/>
      <c r="THN116" s="89"/>
      <c r="THO116" s="89"/>
      <c r="THP116" s="89"/>
      <c r="THV116" s="89"/>
      <c r="THW116" s="89"/>
      <c r="THX116" s="89"/>
      <c r="THY116" s="89"/>
      <c r="THZ116" s="89"/>
      <c r="TIA116" s="89"/>
      <c r="TIB116" s="89"/>
      <c r="TIC116" s="89"/>
      <c r="TID116" s="89"/>
      <c r="TIE116" s="89"/>
      <c r="TIF116" s="89"/>
      <c r="TIG116" s="89"/>
      <c r="TIH116" s="94"/>
      <c r="TII116" s="89"/>
      <c r="TIJ116" s="89"/>
      <c r="TIK116" s="89"/>
      <c r="TIL116" s="89"/>
      <c r="TIM116" s="89"/>
      <c r="TIN116" s="94"/>
      <c r="TIO116" s="89"/>
      <c r="TIP116" s="89"/>
      <c r="TIQ116" s="89"/>
      <c r="TIR116" s="89"/>
      <c r="TIS116" s="89"/>
      <c r="TIT116" s="89"/>
      <c r="TIU116" s="89"/>
      <c r="TIV116" s="89"/>
      <c r="TIW116" s="89"/>
      <c r="TIX116" s="89"/>
      <c r="TIY116" s="94"/>
      <c r="TIZ116" s="89"/>
      <c r="TJA116" s="89"/>
      <c r="TJB116" s="89"/>
      <c r="TJC116" s="89"/>
      <c r="TJD116" s="89"/>
      <c r="TJE116" s="89"/>
      <c r="TJF116" s="89"/>
      <c r="TJG116" s="89"/>
      <c r="TJH116" s="89"/>
      <c r="TJI116" s="89"/>
      <c r="TJJ116" s="89"/>
      <c r="TJK116" s="89"/>
      <c r="TJL116" s="89"/>
      <c r="TJM116" s="89"/>
      <c r="TJN116" s="89"/>
      <c r="TJO116" s="89"/>
      <c r="TJP116" s="89"/>
      <c r="TJQ116" s="89"/>
      <c r="TJR116" s="89"/>
      <c r="TJS116" s="89"/>
      <c r="TJT116" s="89"/>
      <c r="TJU116" s="89"/>
      <c r="TJV116" s="89"/>
      <c r="TJW116" s="89"/>
      <c r="TKC116" s="89"/>
      <c r="TKD116" s="89"/>
      <c r="TKE116" s="89"/>
      <c r="TKF116" s="89"/>
      <c r="TKG116" s="89"/>
      <c r="TKH116" s="89"/>
      <c r="TKI116" s="89"/>
      <c r="TKJ116" s="89"/>
      <c r="TKK116" s="89"/>
      <c r="TKL116" s="89"/>
      <c r="TKM116" s="89"/>
      <c r="TKN116" s="89"/>
      <c r="TKO116" s="94"/>
      <c r="TKP116" s="89"/>
      <c r="TKQ116" s="89"/>
      <c r="TKR116" s="89"/>
      <c r="TKS116" s="89"/>
      <c r="TKT116" s="89"/>
      <c r="TKU116" s="94"/>
      <c r="TKV116" s="89"/>
      <c r="TKW116" s="89"/>
      <c r="TKX116" s="89"/>
      <c r="TKY116" s="89"/>
      <c r="TKZ116" s="89"/>
      <c r="TLA116" s="89"/>
      <c r="TLB116" s="89"/>
      <c r="TLC116" s="89"/>
      <c r="TLD116" s="89"/>
      <c r="TLE116" s="89"/>
      <c r="TLF116" s="94"/>
      <c r="TLG116" s="89"/>
      <c r="TLH116" s="89"/>
      <c r="TLI116" s="89"/>
      <c r="TLJ116" s="89"/>
      <c r="TLK116" s="89"/>
      <c r="TLL116" s="89"/>
      <c r="TLM116" s="89"/>
      <c r="TLN116" s="89"/>
      <c r="TLO116" s="89"/>
      <c r="TLP116" s="89"/>
      <c r="TLQ116" s="89"/>
      <c r="TLR116" s="89"/>
      <c r="TLS116" s="89"/>
      <c r="TLT116" s="89"/>
      <c r="TLU116" s="89"/>
      <c r="TLV116" s="89"/>
      <c r="TLW116" s="89"/>
      <c r="TLX116" s="89"/>
      <c r="TLY116" s="89"/>
      <c r="TLZ116" s="89"/>
      <c r="TMA116" s="89"/>
      <c r="TMB116" s="89"/>
      <c r="TMC116" s="89"/>
      <c r="TMD116" s="89"/>
      <c r="TMJ116" s="89"/>
      <c r="TMK116" s="89"/>
      <c r="TML116" s="89"/>
      <c r="TMM116" s="89"/>
      <c r="TMN116" s="89"/>
      <c r="TMO116" s="89"/>
      <c r="TMP116" s="89"/>
      <c r="TMQ116" s="89"/>
      <c r="TMR116" s="89"/>
      <c r="TMS116" s="89"/>
      <c r="TMT116" s="89"/>
      <c r="TMU116" s="89"/>
      <c r="TMV116" s="94"/>
      <c r="TMW116" s="89"/>
      <c r="TMX116" s="89"/>
      <c r="TMY116" s="89"/>
      <c r="TMZ116" s="89"/>
      <c r="TNA116" s="89"/>
      <c r="TNB116" s="94"/>
      <c r="TNC116" s="89"/>
      <c r="TND116" s="89"/>
      <c r="TNE116" s="89"/>
      <c r="TNF116" s="89"/>
      <c r="TNG116" s="89"/>
      <c r="TNH116" s="89"/>
      <c r="TNI116" s="89"/>
      <c r="TNJ116" s="89"/>
      <c r="TNK116" s="89"/>
      <c r="TNL116" s="89"/>
      <c r="TNM116" s="94"/>
      <c r="TNN116" s="89"/>
      <c r="TNO116" s="89"/>
      <c r="TNP116" s="89"/>
      <c r="TNQ116" s="89"/>
      <c r="TNR116" s="89"/>
      <c r="TNS116" s="89"/>
      <c r="TNT116" s="89"/>
      <c r="TNU116" s="89"/>
      <c r="TNV116" s="89"/>
      <c r="TNW116" s="89"/>
      <c r="TNX116" s="89"/>
      <c r="TNY116" s="89"/>
      <c r="TNZ116" s="89"/>
      <c r="TOA116" s="89"/>
      <c r="TOB116" s="89"/>
      <c r="TOC116" s="89"/>
      <c r="TOD116" s="89"/>
      <c r="TOE116" s="89"/>
      <c r="TOF116" s="89"/>
      <c r="TOG116" s="89"/>
      <c r="TOH116" s="89"/>
      <c r="TOI116" s="89"/>
      <c r="TOJ116" s="89"/>
      <c r="TOK116" s="89"/>
      <c r="TOQ116" s="89"/>
      <c r="TOR116" s="89"/>
      <c r="TOS116" s="89"/>
      <c r="TOT116" s="89"/>
      <c r="TOU116" s="89"/>
      <c r="TOV116" s="89"/>
      <c r="TOW116" s="89"/>
      <c r="TOX116" s="89"/>
      <c r="TOY116" s="89"/>
      <c r="TOZ116" s="89"/>
      <c r="TPA116" s="89"/>
      <c r="TPB116" s="89"/>
      <c r="TPC116" s="94"/>
      <c r="TPD116" s="89"/>
      <c r="TPE116" s="89"/>
      <c r="TPF116" s="89"/>
      <c r="TPG116" s="89"/>
      <c r="TPH116" s="89"/>
      <c r="TPI116" s="94"/>
      <c r="TPJ116" s="89"/>
      <c r="TPK116" s="89"/>
      <c r="TPL116" s="89"/>
      <c r="TPM116" s="89"/>
      <c r="TPN116" s="89"/>
      <c r="TPO116" s="89"/>
      <c r="TPP116" s="89"/>
      <c r="TPQ116" s="89"/>
      <c r="TPR116" s="89"/>
      <c r="TPS116" s="89"/>
      <c r="TPT116" s="94"/>
      <c r="TPU116" s="89"/>
      <c r="TPV116" s="89"/>
      <c r="TPW116" s="89"/>
      <c r="TPX116" s="89"/>
      <c r="TPY116" s="89"/>
      <c r="TPZ116" s="89"/>
      <c r="TQA116" s="89"/>
      <c r="TQB116" s="89"/>
      <c r="TQC116" s="89"/>
      <c r="TQD116" s="89"/>
      <c r="TQE116" s="89"/>
      <c r="TQF116" s="89"/>
      <c r="TQG116" s="89"/>
      <c r="TQH116" s="89"/>
      <c r="TQI116" s="89"/>
      <c r="TQJ116" s="89"/>
      <c r="TQK116" s="89"/>
      <c r="TQL116" s="89"/>
      <c r="TQM116" s="89"/>
      <c r="TQN116" s="89"/>
      <c r="TQO116" s="89"/>
      <c r="TQP116" s="89"/>
      <c r="TQQ116" s="89"/>
      <c r="TQR116" s="89"/>
      <c r="TQX116" s="89"/>
      <c r="TQY116" s="89"/>
      <c r="TQZ116" s="89"/>
      <c r="TRA116" s="89"/>
      <c r="TRB116" s="89"/>
      <c r="TRC116" s="89"/>
      <c r="TRD116" s="89"/>
      <c r="TRE116" s="89"/>
      <c r="TRF116" s="89"/>
      <c r="TRG116" s="89"/>
      <c r="TRH116" s="89"/>
      <c r="TRI116" s="89"/>
      <c r="TRJ116" s="94"/>
      <c r="TRK116" s="89"/>
      <c r="TRL116" s="89"/>
      <c r="TRM116" s="89"/>
      <c r="TRN116" s="89"/>
      <c r="TRO116" s="89"/>
      <c r="TRP116" s="94"/>
      <c r="TRQ116" s="89"/>
      <c r="TRR116" s="89"/>
      <c r="TRS116" s="89"/>
      <c r="TRT116" s="89"/>
      <c r="TRU116" s="89"/>
      <c r="TRV116" s="89"/>
      <c r="TRW116" s="89"/>
      <c r="TRX116" s="89"/>
      <c r="TRY116" s="89"/>
      <c r="TRZ116" s="89"/>
      <c r="TSA116" s="94"/>
      <c r="TSB116" s="89"/>
      <c r="TSC116" s="89"/>
      <c r="TSD116" s="89"/>
      <c r="TSE116" s="89"/>
      <c r="TSF116" s="89"/>
      <c r="TSG116" s="89"/>
      <c r="TSH116" s="89"/>
      <c r="TSI116" s="89"/>
      <c r="TSJ116" s="89"/>
      <c r="TSK116" s="89"/>
      <c r="TSL116" s="89"/>
      <c r="TSM116" s="89"/>
      <c r="TSN116" s="89"/>
      <c r="TSO116" s="89"/>
      <c r="TSP116" s="89"/>
      <c r="TSQ116" s="89"/>
      <c r="TSR116" s="89"/>
      <c r="TSS116" s="89"/>
      <c r="TST116" s="89"/>
      <c r="TSU116" s="89"/>
      <c r="TSV116" s="89"/>
      <c r="TSW116" s="89"/>
      <c r="TSX116" s="89"/>
      <c r="TSY116" s="89"/>
      <c r="TTE116" s="89"/>
      <c r="TTF116" s="89"/>
      <c r="TTG116" s="89"/>
      <c r="TTH116" s="89"/>
      <c r="TTI116" s="89"/>
      <c r="TTJ116" s="89"/>
      <c r="TTK116" s="89"/>
      <c r="TTL116" s="89"/>
      <c r="TTM116" s="89"/>
      <c r="TTN116" s="89"/>
      <c r="TTO116" s="89"/>
      <c r="TTP116" s="89"/>
      <c r="TTQ116" s="94"/>
      <c r="TTR116" s="89"/>
      <c r="TTS116" s="89"/>
      <c r="TTT116" s="89"/>
      <c r="TTU116" s="89"/>
      <c r="TTV116" s="89"/>
      <c r="TTW116" s="94"/>
      <c r="TTX116" s="89"/>
      <c r="TTY116" s="89"/>
      <c r="TTZ116" s="89"/>
      <c r="TUA116" s="89"/>
      <c r="TUB116" s="89"/>
      <c r="TUC116" s="89"/>
      <c r="TUD116" s="89"/>
      <c r="TUE116" s="89"/>
      <c r="TUF116" s="89"/>
      <c r="TUG116" s="89"/>
      <c r="TUH116" s="94"/>
      <c r="TUI116" s="89"/>
      <c r="TUJ116" s="89"/>
      <c r="TUK116" s="89"/>
      <c r="TUL116" s="89"/>
      <c r="TUM116" s="89"/>
      <c r="TUN116" s="89"/>
      <c r="TUO116" s="89"/>
      <c r="TUP116" s="89"/>
      <c r="TUQ116" s="89"/>
      <c r="TUR116" s="89"/>
      <c r="TUS116" s="89"/>
      <c r="TUT116" s="89"/>
      <c r="TUU116" s="89"/>
      <c r="TUV116" s="89"/>
      <c r="TUW116" s="89"/>
      <c r="TUX116" s="89"/>
      <c r="TUY116" s="89"/>
      <c r="TUZ116" s="89"/>
      <c r="TVA116" s="89"/>
      <c r="TVB116" s="89"/>
      <c r="TVC116" s="89"/>
      <c r="TVD116" s="89"/>
      <c r="TVE116" s="89"/>
      <c r="TVF116" s="89"/>
      <c r="TVL116" s="89"/>
      <c r="TVM116" s="89"/>
      <c r="TVN116" s="89"/>
      <c r="TVO116" s="89"/>
      <c r="TVP116" s="89"/>
      <c r="TVQ116" s="89"/>
      <c r="TVR116" s="89"/>
      <c r="TVS116" s="89"/>
      <c r="TVT116" s="89"/>
      <c r="TVU116" s="89"/>
      <c r="TVV116" s="89"/>
      <c r="TVW116" s="89"/>
      <c r="TVX116" s="94"/>
      <c r="TVY116" s="89"/>
      <c r="TVZ116" s="89"/>
      <c r="TWA116" s="89"/>
      <c r="TWB116" s="89"/>
      <c r="TWC116" s="89"/>
      <c r="TWD116" s="94"/>
      <c r="TWE116" s="89"/>
      <c r="TWF116" s="89"/>
      <c r="TWG116" s="89"/>
      <c r="TWH116" s="89"/>
      <c r="TWI116" s="89"/>
      <c r="TWJ116" s="89"/>
      <c r="TWK116" s="89"/>
      <c r="TWL116" s="89"/>
      <c r="TWM116" s="89"/>
      <c r="TWN116" s="89"/>
      <c r="TWO116" s="94"/>
      <c r="TWP116" s="89"/>
      <c r="TWQ116" s="89"/>
      <c r="TWR116" s="89"/>
      <c r="TWS116" s="89"/>
      <c r="TWT116" s="89"/>
      <c r="TWU116" s="89"/>
      <c r="TWV116" s="89"/>
      <c r="TWW116" s="89"/>
      <c r="TWX116" s="89"/>
      <c r="TWY116" s="89"/>
      <c r="TWZ116" s="89"/>
      <c r="TXA116" s="89"/>
      <c r="TXB116" s="89"/>
      <c r="TXC116" s="89"/>
      <c r="TXD116" s="89"/>
      <c r="TXE116" s="89"/>
      <c r="TXF116" s="89"/>
      <c r="TXG116" s="89"/>
      <c r="TXH116" s="89"/>
      <c r="TXI116" s="89"/>
      <c r="TXJ116" s="89"/>
      <c r="TXK116" s="89"/>
      <c r="TXL116" s="89"/>
      <c r="TXM116" s="89"/>
      <c r="TXS116" s="89"/>
      <c r="TXT116" s="89"/>
      <c r="TXU116" s="89"/>
      <c r="TXV116" s="89"/>
      <c r="TXW116" s="89"/>
      <c r="TXX116" s="89"/>
      <c r="TXY116" s="89"/>
      <c r="TXZ116" s="89"/>
      <c r="TYA116" s="89"/>
      <c r="TYB116" s="89"/>
      <c r="TYC116" s="89"/>
      <c r="TYD116" s="89"/>
      <c r="TYE116" s="94"/>
      <c r="TYF116" s="89"/>
      <c r="TYG116" s="89"/>
      <c r="TYH116" s="89"/>
      <c r="TYI116" s="89"/>
      <c r="TYJ116" s="89"/>
      <c r="TYK116" s="94"/>
      <c r="TYL116" s="89"/>
      <c r="TYM116" s="89"/>
      <c r="TYN116" s="89"/>
      <c r="TYO116" s="89"/>
      <c r="TYP116" s="89"/>
      <c r="TYQ116" s="89"/>
      <c r="TYR116" s="89"/>
      <c r="TYS116" s="89"/>
      <c r="TYT116" s="89"/>
      <c r="TYU116" s="89"/>
      <c r="TYV116" s="94"/>
      <c r="TYW116" s="89"/>
      <c r="TYX116" s="89"/>
      <c r="TYY116" s="89"/>
      <c r="TYZ116" s="89"/>
      <c r="TZA116" s="89"/>
      <c r="TZB116" s="89"/>
      <c r="TZC116" s="89"/>
      <c r="TZD116" s="89"/>
      <c r="TZE116" s="89"/>
      <c r="TZF116" s="89"/>
      <c r="TZG116" s="89"/>
      <c r="TZH116" s="89"/>
      <c r="TZI116" s="89"/>
      <c r="TZJ116" s="89"/>
      <c r="TZK116" s="89"/>
      <c r="TZL116" s="89"/>
      <c r="TZM116" s="89"/>
      <c r="TZN116" s="89"/>
      <c r="TZO116" s="89"/>
      <c r="TZP116" s="89"/>
      <c r="TZQ116" s="89"/>
      <c r="TZR116" s="89"/>
      <c r="TZS116" s="89"/>
      <c r="TZT116" s="89"/>
      <c r="TZZ116" s="89"/>
      <c r="UAA116" s="89"/>
      <c r="UAB116" s="89"/>
      <c r="UAC116" s="89"/>
      <c r="UAD116" s="89"/>
      <c r="UAE116" s="89"/>
      <c r="UAF116" s="89"/>
      <c r="UAG116" s="89"/>
      <c r="UAH116" s="89"/>
      <c r="UAI116" s="89"/>
      <c r="UAJ116" s="89"/>
      <c r="UAK116" s="89"/>
      <c r="UAL116" s="94"/>
      <c r="UAM116" s="89"/>
      <c r="UAN116" s="89"/>
      <c r="UAO116" s="89"/>
      <c r="UAP116" s="89"/>
      <c r="UAQ116" s="89"/>
      <c r="UAR116" s="94"/>
      <c r="UAS116" s="89"/>
      <c r="UAT116" s="89"/>
      <c r="UAU116" s="89"/>
      <c r="UAV116" s="89"/>
      <c r="UAW116" s="89"/>
      <c r="UAX116" s="89"/>
      <c r="UAY116" s="89"/>
      <c r="UAZ116" s="89"/>
      <c r="UBA116" s="89"/>
      <c r="UBB116" s="89"/>
      <c r="UBC116" s="94"/>
      <c r="UBD116" s="89"/>
      <c r="UBE116" s="89"/>
      <c r="UBF116" s="89"/>
      <c r="UBG116" s="89"/>
      <c r="UBH116" s="89"/>
      <c r="UBI116" s="89"/>
      <c r="UBJ116" s="89"/>
      <c r="UBK116" s="89"/>
      <c r="UBL116" s="89"/>
      <c r="UBM116" s="89"/>
      <c r="UBN116" s="89"/>
      <c r="UBO116" s="89"/>
      <c r="UBP116" s="89"/>
      <c r="UBQ116" s="89"/>
      <c r="UBR116" s="89"/>
      <c r="UBS116" s="89"/>
      <c r="UBT116" s="89"/>
      <c r="UBU116" s="89"/>
      <c r="UBV116" s="89"/>
      <c r="UBW116" s="89"/>
      <c r="UBX116" s="89"/>
      <c r="UBY116" s="89"/>
      <c r="UBZ116" s="89"/>
      <c r="UCA116" s="89"/>
      <c r="UCG116" s="89"/>
      <c r="UCH116" s="89"/>
      <c r="UCI116" s="89"/>
      <c r="UCJ116" s="89"/>
      <c r="UCK116" s="89"/>
      <c r="UCL116" s="89"/>
      <c r="UCM116" s="89"/>
      <c r="UCN116" s="89"/>
      <c r="UCO116" s="89"/>
      <c r="UCP116" s="89"/>
      <c r="UCQ116" s="89"/>
      <c r="UCR116" s="89"/>
      <c r="UCS116" s="94"/>
      <c r="UCT116" s="89"/>
      <c r="UCU116" s="89"/>
      <c r="UCV116" s="89"/>
      <c r="UCW116" s="89"/>
      <c r="UCX116" s="89"/>
      <c r="UCY116" s="94"/>
      <c r="UCZ116" s="89"/>
      <c r="UDA116" s="89"/>
      <c r="UDB116" s="89"/>
      <c r="UDC116" s="89"/>
      <c r="UDD116" s="89"/>
      <c r="UDE116" s="89"/>
      <c r="UDF116" s="89"/>
      <c r="UDG116" s="89"/>
      <c r="UDH116" s="89"/>
      <c r="UDI116" s="89"/>
      <c r="UDJ116" s="94"/>
      <c r="UDK116" s="89"/>
      <c r="UDL116" s="89"/>
      <c r="UDM116" s="89"/>
      <c r="UDN116" s="89"/>
      <c r="UDO116" s="89"/>
      <c r="UDP116" s="89"/>
      <c r="UDQ116" s="89"/>
      <c r="UDR116" s="89"/>
      <c r="UDS116" s="89"/>
      <c r="UDT116" s="89"/>
      <c r="UDU116" s="89"/>
      <c r="UDV116" s="89"/>
      <c r="UDW116" s="89"/>
      <c r="UDX116" s="89"/>
      <c r="UDY116" s="89"/>
      <c r="UDZ116" s="89"/>
      <c r="UEA116" s="89"/>
      <c r="UEB116" s="89"/>
      <c r="UEC116" s="89"/>
      <c r="UED116" s="89"/>
      <c r="UEE116" s="89"/>
      <c r="UEF116" s="89"/>
      <c r="UEG116" s="89"/>
      <c r="UEH116" s="89"/>
      <c r="UEN116" s="89"/>
      <c r="UEO116" s="89"/>
      <c r="UEP116" s="89"/>
      <c r="UEQ116" s="89"/>
      <c r="UER116" s="89"/>
      <c r="UES116" s="89"/>
      <c r="UET116" s="89"/>
      <c r="UEU116" s="89"/>
      <c r="UEV116" s="89"/>
      <c r="UEW116" s="89"/>
      <c r="UEX116" s="89"/>
      <c r="UEY116" s="89"/>
      <c r="UEZ116" s="94"/>
      <c r="UFA116" s="89"/>
      <c r="UFB116" s="89"/>
      <c r="UFC116" s="89"/>
      <c r="UFD116" s="89"/>
      <c r="UFE116" s="89"/>
      <c r="UFF116" s="94"/>
      <c r="UFG116" s="89"/>
      <c r="UFH116" s="89"/>
      <c r="UFI116" s="89"/>
      <c r="UFJ116" s="89"/>
      <c r="UFK116" s="89"/>
      <c r="UFL116" s="89"/>
      <c r="UFM116" s="89"/>
      <c r="UFN116" s="89"/>
      <c r="UFO116" s="89"/>
      <c r="UFP116" s="89"/>
      <c r="UFQ116" s="94"/>
      <c r="UFR116" s="89"/>
      <c r="UFS116" s="89"/>
      <c r="UFT116" s="89"/>
      <c r="UFU116" s="89"/>
      <c r="UFV116" s="89"/>
      <c r="UFW116" s="89"/>
      <c r="UFX116" s="89"/>
      <c r="UFY116" s="89"/>
      <c r="UFZ116" s="89"/>
      <c r="UGA116" s="89"/>
      <c r="UGB116" s="89"/>
      <c r="UGC116" s="89"/>
      <c r="UGD116" s="89"/>
      <c r="UGE116" s="89"/>
      <c r="UGF116" s="89"/>
      <c r="UGG116" s="89"/>
      <c r="UGH116" s="89"/>
      <c r="UGI116" s="89"/>
      <c r="UGJ116" s="89"/>
      <c r="UGK116" s="89"/>
      <c r="UGL116" s="89"/>
      <c r="UGM116" s="89"/>
      <c r="UGN116" s="89"/>
      <c r="UGO116" s="89"/>
      <c r="UGU116" s="89"/>
      <c r="UGV116" s="89"/>
      <c r="UGW116" s="89"/>
      <c r="UGX116" s="89"/>
      <c r="UGY116" s="89"/>
      <c r="UGZ116" s="89"/>
      <c r="UHA116" s="89"/>
      <c r="UHB116" s="89"/>
      <c r="UHC116" s="89"/>
      <c r="UHD116" s="89"/>
      <c r="UHE116" s="89"/>
      <c r="UHF116" s="89"/>
      <c r="UHG116" s="94"/>
      <c r="UHH116" s="89"/>
      <c r="UHI116" s="89"/>
      <c r="UHJ116" s="89"/>
      <c r="UHK116" s="89"/>
      <c r="UHL116" s="89"/>
      <c r="UHM116" s="94"/>
      <c r="UHN116" s="89"/>
      <c r="UHO116" s="89"/>
      <c r="UHP116" s="89"/>
      <c r="UHQ116" s="89"/>
      <c r="UHR116" s="89"/>
      <c r="UHS116" s="89"/>
      <c r="UHT116" s="89"/>
      <c r="UHU116" s="89"/>
      <c r="UHV116" s="89"/>
      <c r="UHW116" s="89"/>
      <c r="UHX116" s="94"/>
      <c r="UHY116" s="89"/>
      <c r="UHZ116" s="89"/>
      <c r="UIA116" s="89"/>
      <c r="UIB116" s="89"/>
      <c r="UIC116" s="89"/>
      <c r="UID116" s="89"/>
      <c r="UIE116" s="89"/>
      <c r="UIF116" s="89"/>
      <c r="UIG116" s="89"/>
      <c r="UIH116" s="89"/>
      <c r="UII116" s="89"/>
      <c r="UIJ116" s="89"/>
      <c r="UIK116" s="89"/>
      <c r="UIL116" s="89"/>
      <c r="UIM116" s="89"/>
      <c r="UIN116" s="89"/>
      <c r="UIO116" s="89"/>
      <c r="UIP116" s="89"/>
      <c r="UIQ116" s="89"/>
      <c r="UIR116" s="89"/>
      <c r="UIS116" s="89"/>
      <c r="UIT116" s="89"/>
      <c r="UIU116" s="89"/>
      <c r="UIV116" s="89"/>
      <c r="UJB116" s="89"/>
      <c r="UJC116" s="89"/>
      <c r="UJD116" s="89"/>
      <c r="UJE116" s="89"/>
      <c r="UJF116" s="89"/>
      <c r="UJG116" s="89"/>
      <c r="UJH116" s="89"/>
      <c r="UJI116" s="89"/>
      <c r="UJJ116" s="89"/>
      <c r="UJK116" s="89"/>
      <c r="UJL116" s="89"/>
      <c r="UJM116" s="89"/>
      <c r="UJN116" s="94"/>
      <c r="UJO116" s="89"/>
      <c r="UJP116" s="89"/>
      <c r="UJQ116" s="89"/>
      <c r="UJR116" s="89"/>
      <c r="UJS116" s="89"/>
      <c r="UJT116" s="94"/>
      <c r="UJU116" s="89"/>
      <c r="UJV116" s="89"/>
      <c r="UJW116" s="89"/>
      <c r="UJX116" s="89"/>
      <c r="UJY116" s="89"/>
      <c r="UJZ116" s="89"/>
      <c r="UKA116" s="89"/>
      <c r="UKB116" s="89"/>
      <c r="UKC116" s="89"/>
      <c r="UKD116" s="89"/>
      <c r="UKE116" s="94"/>
      <c r="UKF116" s="89"/>
      <c r="UKG116" s="89"/>
      <c r="UKH116" s="89"/>
      <c r="UKI116" s="89"/>
      <c r="UKJ116" s="89"/>
      <c r="UKK116" s="89"/>
      <c r="UKL116" s="89"/>
      <c r="UKM116" s="89"/>
      <c r="UKN116" s="89"/>
      <c r="UKO116" s="89"/>
      <c r="UKP116" s="89"/>
      <c r="UKQ116" s="89"/>
      <c r="UKR116" s="89"/>
      <c r="UKS116" s="89"/>
      <c r="UKT116" s="89"/>
      <c r="UKU116" s="89"/>
      <c r="UKV116" s="89"/>
      <c r="UKW116" s="89"/>
      <c r="UKX116" s="89"/>
      <c r="UKY116" s="89"/>
      <c r="UKZ116" s="89"/>
      <c r="ULA116" s="89"/>
      <c r="ULB116" s="89"/>
      <c r="ULC116" s="89"/>
      <c r="ULI116" s="89"/>
      <c r="ULJ116" s="89"/>
      <c r="ULK116" s="89"/>
      <c r="ULL116" s="89"/>
      <c r="ULM116" s="89"/>
      <c r="ULN116" s="89"/>
      <c r="ULO116" s="89"/>
      <c r="ULP116" s="89"/>
      <c r="ULQ116" s="89"/>
      <c r="ULR116" s="89"/>
      <c r="ULS116" s="89"/>
      <c r="ULT116" s="89"/>
      <c r="ULU116" s="94"/>
      <c r="ULV116" s="89"/>
      <c r="ULW116" s="89"/>
      <c r="ULX116" s="89"/>
      <c r="ULY116" s="89"/>
      <c r="ULZ116" s="89"/>
      <c r="UMA116" s="94"/>
      <c r="UMB116" s="89"/>
      <c r="UMC116" s="89"/>
      <c r="UMD116" s="89"/>
      <c r="UME116" s="89"/>
      <c r="UMF116" s="89"/>
      <c r="UMG116" s="89"/>
      <c r="UMH116" s="89"/>
      <c r="UMI116" s="89"/>
      <c r="UMJ116" s="89"/>
      <c r="UMK116" s="89"/>
      <c r="UML116" s="94"/>
      <c r="UMM116" s="89"/>
      <c r="UMN116" s="89"/>
      <c r="UMO116" s="89"/>
      <c r="UMP116" s="89"/>
      <c r="UMQ116" s="89"/>
      <c r="UMR116" s="89"/>
      <c r="UMS116" s="89"/>
      <c r="UMT116" s="89"/>
      <c r="UMU116" s="89"/>
      <c r="UMV116" s="89"/>
      <c r="UMW116" s="89"/>
      <c r="UMX116" s="89"/>
      <c r="UMY116" s="89"/>
      <c r="UMZ116" s="89"/>
      <c r="UNA116" s="89"/>
      <c r="UNB116" s="89"/>
      <c r="UNC116" s="89"/>
      <c r="UND116" s="89"/>
      <c r="UNE116" s="89"/>
      <c r="UNF116" s="89"/>
      <c r="UNG116" s="89"/>
      <c r="UNH116" s="89"/>
      <c r="UNI116" s="89"/>
      <c r="UNJ116" s="89"/>
      <c r="UNP116" s="89"/>
      <c r="UNQ116" s="89"/>
      <c r="UNR116" s="89"/>
      <c r="UNS116" s="89"/>
      <c r="UNT116" s="89"/>
      <c r="UNU116" s="89"/>
      <c r="UNV116" s="89"/>
      <c r="UNW116" s="89"/>
      <c r="UNX116" s="89"/>
      <c r="UNY116" s="89"/>
      <c r="UNZ116" s="89"/>
      <c r="UOA116" s="89"/>
      <c r="UOB116" s="94"/>
      <c r="UOC116" s="89"/>
      <c r="UOD116" s="89"/>
      <c r="UOE116" s="89"/>
      <c r="UOF116" s="89"/>
      <c r="UOG116" s="89"/>
      <c r="UOH116" s="94"/>
      <c r="UOI116" s="89"/>
      <c r="UOJ116" s="89"/>
      <c r="UOK116" s="89"/>
      <c r="UOL116" s="89"/>
      <c r="UOM116" s="89"/>
      <c r="UON116" s="89"/>
      <c r="UOO116" s="89"/>
      <c r="UOP116" s="89"/>
      <c r="UOQ116" s="89"/>
      <c r="UOR116" s="89"/>
      <c r="UOS116" s="94"/>
      <c r="UOT116" s="89"/>
      <c r="UOU116" s="89"/>
      <c r="UOV116" s="89"/>
      <c r="UOW116" s="89"/>
      <c r="UOX116" s="89"/>
      <c r="UOY116" s="89"/>
      <c r="UOZ116" s="89"/>
      <c r="UPA116" s="89"/>
      <c r="UPB116" s="89"/>
      <c r="UPC116" s="89"/>
      <c r="UPD116" s="89"/>
      <c r="UPE116" s="89"/>
      <c r="UPF116" s="89"/>
      <c r="UPG116" s="89"/>
      <c r="UPH116" s="89"/>
      <c r="UPI116" s="89"/>
      <c r="UPJ116" s="89"/>
      <c r="UPK116" s="89"/>
      <c r="UPL116" s="89"/>
      <c r="UPM116" s="89"/>
      <c r="UPN116" s="89"/>
      <c r="UPO116" s="89"/>
      <c r="UPP116" s="89"/>
      <c r="UPQ116" s="89"/>
      <c r="UPW116" s="89"/>
      <c r="UPX116" s="89"/>
      <c r="UPY116" s="89"/>
      <c r="UPZ116" s="89"/>
      <c r="UQA116" s="89"/>
      <c r="UQB116" s="89"/>
      <c r="UQC116" s="89"/>
      <c r="UQD116" s="89"/>
      <c r="UQE116" s="89"/>
      <c r="UQF116" s="89"/>
      <c r="UQG116" s="89"/>
      <c r="UQH116" s="89"/>
      <c r="UQI116" s="94"/>
      <c r="UQJ116" s="89"/>
      <c r="UQK116" s="89"/>
      <c r="UQL116" s="89"/>
      <c r="UQM116" s="89"/>
      <c r="UQN116" s="89"/>
      <c r="UQO116" s="94"/>
      <c r="UQP116" s="89"/>
      <c r="UQQ116" s="89"/>
      <c r="UQR116" s="89"/>
      <c r="UQS116" s="89"/>
      <c r="UQT116" s="89"/>
      <c r="UQU116" s="89"/>
      <c r="UQV116" s="89"/>
      <c r="UQW116" s="89"/>
      <c r="UQX116" s="89"/>
      <c r="UQY116" s="89"/>
      <c r="UQZ116" s="94"/>
      <c r="URA116" s="89"/>
      <c r="URB116" s="89"/>
      <c r="URC116" s="89"/>
      <c r="URD116" s="89"/>
      <c r="URE116" s="89"/>
      <c r="URF116" s="89"/>
      <c r="URG116" s="89"/>
      <c r="URH116" s="89"/>
      <c r="URI116" s="89"/>
      <c r="URJ116" s="89"/>
      <c r="URK116" s="89"/>
      <c r="URL116" s="89"/>
      <c r="URM116" s="89"/>
      <c r="URN116" s="89"/>
      <c r="URO116" s="89"/>
      <c r="URP116" s="89"/>
      <c r="URQ116" s="89"/>
      <c r="URR116" s="89"/>
      <c r="URS116" s="89"/>
      <c r="URT116" s="89"/>
      <c r="URU116" s="89"/>
      <c r="URV116" s="89"/>
      <c r="URW116" s="89"/>
      <c r="URX116" s="89"/>
      <c r="USD116" s="89"/>
      <c r="USE116" s="89"/>
      <c r="USF116" s="89"/>
      <c r="USG116" s="89"/>
      <c r="USH116" s="89"/>
      <c r="USI116" s="89"/>
      <c r="USJ116" s="89"/>
      <c r="USK116" s="89"/>
      <c r="USL116" s="89"/>
      <c r="USM116" s="89"/>
      <c r="USN116" s="89"/>
      <c r="USO116" s="89"/>
      <c r="USP116" s="94"/>
      <c r="USQ116" s="89"/>
      <c r="USR116" s="89"/>
      <c r="USS116" s="89"/>
      <c r="UST116" s="89"/>
      <c r="USU116" s="89"/>
      <c r="USV116" s="94"/>
      <c r="USW116" s="89"/>
      <c r="USX116" s="89"/>
      <c r="USY116" s="89"/>
      <c r="USZ116" s="89"/>
      <c r="UTA116" s="89"/>
      <c r="UTB116" s="89"/>
      <c r="UTC116" s="89"/>
      <c r="UTD116" s="89"/>
      <c r="UTE116" s="89"/>
      <c r="UTF116" s="89"/>
      <c r="UTG116" s="94"/>
      <c r="UTH116" s="89"/>
      <c r="UTI116" s="89"/>
      <c r="UTJ116" s="89"/>
      <c r="UTK116" s="89"/>
      <c r="UTL116" s="89"/>
      <c r="UTM116" s="89"/>
      <c r="UTN116" s="89"/>
      <c r="UTO116" s="89"/>
      <c r="UTP116" s="89"/>
      <c r="UTQ116" s="89"/>
      <c r="UTR116" s="89"/>
      <c r="UTS116" s="89"/>
      <c r="UTT116" s="89"/>
      <c r="UTU116" s="89"/>
      <c r="UTV116" s="89"/>
      <c r="UTW116" s="89"/>
      <c r="UTX116" s="89"/>
      <c r="UTY116" s="89"/>
      <c r="UTZ116" s="89"/>
      <c r="UUA116" s="89"/>
      <c r="UUB116" s="89"/>
      <c r="UUC116" s="89"/>
      <c r="UUD116" s="89"/>
      <c r="UUE116" s="89"/>
      <c r="UUK116" s="89"/>
      <c r="UUL116" s="89"/>
      <c r="UUM116" s="89"/>
      <c r="UUN116" s="89"/>
      <c r="UUO116" s="89"/>
      <c r="UUP116" s="89"/>
      <c r="UUQ116" s="89"/>
      <c r="UUR116" s="89"/>
      <c r="UUS116" s="89"/>
      <c r="UUT116" s="89"/>
      <c r="UUU116" s="89"/>
      <c r="UUV116" s="89"/>
      <c r="UUW116" s="94"/>
      <c r="UUX116" s="89"/>
      <c r="UUY116" s="89"/>
      <c r="UUZ116" s="89"/>
      <c r="UVA116" s="89"/>
      <c r="UVB116" s="89"/>
      <c r="UVC116" s="94"/>
      <c r="UVD116" s="89"/>
      <c r="UVE116" s="89"/>
      <c r="UVF116" s="89"/>
      <c r="UVG116" s="89"/>
      <c r="UVH116" s="89"/>
      <c r="UVI116" s="89"/>
      <c r="UVJ116" s="89"/>
      <c r="UVK116" s="89"/>
      <c r="UVL116" s="89"/>
      <c r="UVM116" s="89"/>
      <c r="UVN116" s="94"/>
      <c r="UVO116" s="89"/>
      <c r="UVP116" s="89"/>
      <c r="UVQ116" s="89"/>
      <c r="UVR116" s="89"/>
      <c r="UVS116" s="89"/>
      <c r="UVT116" s="89"/>
      <c r="UVU116" s="89"/>
      <c r="UVV116" s="89"/>
      <c r="UVW116" s="89"/>
      <c r="UVX116" s="89"/>
      <c r="UVY116" s="89"/>
      <c r="UVZ116" s="89"/>
      <c r="UWA116" s="89"/>
      <c r="UWB116" s="89"/>
      <c r="UWC116" s="89"/>
      <c r="UWD116" s="89"/>
      <c r="UWE116" s="89"/>
      <c r="UWF116" s="89"/>
      <c r="UWG116" s="89"/>
      <c r="UWH116" s="89"/>
      <c r="UWI116" s="89"/>
      <c r="UWJ116" s="89"/>
      <c r="UWK116" s="89"/>
      <c r="UWL116" s="89"/>
      <c r="UWR116" s="89"/>
      <c r="UWS116" s="89"/>
      <c r="UWT116" s="89"/>
      <c r="UWU116" s="89"/>
      <c r="UWV116" s="89"/>
      <c r="UWW116" s="89"/>
      <c r="UWX116" s="89"/>
      <c r="UWY116" s="89"/>
      <c r="UWZ116" s="89"/>
      <c r="UXA116" s="89"/>
      <c r="UXB116" s="89"/>
      <c r="UXC116" s="89"/>
      <c r="UXD116" s="94"/>
      <c r="UXE116" s="89"/>
      <c r="UXF116" s="89"/>
      <c r="UXG116" s="89"/>
      <c r="UXH116" s="89"/>
      <c r="UXI116" s="89"/>
      <c r="UXJ116" s="94"/>
      <c r="UXK116" s="89"/>
      <c r="UXL116" s="89"/>
      <c r="UXM116" s="89"/>
      <c r="UXN116" s="89"/>
      <c r="UXO116" s="89"/>
      <c r="UXP116" s="89"/>
      <c r="UXQ116" s="89"/>
      <c r="UXR116" s="89"/>
      <c r="UXS116" s="89"/>
      <c r="UXT116" s="89"/>
      <c r="UXU116" s="94"/>
      <c r="UXV116" s="89"/>
      <c r="UXW116" s="89"/>
      <c r="UXX116" s="89"/>
      <c r="UXY116" s="89"/>
      <c r="UXZ116" s="89"/>
      <c r="UYA116" s="89"/>
      <c r="UYB116" s="89"/>
      <c r="UYC116" s="89"/>
      <c r="UYD116" s="89"/>
      <c r="UYE116" s="89"/>
      <c r="UYF116" s="89"/>
      <c r="UYG116" s="89"/>
      <c r="UYH116" s="89"/>
      <c r="UYI116" s="89"/>
      <c r="UYJ116" s="89"/>
      <c r="UYK116" s="89"/>
      <c r="UYL116" s="89"/>
      <c r="UYM116" s="89"/>
      <c r="UYN116" s="89"/>
      <c r="UYO116" s="89"/>
      <c r="UYP116" s="89"/>
      <c r="UYQ116" s="89"/>
      <c r="UYR116" s="89"/>
      <c r="UYS116" s="89"/>
      <c r="UYY116" s="89"/>
      <c r="UYZ116" s="89"/>
      <c r="UZA116" s="89"/>
      <c r="UZB116" s="89"/>
      <c r="UZC116" s="89"/>
      <c r="UZD116" s="89"/>
      <c r="UZE116" s="89"/>
      <c r="UZF116" s="89"/>
      <c r="UZG116" s="89"/>
      <c r="UZH116" s="89"/>
      <c r="UZI116" s="89"/>
      <c r="UZJ116" s="89"/>
      <c r="UZK116" s="94"/>
      <c r="UZL116" s="89"/>
      <c r="UZM116" s="89"/>
      <c r="UZN116" s="89"/>
      <c r="UZO116" s="89"/>
      <c r="UZP116" s="89"/>
      <c r="UZQ116" s="94"/>
      <c r="UZR116" s="89"/>
      <c r="UZS116" s="89"/>
      <c r="UZT116" s="89"/>
      <c r="UZU116" s="89"/>
      <c r="UZV116" s="89"/>
      <c r="UZW116" s="89"/>
      <c r="UZX116" s="89"/>
      <c r="UZY116" s="89"/>
      <c r="UZZ116" s="89"/>
      <c r="VAA116" s="89"/>
      <c r="VAB116" s="94"/>
      <c r="VAC116" s="89"/>
      <c r="VAD116" s="89"/>
      <c r="VAE116" s="89"/>
      <c r="VAF116" s="89"/>
      <c r="VAG116" s="89"/>
      <c r="VAH116" s="89"/>
      <c r="VAI116" s="89"/>
      <c r="VAJ116" s="89"/>
      <c r="VAK116" s="89"/>
      <c r="VAL116" s="89"/>
      <c r="VAM116" s="89"/>
      <c r="VAN116" s="89"/>
      <c r="VAO116" s="89"/>
      <c r="VAP116" s="89"/>
      <c r="VAQ116" s="89"/>
      <c r="VAR116" s="89"/>
      <c r="VAS116" s="89"/>
      <c r="VAT116" s="89"/>
      <c r="VAU116" s="89"/>
      <c r="VAV116" s="89"/>
      <c r="VAW116" s="89"/>
      <c r="VAX116" s="89"/>
      <c r="VAY116" s="89"/>
      <c r="VAZ116" s="89"/>
      <c r="VBF116" s="89"/>
      <c r="VBG116" s="89"/>
      <c r="VBH116" s="89"/>
      <c r="VBI116" s="89"/>
      <c r="VBJ116" s="89"/>
      <c r="VBK116" s="89"/>
      <c r="VBL116" s="89"/>
      <c r="VBM116" s="89"/>
      <c r="VBN116" s="89"/>
      <c r="VBO116" s="89"/>
      <c r="VBP116" s="89"/>
      <c r="VBQ116" s="89"/>
      <c r="VBR116" s="94"/>
      <c r="VBS116" s="89"/>
      <c r="VBT116" s="89"/>
      <c r="VBU116" s="89"/>
      <c r="VBV116" s="89"/>
      <c r="VBW116" s="89"/>
      <c r="VBX116" s="94"/>
      <c r="VBY116" s="89"/>
      <c r="VBZ116" s="89"/>
      <c r="VCA116" s="89"/>
      <c r="VCB116" s="89"/>
      <c r="VCC116" s="89"/>
      <c r="VCD116" s="89"/>
      <c r="VCE116" s="89"/>
      <c r="VCF116" s="89"/>
      <c r="VCG116" s="89"/>
      <c r="VCH116" s="89"/>
      <c r="VCI116" s="94"/>
      <c r="VCJ116" s="89"/>
      <c r="VCK116" s="89"/>
      <c r="VCL116" s="89"/>
      <c r="VCM116" s="89"/>
      <c r="VCN116" s="89"/>
      <c r="VCO116" s="89"/>
      <c r="VCP116" s="89"/>
      <c r="VCQ116" s="89"/>
      <c r="VCR116" s="89"/>
      <c r="VCS116" s="89"/>
      <c r="VCT116" s="89"/>
      <c r="VCU116" s="89"/>
      <c r="VCV116" s="89"/>
      <c r="VCW116" s="89"/>
      <c r="VCX116" s="89"/>
      <c r="VCY116" s="89"/>
      <c r="VCZ116" s="89"/>
      <c r="VDA116" s="89"/>
      <c r="VDB116" s="89"/>
      <c r="VDC116" s="89"/>
      <c r="VDD116" s="89"/>
      <c r="VDE116" s="89"/>
      <c r="VDF116" s="89"/>
      <c r="VDG116" s="89"/>
      <c r="VDM116" s="89"/>
      <c r="VDN116" s="89"/>
      <c r="VDO116" s="89"/>
      <c r="VDP116" s="89"/>
      <c r="VDQ116" s="89"/>
      <c r="VDR116" s="89"/>
      <c r="VDS116" s="89"/>
      <c r="VDT116" s="89"/>
      <c r="VDU116" s="89"/>
      <c r="VDV116" s="89"/>
      <c r="VDW116" s="89"/>
      <c r="VDX116" s="89"/>
      <c r="VDY116" s="94"/>
      <c r="VDZ116" s="89"/>
      <c r="VEA116" s="89"/>
      <c r="VEB116" s="89"/>
      <c r="VEC116" s="89"/>
      <c r="VED116" s="89"/>
      <c r="VEE116" s="94"/>
      <c r="VEF116" s="89"/>
      <c r="VEG116" s="89"/>
      <c r="VEH116" s="89"/>
      <c r="VEI116" s="89"/>
      <c r="VEJ116" s="89"/>
      <c r="VEK116" s="89"/>
      <c r="VEL116" s="89"/>
      <c r="VEM116" s="89"/>
      <c r="VEN116" s="89"/>
      <c r="VEO116" s="89"/>
      <c r="VEP116" s="94"/>
      <c r="VEQ116" s="89"/>
      <c r="VER116" s="89"/>
      <c r="VES116" s="89"/>
      <c r="VET116" s="89"/>
      <c r="VEU116" s="89"/>
      <c r="VEV116" s="89"/>
      <c r="VEW116" s="89"/>
      <c r="VEX116" s="89"/>
      <c r="VEY116" s="89"/>
      <c r="VEZ116" s="89"/>
      <c r="VFA116" s="89"/>
      <c r="VFB116" s="89"/>
      <c r="VFC116" s="89"/>
      <c r="VFD116" s="89"/>
      <c r="VFE116" s="89"/>
      <c r="VFF116" s="89"/>
      <c r="VFG116" s="89"/>
      <c r="VFH116" s="89"/>
      <c r="VFI116" s="89"/>
      <c r="VFJ116" s="89"/>
      <c r="VFK116" s="89"/>
      <c r="VFL116" s="89"/>
      <c r="VFM116" s="89"/>
      <c r="VFN116" s="89"/>
      <c r="VFT116" s="89"/>
      <c r="VFU116" s="89"/>
      <c r="VFV116" s="89"/>
      <c r="VFW116" s="89"/>
      <c r="VFX116" s="89"/>
      <c r="VFY116" s="89"/>
      <c r="VFZ116" s="89"/>
      <c r="VGA116" s="89"/>
      <c r="VGB116" s="89"/>
      <c r="VGC116" s="89"/>
      <c r="VGD116" s="89"/>
      <c r="VGE116" s="89"/>
      <c r="VGF116" s="94"/>
      <c r="VGG116" s="89"/>
      <c r="VGH116" s="89"/>
      <c r="VGI116" s="89"/>
      <c r="VGJ116" s="89"/>
      <c r="VGK116" s="89"/>
      <c r="VGL116" s="94"/>
      <c r="VGM116" s="89"/>
      <c r="VGN116" s="89"/>
      <c r="VGO116" s="89"/>
      <c r="VGP116" s="89"/>
      <c r="VGQ116" s="89"/>
      <c r="VGR116" s="89"/>
      <c r="VGS116" s="89"/>
      <c r="VGT116" s="89"/>
      <c r="VGU116" s="89"/>
      <c r="VGV116" s="89"/>
      <c r="VGW116" s="94"/>
      <c r="VGX116" s="89"/>
      <c r="VGY116" s="89"/>
      <c r="VGZ116" s="89"/>
      <c r="VHA116" s="89"/>
      <c r="VHB116" s="89"/>
      <c r="VHC116" s="89"/>
      <c r="VHD116" s="89"/>
      <c r="VHE116" s="89"/>
      <c r="VHF116" s="89"/>
      <c r="VHG116" s="89"/>
      <c r="VHH116" s="89"/>
      <c r="VHI116" s="89"/>
      <c r="VHJ116" s="89"/>
      <c r="VHK116" s="89"/>
      <c r="VHL116" s="89"/>
      <c r="VHM116" s="89"/>
      <c r="VHN116" s="89"/>
      <c r="VHO116" s="89"/>
      <c r="VHP116" s="89"/>
      <c r="VHQ116" s="89"/>
      <c r="VHR116" s="89"/>
      <c r="VHS116" s="89"/>
      <c r="VHT116" s="89"/>
      <c r="VHU116" s="89"/>
      <c r="VIA116" s="89"/>
      <c r="VIB116" s="89"/>
      <c r="VIC116" s="89"/>
      <c r="VID116" s="89"/>
      <c r="VIE116" s="89"/>
      <c r="VIF116" s="89"/>
      <c r="VIG116" s="89"/>
      <c r="VIH116" s="89"/>
      <c r="VII116" s="89"/>
      <c r="VIJ116" s="89"/>
      <c r="VIK116" s="89"/>
      <c r="VIL116" s="89"/>
      <c r="VIM116" s="94"/>
      <c r="VIN116" s="89"/>
      <c r="VIO116" s="89"/>
      <c r="VIP116" s="89"/>
      <c r="VIQ116" s="89"/>
      <c r="VIR116" s="89"/>
      <c r="VIS116" s="94"/>
      <c r="VIT116" s="89"/>
      <c r="VIU116" s="89"/>
      <c r="VIV116" s="89"/>
      <c r="VIW116" s="89"/>
      <c r="VIX116" s="89"/>
      <c r="VIY116" s="89"/>
      <c r="VIZ116" s="89"/>
      <c r="VJA116" s="89"/>
      <c r="VJB116" s="89"/>
      <c r="VJC116" s="89"/>
      <c r="VJD116" s="94"/>
      <c r="VJE116" s="89"/>
      <c r="VJF116" s="89"/>
      <c r="VJG116" s="89"/>
      <c r="VJH116" s="89"/>
      <c r="VJI116" s="89"/>
      <c r="VJJ116" s="89"/>
      <c r="VJK116" s="89"/>
      <c r="VJL116" s="89"/>
      <c r="VJM116" s="89"/>
      <c r="VJN116" s="89"/>
      <c r="VJO116" s="89"/>
      <c r="VJP116" s="89"/>
      <c r="VJQ116" s="89"/>
      <c r="VJR116" s="89"/>
      <c r="VJS116" s="89"/>
      <c r="VJT116" s="89"/>
      <c r="VJU116" s="89"/>
      <c r="VJV116" s="89"/>
      <c r="VJW116" s="89"/>
      <c r="VJX116" s="89"/>
      <c r="VJY116" s="89"/>
      <c r="VJZ116" s="89"/>
      <c r="VKA116" s="89"/>
      <c r="VKB116" s="89"/>
      <c r="VKH116" s="89"/>
      <c r="VKI116" s="89"/>
      <c r="VKJ116" s="89"/>
      <c r="VKK116" s="89"/>
      <c r="VKL116" s="89"/>
      <c r="VKM116" s="89"/>
      <c r="VKN116" s="89"/>
      <c r="VKO116" s="89"/>
      <c r="VKP116" s="89"/>
      <c r="VKQ116" s="89"/>
      <c r="VKR116" s="89"/>
      <c r="VKS116" s="89"/>
      <c r="VKT116" s="94"/>
      <c r="VKU116" s="89"/>
      <c r="VKV116" s="89"/>
      <c r="VKW116" s="89"/>
      <c r="VKX116" s="89"/>
      <c r="VKY116" s="89"/>
      <c r="VKZ116" s="94"/>
      <c r="VLA116" s="89"/>
      <c r="VLB116" s="89"/>
      <c r="VLC116" s="89"/>
      <c r="VLD116" s="89"/>
      <c r="VLE116" s="89"/>
      <c r="VLF116" s="89"/>
      <c r="VLG116" s="89"/>
      <c r="VLH116" s="89"/>
      <c r="VLI116" s="89"/>
      <c r="VLJ116" s="89"/>
      <c r="VLK116" s="94"/>
      <c r="VLL116" s="89"/>
      <c r="VLM116" s="89"/>
      <c r="VLN116" s="89"/>
      <c r="VLO116" s="89"/>
      <c r="VLP116" s="89"/>
      <c r="VLQ116" s="89"/>
      <c r="VLR116" s="89"/>
      <c r="VLS116" s="89"/>
      <c r="VLT116" s="89"/>
      <c r="VLU116" s="89"/>
      <c r="VLV116" s="89"/>
      <c r="VLW116" s="89"/>
      <c r="VLX116" s="89"/>
      <c r="VLY116" s="89"/>
      <c r="VLZ116" s="89"/>
      <c r="VMA116" s="89"/>
      <c r="VMB116" s="89"/>
      <c r="VMC116" s="89"/>
      <c r="VMD116" s="89"/>
      <c r="VME116" s="89"/>
      <c r="VMF116" s="89"/>
      <c r="VMG116" s="89"/>
      <c r="VMH116" s="89"/>
      <c r="VMI116" s="89"/>
      <c r="VMO116" s="89"/>
      <c r="VMP116" s="89"/>
      <c r="VMQ116" s="89"/>
      <c r="VMR116" s="89"/>
      <c r="VMS116" s="89"/>
      <c r="VMT116" s="89"/>
      <c r="VMU116" s="89"/>
      <c r="VMV116" s="89"/>
      <c r="VMW116" s="89"/>
      <c r="VMX116" s="89"/>
      <c r="VMY116" s="89"/>
      <c r="VMZ116" s="89"/>
      <c r="VNA116" s="94"/>
      <c r="VNB116" s="89"/>
      <c r="VNC116" s="89"/>
      <c r="VND116" s="89"/>
      <c r="VNE116" s="89"/>
      <c r="VNF116" s="89"/>
      <c r="VNG116" s="94"/>
      <c r="VNH116" s="89"/>
      <c r="VNI116" s="89"/>
      <c r="VNJ116" s="89"/>
      <c r="VNK116" s="89"/>
      <c r="VNL116" s="89"/>
      <c r="VNM116" s="89"/>
      <c r="VNN116" s="89"/>
      <c r="VNO116" s="89"/>
      <c r="VNP116" s="89"/>
      <c r="VNQ116" s="89"/>
      <c r="VNR116" s="94"/>
      <c r="VNS116" s="89"/>
      <c r="VNT116" s="89"/>
      <c r="VNU116" s="89"/>
      <c r="VNV116" s="89"/>
      <c r="VNW116" s="89"/>
      <c r="VNX116" s="89"/>
      <c r="VNY116" s="89"/>
      <c r="VNZ116" s="89"/>
      <c r="VOA116" s="89"/>
      <c r="VOB116" s="89"/>
      <c r="VOC116" s="89"/>
      <c r="VOD116" s="89"/>
      <c r="VOE116" s="89"/>
      <c r="VOF116" s="89"/>
      <c r="VOG116" s="89"/>
      <c r="VOH116" s="89"/>
      <c r="VOI116" s="89"/>
      <c r="VOJ116" s="89"/>
      <c r="VOK116" s="89"/>
      <c r="VOL116" s="89"/>
      <c r="VOM116" s="89"/>
      <c r="VON116" s="89"/>
      <c r="VOO116" s="89"/>
      <c r="VOP116" s="89"/>
      <c r="VOV116" s="89"/>
      <c r="VOW116" s="89"/>
      <c r="VOX116" s="89"/>
      <c r="VOY116" s="89"/>
      <c r="VOZ116" s="89"/>
      <c r="VPA116" s="89"/>
      <c r="VPB116" s="89"/>
      <c r="VPC116" s="89"/>
      <c r="VPD116" s="89"/>
      <c r="VPE116" s="89"/>
      <c r="VPF116" s="89"/>
      <c r="VPG116" s="89"/>
      <c r="VPH116" s="94"/>
      <c r="VPI116" s="89"/>
      <c r="VPJ116" s="89"/>
      <c r="VPK116" s="89"/>
      <c r="VPL116" s="89"/>
      <c r="VPM116" s="89"/>
      <c r="VPN116" s="94"/>
      <c r="VPO116" s="89"/>
      <c r="VPP116" s="89"/>
      <c r="VPQ116" s="89"/>
      <c r="VPR116" s="89"/>
      <c r="VPS116" s="89"/>
      <c r="VPT116" s="89"/>
      <c r="VPU116" s="89"/>
      <c r="VPV116" s="89"/>
      <c r="VPW116" s="89"/>
      <c r="VPX116" s="89"/>
      <c r="VPY116" s="94"/>
      <c r="VPZ116" s="89"/>
      <c r="VQA116" s="89"/>
      <c r="VQB116" s="89"/>
      <c r="VQC116" s="89"/>
      <c r="VQD116" s="89"/>
      <c r="VQE116" s="89"/>
      <c r="VQF116" s="89"/>
      <c r="VQG116" s="89"/>
      <c r="VQH116" s="89"/>
      <c r="VQI116" s="89"/>
      <c r="VQJ116" s="89"/>
      <c r="VQK116" s="89"/>
      <c r="VQL116" s="89"/>
      <c r="VQM116" s="89"/>
      <c r="VQN116" s="89"/>
      <c r="VQO116" s="89"/>
      <c r="VQP116" s="89"/>
      <c r="VQQ116" s="89"/>
      <c r="VQR116" s="89"/>
      <c r="VQS116" s="89"/>
      <c r="VQT116" s="89"/>
      <c r="VQU116" s="89"/>
      <c r="VQV116" s="89"/>
      <c r="VQW116" s="89"/>
      <c r="VRC116" s="89"/>
      <c r="VRD116" s="89"/>
      <c r="VRE116" s="89"/>
      <c r="VRF116" s="89"/>
      <c r="VRG116" s="89"/>
      <c r="VRH116" s="89"/>
      <c r="VRI116" s="89"/>
      <c r="VRJ116" s="89"/>
      <c r="VRK116" s="89"/>
      <c r="VRL116" s="89"/>
      <c r="VRM116" s="89"/>
      <c r="VRN116" s="89"/>
      <c r="VRO116" s="94"/>
      <c r="VRP116" s="89"/>
      <c r="VRQ116" s="89"/>
      <c r="VRR116" s="89"/>
      <c r="VRS116" s="89"/>
      <c r="VRT116" s="89"/>
      <c r="VRU116" s="94"/>
      <c r="VRV116" s="89"/>
      <c r="VRW116" s="89"/>
      <c r="VRX116" s="89"/>
      <c r="VRY116" s="89"/>
      <c r="VRZ116" s="89"/>
      <c r="VSA116" s="89"/>
      <c r="VSB116" s="89"/>
      <c r="VSC116" s="89"/>
      <c r="VSD116" s="89"/>
      <c r="VSE116" s="89"/>
      <c r="VSF116" s="94"/>
      <c r="VSG116" s="89"/>
      <c r="VSH116" s="89"/>
      <c r="VSI116" s="89"/>
      <c r="VSJ116" s="89"/>
      <c r="VSK116" s="89"/>
      <c r="VSL116" s="89"/>
      <c r="VSM116" s="89"/>
      <c r="VSN116" s="89"/>
      <c r="VSO116" s="89"/>
      <c r="VSP116" s="89"/>
      <c r="VSQ116" s="89"/>
      <c r="VSR116" s="89"/>
      <c r="VSS116" s="89"/>
      <c r="VST116" s="89"/>
      <c r="VSU116" s="89"/>
      <c r="VSV116" s="89"/>
      <c r="VSW116" s="89"/>
      <c r="VSX116" s="89"/>
      <c r="VSY116" s="89"/>
      <c r="VSZ116" s="89"/>
      <c r="VTA116" s="89"/>
      <c r="VTB116" s="89"/>
      <c r="VTC116" s="89"/>
      <c r="VTD116" s="89"/>
      <c r="VTJ116" s="89"/>
      <c r="VTK116" s="89"/>
      <c r="VTL116" s="89"/>
      <c r="VTM116" s="89"/>
      <c r="VTN116" s="89"/>
      <c r="VTO116" s="89"/>
      <c r="VTP116" s="89"/>
      <c r="VTQ116" s="89"/>
      <c r="VTR116" s="89"/>
      <c r="VTS116" s="89"/>
      <c r="VTT116" s="89"/>
      <c r="VTU116" s="89"/>
      <c r="VTV116" s="94"/>
      <c r="VTW116" s="89"/>
      <c r="VTX116" s="89"/>
      <c r="VTY116" s="89"/>
      <c r="VTZ116" s="89"/>
      <c r="VUA116" s="89"/>
      <c r="VUB116" s="94"/>
      <c r="VUC116" s="89"/>
      <c r="VUD116" s="89"/>
      <c r="VUE116" s="89"/>
      <c r="VUF116" s="89"/>
      <c r="VUG116" s="89"/>
      <c r="VUH116" s="89"/>
      <c r="VUI116" s="89"/>
      <c r="VUJ116" s="89"/>
      <c r="VUK116" s="89"/>
      <c r="VUL116" s="89"/>
      <c r="VUM116" s="94"/>
      <c r="VUN116" s="89"/>
      <c r="VUO116" s="89"/>
      <c r="VUP116" s="89"/>
      <c r="VUQ116" s="89"/>
      <c r="VUR116" s="89"/>
      <c r="VUS116" s="89"/>
      <c r="VUT116" s="89"/>
      <c r="VUU116" s="89"/>
      <c r="VUV116" s="89"/>
      <c r="VUW116" s="89"/>
      <c r="VUX116" s="89"/>
      <c r="VUY116" s="89"/>
      <c r="VUZ116" s="89"/>
      <c r="VVA116" s="89"/>
      <c r="VVB116" s="89"/>
      <c r="VVC116" s="89"/>
      <c r="VVD116" s="89"/>
      <c r="VVE116" s="89"/>
      <c r="VVF116" s="89"/>
      <c r="VVG116" s="89"/>
      <c r="VVH116" s="89"/>
      <c r="VVI116" s="89"/>
      <c r="VVJ116" s="89"/>
      <c r="VVK116" s="89"/>
      <c r="VVQ116" s="89"/>
      <c r="VVR116" s="89"/>
      <c r="VVS116" s="89"/>
      <c r="VVT116" s="89"/>
      <c r="VVU116" s="89"/>
      <c r="VVV116" s="89"/>
      <c r="VVW116" s="89"/>
      <c r="VVX116" s="89"/>
      <c r="VVY116" s="89"/>
      <c r="VVZ116" s="89"/>
      <c r="VWA116" s="89"/>
      <c r="VWB116" s="89"/>
      <c r="VWC116" s="94"/>
      <c r="VWD116" s="89"/>
      <c r="VWE116" s="89"/>
      <c r="VWF116" s="89"/>
      <c r="VWG116" s="89"/>
      <c r="VWH116" s="89"/>
      <c r="VWI116" s="94"/>
      <c r="VWJ116" s="89"/>
      <c r="VWK116" s="89"/>
      <c r="VWL116" s="89"/>
      <c r="VWM116" s="89"/>
      <c r="VWN116" s="89"/>
      <c r="VWO116" s="89"/>
      <c r="VWP116" s="89"/>
      <c r="VWQ116" s="89"/>
      <c r="VWR116" s="89"/>
      <c r="VWS116" s="89"/>
      <c r="VWT116" s="94"/>
      <c r="VWU116" s="89"/>
      <c r="VWV116" s="89"/>
      <c r="VWW116" s="89"/>
      <c r="VWX116" s="89"/>
      <c r="VWY116" s="89"/>
      <c r="VWZ116" s="89"/>
      <c r="VXA116" s="89"/>
      <c r="VXB116" s="89"/>
      <c r="VXC116" s="89"/>
      <c r="VXD116" s="89"/>
      <c r="VXE116" s="89"/>
      <c r="VXF116" s="89"/>
      <c r="VXG116" s="89"/>
      <c r="VXH116" s="89"/>
      <c r="VXI116" s="89"/>
      <c r="VXJ116" s="89"/>
      <c r="VXK116" s="89"/>
      <c r="VXL116" s="89"/>
      <c r="VXM116" s="89"/>
      <c r="VXN116" s="89"/>
      <c r="VXO116" s="89"/>
      <c r="VXP116" s="89"/>
      <c r="VXQ116" s="89"/>
      <c r="VXR116" s="89"/>
      <c r="VXX116" s="89"/>
      <c r="VXY116" s="89"/>
      <c r="VXZ116" s="89"/>
      <c r="VYA116" s="89"/>
      <c r="VYB116" s="89"/>
      <c r="VYC116" s="89"/>
      <c r="VYD116" s="89"/>
      <c r="VYE116" s="89"/>
      <c r="VYF116" s="89"/>
      <c r="VYG116" s="89"/>
      <c r="VYH116" s="89"/>
      <c r="VYI116" s="89"/>
      <c r="VYJ116" s="94"/>
      <c r="VYK116" s="89"/>
      <c r="VYL116" s="89"/>
      <c r="VYM116" s="89"/>
      <c r="VYN116" s="89"/>
      <c r="VYO116" s="89"/>
      <c r="VYP116" s="94"/>
      <c r="VYQ116" s="89"/>
      <c r="VYR116" s="89"/>
      <c r="VYS116" s="89"/>
      <c r="VYT116" s="89"/>
      <c r="VYU116" s="89"/>
      <c r="VYV116" s="89"/>
      <c r="VYW116" s="89"/>
      <c r="VYX116" s="89"/>
      <c r="VYY116" s="89"/>
      <c r="VYZ116" s="89"/>
      <c r="VZA116" s="94"/>
      <c r="VZB116" s="89"/>
      <c r="VZC116" s="89"/>
      <c r="VZD116" s="89"/>
      <c r="VZE116" s="89"/>
      <c r="VZF116" s="89"/>
      <c r="VZG116" s="89"/>
      <c r="VZH116" s="89"/>
      <c r="VZI116" s="89"/>
      <c r="VZJ116" s="89"/>
      <c r="VZK116" s="89"/>
      <c r="VZL116" s="89"/>
      <c r="VZM116" s="89"/>
      <c r="VZN116" s="89"/>
      <c r="VZO116" s="89"/>
      <c r="VZP116" s="89"/>
      <c r="VZQ116" s="89"/>
      <c r="VZR116" s="89"/>
      <c r="VZS116" s="89"/>
      <c r="VZT116" s="89"/>
      <c r="VZU116" s="89"/>
      <c r="VZV116" s="89"/>
      <c r="VZW116" s="89"/>
      <c r="VZX116" s="89"/>
      <c r="VZY116" s="89"/>
      <c r="WAE116" s="89"/>
      <c r="WAF116" s="89"/>
      <c r="WAG116" s="89"/>
      <c r="WAH116" s="89"/>
      <c r="WAI116" s="89"/>
      <c r="WAJ116" s="89"/>
      <c r="WAK116" s="89"/>
      <c r="WAL116" s="89"/>
      <c r="WAM116" s="89"/>
      <c r="WAN116" s="89"/>
      <c r="WAO116" s="89"/>
      <c r="WAP116" s="89"/>
      <c r="WAQ116" s="94"/>
      <c r="WAR116" s="89"/>
      <c r="WAS116" s="89"/>
      <c r="WAT116" s="89"/>
      <c r="WAU116" s="89"/>
      <c r="WAV116" s="89"/>
      <c r="WAW116" s="94"/>
      <c r="WAX116" s="89"/>
      <c r="WAY116" s="89"/>
      <c r="WAZ116" s="89"/>
      <c r="WBA116" s="89"/>
      <c r="WBB116" s="89"/>
      <c r="WBC116" s="89"/>
      <c r="WBD116" s="89"/>
      <c r="WBE116" s="89"/>
      <c r="WBF116" s="89"/>
      <c r="WBG116" s="89"/>
      <c r="WBH116" s="94"/>
      <c r="WBI116" s="89"/>
      <c r="WBJ116" s="89"/>
      <c r="WBK116" s="89"/>
      <c r="WBL116" s="89"/>
      <c r="WBM116" s="89"/>
      <c r="WBN116" s="89"/>
      <c r="WBO116" s="89"/>
      <c r="WBP116" s="89"/>
      <c r="WBQ116" s="89"/>
      <c r="WBR116" s="89"/>
      <c r="WBS116" s="89"/>
      <c r="WBT116" s="89"/>
      <c r="WBU116" s="89"/>
      <c r="WBV116" s="89"/>
      <c r="WBW116" s="89"/>
      <c r="WBX116" s="89"/>
      <c r="WBY116" s="89"/>
      <c r="WBZ116" s="89"/>
      <c r="WCA116" s="89"/>
      <c r="WCB116" s="89"/>
      <c r="WCC116" s="89"/>
      <c r="WCD116" s="89"/>
      <c r="WCE116" s="89"/>
      <c r="WCF116" s="89"/>
      <c r="WCL116" s="89"/>
      <c r="WCM116" s="89"/>
      <c r="WCN116" s="89"/>
      <c r="WCO116" s="89"/>
      <c r="WCP116" s="89"/>
      <c r="WCQ116" s="89"/>
      <c r="WCR116" s="89"/>
      <c r="WCS116" s="89"/>
      <c r="WCT116" s="89"/>
      <c r="WCU116" s="89"/>
      <c r="WCV116" s="89"/>
      <c r="WCW116" s="89"/>
      <c r="WCX116" s="94"/>
      <c r="WCY116" s="89"/>
      <c r="WCZ116" s="89"/>
      <c r="WDA116" s="89"/>
      <c r="WDB116" s="89"/>
      <c r="WDC116" s="89"/>
      <c r="WDD116" s="94"/>
      <c r="WDE116" s="89"/>
      <c r="WDF116" s="89"/>
      <c r="WDG116" s="89"/>
      <c r="WDH116" s="89"/>
      <c r="WDI116" s="89"/>
      <c r="WDJ116" s="89"/>
      <c r="WDK116" s="89"/>
      <c r="WDL116" s="89"/>
      <c r="WDM116" s="89"/>
      <c r="WDN116" s="89"/>
      <c r="WDO116" s="94"/>
      <c r="WDP116" s="89"/>
      <c r="WDQ116" s="89"/>
      <c r="WDR116" s="89"/>
      <c r="WDS116" s="89"/>
      <c r="WDT116" s="89"/>
      <c r="WDU116" s="89"/>
      <c r="WDV116" s="89"/>
      <c r="WDW116" s="89"/>
      <c r="WDX116" s="89"/>
      <c r="WDY116" s="89"/>
      <c r="WDZ116" s="89"/>
      <c r="WEA116" s="89"/>
      <c r="WEB116" s="89"/>
      <c r="WEC116" s="89"/>
      <c r="WED116" s="89"/>
      <c r="WEE116" s="89"/>
      <c r="WEF116" s="89"/>
      <c r="WEG116" s="89"/>
      <c r="WEH116" s="89"/>
      <c r="WEI116" s="89"/>
      <c r="WEJ116" s="89"/>
      <c r="WEK116" s="89"/>
      <c r="WEL116" s="89"/>
      <c r="WEM116" s="89"/>
      <c r="WES116" s="89"/>
      <c r="WET116" s="89"/>
      <c r="WEU116" s="89"/>
      <c r="WEV116" s="89"/>
      <c r="WEW116" s="89"/>
      <c r="WEX116" s="89"/>
      <c r="WEY116" s="89"/>
      <c r="WEZ116" s="89"/>
      <c r="WFA116" s="89"/>
      <c r="WFB116" s="89"/>
      <c r="WFC116" s="89"/>
      <c r="WFD116" s="89"/>
      <c r="WFE116" s="94"/>
      <c r="WFF116" s="89"/>
      <c r="WFG116" s="89"/>
      <c r="WFH116" s="89"/>
      <c r="WFI116" s="89"/>
      <c r="WFJ116" s="89"/>
      <c r="WFK116" s="94"/>
      <c r="WFL116" s="89"/>
      <c r="WFM116" s="89"/>
      <c r="WFN116" s="89"/>
      <c r="WFO116" s="89"/>
      <c r="WFP116" s="89"/>
      <c r="WFQ116" s="89"/>
      <c r="WFR116" s="89"/>
      <c r="WFS116" s="89"/>
      <c r="WFT116" s="89"/>
      <c r="WFU116" s="89"/>
      <c r="WFV116" s="94"/>
      <c r="WFW116" s="89"/>
      <c r="WFX116" s="89"/>
      <c r="WFY116" s="89"/>
      <c r="WFZ116" s="89"/>
      <c r="WGA116" s="89"/>
      <c r="WGB116" s="89"/>
      <c r="WGC116" s="89"/>
      <c r="WGD116" s="89"/>
      <c r="WGE116" s="89"/>
      <c r="WGF116" s="89"/>
      <c r="WGG116" s="89"/>
      <c r="WGH116" s="89"/>
      <c r="WGI116" s="89"/>
      <c r="WGJ116" s="89"/>
      <c r="WGK116" s="89"/>
      <c r="WGL116" s="89"/>
      <c r="WGM116" s="89"/>
      <c r="WGN116" s="89"/>
      <c r="WGO116" s="89"/>
      <c r="WGP116" s="89"/>
      <c r="WGQ116" s="89"/>
      <c r="WGR116" s="89"/>
      <c r="WGS116" s="89"/>
      <c r="WGT116" s="89"/>
      <c r="WGZ116" s="89"/>
      <c r="WHA116" s="89"/>
      <c r="WHB116" s="89"/>
      <c r="WHC116" s="89"/>
      <c r="WHD116" s="89"/>
      <c r="WHE116" s="89"/>
      <c r="WHF116" s="89"/>
      <c r="WHG116" s="89"/>
      <c r="WHH116" s="89"/>
      <c r="WHI116" s="89"/>
      <c r="WHJ116" s="89"/>
      <c r="WHK116" s="89"/>
      <c r="WHL116" s="94"/>
      <c r="WHM116" s="89"/>
      <c r="WHN116" s="89"/>
      <c r="WHO116" s="89"/>
      <c r="WHP116" s="89"/>
      <c r="WHQ116" s="89"/>
      <c r="WHR116" s="94"/>
      <c r="WHS116" s="89"/>
      <c r="WHT116" s="89"/>
      <c r="WHU116" s="89"/>
      <c r="WHV116" s="89"/>
      <c r="WHW116" s="89"/>
      <c r="WHX116" s="89"/>
      <c r="WHY116" s="89"/>
      <c r="WHZ116" s="89"/>
      <c r="WIA116" s="89"/>
      <c r="WIB116" s="89"/>
      <c r="WIC116" s="94"/>
      <c r="WID116" s="89"/>
      <c r="WIE116" s="89"/>
      <c r="WIF116" s="89"/>
      <c r="WIG116" s="89"/>
      <c r="WIH116" s="89"/>
      <c r="WII116" s="89"/>
      <c r="WIJ116" s="89"/>
      <c r="WIK116" s="89"/>
      <c r="WIL116" s="89"/>
      <c r="WIM116" s="89"/>
      <c r="WIN116" s="89"/>
      <c r="WIO116" s="89"/>
      <c r="WIP116" s="89"/>
      <c r="WIQ116" s="89"/>
      <c r="WIR116" s="89"/>
      <c r="WIS116" s="89"/>
      <c r="WIT116" s="89"/>
      <c r="WIU116" s="89"/>
      <c r="WIV116" s="89"/>
      <c r="WIW116" s="89"/>
      <c r="WIX116" s="89"/>
      <c r="WIY116" s="89"/>
      <c r="WIZ116" s="89"/>
      <c r="WJA116" s="89"/>
      <c r="WJG116" s="89"/>
      <c r="WJH116" s="89"/>
      <c r="WJI116" s="89"/>
      <c r="WJJ116" s="89"/>
      <c r="WJK116" s="89"/>
      <c r="WJL116" s="89"/>
      <c r="WJM116" s="89"/>
      <c r="WJN116" s="89"/>
      <c r="WJO116" s="89"/>
      <c r="WJP116" s="89"/>
      <c r="WJQ116" s="89"/>
      <c r="WJR116" s="89"/>
      <c r="WJS116" s="94"/>
      <c r="WJT116" s="89"/>
      <c r="WJU116" s="89"/>
      <c r="WJV116" s="89"/>
      <c r="WJW116" s="89"/>
      <c r="WJX116" s="89"/>
      <c r="WJY116" s="94"/>
      <c r="WJZ116" s="89"/>
      <c r="WKA116" s="89"/>
      <c r="WKB116" s="89"/>
      <c r="WKC116" s="89"/>
      <c r="WKD116" s="89"/>
      <c r="WKE116" s="89"/>
      <c r="WKF116" s="89"/>
      <c r="WKG116" s="89"/>
      <c r="WKH116" s="89"/>
      <c r="WKI116" s="89"/>
      <c r="WKJ116" s="94"/>
      <c r="WKK116" s="89"/>
      <c r="WKL116" s="89"/>
      <c r="WKM116" s="89"/>
      <c r="WKN116" s="89"/>
      <c r="WKO116" s="89"/>
      <c r="WKP116" s="89"/>
      <c r="WKQ116" s="89"/>
      <c r="WKR116" s="89"/>
      <c r="WKS116" s="89"/>
      <c r="WKT116" s="89"/>
      <c r="WKU116" s="89"/>
      <c r="WKV116" s="89"/>
      <c r="WKW116" s="89"/>
      <c r="WKX116" s="89"/>
      <c r="WKY116" s="89"/>
      <c r="WKZ116" s="89"/>
      <c r="WLA116" s="89"/>
      <c r="WLB116" s="89"/>
      <c r="WLC116" s="89"/>
      <c r="WLD116" s="89"/>
      <c r="WLE116" s="89"/>
      <c r="WLF116" s="89"/>
      <c r="WLG116" s="89"/>
      <c r="WLH116" s="89"/>
      <c r="WLN116" s="89"/>
      <c r="WLO116" s="89"/>
      <c r="WLP116" s="89"/>
      <c r="WLQ116" s="89"/>
      <c r="WLR116" s="89"/>
      <c r="WLS116" s="89"/>
      <c r="WLT116" s="89"/>
      <c r="WLU116" s="89"/>
      <c r="WLV116" s="89"/>
      <c r="WLW116" s="89"/>
      <c r="WLX116" s="89"/>
      <c r="WLY116" s="89"/>
      <c r="WLZ116" s="94"/>
      <c r="WMA116" s="89"/>
      <c r="WMB116" s="89"/>
      <c r="WMC116" s="89"/>
      <c r="WMD116" s="89"/>
      <c r="WME116" s="89"/>
      <c r="WMF116" s="94"/>
      <c r="WMG116" s="89"/>
      <c r="WMH116" s="89"/>
      <c r="WMI116" s="89"/>
      <c r="WMJ116" s="89"/>
      <c r="WMK116" s="89"/>
      <c r="WML116" s="89"/>
      <c r="WMM116" s="89"/>
      <c r="WMN116" s="89"/>
      <c r="WMO116" s="89"/>
      <c r="WMP116" s="89"/>
      <c r="WMQ116" s="94"/>
      <c r="WMR116" s="89"/>
      <c r="WMS116" s="89"/>
      <c r="WMT116" s="89"/>
      <c r="WMU116" s="89"/>
      <c r="WMV116" s="89"/>
      <c r="WMW116" s="89"/>
      <c r="WMX116" s="89"/>
      <c r="WMY116" s="89"/>
      <c r="WMZ116" s="89"/>
      <c r="WNA116" s="89"/>
      <c r="WNB116" s="89"/>
      <c r="WNC116" s="89"/>
      <c r="WND116" s="89"/>
      <c r="WNE116" s="89"/>
      <c r="WNF116" s="89"/>
      <c r="WNG116" s="89"/>
      <c r="WNH116" s="89"/>
      <c r="WNI116" s="89"/>
      <c r="WNJ116" s="89"/>
      <c r="WNK116" s="89"/>
      <c r="WNL116" s="89"/>
      <c r="WNM116" s="89"/>
      <c r="WNN116" s="89"/>
      <c r="WNO116" s="89"/>
      <c r="WNU116" s="89"/>
      <c r="WNV116" s="89"/>
      <c r="WNW116" s="89"/>
      <c r="WNX116" s="89"/>
      <c r="WNY116" s="89"/>
      <c r="WNZ116" s="89"/>
      <c r="WOA116" s="89"/>
      <c r="WOB116" s="89"/>
      <c r="WOC116" s="89"/>
      <c r="WOD116" s="89"/>
      <c r="WOE116" s="89"/>
      <c r="WOF116" s="89"/>
      <c r="WOG116" s="94"/>
      <c r="WOH116" s="89"/>
      <c r="WOI116" s="89"/>
      <c r="WOJ116" s="89"/>
      <c r="WOK116" s="89"/>
      <c r="WOL116" s="89"/>
      <c r="WOM116" s="94"/>
      <c r="WON116" s="89"/>
      <c r="WOO116" s="89"/>
      <c r="WOP116" s="89"/>
      <c r="WOQ116" s="89"/>
      <c r="WOR116" s="89"/>
      <c r="WOS116" s="89"/>
      <c r="WOT116" s="89"/>
      <c r="WOU116" s="89"/>
      <c r="WOV116" s="89"/>
      <c r="WOW116" s="89"/>
      <c r="WOX116" s="94"/>
      <c r="WOY116" s="89"/>
      <c r="WOZ116" s="89"/>
      <c r="WPA116" s="89"/>
      <c r="WPB116" s="89"/>
      <c r="WPC116" s="89"/>
      <c r="WPD116" s="89"/>
      <c r="WPE116" s="89"/>
      <c r="WPF116" s="89"/>
      <c r="WPG116" s="89"/>
      <c r="WPH116" s="89"/>
      <c r="WPI116" s="89"/>
      <c r="WPJ116" s="89"/>
      <c r="WPK116" s="89"/>
      <c r="WPL116" s="89"/>
      <c r="WPM116" s="89"/>
      <c r="WPN116" s="89"/>
      <c r="WPO116" s="89"/>
      <c r="WPP116" s="89"/>
      <c r="WPQ116" s="89"/>
      <c r="WPR116" s="89"/>
      <c r="WPS116" s="89"/>
      <c r="WPT116" s="89"/>
      <c r="WPU116" s="89"/>
      <c r="WPV116" s="89"/>
      <c r="WQB116" s="89"/>
      <c r="WQC116" s="89"/>
      <c r="WQD116" s="89"/>
      <c r="WQE116" s="89"/>
      <c r="WQF116" s="89"/>
      <c r="WQG116" s="89"/>
      <c r="WQH116" s="89"/>
      <c r="WQI116" s="89"/>
      <c r="WQJ116" s="89"/>
      <c r="WQK116" s="89"/>
      <c r="WQL116" s="89"/>
      <c r="WQM116" s="89"/>
      <c r="WQN116" s="94"/>
      <c r="WQO116" s="89"/>
      <c r="WQP116" s="89"/>
      <c r="WQQ116" s="89"/>
      <c r="WQR116" s="89"/>
      <c r="WQS116" s="89"/>
      <c r="WQT116" s="94"/>
      <c r="WQU116" s="89"/>
      <c r="WQV116" s="89"/>
      <c r="WQW116" s="89"/>
      <c r="WQX116" s="89"/>
      <c r="WQY116" s="89"/>
      <c r="WQZ116" s="89"/>
      <c r="WRA116" s="89"/>
      <c r="WRB116" s="89"/>
      <c r="WRC116" s="89"/>
      <c r="WRD116" s="89"/>
      <c r="WRE116" s="94"/>
      <c r="WRF116" s="89"/>
      <c r="WRG116" s="89"/>
      <c r="WRH116" s="89"/>
      <c r="WRI116" s="89"/>
      <c r="WRJ116" s="89"/>
      <c r="WRK116" s="89"/>
      <c r="WRL116" s="89"/>
      <c r="WRM116" s="89"/>
      <c r="WRN116" s="89"/>
      <c r="WRO116" s="89"/>
      <c r="WRP116" s="89"/>
      <c r="WRQ116" s="89"/>
      <c r="WRR116" s="89"/>
      <c r="WRS116" s="89"/>
      <c r="WRT116" s="89"/>
      <c r="WRU116" s="89"/>
      <c r="WRV116" s="89"/>
      <c r="WRW116" s="89"/>
      <c r="WRX116" s="89"/>
      <c r="WRY116" s="89"/>
      <c r="WRZ116" s="89"/>
      <c r="WSA116" s="89"/>
      <c r="WSB116" s="89"/>
      <c r="WSC116" s="89"/>
      <c r="WSI116" s="89"/>
      <c r="WSJ116" s="89"/>
      <c r="WSK116" s="89"/>
      <c r="WSL116" s="89"/>
      <c r="WSM116" s="89"/>
      <c r="WSN116" s="89"/>
      <c r="WSO116" s="89"/>
      <c r="WSP116" s="89"/>
      <c r="WSQ116" s="89"/>
      <c r="WSR116" s="89"/>
      <c r="WSS116" s="89"/>
      <c r="WST116" s="89"/>
      <c r="WSU116" s="94"/>
      <c r="WSV116" s="89"/>
      <c r="WSW116" s="89"/>
      <c r="WSX116" s="89"/>
      <c r="WSY116" s="89"/>
      <c r="WSZ116" s="89"/>
      <c r="WTA116" s="94"/>
      <c r="WTB116" s="89"/>
      <c r="WTC116" s="89"/>
      <c r="WTD116" s="89"/>
      <c r="WTE116" s="89"/>
      <c r="WTF116" s="89"/>
      <c r="WTG116" s="89"/>
      <c r="WTH116" s="89"/>
      <c r="WTI116" s="89"/>
      <c r="WTJ116" s="89"/>
      <c r="WTK116" s="89"/>
      <c r="WTL116" s="94"/>
      <c r="WTM116" s="89"/>
      <c r="WTN116" s="89"/>
      <c r="WTO116" s="89"/>
      <c r="WTP116" s="89"/>
      <c r="WTQ116" s="89"/>
      <c r="WTR116" s="89"/>
      <c r="WTS116" s="89"/>
      <c r="WTT116" s="89"/>
      <c r="WTU116" s="89"/>
      <c r="WTV116" s="89"/>
      <c r="WTW116" s="89"/>
      <c r="WTX116" s="89"/>
      <c r="WTY116" s="89"/>
      <c r="WTZ116" s="89"/>
      <c r="WUA116" s="89"/>
      <c r="WUB116" s="89"/>
      <c r="WUC116" s="89"/>
      <c r="WUD116" s="89"/>
      <c r="WUE116" s="89"/>
      <c r="WUF116" s="89"/>
      <c r="WUG116" s="89"/>
      <c r="WUH116" s="89"/>
      <c r="WUI116" s="89"/>
      <c r="WUJ116" s="89"/>
      <c r="WUP116" s="89"/>
      <c r="WUQ116" s="89"/>
      <c r="WUR116" s="89"/>
      <c r="WUS116" s="89"/>
      <c r="WUT116" s="89"/>
      <c r="WUU116" s="89"/>
      <c r="WUV116" s="89"/>
      <c r="WUW116" s="89"/>
      <c r="WUX116" s="89"/>
      <c r="WUY116" s="89"/>
      <c r="WUZ116" s="89"/>
      <c r="WVA116" s="89"/>
      <c r="WVB116" s="94"/>
      <c r="WVC116" s="89"/>
      <c r="WVD116" s="89"/>
      <c r="WVE116" s="89"/>
      <c r="WVF116" s="89"/>
      <c r="WVG116" s="89"/>
      <c r="WVH116" s="94"/>
      <c r="WVI116" s="89"/>
      <c r="WVJ116" s="89"/>
      <c r="WVK116" s="89"/>
      <c r="WVL116" s="89"/>
      <c r="WVM116" s="89"/>
      <c r="WVN116" s="89"/>
      <c r="WVO116" s="89"/>
      <c r="WVP116" s="89"/>
      <c r="WVQ116" s="89"/>
      <c r="WVR116" s="89"/>
      <c r="WVS116" s="94"/>
      <c r="WVT116" s="89"/>
      <c r="WVU116" s="89"/>
      <c r="WVV116" s="89"/>
      <c r="WVW116" s="89"/>
      <c r="WVX116" s="89"/>
      <c r="WVY116" s="89"/>
      <c r="WVZ116" s="89"/>
      <c r="WWA116" s="89"/>
      <c r="WWB116" s="89"/>
      <c r="WWC116" s="89"/>
      <c r="WWD116" s="89"/>
      <c r="WWE116" s="89"/>
      <c r="WWF116" s="89"/>
      <c r="WWG116" s="89"/>
      <c r="WWH116" s="89"/>
      <c r="WWI116" s="89"/>
      <c r="WWJ116" s="89"/>
      <c r="WWK116" s="89"/>
      <c r="WWL116" s="89"/>
      <c r="WWM116" s="89"/>
      <c r="WWN116" s="89"/>
      <c r="WWO116" s="89"/>
      <c r="WWP116" s="89"/>
      <c r="WWQ116" s="89"/>
      <c r="WWW116" s="89"/>
      <c r="WWX116" s="89"/>
      <c r="WWY116" s="89"/>
      <c r="WWZ116" s="89"/>
      <c r="WXA116" s="89"/>
      <c r="WXB116" s="89"/>
      <c r="WXC116" s="89"/>
      <c r="WXD116" s="89"/>
      <c r="WXE116" s="89"/>
      <c r="WXF116" s="89"/>
      <c r="WXG116" s="89"/>
      <c r="WXH116" s="89"/>
      <c r="WXI116" s="94"/>
      <c r="WXJ116" s="89"/>
      <c r="WXK116" s="89"/>
      <c r="WXL116" s="89"/>
      <c r="WXM116" s="89"/>
      <c r="WXN116" s="89"/>
      <c r="WXO116" s="94"/>
      <c r="WXP116" s="89"/>
      <c r="WXQ116" s="89"/>
      <c r="WXR116" s="89"/>
      <c r="WXS116" s="89"/>
      <c r="WXT116" s="89"/>
      <c r="WXU116" s="89"/>
      <c r="WXV116" s="89"/>
      <c r="WXW116" s="89"/>
      <c r="WXX116" s="89"/>
      <c r="WXY116" s="89"/>
      <c r="WXZ116" s="94"/>
      <c r="WYA116" s="89"/>
      <c r="WYB116" s="89"/>
      <c r="WYC116" s="89"/>
      <c r="WYD116" s="89"/>
      <c r="WYE116" s="89"/>
      <c r="WYF116" s="89"/>
      <c r="WYG116" s="89"/>
      <c r="WYH116" s="89"/>
      <c r="WYI116" s="89"/>
      <c r="WYJ116" s="89"/>
      <c r="WYK116" s="89"/>
      <c r="WYL116" s="89"/>
      <c r="WYM116" s="89"/>
      <c r="WYN116" s="89"/>
      <c r="WYO116" s="89"/>
      <c r="WYP116" s="89"/>
      <c r="WYQ116" s="89"/>
      <c r="WYR116" s="89"/>
      <c r="WYS116" s="89"/>
      <c r="WYT116" s="89"/>
      <c r="WYU116" s="89"/>
      <c r="WYV116" s="89"/>
      <c r="WYW116" s="89"/>
      <c r="WYX116" s="89"/>
      <c r="WZD116" s="89"/>
      <c r="WZE116" s="89"/>
      <c r="WZF116" s="89"/>
      <c r="WZG116" s="89"/>
      <c r="WZH116" s="89"/>
      <c r="WZI116" s="89"/>
      <c r="WZJ116" s="89"/>
      <c r="WZK116" s="89"/>
      <c r="WZL116" s="89"/>
      <c r="WZM116" s="89"/>
      <c r="WZN116" s="89"/>
      <c r="WZO116" s="89"/>
      <c r="WZP116" s="94"/>
      <c r="WZQ116" s="89"/>
      <c r="WZR116" s="89"/>
      <c r="WZS116" s="89"/>
      <c r="WZT116" s="89"/>
      <c r="WZU116" s="89"/>
      <c r="WZV116" s="94"/>
      <c r="WZW116" s="89"/>
      <c r="WZX116" s="89"/>
      <c r="WZY116" s="89"/>
      <c r="WZZ116" s="89"/>
      <c r="XAA116" s="89"/>
      <c r="XAB116" s="89"/>
      <c r="XAC116" s="89"/>
      <c r="XAD116" s="89"/>
      <c r="XAE116" s="89"/>
      <c r="XAF116" s="89"/>
      <c r="XAG116" s="94"/>
      <c r="XAH116" s="89"/>
      <c r="XAI116" s="89"/>
      <c r="XAJ116" s="89"/>
      <c r="XAK116" s="89"/>
      <c r="XAL116" s="89"/>
      <c r="XAM116" s="89"/>
      <c r="XAN116" s="89"/>
      <c r="XAO116" s="89"/>
      <c r="XAP116" s="89"/>
      <c r="XAQ116" s="89"/>
      <c r="XAR116" s="89"/>
      <c r="XAS116" s="89"/>
      <c r="XAT116" s="89"/>
      <c r="XAU116" s="89"/>
      <c r="XAV116" s="89"/>
      <c r="XAW116" s="89"/>
      <c r="XAX116" s="89"/>
      <c r="XAY116" s="89"/>
      <c r="XAZ116" s="89"/>
      <c r="XBA116" s="89"/>
      <c r="XBB116" s="89"/>
      <c r="XBC116" s="89"/>
      <c r="XBD116" s="89"/>
      <c r="XBE116" s="89"/>
      <c r="XBK116" s="89"/>
      <c r="XBL116" s="89"/>
      <c r="XBM116" s="89"/>
      <c r="XBN116" s="89"/>
      <c r="XBO116" s="89"/>
      <c r="XBP116" s="89"/>
      <c r="XBQ116" s="89"/>
      <c r="XBR116" s="89"/>
      <c r="XBS116" s="89"/>
      <c r="XBT116" s="89"/>
      <c r="XBU116" s="89"/>
      <c r="XBV116" s="89"/>
      <c r="XBW116" s="94"/>
      <c r="XBX116" s="89"/>
      <c r="XBY116" s="89"/>
      <c r="XBZ116" s="89"/>
      <c r="XCA116" s="89"/>
      <c r="XCB116" s="89"/>
      <c r="XCC116" s="94"/>
      <c r="XCD116" s="89"/>
      <c r="XCE116" s="89"/>
      <c r="XCF116" s="89"/>
      <c r="XCG116" s="89"/>
      <c r="XCH116" s="89"/>
      <c r="XCI116" s="89"/>
      <c r="XCJ116" s="89"/>
      <c r="XCK116" s="89"/>
      <c r="XCL116" s="89"/>
    </row>
    <row r="117" spans="1:14334 14340:16314" ht="15" customHeight="1" x14ac:dyDescent="0.25">
      <c r="A117" s="101">
        <f>Registro!A117</f>
        <v>42158.198287037034</v>
      </c>
      <c r="B117" s="89" t="str">
        <f>Registro!B117</f>
        <v>c) Obra Social San José de Calasanz de Valencia</v>
      </c>
      <c r="C117" s="89" t="str">
        <f>Registro!C117</f>
        <v>a) Primer año</v>
      </c>
      <c r="D117" s="89" t="str">
        <f>Registro!D117</f>
        <v>b) Primaria</v>
      </c>
      <c r="E117" s="89" t="str">
        <f>Registro!E117</f>
        <v>b) Femenino</v>
      </c>
      <c r="F117" s="89" t="str">
        <f>Registro!F117</f>
        <v>a) Católica</v>
      </c>
      <c r="G117" s="89" t="str">
        <f>Registro!G117</f>
        <v>a) Mamá, b) Papá, c) Hermanos, e) Otros familiares</v>
      </c>
      <c r="H117" s="89" t="str">
        <f>Registro!H117</f>
        <v>b) Casa Urbana</v>
      </c>
      <c r="I117" s="89" t="str">
        <f>Registro!I117</f>
        <v>c) Algo</v>
      </c>
      <c r="J117" s="89" t="str">
        <f>Registro!J117</f>
        <v>b) Lavadora, i) Computadora, k) Aire acondicionado</v>
      </c>
      <c r="K117" s="89" t="str">
        <f>Registro!K117</f>
        <v>d) Tres</v>
      </c>
      <c r="L117" s="89" t="str">
        <f>Registro!L117</f>
        <v>a) La familia, c) Los estudios, g) La felicidad</v>
      </c>
      <c r="M117" s="94">
        <f t="shared" si="9"/>
        <v>3</v>
      </c>
      <c r="N117" s="89" t="str">
        <f>Registro!M117</f>
        <v>d) Los problemas familiares</v>
      </c>
      <c r="O117" s="89" t="str">
        <f>Registro!N117</f>
        <v>c) Poco</v>
      </c>
      <c r="P117" s="89" t="str">
        <f>Registro!O117</f>
        <v>b) Suficiente</v>
      </c>
      <c r="Q117" s="89" t="str">
        <f>Registro!P117</f>
        <v>c) Poco</v>
      </c>
      <c r="R117" s="89" t="str">
        <f>Registro!Q117</f>
        <v>a) La familia, c) Los estudios, g) La felicidad</v>
      </c>
      <c r="S117" s="94">
        <f t="shared" si="5"/>
        <v>3</v>
      </c>
      <c r="T117" s="89" t="str">
        <f>Registro!R117</f>
        <v>a) Mucho</v>
      </c>
      <c r="U117" s="89" t="str">
        <f>Registro!S117</f>
        <v>a) La Iglesia, b) La naturaleza, c) El salón de clase, e) Los amigos, g) Mi familia, i) Los necesitados, j) Todas partes</v>
      </c>
      <c r="V117" s="89" t="str">
        <f>Registro!T117</f>
        <v>c) Rezo solo en situación de dificultad</v>
      </c>
      <c r="W117" s="89" t="str">
        <f>Registro!U117</f>
        <v>a) Todos los domingos</v>
      </c>
      <c r="X117" s="89" t="str">
        <f>Registro!V117</f>
        <v>b) Suelo bendedir los alimentos antes de comer, c) Suelo ir los domingos y otras fechas especiales a la Iglesia, e) Voy a misa en las fechas de mis familiares difuntos, f) En alguna ocasión he rezado el rosario, i) Tengo en mi cuarto alguna imagen religiosa</v>
      </c>
      <c r="Y117" s="89" t="str">
        <f>Registro!W117</f>
        <v>a) Deportivo, c) Religioso o parroquial</v>
      </c>
      <c r="Z117" s="89" t="str">
        <f>Registro!X117</f>
        <v>b) Un lugar donde comparto con mis compañeros</v>
      </c>
      <c r="AA117" s="89" t="str">
        <f>Registro!Y117</f>
        <v>c) Algo</v>
      </c>
      <c r="AB117" s="89" t="str">
        <f>Registro!Z117</f>
        <v>a) Sí</v>
      </c>
      <c r="AC117" s="89" t="str">
        <f>Registro!AA117</f>
        <v>e) Derecho, f) Ciencias policiales o artes militares</v>
      </c>
      <c r="AD117" s="94">
        <f t="shared" si="6"/>
        <v>2</v>
      </c>
      <c r="AE117" s="89" t="str">
        <f>Registro!AB117</f>
        <v>c) Ser un excelente profesional</v>
      </c>
      <c r="AF117" s="89" t="str">
        <f>Registro!AC117</f>
        <v>d) Mucho o muchísimo</v>
      </c>
      <c r="AG117" s="89" t="str">
        <f>Registro!AD117</f>
        <v>e) La mayor posibilidad de vivir mi fe, h) Las actividades extraescolares</v>
      </c>
      <c r="AH117" s="94">
        <f t="shared" si="7"/>
        <v>2</v>
      </c>
      <c r="AI117" s="89" t="str">
        <f>Registro!AE117</f>
        <v>f) 11 o más horas</v>
      </c>
      <c r="AJ117" s="89" t="str">
        <f>Registro!AF117</f>
        <v>b) Navego en Internet, i) Leo revistas o libros, j) Estoy en algún grupo juvenil</v>
      </c>
      <c r="AK117" s="94">
        <f t="shared" si="8"/>
        <v>3</v>
      </c>
      <c r="AL117" s="89" t="str">
        <f>Registro!AG117</f>
        <v>a) Muy bueno</v>
      </c>
      <c r="AM117" s="89" t="str">
        <f>Registro!AH117</f>
        <v>a) Muy buena</v>
      </c>
      <c r="AN117" s="89" t="str">
        <f>Registro!AI117</f>
        <v>a) Muy buena</v>
      </c>
      <c r="AO117" s="89" t="str">
        <f>Registro!AJ117</f>
        <v>b) Buena</v>
      </c>
      <c r="AP117" s="89" t="str">
        <f>Registro!AK117</f>
        <v>a) Muy buena</v>
      </c>
      <c r="AQ117" s="89" t="str">
        <f>Registro!AL117</f>
        <v>a) Muy buena</v>
      </c>
      <c r="AR117" s="89" t="str">
        <f>Registro!AM117</f>
        <v>a) Muy buena</v>
      </c>
      <c r="AS117" s="89" t="str">
        <f>Registro!AN117</f>
        <v>b) Buena</v>
      </c>
      <c r="AT117" s="89" t="str">
        <f>Registro!AO117</f>
        <v>b) Buena</v>
      </c>
      <c r="AU117" s="89" t="str">
        <f>Registro!AP117</f>
        <v>c) Regular</v>
      </c>
      <c r="AV117" s="89" t="str">
        <f>Registro!AQ117</f>
        <v>a) Muy buena</v>
      </c>
      <c r="AW117" s="89" t="str">
        <f>Registro!AR117</f>
        <v>a) El compañerismo</v>
      </c>
      <c r="AX117" s="89" t="str">
        <f>Registro!AS117</f>
        <v>d) Que ayude económicamente a la familia</v>
      </c>
      <c r="AY117" s="89" t="str">
        <f>Registro!AT117</f>
        <v>d) Bastante necesaria</v>
      </c>
      <c r="AZ117" s="89" t="str">
        <f>Registro!AU117</f>
        <v>a) No acostumbro a tomarlo nunca</v>
      </c>
      <c r="BA117" s="89" t="str">
        <f>Registro!AV117</f>
        <v>e) Educadores que se preocupan de nosotros</v>
      </c>
      <c r="BB117" s="89" t="str">
        <f>Registro!AW117</f>
        <v>d) Mucho o muchísimo</v>
      </c>
      <c r="BC117" s="89" t="str">
        <f>Registro!AX117</f>
        <v>e) Son personas que me gustan y admiro</v>
      </c>
      <c r="BD117" s="89" t="str">
        <f>Registro!AY117</f>
        <v>b) Mi madre, c) Un hermano/a, d) Un escolapio, religioso o religiosa, h) Una amiga</v>
      </c>
    </row>
    <row r="118" spans="1:14334 14340:16314" ht="15" customHeight="1" x14ac:dyDescent="0.25">
      <c r="A118" s="101">
        <f>Registro!A118</f>
        <v>42158.199537037035</v>
      </c>
      <c r="B118" s="89" t="str">
        <f>Registro!B118</f>
        <v>c) Obra Social San José de Calasanz de Valencia</v>
      </c>
      <c r="C118" s="89" t="str">
        <f>Registro!C118</f>
        <v>a) Primer año</v>
      </c>
      <c r="D118" s="89" t="str">
        <f>Registro!D118</f>
        <v>a) Educación Inicial</v>
      </c>
      <c r="E118" s="89" t="str">
        <f>Registro!E118</f>
        <v>a) Masculino</v>
      </c>
      <c r="F118" s="89" t="str">
        <f>Registro!F118</f>
        <v>d) Otra</v>
      </c>
      <c r="G118" s="89" t="str">
        <f>Registro!G118</f>
        <v>a) Mamá, b) Papá, c) Hermanos, d) Abuelos</v>
      </c>
      <c r="H118" s="89" t="str">
        <f>Registro!H118</f>
        <v>b) Casa Urbana</v>
      </c>
      <c r="I118" s="89" t="str">
        <f>Registro!I118</f>
        <v>a) Sí</v>
      </c>
      <c r="J118" s="89" t="str">
        <f>Registro!J118</f>
        <v>a) Cónsola videojuegos, b) Lavadora, d) TV pantalla plana, h) Carro, i) Computadora, j) Cámara digital, k) Aire acondicionado</v>
      </c>
      <c r="K118" s="89" t="str">
        <f>Registro!K118</f>
        <v>e) Cuatro</v>
      </c>
      <c r="L118" s="89" t="str">
        <f>Registro!L118</f>
        <v>a) La familia, b) Los amigos, c) Los estudios</v>
      </c>
      <c r="M118" s="94">
        <f t="shared" si="9"/>
        <v>3</v>
      </c>
      <c r="N118" s="89" t="str">
        <f>Registro!M118</f>
        <v>a) Seguridad personal (la violencia y la delincuencia)</v>
      </c>
      <c r="O118" s="89" t="str">
        <f>Registro!N118</f>
        <v>a) Mucho</v>
      </c>
      <c r="P118" s="89" t="str">
        <f>Registro!O118</f>
        <v>a) Mucho</v>
      </c>
      <c r="Q118" s="89" t="str">
        <f>Registro!P118</f>
        <v>b) Suficiente</v>
      </c>
      <c r="R118" s="89"/>
      <c r="S118" s="94">
        <f t="shared" si="5"/>
        <v>0</v>
      </c>
      <c r="T118" s="89" t="str">
        <f>Registro!R118</f>
        <v>a) Mucho</v>
      </c>
      <c r="U118" s="89" t="str">
        <f>Registro!S118</f>
        <v>a) La Iglesia, b) La naturaleza, c) El salón de clase, d) Las convivencias, g) Mi familia, j) Todas partes, k) La oración</v>
      </c>
      <c r="V118" s="89" t="str">
        <f>Registro!T118</f>
        <v>a) Suelo rezar por convicción o porque me gusta</v>
      </c>
      <c r="W118" s="89" t="str">
        <f>Registro!U118</f>
        <v>d) Nunca</v>
      </c>
      <c r="X118" s="89" t="str">
        <f>Registro!V118</f>
        <v>b) Suelo bendedir los alimentos antes de comer, d) Suelo orar todos los días, e) Voy a misa en las fechas de mis familiares difuntos</v>
      </c>
      <c r="Y118" s="89" t="str">
        <f>Registro!W118</f>
        <v>a) Deportivo</v>
      </c>
      <c r="Z118" s="89" t="str">
        <f>Registro!X118</f>
        <v>b) Un lugar donde comparto con mis compañeros</v>
      </c>
      <c r="AA118" s="89" t="str">
        <f>Registro!Y118</f>
        <v>b) No</v>
      </c>
      <c r="AB118" s="89" t="str">
        <f>Registro!Z118</f>
        <v>b) No</v>
      </c>
      <c r="AC118" s="89" t="str">
        <f>Registro!AA118</f>
        <v>d) Ingeniería, f) Ciencias policiales o artes militares</v>
      </c>
      <c r="AD118" s="94">
        <f t="shared" si="6"/>
        <v>2</v>
      </c>
      <c r="AE118" s="89" t="str">
        <f>Registro!AB118</f>
        <v>b) Tener una buena posición social, ser importante</v>
      </c>
      <c r="AF118" s="89" t="str">
        <f>Registro!AC118</f>
        <v>b) Poco</v>
      </c>
      <c r="AG118" s="89" t="str">
        <f>Registro!AD118</f>
        <v>a) Los deportes y diversiones, e) La mayor posibilidad de vivir mi fe</v>
      </c>
      <c r="AH118" s="94">
        <f t="shared" si="7"/>
        <v>2</v>
      </c>
      <c r="AI118" s="89" t="str">
        <f>Registro!AE118</f>
        <v>a) 0 a 2 horas</v>
      </c>
      <c r="AJ118" s="89" t="str">
        <f>Registro!AF118</f>
        <v>a) Me divierto con juegos para computadoras, b) Navego en Internet, c) Suelo ir a centros de video (máquinas de juegos)</v>
      </c>
      <c r="AK118" s="94">
        <f t="shared" si="8"/>
        <v>3</v>
      </c>
      <c r="AL118" s="89" t="str">
        <f>Registro!AG118</f>
        <v>a) Muy bueno</v>
      </c>
      <c r="AM118" s="89" t="str">
        <f>Registro!AH118</f>
        <v>a) Muy buena</v>
      </c>
      <c r="AN118" s="89" t="str">
        <f>Registro!AI118</f>
        <v>a) Muy buena</v>
      </c>
      <c r="AO118" s="89" t="str">
        <f>Registro!AJ118</f>
        <v>a) Muy buena</v>
      </c>
      <c r="AP118" s="89" t="str">
        <f>Registro!AK118</f>
        <v>a) Muy buena</v>
      </c>
      <c r="AQ118" s="89" t="str">
        <f>Registro!AL118</f>
        <v>b) Buena</v>
      </c>
      <c r="AR118" s="89" t="str">
        <f>Registro!AM118</f>
        <v>a) Muy buena</v>
      </c>
      <c r="AS118" s="89" t="str">
        <f>Registro!AN118</f>
        <v>c) Regular</v>
      </c>
      <c r="AT118" s="89" t="str">
        <f>Registro!AO118</f>
        <v>a) Muy buena</v>
      </c>
      <c r="AU118" s="89" t="str">
        <f>Registro!AP118</f>
        <v>a) Muy buena</v>
      </c>
      <c r="AV118" s="89">
        <f>Registro!AQ118</f>
        <v>0</v>
      </c>
      <c r="AW118" s="89" t="str">
        <f>Registro!AR118</f>
        <v>a) El compañerismo</v>
      </c>
      <c r="AX118" s="89" t="str">
        <f>Registro!AS118</f>
        <v>a) Que sea un buen profesional</v>
      </c>
      <c r="AY118" s="89" t="str">
        <f>Registro!AT118</f>
        <v>e) Absolutamente necesaria</v>
      </c>
      <c r="AZ118" s="89" t="str">
        <f>Registro!AU118</f>
        <v>a) No acostumbro a tomarlo nunca</v>
      </c>
      <c r="BA118" s="89" t="str">
        <f>Registro!AV118</f>
        <v>a) Personas a las que tengo que aguantar</v>
      </c>
      <c r="BB118" s="89" t="str">
        <f>Registro!AW118</f>
        <v>c) Bastante</v>
      </c>
      <c r="BC118" s="89" t="str">
        <f>Registro!AX118</f>
        <v>b) Hay de todo tipo, pero predomina lo negativo</v>
      </c>
      <c r="BD118" s="89" t="str">
        <f>Registro!AY118</f>
        <v>a) Mi padre, c) Un hermano/a</v>
      </c>
    </row>
    <row r="119" spans="1:14334 14340:16314" ht="15" customHeight="1" x14ac:dyDescent="0.25">
      <c r="A119" s="101">
        <f>Registro!A119</f>
        <v>42158.203043981484</v>
      </c>
      <c r="B119" s="89" t="str">
        <f>Registro!B119</f>
        <v>c) Obra Social San José de Calasanz de Valencia</v>
      </c>
      <c r="C119" s="89" t="str">
        <f>Registro!C119</f>
        <v>a) Primer año</v>
      </c>
      <c r="D119" s="89" t="str">
        <f>Registro!D119</f>
        <v>a) Educación Inicial</v>
      </c>
      <c r="E119" s="89" t="str">
        <f>Registro!E119</f>
        <v>b) Femenino</v>
      </c>
      <c r="F119" s="89" t="str">
        <f>Registro!F119</f>
        <v>a) Católica</v>
      </c>
      <c r="G119" s="89" t="str">
        <f>Registro!G119</f>
        <v>a) Mamá, b) Papá, c) Hermanos</v>
      </c>
      <c r="H119" s="89" t="str">
        <f>Registro!H119</f>
        <v>b) Casa Urbana</v>
      </c>
      <c r="I119" s="89" t="str">
        <f>Registro!I119</f>
        <v>a) Sí</v>
      </c>
      <c r="J119" s="89" t="str">
        <f>Registro!J119</f>
        <v>b) Lavadora, c) Microondas, d) TV pantalla plana, i) Computadora, k) Aire acondicionado</v>
      </c>
      <c r="K119" s="89" t="str">
        <f>Registro!K119</f>
        <v>c) Dos</v>
      </c>
      <c r="L119" s="89"/>
      <c r="M119" s="94">
        <f t="shared" si="9"/>
        <v>0</v>
      </c>
      <c r="N119" s="89" t="str">
        <f>Registro!M119</f>
        <v>a) Seguridad personal (la violencia y la delincuencia)</v>
      </c>
      <c r="O119" s="89" t="str">
        <f>Registro!N119</f>
        <v>a) Mucho</v>
      </c>
      <c r="P119" s="89" t="str">
        <f>Registro!O119</f>
        <v>a) Mucho</v>
      </c>
      <c r="Q119" s="89" t="str">
        <f>Registro!P119</f>
        <v>c) Poco</v>
      </c>
      <c r="R119" s="89" t="str">
        <f>Registro!Q119</f>
        <v>a) La familia, c) Los estudios, g) La felicidad</v>
      </c>
      <c r="S119" s="94">
        <f t="shared" si="5"/>
        <v>3</v>
      </c>
      <c r="T119" s="89" t="str">
        <f>Registro!R119</f>
        <v>a) Mucho</v>
      </c>
      <c r="U119" s="89" t="str">
        <f>Registro!S119</f>
        <v>a) La Iglesia, b) La naturaleza, d) Las convivencias, h) Algunas personas cercanas a Dios, k) La oración, l) Los sacramentos</v>
      </c>
      <c r="V119" s="89">
        <f>Registro!T119</f>
        <v>0</v>
      </c>
      <c r="W119" s="89">
        <f>Registro!U119</f>
        <v>0</v>
      </c>
      <c r="X119" s="89">
        <f>Registro!V119</f>
        <v>0</v>
      </c>
      <c r="Y119" s="89">
        <f>Registro!W119</f>
        <v>0</v>
      </c>
      <c r="Z119" s="89">
        <f>Registro!X119</f>
        <v>0</v>
      </c>
      <c r="AA119" s="89">
        <f>Registro!Y119</f>
        <v>0</v>
      </c>
      <c r="AB119" s="89">
        <f>Registro!Z119</f>
        <v>0</v>
      </c>
      <c r="AC119" s="89">
        <f>Registro!AA119</f>
        <v>0</v>
      </c>
      <c r="AD119" s="94">
        <f t="shared" si="6"/>
        <v>0</v>
      </c>
      <c r="AE119" s="89">
        <f>Registro!AB119</f>
        <v>0</v>
      </c>
      <c r="AF119" s="89">
        <f>Registro!AC119</f>
        <v>0</v>
      </c>
      <c r="AG119" s="89">
        <f>Registro!AD119</f>
        <v>0</v>
      </c>
      <c r="AH119" s="94">
        <f t="shared" si="7"/>
        <v>0</v>
      </c>
      <c r="AI119" s="89">
        <f>Registro!AE119</f>
        <v>0</v>
      </c>
      <c r="AJ119" s="89">
        <f>Registro!AF119</f>
        <v>0</v>
      </c>
      <c r="AK119" s="94">
        <f t="shared" si="8"/>
        <v>0</v>
      </c>
      <c r="AL119" s="89">
        <f>Registro!AG119</f>
        <v>0</v>
      </c>
      <c r="AM119" s="89">
        <f>Registro!AH119</f>
        <v>0</v>
      </c>
      <c r="AN119" s="89">
        <f>Registro!AI119</f>
        <v>0</v>
      </c>
      <c r="AO119" s="89">
        <f>Registro!AJ119</f>
        <v>0</v>
      </c>
      <c r="AP119" s="89">
        <f>Registro!AK119</f>
        <v>0</v>
      </c>
      <c r="AQ119" s="89">
        <f>Registro!AL119</f>
        <v>0</v>
      </c>
      <c r="AR119" s="89">
        <f>Registro!AM119</f>
        <v>0</v>
      </c>
      <c r="AS119" s="89">
        <f>Registro!AN119</f>
        <v>0</v>
      </c>
      <c r="AT119" s="89">
        <f>Registro!AO119</f>
        <v>0</v>
      </c>
      <c r="AU119" s="89">
        <f>Registro!AP119</f>
        <v>0</v>
      </c>
      <c r="AV119" s="89">
        <f>Registro!AQ119</f>
        <v>0</v>
      </c>
      <c r="AW119" s="89">
        <f>Registro!AR119</f>
        <v>0</v>
      </c>
      <c r="AX119" s="89">
        <f>Registro!AS119</f>
        <v>0</v>
      </c>
      <c r="AY119" s="89">
        <f>Registro!AT119</f>
        <v>0</v>
      </c>
      <c r="AZ119" s="89">
        <f>Registro!AU119</f>
        <v>0</v>
      </c>
      <c r="BA119" s="89">
        <f>Registro!AV119</f>
        <v>0</v>
      </c>
      <c r="BB119" s="89">
        <f>Registro!AW119</f>
        <v>0</v>
      </c>
      <c r="BC119" s="89">
        <f>Registro!AX119</f>
        <v>0</v>
      </c>
      <c r="BD119" s="89">
        <f>Registro!AY119</f>
        <v>0</v>
      </c>
    </row>
    <row r="120" spans="1:14334 14340:16314" ht="15" customHeight="1" x14ac:dyDescent="0.25">
      <c r="A120" s="101">
        <f>Registro!A120</f>
        <v>42158.205324074072</v>
      </c>
      <c r="B120" s="89" t="str">
        <f>Registro!B120</f>
        <v>c) Obra Social San José de Calasanz de Valencia</v>
      </c>
      <c r="C120" s="89" t="str">
        <f>Registro!C120</f>
        <v>a) Primer año</v>
      </c>
      <c r="D120" s="89" t="str">
        <f>Registro!D120</f>
        <v>a) Educación Inicial</v>
      </c>
      <c r="E120" s="89" t="str">
        <f>Registro!E120</f>
        <v>b) Femenino</v>
      </c>
      <c r="F120" s="89" t="str">
        <f>Registro!F120</f>
        <v>a) Católica</v>
      </c>
      <c r="G120" s="89" t="str">
        <f>Registro!G120</f>
        <v>a) Mamá, b) Papá, c) Hermanos, d) Abuelos</v>
      </c>
      <c r="H120" s="89" t="str">
        <f>Registro!H120</f>
        <v>b) Casa Urbana</v>
      </c>
      <c r="I120" s="89" t="str">
        <f>Registro!I120</f>
        <v>a) Sí</v>
      </c>
      <c r="J120" s="89" t="str">
        <f>Registro!J120</f>
        <v>b) Lavadora, c) Microondas, d) TV pantalla plana, f) MP3, i) Computadora, j) Cámara digital, k) Aire acondicionado</v>
      </c>
      <c r="K120" s="89" t="str">
        <f>Registro!K120</f>
        <v>c) Dos</v>
      </c>
      <c r="L120" s="89"/>
      <c r="M120" s="94">
        <f t="shared" si="9"/>
        <v>0</v>
      </c>
      <c r="N120" s="89" t="str">
        <f>Registro!M120</f>
        <v>b) El futuro</v>
      </c>
      <c r="O120" s="89" t="str">
        <f>Registro!N120</f>
        <v>b) Suficiente</v>
      </c>
      <c r="P120" s="89" t="str">
        <f>Registro!O120</f>
        <v>b) Suficiente</v>
      </c>
      <c r="Q120" s="89" t="str">
        <f>Registro!P120</f>
        <v>b) Suficiente</v>
      </c>
      <c r="R120" s="89" t="str">
        <f>Registro!Q120</f>
        <v>c) Los estudios, d) El cuidado de mi cuerpo, f) Mi fe y mi vida cristiana</v>
      </c>
      <c r="S120" s="94">
        <f t="shared" si="5"/>
        <v>3</v>
      </c>
      <c r="T120" s="89" t="str">
        <f>Registro!R120</f>
        <v>a) Mucho</v>
      </c>
      <c r="U120" s="89" t="str">
        <f>Registro!S120</f>
        <v>a) La Iglesia, b) La naturaleza, g) Mi familia</v>
      </c>
      <c r="V120" s="89" t="str">
        <f>Registro!T120</f>
        <v>b) Rezo por costumbre</v>
      </c>
      <c r="W120" s="89" t="str">
        <f>Registro!U120</f>
        <v>c) Solo en fechas especiales</v>
      </c>
      <c r="X120" s="89" t="str">
        <f>Registro!V120</f>
        <v>c) Suelo ir los domingos y otras fechas especiales a la Iglesia, d) Suelo orar todos los días, f) En alguna ocasión he rezado el rosario, h) En Semana Santa asisto a las procesiones</v>
      </c>
      <c r="Y120" s="89" t="str">
        <f>Registro!W120</f>
        <v>d) No pertenezco a ninguno</v>
      </c>
      <c r="Z120" s="89" t="str">
        <f>Registro!X120</f>
        <v>d) No pertenezco a grupos juveniles cristianos</v>
      </c>
      <c r="AA120" s="89" t="str">
        <f>Registro!Y120</f>
        <v>b) No</v>
      </c>
      <c r="AB120" s="89" t="str">
        <f>Registro!Z120</f>
        <v>b) No</v>
      </c>
      <c r="AC120" s="89" t="str">
        <f>Registro!AA120</f>
        <v>a) Medicina, b) Docencia</v>
      </c>
      <c r="AD120" s="94">
        <f t="shared" si="6"/>
        <v>2</v>
      </c>
      <c r="AE120" s="89" t="str">
        <f>Registro!AB120</f>
        <v>d) Desarrollarme personalmente</v>
      </c>
      <c r="AF120" s="89" t="str">
        <f>Registro!AC120</f>
        <v>b) Poco</v>
      </c>
      <c r="AG120" s="89" t="str">
        <f>Registro!AD120</f>
        <v>g) La relación con los docentes, h) Las actividades extraescolares</v>
      </c>
      <c r="AH120" s="94">
        <f t="shared" si="7"/>
        <v>2</v>
      </c>
      <c r="AI120" s="89" t="str">
        <f>Registro!AE120</f>
        <v>f) 11 o más horas</v>
      </c>
      <c r="AJ120" s="89" t="str">
        <f>Registro!AF120</f>
        <v>m) Veo televisión y/o películas, n) Estoy conversando con los amigos/as</v>
      </c>
      <c r="AK120" s="94">
        <f t="shared" si="8"/>
        <v>2</v>
      </c>
      <c r="AL120" s="89" t="str">
        <f>Registro!AG120</f>
        <v>b) Bueno</v>
      </c>
      <c r="AM120" s="89" t="str">
        <f>Registro!AH120</f>
        <v>a) Muy buena</v>
      </c>
      <c r="AN120" s="89" t="str">
        <f>Registro!AI120</f>
        <v>b) Buena</v>
      </c>
      <c r="AO120" s="89" t="str">
        <f>Registro!AJ120</f>
        <v>b) Buena</v>
      </c>
      <c r="AP120" s="89" t="str">
        <f>Registro!AK120</f>
        <v>a) Muy buena</v>
      </c>
      <c r="AQ120" s="89" t="str">
        <f>Registro!AL120</f>
        <v>b) Buena</v>
      </c>
      <c r="AR120" s="89" t="str">
        <f>Registro!AM120</f>
        <v>a) Muy buena</v>
      </c>
      <c r="AS120" s="89" t="str">
        <f>Registro!AN120</f>
        <v>c) Regular</v>
      </c>
      <c r="AT120" s="89" t="str">
        <f>Registro!AO120</f>
        <v>c) Regular</v>
      </c>
      <c r="AU120" s="89" t="str">
        <f>Registro!AP120</f>
        <v>b) Buena</v>
      </c>
      <c r="AV120" s="89" t="str">
        <f>Registro!AQ120</f>
        <v>b) Buena</v>
      </c>
      <c r="AW120" s="89" t="str">
        <f>Registro!AR120</f>
        <v>a) El compañerismo</v>
      </c>
      <c r="AX120" s="89" t="str">
        <f>Registro!AS120</f>
        <v>a) Que sea un buen profesional</v>
      </c>
      <c r="AY120" s="89" t="str">
        <f>Registro!AT120</f>
        <v>e) Absolutamente necesaria</v>
      </c>
      <c r="AZ120" s="89" t="str">
        <f>Registro!AU120</f>
        <v>a) No acostumbro a tomarlo nunca</v>
      </c>
      <c r="BA120" s="89" t="str">
        <f>Registro!AV120</f>
        <v>f) Educadores que, además, me han abierto caminos</v>
      </c>
      <c r="BB120" s="89" t="str">
        <f>Registro!AW120</f>
        <v>c) Bastante</v>
      </c>
      <c r="BC120" s="89" t="str">
        <f>Registro!AX120</f>
        <v>c) Son personas normales y corrientes</v>
      </c>
      <c r="BD120" s="89" t="str">
        <f>Registro!AY120</f>
        <v>a) Mi padre, b) Mi madre, c) Un hermano/a, d) Un escolapio, religioso o religiosa, e) Un, una docente, g) Un amigo, h) Una amiga</v>
      </c>
    </row>
    <row r="121" spans="1:14334 14340:16314" ht="15" customHeight="1" x14ac:dyDescent="0.25">
      <c r="A121" s="101">
        <f>Registro!A121</f>
        <v>42158.208229166667</v>
      </c>
      <c r="B121" s="89" t="str">
        <f>Registro!B121</f>
        <v>c) Obra Social San José de Calasanz de Valencia</v>
      </c>
      <c r="C121" s="89" t="str">
        <f>Registro!C121</f>
        <v>a) Primer año</v>
      </c>
      <c r="D121" s="89" t="str">
        <f>Registro!D121</f>
        <v>a) Educación Inicial</v>
      </c>
      <c r="E121" s="89" t="str">
        <f>Registro!E121</f>
        <v>a) Masculino</v>
      </c>
      <c r="F121" s="89" t="str">
        <f>Registro!F121</f>
        <v>a) Católica</v>
      </c>
      <c r="G121" s="89" t="str">
        <f>Registro!G121</f>
        <v>a) Mamá, c) Hermanos</v>
      </c>
      <c r="H121" s="89" t="str">
        <f>Registro!H121</f>
        <v>c) Apartamento</v>
      </c>
      <c r="I121" s="89" t="str">
        <f>Registro!I121</f>
        <v>a) Sí</v>
      </c>
      <c r="J121" s="89" t="str">
        <f>Registro!J121</f>
        <v>a) Cónsola videojuegos, b) Lavadora, c) Microondas, d) TV pantalla plana, i) Computadora</v>
      </c>
      <c r="K121" s="89" t="str">
        <f>Registro!K121</f>
        <v>a) Ninguna</v>
      </c>
      <c r="L121" s="89" t="str">
        <f>Registro!L121</f>
        <v>a) La familia, c) Los estudios, g) La felicidad</v>
      </c>
      <c r="M121" s="94">
        <f t="shared" si="9"/>
        <v>3</v>
      </c>
      <c r="N121" s="89" t="str">
        <f>Registro!M121</f>
        <v>a) Seguridad personal (la violencia y la delincuencia)</v>
      </c>
      <c r="O121" s="89" t="str">
        <f>Registro!N121</f>
        <v>a) Mucho</v>
      </c>
      <c r="P121" s="89" t="str">
        <f>Registro!O121</f>
        <v>a) Mucho</v>
      </c>
      <c r="Q121" s="89" t="str">
        <f>Registro!P121</f>
        <v>a) Mucho</v>
      </c>
      <c r="R121" s="89"/>
      <c r="S121" s="94">
        <f t="shared" si="5"/>
        <v>0</v>
      </c>
      <c r="T121" s="89" t="str">
        <f>Registro!R121</f>
        <v>a) Mucho</v>
      </c>
      <c r="U121" s="89" t="str">
        <f>Registro!S121</f>
        <v>b) La naturaleza</v>
      </c>
      <c r="V121" s="89" t="str">
        <f>Registro!T121</f>
        <v>a) Suelo rezar por convicción o porque me gusta</v>
      </c>
      <c r="W121" s="89" t="str">
        <f>Registro!U121</f>
        <v>b) Algunos domingos</v>
      </c>
      <c r="X121" s="89">
        <f>Registro!V121</f>
        <v>0</v>
      </c>
      <c r="Y121" s="89">
        <f>Registro!W121</f>
        <v>0</v>
      </c>
      <c r="Z121" s="89">
        <f>Registro!X121</f>
        <v>0</v>
      </c>
      <c r="AA121" s="89">
        <f>Registro!Y121</f>
        <v>0</v>
      </c>
      <c r="AB121" s="89">
        <f>Registro!Z121</f>
        <v>0</v>
      </c>
      <c r="AC121" s="89">
        <f>Registro!AA121</f>
        <v>0</v>
      </c>
      <c r="AD121" s="94">
        <f t="shared" si="6"/>
        <v>0</v>
      </c>
      <c r="AE121" s="89">
        <f>Registro!AB121</f>
        <v>0</v>
      </c>
      <c r="AF121" s="89">
        <f>Registro!AC121</f>
        <v>0</v>
      </c>
      <c r="AG121" s="89">
        <f>Registro!AD121</f>
        <v>0</v>
      </c>
      <c r="AH121" s="94">
        <f t="shared" si="7"/>
        <v>0</v>
      </c>
      <c r="AI121" s="89">
        <f>Registro!AE121</f>
        <v>0</v>
      </c>
      <c r="AJ121" s="89">
        <f>Registro!AF121</f>
        <v>0</v>
      </c>
      <c r="AK121" s="94">
        <f t="shared" si="8"/>
        <v>0</v>
      </c>
      <c r="AL121" s="89">
        <f>Registro!AG121</f>
        <v>0</v>
      </c>
      <c r="AM121" s="89">
        <f>Registro!AH121</f>
        <v>0</v>
      </c>
      <c r="AN121" s="89">
        <f>Registro!AI121</f>
        <v>0</v>
      </c>
      <c r="AO121" s="89">
        <f>Registro!AJ121</f>
        <v>0</v>
      </c>
      <c r="AP121" s="89">
        <f>Registro!AK121</f>
        <v>0</v>
      </c>
      <c r="AQ121" s="89">
        <f>Registro!AL121</f>
        <v>0</v>
      </c>
      <c r="AR121" s="89">
        <f>Registro!AM121</f>
        <v>0</v>
      </c>
      <c r="AS121" s="89">
        <f>Registro!AN121</f>
        <v>0</v>
      </c>
      <c r="AT121" s="89">
        <f>Registro!AO121</f>
        <v>0</v>
      </c>
      <c r="AU121" s="89">
        <f>Registro!AP121</f>
        <v>0</v>
      </c>
      <c r="AV121" s="89">
        <f>Registro!AQ121</f>
        <v>0</v>
      </c>
      <c r="AW121" s="89">
        <f>Registro!AR121</f>
        <v>0</v>
      </c>
      <c r="AX121" s="89">
        <f>Registro!AS121</f>
        <v>0</v>
      </c>
      <c r="AY121" s="89">
        <f>Registro!AT121</f>
        <v>0</v>
      </c>
      <c r="AZ121" s="89">
        <f>Registro!AU121</f>
        <v>0</v>
      </c>
      <c r="BA121" s="89">
        <f>Registro!AV121</f>
        <v>0</v>
      </c>
      <c r="BB121" s="89">
        <f>Registro!AW121</f>
        <v>0</v>
      </c>
      <c r="BC121" s="89">
        <f>Registro!AX121</f>
        <v>0</v>
      </c>
      <c r="BD121" s="89">
        <f>Registro!AY121</f>
        <v>0</v>
      </c>
    </row>
    <row r="122" spans="1:14334 14340:16314" ht="15" customHeight="1" x14ac:dyDescent="0.25">
      <c r="A122" s="101">
        <f>Registro!A122</f>
        <v>42158.208425925928</v>
      </c>
      <c r="B122" s="89" t="str">
        <f>Registro!B122</f>
        <v>c) Obra Social San José de Calasanz de Valencia</v>
      </c>
      <c r="C122" s="89" t="str">
        <f>Registro!C122</f>
        <v>a) Primer año</v>
      </c>
      <c r="D122" s="89" t="str">
        <f>Registro!D122</f>
        <v>b) Primaria</v>
      </c>
      <c r="E122" s="89" t="str">
        <f>Registro!E122</f>
        <v>b) Femenino</v>
      </c>
      <c r="F122" s="89" t="str">
        <f>Registro!F122</f>
        <v>a) Católica</v>
      </c>
      <c r="G122" s="89" t="str">
        <f>Registro!G122</f>
        <v>a) Mamá, b) Papá, c) Hermanos, d) Abuelos</v>
      </c>
      <c r="H122" s="89" t="str">
        <f>Registro!H122</f>
        <v>b) Casa Urbana</v>
      </c>
      <c r="I122" s="89" t="str">
        <f>Registro!I122</f>
        <v>a) Sí</v>
      </c>
      <c r="J122" s="89" t="str">
        <f>Registro!J122</f>
        <v>a) Cónsola videojuegos, b) Lavadora, c) Microondas, d) TV pantalla plana, e) Moto, f) MP3, i) Computadora, j) Cámara digital, k) Aire acondicionado</v>
      </c>
      <c r="K122" s="89" t="str">
        <f>Registro!K122</f>
        <v>b) Una</v>
      </c>
      <c r="L122" s="89"/>
      <c r="M122" s="94">
        <f t="shared" si="9"/>
        <v>0</v>
      </c>
      <c r="N122" s="89" t="str">
        <f>Registro!M122</f>
        <v>a) Seguridad personal (la violencia y la delincuencia)</v>
      </c>
      <c r="O122" s="89" t="str">
        <f>Registro!N122</f>
        <v>a) Mucho</v>
      </c>
      <c r="P122" s="89" t="str">
        <f>Registro!O122</f>
        <v>a) Mucho</v>
      </c>
      <c r="Q122" s="89" t="str">
        <f>Registro!P122</f>
        <v>a) Mucho</v>
      </c>
      <c r="R122" s="89" t="str">
        <f>Registro!Q122</f>
        <v>a) La familia, d) El cuidado de mi cuerpo, e) Disponer de dinero</v>
      </c>
      <c r="S122" s="94">
        <f t="shared" si="5"/>
        <v>3</v>
      </c>
      <c r="T122" s="89" t="str">
        <f>Registro!R122</f>
        <v>a) Mucho</v>
      </c>
      <c r="U122" s="89" t="str">
        <f>Registro!S122</f>
        <v>a) La Iglesia, b) La naturaleza, c) El salón de clase, d) Las convivencias, g) Mi familia, h) Algunas personas cercanas a Dios, i) Los necesitados, k) La oración, l) Los sacramentos</v>
      </c>
      <c r="V122" s="89" t="str">
        <f>Registro!T122</f>
        <v>b) Rezo por costumbre</v>
      </c>
      <c r="W122" s="89" t="str">
        <f>Registro!U122</f>
        <v>a) Todos los domingos</v>
      </c>
      <c r="X122" s="89" t="str">
        <f>Registro!V122</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v>
      </c>
      <c r="Y122" s="89" t="str">
        <f>Registro!W122</f>
        <v>a) Deportivo, c) Religioso o parroquial</v>
      </c>
      <c r="Z122" s="89" t="str">
        <f>Registro!X122</f>
        <v>a) Un grupo donde profundizo mi fe</v>
      </c>
      <c r="AA122" s="89" t="str">
        <f>Registro!Y122</f>
        <v>a) Sí</v>
      </c>
      <c r="AB122" s="89" t="str">
        <f>Registro!Z122</f>
        <v>a) Sí</v>
      </c>
      <c r="AC122" s="89" t="str">
        <f>Registro!AA122</f>
        <v>a) Medicina</v>
      </c>
      <c r="AD122" s="94">
        <f t="shared" si="6"/>
        <v>1</v>
      </c>
      <c r="AE122" s="89" t="str">
        <f>Registro!AB122</f>
        <v>e) Servir a los demás</v>
      </c>
      <c r="AF122" s="89" t="str">
        <f>Registro!AC122</f>
        <v>c) Bastante</v>
      </c>
      <c r="AG122" s="89" t="str">
        <f>Registro!AD122</f>
        <v>e) La mayor posibilidad de vivir mi fe, g) La relación con los docentes</v>
      </c>
      <c r="AH122" s="94">
        <f t="shared" si="7"/>
        <v>2</v>
      </c>
      <c r="AI122" s="89" t="str">
        <f>Registro!AE122</f>
        <v>d) 7 a 8 horas</v>
      </c>
      <c r="AJ122" s="89" t="str">
        <f>Registro!AF122</f>
        <v>k) Practico algún deporte</v>
      </c>
      <c r="AK122" s="94">
        <f t="shared" si="8"/>
        <v>1</v>
      </c>
      <c r="AL122" s="89" t="str">
        <f>Registro!AG122</f>
        <v>a) Muy bueno</v>
      </c>
      <c r="AM122" s="89" t="str">
        <f>Registro!AH122</f>
        <v>b) Buena</v>
      </c>
      <c r="AN122" s="89" t="str">
        <f>Registro!AI122</f>
        <v>a) Muy buena</v>
      </c>
      <c r="AO122" s="89" t="str">
        <f>Registro!AJ122</f>
        <v>a) Muy buena</v>
      </c>
      <c r="AP122" s="89" t="str">
        <f>Registro!AK122</f>
        <v>a) Muy buena</v>
      </c>
      <c r="AQ122" s="89" t="str">
        <f>Registro!AL122</f>
        <v>c) Regular</v>
      </c>
      <c r="AR122" s="89" t="str">
        <f>Registro!AM122</f>
        <v>b) Buena</v>
      </c>
      <c r="AS122" s="89" t="str">
        <f>Registro!AN122</f>
        <v>a) Muy buena</v>
      </c>
      <c r="AT122" s="89" t="str">
        <f>Registro!AO122</f>
        <v>a) Muy buena</v>
      </c>
      <c r="AU122" s="89" t="str">
        <f>Registro!AP122</f>
        <v>a) Muy buena</v>
      </c>
      <c r="AV122" s="89" t="str">
        <f>Registro!AQ122</f>
        <v>a) Muy buena</v>
      </c>
      <c r="AW122" s="89" t="str">
        <f>Registro!AR122</f>
        <v>c) El estudio</v>
      </c>
      <c r="AX122" s="89" t="str">
        <f>Registro!AS122</f>
        <v>a) Que sea un buen profesional</v>
      </c>
      <c r="AY122" s="89" t="str">
        <f>Registro!AT122</f>
        <v>d) Bastante necesaria</v>
      </c>
      <c r="AZ122" s="89" t="str">
        <f>Registro!AU122</f>
        <v>a) No acostumbro a tomarlo nunca</v>
      </c>
      <c r="BA122" s="89" t="str">
        <f>Registro!AV122</f>
        <v>e) Educadores que se preocupan de nosotros</v>
      </c>
      <c r="BB122" s="89" t="str">
        <f>Registro!AW122</f>
        <v>d) Mucho o muchísimo</v>
      </c>
      <c r="BC122" s="89" t="str">
        <f>Registro!AX122</f>
        <v>e) Son personas que me gustan y admiro</v>
      </c>
      <c r="BD122" s="89" t="str">
        <f>Registro!AY122</f>
        <v>b) Mi madre, d) Un escolapio, religioso o religiosa, g) Un amigo, h) Una amiga</v>
      </c>
    </row>
    <row r="123" spans="1:14334 14340:16314" ht="15" customHeight="1" x14ac:dyDescent="0.25">
      <c r="A123" s="101">
        <f>Registro!A123</f>
        <v>42158.209097222221</v>
      </c>
      <c r="B123" s="89" t="str">
        <f>Registro!B123</f>
        <v>c) Obra Social San José de Calasanz de Valencia</v>
      </c>
      <c r="C123" s="89" t="str">
        <f>Registro!C123</f>
        <v>a) Primer año</v>
      </c>
      <c r="D123" s="89" t="str">
        <f>Registro!D123</f>
        <v>a) Educación Inicial</v>
      </c>
      <c r="E123" s="89" t="str">
        <f>Registro!E123</f>
        <v>a) Masculino</v>
      </c>
      <c r="F123" s="89" t="str">
        <f>Registro!F123</f>
        <v>a) Católica</v>
      </c>
      <c r="G123" s="89" t="str">
        <f>Registro!G123</f>
        <v>a) Mamá</v>
      </c>
      <c r="H123" s="89" t="str">
        <f>Registro!H123</f>
        <v>b) Casa Urbana</v>
      </c>
      <c r="I123" s="89" t="str">
        <f>Registro!I123</f>
        <v>a) Sí</v>
      </c>
      <c r="J123" s="89" t="str">
        <f>Registro!J123</f>
        <v>i) Computadora</v>
      </c>
      <c r="K123" s="89" t="str">
        <f>Registro!K123</f>
        <v>f) Más de cuatro</v>
      </c>
      <c r="L123" s="89" t="str">
        <f>Registro!L123</f>
        <v>a) La familia, b) Los amigos, c) Los estudios</v>
      </c>
      <c r="M123" s="94">
        <f t="shared" si="9"/>
        <v>3</v>
      </c>
      <c r="N123" s="89" t="str">
        <f>Registro!M123</f>
        <v>c) Yo mismo</v>
      </c>
      <c r="O123" s="89" t="str">
        <f>Registro!N123</f>
        <v>a) Mucho</v>
      </c>
      <c r="P123" s="89" t="str">
        <f>Registro!O123</f>
        <v>c) Poco</v>
      </c>
      <c r="Q123" s="89" t="str">
        <f>Registro!P123</f>
        <v>a) Mucho</v>
      </c>
      <c r="R123" s="89" t="str">
        <f>Registro!Q123</f>
        <v>a) La familia, c) Los estudios, d) El cuidado de mi cuerpo</v>
      </c>
      <c r="S123" s="94">
        <f t="shared" si="5"/>
        <v>3</v>
      </c>
      <c r="T123" s="89" t="str">
        <f>Registro!R123</f>
        <v>a) Mucho</v>
      </c>
      <c r="U123" s="89" t="str">
        <f>Registro!S123</f>
        <v>a) La Iglesia, c) El salón de clase, g) Mi familia</v>
      </c>
      <c r="V123" s="89" t="str">
        <f>Registro!T123</f>
        <v>a) Suelo rezar por convicción o porque me gusta</v>
      </c>
      <c r="W123" s="89" t="str">
        <f>Registro!U123</f>
        <v>a) Todos los domingos</v>
      </c>
      <c r="X123" s="89" t="str">
        <f>Registro!V123</f>
        <v>b) Suelo bendedir los alimentos antes de comer</v>
      </c>
      <c r="Y123" s="89" t="str">
        <f>Registro!W123</f>
        <v>a) Deportivo</v>
      </c>
      <c r="Z123" s="89" t="str">
        <f>Registro!X123</f>
        <v>d) No pertenezco a grupos juveniles cristianos</v>
      </c>
      <c r="AA123" s="89" t="str">
        <f>Registro!Y123</f>
        <v>b) No</v>
      </c>
      <c r="AB123" s="89" t="str">
        <f>Registro!Z123</f>
        <v>b) No</v>
      </c>
      <c r="AC123" s="89"/>
      <c r="AD123" s="94">
        <f t="shared" si="6"/>
        <v>0</v>
      </c>
      <c r="AE123" s="89" t="str">
        <f>Registro!AB123</f>
        <v>e) Servir a los demás</v>
      </c>
      <c r="AF123" s="89" t="str">
        <f>Registro!AC123</f>
        <v>a) No, en absoluto</v>
      </c>
      <c r="AG123" s="89" t="str">
        <f>Registro!AD123</f>
        <v>a) Los deportes y diversiones, c) Las instalaciones del Colegio</v>
      </c>
      <c r="AH123" s="94">
        <f t="shared" si="7"/>
        <v>2</v>
      </c>
      <c r="AI123" s="89" t="str">
        <f>Registro!AE123</f>
        <v>f) 11 o más horas</v>
      </c>
      <c r="AJ123" s="89" t="str">
        <f>Registro!AF123</f>
        <v>a) Me divierto con juegos para computadoras, b) Navego en Internet, d) Estoy la mayor parte del tiempo en la casa sin hacer nada</v>
      </c>
      <c r="AK123" s="94">
        <f t="shared" si="8"/>
        <v>3</v>
      </c>
      <c r="AL123" s="89" t="str">
        <f>Registro!AG123</f>
        <v>a) Muy bueno</v>
      </c>
      <c r="AM123" s="89" t="str">
        <f>Registro!AH123</f>
        <v>c) Regular</v>
      </c>
      <c r="AN123" s="89">
        <f>Registro!AI123</f>
        <v>0</v>
      </c>
      <c r="AO123" s="89" t="str">
        <f>Registro!AJ123</f>
        <v>a) Muy buena</v>
      </c>
      <c r="AP123" s="89" t="str">
        <f>Registro!AK123</f>
        <v>a) Muy buena</v>
      </c>
      <c r="AQ123" s="89" t="str">
        <f>Registro!AL123</f>
        <v>a) Muy buena</v>
      </c>
      <c r="AR123" s="89" t="str">
        <f>Registro!AM123</f>
        <v>a) Muy buena</v>
      </c>
      <c r="AS123" s="89" t="str">
        <f>Registro!AN123</f>
        <v>c) Regular</v>
      </c>
      <c r="AT123" s="89" t="str">
        <f>Registro!AO123</f>
        <v>d) Mala</v>
      </c>
      <c r="AU123" s="89" t="str">
        <f>Registro!AP123</f>
        <v>c) Regular</v>
      </c>
      <c r="AV123" s="89" t="str">
        <f>Registro!AQ123</f>
        <v>a) Muy buena</v>
      </c>
      <c r="AW123" s="89" t="str">
        <f>Registro!AR123</f>
        <v>a) El compañerismo</v>
      </c>
      <c r="AX123" s="89" t="str">
        <f>Registro!AS123</f>
        <v>b) Darme una buena educación</v>
      </c>
      <c r="AY123" s="89" t="str">
        <f>Registro!AT123</f>
        <v>b) Indiferente</v>
      </c>
      <c r="AZ123" s="89" t="str">
        <f>Registro!AU123</f>
        <v>b) Las veces que bebo, es con moderación</v>
      </c>
      <c r="BA123" s="89" t="str">
        <f>Registro!AV123</f>
        <v>a) Personas a las que tengo que aguantar</v>
      </c>
      <c r="BB123" s="89" t="str">
        <f>Registro!AW123</f>
        <v>a) No, en absoluto</v>
      </c>
      <c r="BC123" s="89" t="str">
        <f>Registro!AX123</f>
        <v>a) No me gustan en absoluto</v>
      </c>
      <c r="BD123" s="89" t="str">
        <f>Registro!AY123</f>
        <v>a) Mi padre, c) Un hermano/a, g) Un amigo</v>
      </c>
    </row>
    <row r="124" spans="1:14334 14340:16314" ht="15" customHeight="1" x14ac:dyDescent="0.25">
      <c r="A124" s="101">
        <f>Registro!A124</f>
        <v>42158.209560185183</v>
      </c>
      <c r="B124" s="89" t="str">
        <f>Registro!B124</f>
        <v>c) Obra Social San José de Calasanz de Valencia</v>
      </c>
      <c r="C124" s="89" t="str">
        <f>Registro!C124</f>
        <v>a) Primer año</v>
      </c>
      <c r="D124" s="89" t="str">
        <f>Registro!D124</f>
        <v>b) Primaria</v>
      </c>
      <c r="E124" s="89" t="str">
        <f>Registro!E124</f>
        <v>a) Masculino</v>
      </c>
      <c r="F124" s="89" t="str">
        <f>Registro!F124</f>
        <v>a) Católica</v>
      </c>
      <c r="G124" s="89" t="str">
        <f>Registro!G124</f>
        <v>a) Mamá, b) Papá, d) Abuelos, e) Otros familiares</v>
      </c>
      <c r="H124" s="89" t="str">
        <f>Registro!H124</f>
        <v>b) Casa Urbana</v>
      </c>
      <c r="I124" s="89" t="str">
        <f>Registro!I124</f>
        <v>a) Sí</v>
      </c>
      <c r="J124" s="89" t="str">
        <f>Registro!J124</f>
        <v>i) Computadora</v>
      </c>
      <c r="K124" s="89" t="str">
        <f>Registro!K124</f>
        <v>f) Más de cuatro</v>
      </c>
      <c r="L124" s="89" t="str">
        <f>Registro!L124</f>
        <v>a) La familia, c) Los estudios, d) El cuidado de mi cuerpo</v>
      </c>
      <c r="M124" s="94">
        <f t="shared" si="9"/>
        <v>3</v>
      </c>
      <c r="N124" s="89" t="str">
        <f>Registro!M124</f>
        <v>a) Seguridad personal (la violencia y la delincuencia)</v>
      </c>
      <c r="O124" s="89" t="str">
        <f>Registro!N124</f>
        <v>a) Mucho</v>
      </c>
      <c r="P124" s="89" t="str">
        <f>Registro!O124</f>
        <v>c) Poco</v>
      </c>
      <c r="Q124" s="89" t="str">
        <f>Registro!P124</f>
        <v>a) Mucho</v>
      </c>
      <c r="R124" s="89" t="str">
        <f>Registro!Q124</f>
        <v>a) La familia, c) Los estudios, d) El cuidado de mi cuerpo</v>
      </c>
      <c r="S124" s="94">
        <f t="shared" si="5"/>
        <v>3</v>
      </c>
      <c r="T124" s="89" t="str">
        <f>Registro!R124</f>
        <v>a) Mucho</v>
      </c>
      <c r="U124" s="89" t="str">
        <f>Registro!S124</f>
        <v>a) La Iglesia, c) El salón de clase, g) Mi familia</v>
      </c>
      <c r="V124" s="89" t="str">
        <f>Registro!T124</f>
        <v>a) Suelo rezar por convicción o porque me gusta</v>
      </c>
      <c r="W124" s="89" t="str">
        <f>Registro!U124</f>
        <v>a) Todos los domingos</v>
      </c>
      <c r="X124" s="89" t="str">
        <f>Registro!V124</f>
        <v>b) Suelo bendedir los alimentos antes de comer</v>
      </c>
      <c r="Y124" s="89" t="str">
        <f>Registro!W124</f>
        <v>a) Deportivo</v>
      </c>
      <c r="Z124" s="89" t="str">
        <f>Registro!X124</f>
        <v>a) Un grupo donde profundizo mi fe</v>
      </c>
      <c r="AA124" s="89" t="str">
        <f>Registro!Y124</f>
        <v>b) No</v>
      </c>
      <c r="AB124" s="89" t="str">
        <f>Registro!Z124</f>
        <v>b) No</v>
      </c>
      <c r="AC124" s="89"/>
      <c r="AD124" s="94">
        <f t="shared" si="6"/>
        <v>0</v>
      </c>
      <c r="AE124" s="89" t="str">
        <f>Registro!AB124</f>
        <v>c) Ser un excelente profesional</v>
      </c>
      <c r="AF124" s="89" t="str">
        <f>Registro!AC124</f>
        <v>a) No, en absoluto</v>
      </c>
      <c r="AG124" s="89"/>
      <c r="AH124" s="94">
        <f t="shared" si="7"/>
        <v>0</v>
      </c>
      <c r="AI124" s="89" t="str">
        <f>Registro!AE124</f>
        <v>f) 11 o más horas</v>
      </c>
      <c r="AJ124" s="89"/>
      <c r="AK124" s="94">
        <f t="shared" si="8"/>
        <v>0</v>
      </c>
      <c r="AL124" s="89" t="str">
        <f>Registro!AG124</f>
        <v>a) Muy bueno</v>
      </c>
      <c r="AM124" s="89" t="str">
        <f>Registro!AH124</f>
        <v>b) Buena</v>
      </c>
      <c r="AN124" s="89" t="str">
        <f>Registro!AI124</f>
        <v>c) Regular</v>
      </c>
      <c r="AO124" s="89" t="str">
        <f>Registro!AJ124</f>
        <v>a) Muy buena</v>
      </c>
      <c r="AP124" s="89" t="str">
        <f>Registro!AK124</f>
        <v>b) Buena</v>
      </c>
      <c r="AQ124" s="89" t="str">
        <f>Registro!AL124</f>
        <v>b) Buena</v>
      </c>
      <c r="AR124" s="89" t="str">
        <f>Registro!AM124</f>
        <v>b) Buena</v>
      </c>
      <c r="AS124" s="89" t="str">
        <f>Registro!AN124</f>
        <v>b) Buena</v>
      </c>
      <c r="AT124" s="89" t="str">
        <f>Registro!AO124</f>
        <v>b) Buena</v>
      </c>
      <c r="AU124" s="89" t="str">
        <f>Registro!AP124</f>
        <v>b) Buena</v>
      </c>
      <c r="AV124" s="89" t="str">
        <f>Registro!AQ124</f>
        <v>a) Muy buena</v>
      </c>
      <c r="AW124" s="89" t="str">
        <f>Registro!AR124</f>
        <v>a) El compañerismo</v>
      </c>
      <c r="AX124" s="89" t="str">
        <f>Registro!AS124</f>
        <v>b) Darme una buena educación</v>
      </c>
      <c r="AY124" s="89" t="str">
        <f>Registro!AT124</f>
        <v>b) Indiferente</v>
      </c>
      <c r="AZ124" s="89" t="str">
        <f>Registro!AU124</f>
        <v>a) No acostumbro a tomarlo nunca</v>
      </c>
      <c r="BA124" s="89" t="str">
        <f>Registro!AV124</f>
        <v>d) Buenos profesionales de la educación</v>
      </c>
      <c r="BB124" s="89" t="str">
        <f>Registro!AW124</f>
        <v>c) Bastante</v>
      </c>
      <c r="BC124" s="89" t="str">
        <f>Registro!AX124</f>
        <v>c) Son personas normales y corrientes</v>
      </c>
      <c r="BD124" s="89" t="str">
        <f>Registro!AY124</f>
        <v>a) Mi padre, b) Mi madre, c) Un hermano/a, g) Un amigo, h) Una amiga</v>
      </c>
    </row>
    <row r="125" spans="1:14334 14340:16314" ht="15" customHeight="1" x14ac:dyDescent="0.25">
      <c r="A125" s="101">
        <f>Registro!A125</f>
        <v>42158.209965277776</v>
      </c>
      <c r="B125" s="89" t="str">
        <f>Registro!B125</f>
        <v>c) Obra Social San José de Calasanz de Valencia</v>
      </c>
      <c r="C125" s="89" t="str">
        <f>Registro!C125</f>
        <v>a) Primer año</v>
      </c>
      <c r="D125" s="89" t="str">
        <f>Registro!D125</f>
        <v>a) Educación Inicial</v>
      </c>
      <c r="E125" s="89" t="str">
        <f>Registro!E125</f>
        <v>a) Masculino</v>
      </c>
      <c r="F125" s="89" t="str">
        <f>Registro!F125</f>
        <v>a) Católica</v>
      </c>
      <c r="G125" s="89" t="str">
        <f>Registro!G125</f>
        <v>a) Mamá, b) Papá, c) Hermanos</v>
      </c>
      <c r="H125" s="89" t="str">
        <f>Registro!H125</f>
        <v>b) Casa Urbana</v>
      </c>
      <c r="I125" s="89" t="str">
        <f>Registro!I125</f>
        <v>c) Algo</v>
      </c>
      <c r="J125" s="89" t="str">
        <f>Registro!J125</f>
        <v>a) Cónsola videojuegos, c) Microondas, e) Moto, i) Computadora, k) Aire acondicionado</v>
      </c>
      <c r="K125" s="89" t="str">
        <f>Registro!K125</f>
        <v>c) Dos</v>
      </c>
      <c r="L125" s="89" t="str">
        <f>Registro!L125</f>
        <v>a) La familia, b) Los amigos, f) Mi fe y vida cristiana</v>
      </c>
      <c r="M125" s="94">
        <f t="shared" si="9"/>
        <v>3</v>
      </c>
      <c r="N125" s="89" t="str">
        <f>Registro!M125</f>
        <v>b) El futuro</v>
      </c>
      <c r="O125" s="89" t="str">
        <f>Registro!N125</f>
        <v>c) Poco</v>
      </c>
      <c r="P125" s="89" t="str">
        <f>Registro!O125</f>
        <v>b) Suficiente</v>
      </c>
      <c r="Q125" s="89" t="str">
        <f>Registro!P125</f>
        <v>a) Mucho</v>
      </c>
      <c r="R125" s="89"/>
      <c r="S125" s="94">
        <f t="shared" si="5"/>
        <v>0</v>
      </c>
      <c r="T125" s="89" t="str">
        <f>Registro!R125</f>
        <v>a) Mucho</v>
      </c>
      <c r="U125" s="89" t="str">
        <f>Registro!S125</f>
        <v>a) La Iglesia, c) El salón de clase, g) Mi familia</v>
      </c>
      <c r="V125" s="89" t="str">
        <f>Registro!T125</f>
        <v>a) Suelo rezar por convicción o porque me gusta</v>
      </c>
      <c r="W125" s="89" t="str">
        <f>Registro!U125</f>
        <v>c) Solo en fechas especiales</v>
      </c>
      <c r="X125" s="89" t="str">
        <f>Registro!V125</f>
        <v>b) Suelo bendedir los alimentos antes de comer, c) Suelo ir los domingos y otras fechas especiales a la Iglesia, d) Suelo orar todos los días</v>
      </c>
      <c r="Y125" s="89" t="str">
        <f>Registro!W125</f>
        <v>d) No pertenezco a ninguno</v>
      </c>
      <c r="Z125" s="89" t="str">
        <f>Registro!X125</f>
        <v>a) Un grupo donde profundizo mi fe</v>
      </c>
      <c r="AA125" s="89" t="str">
        <f>Registro!Y125</f>
        <v>a) Sí</v>
      </c>
      <c r="AB125" s="89" t="str">
        <f>Registro!Z125</f>
        <v>c) Algo</v>
      </c>
      <c r="AC125" s="89" t="str">
        <f>Registro!AA125</f>
        <v>a) Medicina, c) Sacerdocio o hermana religiosa</v>
      </c>
      <c r="AD125" s="94">
        <f t="shared" si="6"/>
        <v>2</v>
      </c>
      <c r="AE125" s="89" t="str">
        <f>Registro!AB125</f>
        <v>f) Ejecutar una tarea conforme a mi fe</v>
      </c>
      <c r="AF125" s="89" t="str">
        <f>Registro!AC125</f>
        <v>d) Mucho o muchísimo</v>
      </c>
      <c r="AG125" s="89" t="str">
        <f>Registro!AD125</f>
        <v>a) Los deportes y diversiones, d) Los grupos juveniles cristianos</v>
      </c>
      <c r="AH125" s="94">
        <f t="shared" si="7"/>
        <v>2</v>
      </c>
      <c r="AI125" s="89" t="str">
        <f>Registro!AE125</f>
        <v>b) 3 a 4 horas</v>
      </c>
      <c r="AJ125" s="89" t="str">
        <f>Registro!AF125</f>
        <v>d) Estoy la mayor parte del tiempo en la casa sin hacer nada, l) Escucho música y/o veo videos musicales, m) Veo televisión y/o películas</v>
      </c>
      <c r="AK125" s="94">
        <f t="shared" si="8"/>
        <v>3</v>
      </c>
      <c r="AL125" s="89" t="str">
        <f>Registro!AG125</f>
        <v>a) Muy bueno</v>
      </c>
      <c r="AM125" s="89" t="str">
        <f>Registro!AH125</f>
        <v>b) Buena</v>
      </c>
      <c r="AN125" s="89" t="str">
        <f>Registro!AI125</f>
        <v>b) Buena</v>
      </c>
      <c r="AO125" s="89" t="str">
        <f>Registro!AJ125</f>
        <v>a) Muy buena</v>
      </c>
      <c r="AP125" s="89" t="str">
        <f>Registro!AK125</f>
        <v>b) Buena</v>
      </c>
      <c r="AQ125" s="89" t="str">
        <f>Registro!AL125</f>
        <v>c) Regular</v>
      </c>
      <c r="AR125" s="89" t="str">
        <f>Registro!AM125</f>
        <v>a) Muy buena</v>
      </c>
      <c r="AS125" s="89" t="str">
        <f>Registro!AN125</f>
        <v>a) Muy buena</v>
      </c>
      <c r="AT125" s="89" t="str">
        <f>Registro!AO125</f>
        <v>b) Buena</v>
      </c>
      <c r="AU125" s="89" t="str">
        <f>Registro!AP125</f>
        <v>a) Muy buena</v>
      </c>
      <c r="AV125" s="89" t="str">
        <f>Registro!AQ125</f>
        <v>b) Buena</v>
      </c>
      <c r="AW125" s="89" t="str">
        <f>Registro!AR125</f>
        <v>c) El estudio</v>
      </c>
      <c r="AX125" s="89" t="str">
        <f>Registro!AS125</f>
        <v>b) Darme una buena educación</v>
      </c>
      <c r="AY125" s="89" t="str">
        <f>Registro!AT125</f>
        <v>e) Absolutamente necesaria</v>
      </c>
      <c r="AZ125" s="89" t="str">
        <f>Registro!AU125</f>
        <v>a) No acostumbro a tomarlo nunca</v>
      </c>
      <c r="BA125" s="89" t="str">
        <f>Registro!AV125</f>
        <v>d) Buenos profesionales de la educación</v>
      </c>
      <c r="BB125" s="89" t="str">
        <f>Registro!AW125</f>
        <v>d) Mucho o muchísimo</v>
      </c>
      <c r="BC125" s="89" t="str">
        <f>Registro!AX125</f>
        <v>e) Son personas que me gustan y admiro</v>
      </c>
      <c r="BD125" s="89" t="str">
        <f>Registro!AY125</f>
        <v>a) Mi padre, b) Mi madre, c) Un hermano/a, d) Un escolapio, religioso o religiosa, e) Un, una docente, g) Un amigo</v>
      </c>
    </row>
    <row r="126" spans="1:14334 14340:16314" ht="15" customHeight="1" x14ac:dyDescent="0.25">
      <c r="A126" s="101">
        <f>Registro!A126</f>
        <v>42158.210462962961</v>
      </c>
      <c r="B126" s="89" t="str">
        <f>Registro!B126</f>
        <v>c) Obra Social San José de Calasanz de Valencia</v>
      </c>
      <c r="C126" s="89" t="str">
        <f>Registro!C126</f>
        <v>a) Primer año</v>
      </c>
      <c r="D126" s="89" t="str">
        <f>Registro!D126</f>
        <v>a) Educación Inicial</v>
      </c>
      <c r="E126" s="89" t="str">
        <f>Registro!E126</f>
        <v>a) Masculino</v>
      </c>
      <c r="F126" s="89" t="str">
        <f>Registro!F126</f>
        <v>a) Católica</v>
      </c>
      <c r="G126" s="89" t="str">
        <f>Registro!G126</f>
        <v>a) Mamá, b) Papá, c) Hermanos</v>
      </c>
      <c r="H126" s="89" t="str">
        <f>Registro!H126</f>
        <v>b) Casa Urbana</v>
      </c>
      <c r="I126" s="89" t="str">
        <f>Registro!I126</f>
        <v>a) Sí</v>
      </c>
      <c r="J126" s="89" t="str">
        <f>Registro!J126</f>
        <v>a) Cónsola videojuegos, b) Lavadora, c) Microondas, d) TV pantalla plana, h) Carro, i) Computadora, j) Cámara digital, k) Aire acondicionado</v>
      </c>
      <c r="K126" s="89" t="str">
        <f>Registro!K126</f>
        <v>c) Dos</v>
      </c>
      <c r="L126" s="89"/>
      <c r="M126" s="94">
        <f t="shared" si="9"/>
        <v>0</v>
      </c>
      <c r="N126" s="89" t="str">
        <f>Registro!M126</f>
        <v>b) El futuro</v>
      </c>
      <c r="O126" s="89" t="str">
        <f>Registro!N126</f>
        <v>c) Poco</v>
      </c>
      <c r="P126" s="89" t="str">
        <f>Registro!O126</f>
        <v>b) Suficiente</v>
      </c>
      <c r="Q126" s="89" t="str">
        <f>Registro!P126</f>
        <v>c) Poco</v>
      </c>
      <c r="R126" s="89" t="str">
        <f>Registro!Q126</f>
        <v>c) Los estudios</v>
      </c>
      <c r="S126" s="94">
        <f t="shared" si="5"/>
        <v>1</v>
      </c>
      <c r="T126" s="89" t="str">
        <f>Registro!R126</f>
        <v>a) Mucho</v>
      </c>
      <c r="U126" s="89" t="str">
        <f>Registro!S126</f>
        <v>a) La Iglesia</v>
      </c>
      <c r="V126" s="89" t="str">
        <f>Registro!T126</f>
        <v>b) Rezo por costumbre</v>
      </c>
      <c r="W126" s="89" t="str">
        <f>Registro!U126</f>
        <v>d) Nunca</v>
      </c>
      <c r="X126" s="89" t="str">
        <f>Registro!V126</f>
        <v>i) Tengo en mi cuarto alguna imagen religiosa</v>
      </c>
      <c r="Y126" s="89" t="str">
        <f>Registro!W126</f>
        <v>d) No pertenezco a ninguno</v>
      </c>
      <c r="Z126" s="89" t="str">
        <f>Registro!X126</f>
        <v>d) No pertenezco a grupos juveniles cristianos</v>
      </c>
      <c r="AA126" s="89" t="str">
        <f>Registro!Y126</f>
        <v>b) No</v>
      </c>
      <c r="AB126" s="89" t="str">
        <f>Registro!Z126</f>
        <v>b) No</v>
      </c>
      <c r="AC126" s="89" t="str">
        <f>Registro!AA126</f>
        <v>d) Ingeniería</v>
      </c>
      <c r="AD126" s="94">
        <f t="shared" si="6"/>
        <v>1</v>
      </c>
      <c r="AE126" s="89" t="str">
        <f>Registro!AB126</f>
        <v>b) Tener una buena posición social, ser importante</v>
      </c>
      <c r="AF126" s="89" t="str">
        <f>Registro!AC126</f>
        <v>b) Poco</v>
      </c>
      <c r="AG126" s="89"/>
      <c r="AH126" s="94">
        <f t="shared" si="7"/>
        <v>0</v>
      </c>
      <c r="AI126" s="89" t="str">
        <f>Registro!AE126</f>
        <v>c) 5 a 6 horas</v>
      </c>
      <c r="AJ126" s="89"/>
      <c r="AK126" s="94">
        <f t="shared" si="8"/>
        <v>0</v>
      </c>
      <c r="AL126" s="89" t="str">
        <f>Registro!AG126</f>
        <v>c) Regular</v>
      </c>
      <c r="AM126" s="89" t="str">
        <f>Registro!AH126</f>
        <v>a) Muy buena</v>
      </c>
      <c r="AN126" s="89" t="str">
        <f>Registro!AI126</f>
        <v>b) Buena</v>
      </c>
      <c r="AO126" s="89" t="str">
        <f>Registro!AJ126</f>
        <v>a) Muy buena</v>
      </c>
      <c r="AP126" s="89" t="str">
        <f>Registro!AK126</f>
        <v>a) Muy buena</v>
      </c>
      <c r="AQ126" s="89" t="str">
        <f>Registro!AL126</f>
        <v>a) Muy buena</v>
      </c>
      <c r="AR126" s="89" t="str">
        <f>Registro!AM126</f>
        <v>a) Muy buena</v>
      </c>
      <c r="AS126" s="89" t="str">
        <f>Registro!AN126</f>
        <v>b) Buena</v>
      </c>
      <c r="AT126" s="89" t="str">
        <f>Registro!AO126</f>
        <v>c) Regular</v>
      </c>
      <c r="AU126" s="89" t="str">
        <f>Registro!AP126</f>
        <v>a) Muy buena</v>
      </c>
      <c r="AV126" s="89" t="str">
        <f>Registro!AQ126</f>
        <v>b) Buena</v>
      </c>
      <c r="AW126" s="89" t="str">
        <f>Registro!AR126</f>
        <v>a) El compañerismo</v>
      </c>
      <c r="AX126" s="89" t="str">
        <f>Registro!AS126</f>
        <v>a) Que sea un buen profesional</v>
      </c>
      <c r="AY126" s="89" t="str">
        <f>Registro!AT126</f>
        <v>c) Conveniente</v>
      </c>
      <c r="AZ126" s="89" t="str">
        <f>Registro!AU126</f>
        <v>a) No acostumbro a tomarlo nunca</v>
      </c>
      <c r="BA126" s="89" t="str">
        <f>Registro!AV126</f>
        <v>d) Buenos profesionales de la educación</v>
      </c>
      <c r="BB126" s="89" t="str">
        <f>Registro!AW126</f>
        <v>b) Poco</v>
      </c>
      <c r="BC126" s="89" t="str">
        <f>Registro!AX126</f>
        <v>b) Hay de todo tipo, pero predomina lo negativo</v>
      </c>
      <c r="BD126" s="89" t="str">
        <f>Registro!AY126</f>
        <v>a) Mi padre, b) Mi madre, c) Un hermano/a</v>
      </c>
    </row>
    <row r="127" spans="1:14334 14340:16314" ht="15" customHeight="1" x14ac:dyDescent="0.25">
      <c r="A127" s="101">
        <f>Registro!A127</f>
        <v>42158.212500000001</v>
      </c>
      <c r="B127" s="89" t="str">
        <f>Registro!B127</f>
        <v>c) Obra Social San José de Calasanz de Valencia</v>
      </c>
      <c r="C127" s="89" t="str">
        <f>Registro!C127</f>
        <v>a) Primer año</v>
      </c>
      <c r="D127" s="89" t="str">
        <f>Registro!D127</f>
        <v>a) Educación Inicial</v>
      </c>
      <c r="E127" s="89" t="str">
        <f>Registro!E127</f>
        <v>b) Femenino</v>
      </c>
      <c r="F127" s="89" t="str">
        <f>Registro!F127</f>
        <v>d) Otra</v>
      </c>
      <c r="G127" s="89" t="str">
        <f>Registro!G127</f>
        <v>a) Mamá, b) Papá, c) Hermanos</v>
      </c>
      <c r="H127" s="89" t="str">
        <f>Registro!H127</f>
        <v>b) Casa Urbana</v>
      </c>
      <c r="I127" s="89" t="str">
        <f>Registro!I127</f>
        <v>a) Sí</v>
      </c>
      <c r="J127" s="89" t="str">
        <f>Registro!J127</f>
        <v>d) TV pantalla plana, i) Computadora, j) Cámara digital, k) Aire acondicionado</v>
      </c>
      <c r="K127" s="89" t="str">
        <f>Registro!K127</f>
        <v>b) Una</v>
      </c>
      <c r="L127" s="89"/>
      <c r="M127" s="94">
        <f t="shared" si="9"/>
        <v>0</v>
      </c>
      <c r="N127" s="89" t="str">
        <f>Registro!M127</f>
        <v>g) Mis estudios</v>
      </c>
      <c r="O127" s="89" t="str">
        <f>Registro!N127</f>
        <v>c) Poco</v>
      </c>
      <c r="P127" s="89" t="str">
        <f>Registro!O127</f>
        <v>a) Mucho</v>
      </c>
      <c r="Q127" s="89" t="str">
        <f>Registro!P127</f>
        <v>b) Suficiente</v>
      </c>
      <c r="R127" s="89"/>
      <c r="S127" s="94">
        <f t="shared" si="5"/>
        <v>0</v>
      </c>
      <c r="T127" s="89" t="str">
        <f>Registro!R127</f>
        <v>a) Mucho</v>
      </c>
      <c r="U127" s="89" t="str">
        <f>Registro!S127</f>
        <v>a) La Iglesia, i) Los necesitados, k) La oración</v>
      </c>
      <c r="V127" s="89" t="str">
        <f>Registro!T127</f>
        <v>a) Suelo rezar por convicción o porque me gusta</v>
      </c>
      <c r="W127" s="89" t="str">
        <f>Registro!U127</f>
        <v>b) Algunos domingos</v>
      </c>
      <c r="X127" s="89" t="str">
        <f>Registro!V127</f>
        <v>e) Voy a misa en las fechas de mis familiares difuntos, f) En alguna ocasión he rezado el rosario, g) En ocasiones, en mi casa tenemos una oración familiar, i) Tengo en mi cuarto alguna imagen religiosa</v>
      </c>
      <c r="Y127" s="89" t="str">
        <f>Registro!W127</f>
        <v>d) No pertenezco a ninguno</v>
      </c>
      <c r="Z127" s="89" t="str">
        <f>Registro!X127</f>
        <v>c) Un lugar donde me lo paso bien</v>
      </c>
      <c r="AA127" s="89" t="str">
        <f>Registro!Y127</f>
        <v>b) No</v>
      </c>
      <c r="AB127" s="89" t="str">
        <f>Registro!Z127</f>
        <v>b) No</v>
      </c>
      <c r="AC127" s="89" t="str">
        <f>Registro!AA127</f>
        <v>b) Docencia</v>
      </c>
      <c r="AD127" s="94">
        <f t="shared" si="6"/>
        <v>1</v>
      </c>
      <c r="AE127" s="89" t="str">
        <f>Registro!AB127</f>
        <v>e) Servir a los demás</v>
      </c>
      <c r="AF127" s="89" t="str">
        <f>Registro!AC127</f>
        <v>c) Bastante</v>
      </c>
      <c r="AG127" s="89" t="str">
        <f>Registro!AD127</f>
        <v>a) Los deportes y diversiones, h) Las actividades extraescolares</v>
      </c>
      <c r="AH127" s="94">
        <f t="shared" si="7"/>
        <v>2</v>
      </c>
      <c r="AI127" s="89" t="str">
        <f>Registro!AE127</f>
        <v>a) 0 a 2 horas</v>
      </c>
      <c r="AJ127" s="89" t="str">
        <f>Registro!AF127</f>
        <v>a) Me divierto con juegos para computadoras, b) Navego en Internet, n) Estoy conversando con los amigos/as</v>
      </c>
      <c r="AK127" s="94">
        <f t="shared" si="8"/>
        <v>3</v>
      </c>
      <c r="AL127" s="89" t="str">
        <f>Registro!AG127</f>
        <v>a) Muy bueno</v>
      </c>
      <c r="AM127" s="89" t="str">
        <f>Registro!AH127</f>
        <v>b) Buena</v>
      </c>
      <c r="AN127" s="89" t="str">
        <f>Registro!AI127</f>
        <v>b) Buena</v>
      </c>
      <c r="AO127" s="89" t="str">
        <f>Registro!AJ127</f>
        <v>b) Buena</v>
      </c>
      <c r="AP127" s="89" t="str">
        <f>Registro!AK127</f>
        <v>a) Muy buena</v>
      </c>
      <c r="AQ127" s="89" t="str">
        <f>Registro!AL127</f>
        <v>b) Buena</v>
      </c>
      <c r="AR127" s="89">
        <f>Registro!AM127</f>
        <v>0</v>
      </c>
      <c r="AS127" s="89" t="str">
        <f>Registro!AN127</f>
        <v>b) Buena</v>
      </c>
      <c r="AT127" s="89" t="str">
        <f>Registro!AO127</f>
        <v>a) Muy buena</v>
      </c>
      <c r="AU127" s="89" t="str">
        <f>Registro!AP127</f>
        <v>a) Muy buena</v>
      </c>
      <c r="AV127" s="89" t="str">
        <f>Registro!AQ127</f>
        <v>a) Muy buena</v>
      </c>
      <c r="AW127" s="89" t="str">
        <f>Registro!AR127</f>
        <v>i) En nada</v>
      </c>
      <c r="AX127" s="89" t="str">
        <f>Registro!AS127</f>
        <v>a) Que sea un buen profesional</v>
      </c>
      <c r="AY127" s="89" t="str">
        <f>Registro!AT127</f>
        <v>e) Absolutamente necesaria</v>
      </c>
      <c r="AZ127" s="89" t="str">
        <f>Registro!AU127</f>
        <v>b) Las veces que bebo, es con moderación</v>
      </c>
      <c r="BA127" s="89" t="str">
        <f>Registro!AV127</f>
        <v>d) Buenos profesionales de la educación</v>
      </c>
      <c r="BB127" s="89" t="str">
        <f>Registro!AW127</f>
        <v>b) Poco</v>
      </c>
      <c r="BC127" s="89" t="str">
        <f>Registro!AX127</f>
        <v>e) Son personas que me gustan y admiro</v>
      </c>
      <c r="BD127" s="89" t="str">
        <f>Registro!AY127</f>
        <v>h) Una amiga</v>
      </c>
    </row>
    <row r="128" spans="1:14334 14340:16314" ht="15" customHeight="1" x14ac:dyDescent="0.25">
      <c r="A128" s="101">
        <f>Registro!A128</f>
        <v>42158.213240740741</v>
      </c>
      <c r="B128" s="89" t="str">
        <f>Registro!B128</f>
        <v>c) Obra Social San José de Calasanz de Valencia</v>
      </c>
      <c r="C128" s="89" t="str">
        <f>Registro!C128</f>
        <v>a) Primer año</v>
      </c>
      <c r="D128" s="89" t="str">
        <f>Registro!D128</f>
        <v>a) Educación Inicial</v>
      </c>
      <c r="E128" s="89" t="str">
        <f>Registro!E128</f>
        <v>b) Femenino</v>
      </c>
      <c r="F128" s="89" t="str">
        <f>Registro!F128</f>
        <v>a) Católica</v>
      </c>
      <c r="G128" s="89" t="str">
        <f>Registro!G128</f>
        <v>a) Mamá, b) Papá, c) Hermanos, d) Abuelos, e) Otros familiares</v>
      </c>
      <c r="H128" s="89" t="str">
        <f>Registro!H128</f>
        <v>b) Casa Urbana</v>
      </c>
      <c r="I128" s="89" t="str">
        <f>Registro!I128</f>
        <v>c) Algo</v>
      </c>
      <c r="J128" s="89" t="str">
        <f>Registro!J128</f>
        <v>a) Cónsola videojuegos, b) Lavadora, d) TV pantalla plana, f) MP3, h) Carro, i) Computadora, j) Cámara digital, k) Aire acondicionado</v>
      </c>
      <c r="K128" s="89" t="str">
        <f>Registro!K128</f>
        <v>e) Cuatro</v>
      </c>
      <c r="L128" s="89" t="str">
        <f>Registro!L128</f>
        <v>a) La familia, b) Los amigos, d) El cuidado de mi cuerpo</v>
      </c>
      <c r="M128" s="94">
        <f t="shared" si="9"/>
        <v>3</v>
      </c>
      <c r="N128" s="89" t="str">
        <f>Registro!M128</f>
        <v>d) Los problemas familiares</v>
      </c>
      <c r="O128" s="89" t="str">
        <f>Registro!N128</f>
        <v>b) Suficiente</v>
      </c>
      <c r="P128" s="89" t="str">
        <f>Registro!O128</f>
        <v>b) Suficiente</v>
      </c>
      <c r="Q128" s="89" t="str">
        <f>Registro!P128</f>
        <v>c) Poco</v>
      </c>
      <c r="R128" s="89" t="str">
        <f>Registro!Q128</f>
        <v>b) Los amigos, c) Los estudios, d) El cuidado de mi cuerpo</v>
      </c>
      <c r="S128" s="94">
        <f t="shared" si="5"/>
        <v>3</v>
      </c>
      <c r="T128" s="89" t="str">
        <f>Registro!R128</f>
        <v>a) Mucho</v>
      </c>
      <c r="U128" s="89" t="str">
        <f>Registro!S128</f>
        <v>a) La Iglesia, b) La naturaleza, d) Las convivencias, e) Los amigos, f) Todas las personas, g) Mi familia, h) Algunas personas cercanas a Dios, i) Los necesitados, k) La oración, l) Los sacramentos</v>
      </c>
      <c r="V128" s="89" t="str">
        <f>Registro!T128</f>
        <v>b) Rezo por costumbre</v>
      </c>
      <c r="W128" s="89" t="str">
        <f>Registro!U128</f>
        <v>a) Todos los domingos</v>
      </c>
      <c r="X128" s="89" t="str">
        <f>Registro!V128</f>
        <v>a) Suelo llevar una cruz o algún objeto religioso, c) Suelo ir los domingos y otras fechas especiales a la Iglesia, e) Voy a misa en las fechas de mis familiares difuntos, f) En alguna ocasión he rezado el rosario, h) En Semana Santa asisto a las procesiones, i) Tengo en mi cuarto alguna imagen religiosa</v>
      </c>
      <c r="Y128" s="89" t="str">
        <f>Registro!W128</f>
        <v>c) Religioso o parroquial</v>
      </c>
      <c r="Z128" s="89" t="str">
        <f>Registro!X128</f>
        <v>b) Un lugar donde comparto con mis compañeros</v>
      </c>
      <c r="AA128" s="89" t="str">
        <f>Registro!Y128</f>
        <v>b) No</v>
      </c>
      <c r="AB128" s="89" t="str">
        <f>Registro!Z128</f>
        <v>b) No</v>
      </c>
      <c r="AC128" s="89" t="str">
        <f>Registro!AA128</f>
        <v>a) Medicina</v>
      </c>
      <c r="AD128" s="94">
        <f t="shared" si="6"/>
        <v>1</v>
      </c>
      <c r="AE128" s="89" t="str">
        <f>Registro!AB128</f>
        <v>f) Ejecutar una tarea conforme a mi fe</v>
      </c>
      <c r="AF128" s="89" t="str">
        <f>Registro!AC128</f>
        <v>e) No sé</v>
      </c>
      <c r="AG128" s="89" t="str">
        <f>Registro!AD128</f>
        <v>d) Los grupos juveniles cristianos, h) Las actividades extraescolares</v>
      </c>
      <c r="AH128" s="94">
        <f t="shared" si="7"/>
        <v>2</v>
      </c>
      <c r="AI128" s="89" t="str">
        <f>Registro!AE128</f>
        <v>d) 7 a 8 horas</v>
      </c>
      <c r="AJ128" s="89"/>
      <c r="AK128" s="94">
        <f t="shared" si="8"/>
        <v>0</v>
      </c>
      <c r="AL128" s="89" t="str">
        <f>Registro!AG128</f>
        <v>b) Bueno</v>
      </c>
      <c r="AM128" s="89" t="str">
        <f>Registro!AH128</f>
        <v>f) No aplica</v>
      </c>
      <c r="AN128" s="89" t="str">
        <f>Registro!AI128</f>
        <v>f) No aplica</v>
      </c>
      <c r="AO128" s="89" t="str">
        <f>Registro!AJ128</f>
        <v>b) Buena</v>
      </c>
      <c r="AP128" s="89" t="str">
        <f>Registro!AK128</f>
        <v>c) Regular</v>
      </c>
      <c r="AQ128" s="89" t="str">
        <f>Registro!AL128</f>
        <v>c) Regular</v>
      </c>
      <c r="AR128" s="89" t="str">
        <f>Registro!AM128</f>
        <v>b) Buena</v>
      </c>
      <c r="AS128" s="89" t="str">
        <f>Registro!AN128</f>
        <v>b) Buena</v>
      </c>
      <c r="AT128" s="89" t="str">
        <f>Registro!AO128</f>
        <v>d) Mala</v>
      </c>
      <c r="AU128" s="89" t="str">
        <f>Registro!AP128</f>
        <v>c) Regular</v>
      </c>
      <c r="AV128" s="89" t="str">
        <f>Registro!AQ128</f>
        <v>c) Regular</v>
      </c>
      <c r="AW128" s="89" t="str">
        <f>Registro!AR128</f>
        <v>i) En nada</v>
      </c>
      <c r="AX128" s="89" t="str">
        <f>Registro!AS128</f>
        <v>a) Que sea un buen profesional</v>
      </c>
      <c r="AY128" s="89" t="str">
        <f>Registro!AT128</f>
        <v>d) Bastante necesaria</v>
      </c>
      <c r="AZ128" s="89" t="str">
        <f>Registro!AU128</f>
        <v>b) Las veces que bebo, es con moderación</v>
      </c>
      <c r="BA128" s="89" t="str">
        <f>Registro!AV128</f>
        <v>c) Profesionales que hacen lo que pueden</v>
      </c>
      <c r="BB128" s="89" t="str">
        <f>Registro!AW128</f>
        <v>b) Poco</v>
      </c>
      <c r="BC128" s="89" t="str">
        <f>Registro!AX128</f>
        <v>d) Hay de todo tipo, pero predomina lo positivo</v>
      </c>
      <c r="BD128" s="89" t="str">
        <f>Registro!AY128</f>
        <v>d) Un escolapio, religioso o religiosa, g) Un amigo, h) Una amiga</v>
      </c>
    </row>
    <row r="129" spans="1:56" ht="15" customHeight="1" x14ac:dyDescent="0.25">
      <c r="A129" s="101">
        <f>Registro!A129</f>
        <v>42158.213356481479</v>
      </c>
      <c r="B129" s="89" t="str">
        <f>Registro!B129</f>
        <v>c) Obra Social San José de Calasanz de Valencia</v>
      </c>
      <c r="C129" s="89" t="str">
        <f>Registro!C129</f>
        <v>a) Primer año</v>
      </c>
      <c r="D129" s="89" t="str">
        <f>Registro!D129</f>
        <v>a) Educación Inicial</v>
      </c>
      <c r="E129" s="89" t="str">
        <f>Registro!E129</f>
        <v>b) Femenino</v>
      </c>
      <c r="F129" s="89" t="str">
        <f>Registro!F129</f>
        <v>a) Católica</v>
      </c>
      <c r="G129" s="89" t="str">
        <f>Registro!G129</f>
        <v>a) Mamá, b) Papá, c) Hermanos, e) Otros familiares</v>
      </c>
      <c r="H129" s="89" t="str">
        <f>Registro!H129</f>
        <v>b) Casa Urbana</v>
      </c>
      <c r="I129" s="89" t="str">
        <f>Registro!I129</f>
        <v>a) Sí</v>
      </c>
      <c r="J129" s="89" t="str">
        <f>Registro!J129</f>
        <v>b) Lavadora, c) Microondas, d) TV pantalla plana, h) Carro, i) Computadora, k) Aire acondicionado</v>
      </c>
      <c r="K129" s="89" t="str">
        <f>Registro!K129</f>
        <v>d) Tres</v>
      </c>
      <c r="L129" s="89" t="str">
        <f>Registro!L129</f>
        <v>a) La familia, b) Los amigos, c) Los estudios</v>
      </c>
      <c r="M129" s="94">
        <f t="shared" si="9"/>
        <v>3</v>
      </c>
      <c r="N129" s="89" t="str">
        <f>Registro!M129</f>
        <v>g) Mis estudios</v>
      </c>
      <c r="O129" s="89">
        <f>Registro!N129</f>
        <v>0</v>
      </c>
      <c r="P129" s="89" t="str">
        <f>Registro!O129</f>
        <v>a) Mucho</v>
      </c>
      <c r="Q129" s="89" t="str">
        <f>Registro!P129</f>
        <v>d) Nada</v>
      </c>
      <c r="R129" s="89"/>
      <c r="S129" s="94">
        <f t="shared" si="5"/>
        <v>0</v>
      </c>
      <c r="T129" s="89" t="str">
        <f>Registro!R129</f>
        <v>b) Suficiente</v>
      </c>
      <c r="U129" s="89" t="str">
        <f>Registro!S129</f>
        <v>a) La Iglesia, e) Los amigos</v>
      </c>
      <c r="V129" s="89" t="str">
        <f>Registro!T129</f>
        <v>c) Rezo solo en situación de dificultad</v>
      </c>
      <c r="W129" s="89" t="str">
        <f>Registro!U129</f>
        <v>d) Nunca</v>
      </c>
      <c r="X129" s="89" t="str">
        <f>Registro!V129</f>
        <v>e) Voy a misa en las fechas de mis familiares difuntos, f) En alguna ocasión he rezado el rosario</v>
      </c>
      <c r="Y129" s="89" t="str">
        <f>Registro!W129</f>
        <v xml:space="preserve">b) Cultural (folklórico, musicales, danzas, scout, banda marcial,...) </v>
      </c>
      <c r="Z129" s="89" t="str">
        <f>Registro!X129</f>
        <v>b) Un lugar donde comparto con mis compañeros</v>
      </c>
      <c r="AA129" s="89" t="str">
        <f>Registro!Y129</f>
        <v>b) No</v>
      </c>
      <c r="AB129" s="89" t="str">
        <f>Registro!Z129</f>
        <v>b) No</v>
      </c>
      <c r="AC129" s="89" t="str">
        <f>Registro!AA129</f>
        <v>a) Medicina, g) Artista</v>
      </c>
      <c r="AD129" s="94">
        <f t="shared" si="6"/>
        <v>2</v>
      </c>
      <c r="AE129" s="89" t="str">
        <f>Registro!AB129</f>
        <v>b) Tener una buena posición social, ser importante</v>
      </c>
      <c r="AF129" s="89" t="str">
        <f>Registro!AC129</f>
        <v>b) Poco</v>
      </c>
      <c r="AG129" s="89"/>
      <c r="AH129" s="94">
        <f t="shared" si="7"/>
        <v>0</v>
      </c>
      <c r="AI129" s="89" t="str">
        <f>Registro!AE129</f>
        <v>a) 0 a 2 horas</v>
      </c>
      <c r="AJ129" s="89"/>
      <c r="AK129" s="94">
        <f t="shared" si="8"/>
        <v>0</v>
      </c>
      <c r="AL129" s="89" t="str">
        <f>Registro!AG129</f>
        <v>c) Regular</v>
      </c>
      <c r="AM129" s="89" t="str">
        <f>Registro!AH129</f>
        <v>a) Muy buena</v>
      </c>
      <c r="AN129" s="89" t="str">
        <f>Registro!AI129</f>
        <v>b) Buena</v>
      </c>
      <c r="AO129" s="89" t="str">
        <f>Registro!AJ129</f>
        <v>a) Muy buena</v>
      </c>
      <c r="AP129" s="89" t="str">
        <f>Registro!AK129</f>
        <v>b) Buena</v>
      </c>
      <c r="AQ129" s="89" t="str">
        <f>Registro!AL129</f>
        <v>b) Buena</v>
      </c>
      <c r="AR129" s="89" t="str">
        <f>Registro!AM129</f>
        <v>a) Muy buena</v>
      </c>
      <c r="AS129" s="89" t="str">
        <f>Registro!AN129</f>
        <v>a) Muy buena</v>
      </c>
      <c r="AT129" s="89" t="str">
        <f>Registro!AO129</f>
        <v>a) Muy buena</v>
      </c>
      <c r="AU129" s="89" t="str">
        <f>Registro!AP129</f>
        <v>a) Muy buena</v>
      </c>
      <c r="AV129" s="89" t="str">
        <f>Registro!AQ129</f>
        <v>a) Muy buena</v>
      </c>
      <c r="AW129" s="89" t="str">
        <f>Registro!AR129</f>
        <v>a) El compañerismo</v>
      </c>
      <c r="AX129" s="89" t="str">
        <f>Registro!AS129</f>
        <v>b) Darme una buena educación</v>
      </c>
      <c r="AY129" s="89" t="str">
        <f>Registro!AT129</f>
        <v>d) Bastante necesaria</v>
      </c>
      <c r="AZ129" s="89" t="str">
        <f>Registro!AU129</f>
        <v>a) No acostumbro a tomarlo nunca</v>
      </c>
      <c r="BA129" s="89" t="str">
        <f>Registro!AV129</f>
        <v>a) Personas a las que tengo que aguantar</v>
      </c>
      <c r="BB129" s="89" t="str">
        <f>Registro!AW129</f>
        <v>b) Poco</v>
      </c>
      <c r="BC129" s="89" t="str">
        <f>Registro!AX129</f>
        <v>b) Hay de todo tipo, pero predomina lo negativo</v>
      </c>
      <c r="BD129" s="89" t="str">
        <f>Registro!AY129</f>
        <v>h) Una amiga</v>
      </c>
    </row>
    <row r="130" spans="1:56" ht="15" customHeight="1" x14ac:dyDescent="0.25">
      <c r="A130" s="101">
        <f>Registro!A130</f>
        <v>42158.215277777781</v>
      </c>
      <c r="B130" s="89" t="str">
        <f>Registro!B130</f>
        <v>c) Obra Social San José de Calasanz de Valencia</v>
      </c>
      <c r="C130" s="89" t="str">
        <f>Registro!C130</f>
        <v>a) Primer año</v>
      </c>
      <c r="D130" s="89" t="str">
        <f>Registro!D130</f>
        <v>a) Educación Inicial</v>
      </c>
      <c r="E130" s="89" t="str">
        <f>Registro!E130</f>
        <v>a) Masculino</v>
      </c>
      <c r="F130" s="89" t="str">
        <f>Registro!F130</f>
        <v>a) Católica</v>
      </c>
      <c r="G130" s="89" t="str">
        <f>Registro!G130</f>
        <v>a) Mamá, b) Papá, c) Hermanos</v>
      </c>
      <c r="H130" s="89" t="str">
        <f>Registro!H130</f>
        <v>b) Casa Urbana</v>
      </c>
      <c r="I130" s="89" t="str">
        <f>Registro!I130</f>
        <v>a) Sí</v>
      </c>
      <c r="J130" s="89" t="str">
        <f>Registro!J130</f>
        <v>a) Cónsola videojuegos, b) Lavadora, c) Microondas, d) TV pantalla plana, i) Computadora, j) Cámara digital, k) Aire acondicionado</v>
      </c>
      <c r="K130" s="89" t="str">
        <f>Registro!K130</f>
        <v>c) Dos</v>
      </c>
      <c r="L130" s="89" t="str">
        <f>Registro!L130</f>
        <v>a) La familia, g) La felicidad, i) La música</v>
      </c>
      <c r="M130" s="94">
        <f t="shared" si="9"/>
        <v>3</v>
      </c>
      <c r="N130" s="89" t="str">
        <f>Registro!M130</f>
        <v>d) Los problemas familiares</v>
      </c>
      <c r="O130" s="89" t="str">
        <f>Registro!N130</f>
        <v>c) Poco</v>
      </c>
      <c r="P130" s="89" t="str">
        <f>Registro!O130</f>
        <v>b) Suficiente</v>
      </c>
      <c r="Q130" s="89" t="str">
        <f>Registro!P130</f>
        <v>c) Poco</v>
      </c>
      <c r="R130" s="89"/>
      <c r="S130" s="94">
        <f t="shared" si="5"/>
        <v>0</v>
      </c>
      <c r="T130" s="89" t="str">
        <f>Registro!R130</f>
        <v>a) Mucho</v>
      </c>
      <c r="U130" s="89" t="str">
        <f>Registro!S130</f>
        <v>a) La Iglesia, b) La naturaleza, d) Las convivencias, g) Mi familia, h) Algunas personas cercanas a Dios, k) La oración, l) Los sacramentos</v>
      </c>
      <c r="V130" s="89" t="str">
        <f>Registro!T130</f>
        <v>c) Rezo solo en situación de dificultad</v>
      </c>
      <c r="W130" s="89" t="str">
        <f>Registro!U130</f>
        <v>c) Solo en fechas especiales</v>
      </c>
      <c r="X130" s="89" t="str">
        <f>Registro!V130</f>
        <v>c) Suelo ir los domingos y otras fechas especiales a la Iglesia, e) Voy a misa en las fechas de mis familiares difuntos, f) En alguna ocasión he rezado el rosario, g) En ocasiones, en mi casa tenemos una oración familiar, h) En Semana Santa asisto a las procesiones</v>
      </c>
      <c r="Y130" s="89" t="str">
        <f>Registro!W130</f>
        <v xml:space="preserve">b) Cultural (folklórico, musicales, danzas, scout, banda marcial,...) </v>
      </c>
      <c r="Z130" s="89" t="str">
        <f>Registro!X130</f>
        <v>a) Un grupo donde profundizo mi fe</v>
      </c>
      <c r="AA130" s="89" t="str">
        <f>Registro!Y130</f>
        <v>c) Algo</v>
      </c>
      <c r="AB130" s="89" t="str">
        <f>Registro!Z130</f>
        <v>c) Algo</v>
      </c>
      <c r="AC130" s="89"/>
      <c r="AD130" s="94">
        <f t="shared" ref="AD130:AD191" si="10">COUNTIF(AC130,"*a)*")+COUNTIF(AC130,"*b)*")+COUNTIF(AC130,"*c)*")+COUNTIF(AC130,"*d)*")+COUNTIF(AC130,"*e)*")+COUNTIF(AC130,"*f)*")+COUNTIF(AC130,"*g)*")+COUNTIF(AC130,"*h)*")+COUNTIF(AC130,"*i)*")+COUNTIF(AC130,"*j)*")+COUNTIF(AC130,"*k)*")+COUNTIF(AC130,"*l)*")+COUNTIF(AC130,"*m)*")+COUNTIF(AC130,"*n)*")+COUNTIF(AC130,"*o)*")+COUNTIF(AC130,"*p)*")</f>
        <v>0</v>
      </c>
      <c r="AE130" s="89" t="str">
        <f>Registro!AB130</f>
        <v>c) Ser un excelente profesional</v>
      </c>
      <c r="AF130" s="89" t="str">
        <f>Registro!AC130</f>
        <v>d) Mucho o muchísimo</v>
      </c>
      <c r="AG130" s="89" t="str">
        <f>Registro!AD130</f>
        <v>c) Las instalaciones del Colegio, g) La relación con los docentes</v>
      </c>
      <c r="AH130" s="94">
        <f t="shared" si="7"/>
        <v>2</v>
      </c>
      <c r="AI130" s="89" t="str">
        <f>Registro!AE130</f>
        <v>b) 3 a 4 horas</v>
      </c>
      <c r="AJ130" s="89" t="str">
        <f>Registro!AF130</f>
        <v>f) Toco un instrumento musical</v>
      </c>
      <c r="AK130" s="94">
        <f t="shared" si="8"/>
        <v>1</v>
      </c>
      <c r="AL130" s="89" t="str">
        <f>Registro!AG130</f>
        <v>a) Muy bueno</v>
      </c>
      <c r="AM130" s="89" t="str">
        <f>Registro!AH130</f>
        <v>f) No aplica</v>
      </c>
      <c r="AN130" s="89" t="str">
        <f>Registro!AI130</f>
        <v>f) No aplica</v>
      </c>
      <c r="AO130" s="89" t="str">
        <f>Registro!AJ130</f>
        <v>b) Buena</v>
      </c>
      <c r="AP130" s="89" t="str">
        <f>Registro!AK130</f>
        <v>b) Buena</v>
      </c>
      <c r="AQ130" s="89" t="str">
        <f>Registro!AL130</f>
        <v>a) Muy buena</v>
      </c>
      <c r="AR130" s="89" t="str">
        <f>Registro!AM130</f>
        <v>c) Regular</v>
      </c>
      <c r="AS130" s="89" t="str">
        <f>Registro!AN130</f>
        <v>a) Muy buena</v>
      </c>
      <c r="AT130" s="89" t="str">
        <f>Registro!AO130</f>
        <v>b) Buena</v>
      </c>
      <c r="AU130" s="89" t="str">
        <f>Registro!AP130</f>
        <v>b) Buena</v>
      </c>
      <c r="AV130" s="89" t="str">
        <f>Registro!AQ130</f>
        <v>a) Muy buena</v>
      </c>
      <c r="AW130" s="89" t="str">
        <f>Registro!AR130</f>
        <v>b) La orientación cristiana</v>
      </c>
      <c r="AX130" s="89" t="str">
        <f>Registro!AS130</f>
        <v>a) Que sea un buen profesional</v>
      </c>
      <c r="AY130" s="89" t="str">
        <f>Registro!AT130</f>
        <v>a) Innecesaria</v>
      </c>
      <c r="AZ130" s="89" t="str">
        <f>Registro!AU130</f>
        <v>a) No acostumbro a tomarlo nunca</v>
      </c>
      <c r="BA130" s="89" t="str">
        <f>Registro!AV130</f>
        <v>f) Educadores que, además, me han abierto caminos</v>
      </c>
      <c r="BB130" s="89" t="str">
        <f>Registro!AW130</f>
        <v>d) Mucho o muchísimo</v>
      </c>
      <c r="BC130" s="89" t="str">
        <f>Registro!AX130</f>
        <v>e) Son personas que me gustan y admiro</v>
      </c>
      <c r="BD130" s="89" t="str">
        <f>Registro!AY130</f>
        <v>g) Un amigo, h) Una amiga</v>
      </c>
    </row>
    <row r="131" spans="1:56" ht="15" customHeight="1" x14ac:dyDescent="0.25">
      <c r="A131" s="101">
        <f>Registro!A131</f>
        <v>42158.215451388889</v>
      </c>
      <c r="B131" s="89" t="str">
        <f>Registro!B131</f>
        <v>c) Obra Social San José de Calasanz de Valencia</v>
      </c>
      <c r="C131" s="89" t="str">
        <f>Registro!C131</f>
        <v>a) Primer año</v>
      </c>
      <c r="D131" s="89" t="str">
        <f>Registro!D131</f>
        <v>b) Primaria</v>
      </c>
      <c r="E131" s="89" t="str">
        <f>Registro!E131</f>
        <v>a) Masculino</v>
      </c>
      <c r="F131" s="89" t="str">
        <f>Registro!F131</f>
        <v>a) Católica</v>
      </c>
      <c r="G131" s="89" t="str">
        <f>Registro!G131</f>
        <v>a) Mamá, b) Papá, c) Hermanos</v>
      </c>
      <c r="H131" s="89" t="str">
        <f>Registro!H131</f>
        <v>b) Casa Urbana</v>
      </c>
      <c r="I131" s="89" t="str">
        <f>Registro!I131</f>
        <v>a) Sí</v>
      </c>
      <c r="J131" s="89" t="str">
        <f>Registro!J131</f>
        <v>b) Lavadora, h) Carro, j) Cámara digital</v>
      </c>
      <c r="K131" s="89" t="str">
        <f>Registro!K131</f>
        <v>b) Una</v>
      </c>
      <c r="L131" s="89" t="str">
        <f>Registro!L131</f>
        <v>a) La familia, c) Los estudios, j) El deporte</v>
      </c>
      <c r="M131" s="94">
        <f t="shared" si="9"/>
        <v>3</v>
      </c>
      <c r="N131" s="89" t="str">
        <f>Registro!M131</f>
        <v>g) Mis estudios</v>
      </c>
      <c r="O131" s="89" t="str">
        <f>Registro!N131</f>
        <v>a) Mucho</v>
      </c>
      <c r="P131" s="89" t="str">
        <f>Registro!O131</f>
        <v>a) Mucho</v>
      </c>
      <c r="Q131" s="89" t="str">
        <f>Registro!P131</f>
        <v>c) Poco</v>
      </c>
      <c r="R131" s="89" t="str">
        <f>Registro!Q131</f>
        <v>a) La familia, c) Los estudios, g) La felicidad</v>
      </c>
      <c r="S131" s="94">
        <f t="shared" ref="S131:S194" si="11">COUNTIF(R131,"*a)*")+COUNTIF(R131,"*b)*")+COUNTIF(R131,"*c)*")+COUNTIF(R131,"*d)*")+COUNTIF(R131,"*e)*")+COUNTIF(R131,"*f)*")+COUNTIF(R131,"*g)*")+COUNTIF(R131,"*h)*")+COUNTIF(R131,"*i)*")+COUNTIF(R131,"*j)*")+COUNTIF(R131,"*k)*")+COUNTIF(R131,"*l)*")+COUNTIF(R131,"*m)*")+COUNTIF(R131,"*n)*")+COUNTIF(R131,"*o)*")+COUNTIF(R131,"*p)*")</f>
        <v>3</v>
      </c>
      <c r="T131" s="89" t="str">
        <f>Registro!R131</f>
        <v>a) Mucho</v>
      </c>
      <c r="U131" s="89" t="str">
        <f>Registro!S131</f>
        <v>a) La Iglesia, d) Las convivencias, h) Algunas personas cercanas a Dios, k) La oración</v>
      </c>
      <c r="V131" s="89" t="str">
        <f>Registro!T131</f>
        <v>b) Rezo por costumbre</v>
      </c>
      <c r="W131" s="89" t="str">
        <f>Registro!U131</f>
        <v>c) Solo en fechas especiales</v>
      </c>
      <c r="X131" s="89" t="str">
        <f>Registro!V131</f>
        <v>d) Suelo orar todos los días, h) En Semana Santa asisto a las procesiones</v>
      </c>
      <c r="Y131" s="89" t="str">
        <f>Registro!W131</f>
        <v>d) No pertenezco a ninguno</v>
      </c>
      <c r="Z131" s="89" t="str">
        <f>Registro!X131</f>
        <v>d) No pertenezco a grupos juveniles cristianos</v>
      </c>
      <c r="AA131" s="89" t="str">
        <f>Registro!Y131</f>
        <v>b) No</v>
      </c>
      <c r="AB131" s="89" t="str">
        <f>Registro!Z131</f>
        <v>b) No</v>
      </c>
      <c r="AC131" s="89"/>
      <c r="AD131" s="94">
        <f t="shared" si="10"/>
        <v>0</v>
      </c>
      <c r="AE131" s="89" t="str">
        <f>Registro!AB131</f>
        <v>c) Ser un excelente profesional</v>
      </c>
      <c r="AF131" s="89" t="str">
        <f>Registro!AC131</f>
        <v>b) Poco</v>
      </c>
      <c r="AG131" s="89" t="str">
        <f>Registro!AD131</f>
        <v>a) Los deportes y diversiones, b) El ambiente de estudio y de trabajo</v>
      </c>
      <c r="AH131" s="94">
        <f t="shared" ref="AH131:AH194" si="12">COUNTIF(AG131,"*a)*")+COUNTIF(AG131,"*b)*")+COUNTIF(AG131,"*c)*")+COUNTIF(AG131,"*d)*")+COUNTIF(AG131,"*e)*")+COUNTIF(AG131,"*f)*")+COUNTIF(AG131,"*g)*")+COUNTIF(AG131,"*h)*")+COUNTIF(AG131,"*i)*")+COUNTIF(AG131,"*j)*")+COUNTIF(AG131,"*k)*")+COUNTIF(AG131,"*l)*")+COUNTIF(AG131,"*m)*")+COUNTIF(AG131,"*n)*")+COUNTIF(AG131,"*o)*")+COUNTIF(AG131,"*p)*")</f>
        <v>2</v>
      </c>
      <c r="AI131" s="89" t="str">
        <f>Registro!AE131</f>
        <v>c) 5 a 6 horas</v>
      </c>
      <c r="AJ131" s="89" t="str">
        <f>Registro!AF131</f>
        <v>d) Estoy la mayor parte del tiempo en la casa sin hacer nada, e) Suelo ir a algún parque, m) Veo televisión y/o películas</v>
      </c>
      <c r="AK131" s="94">
        <f t="shared" ref="AK131:AK194" si="13">COUNTIF(AJ131,"*a)*")+COUNTIF(AJ131,"*b)*")+COUNTIF(AJ131,"*c)*")+COUNTIF(AJ131,"*d)*")+COUNTIF(AJ131,"*e)*")+COUNTIF(AJ131,"*f)*")+COUNTIF(AJ131,"*g)*")+COUNTIF(AJ131,"*h)*")+COUNTIF(AJ131,"*i)*")+COUNTIF(AJ131,"*j)*")+COUNTIF(AJ131,"*k)*")+COUNTIF(AJ131,"*l)*")+COUNTIF(AJ131,"*m)*")+COUNTIF(AJ131,"*n)*")+COUNTIF(AJ131,"*o)*")+COUNTIF(AJ131,"*p)*")</f>
        <v>3</v>
      </c>
      <c r="AL131" s="89" t="str">
        <f>Registro!AG131</f>
        <v>c) Regular</v>
      </c>
      <c r="AM131" s="89" t="str">
        <f>Registro!AH131</f>
        <v>c) Regular</v>
      </c>
      <c r="AN131" s="89" t="str">
        <f>Registro!AI131</f>
        <v>c) Regular</v>
      </c>
      <c r="AO131" s="89" t="str">
        <f>Registro!AJ131</f>
        <v>a) Muy buena</v>
      </c>
      <c r="AP131" s="89" t="str">
        <f>Registro!AK131</f>
        <v>a) Muy buena</v>
      </c>
      <c r="AQ131" s="89" t="str">
        <f>Registro!AL131</f>
        <v>a) Muy buena</v>
      </c>
      <c r="AR131" s="89" t="str">
        <f>Registro!AM131</f>
        <v>a) Muy buena</v>
      </c>
      <c r="AS131" s="89" t="str">
        <f>Registro!AN131</f>
        <v>a) Muy buena</v>
      </c>
      <c r="AT131" s="89" t="str">
        <f>Registro!AO131</f>
        <v>a) Muy buena</v>
      </c>
      <c r="AU131" s="89" t="str">
        <f>Registro!AP131</f>
        <v>b) Buena</v>
      </c>
      <c r="AV131" s="89" t="str">
        <f>Registro!AQ131</f>
        <v>b) Buena</v>
      </c>
      <c r="AW131" s="89" t="str">
        <f>Registro!AR131</f>
        <v>c) El estudio</v>
      </c>
      <c r="AX131" s="89" t="str">
        <f>Registro!AS131</f>
        <v>a) Que sea un buen profesional</v>
      </c>
      <c r="AY131" s="89" t="str">
        <f>Registro!AT131</f>
        <v>e) Absolutamente necesaria</v>
      </c>
      <c r="AZ131" s="89" t="str">
        <f>Registro!AU131</f>
        <v>b) Las veces que bebo, es con moderación</v>
      </c>
      <c r="BA131" s="89" t="str">
        <f>Registro!AV131</f>
        <v>e) Educadores que se preocupan de nosotros</v>
      </c>
      <c r="BB131" s="89" t="str">
        <f>Registro!AW131</f>
        <v>d) Mucho o muchísimo</v>
      </c>
      <c r="BC131" s="89" t="str">
        <f>Registro!AX131</f>
        <v>e) Son personas que me gustan y admiro</v>
      </c>
      <c r="BD131" s="89" t="str">
        <f>Registro!AY131</f>
        <v>a) Mi padre, b) Mi madre</v>
      </c>
    </row>
    <row r="132" spans="1:56" ht="15" customHeight="1" x14ac:dyDescent="0.25">
      <c r="A132" s="101">
        <f>Registro!A132</f>
        <v>42158.216724537036</v>
      </c>
      <c r="B132" s="89" t="str">
        <f>Registro!B132</f>
        <v>c) Obra Social San José de Calasanz de Valencia</v>
      </c>
      <c r="C132" s="89" t="str">
        <f>Registro!C132</f>
        <v>a) Primer año</v>
      </c>
      <c r="D132" s="89" t="str">
        <f>Registro!D132</f>
        <v>a) Educación Inicial</v>
      </c>
      <c r="E132" s="89" t="str">
        <f>Registro!E132</f>
        <v>a) Masculino</v>
      </c>
      <c r="F132" s="89" t="str">
        <f>Registro!F132</f>
        <v>d) Otra</v>
      </c>
      <c r="G132" s="89" t="str">
        <f>Registro!G132</f>
        <v>a) Mamá</v>
      </c>
      <c r="H132" s="89" t="str">
        <f>Registro!H132</f>
        <v>b) Casa Urbana</v>
      </c>
      <c r="I132" s="89" t="str">
        <f>Registro!I132</f>
        <v>a) Sí</v>
      </c>
      <c r="J132" s="89" t="str">
        <f>Registro!J132</f>
        <v>b) Lavadora, d) TV pantalla plana, h) Carro, k) Aire acondicionado</v>
      </c>
      <c r="K132" s="89" t="str">
        <f>Registro!K132</f>
        <v>c) Dos</v>
      </c>
      <c r="L132" s="89" t="str">
        <f>Registro!L132</f>
        <v>a) La familia, b) Los amigos</v>
      </c>
      <c r="M132" s="94">
        <f t="shared" ref="M132:M195" si="14">COUNTIF(L132,"*a)*")+COUNTIF(L132,"*b)*")+COUNTIF(L132,"*c)*")+COUNTIF(L132,"*d)*")+COUNTIF(L132,"*e)*")+COUNTIF(L132,"*f)*")+COUNTIF(L132,"*g)*")+COUNTIF(L132,"*h)*")+COUNTIF(L132,"*i)*")+COUNTIF(L132,"*j)*")+COUNTIF(L132,"*k)*")+COUNTIF(L132,"*l)*")+COUNTIF(L132,"*m)*")+COUNTIF(L132,"*n)*")+COUNTIF(L132,"*o)*")+COUNTIF(L132,"*p)*")</f>
        <v>2</v>
      </c>
      <c r="N132" s="89" t="str">
        <f>Registro!M132</f>
        <v>b) El futuro</v>
      </c>
      <c r="O132" s="89" t="str">
        <f>Registro!N132</f>
        <v>a) Mucho</v>
      </c>
      <c r="P132" s="89" t="str">
        <f>Registro!O132</f>
        <v>a) Mucho</v>
      </c>
      <c r="Q132" s="89" t="str">
        <f>Registro!P132</f>
        <v>a) Mucho</v>
      </c>
      <c r="R132" s="89"/>
      <c r="S132" s="94">
        <f t="shared" si="11"/>
        <v>0</v>
      </c>
      <c r="T132" s="89" t="str">
        <f>Registro!R132</f>
        <v>a) Mucho</v>
      </c>
      <c r="U132" s="89" t="str">
        <f>Registro!S132</f>
        <v>b) La naturaleza, g) Mi familia</v>
      </c>
      <c r="V132" s="89" t="str">
        <f>Registro!T132</f>
        <v>c) Rezo solo en situación de dificultad</v>
      </c>
      <c r="W132" s="89" t="str">
        <f>Registro!U132</f>
        <v>b) Algunos domingos</v>
      </c>
      <c r="X132" s="89" t="str">
        <f>Registro!V132</f>
        <v>e) Voy a misa en las fechas de mis familiares difuntos</v>
      </c>
      <c r="Y132" s="89" t="str">
        <f>Registro!W132</f>
        <v>a) Deportivo</v>
      </c>
      <c r="Z132" s="89" t="str">
        <f>Registro!X132</f>
        <v>a) Un grupo donde profundizo mi fe</v>
      </c>
      <c r="AA132" s="89" t="str">
        <f>Registro!Y132</f>
        <v>b) No</v>
      </c>
      <c r="AB132" s="89" t="str">
        <f>Registro!Z132</f>
        <v>b) No</v>
      </c>
      <c r="AC132" s="89" t="str">
        <f>Registro!AA132</f>
        <v>d) Ingeniería</v>
      </c>
      <c r="AD132" s="94">
        <f t="shared" si="10"/>
        <v>1</v>
      </c>
      <c r="AE132" s="89" t="str">
        <f>Registro!AB132</f>
        <v>c) Ser un excelente profesional</v>
      </c>
      <c r="AF132" s="89" t="str">
        <f>Registro!AC132</f>
        <v>d) Mucho o muchísimo</v>
      </c>
      <c r="AG132" s="89" t="str">
        <f>Registro!AD132</f>
        <v>a) Los deportes y diversiones, b) El ambiente de estudio y de trabajo</v>
      </c>
      <c r="AH132" s="94">
        <f t="shared" si="12"/>
        <v>2</v>
      </c>
      <c r="AI132" s="89" t="str">
        <f>Registro!AE132</f>
        <v>b) 3 a 4 horas</v>
      </c>
      <c r="AJ132" s="89" t="str">
        <f>Registro!AF132</f>
        <v>a) Me divierto con juegos para computadoras, l) Escucho música y/o veo videos musicales, m) Veo televisión y/o películas</v>
      </c>
      <c r="AK132" s="94">
        <f t="shared" si="13"/>
        <v>3</v>
      </c>
      <c r="AL132" s="89" t="str">
        <f>Registro!AG132</f>
        <v>a) Muy bueno</v>
      </c>
      <c r="AM132" s="89" t="str">
        <f>Registro!AH132</f>
        <v>a) Muy buena</v>
      </c>
      <c r="AN132" s="89" t="str">
        <f>Registro!AI132</f>
        <v>a) Muy buena</v>
      </c>
      <c r="AO132" s="89" t="str">
        <f>Registro!AJ132</f>
        <v>a) Muy buena</v>
      </c>
      <c r="AP132" s="89" t="str">
        <f>Registro!AK132</f>
        <v>a) Muy buena</v>
      </c>
      <c r="AQ132" s="89" t="str">
        <f>Registro!AL132</f>
        <v>b) Buena</v>
      </c>
      <c r="AR132" s="89" t="str">
        <f>Registro!AM132</f>
        <v>a) Muy buena</v>
      </c>
      <c r="AS132" s="89" t="str">
        <f>Registro!AN132</f>
        <v>a) Muy buena</v>
      </c>
      <c r="AT132" s="89" t="str">
        <f>Registro!AO132</f>
        <v>a) Muy buena</v>
      </c>
      <c r="AU132" s="89" t="str">
        <f>Registro!AP132</f>
        <v>a) Muy buena</v>
      </c>
      <c r="AV132" s="89" t="str">
        <f>Registro!AQ132</f>
        <v>a) Muy buena</v>
      </c>
      <c r="AW132" s="89" t="str">
        <f>Registro!AR132</f>
        <v>a) El compañerismo</v>
      </c>
      <c r="AX132" s="89" t="str">
        <f>Registro!AS132</f>
        <v>a) Que sea un buen profesional</v>
      </c>
      <c r="AY132" s="89" t="str">
        <f>Registro!AT132</f>
        <v>e) Absolutamente necesaria</v>
      </c>
      <c r="AZ132" s="89" t="str">
        <f>Registro!AU132</f>
        <v>b) Las veces que bebo, es con moderación</v>
      </c>
      <c r="BA132" s="89" t="str">
        <f>Registro!AV132</f>
        <v>e) Educadores que se preocupan de nosotros</v>
      </c>
      <c r="BB132" s="89" t="str">
        <f>Registro!AW132</f>
        <v>d) Mucho o muchísimo</v>
      </c>
      <c r="BC132" s="89" t="str">
        <f>Registro!AX132</f>
        <v>c) Son personas normales y corrientes</v>
      </c>
      <c r="BD132" s="89" t="str">
        <f>Registro!AY132</f>
        <v>a) Mi padre, b) Mi madre</v>
      </c>
    </row>
    <row r="133" spans="1:56" ht="15" customHeight="1" x14ac:dyDescent="0.25">
      <c r="A133" s="101">
        <f>Registro!A133</f>
        <v>42158.239212962966</v>
      </c>
      <c r="B133" s="89" t="str">
        <f>Registro!B133</f>
        <v>c) Obra Social San José de Calasanz de Valencia</v>
      </c>
      <c r="C133" s="89" t="str">
        <f>Registro!C133</f>
        <v>a) Primer año</v>
      </c>
      <c r="D133" s="89" t="str">
        <f>Registro!D133</f>
        <v>a) Educación Inicial</v>
      </c>
      <c r="E133" s="89" t="str">
        <f>Registro!E133</f>
        <v>b) Femenino</v>
      </c>
      <c r="F133" s="89" t="str">
        <f>Registro!F133</f>
        <v>a) Católica</v>
      </c>
      <c r="G133" s="89" t="str">
        <f>Registro!G133</f>
        <v>a) Mamá, b) Papá, c) Hermanos</v>
      </c>
      <c r="H133" s="89" t="str">
        <f>Registro!H133</f>
        <v>b) Casa Urbana</v>
      </c>
      <c r="I133" s="89" t="str">
        <f>Registro!I133</f>
        <v>a) Sí</v>
      </c>
      <c r="J133" s="89" t="str">
        <f>Registro!J133</f>
        <v>a) Cónsola videojuegos, b) Lavadora, c) Microondas, d) TV pantalla plana, e) Moto, i) Computadora, j) Cámara digital, k) Aire acondicionado</v>
      </c>
      <c r="K133" s="89" t="str">
        <f>Registro!K133</f>
        <v>b) Una</v>
      </c>
      <c r="L133" s="89" t="str">
        <f>Registro!L133</f>
        <v>a) La familia, d) El cuidado de mi cuerpo, i) La música</v>
      </c>
      <c r="M133" s="94">
        <f t="shared" si="14"/>
        <v>3</v>
      </c>
      <c r="N133" s="89" t="str">
        <f>Registro!M133</f>
        <v>b) El futuro</v>
      </c>
      <c r="O133" s="89" t="str">
        <f>Registro!N133</f>
        <v>a) Mucho</v>
      </c>
      <c r="P133" s="89" t="str">
        <f>Registro!O133</f>
        <v>a) Mucho</v>
      </c>
      <c r="Q133" s="89" t="str">
        <f>Registro!P133</f>
        <v>a) Mucho</v>
      </c>
      <c r="R133" s="89"/>
      <c r="S133" s="94">
        <f t="shared" si="11"/>
        <v>0</v>
      </c>
      <c r="T133" s="89" t="str">
        <f>Registro!R133</f>
        <v>a) Mucho</v>
      </c>
      <c r="U133" s="89" t="str">
        <f>Registro!S133</f>
        <v>a) La Iglesia, c) El salón de clase</v>
      </c>
      <c r="V133" s="89" t="str">
        <f>Registro!T133</f>
        <v>a) Suelo rezar por convicción o porque me gusta</v>
      </c>
      <c r="W133" s="89">
        <f>Registro!U133</f>
        <v>0</v>
      </c>
      <c r="X133" s="89" t="str">
        <f>Registro!V133</f>
        <v>b) Suelo bendedir los alimentos antes de comer, e) Voy a misa en las fechas de mis familiares difuntos, h) En Semana Santa asisto a las procesiones</v>
      </c>
      <c r="Y133" s="89" t="str">
        <f>Registro!W133</f>
        <v>a) Deportivo</v>
      </c>
      <c r="Z133" s="89" t="str">
        <f>Registro!X133</f>
        <v>a) Un grupo donde profundizo mi fe</v>
      </c>
      <c r="AA133" s="89" t="str">
        <f>Registro!Y133</f>
        <v>b) No</v>
      </c>
      <c r="AB133" s="89" t="str">
        <f>Registro!Z133</f>
        <v>b) No</v>
      </c>
      <c r="AC133" s="89"/>
      <c r="AD133" s="94">
        <f t="shared" si="10"/>
        <v>0</v>
      </c>
      <c r="AE133" s="89" t="str">
        <f>Registro!AB133</f>
        <v>a) Ganar mucho dinero</v>
      </c>
      <c r="AF133" s="89" t="str">
        <f>Registro!AC133</f>
        <v>b) Poco</v>
      </c>
      <c r="AG133" s="89"/>
      <c r="AH133" s="94">
        <f t="shared" si="12"/>
        <v>0</v>
      </c>
      <c r="AI133" s="89" t="str">
        <f>Registro!AE133</f>
        <v>a) 0 a 2 horas</v>
      </c>
      <c r="AJ133" s="89" t="str">
        <f>Registro!AF133</f>
        <v>a) Me divierto con juegos para computadoras</v>
      </c>
      <c r="AK133" s="94">
        <f t="shared" si="13"/>
        <v>1</v>
      </c>
      <c r="AL133" s="89" t="str">
        <f>Registro!AG133</f>
        <v>a) Muy bueno</v>
      </c>
      <c r="AM133" s="89" t="str">
        <f>Registro!AH133</f>
        <v>c) Regular</v>
      </c>
      <c r="AN133" s="89" t="str">
        <f>Registro!AI133</f>
        <v>c) Regular</v>
      </c>
      <c r="AO133" s="89" t="str">
        <f>Registro!AJ133</f>
        <v>c) Regular</v>
      </c>
      <c r="AP133" s="89" t="str">
        <f>Registro!AK133</f>
        <v>c) Regular</v>
      </c>
      <c r="AQ133" s="89" t="str">
        <f>Registro!AL133</f>
        <v>c) Regular</v>
      </c>
      <c r="AR133" s="89" t="str">
        <f>Registro!AM133</f>
        <v>a) Muy buena</v>
      </c>
      <c r="AS133" s="89" t="str">
        <f>Registro!AN133</f>
        <v>a) Muy buena</v>
      </c>
      <c r="AT133" s="89" t="str">
        <f>Registro!AO133</f>
        <v>a) Muy buena</v>
      </c>
      <c r="AU133" s="89" t="str">
        <f>Registro!AP133</f>
        <v>a) Muy buena</v>
      </c>
      <c r="AV133" s="89" t="str">
        <f>Registro!AQ133</f>
        <v>a) Muy buena</v>
      </c>
      <c r="AW133" s="89" t="str">
        <f>Registro!AR133</f>
        <v>a) El compañerismo</v>
      </c>
      <c r="AX133" s="89" t="str">
        <f>Registro!AS133</f>
        <v>a) Que sea un buen profesional</v>
      </c>
      <c r="AY133" s="89" t="str">
        <f>Registro!AT133</f>
        <v>c) Conveniente</v>
      </c>
      <c r="AZ133" s="89" t="str">
        <f>Registro!AU133</f>
        <v>c) Alguna vez he bebido más de la cuenta</v>
      </c>
      <c r="BA133" s="89" t="str">
        <f>Registro!AV133</f>
        <v>d) Buenos profesionales de la educación</v>
      </c>
      <c r="BB133" s="89" t="str">
        <f>Registro!AW133</f>
        <v>d) Mucho o muchísimo</v>
      </c>
      <c r="BC133" s="89" t="str">
        <f>Registro!AX133</f>
        <v>b) Hay de todo tipo, pero predomina lo negativo</v>
      </c>
      <c r="BD133" s="89" t="str">
        <f>Registro!AY133</f>
        <v>a) Mi padre, b) Mi madre, c) Un hermano/a, h) Una amiga</v>
      </c>
    </row>
    <row r="134" spans="1:56" ht="15" customHeight="1" x14ac:dyDescent="0.25">
      <c r="A134" s="101">
        <f>Registro!A134</f>
        <v>42158.241909722223</v>
      </c>
      <c r="B134" s="89" t="str">
        <f>Registro!B134</f>
        <v>c) Obra Social San José de Calasanz de Valencia</v>
      </c>
      <c r="C134" s="89" t="str">
        <f>Registro!C134</f>
        <v>a) Primer año</v>
      </c>
      <c r="D134" s="89" t="str">
        <f>Registro!D134</f>
        <v>a) Educación Inicial</v>
      </c>
      <c r="E134" s="89" t="str">
        <f>Registro!E134</f>
        <v>b) Femenino</v>
      </c>
      <c r="F134" s="89" t="str">
        <f>Registro!F134</f>
        <v>a) Católica</v>
      </c>
      <c r="G134" s="89" t="str">
        <f>Registro!G134</f>
        <v>a) Mamá, c) Hermanos, d) Abuelos</v>
      </c>
      <c r="H134" s="89" t="str">
        <f>Registro!H134</f>
        <v>c) Apartamento</v>
      </c>
      <c r="I134" s="89" t="str">
        <f>Registro!I134</f>
        <v>a) Sí</v>
      </c>
      <c r="J134" s="89" t="str">
        <f>Registro!J134</f>
        <v>a) Cónsola videojuegos, b) Lavadora, c) Microondas, d) TV pantalla plana, f) MP3, i) Computadora, j) Cámara digital, k) Aire acondicionado</v>
      </c>
      <c r="K134" s="89" t="str">
        <f>Registro!K134</f>
        <v>e) Cuatro</v>
      </c>
      <c r="L134" s="89" t="str">
        <f>Registro!L134</f>
        <v>a) La familia, b) Los amigos, c) Los estudios</v>
      </c>
      <c r="M134" s="94">
        <f t="shared" si="14"/>
        <v>3</v>
      </c>
      <c r="N134" s="89" t="str">
        <f>Registro!M134</f>
        <v>f) La situación política del país</v>
      </c>
      <c r="O134" s="89" t="str">
        <f>Registro!N134</f>
        <v>c) Poco</v>
      </c>
      <c r="P134" s="89" t="str">
        <f>Registro!O134</f>
        <v>b) Suficiente</v>
      </c>
      <c r="Q134" s="89" t="str">
        <f>Registro!P134</f>
        <v>b) Suficiente</v>
      </c>
      <c r="R134" s="89"/>
      <c r="S134" s="94">
        <f t="shared" si="11"/>
        <v>0</v>
      </c>
      <c r="T134" s="89" t="str">
        <f>Registro!R134</f>
        <v>a) Mucho</v>
      </c>
      <c r="U134" s="89" t="str">
        <f>Registro!S134</f>
        <v>a) La Iglesia, b) La naturaleza, d) Las convivencias, e) Los amigos, h) Algunas personas cercanas a Dios, k) La oración</v>
      </c>
      <c r="V134" s="89" t="str">
        <f>Registro!T134</f>
        <v>b) Rezo por costumbre</v>
      </c>
      <c r="W134" s="89" t="str">
        <f>Registro!U134</f>
        <v>a) Todos los domingos</v>
      </c>
      <c r="X134" s="89" t="str">
        <f>Registro!V134</f>
        <v>b) Suelo bendedir los alimentos antes de comer, c) Suelo ir los domingos y otras fechas especiales a la Iglesia, d) Suelo orar todos los días, e) Voy a misa en las fechas de mis familiares difuntos</v>
      </c>
      <c r="Y134" s="89" t="str">
        <f>Registro!W134</f>
        <v>a) Deportivo</v>
      </c>
      <c r="Z134" s="89" t="str">
        <f>Registro!X134</f>
        <v>d) No pertenezco a grupos juveniles cristianos</v>
      </c>
      <c r="AA134" s="89" t="str">
        <f>Registro!Y134</f>
        <v>b) No</v>
      </c>
      <c r="AB134" s="89" t="str">
        <f>Registro!Z134</f>
        <v>b) No</v>
      </c>
      <c r="AC134" s="89" t="str">
        <f>Registro!AA134</f>
        <v>a) Medicina, d) Ingeniería</v>
      </c>
      <c r="AD134" s="94">
        <f t="shared" si="10"/>
        <v>2</v>
      </c>
      <c r="AE134" s="89" t="str">
        <f>Registro!AB134</f>
        <v>c) Ser un excelente profesional</v>
      </c>
      <c r="AF134" s="89" t="str">
        <f>Registro!AC134</f>
        <v>b) Poco</v>
      </c>
      <c r="AG134" s="89" t="str">
        <f>Registro!AD134</f>
        <v>a) Los deportes y diversiones, h) Las actividades extraescolares</v>
      </c>
      <c r="AH134" s="94">
        <f t="shared" si="12"/>
        <v>2</v>
      </c>
      <c r="AI134" s="89" t="str">
        <f>Registro!AE134</f>
        <v>b) 3 a 4 horas</v>
      </c>
      <c r="AJ134" s="89" t="str">
        <f>Registro!AF134</f>
        <v>b) Navego en Internet, e) Suelo ir a algún parque, h) Suelo ir al cine</v>
      </c>
      <c r="AK134" s="94">
        <f t="shared" si="13"/>
        <v>3</v>
      </c>
      <c r="AL134" s="89" t="str">
        <f>Registro!AG134</f>
        <v>a) Muy bueno</v>
      </c>
      <c r="AM134" s="89" t="str">
        <f>Registro!AH134</f>
        <v>b) Buena</v>
      </c>
      <c r="AN134" s="89" t="str">
        <f>Registro!AI134</f>
        <v>b) Buena</v>
      </c>
      <c r="AO134" s="89" t="str">
        <f>Registro!AJ134</f>
        <v>a) Muy buena</v>
      </c>
      <c r="AP134" s="89" t="str">
        <f>Registro!AK134</f>
        <v>a) Muy buena</v>
      </c>
      <c r="AQ134" s="89" t="str">
        <f>Registro!AL134</f>
        <v>a) Muy buena</v>
      </c>
      <c r="AR134" s="89" t="str">
        <f>Registro!AM134</f>
        <v>a) Muy buena</v>
      </c>
      <c r="AS134" s="89" t="str">
        <f>Registro!AN134</f>
        <v>c) Regular</v>
      </c>
      <c r="AT134" s="89" t="str">
        <f>Registro!AO134</f>
        <v>c) Regular</v>
      </c>
      <c r="AU134" s="89" t="str">
        <f>Registro!AP134</f>
        <v>b) Buena</v>
      </c>
      <c r="AV134" s="89" t="str">
        <f>Registro!AQ134</f>
        <v>a) Muy buena</v>
      </c>
      <c r="AW134" s="89" t="str">
        <f>Registro!AR134</f>
        <v>c) El estudio</v>
      </c>
      <c r="AX134" s="89" t="str">
        <f>Registro!AS134</f>
        <v>b) Darme una buena educación</v>
      </c>
      <c r="AY134" s="89" t="str">
        <f>Registro!AT134</f>
        <v>d) Bastante necesaria</v>
      </c>
      <c r="AZ134" s="89" t="str">
        <f>Registro!AU134</f>
        <v>a) No acostumbro a tomarlo nunca</v>
      </c>
      <c r="BA134" s="89" t="str">
        <f>Registro!AV134</f>
        <v>d) Buenos profesionales de la educación</v>
      </c>
      <c r="BB134" s="89" t="str">
        <f>Registro!AW134</f>
        <v>c) Bastante</v>
      </c>
      <c r="BC134" s="89" t="str">
        <f>Registro!AX134</f>
        <v>e) Son personas que me gustan y admiro</v>
      </c>
      <c r="BD134" s="89" t="str">
        <f>Registro!AY134</f>
        <v>b) Mi madre, c) Un hermano/a, h) Una amiga</v>
      </c>
    </row>
    <row r="135" spans="1:56" ht="15" customHeight="1" x14ac:dyDescent="0.25">
      <c r="A135" s="101">
        <f>Registro!A135</f>
        <v>42158.244201388887</v>
      </c>
      <c r="B135" s="89" t="str">
        <f>Registro!B135</f>
        <v>c) Obra Social San José de Calasanz de Valencia</v>
      </c>
      <c r="C135" s="89" t="str">
        <f>Registro!C135</f>
        <v>a) Primer año</v>
      </c>
      <c r="D135" s="89" t="str">
        <f>Registro!D135</f>
        <v>a) Educación Inicial</v>
      </c>
      <c r="E135" s="89" t="str">
        <f>Registro!E135</f>
        <v>a) Masculino</v>
      </c>
      <c r="F135" s="89" t="str">
        <f>Registro!F135</f>
        <v>a) Católica</v>
      </c>
      <c r="G135" s="89" t="str">
        <f>Registro!G135</f>
        <v>b) Papá, d) Abuelos, e) Otros familiares</v>
      </c>
      <c r="H135" s="89" t="str">
        <f>Registro!H135</f>
        <v>d) Casa Rural</v>
      </c>
      <c r="I135" s="89" t="str">
        <f>Registro!I135</f>
        <v>a) Sí</v>
      </c>
      <c r="J135" s="89" t="str">
        <f>Registro!J135</f>
        <v>b) Lavadora, c) Microondas, d) TV pantalla plana, f) MP3, h) Carro, i) Computadora, j) Cámara digital, k) Aire acondicionado</v>
      </c>
      <c r="K135" s="89" t="str">
        <f>Registro!K135</f>
        <v>f) Más de cuatro</v>
      </c>
      <c r="L135" s="89"/>
      <c r="M135" s="94">
        <f t="shared" si="14"/>
        <v>0</v>
      </c>
      <c r="N135" s="89" t="str">
        <f>Registro!M135</f>
        <v>b) El futuro</v>
      </c>
      <c r="O135" s="89" t="str">
        <f>Registro!N135</f>
        <v>b) Suficiente</v>
      </c>
      <c r="P135" s="89" t="str">
        <f>Registro!O135</f>
        <v>c) Poco</v>
      </c>
      <c r="Q135" s="89" t="str">
        <f>Registro!P135</f>
        <v>b) Suficiente</v>
      </c>
      <c r="R135" s="89"/>
      <c r="S135" s="94">
        <f t="shared" si="11"/>
        <v>0</v>
      </c>
      <c r="T135" s="89" t="str">
        <f>Registro!R135</f>
        <v>c) Poco</v>
      </c>
      <c r="U135" s="89" t="str">
        <f>Registro!S135</f>
        <v>a) La Iglesia</v>
      </c>
      <c r="V135" s="89" t="str">
        <f>Registro!T135</f>
        <v>b) Rezo por costumbre</v>
      </c>
      <c r="W135" s="89" t="str">
        <f>Registro!U135</f>
        <v>c) Solo en fechas especiales</v>
      </c>
      <c r="X135" s="89" t="str">
        <f>Registro!V135</f>
        <v>c) Suelo ir los domingos y otras fechas especiales a la Iglesia, g) En ocasiones, en mi casa tenemos una oración familiar</v>
      </c>
      <c r="Y135" s="89" t="str">
        <f>Registro!W135</f>
        <v>a) Deportivo</v>
      </c>
      <c r="Z135" s="89" t="str">
        <f>Registro!X135</f>
        <v>b) Un lugar donde comparto con mis compañeros</v>
      </c>
      <c r="AA135" s="89" t="str">
        <f>Registro!Y135</f>
        <v>c) Algo</v>
      </c>
      <c r="AB135" s="89" t="str">
        <f>Registro!Z135</f>
        <v>b) No</v>
      </c>
      <c r="AC135" s="89" t="str">
        <f>Registro!AA135</f>
        <v>d) Ingeniería, e) Derecho</v>
      </c>
      <c r="AD135" s="94">
        <f t="shared" si="10"/>
        <v>2</v>
      </c>
      <c r="AE135" s="89" t="str">
        <f>Registro!AB135</f>
        <v>b) Tener una buena posición social, ser importante</v>
      </c>
      <c r="AF135" s="89" t="str">
        <f>Registro!AC135</f>
        <v>b) Poco</v>
      </c>
      <c r="AG135" s="89" t="str">
        <f>Registro!AD135</f>
        <v>b) El ambiente de estudio y de trabajo, d) Los grupos juveniles cristianos</v>
      </c>
      <c r="AH135" s="94">
        <f t="shared" si="12"/>
        <v>2</v>
      </c>
      <c r="AI135" s="89" t="str">
        <f>Registro!AE135</f>
        <v>a) 0 a 2 horas</v>
      </c>
      <c r="AJ135" s="89" t="str">
        <f>Registro!AF135</f>
        <v>e) Suelo ir a algún parque, k) Practico algún deporte, n) Estoy conversando con los amigos/as</v>
      </c>
      <c r="AK135" s="94">
        <f t="shared" si="13"/>
        <v>3</v>
      </c>
      <c r="AL135" s="89" t="str">
        <f>Registro!AG135</f>
        <v>b) Bueno</v>
      </c>
      <c r="AM135" s="89" t="str">
        <f>Registro!AH135</f>
        <v>b) Buena</v>
      </c>
      <c r="AN135" s="89" t="str">
        <f>Registro!AI135</f>
        <v>b) Buena</v>
      </c>
      <c r="AO135" s="89" t="str">
        <f>Registro!AJ135</f>
        <v>b) Buena</v>
      </c>
      <c r="AP135" s="89" t="str">
        <f>Registro!AK135</f>
        <v>d) Mala</v>
      </c>
      <c r="AQ135" s="89" t="str">
        <f>Registro!AL135</f>
        <v>b) Buena</v>
      </c>
      <c r="AR135" s="89" t="str">
        <f>Registro!AM135</f>
        <v>b) Buena</v>
      </c>
      <c r="AS135" s="89" t="str">
        <f>Registro!AN135</f>
        <v>b) Buena</v>
      </c>
      <c r="AT135" s="89" t="str">
        <f>Registro!AO135</f>
        <v>b) Buena</v>
      </c>
      <c r="AU135" s="89" t="str">
        <f>Registro!AP135</f>
        <v>b) Buena</v>
      </c>
      <c r="AV135" s="89" t="str">
        <f>Registro!AQ135</f>
        <v>a) Muy buena</v>
      </c>
      <c r="AW135" s="89" t="str">
        <f>Registro!AR135</f>
        <v>h) La responsabilidad social y el servicio a los demás</v>
      </c>
      <c r="AX135" s="89" t="str">
        <f>Registro!AS135</f>
        <v>b) Darme una buena educación</v>
      </c>
      <c r="AY135" s="89" t="str">
        <f>Registro!AT135</f>
        <v>c) Conveniente</v>
      </c>
      <c r="AZ135" s="89" t="str">
        <f>Registro!AU135</f>
        <v>a) No acostumbro a tomarlo nunca</v>
      </c>
      <c r="BA135" s="89" t="str">
        <f>Registro!AV135</f>
        <v>e) Educadores que se preocupan de nosotros</v>
      </c>
      <c r="BB135" s="89" t="str">
        <f>Registro!AW135</f>
        <v>c) Bastante</v>
      </c>
      <c r="BC135" s="89" t="str">
        <f>Registro!AX135</f>
        <v>c) Son personas normales y corrientes</v>
      </c>
      <c r="BD135" s="89" t="str">
        <f>Registro!AY135</f>
        <v>g) Un amigo</v>
      </c>
    </row>
    <row r="136" spans="1:56" ht="15" customHeight="1" x14ac:dyDescent="0.25">
      <c r="A136" s="101">
        <f>Registro!A136</f>
        <v>42158.24423611111</v>
      </c>
      <c r="B136" s="89" t="str">
        <f>Registro!B136</f>
        <v>c) Obra Social San José de Calasanz de Valencia</v>
      </c>
      <c r="C136" s="89" t="str">
        <f>Registro!C136</f>
        <v>a) Primer año</v>
      </c>
      <c r="D136" s="89" t="str">
        <f>Registro!D136</f>
        <v>c) Entre Primero y Tercer año</v>
      </c>
      <c r="E136" s="89" t="str">
        <f>Registro!E136</f>
        <v>b) Femenino</v>
      </c>
      <c r="F136" s="89" t="str">
        <f>Registro!F136</f>
        <v>a) Católica</v>
      </c>
      <c r="G136" s="89" t="str">
        <f>Registro!G136</f>
        <v>a) Mamá, b) Papá, c) Hermanos</v>
      </c>
      <c r="H136" s="89" t="str">
        <f>Registro!H136</f>
        <v>d) Casa Rural</v>
      </c>
      <c r="I136" s="89" t="str">
        <f>Registro!I136</f>
        <v>c) Algo</v>
      </c>
      <c r="J136" s="89" t="str">
        <f>Registro!J136</f>
        <v>b) Lavadora, f) MP3, i) Computadora, j) Cámara digital, k) Aire acondicionado</v>
      </c>
      <c r="K136" s="89" t="str">
        <f>Registro!K136</f>
        <v>b) Una</v>
      </c>
      <c r="L136" s="89" t="str">
        <f>Registro!L136</f>
        <v>a) La familia, c) Los estudios, d) El cuidado de mi cuerpo</v>
      </c>
      <c r="M136" s="94">
        <f t="shared" si="14"/>
        <v>3</v>
      </c>
      <c r="N136" s="89" t="str">
        <f>Registro!M136</f>
        <v>d) Los problemas familiares</v>
      </c>
      <c r="O136" s="89" t="str">
        <f>Registro!N136</f>
        <v>c) Poco</v>
      </c>
      <c r="P136" s="89" t="str">
        <f>Registro!O136</f>
        <v>c) Poco</v>
      </c>
      <c r="Q136" s="89" t="str">
        <f>Registro!P136</f>
        <v>c) Poco</v>
      </c>
      <c r="R136" s="89"/>
      <c r="S136" s="94">
        <f t="shared" si="11"/>
        <v>0</v>
      </c>
      <c r="T136" s="89" t="str">
        <f>Registro!R136</f>
        <v>b) Suficiente</v>
      </c>
      <c r="U136" s="89" t="str">
        <f>Registro!S136</f>
        <v>a) La Iglesia, d) Las convivencias, h) Algunas personas cercanas a Dios, k) La oración</v>
      </c>
      <c r="V136" s="89" t="str">
        <f>Registro!T136</f>
        <v>c) Rezo solo en situación de dificultad</v>
      </c>
      <c r="W136" s="89" t="str">
        <f>Registro!U136</f>
        <v>c) Solo en fechas especiales</v>
      </c>
      <c r="X136" s="89" t="str">
        <f>Registro!V136</f>
        <v>e) Voy a misa en las fechas de mis familiares difuntos, f) En alguna ocasión he rezado el rosario</v>
      </c>
      <c r="Y136" s="89" t="str">
        <f>Registro!W136</f>
        <v>a) Deportivo</v>
      </c>
      <c r="Z136" s="89" t="str">
        <f>Registro!X136</f>
        <v>b) Un lugar donde comparto con mis compañeros</v>
      </c>
      <c r="AA136" s="89" t="str">
        <f>Registro!Y136</f>
        <v>b) No</v>
      </c>
      <c r="AB136" s="89" t="str">
        <f>Registro!Z136</f>
        <v>b) No</v>
      </c>
      <c r="AC136" s="89"/>
      <c r="AD136" s="94">
        <f t="shared" si="10"/>
        <v>0</v>
      </c>
      <c r="AE136" s="89" t="str">
        <f>Registro!AB136</f>
        <v>c) Ser un excelente profesional</v>
      </c>
      <c r="AF136" s="89" t="str">
        <f>Registro!AC136</f>
        <v>b) Poco</v>
      </c>
      <c r="AG136" s="89" t="str">
        <f>Registro!AD136</f>
        <v>a) Los deportes y diversiones, c) Las instalaciones del Colegio</v>
      </c>
      <c r="AH136" s="94">
        <f t="shared" si="12"/>
        <v>2</v>
      </c>
      <c r="AI136" s="89" t="str">
        <f>Registro!AE136</f>
        <v>c) 5 a 6 horas</v>
      </c>
      <c r="AJ136" s="89" t="str">
        <f>Registro!AF136</f>
        <v>a) Me divierto con juegos para computadoras, l) Escucho música y/o veo videos musicales, n) Estoy conversando con los amigos/as</v>
      </c>
      <c r="AK136" s="94">
        <f t="shared" si="13"/>
        <v>3</v>
      </c>
      <c r="AL136" s="89" t="str">
        <f>Registro!AG136</f>
        <v>a) Muy bueno</v>
      </c>
      <c r="AM136" s="89" t="str">
        <f>Registro!AH136</f>
        <v>b) Buena</v>
      </c>
      <c r="AN136" s="89" t="str">
        <f>Registro!AI136</f>
        <v>b) Buena</v>
      </c>
      <c r="AO136" s="89" t="str">
        <f>Registro!AJ136</f>
        <v>a) Muy buena</v>
      </c>
      <c r="AP136" s="89" t="str">
        <f>Registro!AK136</f>
        <v>a) Muy buena</v>
      </c>
      <c r="AQ136" s="89" t="str">
        <f>Registro!AL136</f>
        <v>a) Muy buena</v>
      </c>
      <c r="AR136" s="89" t="str">
        <f>Registro!AM136</f>
        <v>a) Muy buena</v>
      </c>
      <c r="AS136" s="89" t="str">
        <f>Registro!AN136</f>
        <v>b) Buena</v>
      </c>
      <c r="AT136" s="89" t="str">
        <f>Registro!AO136</f>
        <v>b) Buena</v>
      </c>
      <c r="AU136" s="89" t="str">
        <f>Registro!AP136</f>
        <v>b) Buena</v>
      </c>
      <c r="AV136" s="89" t="str">
        <f>Registro!AQ136</f>
        <v>b) Buena</v>
      </c>
      <c r="AW136" s="89" t="str">
        <f>Registro!AR136</f>
        <v>h) La responsabilidad social y el servicio a los demás</v>
      </c>
      <c r="AX136" s="89" t="str">
        <f>Registro!AS136</f>
        <v>b) Darme una buena educación</v>
      </c>
      <c r="AY136" s="89" t="str">
        <f>Registro!AT136</f>
        <v>a) Innecesaria</v>
      </c>
      <c r="AZ136" s="89" t="str">
        <f>Registro!AU136</f>
        <v>a) No acostumbro a tomarlo nunca</v>
      </c>
      <c r="BA136" s="89" t="str">
        <f>Registro!AV136</f>
        <v>e) Educadores que se preocupan de nosotros</v>
      </c>
      <c r="BB136" s="89" t="str">
        <f>Registro!AW136</f>
        <v>d) Mucho o muchísimo</v>
      </c>
      <c r="BC136" s="89" t="str">
        <f>Registro!AX136</f>
        <v>c) Son personas normales y corrientes</v>
      </c>
      <c r="BD136" s="89" t="str">
        <f>Registro!AY136</f>
        <v>b) Mi madre, g) Un amigo, h) Una amiga</v>
      </c>
    </row>
    <row r="137" spans="1:56" ht="15" customHeight="1" x14ac:dyDescent="0.25">
      <c r="A137" s="101">
        <f>Registro!A137</f>
        <v>42158.244293981479</v>
      </c>
      <c r="B137" s="89" t="str">
        <f>Registro!B137</f>
        <v>c) Obra Social San José de Calasanz de Valencia</v>
      </c>
      <c r="C137" s="89" t="str">
        <f>Registro!C137</f>
        <v>a) Primer año</v>
      </c>
      <c r="D137" s="89" t="str">
        <f>Registro!D137</f>
        <v>a) Educación Inicial</v>
      </c>
      <c r="E137" s="89" t="str">
        <f>Registro!E137</f>
        <v>a) Masculino</v>
      </c>
      <c r="F137" s="89" t="str">
        <f>Registro!F137</f>
        <v>a) Católica</v>
      </c>
      <c r="G137" s="89" t="str">
        <f>Registro!G137</f>
        <v>a) Mamá, b) Papá, c) Hermanos</v>
      </c>
      <c r="H137" s="89" t="str">
        <f>Registro!H137</f>
        <v>b) Casa Urbana</v>
      </c>
      <c r="I137" s="89" t="str">
        <f>Registro!I137</f>
        <v>a) Sí</v>
      </c>
      <c r="J137" s="89" t="str">
        <f>Registro!J137</f>
        <v>a) Cónsola videojuegos, b) Lavadora, c) Microondas, d) TV pantalla plana, f) MP3, g) MP4, h) Carro, i) Computadora, j) Cámara digital, k) Aire acondicionado</v>
      </c>
      <c r="K137" s="89" t="str">
        <f>Registro!K137</f>
        <v>f) Más de cuatro</v>
      </c>
      <c r="L137" s="89"/>
      <c r="M137" s="94">
        <f t="shared" si="14"/>
        <v>0</v>
      </c>
      <c r="N137" s="89" t="str">
        <f>Registro!M137</f>
        <v>f) La situación política del país</v>
      </c>
      <c r="O137" s="89" t="str">
        <f>Registro!N137</f>
        <v>a) Mucho</v>
      </c>
      <c r="P137" s="89" t="str">
        <f>Registro!O137</f>
        <v>c) Poco</v>
      </c>
      <c r="Q137" s="89" t="str">
        <f>Registro!P137</f>
        <v>b) Suficiente</v>
      </c>
      <c r="R137" s="89"/>
      <c r="S137" s="94">
        <f t="shared" si="11"/>
        <v>0</v>
      </c>
      <c r="T137" s="89" t="str">
        <f>Registro!R137</f>
        <v>a) Mucho</v>
      </c>
      <c r="U137" s="89" t="str">
        <f>Registro!S137</f>
        <v>a) La Iglesia, e) Los amigos, g) Mi familia, j) Todas partes</v>
      </c>
      <c r="V137" s="89" t="str">
        <f>Registro!T137</f>
        <v>a) Suelo rezar por convicción o porque me gusta</v>
      </c>
      <c r="W137" s="89" t="str">
        <f>Registro!U137</f>
        <v>c) Solo en fechas especiales</v>
      </c>
      <c r="X137" s="89" t="str">
        <f>Registro!V137</f>
        <v>b) Suelo bendedir los alimentos antes de comer, g) En ocasiones, en mi casa tenemos una oración familiar, i) Tengo en mi cuarto alguna imagen religiosa</v>
      </c>
      <c r="Y137" s="89" t="str">
        <f>Registro!W137</f>
        <v>a) Deportivo</v>
      </c>
      <c r="Z137" s="89" t="str">
        <f>Registro!X137</f>
        <v>b) Un lugar donde comparto con mis compañeros</v>
      </c>
      <c r="AA137" s="89" t="str">
        <f>Registro!Y137</f>
        <v>b) No</v>
      </c>
      <c r="AB137" s="89" t="str">
        <f>Registro!Z137</f>
        <v>b) No</v>
      </c>
      <c r="AC137" s="89" t="str">
        <f>Registro!AA137</f>
        <v>d) Ingeniería</v>
      </c>
      <c r="AD137" s="94">
        <f t="shared" si="10"/>
        <v>1</v>
      </c>
      <c r="AE137" s="89" t="str">
        <f>Registro!AB137</f>
        <v>c) Ser un excelente profesional</v>
      </c>
      <c r="AF137" s="89" t="str">
        <f>Registro!AC137</f>
        <v>d) Mucho o muchísimo</v>
      </c>
      <c r="AG137" s="89" t="str">
        <f>Registro!AD137</f>
        <v>b) El ambiente de estudio y de trabajo, c) Las instalaciones del Colegio</v>
      </c>
      <c r="AH137" s="94">
        <f t="shared" si="12"/>
        <v>2</v>
      </c>
      <c r="AI137" s="89" t="str">
        <f>Registro!AE137</f>
        <v>a) 0 a 2 horas</v>
      </c>
      <c r="AJ137" s="89" t="str">
        <f>Registro!AF137</f>
        <v>b) Navego en Internet, h) Suelo ir al cine, m) Veo televisión y/o películas</v>
      </c>
      <c r="AK137" s="94">
        <f t="shared" si="13"/>
        <v>3</v>
      </c>
      <c r="AL137" s="89" t="str">
        <f>Registro!AG137</f>
        <v>c) Regular</v>
      </c>
      <c r="AM137" s="89" t="str">
        <f>Registro!AH137</f>
        <v>a) Muy buena</v>
      </c>
      <c r="AN137" s="89" t="str">
        <f>Registro!AI137</f>
        <v>a) Muy buena</v>
      </c>
      <c r="AO137" s="89" t="str">
        <f>Registro!AJ137</f>
        <v>b) Buena</v>
      </c>
      <c r="AP137" s="89" t="str">
        <f>Registro!AK137</f>
        <v>a) Muy buena</v>
      </c>
      <c r="AQ137" s="89" t="str">
        <f>Registro!AL137</f>
        <v>b) Buena</v>
      </c>
      <c r="AR137" s="89" t="str">
        <f>Registro!AM137</f>
        <v>a) Muy buena</v>
      </c>
      <c r="AS137" s="89" t="str">
        <f>Registro!AN137</f>
        <v>b) Buena</v>
      </c>
      <c r="AT137" s="89" t="str">
        <f>Registro!AO137</f>
        <v>c) Regular</v>
      </c>
      <c r="AU137" s="89" t="str">
        <f>Registro!AP137</f>
        <v>b) Buena</v>
      </c>
      <c r="AV137" s="89" t="str">
        <f>Registro!AQ137</f>
        <v>a) Muy buena</v>
      </c>
      <c r="AW137" s="89" t="str">
        <f>Registro!AR137</f>
        <v>a) El compañerismo</v>
      </c>
      <c r="AX137" s="89" t="str">
        <f>Registro!AS137</f>
        <v>b) Darme una buena educación</v>
      </c>
      <c r="AY137" s="89" t="str">
        <f>Registro!AT137</f>
        <v>d) Bastante necesaria</v>
      </c>
      <c r="AZ137" s="89" t="str">
        <f>Registro!AU137</f>
        <v>a) No acostumbro a tomarlo nunca</v>
      </c>
      <c r="BA137" s="89" t="str">
        <f>Registro!AV137</f>
        <v>d) Buenos profesionales de la educación</v>
      </c>
      <c r="BB137" s="89" t="str">
        <f>Registro!AW137</f>
        <v>c) Bastante</v>
      </c>
      <c r="BC137" s="89" t="str">
        <f>Registro!AX137</f>
        <v>e) Son personas que me gustan y admiro</v>
      </c>
      <c r="BD137" s="89" t="str">
        <f>Registro!AY137</f>
        <v>a) Mi padre, b) Mi madre, c) Un hermano/a, g) Un amigo, h) Una amiga</v>
      </c>
    </row>
    <row r="138" spans="1:56" ht="15" customHeight="1" x14ac:dyDescent="0.25">
      <c r="A138" s="101">
        <f>Registro!A138</f>
        <v>42158.244328703702</v>
      </c>
      <c r="B138" s="89" t="str">
        <f>Registro!B138</f>
        <v>c) Obra Social San José de Calasanz de Valencia</v>
      </c>
      <c r="C138" s="89" t="str">
        <f>Registro!C138</f>
        <v>a) Primer año</v>
      </c>
      <c r="D138" s="89" t="str">
        <f>Registro!D138</f>
        <v>a) Educación Inicial</v>
      </c>
      <c r="E138" s="89" t="str">
        <f>Registro!E138</f>
        <v>a) Masculino</v>
      </c>
      <c r="F138" s="89" t="str">
        <f>Registro!F138</f>
        <v>a) Católica</v>
      </c>
      <c r="G138" s="89" t="str">
        <f>Registro!G138</f>
        <v>a) Mamá, c) Hermanos</v>
      </c>
      <c r="H138" s="89" t="str">
        <f>Registro!H138</f>
        <v>b) Casa Urbana</v>
      </c>
      <c r="I138" s="89" t="str">
        <f>Registro!I138</f>
        <v>a) Sí</v>
      </c>
      <c r="J138" s="89" t="str">
        <f>Registro!J138</f>
        <v>b) Lavadora, c) Microondas, f) MP3, i) Computadora, k) Aire acondicionado</v>
      </c>
      <c r="K138" s="89" t="str">
        <f>Registro!K138</f>
        <v>f) Más de cuatro</v>
      </c>
      <c r="L138" s="89" t="str">
        <f>Registro!L138</f>
        <v>a) La familia, b) Los amigos, g) La felicidad</v>
      </c>
      <c r="M138" s="94">
        <f t="shared" si="14"/>
        <v>3</v>
      </c>
      <c r="N138" s="89" t="str">
        <f>Registro!M138</f>
        <v>d) Los problemas familiares</v>
      </c>
      <c r="O138" s="89" t="str">
        <f>Registro!N138</f>
        <v>a) Mucho</v>
      </c>
      <c r="P138" s="89" t="str">
        <f>Registro!O138</f>
        <v>c) Poco</v>
      </c>
      <c r="Q138" s="89" t="str">
        <f>Registro!P138</f>
        <v>a) Mucho</v>
      </c>
      <c r="R138" s="89" t="str">
        <f>Registro!Q138</f>
        <v>c) Los estudios, e) Disponer de dinero, g) La felicidad</v>
      </c>
      <c r="S138" s="94">
        <f t="shared" si="11"/>
        <v>3</v>
      </c>
      <c r="T138" s="89" t="str">
        <f>Registro!R138</f>
        <v>a) Mucho</v>
      </c>
      <c r="U138" s="89" t="str">
        <f>Registro!S138</f>
        <v>a) La Iglesia, g) Mi familia, k) La oración</v>
      </c>
      <c r="V138" s="89" t="str">
        <f>Registro!T138</f>
        <v>b) Rezo por costumbre</v>
      </c>
      <c r="W138" s="89" t="str">
        <f>Registro!U138</f>
        <v>b) Algunos domingos</v>
      </c>
      <c r="X138" s="89" t="str">
        <f>Registro!V138</f>
        <v>e) Voy a misa en las fechas de mis familiares difuntos, f) En alguna ocasión he rezado el rosario, i) Tengo en mi cuarto alguna imagen religiosa</v>
      </c>
      <c r="Y138" s="89" t="str">
        <f>Registro!W138</f>
        <v>a) Deportivo</v>
      </c>
      <c r="Z138" s="89" t="str">
        <f>Registro!X138</f>
        <v>a) Un grupo donde profundizo mi fe</v>
      </c>
      <c r="AA138" s="89" t="str">
        <f>Registro!Y138</f>
        <v>b) No</v>
      </c>
      <c r="AB138" s="89" t="str">
        <f>Registro!Z138</f>
        <v>b) No</v>
      </c>
      <c r="AC138" s="89" t="str">
        <f>Registro!AA138</f>
        <v>a) Medicina, d) Ingeniería</v>
      </c>
      <c r="AD138" s="94">
        <f t="shared" si="10"/>
        <v>2</v>
      </c>
      <c r="AE138" s="89" t="str">
        <f>Registro!AB138</f>
        <v>c) Ser un excelente profesional</v>
      </c>
      <c r="AF138" s="89" t="str">
        <f>Registro!AC138</f>
        <v>d) Mucho o muchísimo</v>
      </c>
      <c r="AG138" s="89" t="str">
        <f>Registro!AD138</f>
        <v>b) El ambiente de estudio y de trabajo, e) La mayor posibilidad de vivir mi fe</v>
      </c>
      <c r="AH138" s="94">
        <f t="shared" si="12"/>
        <v>2</v>
      </c>
      <c r="AI138" s="89" t="str">
        <f>Registro!AE138</f>
        <v>e) 9 a 10 horas</v>
      </c>
      <c r="AJ138" s="89" t="str">
        <f>Registro!AF138</f>
        <v>a) Me divierto con juegos para computadoras, b) Navego en Internet, e) Suelo ir a algún parque</v>
      </c>
      <c r="AK138" s="94">
        <f t="shared" si="13"/>
        <v>3</v>
      </c>
      <c r="AL138" s="89" t="str">
        <f>Registro!AG138</f>
        <v>c) Regular</v>
      </c>
      <c r="AM138" s="89" t="str">
        <f>Registro!AH138</f>
        <v>a) Muy buena</v>
      </c>
      <c r="AN138" s="89" t="str">
        <f>Registro!AI138</f>
        <v>a) Muy buena</v>
      </c>
      <c r="AO138" s="89" t="str">
        <f>Registro!AJ138</f>
        <v>b) Buena</v>
      </c>
      <c r="AP138" s="89" t="str">
        <f>Registro!AK138</f>
        <v>a) Muy buena</v>
      </c>
      <c r="AQ138" s="89" t="str">
        <f>Registro!AL138</f>
        <v>b) Buena</v>
      </c>
      <c r="AR138" s="89" t="str">
        <f>Registro!AM138</f>
        <v>a) Muy buena</v>
      </c>
      <c r="AS138" s="89" t="str">
        <f>Registro!AN138</f>
        <v>a) Muy buena</v>
      </c>
      <c r="AT138" s="89" t="str">
        <f>Registro!AO138</f>
        <v>a) Muy buena</v>
      </c>
      <c r="AU138" s="89" t="str">
        <f>Registro!AP138</f>
        <v>a) Muy buena</v>
      </c>
      <c r="AV138" s="89" t="str">
        <f>Registro!AQ138</f>
        <v>a) Muy buena</v>
      </c>
      <c r="AW138" s="89" t="str">
        <f>Registro!AR138</f>
        <v>e) La disciplina y el orden</v>
      </c>
      <c r="AX138" s="89" t="str">
        <f>Registro!AS138</f>
        <v>b) Darme una buena educación</v>
      </c>
      <c r="AY138" s="89" t="str">
        <f>Registro!AT138</f>
        <v>e) Absolutamente necesaria</v>
      </c>
      <c r="AZ138" s="89" t="str">
        <f>Registro!AU138</f>
        <v>a) No acostumbro a tomarlo nunca</v>
      </c>
      <c r="BA138" s="89" t="str">
        <f>Registro!AV138</f>
        <v>d) Buenos profesionales de la educación</v>
      </c>
      <c r="BB138" s="89" t="str">
        <f>Registro!AW138</f>
        <v>c) Bastante</v>
      </c>
      <c r="BC138" s="89" t="str">
        <f>Registro!AX138</f>
        <v>e) Son personas que me gustan y admiro</v>
      </c>
      <c r="BD138" s="89" t="str">
        <f>Registro!AY138</f>
        <v>a) Mi padre, b) Mi madre, c) Un hermano/a, g) Un amigo, h) Una amiga</v>
      </c>
    </row>
    <row r="139" spans="1:56" ht="15" customHeight="1" x14ac:dyDescent="0.25">
      <c r="A139" s="101">
        <f>Registro!A139</f>
        <v>42158.244363425925</v>
      </c>
      <c r="B139" s="89" t="str">
        <f>Registro!B139</f>
        <v>c) Obra Social San José de Calasanz de Valencia</v>
      </c>
      <c r="C139" s="89" t="str">
        <f>Registro!C139</f>
        <v>a) Primer año</v>
      </c>
      <c r="D139" s="89" t="str">
        <f>Registro!D139</f>
        <v>b) Primaria</v>
      </c>
      <c r="E139" s="89" t="str">
        <f>Registro!E139</f>
        <v>a) Masculino</v>
      </c>
      <c r="F139" s="89" t="str">
        <f>Registro!F139</f>
        <v>a) Católica</v>
      </c>
      <c r="G139" s="89" t="str">
        <f>Registro!G139</f>
        <v>a) Mamá, b) Papá, c) Hermanos</v>
      </c>
      <c r="H139" s="89" t="str">
        <f>Registro!H139</f>
        <v>b) Casa Urbana</v>
      </c>
      <c r="I139" s="89" t="str">
        <f>Registro!I139</f>
        <v>a) Sí</v>
      </c>
      <c r="J139" s="89" t="str">
        <f>Registro!J139</f>
        <v>a) Cónsola videojuegos, b) Lavadora, j) Cámara digital, k) Aire acondicionado</v>
      </c>
      <c r="K139" s="89" t="str">
        <f>Registro!K139</f>
        <v>b) Una</v>
      </c>
      <c r="L139" s="89" t="str">
        <f>Registro!L139</f>
        <v>a) La familia, b) Los amigos, c) Los estudios</v>
      </c>
      <c r="M139" s="94">
        <f t="shared" si="14"/>
        <v>3</v>
      </c>
      <c r="N139" s="89" t="str">
        <f>Registro!M139</f>
        <v>a) Seguridad personal (la violencia y la delincuencia)</v>
      </c>
      <c r="O139" s="89" t="str">
        <f>Registro!N139</f>
        <v>b) Suficiente</v>
      </c>
      <c r="P139" s="89" t="str">
        <f>Registro!O139</f>
        <v>b) Suficiente</v>
      </c>
      <c r="Q139" s="89" t="str">
        <f>Registro!P139</f>
        <v>c) Poco</v>
      </c>
      <c r="R139" s="89" t="str">
        <f>Registro!Q139</f>
        <v>a) La familia, d) El cuidado de mi cuerpo, g) La felicidad</v>
      </c>
      <c r="S139" s="94">
        <f t="shared" si="11"/>
        <v>3</v>
      </c>
      <c r="T139" s="89">
        <f>Registro!R139</f>
        <v>0</v>
      </c>
      <c r="U139" s="89" t="str">
        <f>Registro!S139</f>
        <v>a) La Iglesia, b) La naturaleza, d) Las convivencias, g) Mi familia, k) La oración, l) Los sacramentos</v>
      </c>
      <c r="V139" s="89" t="str">
        <f>Registro!T139</f>
        <v>a) Suelo rezar por convicción o porque me gusta</v>
      </c>
      <c r="W139" s="89" t="str">
        <f>Registro!U139</f>
        <v>c) Solo en fechas especiales</v>
      </c>
      <c r="X139" s="89" t="str">
        <f>Registro!V139</f>
        <v>a) Suelo llevar una cruz o algún objeto religioso, c) Suelo ir los domingos y otras fechas especiales a la Iglesia, d) Suelo orar todos los días, h) En Semana Santa asisto a las procesiones</v>
      </c>
      <c r="Y139" s="89" t="str">
        <f>Registro!W139</f>
        <v>a) Deportivo</v>
      </c>
      <c r="Z139" s="89" t="str">
        <f>Registro!X139</f>
        <v>b) Un lugar donde comparto con mis compañeros</v>
      </c>
      <c r="AA139" s="89" t="str">
        <f>Registro!Y139</f>
        <v>c) Algo</v>
      </c>
      <c r="AB139" s="89" t="str">
        <f>Registro!Z139</f>
        <v>c) Algo</v>
      </c>
      <c r="AC139" s="89" t="str">
        <f>Registro!AA139</f>
        <v>d) Ingeniería</v>
      </c>
      <c r="AD139" s="94">
        <f t="shared" si="10"/>
        <v>1</v>
      </c>
      <c r="AE139" s="89" t="str">
        <f>Registro!AB139</f>
        <v>e) Servir a los demás</v>
      </c>
      <c r="AF139" s="89" t="str">
        <f>Registro!AC139</f>
        <v>e) No sé</v>
      </c>
      <c r="AG139" s="89"/>
      <c r="AH139" s="94">
        <f t="shared" si="12"/>
        <v>0</v>
      </c>
      <c r="AI139" s="89" t="str">
        <f>Registro!AE139</f>
        <v>a) 0 a 2 horas</v>
      </c>
      <c r="AJ139" s="89" t="str">
        <f>Registro!AF139</f>
        <v>a) Me divierto con juegos para computadoras, n) Estoy conversando con los amigos/as</v>
      </c>
      <c r="AK139" s="94">
        <f t="shared" si="13"/>
        <v>2</v>
      </c>
      <c r="AL139" s="89" t="str">
        <f>Registro!AG139</f>
        <v>a) Muy bueno</v>
      </c>
      <c r="AM139" s="89" t="str">
        <f>Registro!AH139</f>
        <v>a) Muy buena</v>
      </c>
      <c r="AN139" s="89" t="str">
        <f>Registro!AI139</f>
        <v>a) Muy buena</v>
      </c>
      <c r="AO139" s="89" t="str">
        <f>Registro!AJ139</f>
        <v>a) Muy buena</v>
      </c>
      <c r="AP139" s="89" t="str">
        <f>Registro!AK139</f>
        <v>a) Muy buena</v>
      </c>
      <c r="AQ139" s="89" t="str">
        <f>Registro!AL139</f>
        <v>a) Muy buena</v>
      </c>
      <c r="AR139" s="89" t="str">
        <f>Registro!AM139</f>
        <v>a) Muy buena</v>
      </c>
      <c r="AS139" s="89" t="str">
        <f>Registro!AN139</f>
        <v>a) Muy buena</v>
      </c>
      <c r="AT139" s="89" t="str">
        <f>Registro!AO139</f>
        <v>a) Muy buena</v>
      </c>
      <c r="AU139" s="89" t="str">
        <f>Registro!AP139</f>
        <v>a) Muy buena</v>
      </c>
      <c r="AV139" s="89" t="str">
        <f>Registro!AQ139</f>
        <v>a) Muy buena</v>
      </c>
      <c r="AW139" s="89" t="str">
        <f>Registro!AR139</f>
        <v>e) La disciplina y el orden</v>
      </c>
      <c r="AX139" s="89" t="str">
        <f>Registro!AS139</f>
        <v>b) Darme una buena educación</v>
      </c>
      <c r="AY139" s="89" t="str">
        <f>Registro!AT139</f>
        <v>c) Conveniente</v>
      </c>
      <c r="AZ139" s="89" t="str">
        <f>Registro!AU139</f>
        <v>a) No acostumbro a tomarlo nunca</v>
      </c>
      <c r="BA139" s="89" t="str">
        <f>Registro!AV139</f>
        <v>c) Profesionales que hacen lo que pueden</v>
      </c>
      <c r="BB139" s="89" t="str">
        <f>Registro!AW139</f>
        <v>c) Bastante</v>
      </c>
      <c r="BC139" s="89" t="str">
        <f>Registro!AX139</f>
        <v>a) No me gustan en absoluto</v>
      </c>
      <c r="BD139" s="89" t="str">
        <f>Registro!AY139</f>
        <v>a) Mi padre, b) Mi madre, c) Un hermano/a, d) Un escolapio, religioso o religiosa, e) Un, una docente, g) Un amigo, h) Una amiga</v>
      </c>
    </row>
    <row r="140" spans="1:56" ht="15" customHeight="1" x14ac:dyDescent="0.25">
      <c r="A140" s="101">
        <f>Registro!A140</f>
        <v>42158.24490740741</v>
      </c>
      <c r="B140" s="89" t="str">
        <f>Registro!B140</f>
        <v>c) Obra Social San José de Calasanz de Valencia</v>
      </c>
      <c r="C140" s="89" t="str">
        <f>Registro!C140</f>
        <v>a) Primer año</v>
      </c>
      <c r="D140" s="89" t="str">
        <f>Registro!D140</f>
        <v>a) Educación Inicial</v>
      </c>
      <c r="E140" s="89" t="str">
        <f>Registro!E140</f>
        <v>a) Masculino</v>
      </c>
      <c r="F140" s="89" t="str">
        <f>Registro!F140</f>
        <v>a) Católica</v>
      </c>
      <c r="G140" s="89" t="str">
        <f>Registro!G140</f>
        <v>a) Mamá, c) Hermanos, d) Abuelos, e) Otros familiares</v>
      </c>
      <c r="H140" s="89" t="str">
        <f>Registro!H140</f>
        <v>d) Casa Rural</v>
      </c>
      <c r="I140" s="89" t="str">
        <f>Registro!I140</f>
        <v>a) Sí</v>
      </c>
      <c r="J140" s="89" t="str">
        <f>Registro!J140</f>
        <v>a) Cónsola videojuegos, b) Lavadora, c) Microondas, d) TV pantalla plana, g) MP4, h) Carro, i) Computadora, j) Cámara digital, k) Aire acondicionado</v>
      </c>
      <c r="K140" s="89">
        <f>Registro!K140</f>
        <v>0</v>
      </c>
      <c r="L140" s="89" t="str">
        <f>Registro!L140</f>
        <v>a) La familia, c) Los estudios, g) La felicidad</v>
      </c>
      <c r="M140" s="94">
        <f t="shared" si="14"/>
        <v>3</v>
      </c>
      <c r="N140" s="89" t="str">
        <f>Registro!M140</f>
        <v>d) Los problemas familiares</v>
      </c>
      <c r="O140" s="89" t="str">
        <f>Registro!N140</f>
        <v>c) Poco</v>
      </c>
      <c r="P140" s="89" t="str">
        <f>Registro!O140</f>
        <v>b) Suficiente</v>
      </c>
      <c r="Q140" s="89" t="str">
        <f>Registro!P140</f>
        <v>b) Suficiente</v>
      </c>
      <c r="R140" s="89" t="str">
        <f>Registro!Q140</f>
        <v>a) La familia, c) Los estudios, d) El cuidado de mi cuerpo</v>
      </c>
      <c r="S140" s="94">
        <f t="shared" si="11"/>
        <v>3</v>
      </c>
      <c r="T140" s="89" t="str">
        <f>Registro!R140</f>
        <v>a) Mucho</v>
      </c>
      <c r="U140" s="89" t="str">
        <f>Registro!S140</f>
        <v>a) La Iglesia, b) La naturaleza, g) Mi familia, h) Algunas personas cercanas a Dios, k) La oración, l) Los sacramentos</v>
      </c>
      <c r="V140" s="89" t="str">
        <f>Registro!T140</f>
        <v>a) Suelo rezar por convicción o porque me gusta</v>
      </c>
      <c r="W140" s="89" t="str">
        <f>Registro!U140</f>
        <v>b) Algunos domingos</v>
      </c>
      <c r="X140" s="89" t="str">
        <f>Registro!V140</f>
        <v>i) Tengo en mi cuarto alguna imagen religiosa</v>
      </c>
      <c r="Y140" s="89" t="str">
        <f>Registro!W140</f>
        <v>a) Deportivo</v>
      </c>
      <c r="Z140" s="89" t="str">
        <f>Registro!X140</f>
        <v>a) Un grupo donde profundizo mi fe</v>
      </c>
      <c r="AA140" s="89" t="str">
        <f>Registro!Y140</f>
        <v>b) No</v>
      </c>
      <c r="AB140" s="89" t="str">
        <f>Registro!Z140</f>
        <v>b) No</v>
      </c>
      <c r="AC140" s="89" t="str">
        <f>Registro!AA140</f>
        <v>d) Ingeniería, j) Trabajador calificado</v>
      </c>
      <c r="AD140" s="94">
        <f t="shared" si="10"/>
        <v>2</v>
      </c>
      <c r="AE140" s="89" t="str">
        <f>Registro!AB140</f>
        <v>c) Ser un excelente profesional</v>
      </c>
      <c r="AF140" s="89" t="str">
        <f>Registro!AC140</f>
        <v>b) Poco</v>
      </c>
      <c r="AG140" s="89" t="str">
        <f>Registro!AD140</f>
        <v>b) El ambiente de estudio y de trabajo</v>
      </c>
      <c r="AH140" s="94">
        <f t="shared" si="12"/>
        <v>1</v>
      </c>
      <c r="AI140" s="89" t="str">
        <f>Registro!AE140</f>
        <v>a) 0 a 2 horas</v>
      </c>
      <c r="AJ140" s="89" t="str">
        <f>Registro!AF140</f>
        <v>a) Me divierto con juegos para computadoras, e) Suelo ir a algún parque, k) Practico algún deporte</v>
      </c>
      <c r="AK140" s="94">
        <f t="shared" si="13"/>
        <v>3</v>
      </c>
      <c r="AL140" s="89" t="str">
        <f>Registro!AG140</f>
        <v>c) Regular</v>
      </c>
      <c r="AM140" s="89" t="str">
        <f>Registro!AH140</f>
        <v>b) Buena</v>
      </c>
      <c r="AN140" s="89" t="str">
        <f>Registro!AI140</f>
        <v>a) Muy buena</v>
      </c>
      <c r="AO140" s="89" t="str">
        <f>Registro!AJ140</f>
        <v>a) Muy buena</v>
      </c>
      <c r="AP140" s="89" t="str">
        <f>Registro!AK140</f>
        <v>a) Muy buena</v>
      </c>
      <c r="AQ140" s="89" t="str">
        <f>Registro!AL140</f>
        <v>a) Muy buena</v>
      </c>
      <c r="AR140" s="89" t="str">
        <f>Registro!AM140</f>
        <v>a) Muy buena</v>
      </c>
      <c r="AS140" s="89" t="str">
        <f>Registro!AN140</f>
        <v>b) Buena</v>
      </c>
      <c r="AT140" s="89" t="str">
        <f>Registro!AO140</f>
        <v>b) Buena</v>
      </c>
      <c r="AU140" s="89" t="str">
        <f>Registro!AP140</f>
        <v>b) Buena</v>
      </c>
      <c r="AV140" s="89" t="str">
        <f>Registro!AQ140</f>
        <v>a) Muy buena</v>
      </c>
      <c r="AW140" s="89" t="str">
        <f>Registro!AR140</f>
        <v>c) El estudio</v>
      </c>
      <c r="AX140" s="89" t="str">
        <f>Registro!AS140</f>
        <v>b) Darme una buena educación</v>
      </c>
      <c r="AY140" s="89" t="str">
        <f>Registro!AT140</f>
        <v>d) Bastante necesaria</v>
      </c>
      <c r="AZ140" s="89" t="str">
        <f>Registro!AU140</f>
        <v>a) No acostumbro a tomarlo nunca</v>
      </c>
      <c r="BA140" s="89" t="str">
        <f>Registro!AV140</f>
        <v>a) Personas a las que tengo que aguantar</v>
      </c>
      <c r="BB140" s="89" t="str">
        <f>Registro!AW140</f>
        <v>d) Mucho o muchísimo</v>
      </c>
      <c r="BC140" s="89" t="str">
        <f>Registro!AX140</f>
        <v>c) Son personas normales y corrientes</v>
      </c>
      <c r="BD140" s="89" t="str">
        <f>Registro!AY140</f>
        <v>a) Mi padre, b) Mi madre, c) Un hermano/a</v>
      </c>
    </row>
    <row r="141" spans="1:56" ht="15" customHeight="1" x14ac:dyDescent="0.25">
      <c r="A141" s="101">
        <f>Registro!A141</f>
        <v>42158.245486111111</v>
      </c>
      <c r="B141" s="89" t="str">
        <f>Registro!B141</f>
        <v>c) Obra Social San José de Calasanz de Valencia</v>
      </c>
      <c r="C141" s="89" t="str">
        <f>Registro!C141</f>
        <v>a) Primer año</v>
      </c>
      <c r="D141" s="89" t="str">
        <f>Registro!D141</f>
        <v>b) Primaria</v>
      </c>
      <c r="E141" s="89" t="str">
        <f>Registro!E141</f>
        <v>a) Masculino</v>
      </c>
      <c r="F141" s="89" t="str">
        <f>Registro!F141</f>
        <v>a) Católica</v>
      </c>
      <c r="G141" s="89" t="str">
        <f>Registro!G141</f>
        <v>a) Mamá, b) Papá, c) Hermanos, d) Abuelos, e) Otros familiares</v>
      </c>
      <c r="H141" s="89" t="str">
        <f>Registro!H141</f>
        <v>c) Apartamento</v>
      </c>
      <c r="I141" s="89" t="str">
        <f>Registro!I141</f>
        <v>a) Sí</v>
      </c>
      <c r="J141" s="89" t="str">
        <f>Registro!J141</f>
        <v>a) Cónsola videojuegos, b) Lavadora, d) TV pantalla plana, h) Carro, i) Computadora, j) Cámara digital</v>
      </c>
      <c r="K141" s="89" t="str">
        <f>Registro!K141</f>
        <v>b) Una</v>
      </c>
      <c r="L141" s="89" t="str">
        <f>Registro!L141</f>
        <v>a) La familia, c) Los estudios, j) El deporte</v>
      </c>
      <c r="M141" s="94">
        <f t="shared" si="14"/>
        <v>3</v>
      </c>
      <c r="N141" s="89" t="str">
        <f>Registro!M141</f>
        <v>g) Mis estudios</v>
      </c>
      <c r="O141" s="89" t="str">
        <f>Registro!N141</f>
        <v>a) Mucho</v>
      </c>
      <c r="P141" s="89" t="str">
        <f>Registro!O141</f>
        <v>c) Poco</v>
      </c>
      <c r="Q141" s="89" t="str">
        <f>Registro!P141</f>
        <v>c) Poco</v>
      </c>
      <c r="R141" s="89" t="str">
        <f>Registro!Q141</f>
        <v>d) El cuidado de mi cuerpo, e) Disponer de dinero, k) Internet</v>
      </c>
      <c r="S141" s="94">
        <f t="shared" si="11"/>
        <v>3</v>
      </c>
      <c r="T141" s="89" t="str">
        <f>Registro!R141</f>
        <v>c) Poco</v>
      </c>
      <c r="U141" s="89" t="str">
        <f>Registro!S141</f>
        <v>a) La Iglesia, d) Las convivencias, e) Los amigos, g) Mi familia, h) Algunas personas cercanas a Dios, i) Los necesitados, k) La oración, l) Los sacramentos</v>
      </c>
      <c r="V141" s="89" t="str">
        <f>Registro!T141</f>
        <v>b) Rezo por costumbre</v>
      </c>
      <c r="W141" s="89" t="str">
        <f>Registro!U141</f>
        <v>b) Algunos domingos</v>
      </c>
      <c r="X141" s="89" t="str">
        <f>Registro!V141</f>
        <v>c) Suelo ir los domingos y otras fechas especiales a la Iglesia, e) Voy a misa en las fechas de mis familiares difuntos, f) En alguna ocasión he rezado el rosario, i) Tengo en mi cuarto alguna imagen religiosa</v>
      </c>
      <c r="Y141" s="89" t="str">
        <f>Registro!W141</f>
        <v>d) No pertenezco a ninguno</v>
      </c>
      <c r="Z141" s="89" t="str">
        <f>Registro!X141</f>
        <v>b) Un lugar donde comparto con mis compañeros</v>
      </c>
      <c r="AA141" s="89" t="str">
        <f>Registro!Y141</f>
        <v>b) No</v>
      </c>
      <c r="AB141" s="89" t="str">
        <f>Registro!Z141</f>
        <v>b) No</v>
      </c>
      <c r="AC141" s="89" t="str">
        <f>Registro!AA141</f>
        <v>a) Medicina, d) Ingeniería</v>
      </c>
      <c r="AD141" s="94">
        <f t="shared" si="10"/>
        <v>2</v>
      </c>
      <c r="AE141" s="89" t="str">
        <f>Registro!AB141</f>
        <v>c) Ser un excelente profesional</v>
      </c>
      <c r="AF141" s="89" t="str">
        <f>Registro!AC141</f>
        <v>c) Bastante</v>
      </c>
      <c r="AG141" s="89" t="str">
        <f>Registro!AD141</f>
        <v>a) Los deportes y diversiones, h) Las actividades extraescolares</v>
      </c>
      <c r="AH141" s="94">
        <f t="shared" si="12"/>
        <v>2</v>
      </c>
      <c r="AI141" s="89" t="str">
        <f>Registro!AE141</f>
        <v>b) 3 a 4 horas</v>
      </c>
      <c r="AJ141" s="89" t="str">
        <f>Registro!AF141</f>
        <v>a) Me divierto con juegos para computadoras, b) Navego en Internet, c) Suelo ir a centros de video (máquinas de juegos)</v>
      </c>
      <c r="AK141" s="94">
        <f t="shared" si="13"/>
        <v>3</v>
      </c>
      <c r="AL141" s="89" t="str">
        <f>Registro!AG141</f>
        <v>b) Bueno</v>
      </c>
      <c r="AM141" s="89" t="str">
        <f>Registro!AH141</f>
        <v>b) Buena</v>
      </c>
      <c r="AN141" s="89" t="str">
        <f>Registro!AI141</f>
        <v>b) Buena</v>
      </c>
      <c r="AO141" s="89" t="str">
        <f>Registro!AJ141</f>
        <v>b) Buena</v>
      </c>
      <c r="AP141" s="89" t="str">
        <f>Registro!AK141</f>
        <v>b) Buena</v>
      </c>
      <c r="AQ141" s="89" t="str">
        <f>Registro!AL141</f>
        <v>b) Buena</v>
      </c>
      <c r="AR141" s="89" t="str">
        <f>Registro!AM141</f>
        <v>b) Buena</v>
      </c>
      <c r="AS141" s="89" t="str">
        <f>Registro!AN141</f>
        <v>b) Buena</v>
      </c>
      <c r="AT141" s="89" t="str">
        <f>Registro!AO141</f>
        <v>b) Buena</v>
      </c>
      <c r="AU141" s="89" t="str">
        <f>Registro!AP141</f>
        <v>b) Buena</v>
      </c>
      <c r="AV141" s="89" t="str">
        <f>Registro!AQ141</f>
        <v>b) Buena</v>
      </c>
      <c r="AW141" s="89" t="str">
        <f>Registro!AR141</f>
        <v>c) El estudio</v>
      </c>
      <c r="AX141" s="89" t="str">
        <f>Registro!AS141</f>
        <v>a) Que sea un buen profesional</v>
      </c>
      <c r="AY141" s="89" t="str">
        <f>Registro!AT141</f>
        <v>e) Absolutamente necesaria</v>
      </c>
      <c r="AZ141" s="89" t="str">
        <f>Registro!AU141</f>
        <v>b) Las veces que bebo, es con moderación</v>
      </c>
      <c r="BA141" s="89" t="str">
        <f>Registro!AV141</f>
        <v>d) Buenos profesionales de la educación</v>
      </c>
      <c r="BB141" s="89" t="str">
        <f>Registro!AW141</f>
        <v>c) Bastante</v>
      </c>
      <c r="BC141" s="89" t="str">
        <f>Registro!AX141</f>
        <v>e) Son personas que me gustan y admiro</v>
      </c>
      <c r="BD141" s="89" t="str">
        <f>Registro!AY141</f>
        <v>a) Mi padre, b) Mi madre, e) Un, una docente</v>
      </c>
    </row>
    <row r="142" spans="1:56" ht="15" customHeight="1" x14ac:dyDescent="0.25">
      <c r="A142" s="101">
        <f>Registro!A142</f>
        <v>42158.245752314811</v>
      </c>
      <c r="B142" s="89" t="str">
        <f>Registro!B142</f>
        <v>c) Obra Social San José de Calasanz de Valencia</v>
      </c>
      <c r="C142" s="89" t="str">
        <f>Registro!C142</f>
        <v>a) Primer año</v>
      </c>
      <c r="D142" s="89" t="str">
        <f>Registro!D142</f>
        <v>a) Educación Inicial</v>
      </c>
      <c r="E142" s="89" t="str">
        <f>Registro!E142</f>
        <v>b) Femenino</v>
      </c>
      <c r="F142" s="89" t="str">
        <f>Registro!F142</f>
        <v>d) Otra</v>
      </c>
      <c r="G142" s="89" t="str">
        <f>Registro!G142</f>
        <v>a) Mamá</v>
      </c>
      <c r="H142" s="89" t="str">
        <f>Registro!H142</f>
        <v>b) Casa Urbana</v>
      </c>
      <c r="I142" s="89" t="str">
        <f>Registro!I142</f>
        <v>c) Algo</v>
      </c>
      <c r="J142" s="89" t="str">
        <f>Registro!J142</f>
        <v>b) Lavadora, d) TV pantalla plana, f) MP3, i) Computadora, j) Cámara digital, k) Aire acondicionado</v>
      </c>
      <c r="K142" s="89" t="str">
        <f>Registro!K142</f>
        <v>b) Una</v>
      </c>
      <c r="L142" s="89"/>
      <c r="M142" s="94">
        <f t="shared" si="14"/>
        <v>0</v>
      </c>
      <c r="N142" s="89" t="str">
        <f>Registro!M142</f>
        <v>f) La situación política del país</v>
      </c>
      <c r="O142" s="89" t="str">
        <f>Registro!N142</f>
        <v>b) Suficiente</v>
      </c>
      <c r="P142" s="89" t="str">
        <f>Registro!O142</f>
        <v>c) Poco</v>
      </c>
      <c r="Q142" s="89" t="str">
        <f>Registro!P142</f>
        <v>b) Suficiente</v>
      </c>
      <c r="R142" s="89"/>
      <c r="S142" s="94">
        <f t="shared" si="11"/>
        <v>0</v>
      </c>
      <c r="T142" s="89" t="str">
        <f>Registro!R142</f>
        <v>b) Suficiente</v>
      </c>
      <c r="U142" s="89" t="str">
        <f>Registro!S142</f>
        <v>j) Todas partes</v>
      </c>
      <c r="V142" s="89" t="str">
        <f>Registro!T142</f>
        <v>c) Rezo solo en situación de dificultad</v>
      </c>
      <c r="W142" s="89" t="str">
        <f>Registro!U142</f>
        <v>c) Solo en fechas especiales</v>
      </c>
      <c r="X142" s="89" t="str">
        <f>Registro!V142</f>
        <v>b) Suelo bendedir los alimentos antes de comer, c) Suelo ir los domingos y otras fechas especiales a la Iglesia, e) Voy a misa en las fechas de mis familiares difuntos, h) En Semana Santa asisto a las procesiones</v>
      </c>
      <c r="Y142" s="89" t="str">
        <f>Registro!W142</f>
        <v>d) No pertenezco a ninguno</v>
      </c>
      <c r="Z142" s="89" t="str">
        <f>Registro!X142</f>
        <v>d) No pertenezco a grupos juveniles cristianos</v>
      </c>
      <c r="AA142" s="89" t="str">
        <f>Registro!Y142</f>
        <v>b) No</v>
      </c>
      <c r="AB142" s="89" t="str">
        <f>Registro!Z142</f>
        <v>b) No</v>
      </c>
      <c r="AC142" s="89"/>
      <c r="AD142" s="94">
        <f t="shared" si="10"/>
        <v>0</v>
      </c>
      <c r="AE142" s="89" t="str">
        <f>Registro!AB142</f>
        <v>a) Ganar mucho dinero</v>
      </c>
      <c r="AF142" s="89" t="str">
        <f>Registro!AC142</f>
        <v>b) Poco</v>
      </c>
      <c r="AG142" s="89" t="str">
        <f>Registro!AD142</f>
        <v>a) Los deportes y diversiones, g) La relación con los docentes</v>
      </c>
      <c r="AH142" s="94">
        <f t="shared" si="12"/>
        <v>2</v>
      </c>
      <c r="AI142" s="89" t="str">
        <f>Registro!AE142</f>
        <v>a) 0 a 2 horas</v>
      </c>
      <c r="AJ142" s="89" t="str">
        <f>Registro!AF142</f>
        <v>b) Navego en Internet, d) Estoy la mayor parte del tiempo en la casa sin hacer nada, l) Escucho música y/o veo videos musicales</v>
      </c>
      <c r="AK142" s="94">
        <f t="shared" si="13"/>
        <v>3</v>
      </c>
      <c r="AL142" s="89" t="str">
        <f>Registro!AG142</f>
        <v>c) Regular</v>
      </c>
      <c r="AM142" s="89" t="str">
        <f>Registro!AH142</f>
        <v>c) Regular</v>
      </c>
      <c r="AN142" s="89" t="str">
        <f>Registro!AI142</f>
        <v>b) Buena</v>
      </c>
      <c r="AO142" s="89" t="str">
        <f>Registro!AJ142</f>
        <v>c) Regular</v>
      </c>
      <c r="AP142" s="89" t="str">
        <f>Registro!AK142</f>
        <v>b) Buena</v>
      </c>
      <c r="AQ142" s="89" t="str">
        <f>Registro!AL142</f>
        <v>b) Buena</v>
      </c>
      <c r="AR142" s="89">
        <f>Registro!AM142</f>
        <v>0</v>
      </c>
      <c r="AS142" s="89" t="str">
        <f>Registro!AN142</f>
        <v>c) Regular</v>
      </c>
      <c r="AT142" s="89" t="str">
        <f>Registro!AO142</f>
        <v>b) Buena</v>
      </c>
      <c r="AU142" s="89" t="str">
        <f>Registro!AP142</f>
        <v>b) Buena</v>
      </c>
      <c r="AV142" s="89" t="str">
        <f>Registro!AQ142</f>
        <v>c) Regular</v>
      </c>
      <c r="AW142" s="89" t="str">
        <f>Registro!AR142</f>
        <v>e) La disciplina y el orden</v>
      </c>
      <c r="AX142" s="89" t="str">
        <f>Registro!AS142</f>
        <v>a) Que sea un buen profesional</v>
      </c>
      <c r="AY142" s="89" t="str">
        <f>Registro!AT142</f>
        <v>d) Bastante necesaria</v>
      </c>
      <c r="AZ142" s="89" t="str">
        <f>Registro!AU142</f>
        <v>a) No acostumbro a tomarlo nunca</v>
      </c>
      <c r="BA142" s="89" t="str">
        <f>Registro!AV142</f>
        <v>c) Profesionales que hacen lo que pueden</v>
      </c>
      <c r="BB142" s="89" t="str">
        <f>Registro!AW142</f>
        <v>b) Poco</v>
      </c>
      <c r="BC142" s="89" t="str">
        <f>Registro!AX142</f>
        <v>c) Son personas normales y corrientes</v>
      </c>
      <c r="BD142" s="89" t="str">
        <f>Registro!AY142</f>
        <v>a) Mi padre, b) Mi madre, e) Un, una docente, h) Una amiga</v>
      </c>
    </row>
    <row r="143" spans="1:56" ht="15" customHeight="1" x14ac:dyDescent="0.25">
      <c r="A143" s="101">
        <f>Registro!A143</f>
        <v>42158.247430555559</v>
      </c>
      <c r="B143" s="89" t="str">
        <f>Registro!B143</f>
        <v>c) Obra Social San José de Calasanz de Valencia</v>
      </c>
      <c r="C143" s="89" t="str">
        <f>Registro!C143</f>
        <v>a) Primer año</v>
      </c>
      <c r="D143" s="89" t="str">
        <f>Registro!D143</f>
        <v>a) Educación Inicial</v>
      </c>
      <c r="E143" s="89" t="str">
        <f>Registro!E143</f>
        <v>b) Femenino</v>
      </c>
      <c r="F143" s="89" t="str">
        <f>Registro!F143</f>
        <v>d) Otra</v>
      </c>
      <c r="G143" s="89" t="str">
        <f>Registro!G143</f>
        <v>a) Mamá, c) Hermanos</v>
      </c>
      <c r="H143" s="89" t="str">
        <f>Registro!H143</f>
        <v>c) Apartamento</v>
      </c>
      <c r="I143" s="89" t="str">
        <f>Registro!I143</f>
        <v>d) No sé</v>
      </c>
      <c r="J143" s="89" t="str">
        <f>Registro!J143</f>
        <v>b) Lavadora, d) TV pantalla plana, i) Computadora</v>
      </c>
      <c r="K143" s="89" t="str">
        <f>Registro!K143</f>
        <v>b) Una</v>
      </c>
      <c r="L143" s="89" t="str">
        <f>Registro!L143</f>
        <v>a) La familia, b) Los amigos, c) Los estudios</v>
      </c>
      <c r="M143" s="94">
        <f t="shared" si="14"/>
        <v>3</v>
      </c>
      <c r="N143" s="89" t="str">
        <f>Registro!M143</f>
        <v>h) Los amigos</v>
      </c>
      <c r="O143" s="89" t="str">
        <f>Registro!N143</f>
        <v>a) Mucho</v>
      </c>
      <c r="P143" s="89" t="str">
        <f>Registro!O143</f>
        <v>c) Poco</v>
      </c>
      <c r="Q143" s="89" t="str">
        <f>Registro!P143</f>
        <v>a) Mucho</v>
      </c>
      <c r="R143" s="89" t="str">
        <f>Registro!Q143</f>
        <v>b) Los amigos, c) Los estudios, f) Mi fe y mi vida cristiana</v>
      </c>
      <c r="S143" s="94">
        <f t="shared" si="11"/>
        <v>3</v>
      </c>
      <c r="T143" s="89" t="str">
        <f>Registro!R143</f>
        <v>a) Mucho</v>
      </c>
      <c r="U143" s="89" t="str">
        <f>Registro!S143</f>
        <v>a) La Iglesia, b) La naturaleza, d) Las convivencias, g) Mi familia, h) Algunas personas cercanas a Dios, k) La oración</v>
      </c>
      <c r="V143" s="89" t="str">
        <f>Registro!T143</f>
        <v>d) No rezo nunca</v>
      </c>
      <c r="W143" s="89" t="str">
        <f>Registro!U143</f>
        <v>d) Nunca</v>
      </c>
      <c r="X143" s="89" t="str">
        <f>Registro!V143</f>
        <v>b) Suelo bendedir los alimentos antes de comer</v>
      </c>
      <c r="Y143" s="89" t="str">
        <f>Registro!W143</f>
        <v>d) No pertenezco a ninguno</v>
      </c>
      <c r="Z143" s="89" t="str">
        <f>Registro!X143</f>
        <v>b) Un lugar donde comparto con mis compañeros</v>
      </c>
      <c r="AA143" s="89" t="str">
        <f>Registro!Y143</f>
        <v>b) No</v>
      </c>
      <c r="AB143" s="89" t="str">
        <f>Registro!Z143</f>
        <v>b) No</v>
      </c>
      <c r="AC143" s="89" t="str">
        <f>Registro!AA143</f>
        <v>a) Medicina, f) Ciencias policiales o artes militares</v>
      </c>
      <c r="AD143" s="94">
        <f t="shared" si="10"/>
        <v>2</v>
      </c>
      <c r="AE143" s="89" t="str">
        <f>Registro!AB143</f>
        <v>a) Ganar mucho dinero</v>
      </c>
      <c r="AF143" s="89" t="str">
        <f>Registro!AC143</f>
        <v>e) No sé</v>
      </c>
      <c r="AG143" s="89" t="str">
        <f>Registro!AD143</f>
        <v>b) El ambiente de estudio y de trabajo, c) Las instalaciones del Colegio</v>
      </c>
      <c r="AH143" s="94">
        <f t="shared" si="12"/>
        <v>2</v>
      </c>
      <c r="AI143" s="89" t="str">
        <f>Registro!AE143</f>
        <v>a) 0 a 2 horas</v>
      </c>
      <c r="AJ143" s="89" t="str">
        <f>Registro!AF143</f>
        <v>b) Navego en Internet, l) Escucho música y/o veo videos musicales, n) Estoy conversando con los amigos/as</v>
      </c>
      <c r="AK143" s="94">
        <f t="shared" si="13"/>
        <v>3</v>
      </c>
      <c r="AL143" s="89" t="str">
        <f>Registro!AG143</f>
        <v>a) Muy bueno</v>
      </c>
      <c r="AM143" s="89" t="str">
        <f>Registro!AH143</f>
        <v>b) Buena</v>
      </c>
      <c r="AN143" s="89" t="str">
        <f>Registro!AI143</f>
        <v>b) Buena</v>
      </c>
      <c r="AO143" s="89" t="str">
        <f>Registro!AJ143</f>
        <v>b) Buena</v>
      </c>
      <c r="AP143" s="89" t="str">
        <f>Registro!AK143</f>
        <v>c) Regular</v>
      </c>
      <c r="AQ143" s="89" t="str">
        <f>Registro!AL143</f>
        <v>a) Muy buena</v>
      </c>
      <c r="AR143" s="89" t="str">
        <f>Registro!AM143</f>
        <v>a) Muy buena</v>
      </c>
      <c r="AS143" s="89" t="str">
        <f>Registro!AN143</f>
        <v>b) Buena</v>
      </c>
      <c r="AT143" s="89" t="str">
        <f>Registro!AO143</f>
        <v>b) Buena</v>
      </c>
      <c r="AU143" s="89" t="str">
        <f>Registro!AP143</f>
        <v>b) Buena</v>
      </c>
      <c r="AV143" s="89" t="str">
        <f>Registro!AQ143</f>
        <v>b) Buena</v>
      </c>
      <c r="AW143" s="89" t="str">
        <f>Registro!AR143</f>
        <v>b) La orientación cristiana</v>
      </c>
      <c r="AX143" s="89" t="str">
        <f>Registro!AS143</f>
        <v>a) Que sea un buen profesional</v>
      </c>
      <c r="AY143" s="89" t="str">
        <f>Registro!AT143</f>
        <v>d) Bastante necesaria</v>
      </c>
      <c r="AZ143" s="89" t="str">
        <f>Registro!AU143</f>
        <v>a) No acostumbro a tomarlo nunca</v>
      </c>
      <c r="BA143" s="89" t="str">
        <f>Registro!AV143</f>
        <v>e) Educadores que se preocupan de nosotros</v>
      </c>
      <c r="BB143" s="89" t="str">
        <f>Registro!AW143</f>
        <v>d) Mucho o muchísimo</v>
      </c>
      <c r="BC143" s="89" t="str">
        <f>Registro!AX143</f>
        <v>e) Son personas que me gustan y admiro</v>
      </c>
      <c r="BD143" s="89" t="str">
        <f>Registro!AY143</f>
        <v>a) Mi padre, b) Mi madre, e) Un, una docente, g) Un amigo, h) Una amiga</v>
      </c>
    </row>
    <row r="144" spans="1:56" ht="15" customHeight="1" x14ac:dyDescent="0.25">
      <c r="A144" s="101">
        <f>Registro!A144</f>
        <v>42158.247476851851</v>
      </c>
      <c r="B144" s="89" t="str">
        <f>Registro!B144</f>
        <v>c) Obra Social San José de Calasanz de Valencia</v>
      </c>
      <c r="C144" s="89" t="str">
        <f>Registro!C144</f>
        <v>a) Primer año</v>
      </c>
      <c r="D144" s="89" t="str">
        <f>Registro!D144</f>
        <v>a) Educación Inicial</v>
      </c>
      <c r="E144" s="89" t="str">
        <f>Registro!E144</f>
        <v>a) Masculino</v>
      </c>
      <c r="F144" s="89" t="str">
        <f>Registro!F144</f>
        <v>d) Otra</v>
      </c>
      <c r="G144" s="89" t="str">
        <f>Registro!G144</f>
        <v>a) Mamá, c) Hermanos</v>
      </c>
      <c r="H144" s="89" t="str">
        <f>Registro!H144</f>
        <v>c) Apartamento</v>
      </c>
      <c r="I144" s="89" t="str">
        <f>Registro!I144</f>
        <v>a) Sí</v>
      </c>
      <c r="J144" s="89" t="str">
        <f>Registro!J144</f>
        <v>a) Cónsola videojuegos, b) Lavadora, c) Microondas, d) TV pantalla plana, e) Moto, f) MP3, g) MP4, i) Computadora, j) Cámara digital, k) Aire acondicionado</v>
      </c>
      <c r="K144" s="89" t="str">
        <f>Registro!K144</f>
        <v>b) Una</v>
      </c>
      <c r="L144" s="89" t="str">
        <f>Registro!L144</f>
        <v>a) La familia, d) El cuidado de mi cuerpo, g) La felicidad</v>
      </c>
      <c r="M144" s="94">
        <f t="shared" si="14"/>
        <v>3</v>
      </c>
      <c r="N144" s="89" t="str">
        <f>Registro!M144</f>
        <v>a) Seguridad personal (la violencia y la delincuencia)</v>
      </c>
      <c r="O144" s="89" t="str">
        <f>Registro!N144</f>
        <v>a) Mucho</v>
      </c>
      <c r="P144" s="89" t="str">
        <f>Registro!O144</f>
        <v>a) Mucho</v>
      </c>
      <c r="Q144" s="89" t="str">
        <f>Registro!P144</f>
        <v>c) Poco</v>
      </c>
      <c r="R144" s="89"/>
      <c r="S144" s="94">
        <f t="shared" si="11"/>
        <v>0</v>
      </c>
      <c r="T144" s="89" t="str">
        <f>Registro!R144</f>
        <v>a) Mucho</v>
      </c>
      <c r="U144" s="89" t="str">
        <f>Registro!S144</f>
        <v>j) Todas partes</v>
      </c>
      <c r="V144" s="89" t="str">
        <f>Registro!T144</f>
        <v>c) Rezo solo en situación de dificultad</v>
      </c>
      <c r="W144" s="89" t="str">
        <f>Registro!U144</f>
        <v>d) Nunca</v>
      </c>
      <c r="X144" s="89" t="str">
        <f>Registro!V144</f>
        <v>b) Suelo bendedir los alimentos antes de comer</v>
      </c>
      <c r="Y144" s="89" t="str">
        <f>Registro!W144</f>
        <v>a) Deportivo</v>
      </c>
      <c r="Z144" s="89" t="str">
        <f>Registro!X144</f>
        <v>d) No pertenezco a grupos juveniles cristianos</v>
      </c>
      <c r="AA144" s="89" t="str">
        <f>Registro!Y144</f>
        <v>b) No</v>
      </c>
      <c r="AB144" s="89" t="str">
        <f>Registro!Z144</f>
        <v>b) No</v>
      </c>
      <c r="AC144" s="89" t="str">
        <f>Registro!AA144</f>
        <v>a) Medicina, d) Ingeniería</v>
      </c>
      <c r="AD144" s="94">
        <f t="shared" si="10"/>
        <v>2</v>
      </c>
      <c r="AE144" s="89" t="str">
        <f>Registro!AB144</f>
        <v>a) Ganar mucho dinero</v>
      </c>
      <c r="AF144" s="89" t="str">
        <f>Registro!AC144</f>
        <v>e) No sé</v>
      </c>
      <c r="AG144" s="89" t="str">
        <f>Registro!AD144</f>
        <v>a) Los deportes y diversiones</v>
      </c>
      <c r="AH144" s="94">
        <f t="shared" si="12"/>
        <v>1</v>
      </c>
      <c r="AI144" s="89" t="str">
        <f>Registro!AE144</f>
        <v>f) 11 o más horas</v>
      </c>
      <c r="AJ144" s="89" t="str">
        <f>Registro!AF144</f>
        <v>a) Me divierto con juegos para computadoras, k) Practico algún deporte, l) Escucho música y/o veo videos musicales</v>
      </c>
      <c r="AK144" s="94">
        <f t="shared" si="13"/>
        <v>3</v>
      </c>
      <c r="AL144" s="89" t="str">
        <f>Registro!AG144</f>
        <v>a) Muy bueno</v>
      </c>
      <c r="AM144" s="89" t="str">
        <f>Registro!AH144</f>
        <v>c) Regular</v>
      </c>
      <c r="AN144" s="89" t="str">
        <f>Registro!AI144</f>
        <v>c) Regular</v>
      </c>
      <c r="AO144" s="89" t="str">
        <f>Registro!AJ144</f>
        <v>c) Regular</v>
      </c>
      <c r="AP144" s="89" t="str">
        <f>Registro!AK144</f>
        <v>b) Buena</v>
      </c>
      <c r="AQ144" s="89" t="str">
        <f>Registro!AL144</f>
        <v>c) Regular</v>
      </c>
      <c r="AR144" s="89" t="str">
        <f>Registro!AM144</f>
        <v>b) Buena</v>
      </c>
      <c r="AS144" s="89" t="str">
        <f>Registro!AN144</f>
        <v>b) Buena</v>
      </c>
      <c r="AT144" s="89" t="str">
        <f>Registro!AO144</f>
        <v>b) Buena</v>
      </c>
      <c r="AU144" s="89" t="str">
        <f>Registro!AP144</f>
        <v>b) Buena</v>
      </c>
      <c r="AV144" s="89" t="str">
        <f>Registro!AQ144</f>
        <v>b) Buena</v>
      </c>
      <c r="AW144" s="89" t="str">
        <f>Registro!AR144</f>
        <v>b) La orientación cristiana</v>
      </c>
      <c r="AX144" s="89" t="str">
        <f>Registro!AS144</f>
        <v>a) Que sea un buen profesional</v>
      </c>
      <c r="AY144" s="89" t="str">
        <f>Registro!AT144</f>
        <v>e) Absolutamente necesaria</v>
      </c>
      <c r="AZ144" s="89" t="str">
        <f>Registro!AU144</f>
        <v>a) No acostumbro a tomarlo nunca</v>
      </c>
      <c r="BA144" s="89" t="str">
        <f>Registro!AV144</f>
        <v>a) Personas a las que tengo que aguantar</v>
      </c>
      <c r="BB144" s="89" t="str">
        <f>Registro!AW144</f>
        <v>d) Mucho o muchísimo</v>
      </c>
      <c r="BC144" s="89" t="str">
        <f>Registro!AX144</f>
        <v>e) Son personas que me gustan y admiro</v>
      </c>
      <c r="BD144" s="89" t="str">
        <f>Registro!AY144</f>
        <v>a) Mi padre, b) Mi madre, d) Un escolapio, religioso o religiosa, e) Un, una docente, g) Un amigo, h) Una amiga, i) Un, una catequista o responsable de grupo</v>
      </c>
    </row>
    <row r="145" spans="1:56" ht="15" customHeight="1" x14ac:dyDescent="0.25">
      <c r="A145" s="101">
        <f>Registro!A145</f>
        <v>42158.258622685185</v>
      </c>
      <c r="B145" s="89" t="str">
        <f>Registro!B145</f>
        <v>c) Obra Social San José de Calasanz de Valencia</v>
      </c>
      <c r="C145" s="89" t="str">
        <f>Registro!C145</f>
        <v>a) Primer año</v>
      </c>
      <c r="D145" s="89" t="str">
        <f>Registro!D145</f>
        <v>b) Primaria</v>
      </c>
      <c r="E145" s="89" t="str">
        <f>Registro!E145</f>
        <v>a) Masculino</v>
      </c>
      <c r="F145" s="89" t="str">
        <f>Registro!F145</f>
        <v>a) Católica</v>
      </c>
      <c r="G145" s="89" t="str">
        <f>Registro!G145</f>
        <v>a) Mamá, b) Papá, c) Hermanos, d) Abuelos, e) Otros familiares</v>
      </c>
      <c r="H145" s="89" t="str">
        <f>Registro!H145</f>
        <v>b) Casa Urbana</v>
      </c>
      <c r="I145" s="89" t="str">
        <f>Registro!I145</f>
        <v>a) Sí</v>
      </c>
      <c r="J145" s="89" t="str">
        <f>Registro!J145</f>
        <v>a) Cónsola videojuegos, b) Lavadora, d) TV pantalla plana, e) Moto, f) MP3, h) Carro, i) Computadora, j) Cámara digital, k) Aire acondicionado</v>
      </c>
      <c r="K145" s="89" t="str">
        <f>Registro!K145</f>
        <v>f) Más de cuatro</v>
      </c>
      <c r="L145" s="89" t="str">
        <f>Registro!L145</f>
        <v>a) La familia, b) Los amigos, c) Los estudios</v>
      </c>
      <c r="M145" s="94">
        <f t="shared" si="14"/>
        <v>3</v>
      </c>
      <c r="N145" s="89" t="str">
        <f>Registro!M145</f>
        <v>d) Los problemas familiares</v>
      </c>
      <c r="O145" s="89" t="str">
        <f>Registro!N145</f>
        <v>a) Mucho</v>
      </c>
      <c r="P145" s="89" t="str">
        <f>Registro!O145</f>
        <v>c) Poco</v>
      </c>
      <c r="Q145" s="89" t="str">
        <f>Registro!P145</f>
        <v>a) Mucho</v>
      </c>
      <c r="R145" s="89"/>
      <c r="S145" s="94">
        <f t="shared" si="11"/>
        <v>0</v>
      </c>
      <c r="T145" s="89" t="str">
        <f>Registro!R145</f>
        <v>a) Mucho</v>
      </c>
      <c r="U145" s="89" t="str">
        <f>Registro!S145</f>
        <v>a) La Iglesia, e) Los amigos, g) Mi familia, i) Los necesitados, j) Todas partes, k) La oración, l) Los sacramentos</v>
      </c>
      <c r="V145" s="89" t="str">
        <f>Registro!T145</f>
        <v>c) Rezo solo en situación de dificultad</v>
      </c>
      <c r="W145" s="89" t="str">
        <f>Registro!U145</f>
        <v>c) Solo en fechas especiales</v>
      </c>
      <c r="X145" s="89" t="str">
        <f>Registro!V145</f>
        <v>a) Suelo llevar una cruz o algún objeto religioso, b) Suelo bendedir los alimentos antes de comer, c) Suelo ir los domingos y otras fechas especiales a la Iglesia, h) En Semana Santa asisto a las procesiones, i) Tengo en mi cuarto alguna imagen religiosa</v>
      </c>
      <c r="Y145" s="89" t="str">
        <f>Registro!W145</f>
        <v>a) Deportivo, c) Religioso o parroquial</v>
      </c>
      <c r="Z145" s="89" t="str">
        <f>Registro!X145</f>
        <v>b) Un lugar donde comparto con mis compañeros</v>
      </c>
      <c r="AA145" s="89" t="str">
        <f>Registro!Y145</f>
        <v>c) Algo</v>
      </c>
      <c r="AB145" s="89" t="str">
        <f>Registro!Z145</f>
        <v>c) Algo</v>
      </c>
      <c r="AC145" s="89" t="str">
        <f>Registro!AA145</f>
        <v>d) Ingeniería, e) Derecho</v>
      </c>
      <c r="AD145" s="94">
        <f t="shared" si="10"/>
        <v>2</v>
      </c>
      <c r="AE145" s="89" t="str">
        <f>Registro!AB145</f>
        <v>b) Tener una buena posición social, ser importante</v>
      </c>
      <c r="AF145" s="89" t="str">
        <f>Registro!AC145</f>
        <v>b) Poco</v>
      </c>
      <c r="AG145" s="89" t="str">
        <f>Registro!AD145</f>
        <v>a) Los deportes y diversiones, h) Las actividades extraescolares</v>
      </c>
      <c r="AH145" s="94">
        <f t="shared" si="12"/>
        <v>2</v>
      </c>
      <c r="AI145" s="89" t="str">
        <f>Registro!AE145</f>
        <v>b) 3 a 4 horas</v>
      </c>
      <c r="AJ145" s="89" t="str">
        <f>Registro!AF145</f>
        <v>a) Me divierto con juegos para computadoras, b) Navego en Internet, k) Practico algún deporte</v>
      </c>
      <c r="AK145" s="94">
        <f t="shared" si="13"/>
        <v>3</v>
      </c>
      <c r="AL145" s="89" t="str">
        <f>Registro!AG145</f>
        <v>a) Muy bueno</v>
      </c>
      <c r="AM145" s="89" t="str">
        <f>Registro!AH145</f>
        <v>a) Muy buena</v>
      </c>
      <c r="AN145" s="89" t="str">
        <f>Registro!AI145</f>
        <v>a) Muy buena</v>
      </c>
      <c r="AO145" s="89" t="str">
        <f>Registro!AJ145</f>
        <v>a) Muy buena</v>
      </c>
      <c r="AP145" s="89" t="str">
        <f>Registro!AK145</f>
        <v>a) Muy buena</v>
      </c>
      <c r="AQ145" s="89" t="str">
        <f>Registro!AL145</f>
        <v>a) Muy buena</v>
      </c>
      <c r="AR145" s="89" t="str">
        <f>Registro!AM145</f>
        <v>a) Muy buena</v>
      </c>
      <c r="AS145" s="89" t="str">
        <f>Registro!AN145</f>
        <v>a) Muy buena</v>
      </c>
      <c r="AT145" s="89" t="str">
        <f>Registro!AO145</f>
        <v>a) Muy buena</v>
      </c>
      <c r="AU145" s="89" t="str">
        <f>Registro!AP145</f>
        <v>a) Muy buena</v>
      </c>
      <c r="AV145" s="89" t="str">
        <f>Registro!AQ145</f>
        <v>a) Muy buena</v>
      </c>
      <c r="AW145" s="89" t="str">
        <f>Registro!AR145</f>
        <v>a) El compañerismo</v>
      </c>
      <c r="AX145" s="89" t="str">
        <f>Registro!AS145</f>
        <v>a) Que sea un buen profesional</v>
      </c>
      <c r="AY145" s="89" t="str">
        <f>Registro!AT145</f>
        <v>c) Conveniente</v>
      </c>
      <c r="AZ145" s="89" t="str">
        <f>Registro!AU145</f>
        <v>a) No acostumbro a tomarlo nunca</v>
      </c>
      <c r="BA145" s="89" t="str">
        <f>Registro!AV145</f>
        <v>e) Educadores que se preocupan de nosotros</v>
      </c>
      <c r="BB145" s="89" t="str">
        <f>Registro!AW145</f>
        <v>b) Poco</v>
      </c>
      <c r="BC145" s="89" t="str">
        <f>Registro!AX145</f>
        <v>e) Son personas que me gustan y admiro</v>
      </c>
      <c r="BD145" s="89" t="str">
        <f>Registro!AY145</f>
        <v>a) Mi padre, b) Mi madre, c) Un hermano/a, d) Un escolapio, religioso o religiosa, g) Un amigo, h) Una amiga</v>
      </c>
    </row>
    <row r="146" spans="1:56" ht="15" customHeight="1" x14ac:dyDescent="0.25">
      <c r="A146" s="101">
        <f>Registro!A146</f>
        <v>42158.258935185186</v>
      </c>
      <c r="B146" s="89" t="str">
        <f>Registro!B146</f>
        <v>c) Obra Social San José de Calasanz de Valencia</v>
      </c>
      <c r="C146" s="89" t="str">
        <f>Registro!C146</f>
        <v>a) Primer año</v>
      </c>
      <c r="D146" s="89" t="str">
        <f>Registro!D146</f>
        <v>a) Educación Inicial</v>
      </c>
      <c r="E146" s="89" t="str">
        <f>Registro!E146</f>
        <v>a) Masculino</v>
      </c>
      <c r="F146" s="89" t="str">
        <f>Registro!F146</f>
        <v>a) Católica</v>
      </c>
      <c r="G146" s="89" t="str">
        <f>Registro!G146</f>
        <v>a) Mamá, b) Papá, c) Hermanos</v>
      </c>
      <c r="H146" s="89" t="str">
        <f>Registro!H146</f>
        <v>b) Casa Urbana</v>
      </c>
      <c r="I146" s="89" t="str">
        <f>Registro!I146</f>
        <v>c) Algo</v>
      </c>
      <c r="J146" s="89" t="str">
        <f>Registro!J146</f>
        <v>b) Lavadora, c) Microondas, h) Carro, j) Cámara digital, k) Aire acondicionado</v>
      </c>
      <c r="K146" s="89" t="str">
        <f>Registro!K146</f>
        <v>c) Dos</v>
      </c>
      <c r="L146" s="89" t="str">
        <f>Registro!L146</f>
        <v>b) Los amigos, e) Disponer de dinero, g) La felicidad</v>
      </c>
      <c r="M146" s="94">
        <f t="shared" si="14"/>
        <v>3</v>
      </c>
      <c r="N146" s="89" t="str">
        <f>Registro!M146</f>
        <v>g) Mis estudios</v>
      </c>
      <c r="O146" s="89" t="str">
        <f>Registro!N146</f>
        <v>b) Suficiente</v>
      </c>
      <c r="P146" s="89" t="str">
        <f>Registro!O146</f>
        <v>b) Suficiente</v>
      </c>
      <c r="Q146" s="89" t="str">
        <f>Registro!P146</f>
        <v>a) Mucho</v>
      </c>
      <c r="R146" s="89" t="str">
        <f>Registro!Q146</f>
        <v>a) La familia, c) Los estudios, h) La sexualidad</v>
      </c>
      <c r="S146" s="94">
        <f t="shared" si="11"/>
        <v>3</v>
      </c>
      <c r="T146" s="89" t="str">
        <f>Registro!R146</f>
        <v>b) Suficiente</v>
      </c>
      <c r="U146" s="89" t="str">
        <f>Registro!S146</f>
        <v>a) La Iglesia, d) Las convivencias, g) Mi familia, k) La oración</v>
      </c>
      <c r="V146" s="89" t="str">
        <f>Registro!T146</f>
        <v>b) Rezo por costumbre</v>
      </c>
      <c r="W146" s="89" t="str">
        <f>Registro!U146</f>
        <v>c) Solo en fechas especiales</v>
      </c>
      <c r="X146" s="89" t="str">
        <f>Registro!V146</f>
        <v>e) Voy a misa en las fechas de mis familiares difuntos</v>
      </c>
      <c r="Y146" s="89" t="str">
        <f>Registro!W146</f>
        <v>d) No pertenezco a ninguno</v>
      </c>
      <c r="Z146" s="89" t="str">
        <f>Registro!X146</f>
        <v>b) Un lugar donde comparto con mis compañeros</v>
      </c>
      <c r="AA146" s="89" t="str">
        <f>Registro!Y146</f>
        <v>b) No</v>
      </c>
      <c r="AB146" s="89" t="str">
        <f>Registro!Z146</f>
        <v>b) No</v>
      </c>
      <c r="AC146" s="89" t="str">
        <f>Registro!AA146</f>
        <v>d) Ingeniería, g) Artista</v>
      </c>
      <c r="AD146" s="94">
        <f t="shared" si="10"/>
        <v>2</v>
      </c>
      <c r="AE146" s="89" t="str">
        <f>Registro!AB146</f>
        <v>a) Ganar mucho dinero</v>
      </c>
      <c r="AF146" s="89" t="str">
        <f>Registro!AC146</f>
        <v>d) Mucho o muchísimo</v>
      </c>
      <c r="AG146" s="89" t="str">
        <f>Registro!AD146</f>
        <v>c) Las instalaciones del Colegio, d) Los grupos juveniles cristianos</v>
      </c>
      <c r="AH146" s="94">
        <f t="shared" si="12"/>
        <v>2</v>
      </c>
      <c r="AI146" s="89" t="str">
        <f>Registro!AE146</f>
        <v>d) 7 a 8 horas</v>
      </c>
      <c r="AJ146" s="89" t="str">
        <f>Registro!AF146</f>
        <v>e) Suelo ir a algún parque, h) Suelo ir al cine</v>
      </c>
      <c r="AK146" s="94">
        <f t="shared" si="13"/>
        <v>2</v>
      </c>
      <c r="AL146" s="89" t="str">
        <f>Registro!AG146</f>
        <v>b) Bueno</v>
      </c>
      <c r="AM146" s="89" t="str">
        <f>Registro!AH146</f>
        <v>b) Buena</v>
      </c>
      <c r="AN146" s="89" t="str">
        <f>Registro!AI146</f>
        <v>b) Buena</v>
      </c>
      <c r="AO146" s="89" t="str">
        <f>Registro!AJ146</f>
        <v>b) Buena</v>
      </c>
      <c r="AP146" s="89" t="str">
        <f>Registro!AK146</f>
        <v>b) Buena</v>
      </c>
      <c r="AQ146" s="89" t="str">
        <f>Registro!AL146</f>
        <v>b) Buena</v>
      </c>
      <c r="AR146" s="89" t="str">
        <f>Registro!AM146</f>
        <v>b) Buena</v>
      </c>
      <c r="AS146" s="89" t="str">
        <f>Registro!AN146</f>
        <v>b) Buena</v>
      </c>
      <c r="AT146" s="89" t="str">
        <f>Registro!AO146</f>
        <v>a) Muy buena</v>
      </c>
      <c r="AU146" s="89" t="str">
        <f>Registro!AP146</f>
        <v>a) Muy buena</v>
      </c>
      <c r="AV146" s="89" t="str">
        <f>Registro!AQ146</f>
        <v>a) Muy buena</v>
      </c>
      <c r="AW146" s="89" t="str">
        <f>Registro!AR146</f>
        <v>a) El compañerismo</v>
      </c>
      <c r="AX146" s="89" t="str">
        <f>Registro!AS146</f>
        <v>a) Que sea un buen profesional</v>
      </c>
      <c r="AY146" s="89" t="str">
        <f>Registro!AT146</f>
        <v>e) Absolutamente necesaria</v>
      </c>
      <c r="AZ146" s="89" t="str">
        <f>Registro!AU146</f>
        <v>a) No acostumbro a tomarlo nunca</v>
      </c>
      <c r="BA146" s="89" t="str">
        <f>Registro!AV146</f>
        <v>d) Buenos profesionales de la educación</v>
      </c>
      <c r="BB146" s="89" t="str">
        <f>Registro!AW146</f>
        <v>d) Mucho o muchísimo</v>
      </c>
      <c r="BC146" s="89" t="str">
        <f>Registro!AX146</f>
        <v>d) Hay de todo tipo, pero predomina lo positivo</v>
      </c>
      <c r="BD146" s="89" t="str">
        <f>Registro!AY146</f>
        <v>a) Mi padre, c) Un hermano/a</v>
      </c>
    </row>
    <row r="147" spans="1:56" ht="15" customHeight="1" x14ac:dyDescent="0.25">
      <c r="A147" s="101">
        <f>Registro!A147</f>
        <v>42158.259212962963</v>
      </c>
      <c r="B147" s="89" t="str">
        <f>Registro!B147</f>
        <v>c) Obra Social San José de Calasanz de Valencia</v>
      </c>
      <c r="C147" s="89" t="str">
        <f>Registro!C147</f>
        <v>a) Primer año</v>
      </c>
      <c r="D147" s="89" t="str">
        <f>Registro!D147</f>
        <v>a) Educación Inicial</v>
      </c>
      <c r="E147" s="89" t="str">
        <f>Registro!E147</f>
        <v>a) Masculino</v>
      </c>
      <c r="F147" s="89" t="str">
        <f>Registro!F147</f>
        <v>a) Católica</v>
      </c>
      <c r="G147" s="89" t="str">
        <f>Registro!G147</f>
        <v>a) Mamá, b) Papá, c) Hermanos</v>
      </c>
      <c r="H147" s="89" t="str">
        <f>Registro!H147</f>
        <v>b) Casa Urbana</v>
      </c>
      <c r="I147" s="89" t="str">
        <f>Registro!I147</f>
        <v>a) Sí</v>
      </c>
      <c r="J147" s="89" t="str">
        <f>Registro!J147</f>
        <v>a) Cónsola videojuegos, b) Lavadora, d) TV pantalla plana, f) MP3, g) MP4, i) Computadora, j) Cámara digital, k) Aire acondicionado</v>
      </c>
      <c r="K147" s="89" t="str">
        <f>Registro!K147</f>
        <v>c) Dos</v>
      </c>
      <c r="L147" s="89" t="str">
        <f>Registro!L147</f>
        <v>a) La familia, b) Los amigos, c) Los estudios</v>
      </c>
      <c r="M147" s="94">
        <f t="shared" si="14"/>
        <v>3</v>
      </c>
      <c r="N147" s="89" t="str">
        <f>Registro!M147</f>
        <v>a) Seguridad personal (la violencia y la delincuencia)</v>
      </c>
      <c r="O147" s="89">
        <f>Registro!N147</f>
        <v>0</v>
      </c>
      <c r="P147" s="89" t="str">
        <f>Registro!O147</f>
        <v>b) Suficiente</v>
      </c>
      <c r="Q147" s="89" t="str">
        <f>Registro!P147</f>
        <v>a) Mucho</v>
      </c>
      <c r="R147" s="89"/>
      <c r="S147" s="94">
        <f t="shared" si="11"/>
        <v>0</v>
      </c>
      <c r="T147" s="89" t="str">
        <f>Registro!R147</f>
        <v>a) Mucho</v>
      </c>
      <c r="U147" s="89" t="str">
        <f>Registro!S147</f>
        <v>a) La Iglesia</v>
      </c>
      <c r="V147" s="89" t="str">
        <f>Registro!T147</f>
        <v>c) Rezo solo en situación de dificultad</v>
      </c>
      <c r="W147" s="89" t="str">
        <f>Registro!U147</f>
        <v>b) Algunos domingos</v>
      </c>
      <c r="X147" s="89" t="str">
        <f>Registro!V147</f>
        <v>a) Suelo llevar una cruz o algún objeto religioso, b) Suelo bendedir los alimentos antes de comer</v>
      </c>
      <c r="Y147" s="89" t="str">
        <f>Registro!W147</f>
        <v>d) No pertenezco a ninguno</v>
      </c>
      <c r="Z147" s="89" t="str">
        <f>Registro!X147</f>
        <v>a) Un grupo donde profundizo mi fe</v>
      </c>
      <c r="AA147" s="89" t="str">
        <f>Registro!Y147</f>
        <v>b) No</v>
      </c>
      <c r="AB147" s="89" t="str">
        <f>Registro!Z147</f>
        <v>b) No</v>
      </c>
      <c r="AC147" s="89" t="str">
        <f>Registro!AA147</f>
        <v>a) Medicina, f) Ciencias policiales o artes militares</v>
      </c>
      <c r="AD147" s="94">
        <f t="shared" si="10"/>
        <v>2</v>
      </c>
      <c r="AE147" s="89" t="str">
        <f>Registro!AB147</f>
        <v>b) Tener una buena posición social, ser importante</v>
      </c>
      <c r="AF147" s="89" t="str">
        <f>Registro!AC147</f>
        <v>c) Bastante</v>
      </c>
      <c r="AG147" s="89" t="str">
        <f>Registro!AD147</f>
        <v>a) Los deportes y diversiones</v>
      </c>
      <c r="AH147" s="94">
        <f t="shared" si="12"/>
        <v>1</v>
      </c>
      <c r="AI147" s="89" t="str">
        <f>Registro!AE147</f>
        <v>b) 3 a 4 horas</v>
      </c>
      <c r="AJ147" s="89" t="str">
        <f>Registro!AF147</f>
        <v>a) Me divierto con juegos para computadoras, b) Navego en Internet, c) Suelo ir a centros de video (máquinas de juegos)</v>
      </c>
      <c r="AK147" s="94">
        <f t="shared" si="13"/>
        <v>3</v>
      </c>
      <c r="AL147" s="89" t="str">
        <f>Registro!AG147</f>
        <v>a) Muy bueno</v>
      </c>
      <c r="AM147" s="89" t="str">
        <f>Registro!AH147</f>
        <v>b) Buena</v>
      </c>
      <c r="AN147" s="89" t="str">
        <f>Registro!AI147</f>
        <v>a) Muy buena</v>
      </c>
      <c r="AO147" s="89" t="str">
        <f>Registro!AJ147</f>
        <v>c) Regular</v>
      </c>
      <c r="AP147" s="89" t="str">
        <f>Registro!AK147</f>
        <v>a) Muy buena</v>
      </c>
      <c r="AQ147" s="89" t="str">
        <f>Registro!AL147</f>
        <v>a) Muy buena</v>
      </c>
      <c r="AR147" s="89" t="str">
        <f>Registro!AM147</f>
        <v>a) Muy buena</v>
      </c>
      <c r="AS147" s="89" t="str">
        <f>Registro!AN147</f>
        <v>b) Buena</v>
      </c>
      <c r="AT147" s="89" t="str">
        <f>Registro!AO147</f>
        <v>a) Muy buena</v>
      </c>
      <c r="AU147" s="89" t="str">
        <f>Registro!AP147</f>
        <v>a) Muy buena</v>
      </c>
      <c r="AV147" s="89" t="str">
        <f>Registro!AQ147</f>
        <v>a) Muy buena</v>
      </c>
      <c r="AW147" s="89" t="str">
        <f>Registro!AR147</f>
        <v>a) El compañerismo</v>
      </c>
      <c r="AX147" s="89" t="str">
        <f>Registro!AS147</f>
        <v>b) Darme una buena educación</v>
      </c>
      <c r="AY147" s="89" t="str">
        <f>Registro!AT147</f>
        <v>d) Bastante necesaria</v>
      </c>
      <c r="AZ147" s="89" t="str">
        <f>Registro!AU147</f>
        <v>a) No acostumbro a tomarlo nunca</v>
      </c>
      <c r="BA147" s="89" t="str">
        <f>Registro!AV147</f>
        <v>b) Profesionales que no se preocupan de nosotros</v>
      </c>
      <c r="BB147" s="89" t="str">
        <f>Registro!AW147</f>
        <v>c) Bastante</v>
      </c>
      <c r="BC147" s="89" t="str">
        <f>Registro!AX147</f>
        <v>b) Hay de todo tipo, pero predomina lo negativo</v>
      </c>
      <c r="BD147" s="89" t="str">
        <f>Registro!AY147</f>
        <v>a) Mi padre, b) Mi madre, c) Un hermano/a</v>
      </c>
    </row>
    <row r="148" spans="1:56" ht="15" customHeight="1" x14ac:dyDescent="0.25">
      <c r="A148" s="101">
        <f>Registro!A148</f>
        <v>42158.259293981479</v>
      </c>
      <c r="B148" s="89" t="str">
        <f>Registro!B148</f>
        <v>c) Obra Social San José de Calasanz de Valencia</v>
      </c>
      <c r="C148" s="89" t="str">
        <f>Registro!C148</f>
        <v>a) Primer año</v>
      </c>
      <c r="D148" s="89" t="str">
        <f>Registro!D148</f>
        <v>a) Educación Inicial</v>
      </c>
      <c r="E148" s="89" t="str">
        <f>Registro!E148</f>
        <v>a) Masculino</v>
      </c>
      <c r="F148" s="89" t="str">
        <f>Registro!F148</f>
        <v>a) Católica</v>
      </c>
      <c r="G148" s="89" t="str">
        <f>Registro!G148</f>
        <v>a) Mamá, c) Hermanos, d) Abuelos</v>
      </c>
      <c r="H148" s="89" t="str">
        <f>Registro!H148</f>
        <v>d) Casa Rural</v>
      </c>
      <c r="I148" s="89" t="str">
        <f>Registro!I148</f>
        <v>a) Sí</v>
      </c>
      <c r="J148" s="89" t="str">
        <f>Registro!J148</f>
        <v>a) Cónsola videojuegos, b) Lavadora, c) Microondas, d) TV pantalla plana, e) Moto, f) MP3, g) MP4, h) Carro, i) Computadora, j) Cámara digital, k) Aire acondicionado</v>
      </c>
      <c r="K148" s="89" t="str">
        <f>Registro!K148</f>
        <v>f) Más de cuatro</v>
      </c>
      <c r="L148" s="89" t="str">
        <f>Registro!L148</f>
        <v>a) La familia, b) Los amigos, c) Los estudios</v>
      </c>
      <c r="M148" s="94">
        <f t="shared" si="14"/>
        <v>3</v>
      </c>
      <c r="N148" s="89" t="str">
        <f>Registro!M148</f>
        <v>b) El futuro</v>
      </c>
      <c r="O148" s="89" t="str">
        <f>Registro!N148</f>
        <v>b) Suficiente</v>
      </c>
      <c r="P148" s="89" t="str">
        <f>Registro!O148</f>
        <v>a) Mucho</v>
      </c>
      <c r="Q148" s="89" t="str">
        <f>Registro!P148</f>
        <v>a) Mucho</v>
      </c>
      <c r="R148" s="89" t="str">
        <f>Registro!Q148</f>
        <v>b) Los amigos, c) Los estudios, h) La sexualidad</v>
      </c>
      <c r="S148" s="94">
        <f t="shared" si="11"/>
        <v>3</v>
      </c>
      <c r="T148" s="89" t="str">
        <f>Registro!R148</f>
        <v>a) Mucho</v>
      </c>
      <c r="U148" s="89" t="str">
        <f>Registro!S148</f>
        <v>a) La Iglesia, b) La naturaleza, c) El salón de clase, e) Los amigos, g) Mi familia, j) Todas partes</v>
      </c>
      <c r="V148" s="89" t="str">
        <f>Registro!T148</f>
        <v>c) Rezo solo en situación de dificultad</v>
      </c>
      <c r="W148" s="89" t="str">
        <f>Registro!U148</f>
        <v>c) Solo en fechas especiales</v>
      </c>
      <c r="X148" s="89" t="str">
        <f>Registro!V148</f>
        <v>e) Voy a misa en las fechas de mis familiares difuntos, f) En alguna ocasión he rezado el rosario, g) En ocasiones, en mi casa tenemos una oración familiar</v>
      </c>
      <c r="Y148" s="89" t="str">
        <f>Registro!W148</f>
        <v>c) Religioso o parroquial</v>
      </c>
      <c r="Z148" s="89" t="str">
        <f>Registro!X148</f>
        <v>a) Un grupo donde profundizo mi fe</v>
      </c>
      <c r="AA148" s="89" t="str">
        <f>Registro!Y148</f>
        <v>b) No</v>
      </c>
      <c r="AB148" s="89" t="str">
        <f>Registro!Z148</f>
        <v>b) No</v>
      </c>
      <c r="AC148" s="89" t="str">
        <f>Registro!AA148</f>
        <v>a) Medicina, f) Ciencias policiales o artes militares</v>
      </c>
      <c r="AD148" s="94">
        <f t="shared" si="10"/>
        <v>2</v>
      </c>
      <c r="AE148" s="89" t="str">
        <f>Registro!AB148</f>
        <v>c) Ser un excelente profesional</v>
      </c>
      <c r="AF148" s="89" t="str">
        <f>Registro!AC148</f>
        <v>c) Bastante</v>
      </c>
      <c r="AG148" s="89" t="str">
        <f>Registro!AD148</f>
        <v>a) Los deportes y diversiones, b) El ambiente de estudio y de trabajo</v>
      </c>
      <c r="AH148" s="94">
        <f t="shared" si="12"/>
        <v>2</v>
      </c>
      <c r="AI148" s="89" t="str">
        <f>Registro!AE148</f>
        <v>c) 5 a 6 horas</v>
      </c>
      <c r="AJ148" s="89"/>
      <c r="AK148" s="94">
        <f t="shared" si="13"/>
        <v>0</v>
      </c>
      <c r="AL148" s="89" t="str">
        <f>Registro!AG148</f>
        <v>a) Muy bueno</v>
      </c>
      <c r="AM148" s="89" t="str">
        <f>Registro!AH148</f>
        <v>b) Buena</v>
      </c>
      <c r="AN148" s="89" t="str">
        <f>Registro!AI148</f>
        <v>b) Buena</v>
      </c>
      <c r="AO148" s="89" t="str">
        <f>Registro!AJ148</f>
        <v>b) Buena</v>
      </c>
      <c r="AP148" s="89" t="str">
        <f>Registro!AK148</f>
        <v>a) Muy buena</v>
      </c>
      <c r="AQ148" s="89" t="str">
        <f>Registro!AL148</f>
        <v>a) Muy buena</v>
      </c>
      <c r="AR148" s="89" t="str">
        <f>Registro!AM148</f>
        <v>b) Buena</v>
      </c>
      <c r="AS148" s="89" t="str">
        <f>Registro!AN148</f>
        <v>b) Buena</v>
      </c>
      <c r="AT148" s="89" t="str">
        <f>Registro!AO148</f>
        <v>b) Buena</v>
      </c>
      <c r="AU148" s="89" t="str">
        <f>Registro!AP148</f>
        <v>b) Buena</v>
      </c>
      <c r="AV148" s="89" t="str">
        <f>Registro!AQ148</f>
        <v>b) Buena</v>
      </c>
      <c r="AW148" s="89" t="str">
        <f>Registro!AR148</f>
        <v>a) El compañerismo</v>
      </c>
      <c r="AX148" s="89" t="str">
        <f>Registro!AS148</f>
        <v>a) Que sea un buen profesional</v>
      </c>
      <c r="AY148" s="89" t="str">
        <f>Registro!AT148</f>
        <v>d) Bastante necesaria</v>
      </c>
      <c r="AZ148" s="89" t="str">
        <f>Registro!AU148</f>
        <v>b) Las veces que bebo, es con moderación</v>
      </c>
      <c r="BA148" s="89" t="str">
        <f>Registro!AV148</f>
        <v>c) Profesionales que hacen lo que pueden</v>
      </c>
      <c r="BB148" s="89" t="str">
        <f>Registro!AW148</f>
        <v>c) Bastante</v>
      </c>
      <c r="BC148" s="89" t="str">
        <f>Registro!AX148</f>
        <v>c) Son personas normales y corrientes</v>
      </c>
      <c r="BD148" s="89" t="str">
        <f>Registro!AY148</f>
        <v>a) Mi padre, b) Mi madre, d) Un escolapio, religioso o religiosa, g) Un amigo, h) Una amiga</v>
      </c>
    </row>
    <row r="149" spans="1:56" ht="15" customHeight="1" x14ac:dyDescent="0.25">
      <c r="A149" s="101">
        <f>Registro!A149</f>
        <v>42158.260023148148</v>
      </c>
      <c r="B149" s="89" t="str">
        <f>Registro!B149</f>
        <v>c) Obra Social San José de Calasanz de Valencia</v>
      </c>
      <c r="C149" s="89" t="str">
        <f>Registro!C149</f>
        <v>a) Primer año</v>
      </c>
      <c r="D149" s="89" t="str">
        <f>Registro!D149</f>
        <v>a) Educación Inicial</v>
      </c>
      <c r="E149" s="89" t="str">
        <f>Registro!E149</f>
        <v>b) Femenino</v>
      </c>
      <c r="F149" s="89" t="str">
        <f>Registro!F149</f>
        <v>a) Católica</v>
      </c>
      <c r="G149" s="89" t="str">
        <f>Registro!G149</f>
        <v>a) Mamá, b) Papá, c) Hermanos</v>
      </c>
      <c r="H149" s="89" t="str">
        <f>Registro!H149</f>
        <v>b) Casa Urbana</v>
      </c>
      <c r="I149" s="89" t="str">
        <f>Registro!I149</f>
        <v>a) Sí</v>
      </c>
      <c r="J149" s="89" t="str">
        <f>Registro!J149</f>
        <v>b) Lavadora, c) Microondas, d) TV pantalla plana, h) Carro, i) Computadora</v>
      </c>
      <c r="K149" s="89" t="str">
        <f>Registro!K149</f>
        <v>c) Dos</v>
      </c>
      <c r="L149" s="89" t="str">
        <f>Registro!L149</f>
        <v>a) La familia, b) Los amigos, c) Los estudios</v>
      </c>
      <c r="M149" s="94">
        <f t="shared" si="14"/>
        <v>3</v>
      </c>
      <c r="N149" s="89" t="str">
        <f>Registro!M149</f>
        <v>d) Los problemas familiares</v>
      </c>
      <c r="O149" s="89" t="str">
        <f>Registro!N149</f>
        <v>c) Poco</v>
      </c>
      <c r="P149" s="89" t="str">
        <f>Registro!O149</f>
        <v>a) Mucho</v>
      </c>
      <c r="Q149" s="89" t="str">
        <f>Registro!P149</f>
        <v>c) Poco</v>
      </c>
      <c r="R149" s="89" t="str">
        <f>Registro!Q149</f>
        <v>a) La familia, b) Los amigos, c) Los estudios</v>
      </c>
      <c r="S149" s="94">
        <f t="shared" si="11"/>
        <v>3</v>
      </c>
      <c r="T149" s="89" t="str">
        <f>Registro!R149</f>
        <v>b) Suficiente</v>
      </c>
      <c r="U149" s="89" t="str">
        <f>Registro!S149</f>
        <v>a) La Iglesia, e) Los amigos, g) Mi familia, k) La oración</v>
      </c>
      <c r="V149" s="89">
        <f>Registro!T149</f>
        <v>0</v>
      </c>
      <c r="W149" s="89" t="str">
        <f>Registro!U149</f>
        <v>c) Solo en fechas especiales</v>
      </c>
      <c r="X149" s="89" t="str">
        <f>Registro!V149</f>
        <v>c) Suelo ir los domingos y otras fechas especiales a la Iglesia</v>
      </c>
      <c r="Y149" s="89" t="str">
        <f>Registro!W149</f>
        <v>d) No pertenezco a ninguno</v>
      </c>
      <c r="Z149" s="89" t="str">
        <f>Registro!X149</f>
        <v>b) Un lugar donde comparto con mis compañeros</v>
      </c>
      <c r="AA149" s="89" t="str">
        <f>Registro!Y149</f>
        <v>a) Sí</v>
      </c>
      <c r="AB149" s="89" t="str">
        <f>Registro!Z149</f>
        <v>b) No</v>
      </c>
      <c r="AC149" s="89"/>
      <c r="AD149" s="94">
        <f t="shared" si="10"/>
        <v>0</v>
      </c>
      <c r="AE149" s="89" t="str">
        <f>Registro!AB149</f>
        <v>c) Ser un excelente profesional</v>
      </c>
      <c r="AF149" s="89" t="str">
        <f>Registro!AC149</f>
        <v>c) Bastante</v>
      </c>
      <c r="AG149" s="89" t="str">
        <f>Registro!AD149</f>
        <v>a) Los deportes y diversiones, b) El ambiente de estudio y de trabajo</v>
      </c>
      <c r="AH149" s="94">
        <f t="shared" si="12"/>
        <v>2</v>
      </c>
      <c r="AI149" s="89" t="str">
        <f>Registro!AE149</f>
        <v>a) 0 a 2 horas</v>
      </c>
      <c r="AJ149" s="89" t="str">
        <f>Registro!AF149</f>
        <v>a) Me divierto con juegos para computadoras, h) Suelo ir al cine, m) Veo televisión y/o películas</v>
      </c>
      <c r="AK149" s="94">
        <f t="shared" si="13"/>
        <v>3</v>
      </c>
      <c r="AL149" s="89" t="str">
        <f>Registro!AG149</f>
        <v>c) Regular</v>
      </c>
      <c r="AM149" s="89" t="str">
        <f>Registro!AH149</f>
        <v>b) Buena</v>
      </c>
      <c r="AN149" s="89" t="str">
        <f>Registro!AI149</f>
        <v>b) Buena</v>
      </c>
      <c r="AO149" s="89" t="str">
        <f>Registro!AJ149</f>
        <v>a) Muy buena</v>
      </c>
      <c r="AP149" s="89" t="str">
        <f>Registro!AK149</f>
        <v>a) Muy buena</v>
      </c>
      <c r="AQ149" s="89" t="str">
        <f>Registro!AL149</f>
        <v>b) Buena</v>
      </c>
      <c r="AR149" s="89" t="str">
        <f>Registro!AM149</f>
        <v>a) Muy buena</v>
      </c>
      <c r="AS149" s="89" t="str">
        <f>Registro!AN149</f>
        <v>b) Buena</v>
      </c>
      <c r="AT149" s="89" t="str">
        <f>Registro!AO149</f>
        <v>a) Muy buena</v>
      </c>
      <c r="AU149" s="89" t="str">
        <f>Registro!AP149</f>
        <v>b) Buena</v>
      </c>
      <c r="AV149" s="89" t="str">
        <f>Registro!AQ149</f>
        <v>a) Muy buena</v>
      </c>
      <c r="AW149" s="89" t="str">
        <f>Registro!AR149</f>
        <v>h) La responsabilidad social y el servicio a los demás</v>
      </c>
      <c r="AX149" s="89" t="str">
        <f>Registro!AS149</f>
        <v>a) Que sea un buen profesional</v>
      </c>
      <c r="AY149" s="89" t="str">
        <f>Registro!AT149</f>
        <v>d) Bastante necesaria</v>
      </c>
      <c r="AZ149" s="89" t="str">
        <f>Registro!AU149</f>
        <v>b) Las veces que bebo, es con moderación</v>
      </c>
      <c r="BA149" s="89" t="str">
        <f>Registro!AV149</f>
        <v>d) Buenos profesionales de la educación</v>
      </c>
      <c r="BB149" s="89" t="str">
        <f>Registro!AW149</f>
        <v>c) Bastante</v>
      </c>
      <c r="BC149" s="89" t="str">
        <f>Registro!AX149</f>
        <v>c) Son personas normales y corrientes</v>
      </c>
      <c r="BD149" s="89" t="str">
        <f>Registro!AY149</f>
        <v>a) Mi padre, b) Mi madre, c) Un hermano/a, d) Un escolapio, religioso o religiosa</v>
      </c>
    </row>
    <row r="150" spans="1:56" ht="15" customHeight="1" x14ac:dyDescent="0.25">
      <c r="A150" s="101">
        <f>Registro!A150</f>
        <v>42158.263807870368</v>
      </c>
      <c r="B150" s="89" t="str">
        <f>Registro!B150</f>
        <v>c) Obra Social San José de Calasanz de Valencia</v>
      </c>
      <c r="C150" s="89" t="str">
        <f>Registro!C150</f>
        <v>a) Primer año</v>
      </c>
      <c r="D150" s="89" t="str">
        <f>Registro!D150</f>
        <v>a) Educación Inicial</v>
      </c>
      <c r="E150" s="89" t="str">
        <f>Registro!E150</f>
        <v>a) Masculino</v>
      </c>
      <c r="F150" s="89" t="str">
        <f>Registro!F150</f>
        <v>a) Católica</v>
      </c>
      <c r="G150" s="89" t="str">
        <f>Registro!G150</f>
        <v>a) Mamá, c) Hermanos</v>
      </c>
      <c r="H150" s="89" t="str">
        <f>Registro!H150</f>
        <v>b) Casa Urbana</v>
      </c>
      <c r="I150" s="89" t="str">
        <f>Registro!I150</f>
        <v>a) Sí</v>
      </c>
      <c r="J150" s="89" t="str">
        <f>Registro!J150</f>
        <v>a) Cónsola videojuegos, b) Lavadora, c) Microondas, d) TV pantalla plana, f) MP3, i) Computadora, j) Cámara digital, k) Aire acondicionado</v>
      </c>
      <c r="K150" s="89" t="str">
        <f>Registro!K150</f>
        <v>c) Dos</v>
      </c>
      <c r="L150" s="89"/>
      <c r="M150" s="94">
        <f t="shared" si="14"/>
        <v>0</v>
      </c>
      <c r="N150" s="89" t="str">
        <f>Registro!M150</f>
        <v>a) Seguridad personal (la violencia y la delincuencia)</v>
      </c>
      <c r="O150" s="89" t="str">
        <f>Registro!N150</f>
        <v>b) Suficiente</v>
      </c>
      <c r="P150" s="89" t="str">
        <f>Registro!O150</f>
        <v>a) Mucho</v>
      </c>
      <c r="Q150" s="89" t="str">
        <f>Registro!P150</f>
        <v>b) Suficiente</v>
      </c>
      <c r="R150" s="89"/>
      <c r="S150" s="94">
        <f t="shared" si="11"/>
        <v>0</v>
      </c>
      <c r="T150" s="89">
        <f>Registro!R150</f>
        <v>0</v>
      </c>
      <c r="U150" s="89" t="str">
        <f>Registro!S150</f>
        <v>a) La Iglesia, b) La naturaleza</v>
      </c>
      <c r="V150" s="89" t="str">
        <f>Registro!T150</f>
        <v>b) Rezo por costumbre</v>
      </c>
      <c r="W150" s="89" t="str">
        <f>Registro!U150</f>
        <v>b) Algunos domingos</v>
      </c>
      <c r="X150" s="89" t="str">
        <f>Registro!V150</f>
        <v>d) Suelo orar todos los días</v>
      </c>
      <c r="Y150" s="89" t="str">
        <f>Registro!W150</f>
        <v>c) Religioso o parroquial</v>
      </c>
      <c r="Z150" s="89" t="str">
        <f>Registro!X150</f>
        <v>b) Un lugar donde comparto con mis compañeros</v>
      </c>
      <c r="AA150" s="89" t="str">
        <f>Registro!Y150</f>
        <v>b) No</v>
      </c>
      <c r="AB150" s="89" t="str">
        <f>Registro!Z150</f>
        <v>c) Algo</v>
      </c>
      <c r="AC150" s="89"/>
      <c r="AD150" s="94">
        <f t="shared" si="10"/>
        <v>0</v>
      </c>
      <c r="AE150" s="89" t="str">
        <f>Registro!AB150</f>
        <v>c) Ser un excelente profesional</v>
      </c>
      <c r="AF150" s="89" t="str">
        <f>Registro!AC150</f>
        <v>d) Mucho o muchísimo</v>
      </c>
      <c r="AG150" s="89" t="str">
        <f>Registro!AD150</f>
        <v>a) Los deportes y diversiones, c) Las instalaciones del Colegio</v>
      </c>
      <c r="AH150" s="94">
        <f t="shared" si="12"/>
        <v>2</v>
      </c>
      <c r="AI150" s="89" t="str">
        <f>Registro!AE150</f>
        <v>a) 0 a 2 horas</v>
      </c>
      <c r="AJ150" s="89" t="str">
        <f>Registro!AF150</f>
        <v>a) Me divierto con juegos para computadoras, b) Navego en Internet, e) Suelo ir a algún parque</v>
      </c>
      <c r="AK150" s="94">
        <f t="shared" si="13"/>
        <v>3</v>
      </c>
      <c r="AL150" s="89" t="str">
        <f>Registro!AG150</f>
        <v>a) Muy bueno</v>
      </c>
      <c r="AM150" s="89" t="str">
        <f>Registro!AH150</f>
        <v>a) Muy buena</v>
      </c>
      <c r="AN150" s="89" t="str">
        <f>Registro!AI150</f>
        <v>a) Muy buena</v>
      </c>
      <c r="AO150" s="89" t="str">
        <f>Registro!AJ150</f>
        <v>a) Muy buena</v>
      </c>
      <c r="AP150" s="89" t="str">
        <f>Registro!AK150</f>
        <v>a) Muy buena</v>
      </c>
      <c r="AQ150" s="89" t="str">
        <f>Registro!AL150</f>
        <v>a) Muy buena</v>
      </c>
      <c r="AR150" s="89" t="str">
        <f>Registro!AM150</f>
        <v>a) Muy buena</v>
      </c>
      <c r="AS150" s="89" t="str">
        <f>Registro!AN150</f>
        <v>a) Muy buena</v>
      </c>
      <c r="AT150" s="89" t="str">
        <f>Registro!AO150</f>
        <v>a) Muy buena</v>
      </c>
      <c r="AU150" s="89" t="str">
        <f>Registro!AP150</f>
        <v>a) Muy buena</v>
      </c>
      <c r="AV150" s="89" t="str">
        <f>Registro!AQ150</f>
        <v>a) Muy buena</v>
      </c>
      <c r="AW150" s="89" t="str">
        <f>Registro!AR150</f>
        <v>a) El compañerismo</v>
      </c>
      <c r="AX150" s="89" t="str">
        <f>Registro!AS150</f>
        <v>a) Que sea un buen profesional</v>
      </c>
      <c r="AY150" s="89" t="str">
        <f>Registro!AT150</f>
        <v>e) Absolutamente necesaria</v>
      </c>
      <c r="AZ150" s="89" t="str">
        <f>Registro!AU150</f>
        <v>a) No acostumbro a tomarlo nunca</v>
      </c>
      <c r="BA150" s="89" t="str">
        <f>Registro!AV150</f>
        <v>f) Educadores que, además, me han abierto caminos</v>
      </c>
      <c r="BB150" s="89" t="str">
        <f>Registro!AW150</f>
        <v>d) Mucho o muchísimo</v>
      </c>
      <c r="BC150" s="89" t="str">
        <f>Registro!AX150</f>
        <v>e) Son personas que me gustan y admiro</v>
      </c>
      <c r="BD150" s="89" t="str">
        <f>Registro!AY150</f>
        <v>b) Mi madre, c) Un hermano/a, g) Un amigo</v>
      </c>
    </row>
    <row r="151" spans="1:56" ht="15" customHeight="1" x14ac:dyDescent="0.25">
      <c r="A151" s="101">
        <f>Registro!A151</f>
        <v>42158.264004629629</v>
      </c>
      <c r="B151" s="89" t="str">
        <f>Registro!B151</f>
        <v>c) Obra Social San José de Calasanz de Valencia</v>
      </c>
      <c r="C151" s="89" t="str">
        <f>Registro!C151</f>
        <v>a) Primer año</v>
      </c>
      <c r="D151" s="89" t="str">
        <f>Registro!D151</f>
        <v>a) Educación Inicial</v>
      </c>
      <c r="E151" s="89" t="str">
        <f>Registro!E151</f>
        <v>b) Femenino</v>
      </c>
      <c r="F151" s="89" t="str">
        <f>Registro!F151</f>
        <v>a) Católica</v>
      </c>
      <c r="G151" s="89" t="str">
        <f>Registro!G151</f>
        <v>a) Mamá, b) Papá, c) Hermanos</v>
      </c>
      <c r="H151" s="89" t="str">
        <f>Registro!H151</f>
        <v>b) Casa Urbana</v>
      </c>
      <c r="I151" s="89" t="str">
        <f>Registro!I151</f>
        <v>a) Sí</v>
      </c>
      <c r="J151" s="89" t="str">
        <f>Registro!J151</f>
        <v>i) Computadora, k) Aire acondicionado</v>
      </c>
      <c r="K151" s="89" t="str">
        <f>Registro!K151</f>
        <v>c) Dos</v>
      </c>
      <c r="L151" s="89" t="str">
        <f>Registro!L151</f>
        <v>a) La familia, b) Los amigos, c) Los estudios</v>
      </c>
      <c r="M151" s="94">
        <f t="shared" si="14"/>
        <v>3</v>
      </c>
      <c r="N151" s="89" t="str">
        <f>Registro!M151</f>
        <v>e) La situación económica</v>
      </c>
      <c r="O151" s="89" t="str">
        <f>Registro!N151</f>
        <v>d) Nada</v>
      </c>
      <c r="P151" s="89" t="str">
        <f>Registro!O151</f>
        <v>a) Mucho</v>
      </c>
      <c r="Q151" s="89" t="str">
        <f>Registro!P151</f>
        <v>b) Suficiente</v>
      </c>
      <c r="R151" s="89" t="str">
        <f>Registro!Q151</f>
        <v>b) Los amigos, c) Los estudios, f) Mi fe y mi vida cristiana</v>
      </c>
      <c r="S151" s="94">
        <f t="shared" si="11"/>
        <v>3</v>
      </c>
      <c r="T151" s="89" t="str">
        <f>Registro!R151</f>
        <v>a) Mucho</v>
      </c>
      <c r="U151" s="89" t="str">
        <f>Registro!S151</f>
        <v>a) La Iglesia, d) Las convivencias, g) Mi familia, k) La oración, l) Los sacramentos</v>
      </c>
      <c r="V151" s="89" t="str">
        <f>Registro!T151</f>
        <v>a) Suelo rezar por convicción o porque me gusta</v>
      </c>
      <c r="W151" s="89" t="str">
        <f>Registro!U151</f>
        <v>c) Solo en fechas especiales</v>
      </c>
      <c r="X151" s="89" t="str">
        <f>Registro!V151</f>
        <v>c) Suelo ir los domingos y otras fechas especiales a la Iglesia, e) Voy a misa en las fechas de mis familiares difuntos, f) En alguna ocasión he rezado el rosario, i) Tengo en mi cuarto alguna imagen religiosa</v>
      </c>
      <c r="Y151" s="89" t="str">
        <f>Registro!W151</f>
        <v xml:space="preserve">b) Cultural (folklórico, musicales, danzas, scout, banda marcial,...) </v>
      </c>
      <c r="Z151" s="89" t="str">
        <f>Registro!X151</f>
        <v>d) No pertenezco a grupos juveniles cristianos</v>
      </c>
      <c r="AA151" s="89" t="str">
        <f>Registro!Y151</f>
        <v>b) No</v>
      </c>
      <c r="AB151" s="89" t="str">
        <f>Registro!Z151</f>
        <v>b) No</v>
      </c>
      <c r="AC151" s="89" t="str">
        <f>Registro!AA151</f>
        <v>g) Artista, j) Trabajador calificado</v>
      </c>
      <c r="AD151" s="94">
        <f t="shared" si="10"/>
        <v>2</v>
      </c>
      <c r="AE151" s="89" t="str">
        <f>Registro!AB151</f>
        <v>c) Ser un excelente profesional</v>
      </c>
      <c r="AF151" s="89" t="str">
        <f>Registro!AC151</f>
        <v>d) Mucho o muchísimo</v>
      </c>
      <c r="AG151" s="89"/>
      <c r="AH151" s="94">
        <f t="shared" si="12"/>
        <v>0</v>
      </c>
      <c r="AI151" s="89" t="str">
        <f>Registro!AE151</f>
        <v>f) 11 o más horas</v>
      </c>
      <c r="AJ151" s="89" t="str">
        <f>Registro!AF151</f>
        <v>b) Navego en Internet, f) Toco un instrumento musical, l) Escucho música y/o veo videos musicales</v>
      </c>
      <c r="AK151" s="94">
        <f t="shared" si="13"/>
        <v>3</v>
      </c>
      <c r="AL151" s="89" t="str">
        <f>Registro!AG151</f>
        <v>c) Regular</v>
      </c>
      <c r="AM151" s="89" t="str">
        <f>Registro!AH151</f>
        <v>a) Muy buena</v>
      </c>
      <c r="AN151" s="89" t="str">
        <f>Registro!AI151</f>
        <v>a) Muy buena</v>
      </c>
      <c r="AO151" s="89" t="str">
        <f>Registro!AJ151</f>
        <v>f) No aplica</v>
      </c>
      <c r="AP151" s="89" t="str">
        <f>Registro!AK151</f>
        <v>f) No aplica</v>
      </c>
      <c r="AQ151" s="89" t="str">
        <f>Registro!AL151</f>
        <v>f) No aplica</v>
      </c>
      <c r="AR151" s="89" t="str">
        <f>Registro!AM151</f>
        <v>f) No aplica</v>
      </c>
      <c r="AS151" s="89" t="str">
        <f>Registro!AN151</f>
        <v>a) Muy buena</v>
      </c>
      <c r="AT151" s="89" t="str">
        <f>Registro!AO151</f>
        <v>a) Muy buena</v>
      </c>
      <c r="AU151" s="89" t="str">
        <f>Registro!AP151</f>
        <v>a) Muy buena</v>
      </c>
      <c r="AV151" s="89" t="str">
        <f>Registro!AQ151</f>
        <v>a) Muy buena</v>
      </c>
      <c r="AW151" s="89" t="str">
        <f>Registro!AR151</f>
        <v>b) La orientación cristiana</v>
      </c>
      <c r="AX151" s="89" t="str">
        <f>Registro!AS151</f>
        <v>a) Que sea un buen profesional</v>
      </c>
      <c r="AY151" s="89" t="str">
        <f>Registro!AT151</f>
        <v>d) Bastante necesaria</v>
      </c>
      <c r="AZ151" s="89" t="str">
        <f>Registro!AU151</f>
        <v>a) No acostumbro a tomarlo nunca</v>
      </c>
      <c r="BA151" s="89" t="str">
        <f>Registro!AV151</f>
        <v>f) Educadores que, además, me han abierto caminos</v>
      </c>
      <c r="BB151" s="89" t="str">
        <f>Registro!AW151</f>
        <v>c) Bastante</v>
      </c>
      <c r="BC151" s="89" t="str">
        <f>Registro!AX151</f>
        <v>e) Son personas que me gustan y admiro</v>
      </c>
      <c r="BD151" s="89" t="str">
        <f>Registro!AY151</f>
        <v>c) Un hermano/a, g) Un amigo, h) Una amiga</v>
      </c>
    </row>
    <row r="152" spans="1:56" ht="15" customHeight="1" x14ac:dyDescent="0.25">
      <c r="A152" s="101">
        <f>Registro!A152</f>
        <v>42158.265543981484</v>
      </c>
      <c r="B152" s="89" t="str">
        <f>Registro!B152</f>
        <v>c) Obra Social San José de Calasanz de Valencia</v>
      </c>
      <c r="C152" s="89" t="str">
        <f>Registro!C152</f>
        <v>a) Primer año</v>
      </c>
      <c r="D152" s="89" t="str">
        <f>Registro!D152</f>
        <v>a) Educación Inicial</v>
      </c>
      <c r="E152" s="89" t="str">
        <f>Registro!E152</f>
        <v>b) Femenino</v>
      </c>
      <c r="F152" s="89" t="str">
        <f>Registro!F152</f>
        <v>a) Católica</v>
      </c>
      <c r="G152" s="89" t="str">
        <f>Registro!G152</f>
        <v>a) Mamá, b) Papá, c) Hermanos</v>
      </c>
      <c r="H152" s="89" t="str">
        <f>Registro!H152</f>
        <v>b) Casa Urbana</v>
      </c>
      <c r="I152" s="89" t="str">
        <f>Registro!I152</f>
        <v>a) Sí</v>
      </c>
      <c r="J152" s="89" t="str">
        <f>Registro!J152</f>
        <v>b) Lavadora, c) Microondas, f) MP3, i) Computadora, j) Cámara digital</v>
      </c>
      <c r="K152" s="89" t="str">
        <f>Registro!K152</f>
        <v>e) Cuatro</v>
      </c>
      <c r="L152" s="89" t="str">
        <f>Registro!L152</f>
        <v>a) La familia, c) Los estudios, d) El cuidado de mi cuerpo</v>
      </c>
      <c r="M152" s="94">
        <f t="shared" si="14"/>
        <v>3</v>
      </c>
      <c r="N152" s="89" t="str">
        <f>Registro!M152</f>
        <v>d) Los problemas familiares</v>
      </c>
      <c r="O152" s="89" t="str">
        <f>Registro!N152</f>
        <v>a) Mucho</v>
      </c>
      <c r="P152" s="89" t="str">
        <f>Registro!O152</f>
        <v>a) Mucho</v>
      </c>
      <c r="Q152" s="89" t="str">
        <f>Registro!P152</f>
        <v>b) Suficiente</v>
      </c>
      <c r="R152" s="89" t="str">
        <f>Registro!Q152</f>
        <v>a) La familia, c) Los estudios, g) La felicidad</v>
      </c>
      <c r="S152" s="94">
        <f t="shared" si="11"/>
        <v>3</v>
      </c>
      <c r="T152" s="89" t="str">
        <f>Registro!R152</f>
        <v>a) Mucho</v>
      </c>
      <c r="U152" s="89" t="str">
        <f>Registro!S152</f>
        <v>a) La Iglesia, d) Las convivencias, j) Todas partes, k) La oración</v>
      </c>
      <c r="V152" s="89" t="str">
        <f>Registro!T152</f>
        <v>b) Rezo por costumbre</v>
      </c>
      <c r="W152" s="89" t="str">
        <f>Registro!U152</f>
        <v>b) Algunos domingos</v>
      </c>
      <c r="X152" s="89" t="str">
        <f>Registro!V152</f>
        <v>b) Suelo bendedir los alimentos antes de comer, d) Suelo orar todos los días, e) Voy a misa en las fechas de mis familiares difuntos, i) Tengo en mi cuarto alguna imagen religiosa</v>
      </c>
      <c r="Y152" s="89" t="str">
        <f>Registro!W152</f>
        <v>d) No pertenezco a ninguno</v>
      </c>
      <c r="Z152" s="89" t="str">
        <f>Registro!X152</f>
        <v>b) Un lugar donde comparto con mis compañeros</v>
      </c>
      <c r="AA152" s="89" t="str">
        <f>Registro!Y152</f>
        <v>b) No</v>
      </c>
      <c r="AB152" s="89">
        <f>Registro!Z152</f>
        <v>0</v>
      </c>
      <c r="AC152" s="89"/>
      <c r="AD152" s="94">
        <f t="shared" si="10"/>
        <v>0</v>
      </c>
      <c r="AE152" s="89" t="str">
        <f>Registro!AB152</f>
        <v>c) Ser un excelente profesional</v>
      </c>
      <c r="AF152" s="89" t="str">
        <f>Registro!AC152</f>
        <v>c) Bastante</v>
      </c>
      <c r="AG152" s="89" t="str">
        <f>Registro!AD152</f>
        <v>b) El ambiente de estudio y de trabajo, g) La relación con los docentes</v>
      </c>
      <c r="AH152" s="94">
        <f t="shared" si="12"/>
        <v>2</v>
      </c>
      <c r="AI152" s="89" t="str">
        <f>Registro!AE152</f>
        <v>a) 0 a 2 horas</v>
      </c>
      <c r="AJ152" s="89" t="str">
        <f>Registro!AF152</f>
        <v>b) Navego en Internet, d) Estoy la mayor parte del tiempo en la casa sin hacer nada, i) Leo revistas o libros</v>
      </c>
      <c r="AK152" s="94">
        <f t="shared" si="13"/>
        <v>3</v>
      </c>
      <c r="AL152" s="89" t="str">
        <f>Registro!AG152</f>
        <v>a) Muy bueno</v>
      </c>
      <c r="AM152" s="89" t="str">
        <f>Registro!AH152</f>
        <v>a) Muy buena</v>
      </c>
      <c r="AN152" s="89" t="str">
        <f>Registro!AI152</f>
        <v>b) Buena</v>
      </c>
      <c r="AO152" s="89" t="str">
        <f>Registro!AJ152</f>
        <v>a) Muy buena</v>
      </c>
      <c r="AP152" s="89" t="str">
        <f>Registro!AK152</f>
        <v>b) Buena</v>
      </c>
      <c r="AQ152" s="89" t="str">
        <f>Registro!AL152</f>
        <v>b) Buena</v>
      </c>
      <c r="AR152" s="89" t="str">
        <f>Registro!AM152</f>
        <v>a) Muy buena</v>
      </c>
      <c r="AS152" s="89" t="str">
        <f>Registro!AN152</f>
        <v>a) Muy buena</v>
      </c>
      <c r="AT152" s="89" t="str">
        <f>Registro!AO152</f>
        <v>b) Buena</v>
      </c>
      <c r="AU152" s="89">
        <f>Registro!AP152</f>
        <v>0</v>
      </c>
      <c r="AV152" s="89" t="str">
        <f>Registro!AQ152</f>
        <v>a) Muy buena</v>
      </c>
      <c r="AW152" s="89" t="str">
        <f>Registro!AR152</f>
        <v>c) El estudio</v>
      </c>
      <c r="AX152" s="89" t="str">
        <f>Registro!AS152</f>
        <v>a) Que sea un buen profesional</v>
      </c>
      <c r="AY152" s="89" t="str">
        <f>Registro!AT152</f>
        <v>c) Conveniente</v>
      </c>
      <c r="AZ152" s="89" t="str">
        <f>Registro!AU152</f>
        <v>c) Alguna vez he bebido más de la cuenta</v>
      </c>
      <c r="BA152" s="89" t="str">
        <f>Registro!AV152</f>
        <v>d) Buenos profesionales de la educación</v>
      </c>
      <c r="BB152" s="89" t="str">
        <f>Registro!AW152</f>
        <v>c) Bastante</v>
      </c>
      <c r="BC152" s="89" t="str">
        <f>Registro!AX152</f>
        <v>e) Son personas que me gustan y admiro</v>
      </c>
      <c r="BD152" s="89" t="str">
        <f>Registro!AY152</f>
        <v>k) No tengo problemas personales</v>
      </c>
    </row>
    <row r="153" spans="1:56" ht="15" customHeight="1" x14ac:dyDescent="0.25">
      <c r="A153" s="101">
        <f>Registro!A153</f>
        <v>42158.266574074078</v>
      </c>
      <c r="B153" s="89" t="str">
        <f>Registro!B153</f>
        <v>c) Obra Social San José de Calasanz de Valencia</v>
      </c>
      <c r="C153" s="89" t="str">
        <f>Registro!C153</f>
        <v>a) Primer año</v>
      </c>
      <c r="D153" s="89" t="str">
        <f>Registro!D153</f>
        <v>b) Primaria</v>
      </c>
      <c r="E153" s="89" t="str">
        <f>Registro!E153</f>
        <v>b) Femenino</v>
      </c>
      <c r="F153" s="89" t="str">
        <f>Registro!F153</f>
        <v>a) Católica</v>
      </c>
      <c r="G153" s="89" t="str">
        <f>Registro!G153</f>
        <v>a) Mamá, b) Papá, c) Hermanos</v>
      </c>
      <c r="H153" s="89" t="str">
        <f>Registro!H153</f>
        <v>b) Casa Urbana</v>
      </c>
      <c r="I153" s="89" t="str">
        <f>Registro!I153</f>
        <v>a) Sí</v>
      </c>
      <c r="J153" s="89" t="str">
        <f>Registro!J153</f>
        <v>b) Lavadora, f) MP3, g) MP4, h) Carro, i) Computadora, k) Aire acondicionado</v>
      </c>
      <c r="K153" s="89" t="str">
        <f>Registro!K153</f>
        <v>b) Una</v>
      </c>
      <c r="L153" s="89"/>
      <c r="M153" s="94">
        <f t="shared" si="14"/>
        <v>0</v>
      </c>
      <c r="N153" s="89" t="str">
        <f>Registro!M153</f>
        <v>g) Mis estudios</v>
      </c>
      <c r="O153" s="89" t="str">
        <f>Registro!N153</f>
        <v>b) Suficiente</v>
      </c>
      <c r="P153" s="89" t="str">
        <f>Registro!O153</f>
        <v>a) Mucho</v>
      </c>
      <c r="Q153" s="89" t="str">
        <f>Registro!P153</f>
        <v>a) Mucho</v>
      </c>
      <c r="R153" s="89"/>
      <c r="S153" s="94">
        <f t="shared" si="11"/>
        <v>0</v>
      </c>
      <c r="T153" s="89" t="str">
        <f>Registro!R153</f>
        <v>a) Mucho</v>
      </c>
      <c r="U153" s="89" t="str">
        <f>Registro!S153</f>
        <v>a) La Iglesia, b) La naturaleza, g) Mi familia, i) Los necesitados, j) Todas partes, k) La oración</v>
      </c>
      <c r="V153" s="89" t="str">
        <f>Registro!T153</f>
        <v>a) Suelo rezar por convicción o porque me gusta</v>
      </c>
      <c r="W153" s="89" t="str">
        <f>Registro!U153</f>
        <v>c) Solo en fechas especiales</v>
      </c>
      <c r="X153" s="89" t="str">
        <f>Registro!V153</f>
        <v>c) Suelo ir los domingos y otras fechas especiales a la Iglesia, d) Suelo orar todos los días, e) Voy a misa en las fechas de mis familiares difuntos, f) En alguna ocasión he rezado el rosario</v>
      </c>
      <c r="Y153" s="89" t="str">
        <f>Registro!W153</f>
        <v>d) No pertenezco a ninguno</v>
      </c>
      <c r="Z153" s="89" t="str">
        <f>Registro!X153</f>
        <v>d) No pertenezco a grupos juveniles cristianos</v>
      </c>
      <c r="AA153" s="89" t="str">
        <f>Registro!Y153</f>
        <v>b) No</v>
      </c>
      <c r="AB153" s="89" t="str">
        <f>Registro!Z153</f>
        <v>b) No</v>
      </c>
      <c r="AC153" s="89"/>
      <c r="AD153" s="94">
        <f t="shared" si="10"/>
        <v>0</v>
      </c>
      <c r="AE153" s="89" t="str">
        <f>Registro!AB153</f>
        <v>c) Ser un excelente profesional</v>
      </c>
      <c r="AF153" s="89" t="str">
        <f>Registro!AC153</f>
        <v>d) Mucho o muchísimo</v>
      </c>
      <c r="AG153" s="89" t="str">
        <f>Registro!AD153</f>
        <v>a) Los deportes y diversiones, b) El ambiente de estudio y de trabajo</v>
      </c>
      <c r="AH153" s="94">
        <f t="shared" si="12"/>
        <v>2</v>
      </c>
      <c r="AI153" s="89" t="str">
        <f>Registro!AE153</f>
        <v>f) 11 o más horas</v>
      </c>
      <c r="AJ153" s="89" t="str">
        <f>Registro!AF153</f>
        <v>b) Navego en Internet, l) Escucho música y/o veo videos musicales</v>
      </c>
      <c r="AK153" s="94">
        <f t="shared" si="13"/>
        <v>2</v>
      </c>
      <c r="AL153" s="89" t="str">
        <f>Registro!AG153</f>
        <v>a) Muy bueno</v>
      </c>
      <c r="AM153" s="89" t="str">
        <f>Registro!AH153</f>
        <v>a) Muy buena</v>
      </c>
      <c r="AN153" s="89" t="str">
        <f>Registro!AI153</f>
        <v>a) Muy buena</v>
      </c>
      <c r="AO153" s="89" t="str">
        <f>Registro!AJ153</f>
        <v>a) Muy buena</v>
      </c>
      <c r="AP153" s="89" t="str">
        <f>Registro!AK153</f>
        <v>a) Muy buena</v>
      </c>
      <c r="AQ153" s="89" t="str">
        <f>Registro!AL153</f>
        <v>a) Muy buena</v>
      </c>
      <c r="AR153" s="89" t="str">
        <f>Registro!AM153</f>
        <v>a) Muy buena</v>
      </c>
      <c r="AS153" s="89" t="str">
        <f>Registro!AN153</f>
        <v>a) Muy buena</v>
      </c>
      <c r="AT153" s="89" t="str">
        <f>Registro!AO153</f>
        <v>a) Muy buena</v>
      </c>
      <c r="AU153" s="89" t="str">
        <f>Registro!AP153</f>
        <v>a) Muy buena</v>
      </c>
      <c r="AV153" s="89" t="str">
        <f>Registro!AQ153</f>
        <v>b) Buena</v>
      </c>
      <c r="AW153" s="89" t="str">
        <f>Registro!AR153</f>
        <v>c) El estudio</v>
      </c>
      <c r="AX153" s="89" t="str">
        <f>Registro!AS153</f>
        <v>b) Darme una buena educación</v>
      </c>
      <c r="AY153" s="89" t="str">
        <f>Registro!AT153</f>
        <v>d) Bastante necesaria</v>
      </c>
      <c r="AZ153" s="89" t="str">
        <f>Registro!AU153</f>
        <v>a) No acostumbro a tomarlo nunca</v>
      </c>
      <c r="BA153" s="89" t="str">
        <f>Registro!AV153</f>
        <v>e) Educadores que se preocupan de nosotros</v>
      </c>
      <c r="BB153" s="89" t="str">
        <f>Registro!AW153</f>
        <v>d) Mucho o muchísimo</v>
      </c>
      <c r="BC153" s="89" t="str">
        <f>Registro!AX153</f>
        <v>e) Son personas que me gustan y admiro</v>
      </c>
      <c r="BD153" s="89" t="str">
        <f>Registro!AY153</f>
        <v>a) Mi padre, b) Mi madre, d) Un escolapio, religioso o religiosa, g) Un amigo, h) Una amiga</v>
      </c>
    </row>
    <row r="154" spans="1:56" ht="15" customHeight="1" x14ac:dyDescent="0.25">
      <c r="A154" s="101">
        <f>Registro!A154</f>
        <v>42158.267199074071</v>
      </c>
      <c r="B154" s="89" t="str">
        <f>Registro!B154</f>
        <v>c) Obra Social San José de Calasanz de Valencia</v>
      </c>
      <c r="C154" s="89" t="str">
        <f>Registro!C154</f>
        <v>a) Primer año</v>
      </c>
      <c r="D154" s="89" t="str">
        <f>Registro!D154</f>
        <v>b) Primaria</v>
      </c>
      <c r="E154" s="89" t="str">
        <f>Registro!E154</f>
        <v>b) Femenino</v>
      </c>
      <c r="F154" s="89" t="str">
        <f>Registro!F154</f>
        <v>a) Católica</v>
      </c>
      <c r="G154" s="89" t="str">
        <f>Registro!G154</f>
        <v>a) Mamá, b) Papá, c) Hermanos</v>
      </c>
      <c r="H154" s="89" t="str">
        <f>Registro!H154</f>
        <v>c) Apartamento</v>
      </c>
      <c r="I154" s="89" t="str">
        <f>Registro!I154</f>
        <v>a) Sí</v>
      </c>
      <c r="J154" s="89" t="str">
        <f>Registro!J154</f>
        <v>a) Cónsola videojuegos, b) Lavadora, c) Microondas, d) TV pantalla plana, g) MP4, h) Carro, i) Computadora, j) Cámara digital, k) Aire acondicionado</v>
      </c>
      <c r="K154" s="89" t="str">
        <f>Registro!K154</f>
        <v>d) Tres</v>
      </c>
      <c r="L154" s="89" t="str">
        <f>Registro!L154</f>
        <v>a) La familia, b) Los amigos, c) Los estudios</v>
      </c>
      <c r="M154" s="94">
        <f t="shared" si="14"/>
        <v>3</v>
      </c>
      <c r="N154" s="89" t="str">
        <f>Registro!M154</f>
        <v>f) La situación política del país</v>
      </c>
      <c r="O154" s="89" t="str">
        <f>Registro!N154</f>
        <v>a) Mucho</v>
      </c>
      <c r="P154" s="89" t="str">
        <f>Registro!O154</f>
        <v>c) Poco</v>
      </c>
      <c r="Q154" s="89" t="str">
        <f>Registro!P154</f>
        <v>a) Mucho</v>
      </c>
      <c r="R154" s="89" t="str">
        <f>Registro!Q154</f>
        <v>a) La familia, c) Los estudios, d) El cuidado de mi cuerpo</v>
      </c>
      <c r="S154" s="94">
        <f t="shared" si="11"/>
        <v>3</v>
      </c>
      <c r="T154" s="89" t="str">
        <f>Registro!R154</f>
        <v>a) Mucho</v>
      </c>
      <c r="U154" s="89" t="str">
        <f>Registro!S154</f>
        <v>a) La Iglesia, b) La naturaleza, g) Mi familia, k) La oración</v>
      </c>
      <c r="V154" s="89" t="str">
        <f>Registro!T154</f>
        <v>b) Rezo por costumbre</v>
      </c>
      <c r="W154" s="89" t="str">
        <f>Registro!U154</f>
        <v>c) Solo en fechas especiales</v>
      </c>
      <c r="X154" s="89" t="str">
        <f>Registro!V154</f>
        <v>a) Suelo llevar una cruz o algún objeto religioso, d) Suelo orar todos los días, f) En alguna ocasión he rezado el rosario, g) En ocasiones, en mi casa tenemos una oración familiar, i) Tengo en mi cuarto alguna imagen religiosa</v>
      </c>
      <c r="Y154" s="89" t="str">
        <f>Registro!W154</f>
        <v xml:space="preserve">b) Cultural (folklórico, musicales, danzas, scout, banda marcial,...) </v>
      </c>
      <c r="Z154" s="89" t="str">
        <f>Registro!X154</f>
        <v>b) Un lugar donde comparto con mis compañeros</v>
      </c>
      <c r="AA154" s="89" t="str">
        <f>Registro!Y154</f>
        <v>b) No</v>
      </c>
      <c r="AB154" s="89" t="str">
        <f>Registro!Z154</f>
        <v>b) No</v>
      </c>
      <c r="AC154" s="89"/>
      <c r="AD154" s="94">
        <f t="shared" si="10"/>
        <v>0</v>
      </c>
      <c r="AE154" s="89" t="str">
        <f>Registro!AB154</f>
        <v>c) Ser un excelente profesional</v>
      </c>
      <c r="AF154" s="89" t="str">
        <f>Registro!AC154</f>
        <v>c) Bastante</v>
      </c>
      <c r="AG154" s="89"/>
      <c r="AH154" s="94">
        <f t="shared" si="12"/>
        <v>0</v>
      </c>
      <c r="AI154" s="89" t="str">
        <f>Registro!AE154</f>
        <v>a) 0 a 2 horas</v>
      </c>
      <c r="AJ154" s="89"/>
      <c r="AK154" s="94">
        <f t="shared" si="13"/>
        <v>0</v>
      </c>
      <c r="AL154" s="89">
        <f>Registro!AG154</f>
        <v>0</v>
      </c>
      <c r="AM154" s="89" t="str">
        <f>Registro!AH154</f>
        <v>b) Buena</v>
      </c>
      <c r="AN154" s="89" t="str">
        <f>Registro!AI154</f>
        <v>b) Buena</v>
      </c>
      <c r="AO154" s="89" t="str">
        <f>Registro!AJ154</f>
        <v>b) Buena</v>
      </c>
      <c r="AP154" s="89" t="str">
        <f>Registro!AK154</f>
        <v>b) Buena</v>
      </c>
      <c r="AQ154" s="89" t="str">
        <f>Registro!AL154</f>
        <v>b) Buena</v>
      </c>
      <c r="AR154" s="89" t="str">
        <f>Registro!AM154</f>
        <v>b) Buena</v>
      </c>
      <c r="AS154" s="89" t="str">
        <f>Registro!AN154</f>
        <v>b) Buena</v>
      </c>
      <c r="AT154" s="89" t="str">
        <f>Registro!AO154</f>
        <v>b) Buena</v>
      </c>
      <c r="AU154" s="89" t="str">
        <f>Registro!AP154</f>
        <v>b) Buena</v>
      </c>
      <c r="AV154" s="89" t="str">
        <f>Registro!AQ154</f>
        <v>b) Buena</v>
      </c>
      <c r="AW154" s="89" t="str">
        <f>Registro!AR154</f>
        <v>h) La responsabilidad social y el servicio a los demás</v>
      </c>
      <c r="AX154" s="89" t="str">
        <f>Registro!AS154</f>
        <v>a) Que sea un buen profesional</v>
      </c>
      <c r="AY154" s="89" t="str">
        <f>Registro!AT154</f>
        <v>e) Absolutamente necesaria</v>
      </c>
      <c r="AZ154" s="89" t="str">
        <f>Registro!AU154</f>
        <v>a) No acostumbro a tomarlo nunca</v>
      </c>
      <c r="BA154" s="89" t="str">
        <f>Registro!AV154</f>
        <v>e) Educadores que se preocupan de nosotros</v>
      </c>
      <c r="BB154" s="89" t="str">
        <f>Registro!AW154</f>
        <v>c) Bastante</v>
      </c>
      <c r="BC154" s="89" t="str">
        <f>Registro!AX154</f>
        <v>e) Son personas que me gustan y admiro</v>
      </c>
      <c r="BD154" s="89" t="str">
        <f>Registro!AY154</f>
        <v>a) Mi padre, b) Mi madre, c) Un hermano/a, e) Un, una docente, f) La orientadora, h) Una amiga</v>
      </c>
    </row>
    <row r="155" spans="1:56" ht="15" customHeight="1" x14ac:dyDescent="0.25">
      <c r="A155" s="101">
        <f>Registro!A155</f>
        <v>42158.267511574071</v>
      </c>
      <c r="B155" s="89" t="str">
        <f>Registro!B155</f>
        <v>c) Obra Social San José de Calasanz de Valencia</v>
      </c>
      <c r="C155" s="89" t="str">
        <f>Registro!C155</f>
        <v>a) Primer año</v>
      </c>
      <c r="D155" s="89" t="str">
        <f>Registro!D155</f>
        <v>a) Educación Inicial</v>
      </c>
      <c r="E155" s="89" t="str">
        <f>Registro!E155</f>
        <v>a) Masculino</v>
      </c>
      <c r="F155" s="89" t="str">
        <f>Registro!F155</f>
        <v>a) Católica</v>
      </c>
      <c r="G155" s="89" t="str">
        <f>Registro!G155</f>
        <v>a) Mamá, b) Papá, c) Hermanos, d) Abuelos, e) Otros familiares</v>
      </c>
      <c r="H155" s="89" t="str">
        <f>Registro!H155</f>
        <v>b) Casa Urbana</v>
      </c>
      <c r="I155" s="89" t="str">
        <f>Registro!I155</f>
        <v>a) Sí</v>
      </c>
      <c r="J155" s="89" t="str">
        <f>Registro!J155</f>
        <v>b) Lavadora, c) Microondas, d) TV pantalla plana, f) MP3, i) Computadora, k) Aire acondicionado</v>
      </c>
      <c r="K155" s="89" t="str">
        <f>Registro!K155</f>
        <v>d) Tres</v>
      </c>
      <c r="L155" s="89"/>
      <c r="M155" s="94">
        <f t="shared" si="14"/>
        <v>0</v>
      </c>
      <c r="N155" s="89" t="str">
        <f>Registro!M155</f>
        <v>f) La situación política del país</v>
      </c>
      <c r="O155" s="89" t="str">
        <f>Registro!N155</f>
        <v>a) Mucho</v>
      </c>
      <c r="P155" s="89" t="str">
        <f>Registro!O155</f>
        <v>b) Suficiente</v>
      </c>
      <c r="Q155" s="89" t="str">
        <f>Registro!P155</f>
        <v>a) Mucho</v>
      </c>
      <c r="R155" s="89" t="str">
        <f>Registro!Q155</f>
        <v>b) Los amigos, c) Los estudios, e) Disponer de dinero</v>
      </c>
      <c r="S155" s="94">
        <f t="shared" si="11"/>
        <v>3</v>
      </c>
      <c r="T155" s="89" t="str">
        <f>Registro!R155</f>
        <v>a) Mucho</v>
      </c>
      <c r="U155" s="89" t="str">
        <f>Registro!S155</f>
        <v>a) La Iglesia, b) La naturaleza, d) Las convivencias, g) Mi familia, i) Los necesitados, j) Todas partes, k) La oración, l) Los sacramentos</v>
      </c>
      <c r="V155" s="89" t="str">
        <f>Registro!T155</f>
        <v>b) Rezo por costumbre</v>
      </c>
      <c r="W155" s="89" t="str">
        <f>Registro!U155</f>
        <v>c) Solo en fechas especiales</v>
      </c>
      <c r="X155" s="89" t="str">
        <f>Registro!V155</f>
        <v>c) Suelo ir los domingos y otras fechas especiales a la Iglesia, d) Suelo orar todos los días, f) En alguna ocasión he rezado el rosario, i) Tengo en mi cuarto alguna imagen religiosa</v>
      </c>
      <c r="Y155" s="89" t="str">
        <f>Registro!W155</f>
        <v>a) Deportivo, b) Cultural (folklórico, musicales, danzas, scout, banda marcial,...) , c) Religioso o parroquial</v>
      </c>
      <c r="Z155" s="89" t="str">
        <f>Registro!X155</f>
        <v>b) Un lugar donde comparto con mis compañeros</v>
      </c>
      <c r="AA155" s="89" t="str">
        <f>Registro!Y155</f>
        <v>a) Sí</v>
      </c>
      <c r="AB155" s="89" t="str">
        <f>Registro!Z155</f>
        <v>b) No</v>
      </c>
      <c r="AC155" s="89" t="str">
        <f>Registro!AA155</f>
        <v>a) Medicina, g) Artista</v>
      </c>
      <c r="AD155" s="94">
        <f t="shared" si="10"/>
        <v>2</v>
      </c>
      <c r="AE155" s="89" t="str">
        <f>Registro!AB155</f>
        <v>c) Ser un excelente profesional</v>
      </c>
      <c r="AF155" s="89" t="str">
        <f>Registro!AC155</f>
        <v>c) Bastante</v>
      </c>
      <c r="AG155" s="89" t="str">
        <f>Registro!AD155</f>
        <v>a) Los deportes y diversiones, h) Las actividades extraescolares</v>
      </c>
      <c r="AH155" s="94">
        <f t="shared" si="12"/>
        <v>2</v>
      </c>
      <c r="AI155" s="89" t="str">
        <f>Registro!AE155</f>
        <v>f) 11 o más horas</v>
      </c>
      <c r="AJ155" s="89" t="str">
        <f>Registro!AF155</f>
        <v>a) Me divierto con juegos para computadoras, k) Practico algún deporte, m) Veo televisión y/o películas</v>
      </c>
      <c r="AK155" s="94">
        <f t="shared" si="13"/>
        <v>3</v>
      </c>
      <c r="AL155" s="89" t="str">
        <f>Registro!AG155</f>
        <v>a) Muy bueno</v>
      </c>
      <c r="AM155" s="89" t="str">
        <f>Registro!AH155</f>
        <v>a) Muy buena</v>
      </c>
      <c r="AN155" s="89" t="str">
        <f>Registro!AI155</f>
        <v>b) Buena</v>
      </c>
      <c r="AO155" s="89" t="str">
        <f>Registro!AJ155</f>
        <v>a) Muy buena</v>
      </c>
      <c r="AP155" s="89" t="str">
        <f>Registro!AK155</f>
        <v>a) Muy buena</v>
      </c>
      <c r="AQ155" s="89" t="str">
        <f>Registro!AL155</f>
        <v>a) Muy buena</v>
      </c>
      <c r="AR155" s="89" t="str">
        <f>Registro!AM155</f>
        <v>a) Muy buena</v>
      </c>
      <c r="AS155" s="89" t="str">
        <f>Registro!AN155</f>
        <v>a) Muy buena</v>
      </c>
      <c r="AT155" s="89" t="str">
        <f>Registro!AO155</f>
        <v>a) Muy buena</v>
      </c>
      <c r="AU155" s="89" t="str">
        <f>Registro!AP155</f>
        <v>a) Muy buena</v>
      </c>
      <c r="AV155" s="89" t="str">
        <f>Registro!AQ155</f>
        <v>b) Buena</v>
      </c>
      <c r="AW155" s="89" t="str">
        <f>Registro!AR155</f>
        <v>c) El estudio</v>
      </c>
      <c r="AX155" s="89" t="str">
        <f>Registro!AS155</f>
        <v>a) Que sea un buen profesional</v>
      </c>
      <c r="AY155" s="89" t="str">
        <f>Registro!AT155</f>
        <v>e) Absolutamente necesaria</v>
      </c>
      <c r="AZ155" s="89" t="str">
        <f>Registro!AU155</f>
        <v>a) No acostumbro a tomarlo nunca</v>
      </c>
      <c r="BA155" s="89" t="str">
        <f>Registro!AV155</f>
        <v>f) Educadores que, además, me han abierto caminos</v>
      </c>
      <c r="BB155" s="89" t="str">
        <f>Registro!AW155</f>
        <v>d) Mucho o muchísimo</v>
      </c>
      <c r="BC155" s="89" t="str">
        <f>Registro!AX155</f>
        <v>e) Son personas que me gustan y admiro</v>
      </c>
      <c r="BD155" s="89" t="str">
        <f>Registro!AY155</f>
        <v>a) Mi padre, b) Mi madre, c) Un hermano/a, d) Un escolapio, religioso o religiosa, e) Un, una docente, f) La orientadora, i) Un, una catequista o responsable de grupo</v>
      </c>
    </row>
    <row r="156" spans="1:56" ht="15" customHeight="1" x14ac:dyDescent="0.25">
      <c r="A156" s="101">
        <f>Registro!A156</f>
        <v>42158.270567129628</v>
      </c>
      <c r="B156" s="89" t="str">
        <f>Registro!B156</f>
        <v>c) Obra Social San José de Calasanz de Valencia</v>
      </c>
      <c r="C156" s="89" t="str">
        <f>Registro!C156</f>
        <v>b) Tercer año</v>
      </c>
      <c r="D156" s="89" t="str">
        <f>Registro!D156</f>
        <v>a) Educación Inicial</v>
      </c>
      <c r="E156" s="89" t="str">
        <f>Registro!E156</f>
        <v>b) Femenino</v>
      </c>
      <c r="F156" s="89" t="str">
        <f>Registro!F156</f>
        <v>a) Católica</v>
      </c>
      <c r="G156" s="89" t="str">
        <f>Registro!G156</f>
        <v>a) Mamá, d) Abuelos</v>
      </c>
      <c r="H156" s="89" t="str">
        <f>Registro!H156</f>
        <v>b) Casa Urbana</v>
      </c>
      <c r="I156" s="89" t="str">
        <f>Registro!I156</f>
        <v>a) Sí</v>
      </c>
      <c r="J156" s="89" t="str">
        <f>Registro!J156</f>
        <v>b) Lavadora, d) TV pantalla plana, f) MP3, i) Computadora</v>
      </c>
      <c r="K156" s="89" t="str">
        <f>Registro!K156</f>
        <v>b) Una</v>
      </c>
      <c r="L156" s="89" t="str">
        <f>Registro!L156</f>
        <v>a) La familia, b) Los amigos, i) La música</v>
      </c>
      <c r="M156" s="94">
        <f t="shared" si="14"/>
        <v>3</v>
      </c>
      <c r="N156" s="89" t="str">
        <f>Registro!M156</f>
        <v>a) Seguridad personal (la violencia y la delincuencia)</v>
      </c>
      <c r="O156" s="89" t="str">
        <f>Registro!N156</f>
        <v>a) Mucho</v>
      </c>
      <c r="P156" s="89" t="str">
        <f>Registro!O156</f>
        <v>c) Poco</v>
      </c>
      <c r="Q156" s="89" t="str">
        <f>Registro!P156</f>
        <v>c) Poco</v>
      </c>
      <c r="R156" s="89" t="str">
        <f>Registro!Q156</f>
        <v>a) La familia, c) Los estudios, g) La felicidad</v>
      </c>
      <c r="S156" s="94">
        <f t="shared" si="11"/>
        <v>3</v>
      </c>
      <c r="T156" s="89" t="str">
        <f>Registro!R156</f>
        <v>a) Mucho</v>
      </c>
      <c r="U156" s="89" t="str">
        <f>Registro!S156</f>
        <v>a) La Iglesia, g) Mi familia</v>
      </c>
      <c r="V156" s="89" t="str">
        <f>Registro!T156</f>
        <v>b) Rezo por costumbre</v>
      </c>
      <c r="W156" s="89" t="str">
        <f>Registro!U156</f>
        <v>b) Algunos domingos</v>
      </c>
      <c r="X156" s="89" t="str">
        <f>Registro!V156</f>
        <v>i) Tengo en mi cuarto alguna imagen religiosa</v>
      </c>
      <c r="Y156" s="89" t="str">
        <f>Registro!W156</f>
        <v>d) No pertenezco a ninguno</v>
      </c>
      <c r="Z156" s="89" t="str">
        <f>Registro!X156</f>
        <v>b) Un lugar donde comparto con mis compañeros</v>
      </c>
      <c r="AA156" s="89" t="str">
        <f>Registro!Y156</f>
        <v>b) No</v>
      </c>
      <c r="AB156" s="89" t="str">
        <f>Registro!Z156</f>
        <v>b) No</v>
      </c>
      <c r="AC156" s="89" t="str">
        <f>Registro!AA156</f>
        <v>f) Ciencias policiales o artes militares</v>
      </c>
      <c r="AD156" s="94">
        <f t="shared" si="10"/>
        <v>1</v>
      </c>
      <c r="AE156" s="89" t="str">
        <f>Registro!AB156</f>
        <v>c) Ser un excelente profesional</v>
      </c>
      <c r="AF156" s="89" t="str">
        <f>Registro!AC156</f>
        <v>d) Mucho o muchísimo</v>
      </c>
      <c r="AG156" s="89" t="str">
        <f>Registro!AD156</f>
        <v>a) Los deportes y diversiones, b) El ambiente de estudio y de trabajo</v>
      </c>
      <c r="AH156" s="94">
        <f t="shared" si="12"/>
        <v>2</v>
      </c>
      <c r="AI156" s="89" t="str">
        <f>Registro!AE156</f>
        <v>a) 0 a 2 horas</v>
      </c>
      <c r="AJ156" s="89" t="str">
        <f>Registro!AF156</f>
        <v>b) Navego en Internet, l) Escucho música y/o veo videos musicales, n) Estoy conversando con los amigos/as</v>
      </c>
      <c r="AK156" s="94">
        <f t="shared" si="13"/>
        <v>3</v>
      </c>
      <c r="AL156" s="89" t="str">
        <f>Registro!AG156</f>
        <v>a) Muy bueno</v>
      </c>
      <c r="AM156" s="89" t="str">
        <f>Registro!AH156</f>
        <v>a) Muy buena</v>
      </c>
      <c r="AN156" s="89" t="str">
        <f>Registro!AI156</f>
        <v>a) Muy buena</v>
      </c>
      <c r="AO156" s="89" t="str">
        <f>Registro!AJ156</f>
        <v>b) Buena</v>
      </c>
      <c r="AP156" s="89" t="str">
        <f>Registro!AK156</f>
        <v>b) Buena</v>
      </c>
      <c r="AQ156" s="89" t="str">
        <f>Registro!AL156</f>
        <v>b) Buena</v>
      </c>
      <c r="AR156" s="89" t="str">
        <f>Registro!AM156</f>
        <v>a) Muy buena</v>
      </c>
      <c r="AS156" s="89" t="str">
        <f>Registro!AN156</f>
        <v>b) Buena</v>
      </c>
      <c r="AT156" s="89" t="str">
        <f>Registro!AO156</f>
        <v>a) Muy buena</v>
      </c>
      <c r="AU156" s="89" t="str">
        <f>Registro!AP156</f>
        <v>b) Buena</v>
      </c>
      <c r="AV156" s="89" t="str">
        <f>Registro!AQ156</f>
        <v>c) Regular</v>
      </c>
      <c r="AW156" s="89" t="str">
        <f>Registro!AR156</f>
        <v>e) La disciplina y el orden</v>
      </c>
      <c r="AX156" s="89" t="str">
        <f>Registro!AS156</f>
        <v>a) Que sea un buen profesional</v>
      </c>
      <c r="AY156" s="89" t="str">
        <f>Registro!AT156</f>
        <v>d) Bastante necesaria</v>
      </c>
      <c r="AZ156" s="89" t="str">
        <f>Registro!AU156</f>
        <v>b) Las veces que bebo, es con moderación</v>
      </c>
      <c r="BA156" s="89" t="str">
        <f>Registro!AV156</f>
        <v>e) Educadores que se preocupan de nosotros</v>
      </c>
      <c r="BB156" s="89" t="str">
        <f>Registro!AW156</f>
        <v>b) Poco</v>
      </c>
      <c r="BC156" s="89" t="str">
        <f>Registro!AX156</f>
        <v>c) Son personas normales y corrientes</v>
      </c>
      <c r="BD156" s="89" t="str">
        <f>Registro!AY156</f>
        <v>b) Mi madre</v>
      </c>
    </row>
    <row r="157" spans="1:56" ht="15" customHeight="1" x14ac:dyDescent="0.25">
      <c r="A157" s="101">
        <f>Registro!A157</f>
        <v>42158.270902777775</v>
      </c>
      <c r="B157" s="89" t="str">
        <f>Registro!B157</f>
        <v>c) Obra Social San José de Calasanz de Valencia</v>
      </c>
      <c r="C157" s="89" t="str">
        <f>Registro!C157</f>
        <v>a) Primer año</v>
      </c>
      <c r="D157" s="89" t="str">
        <f>Registro!D157</f>
        <v>a) Educación Inicial</v>
      </c>
      <c r="E157" s="89" t="str">
        <f>Registro!E157</f>
        <v>b) Femenino</v>
      </c>
      <c r="F157" s="89" t="str">
        <f>Registro!F157</f>
        <v>a) Católica</v>
      </c>
      <c r="G157" s="89" t="str">
        <f>Registro!G157</f>
        <v>a) Mamá, b) Papá, c) Hermanos, d) Abuelos, e) Otros familiares</v>
      </c>
      <c r="H157" s="89" t="str">
        <f>Registro!H157</f>
        <v>b) Casa Urbana</v>
      </c>
      <c r="I157" s="89" t="str">
        <f>Registro!I157</f>
        <v>c) Algo</v>
      </c>
      <c r="J157" s="89" t="str">
        <f>Registro!J157</f>
        <v>a) Cónsola videojuegos, b) Lavadora, c) Microondas, h) Carro, i) Computadora, k) Aire acondicionado</v>
      </c>
      <c r="K157" s="89" t="str">
        <f>Registro!K157</f>
        <v>f) Más de cuatro</v>
      </c>
      <c r="L157" s="89"/>
      <c r="M157" s="94">
        <f t="shared" si="14"/>
        <v>0</v>
      </c>
      <c r="N157" s="89" t="str">
        <f>Registro!M157</f>
        <v>a) Seguridad personal (la violencia y la delincuencia)</v>
      </c>
      <c r="O157" s="89" t="str">
        <f>Registro!N157</f>
        <v>b) Suficiente</v>
      </c>
      <c r="P157" s="89" t="str">
        <f>Registro!O157</f>
        <v>c) Poco</v>
      </c>
      <c r="Q157" s="89" t="str">
        <f>Registro!P157</f>
        <v>b) Suficiente</v>
      </c>
      <c r="R157" s="89" t="str">
        <f>Registro!Q157</f>
        <v>c) Los estudios, f) Mi fe y mi vida cristiana, g) La felicidad</v>
      </c>
      <c r="S157" s="94">
        <f t="shared" si="11"/>
        <v>3</v>
      </c>
      <c r="T157" s="89" t="str">
        <f>Registro!R157</f>
        <v>a) Mucho</v>
      </c>
      <c r="U157" s="89" t="str">
        <f>Registro!S157</f>
        <v>a) La Iglesia, b) La naturaleza, d) Las convivencias, e) Los amigos, h) Algunas personas cercanas a Dios, i) Los necesitados, k) La oración</v>
      </c>
      <c r="V157" s="89" t="str">
        <f>Registro!T157</f>
        <v>c) Rezo solo en situación de dificultad</v>
      </c>
      <c r="W157" s="89" t="str">
        <f>Registro!U157</f>
        <v>b) Algunos domingos</v>
      </c>
      <c r="X157" s="89" t="str">
        <f>Registro!V157</f>
        <v>a) Suelo llevar una cruz o algún objeto religioso, c) Suelo ir los domingos y otras fechas especiales a la Iglesia, e) Voy a misa en las fechas de mis familiares difuntos, f) En alguna ocasión he rezado el rosario, h) En Semana Santa asisto a las procesiones, i) Tengo en mi cuarto alguna imagen religiosa</v>
      </c>
      <c r="Y157" s="89" t="str">
        <f>Registro!W157</f>
        <v>c) Religioso o parroquial</v>
      </c>
      <c r="Z157" s="89" t="str">
        <f>Registro!X157</f>
        <v>c) Un lugar donde me lo paso bien</v>
      </c>
      <c r="AA157" s="89" t="str">
        <f>Registro!Y157</f>
        <v>b) No</v>
      </c>
      <c r="AB157" s="89" t="str">
        <f>Registro!Z157</f>
        <v>c) Algo</v>
      </c>
      <c r="AC157" s="89" t="str">
        <f>Registro!AA157</f>
        <v>a) Medicina, g) Artista</v>
      </c>
      <c r="AD157" s="94">
        <f t="shared" si="10"/>
        <v>2</v>
      </c>
      <c r="AE157" s="89" t="str">
        <f>Registro!AB157</f>
        <v>e) Servir a los demás</v>
      </c>
      <c r="AF157" s="89" t="str">
        <f>Registro!AC157</f>
        <v>c) Bastante</v>
      </c>
      <c r="AG157" s="89" t="str">
        <f>Registro!AD157</f>
        <v>a) Los deportes y diversiones, c) Las instalaciones del Colegio</v>
      </c>
      <c r="AH157" s="94">
        <f t="shared" si="12"/>
        <v>2</v>
      </c>
      <c r="AI157" s="89" t="str">
        <f>Registro!AE157</f>
        <v>b) 3 a 4 horas</v>
      </c>
      <c r="AJ157" s="89" t="str">
        <f>Registro!AF157</f>
        <v>b) Navego en Internet, l) Escucho música y/o veo videos musicales, m) Veo televisión y/o películas</v>
      </c>
      <c r="AK157" s="94">
        <f t="shared" si="13"/>
        <v>3</v>
      </c>
      <c r="AL157" s="89" t="str">
        <f>Registro!AG157</f>
        <v>a) Muy bueno</v>
      </c>
      <c r="AM157" s="89" t="str">
        <f>Registro!AH157</f>
        <v>b) Buena</v>
      </c>
      <c r="AN157" s="89" t="str">
        <f>Registro!AI157</f>
        <v>a) Muy buena</v>
      </c>
      <c r="AO157" s="89" t="str">
        <f>Registro!AJ157</f>
        <v>b) Buena</v>
      </c>
      <c r="AP157" s="89" t="str">
        <f>Registro!AK157</f>
        <v>a) Muy buena</v>
      </c>
      <c r="AQ157" s="89" t="str">
        <f>Registro!AL157</f>
        <v>a) Muy buena</v>
      </c>
      <c r="AR157" s="89" t="str">
        <f>Registro!AM157</f>
        <v>b) Buena</v>
      </c>
      <c r="AS157" s="89" t="str">
        <f>Registro!AN157</f>
        <v>a) Muy buena</v>
      </c>
      <c r="AT157" s="89" t="str">
        <f>Registro!AO157</f>
        <v>a) Muy buena</v>
      </c>
      <c r="AU157" s="89" t="str">
        <f>Registro!AP157</f>
        <v>b) Buena</v>
      </c>
      <c r="AV157" s="89" t="str">
        <f>Registro!AQ157</f>
        <v>b) Buena</v>
      </c>
      <c r="AW157" s="89" t="str">
        <f>Registro!AR157</f>
        <v>a) El compañerismo</v>
      </c>
      <c r="AX157" s="89" t="str">
        <f>Registro!AS157</f>
        <v>c) Que me preocupe de los demás</v>
      </c>
      <c r="AY157" s="89" t="str">
        <f>Registro!AT157</f>
        <v>d) Bastante necesaria</v>
      </c>
      <c r="AZ157" s="89" t="str">
        <f>Registro!AU157</f>
        <v>a) No acostumbro a tomarlo nunca</v>
      </c>
      <c r="BA157" s="89" t="str">
        <f>Registro!AV157</f>
        <v>e) Educadores que se preocupan de nosotros</v>
      </c>
      <c r="BB157" s="89" t="str">
        <f>Registro!AW157</f>
        <v>c) Bastante</v>
      </c>
      <c r="BC157" s="89" t="str">
        <f>Registro!AX157</f>
        <v>d) Hay de todo tipo, pero predomina lo positivo</v>
      </c>
      <c r="BD157" s="89" t="str">
        <f>Registro!AY157</f>
        <v>h) Una amiga</v>
      </c>
    </row>
    <row r="158" spans="1:56" ht="15" customHeight="1" x14ac:dyDescent="0.25">
      <c r="A158" s="101">
        <f>Registro!A158</f>
        <v>42158.270925925928</v>
      </c>
      <c r="B158" s="89" t="str">
        <f>Registro!B158</f>
        <v>c) Obra Social San José de Calasanz de Valencia</v>
      </c>
      <c r="C158" s="89" t="str">
        <f>Registro!C158</f>
        <v>a) Primer año</v>
      </c>
      <c r="D158" s="89" t="str">
        <f>Registro!D158</f>
        <v>a) Educación Inicial</v>
      </c>
      <c r="E158" s="89" t="str">
        <f>Registro!E158</f>
        <v>a) Masculino</v>
      </c>
      <c r="F158" s="89" t="str">
        <f>Registro!F158</f>
        <v>a) Católica</v>
      </c>
      <c r="G158" s="89" t="str">
        <f>Registro!G158</f>
        <v>a) Mamá, b) Papá, c) Hermanos</v>
      </c>
      <c r="H158" s="89" t="str">
        <f>Registro!H158</f>
        <v>b) Casa Urbana</v>
      </c>
      <c r="I158" s="89" t="str">
        <f>Registro!I158</f>
        <v>a) Sí</v>
      </c>
      <c r="J158" s="89" t="str">
        <f>Registro!J158</f>
        <v>a) Cónsola videojuegos, b) Lavadora, c) Microondas, d) TV pantalla plana, i) Computadora, k) Aire acondicionado</v>
      </c>
      <c r="K158" s="89" t="str">
        <f>Registro!K158</f>
        <v>c) Dos</v>
      </c>
      <c r="L158" s="89"/>
      <c r="M158" s="94">
        <f t="shared" si="14"/>
        <v>0</v>
      </c>
      <c r="N158" s="89" t="str">
        <f>Registro!M158</f>
        <v>b) El futuro</v>
      </c>
      <c r="O158" s="89" t="str">
        <f>Registro!N158</f>
        <v>c) Poco</v>
      </c>
      <c r="P158" s="89" t="str">
        <f>Registro!O158</f>
        <v>b) Suficiente</v>
      </c>
      <c r="Q158" s="89" t="str">
        <f>Registro!P158</f>
        <v>b) Suficiente</v>
      </c>
      <c r="R158" s="89"/>
      <c r="S158" s="94">
        <f t="shared" si="11"/>
        <v>0</v>
      </c>
      <c r="T158" s="89" t="str">
        <f>Registro!R158</f>
        <v>a) Mucho</v>
      </c>
      <c r="U158" s="89" t="str">
        <f>Registro!S158</f>
        <v>a) La Iglesia, b) La naturaleza, d) Las convivencias, h) Algunas personas cercanas a Dios, i) Los necesitados, l) Los sacramentos</v>
      </c>
      <c r="V158" s="89" t="str">
        <f>Registro!T158</f>
        <v>b) Rezo por costumbre</v>
      </c>
      <c r="W158" s="89" t="str">
        <f>Registro!U158</f>
        <v>c) Solo en fechas especiales</v>
      </c>
      <c r="X158" s="89" t="str">
        <f>Registro!V158</f>
        <v>d) Suelo orar todos los días, i) Tengo en mi cuarto alguna imagen religiosa</v>
      </c>
      <c r="Y158" s="89" t="str">
        <f>Registro!W158</f>
        <v>d) No pertenezco a ninguno</v>
      </c>
      <c r="Z158" s="89" t="str">
        <f>Registro!X158</f>
        <v>d) No pertenezco a grupos juveniles cristianos</v>
      </c>
      <c r="AA158" s="89" t="str">
        <f>Registro!Y158</f>
        <v>b) No</v>
      </c>
      <c r="AB158" s="89" t="str">
        <f>Registro!Z158</f>
        <v>b) No</v>
      </c>
      <c r="AC158" s="89"/>
      <c r="AD158" s="94">
        <f t="shared" si="10"/>
        <v>0</v>
      </c>
      <c r="AE158" s="89" t="str">
        <f>Registro!AB158</f>
        <v>c) Ser un excelente profesional</v>
      </c>
      <c r="AF158" s="89" t="str">
        <f>Registro!AC158</f>
        <v>e) No sé</v>
      </c>
      <c r="AG158" s="89" t="str">
        <f>Registro!AD158</f>
        <v>a) Los deportes y diversiones, b) El ambiente de estudio y de trabajo</v>
      </c>
      <c r="AH158" s="94">
        <f t="shared" si="12"/>
        <v>2</v>
      </c>
      <c r="AI158" s="89" t="str">
        <f>Registro!AE158</f>
        <v>a) 0 a 2 horas</v>
      </c>
      <c r="AJ158" s="89"/>
      <c r="AK158" s="94">
        <f t="shared" si="13"/>
        <v>0</v>
      </c>
      <c r="AL158" s="89" t="str">
        <f>Registro!AG158</f>
        <v>a) Muy bueno</v>
      </c>
      <c r="AM158" s="89" t="str">
        <f>Registro!AH158</f>
        <v>b) Buena</v>
      </c>
      <c r="AN158" s="89" t="str">
        <f>Registro!AI158</f>
        <v>c) Regular</v>
      </c>
      <c r="AO158" s="89" t="str">
        <f>Registro!AJ158</f>
        <v>a) Muy buena</v>
      </c>
      <c r="AP158" s="89" t="str">
        <f>Registro!AK158</f>
        <v>b) Buena</v>
      </c>
      <c r="AQ158" s="89" t="str">
        <f>Registro!AL158</f>
        <v>b) Buena</v>
      </c>
      <c r="AR158" s="89" t="str">
        <f>Registro!AM158</f>
        <v>b) Buena</v>
      </c>
      <c r="AS158" s="89" t="str">
        <f>Registro!AN158</f>
        <v>a) Muy buena</v>
      </c>
      <c r="AT158" s="89" t="str">
        <f>Registro!AO158</f>
        <v>b) Buena</v>
      </c>
      <c r="AU158" s="89" t="str">
        <f>Registro!AP158</f>
        <v>b) Buena</v>
      </c>
      <c r="AV158" s="89" t="str">
        <f>Registro!AQ158</f>
        <v>a) Muy buena</v>
      </c>
      <c r="AW158" s="89" t="str">
        <f>Registro!AR158</f>
        <v>a) El compañerismo</v>
      </c>
      <c r="AX158" s="89" t="str">
        <f>Registro!AS158</f>
        <v>b) Darme una buena educación</v>
      </c>
      <c r="AY158" s="89" t="str">
        <f>Registro!AT158</f>
        <v>e) Absolutamente necesaria</v>
      </c>
      <c r="AZ158" s="89" t="str">
        <f>Registro!AU158</f>
        <v>a) No acostumbro a tomarlo nunca</v>
      </c>
      <c r="BA158" s="89" t="str">
        <f>Registro!AV158</f>
        <v>c) Profesionales que hacen lo que pueden</v>
      </c>
      <c r="BB158" s="89" t="str">
        <f>Registro!AW158</f>
        <v>b) Poco</v>
      </c>
      <c r="BC158" s="89" t="str">
        <f>Registro!AX158</f>
        <v>c) Son personas normales y corrientes</v>
      </c>
      <c r="BD158" s="89" t="str">
        <f>Registro!AY158</f>
        <v>a) Mi padre, b) Mi madre, c) Un hermano/a, g) Un amigo</v>
      </c>
    </row>
    <row r="159" spans="1:56" ht="15" customHeight="1" x14ac:dyDescent="0.25">
      <c r="A159" s="101">
        <f>Registro!A159</f>
        <v>42158.277488425927</v>
      </c>
      <c r="B159" s="89" t="str">
        <f>Registro!B159</f>
        <v>c) Obra Social San José de Calasanz de Valencia</v>
      </c>
      <c r="C159" s="89" t="str">
        <f>Registro!C159</f>
        <v>a) Primer año</v>
      </c>
      <c r="D159" s="89" t="str">
        <f>Registro!D159</f>
        <v>a) Educación Inicial</v>
      </c>
      <c r="E159" s="89" t="str">
        <f>Registro!E159</f>
        <v>b) Femenino</v>
      </c>
      <c r="F159" s="89" t="str">
        <f>Registro!F159</f>
        <v>a) Católica</v>
      </c>
      <c r="G159" s="89" t="str">
        <f>Registro!G159</f>
        <v>a) Mamá, b) Papá, c) Hermanos</v>
      </c>
      <c r="H159" s="89" t="str">
        <f>Registro!H159</f>
        <v>b) Casa Urbana</v>
      </c>
      <c r="I159" s="89" t="str">
        <f>Registro!I159</f>
        <v>a) Sí</v>
      </c>
      <c r="J159" s="89" t="str">
        <f>Registro!J159</f>
        <v>b) Lavadora, c) Microondas, i) Computadora, k) Aire acondicionado</v>
      </c>
      <c r="K159" s="89" t="str">
        <f>Registro!K159</f>
        <v>b) Una</v>
      </c>
      <c r="L159" s="89" t="str">
        <f>Registro!L159</f>
        <v>a) La familia, c) Los estudios, d) El cuidado de mi cuerpo</v>
      </c>
      <c r="M159" s="94">
        <f t="shared" si="14"/>
        <v>3</v>
      </c>
      <c r="N159" s="89" t="str">
        <f>Registro!M159</f>
        <v>a) Seguridad personal (la violencia y la delincuencia)</v>
      </c>
      <c r="O159" s="89" t="str">
        <f>Registro!N159</f>
        <v>b) Suficiente</v>
      </c>
      <c r="P159" s="89" t="str">
        <f>Registro!O159</f>
        <v>c) Poco</v>
      </c>
      <c r="Q159" s="89" t="str">
        <f>Registro!P159</f>
        <v>c) Poco</v>
      </c>
      <c r="R159" s="89" t="str">
        <f>Registro!Q159</f>
        <v>a) La familia, c) Los estudios, e) Disponer de dinero</v>
      </c>
      <c r="S159" s="94">
        <f t="shared" si="11"/>
        <v>3</v>
      </c>
      <c r="T159" s="89" t="str">
        <f>Registro!R159</f>
        <v>a) Mucho</v>
      </c>
      <c r="U159" s="89" t="str">
        <f>Registro!S159</f>
        <v>a) La Iglesia, i) Los necesitados, j) Todas partes, k) La oración, l) Los sacramentos</v>
      </c>
      <c r="V159" s="89" t="str">
        <f>Registro!T159</f>
        <v>b) Rezo por costumbre</v>
      </c>
      <c r="W159" s="89" t="str">
        <f>Registro!U159</f>
        <v>c) Solo en fechas especiales</v>
      </c>
      <c r="X159" s="89" t="str">
        <f>Registro!V159</f>
        <v>f) En alguna ocasión he rezado el rosario, h) En Semana Santa asisto a las procesiones</v>
      </c>
      <c r="Y159" s="89" t="str">
        <f>Registro!W159</f>
        <v>c) Religioso o parroquial</v>
      </c>
      <c r="Z159" s="89" t="str">
        <f>Registro!X159</f>
        <v>a) Un grupo donde profundizo mi fe</v>
      </c>
      <c r="AA159" s="89" t="str">
        <f>Registro!Y159</f>
        <v>b) No</v>
      </c>
      <c r="AB159" s="89" t="str">
        <f>Registro!Z159</f>
        <v>b) No</v>
      </c>
      <c r="AC159" s="89" t="str">
        <f>Registro!AA159</f>
        <v>a) Medicina, b) Docencia</v>
      </c>
      <c r="AD159" s="94">
        <f t="shared" si="10"/>
        <v>2</v>
      </c>
      <c r="AE159" s="89" t="str">
        <f>Registro!AB159</f>
        <v>e) Servir a los demás</v>
      </c>
      <c r="AF159" s="89" t="str">
        <f>Registro!AC159</f>
        <v>c) Bastante</v>
      </c>
      <c r="AG159" s="89" t="str">
        <f>Registro!AD159</f>
        <v>f) La igualdad de trato que se da a todos, g) La relación con los docentes</v>
      </c>
      <c r="AH159" s="94">
        <f t="shared" si="12"/>
        <v>2</v>
      </c>
      <c r="AI159" s="89" t="str">
        <f>Registro!AE159</f>
        <v>c) 5 a 6 horas</v>
      </c>
      <c r="AJ159" s="89" t="str">
        <f>Registro!AF159</f>
        <v>a) Me divierto con juegos para computadoras, e) Suelo ir a algún parque, m) Veo televisión y/o películas</v>
      </c>
      <c r="AK159" s="94">
        <f t="shared" si="13"/>
        <v>3</v>
      </c>
      <c r="AL159" s="89" t="str">
        <f>Registro!AG159</f>
        <v>a) Muy bueno</v>
      </c>
      <c r="AM159" s="89" t="str">
        <f>Registro!AH159</f>
        <v>a) Muy buena</v>
      </c>
      <c r="AN159" s="89" t="str">
        <f>Registro!AI159</f>
        <v>b) Buena</v>
      </c>
      <c r="AO159" s="89" t="str">
        <f>Registro!AJ159</f>
        <v>a) Muy buena</v>
      </c>
      <c r="AP159" s="89" t="str">
        <f>Registro!AK159</f>
        <v>b) Buena</v>
      </c>
      <c r="AQ159" s="89" t="str">
        <f>Registro!AL159</f>
        <v>a) Muy buena</v>
      </c>
      <c r="AR159" s="89" t="str">
        <f>Registro!AM159</f>
        <v>b) Buena</v>
      </c>
      <c r="AS159" s="89" t="str">
        <f>Registro!AN159</f>
        <v>a) Muy buena</v>
      </c>
      <c r="AT159" s="89" t="str">
        <f>Registro!AO159</f>
        <v>a) Muy buena</v>
      </c>
      <c r="AU159" s="89" t="str">
        <f>Registro!AP159</f>
        <v>a) Muy buena</v>
      </c>
      <c r="AV159" s="89" t="str">
        <f>Registro!AQ159</f>
        <v>b) Buena</v>
      </c>
      <c r="AW159" s="89" t="str">
        <f>Registro!AR159</f>
        <v>h) La responsabilidad social y el servicio a los demás</v>
      </c>
      <c r="AX159" s="89" t="str">
        <f>Registro!AS159</f>
        <v>b) Darme una buena educación</v>
      </c>
      <c r="AY159" s="89" t="str">
        <f>Registro!AT159</f>
        <v>d) Bastante necesaria</v>
      </c>
      <c r="AZ159" s="89" t="str">
        <f>Registro!AU159</f>
        <v>a) No acostumbro a tomarlo nunca</v>
      </c>
      <c r="BA159" s="89" t="str">
        <f>Registro!AV159</f>
        <v>e) Educadores que se preocupan de nosotros</v>
      </c>
      <c r="BB159" s="89" t="str">
        <f>Registro!AW159</f>
        <v>c) Bastante</v>
      </c>
      <c r="BC159" s="89" t="str">
        <f>Registro!AX159</f>
        <v>c) Son personas normales y corrientes</v>
      </c>
      <c r="BD159" s="89" t="str">
        <f>Registro!AY159</f>
        <v>a) Mi padre, b) Mi madre, c) Un hermano/a, h) Una amiga</v>
      </c>
    </row>
    <row r="160" spans="1:56" ht="15" customHeight="1" x14ac:dyDescent="0.25">
      <c r="A160" s="101">
        <f>Registro!A160</f>
        <v>42158.278414351851</v>
      </c>
      <c r="B160" s="89" t="str">
        <f>Registro!B160</f>
        <v>c) Obra Social San José de Calasanz de Valencia</v>
      </c>
      <c r="C160" s="89" t="str">
        <f>Registro!C160</f>
        <v>a) Primer año</v>
      </c>
      <c r="D160" s="89" t="str">
        <f>Registro!D160</f>
        <v>b) Primaria</v>
      </c>
      <c r="E160" s="89" t="str">
        <f>Registro!E160</f>
        <v>a) Masculino</v>
      </c>
      <c r="F160" s="89" t="str">
        <f>Registro!F160</f>
        <v>a) Católica</v>
      </c>
      <c r="G160" s="89" t="str">
        <f>Registro!G160</f>
        <v>a) Mamá, b) Papá, c) Hermanos</v>
      </c>
      <c r="H160" s="89" t="str">
        <f>Registro!H160</f>
        <v>b) Casa Urbana</v>
      </c>
      <c r="I160" s="89" t="str">
        <f>Registro!I160</f>
        <v>a) Sí</v>
      </c>
      <c r="J160" s="89" t="str">
        <f>Registro!J160</f>
        <v>a) Cónsola videojuegos, b) Lavadora, c) Microondas, d) TV pantalla plana, e) Moto, f) MP3, h) Carro, i) Computadora, j) Cámara digital, k) Aire acondicionado</v>
      </c>
      <c r="K160" s="89" t="str">
        <f>Registro!K160</f>
        <v>c) Dos</v>
      </c>
      <c r="L160" s="89"/>
      <c r="M160" s="94">
        <f t="shared" si="14"/>
        <v>0</v>
      </c>
      <c r="N160" s="89" t="str">
        <f>Registro!M160</f>
        <v>d) Los problemas familiares</v>
      </c>
      <c r="O160" s="89" t="str">
        <f>Registro!N160</f>
        <v>c) Poco</v>
      </c>
      <c r="P160" s="89" t="str">
        <f>Registro!O160</f>
        <v>c) Poco</v>
      </c>
      <c r="Q160" s="89" t="str">
        <f>Registro!P160</f>
        <v>c) Poco</v>
      </c>
      <c r="R160" s="89"/>
      <c r="S160" s="94">
        <f t="shared" si="11"/>
        <v>0</v>
      </c>
      <c r="T160" s="89" t="str">
        <f>Registro!R160</f>
        <v>b) Suficiente</v>
      </c>
      <c r="U160" s="89" t="str">
        <f>Registro!S160</f>
        <v>g) Mi familia</v>
      </c>
      <c r="V160" s="89" t="str">
        <f>Registro!T160</f>
        <v>a) Suelo rezar por convicción o porque me gusta</v>
      </c>
      <c r="W160" s="89" t="str">
        <f>Registro!U160</f>
        <v>c) Solo en fechas especiales</v>
      </c>
      <c r="X160" s="89" t="str">
        <f>Registro!V160</f>
        <v>c) Suelo ir los domingos y otras fechas especiales a la Iglesia</v>
      </c>
      <c r="Y160" s="89" t="str">
        <f>Registro!W160</f>
        <v>a) Deportivo</v>
      </c>
      <c r="Z160" s="89" t="str">
        <f>Registro!X160</f>
        <v>c) Un lugar donde me lo paso bien</v>
      </c>
      <c r="AA160" s="89" t="str">
        <f>Registro!Y160</f>
        <v>b) No</v>
      </c>
      <c r="AB160" s="89" t="str">
        <f>Registro!Z160</f>
        <v>b) No</v>
      </c>
      <c r="AC160" s="89"/>
      <c r="AD160" s="94">
        <f t="shared" si="10"/>
        <v>0</v>
      </c>
      <c r="AE160" s="89" t="str">
        <f>Registro!AB160</f>
        <v>b) Tener una buena posición social, ser importante</v>
      </c>
      <c r="AF160" s="89" t="str">
        <f>Registro!AC160</f>
        <v>d) Mucho o muchísimo</v>
      </c>
      <c r="AG160" s="89" t="str">
        <f>Registro!AD160</f>
        <v>a) Los deportes y diversiones, c) Las instalaciones del Colegio</v>
      </c>
      <c r="AH160" s="94">
        <f t="shared" si="12"/>
        <v>2</v>
      </c>
      <c r="AI160" s="89" t="str">
        <f>Registro!AE160</f>
        <v>d) 7 a 8 horas</v>
      </c>
      <c r="AJ160" s="89" t="str">
        <f>Registro!AF160</f>
        <v>k) Practico algún deporte, m) Veo televisión y/o películas, n) Estoy conversando con los amigos/as</v>
      </c>
      <c r="AK160" s="94">
        <f t="shared" si="13"/>
        <v>3</v>
      </c>
      <c r="AL160" s="89" t="str">
        <f>Registro!AG160</f>
        <v>a) Muy bueno</v>
      </c>
      <c r="AM160" s="89" t="str">
        <f>Registro!AH160</f>
        <v>a) Muy buena</v>
      </c>
      <c r="AN160" s="89" t="str">
        <f>Registro!AI160</f>
        <v>b) Buena</v>
      </c>
      <c r="AO160" s="89" t="str">
        <f>Registro!AJ160</f>
        <v>b) Buena</v>
      </c>
      <c r="AP160" s="89" t="str">
        <f>Registro!AK160</f>
        <v>a) Muy buena</v>
      </c>
      <c r="AQ160" s="89" t="str">
        <f>Registro!AL160</f>
        <v>a) Muy buena</v>
      </c>
      <c r="AR160" s="89" t="str">
        <f>Registro!AM160</f>
        <v>a) Muy buena</v>
      </c>
      <c r="AS160" s="89" t="str">
        <f>Registro!AN160</f>
        <v>b) Buena</v>
      </c>
      <c r="AT160" s="89" t="str">
        <f>Registro!AO160</f>
        <v>a) Muy buena</v>
      </c>
      <c r="AU160" s="89" t="str">
        <f>Registro!AP160</f>
        <v>b) Buena</v>
      </c>
      <c r="AV160" s="89" t="str">
        <f>Registro!AQ160</f>
        <v>a) Muy buena</v>
      </c>
      <c r="AW160" s="89" t="str">
        <f>Registro!AR160</f>
        <v>c) El estudio</v>
      </c>
      <c r="AX160" s="89" t="str">
        <f>Registro!AS160</f>
        <v>a) Que sea un buen profesional</v>
      </c>
      <c r="AY160" s="89" t="str">
        <f>Registro!AT160</f>
        <v>d) Bastante necesaria</v>
      </c>
      <c r="AZ160" s="89" t="str">
        <f>Registro!AU160</f>
        <v>b) Las veces que bebo, es con moderación</v>
      </c>
      <c r="BA160" s="89" t="str">
        <f>Registro!AV160</f>
        <v>d) Buenos profesionales de la educación</v>
      </c>
      <c r="BB160" s="89" t="str">
        <f>Registro!AW160</f>
        <v>d) Mucho o muchísimo</v>
      </c>
      <c r="BC160" s="89" t="str">
        <f>Registro!AX160</f>
        <v>e) Son personas que me gustan y admiro</v>
      </c>
      <c r="BD160" s="89" t="str">
        <f>Registro!AY160</f>
        <v>a) Mi padre, b) Mi madre, c) Un hermano/a, g) Un amigo, h) Una amiga</v>
      </c>
    </row>
    <row r="161" spans="1:56" ht="15" customHeight="1" x14ac:dyDescent="0.25">
      <c r="A161" s="101">
        <f>Registro!A161</f>
        <v>42158.279467592591</v>
      </c>
      <c r="B161" s="89" t="str">
        <f>Registro!B161</f>
        <v>c) Obra Social San José de Calasanz de Valencia</v>
      </c>
      <c r="C161" s="89" t="str">
        <f>Registro!C161</f>
        <v>a) Primer año</v>
      </c>
      <c r="D161" s="89" t="str">
        <f>Registro!D161</f>
        <v>a) Educación Inicial</v>
      </c>
      <c r="E161" s="89" t="str">
        <f>Registro!E161</f>
        <v>b) Femenino</v>
      </c>
      <c r="F161" s="89" t="str">
        <f>Registro!F161</f>
        <v>a) Católica</v>
      </c>
      <c r="G161" s="89" t="str">
        <f>Registro!G161</f>
        <v>a) Mamá, b) Papá, c) Hermanos, d) Abuelos, e) Otros familiares</v>
      </c>
      <c r="H161" s="89" t="str">
        <f>Registro!H161</f>
        <v>b) Casa Urbana</v>
      </c>
      <c r="I161" s="89" t="str">
        <f>Registro!I161</f>
        <v>c) Algo</v>
      </c>
      <c r="J161" s="89" t="str">
        <f>Registro!J161</f>
        <v>b) Lavadora, c) Microondas, f) MP3, i) Computadora, k) Aire acondicionado</v>
      </c>
      <c r="K161" s="89" t="str">
        <f>Registro!K161</f>
        <v>f) Más de cuatro</v>
      </c>
      <c r="L161" s="89" t="str">
        <f>Registro!L161</f>
        <v>a) La familia, b) Los amigos, c) Los estudios</v>
      </c>
      <c r="M161" s="94">
        <f t="shared" si="14"/>
        <v>3</v>
      </c>
      <c r="N161" s="89" t="str">
        <f>Registro!M161</f>
        <v>e) La situación económica</v>
      </c>
      <c r="O161" s="89" t="str">
        <f>Registro!N161</f>
        <v>c) Poco</v>
      </c>
      <c r="P161" s="89" t="str">
        <f>Registro!O161</f>
        <v>a) Mucho</v>
      </c>
      <c r="Q161" s="89" t="str">
        <f>Registro!P161</f>
        <v>c) Poco</v>
      </c>
      <c r="R161" s="89"/>
      <c r="S161" s="94">
        <f t="shared" si="11"/>
        <v>0</v>
      </c>
      <c r="T161" s="89" t="str">
        <f>Registro!R161</f>
        <v>a) Mucho</v>
      </c>
      <c r="U161" s="89" t="str">
        <f>Registro!S161</f>
        <v>a) La Iglesia, d) Las convivencias, g) Mi familia, i) Los necesitados, k) La oración, l) Los sacramentos</v>
      </c>
      <c r="V161" s="89" t="str">
        <f>Registro!T161</f>
        <v>c) Rezo solo en situación de dificultad</v>
      </c>
      <c r="W161" s="89" t="str">
        <f>Registro!U161</f>
        <v>c) Solo en fechas especiales</v>
      </c>
      <c r="X161" s="89" t="str">
        <f>Registro!V161</f>
        <v>b) Suelo bendedir los alimentos antes de comer, c) Suelo ir los domingos y otras fechas especiales a la Iglesia, h) En Semana Santa asisto a las procesiones, i) Tengo en mi cuarto alguna imagen religiosa</v>
      </c>
      <c r="Y161" s="89" t="str">
        <f>Registro!W161</f>
        <v>a) Deportivo</v>
      </c>
      <c r="Z161" s="89" t="str">
        <f>Registro!X161</f>
        <v>b) Un lugar donde comparto con mis compañeros</v>
      </c>
      <c r="AA161" s="89" t="str">
        <f>Registro!Y161</f>
        <v>b) No</v>
      </c>
      <c r="AB161" s="89" t="str">
        <f>Registro!Z161</f>
        <v>b) No</v>
      </c>
      <c r="AC161" s="89" t="str">
        <f>Registro!AA161</f>
        <v>a) Medicina, e) Derecho</v>
      </c>
      <c r="AD161" s="94">
        <f t="shared" si="10"/>
        <v>2</v>
      </c>
      <c r="AE161" s="89" t="str">
        <f>Registro!AB161</f>
        <v>c) Ser un excelente profesional</v>
      </c>
      <c r="AF161" s="89" t="str">
        <f>Registro!AC161</f>
        <v>c) Bastante</v>
      </c>
      <c r="AG161" s="89" t="str">
        <f>Registro!AD161</f>
        <v>b) El ambiente de estudio y de trabajo, g) La relación con los docentes</v>
      </c>
      <c r="AH161" s="94">
        <f t="shared" si="12"/>
        <v>2</v>
      </c>
      <c r="AI161" s="89" t="str">
        <f>Registro!AE161</f>
        <v>c) 5 a 6 horas</v>
      </c>
      <c r="AJ161" s="89"/>
      <c r="AK161" s="94">
        <f t="shared" si="13"/>
        <v>0</v>
      </c>
      <c r="AL161" s="89" t="str">
        <f>Registro!AG161</f>
        <v>b) Bueno</v>
      </c>
      <c r="AM161" s="89" t="str">
        <f>Registro!AH161</f>
        <v>b) Buena</v>
      </c>
      <c r="AN161" s="89" t="str">
        <f>Registro!AI161</f>
        <v>b) Buena</v>
      </c>
      <c r="AO161" s="89" t="str">
        <f>Registro!AJ161</f>
        <v>b) Buena</v>
      </c>
      <c r="AP161" s="89" t="str">
        <f>Registro!AK161</f>
        <v>a) Muy buena</v>
      </c>
      <c r="AQ161" s="89" t="str">
        <f>Registro!AL161</f>
        <v>a) Muy buena</v>
      </c>
      <c r="AR161" s="89" t="str">
        <f>Registro!AM161</f>
        <v>b) Buena</v>
      </c>
      <c r="AS161" s="89" t="str">
        <f>Registro!AN161</f>
        <v>d) Mala</v>
      </c>
      <c r="AT161" s="89" t="str">
        <f>Registro!AO161</f>
        <v>b) Buena</v>
      </c>
      <c r="AU161" s="89" t="str">
        <f>Registro!AP161</f>
        <v>b) Buena</v>
      </c>
      <c r="AV161" s="89" t="str">
        <f>Registro!AQ161</f>
        <v>b) Buena</v>
      </c>
      <c r="AW161" s="89" t="str">
        <f>Registro!AR161</f>
        <v>g) La orientación profesional futura</v>
      </c>
      <c r="AX161" s="89" t="str">
        <f>Registro!AS161</f>
        <v>a) Que sea un buen profesional</v>
      </c>
      <c r="AY161" s="89" t="str">
        <f>Registro!AT161</f>
        <v>d) Bastante necesaria</v>
      </c>
      <c r="AZ161" s="89" t="str">
        <f>Registro!AU161</f>
        <v>a) No acostumbro a tomarlo nunca</v>
      </c>
      <c r="BA161" s="89" t="str">
        <f>Registro!AV161</f>
        <v>d) Buenos profesionales de la educación</v>
      </c>
      <c r="BB161" s="89" t="str">
        <f>Registro!AW161</f>
        <v>d) Mucho o muchísimo</v>
      </c>
      <c r="BC161" s="89" t="str">
        <f>Registro!AX161</f>
        <v>e) Son personas que me gustan y admiro</v>
      </c>
      <c r="BD161" s="89" t="str">
        <f>Registro!AY161</f>
        <v>a) Mi padre, b) Mi madre, c) Un hermano/a, h) Una amiga</v>
      </c>
    </row>
    <row r="162" spans="1:56" ht="15" customHeight="1" x14ac:dyDescent="0.25">
      <c r="A162" s="101">
        <f>Registro!A162</f>
        <v>42158.280034722222</v>
      </c>
      <c r="B162" s="89" t="str">
        <f>Registro!B162</f>
        <v>c) Obra Social San José de Calasanz de Valencia</v>
      </c>
      <c r="C162" s="89" t="str">
        <f>Registro!C162</f>
        <v>a) Primer año</v>
      </c>
      <c r="D162" s="89" t="str">
        <f>Registro!D162</f>
        <v>a) Educación Inicial</v>
      </c>
      <c r="E162" s="89" t="str">
        <f>Registro!E162</f>
        <v>a) Masculino</v>
      </c>
      <c r="F162" s="89" t="str">
        <f>Registro!F162</f>
        <v>b) Evangélica</v>
      </c>
      <c r="G162" s="89" t="str">
        <f>Registro!G162</f>
        <v>a) Mamá, b) Papá, c) Hermanos, e) Otros familiares</v>
      </c>
      <c r="H162" s="89" t="str">
        <f>Registro!H162</f>
        <v>b) Casa Urbana</v>
      </c>
      <c r="I162" s="89" t="str">
        <f>Registro!I162</f>
        <v>a) Sí</v>
      </c>
      <c r="J162" s="89" t="str">
        <f>Registro!J162</f>
        <v>a) Cónsola videojuegos, c) Microondas, d) TV pantalla plana, e) Moto, f) MP3, i) Computadora, k) Aire acondicionado</v>
      </c>
      <c r="K162" s="89" t="str">
        <f>Registro!K162</f>
        <v>c) Dos</v>
      </c>
      <c r="L162" s="89" t="str">
        <f>Registro!L162</f>
        <v>a) La familia, c) Los estudios, f) Mi fe y vida cristiana</v>
      </c>
      <c r="M162" s="94">
        <f t="shared" si="14"/>
        <v>3</v>
      </c>
      <c r="N162" s="89" t="str">
        <f>Registro!M162</f>
        <v>g) Mis estudios</v>
      </c>
      <c r="O162" s="89" t="str">
        <f>Registro!N162</f>
        <v>a) Mucho</v>
      </c>
      <c r="P162" s="89" t="str">
        <f>Registro!O162</f>
        <v>b) Suficiente</v>
      </c>
      <c r="Q162" s="89" t="str">
        <f>Registro!P162</f>
        <v>a) Mucho</v>
      </c>
      <c r="R162" s="89" t="str">
        <f>Registro!Q162</f>
        <v>c) Los estudios, f) Mi fe y mi vida cristiana, k) Internet</v>
      </c>
      <c r="S162" s="94">
        <f t="shared" si="11"/>
        <v>3</v>
      </c>
      <c r="T162" s="89" t="str">
        <f>Registro!R162</f>
        <v>a) Mucho</v>
      </c>
      <c r="U162" s="89" t="str">
        <f>Registro!S162</f>
        <v>a) La Iglesia, g) Mi familia, j) Todas partes, k) La oración, l) Los sacramentos</v>
      </c>
      <c r="V162" s="89" t="str">
        <f>Registro!T162</f>
        <v>a) Suelo rezar por convicción o porque me gusta</v>
      </c>
      <c r="W162" s="89" t="str">
        <f>Registro!U162</f>
        <v>d) Nunca</v>
      </c>
      <c r="X162" s="89" t="str">
        <f>Registro!V162</f>
        <v>a) Suelo llevar una cruz o algún objeto religioso, b) Suelo bendedir los alimentos antes de comer, d) Suelo orar todos los días, g) En ocasiones, en mi casa tenemos una oración familiar, i) Tengo en mi cuarto alguna imagen religiosa</v>
      </c>
      <c r="Y162" s="89" t="str">
        <f>Registro!W162</f>
        <v>d) No pertenezco a ninguno</v>
      </c>
      <c r="Z162" s="89" t="str">
        <f>Registro!X162</f>
        <v>d) No pertenezco a grupos juveniles cristianos</v>
      </c>
      <c r="AA162" s="89" t="str">
        <f>Registro!Y162</f>
        <v>c) Algo</v>
      </c>
      <c r="AB162" s="89" t="str">
        <f>Registro!Z162</f>
        <v>c) Algo</v>
      </c>
      <c r="AC162" s="89" t="str">
        <f>Registro!AA162</f>
        <v>d) Ingeniería, j) Trabajador calificado</v>
      </c>
      <c r="AD162" s="94">
        <f t="shared" si="10"/>
        <v>2</v>
      </c>
      <c r="AE162" s="89" t="str">
        <f>Registro!AB162</f>
        <v>c) Ser un excelente profesional</v>
      </c>
      <c r="AF162" s="89" t="str">
        <f>Registro!AC162</f>
        <v>d) Mucho o muchísimo</v>
      </c>
      <c r="AG162" s="89" t="str">
        <f>Registro!AD162</f>
        <v>a) Los deportes y diversiones, e) La mayor posibilidad de vivir mi fe</v>
      </c>
      <c r="AH162" s="94">
        <f t="shared" si="12"/>
        <v>2</v>
      </c>
      <c r="AI162" s="89" t="str">
        <f>Registro!AE162</f>
        <v>b) 3 a 4 horas</v>
      </c>
      <c r="AJ162" s="89"/>
      <c r="AK162" s="94">
        <f t="shared" si="13"/>
        <v>0</v>
      </c>
      <c r="AL162" s="89">
        <f>Registro!AG162</f>
        <v>0</v>
      </c>
      <c r="AM162" s="89" t="str">
        <f>Registro!AH162</f>
        <v>c) Regular</v>
      </c>
      <c r="AN162" s="89" t="str">
        <f>Registro!AI162</f>
        <v>c) Regular</v>
      </c>
      <c r="AO162" s="89" t="str">
        <f>Registro!AJ162</f>
        <v>b) Buena</v>
      </c>
      <c r="AP162" s="89" t="str">
        <f>Registro!AK162</f>
        <v>b) Buena</v>
      </c>
      <c r="AQ162" s="89" t="str">
        <f>Registro!AL162</f>
        <v>b) Buena</v>
      </c>
      <c r="AR162" s="89" t="str">
        <f>Registro!AM162</f>
        <v>a) Muy buena</v>
      </c>
      <c r="AS162" s="89" t="str">
        <f>Registro!AN162</f>
        <v>a) Muy buena</v>
      </c>
      <c r="AT162" s="89" t="str">
        <f>Registro!AO162</f>
        <v>a) Muy buena</v>
      </c>
      <c r="AU162" s="89" t="str">
        <f>Registro!AP162</f>
        <v>a) Muy buena</v>
      </c>
      <c r="AV162" s="89" t="str">
        <f>Registro!AQ162</f>
        <v>b) Buena</v>
      </c>
      <c r="AW162" s="89" t="str">
        <f>Registro!AR162</f>
        <v>c) El estudio</v>
      </c>
      <c r="AX162" s="89" t="str">
        <f>Registro!AS162</f>
        <v>a) Que sea un buen profesional</v>
      </c>
      <c r="AY162" s="89" t="str">
        <f>Registro!AT162</f>
        <v>e) Absolutamente necesaria</v>
      </c>
      <c r="AZ162" s="89" t="str">
        <f>Registro!AU162</f>
        <v>a) No acostumbro a tomarlo nunca</v>
      </c>
      <c r="BA162" s="89" t="str">
        <f>Registro!AV162</f>
        <v>d) Buenos profesionales de la educación</v>
      </c>
      <c r="BB162" s="89" t="str">
        <f>Registro!AW162</f>
        <v>c) Bastante</v>
      </c>
      <c r="BC162" s="89" t="str">
        <f>Registro!AX162</f>
        <v>e) Son personas que me gustan y admiro</v>
      </c>
      <c r="BD162" s="89" t="str">
        <f>Registro!AY162</f>
        <v>k) No tengo problemas personales</v>
      </c>
    </row>
    <row r="163" spans="1:56" ht="15" customHeight="1" x14ac:dyDescent="0.25">
      <c r="A163" s="101">
        <f>Registro!A163</f>
        <v>42158.280393518522</v>
      </c>
      <c r="B163" s="89" t="str">
        <f>Registro!B163</f>
        <v>c) Obra Social San José de Calasanz de Valencia</v>
      </c>
      <c r="C163" s="89" t="str">
        <f>Registro!C163</f>
        <v>a) Primer año</v>
      </c>
      <c r="D163" s="89" t="str">
        <f>Registro!D163</f>
        <v>c) Entre Primero y Tercer año</v>
      </c>
      <c r="E163" s="89" t="str">
        <f>Registro!E163</f>
        <v>a) Masculino</v>
      </c>
      <c r="F163" s="89" t="str">
        <f>Registro!F163</f>
        <v>a) Católica</v>
      </c>
      <c r="G163" s="89" t="str">
        <f>Registro!G163</f>
        <v>a) Mamá, b) Papá, c) Hermanos, d) Abuelos, e) Otros familiares</v>
      </c>
      <c r="H163" s="89" t="str">
        <f>Registro!H163</f>
        <v>b) Casa Urbana</v>
      </c>
      <c r="I163" s="89" t="str">
        <f>Registro!I163</f>
        <v>a) Sí</v>
      </c>
      <c r="J163" s="89" t="str">
        <f>Registro!J163</f>
        <v>a) Cónsola videojuegos, b) Lavadora, c) Microondas, d) TV pantalla plana, f) MP3, i) Computadora, j) Cámara digital, k) Aire acondicionado</v>
      </c>
      <c r="K163" s="89" t="str">
        <f>Registro!K163</f>
        <v>e) Cuatro</v>
      </c>
      <c r="L163" s="89" t="str">
        <f>Registro!L163</f>
        <v>a) La familia, c) Los estudios, f) Mi fe y vida cristiana</v>
      </c>
      <c r="M163" s="94">
        <f t="shared" si="14"/>
        <v>3</v>
      </c>
      <c r="N163" s="89" t="str">
        <f>Registro!M163</f>
        <v>a) Seguridad personal (la violencia y la delincuencia)</v>
      </c>
      <c r="O163" s="89" t="str">
        <f>Registro!N163</f>
        <v>a) Mucho</v>
      </c>
      <c r="P163" s="89" t="str">
        <f>Registro!O163</f>
        <v>b) Suficiente</v>
      </c>
      <c r="Q163" s="89" t="str">
        <f>Registro!P163</f>
        <v>a) Mucho</v>
      </c>
      <c r="R163" s="89" t="str">
        <f>Registro!Q163</f>
        <v>a) La familia, c) Los estudios, g) La felicidad</v>
      </c>
      <c r="S163" s="94">
        <f t="shared" si="11"/>
        <v>3</v>
      </c>
      <c r="T163" s="89" t="str">
        <f>Registro!R163</f>
        <v>a) Mucho</v>
      </c>
      <c r="U163" s="89" t="str">
        <f>Registro!S163</f>
        <v>a) La Iglesia, b) La naturaleza, d) Las convivencias, g) Mi familia, h) Algunas personas cercanas a Dios, i) Los necesitados, k) La oración</v>
      </c>
      <c r="V163" s="89" t="str">
        <f>Registro!T163</f>
        <v>a) Suelo rezar por convicción o porque me gusta</v>
      </c>
      <c r="W163" s="89" t="str">
        <f>Registro!U163</f>
        <v>b) Algunos domingos</v>
      </c>
      <c r="X163" s="89" t="str">
        <f>Registro!V163</f>
        <v>b) Suelo bendedir los alimentos antes de comer, e) Voy a misa en las fechas de mis familiares difuntos, h) En Semana Santa asisto a las procesiones, i) Tengo en mi cuarto alguna imagen religiosa</v>
      </c>
      <c r="Y163" s="89" t="str">
        <f>Registro!W163</f>
        <v>a) Deportivo</v>
      </c>
      <c r="Z163" s="89" t="str">
        <f>Registro!X163</f>
        <v>a) Un grupo donde profundizo mi fe</v>
      </c>
      <c r="AA163" s="89" t="str">
        <f>Registro!Y163</f>
        <v>b) No</v>
      </c>
      <c r="AB163" s="89" t="str">
        <f>Registro!Z163</f>
        <v>b) No</v>
      </c>
      <c r="AC163" s="89" t="str">
        <f>Registro!AA163</f>
        <v>d) Ingeniería, j) Trabajador calificado</v>
      </c>
      <c r="AD163" s="94">
        <f t="shared" si="10"/>
        <v>2</v>
      </c>
      <c r="AE163" s="89" t="str">
        <f>Registro!AB163</f>
        <v>c) Ser un excelente profesional</v>
      </c>
      <c r="AF163" s="89" t="str">
        <f>Registro!AC163</f>
        <v>c) Bastante</v>
      </c>
      <c r="AG163" s="89" t="str">
        <f>Registro!AD163</f>
        <v>b) El ambiente de estudio y de trabajo, c) Las instalaciones del Colegio</v>
      </c>
      <c r="AH163" s="94">
        <f t="shared" si="12"/>
        <v>2</v>
      </c>
      <c r="AI163" s="89" t="str">
        <f>Registro!AE163</f>
        <v>e) 9 a 10 horas</v>
      </c>
      <c r="AJ163" s="89" t="str">
        <f>Registro!AF163</f>
        <v>b) Navego en Internet, e) Suelo ir a algún parque, m) Veo televisión y/o películas</v>
      </c>
      <c r="AK163" s="94">
        <f t="shared" si="13"/>
        <v>3</v>
      </c>
      <c r="AL163" s="89" t="str">
        <f>Registro!AG163</f>
        <v>a) Muy bueno</v>
      </c>
      <c r="AM163" s="89" t="str">
        <f>Registro!AH163</f>
        <v>a) Muy buena</v>
      </c>
      <c r="AN163" s="89" t="str">
        <f>Registro!AI163</f>
        <v>a) Muy buena</v>
      </c>
      <c r="AO163" s="89" t="str">
        <f>Registro!AJ163</f>
        <v>b) Buena</v>
      </c>
      <c r="AP163" s="89" t="str">
        <f>Registro!AK163</f>
        <v>a) Muy buena</v>
      </c>
      <c r="AQ163" s="89" t="str">
        <f>Registro!AL163</f>
        <v>b) Buena</v>
      </c>
      <c r="AR163" s="89" t="str">
        <f>Registro!AM163</f>
        <v>a) Muy buena</v>
      </c>
      <c r="AS163" s="89" t="str">
        <f>Registro!AN163</f>
        <v>a) Muy buena</v>
      </c>
      <c r="AT163" s="89" t="str">
        <f>Registro!AO163</f>
        <v>a) Muy buena</v>
      </c>
      <c r="AU163" s="89" t="str">
        <f>Registro!AP163</f>
        <v>a) Muy buena</v>
      </c>
      <c r="AV163" s="89" t="str">
        <f>Registro!AQ163</f>
        <v>a) Muy buena</v>
      </c>
      <c r="AW163" s="89" t="str">
        <f>Registro!AR163</f>
        <v>c) El estudio</v>
      </c>
      <c r="AX163" s="89" t="str">
        <f>Registro!AS163</f>
        <v>a) Que sea un buen profesional</v>
      </c>
      <c r="AY163" s="89" t="str">
        <f>Registro!AT163</f>
        <v>e) Absolutamente necesaria</v>
      </c>
      <c r="AZ163" s="89" t="str">
        <f>Registro!AU163</f>
        <v>a) No acostumbro a tomarlo nunca</v>
      </c>
      <c r="BA163" s="89" t="str">
        <f>Registro!AV163</f>
        <v>b) Profesionales que no se preocupan de nosotros</v>
      </c>
      <c r="BB163" s="89" t="str">
        <f>Registro!AW163</f>
        <v>d) Mucho o muchísimo</v>
      </c>
      <c r="BC163" s="89" t="str">
        <f>Registro!AX163</f>
        <v>c) Son personas normales y corrientes</v>
      </c>
      <c r="BD163" s="89" t="str">
        <f>Registro!AY163</f>
        <v>a) Mi padre, b) Mi madre, c) Un hermano/a, g) Un amigo, h) Una amiga</v>
      </c>
    </row>
    <row r="164" spans="1:56" ht="15" customHeight="1" x14ac:dyDescent="0.25">
      <c r="A164" s="101">
        <f>Registro!A164</f>
        <v>42158.280636574076</v>
      </c>
      <c r="B164" s="89" t="str">
        <f>Registro!B164</f>
        <v>c) Obra Social San José de Calasanz de Valencia</v>
      </c>
      <c r="C164" s="89" t="str">
        <f>Registro!C164</f>
        <v>a) Primer año</v>
      </c>
      <c r="D164" s="89" t="str">
        <f>Registro!D164</f>
        <v>b) Primaria</v>
      </c>
      <c r="E164" s="89" t="str">
        <f>Registro!E164</f>
        <v>b) Femenino</v>
      </c>
      <c r="F164" s="89" t="str">
        <f>Registro!F164</f>
        <v>a) Católica</v>
      </c>
      <c r="G164" s="89" t="str">
        <f>Registro!G164</f>
        <v>a) Mamá, b) Papá, c) Hermanos</v>
      </c>
      <c r="H164" s="89" t="str">
        <f>Registro!H164</f>
        <v>b) Casa Urbana</v>
      </c>
      <c r="I164" s="89" t="str">
        <f>Registro!I164</f>
        <v>a) Sí</v>
      </c>
      <c r="J164" s="89" t="str">
        <f>Registro!J164</f>
        <v>a) Cónsola videojuegos, b) Lavadora, c) Microondas, d) TV pantalla plana, e) Moto, g) MP4, h) Carro, i) Computadora, j) Cámara digital, k) Aire acondicionado</v>
      </c>
      <c r="K164" s="89" t="str">
        <f>Registro!K164</f>
        <v>c) Dos</v>
      </c>
      <c r="L164" s="89"/>
      <c r="M164" s="94">
        <f t="shared" si="14"/>
        <v>0</v>
      </c>
      <c r="N164" s="89" t="str">
        <f>Registro!M164</f>
        <v>g) Mis estudios</v>
      </c>
      <c r="O164" s="89" t="str">
        <f>Registro!N164</f>
        <v>a) Mucho</v>
      </c>
      <c r="P164" s="89" t="str">
        <f>Registro!O164</f>
        <v>a) Mucho</v>
      </c>
      <c r="Q164" s="89" t="str">
        <f>Registro!P164</f>
        <v>b) Suficiente</v>
      </c>
      <c r="R164" s="89"/>
      <c r="S164" s="94">
        <f t="shared" si="11"/>
        <v>0</v>
      </c>
      <c r="T164" s="89" t="str">
        <f>Registro!R164</f>
        <v>a) Mucho</v>
      </c>
      <c r="U164" s="89" t="str">
        <f>Registro!S164</f>
        <v>a) La Iglesia, c) El salón de clase, d) Las convivencias, e) Los amigos, g) Mi familia, h) Algunas personas cercanas a Dios, i) Los necesitados, k) La oración</v>
      </c>
      <c r="V164" s="89" t="str">
        <f>Registro!T164</f>
        <v>b) Rezo por costumbre</v>
      </c>
      <c r="W164" s="89" t="str">
        <f>Registro!U164</f>
        <v>b) Algunos domingos</v>
      </c>
      <c r="X164" s="89" t="str">
        <f>Registro!V164</f>
        <v>a) Suelo llevar una cruz o algún objeto religioso, 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164" s="89" t="str">
        <f>Registro!W164</f>
        <v>a) Deportivo, b) Cultural (folklórico, musicales, danzas, scout, banda marcial,...) , c) Religioso o parroquial</v>
      </c>
      <c r="Z164" s="89" t="str">
        <f>Registro!X164</f>
        <v>b) Un lugar donde comparto con mis compañeros</v>
      </c>
      <c r="AA164" s="89" t="str">
        <f>Registro!Y164</f>
        <v>c) Algo</v>
      </c>
      <c r="AB164" s="89" t="str">
        <f>Registro!Z164</f>
        <v>c) Algo</v>
      </c>
      <c r="AC164" s="89"/>
      <c r="AD164" s="94">
        <f t="shared" si="10"/>
        <v>0</v>
      </c>
      <c r="AE164" s="89" t="str">
        <f>Registro!AB164</f>
        <v>b) Tener una buena posición social, ser importante</v>
      </c>
      <c r="AF164" s="89" t="str">
        <f>Registro!AC164</f>
        <v>c) Bastante</v>
      </c>
      <c r="AG164" s="89" t="str">
        <f>Registro!AD164</f>
        <v>d) Los grupos juveniles cristianos, h) Las actividades extraescolares</v>
      </c>
      <c r="AH164" s="94">
        <f t="shared" si="12"/>
        <v>2</v>
      </c>
      <c r="AI164" s="89" t="str">
        <f>Registro!AE164</f>
        <v>d) 7 a 8 horas</v>
      </c>
      <c r="AJ164" s="89" t="str">
        <f>Registro!AF164</f>
        <v>f) Toco un instrumento musical, j) Estoy en algún grupo juvenil, k) Practico algún deporte</v>
      </c>
      <c r="AK164" s="94">
        <f t="shared" si="13"/>
        <v>3</v>
      </c>
      <c r="AL164" s="89" t="str">
        <f>Registro!AG164</f>
        <v>a) Muy bueno</v>
      </c>
      <c r="AM164" s="89" t="str">
        <f>Registro!AH164</f>
        <v>a) Muy buena</v>
      </c>
      <c r="AN164" s="89" t="str">
        <f>Registro!AI164</f>
        <v>a) Muy buena</v>
      </c>
      <c r="AO164" s="89" t="str">
        <f>Registro!AJ164</f>
        <v>a) Muy buena</v>
      </c>
      <c r="AP164" s="89" t="str">
        <f>Registro!AK164</f>
        <v>a) Muy buena</v>
      </c>
      <c r="AQ164" s="89" t="str">
        <f>Registro!AL164</f>
        <v>a) Muy buena</v>
      </c>
      <c r="AR164" s="89" t="str">
        <f>Registro!AM164</f>
        <v>a) Muy buena</v>
      </c>
      <c r="AS164" s="89" t="str">
        <f>Registro!AN164</f>
        <v>a) Muy buena</v>
      </c>
      <c r="AT164" s="89" t="str">
        <f>Registro!AO164</f>
        <v>a) Muy buena</v>
      </c>
      <c r="AU164" s="89" t="str">
        <f>Registro!AP164</f>
        <v>a) Muy buena</v>
      </c>
      <c r="AV164" s="89" t="str">
        <f>Registro!AQ164</f>
        <v>b) Buena</v>
      </c>
      <c r="AW164" s="89" t="str">
        <f>Registro!AR164</f>
        <v>a) El compañerismo</v>
      </c>
      <c r="AX164" s="89" t="str">
        <f>Registro!AS164</f>
        <v>a) Que sea un buen profesional</v>
      </c>
      <c r="AY164" s="89" t="str">
        <f>Registro!AT164</f>
        <v>d) Bastante necesaria</v>
      </c>
      <c r="AZ164" s="89">
        <f>Registro!AU164</f>
        <v>0</v>
      </c>
      <c r="BA164" s="89" t="str">
        <f>Registro!AV164</f>
        <v>e) Educadores que se preocupan de nosotros</v>
      </c>
      <c r="BB164" s="89" t="str">
        <f>Registro!AW164</f>
        <v>d) Mucho o muchísimo</v>
      </c>
      <c r="BC164" s="89" t="str">
        <f>Registro!AX164</f>
        <v>e) Son personas que me gustan y admiro</v>
      </c>
      <c r="BD164" s="89" t="str">
        <f>Registro!AY164</f>
        <v>b) Mi madre, c) Un hermano/a, e) Un, una docente, f) La orientadora, h) Una amiga, i) Un, una catequista o responsable de grupo</v>
      </c>
    </row>
    <row r="165" spans="1:56" ht="15" customHeight="1" x14ac:dyDescent="0.25">
      <c r="A165" s="101">
        <f>Registro!A165</f>
        <v>42158.281307870369</v>
      </c>
      <c r="B165" s="89" t="str">
        <f>Registro!B165</f>
        <v>c) Obra Social San José de Calasanz de Valencia</v>
      </c>
      <c r="C165" s="89" t="str">
        <f>Registro!C165</f>
        <v>a) Primer año</v>
      </c>
      <c r="D165" s="89" t="str">
        <f>Registro!D165</f>
        <v>a) Educación Inicial</v>
      </c>
      <c r="E165" s="89" t="str">
        <f>Registro!E165</f>
        <v>b) Femenino</v>
      </c>
      <c r="F165" s="89" t="str">
        <f>Registro!F165</f>
        <v>a) Católica</v>
      </c>
      <c r="G165" s="89" t="str">
        <f>Registro!G165</f>
        <v>a) Mamá, b) Papá, c) Hermanos</v>
      </c>
      <c r="H165" s="89" t="str">
        <f>Registro!H165</f>
        <v>b) Casa Urbana</v>
      </c>
      <c r="I165" s="89" t="str">
        <f>Registro!I165</f>
        <v>a) Sí</v>
      </c>
      <c r="J165" s="89" t="str">
        <f>Registro!J165</f>
        <v>b) Lavadora, c) Microondas, j) Cámara digital, k) Aire acondicionado</v>
      </c>
      <c r="K165" s="89" t="str">
        <f>Registro!K165</f>
        <v>c) Dos</v>
      </c>
      <c r="L165" s="89" t="str">
        <f>Registro!L165</f>
        <v>a) La familia, b) Los amigos, c) Los estudios</v>
      </c>
      <c r="M165" s="94">
        <f t="shared" si="14"/>
        <v>3</v>
      </c>
      <c r="N165" s="89" t="str">
        <f>Registro!M165</f>
        <v>b) El futuro</v>
      </c>
      <c r="O165" s="89" t="str">
        <f>Registro!N165</f>
        <v>a) Mucho</v>
      </c>
      <c r="P165" s="89" t="str">
        <f>Registro!O165</f>
        <v>c) Poco</v>
      </c>
      <c r="Q165" s="89" t="str">
        <f>Registro!P165</f>
        <v>b) Suficiente</v>
      </c>
      <c r="R165" s="89" t="str">
        <f>Registro!Q165</f>
        <v>c) Los estudios, f) Mi fe y mi vida cristiana, g) La felicidad</v>
      </c>
      <c r="S165" s="94">
        <f t="shared" si="11"/>
        <v>3</v>
      </c>
      <c r="T165" s="89" t="str">
        <f>Registro!R165</f>
        <v>a) Mucho</v>
      </c>
      <c r="U165" s="89" t="str">
        <f>Registro!S165</f>
        <v>a) La Iglesia, b) La naturaleza, c) El salón de clase, d) Las convivencias, e) Los amigos, f) Todas las personas, g) Mi familia, h) Algunas personas cercanas a Dios, i) Los necesitados, j) Todas partes, k) La oración, l) Los sacramentos</v>
      </c>
      <c r="V165" s="89" t="str">
        <f>Registro!T165</f>
        <v>a) Suelo rezar por convicción o porque me gusta</v>
      </c>
      <c r="W165" s="89" t="str">
        <f>Registro!U165</f>
        <v>b) Algunos domingos</v>
      </c>
      <c r="X165" s="89" t="str">
        <f>Registro!V165</f>
        <v>b) Suelo bendedir los alimentos antes de comer, c) Suelo ir los domingos y otras fechas especiales a la Iglesia, f) En alguna ocasión he rezado el rosario, g) En ocasiones, en mi casa tenemos una oración familiar</v>
      </c>
      <c r="Y165" s="89" t="str">
        <f>Registro!W165</f>
        <v>a) Deportivo, c) Religioso o parroquial</v>
      </c>
      <c r="Z165" s="89" t="str">
        <f>Registro!X165</f>
        <v>a) Un grupo donde profundizo mi fe</v>
      </c>
      <c r="AA165" s="89" t="str">
        <f>Registro!Y165</f>
        <v>b) No</v>
      </c>
      <c r="AB165" s="89" t="str">
        <f>Registro!Z165</f>
        <v>b) No</v>
      </c>
      <c r="AC165" s="89"/>
      <c r="AD165" s="94">
        <f t="shared" si="10"/>
        <v>0</v>
      </c>
      <c r="AE165" s="89" t="str">
        <f>Registro!AB165</f>
        <v>e) Servir a los demás</v>
      </c>
      <c r="AF165" s="89" t="str">
        <f>Registro!AC165</f>
        <v>c) Bastante</v>
      </c>
      <c r="AG165" s="89" t="str">
        <f>Registro!AD165</f>
        <v>d) Los grupos juveniles cristianos, e) La mayor posibilidad de vivir mi fe</v>
      </c>
      <c r="AH165" s="94">
        <f t="shared" si="12"/>
        <v>2</v>
      </c>
      <c r="AI165" s="89" t="str">
        <f>Registro!AE165</f>
        <v>e) 9 a 10 horas</v>
      </c>
      <c r="AJ165" s="89" t="str">
        <f>Registro!AF165</f>
        <v>e) Suelo ir a algún parque, j) Estoy en algún grupo juvenil, k) Practico algún deporte</v>
      </c>
      <c r="AK165" s="94">
        <f t="shared" si="13"/>
        <v>3</v>
      </c>
      <c r="AL165" s="89" t="str">
        <f>Registro!AG165</f>
        <v>a) Muy bueno</v>
      </c>
      <c r="AM165" s="89" t="str">
        <f>Registro!AH165</f>
        <v>a) Muy buena</v>
      </c>
      <c r="AN165" s="89" t="str">
        <f>Registro!AI165</f>
        <v>a) Muy buena</v>
      </c>
      <c r="AO165" s="89" t="str">
        <f>Registro!AJ165</f>
        <v>a) Muy buena</v>
      </c>
      <c r="AP165" s="89" t="str">
        <f>Registro!AK165</f>
        <v>a) Muy buena</v>
      </c>
      <c r="AQ165" s="89" t="str">
        <f>Registro!AL165</f>
        <v>a) Muy buena</v>
      </c>
      <c r="AR165" s="89" t="str">
        <f>Registro!AM165</f>
        <v>a) Muy buena</v>
      </c>
      <c r="AS165" s="89" t="str">
        <f>Registro!AN165</f>
        <v>a) Muy buena</v>
      </c>
      <c r="AT165" s="89" t="str">
        <f>Registro!AO165</f>
        <v>a) Muy buena</v>
      </c>
      <c r="AU165" s="89" t="str">
        <f>Registro!AP165</f>
        <v>a) Muy buena</v>
      </c>
      <c r="AV165" s="89" t="str">
        <f>Registro!AQ165</f>
        <v>a) Muy buena</v>
      </c>
      <c r="AW165" s="89" t="str">
        <f>Registro!AR165</f>
        <v>e) La disciplina y el orden</v>
      </c>
      <c r="AX165" s="89" t="str">
        <f>Registro!AS165</f>
        <v>f) Que tenga honradez en la vida</v>
      </c>
      <c r="AY165" s="89" t="str">
        <f>Registro!AT165</f>
        <v>d) Bastante necesaria</v>
      </c>
      <c r="AZ165" s="89" t="str">
        <f>Registro!AU165</f>
        <v>a) No acostumbro a tomarlo nunca</v>
      </c>
      <c r="BA165" s="89" t="str">
        <f>Registro!AV165</f>
        <v>f) Educadores que, además, me han abierto caminos</v>
      </c>
      <c r="BB165" s="89" t="str">
        <f>Registro!AW165</f>
        <v>d) Mucho o muchísimo</v>
      </c>
      <c r="BC165" s="89" t="str">
        <f>Registro!AX165</f>
        <v>e) Son personas que me gustan y admiro</v>
      </c>
      <c r="BD165" s="89" t="str">
        <f>Registro!AY165</f>
        <v>a) Mi padre, b) Mi madre, d) Un escolapio, religioso o religiosa, h) Una amiga</v>
      </c>
    </row>
    <row r="166" spans="1:56" ht="15" customHeight="1" x14ac:dyDescent="0.25">
      <c r="A166" s="101">
        <f>Registro!A166</f>
        <v>42158.281828703701</v>
      </c>
      <c r="B166" s="89" t="str">
        <f>Registro!B166</f>
        <v>c) Obra Social San José de Calasanz de Valencia</v>
      </c>
      <c r="C166" s="89" t="str">
        <f>Registro!C166</f>
        <v>a) Primer año</v>
      </c>
      <c r="D166" s="89" t="str">
        <f>Registro!D166</f>
        <v>c) Entre Primero y Tercer año</v>
      </c>
      <c r="E166" s="89" t="str">
        <f>Registro!E166</f>
        <v>a) Masculino</v>
      </c>
      <c r="F166" s="89" t="str">
        <f>Registro!F166</f>
        <v>a) Católica</v>
      </c>
      <c r="G166" s="89" t="str">
        <f>Registro!G166</f>
        <v>a) Mamá, b) Papá</v>
      </c>
      <c r="H166" s="89" t="str">
        <f>Registro!H166</f>
        <v>b) Casa Urbana</v>
      </c>
      <c r="I166" s="89" t="str">
        <f>Registro!I166</f>
        <v>a) Sí</v>
      </c>
      <c r="J166" s="89" t="str">
        <f>Registro!J166</f>
        <v>b) Lavadora</v>
      </c>
      <c r="K166" s="89" t="str">
        <f>Registro!K166</f>
        <v>c) Dos</v>
      </c>
      <c r="L166" s="89" t="str">
        <f>Registro!L166</f>
        <v>a) La familia, f) Mi fe y vida cristiana</v>
      </c>
      <c r="M166" s="94">
        <f t="shared" si="14"/>
        <v>2</v>
      </c>
      <c r="N166" s="89" t="str">
        <f>Registro!M166</f>
        <v>a) Seguridad personal (la violencia y la delincuencia)</v>
      </c>
      <c r="O166" s="89" t="str">
        <f>Registro!N166</f>
        <v>b) Suficiente</v>
      </c>
      <c r="P166" s="89">
        <f>Registro!O166</f>
        <v>0</v>
      </c>
      <c r="Q166" s="89" t="str">
        <f>Registro!P166</f>
        <v>b) Suficiente</v>
      </c>
      <c r="R166" s="89" t="str">
        <f>Registro!Q166</f>
        <v>c) Los estudios, g) La felicidad</v>
      </c>
      <c r="S166" s="94">
        <f t="shared" si="11"/>
        <v>2</v>
      </c>
      <c r="T166" s="89" t="str">
        <f>Registro!R166</f>
        <v>b) Suficiente</v>
      </c>
      <c r="U166" s="89" t="str">
        <f>Registro!S166</f>
        <v>g) Mi familia, i) Los necesitados, k) La oración</v>
      </c>
      <c r="V166" s="89" t="str">
        <f>Registro!T166</f>
        <v>b) Rezo por costumbre</v>
      </c>
      <c r="W166" s="89" t="str">
        <f>Registro!U166</f>
        <v>a) Todos los domingos</v>
      </c>
      <c r="X166" s="89" t="str">
        <f>Registro!V166</f>
        <v>a) Suelo llevar una cruz o algún objeto religioso, c) Suelo ir los domingos y otras fechas especiales a la Iglesia, d) Suelo orar todos los días, f) En alguna ocasión he rezado el rosario, g) En ocasiones, en mi casa tenemos una oración familiar, h) En Semana Santa asisto a las procesiones, i) Tengo en mi cuarto alguna imagen religiosa</v>
      </c>
      <c r="Y166" s="89" t="str">
        <f>Registro!W166</f>
        <v>b) Cultural (folklórico, musicales, danzas, scout, banda marcial,...) , c) Religioso o parroquial</v>
      </c>
      <c r="Z166" s="89" t="str">
        <f>Registro!X166</f>
        <v>b) Un lugar donde comparto con mis compañeros</v>
      </c>
      <c r="AA166" s="89" t="str">
        <f>Registro!Y166</f>
        <v>b) No</v>
      </c>
      <c r="AB166" s="89" t="str">
        <f>Registro!Z166</f>
        <v>b) No</v>
      </c>
      <c r="AC166" s="89" t="str">
        <f>Registro!AA166</f>
        <v>a) Medicina, j) Trabajador calificado</v>
      </c>
      <c r="AD166" s="94">
        <f t="shared" si="10"/>
        <v>2</v>
      </c>
      <c r="AE166" s="89" t="str">
        <f>Registro!AB166</f>
        <v>c) Ser un excelente profesional</v>
      </c>
      <c r="AF166" s="89" t="str">
        <f>Registro!AC166</f>
        <v>b) Poco</v>
      </c>
      <c r="AG166" s="89"/>
      <c r="AH166" s="94">
        <f t="shared" si="12"/>
        <v>0</v>
      </c>
      <c r="AI166" s="89" t="str">
        <f>Registro!AE166</f>
        <v>c) 5 a 6 horas</v>
      </c>
      <c r="AJ166" s="89" t="str">
        <f>Registro!AF166</f>
        <v>d) Estoy la mayor parte del tiempo en la casa sin hacer nada, f) Toco un instrumento musical</v>
      </c>
      <c r="AK166" s="94">
        <f t="shared" si="13"/>
        <v>2</v>
      </c>
      <c r="AL166" s="89" t="str">
        <f>Registro!AG166</f>
        <v>b) Bueno</v>
      </c>
      <c r="AM166" s="89" t="str">
        <f>Registro!AH166</f>
        <v>a) Muy buena</v>
      </c>
      <c r="AN166" s="89" t="str">
        <f>Registro!AI166</f>
        <v>b) Buena</v>
      </c>
      <c r="AO166" s="89" t="str">
        <f>Registro!AJ166</f>
        <v>b) Buena</v>
      </c>
      <c r="AP166" s="89" t="str">
        <f>Registro!AK166</f>
        <v>c) Regular</v>
      </c>
      <c r="AQ166" s="89" t="str">
        <f>Registro!AL166</f>
        <v>b) Buena</v>
      </c>
      <c r="AR166" s="89" t="str">
        <f>Registro!AM166</f>
        <v>c) Regular</v>
      </c>
      <c r="AS166" s="89" t="str">
        <f>Registro!AN166</f>
        <v>b) Buena</v>
      </c>
      <c r="AT166" s="89" t="str">
        <f>Registro!AO166</f>
        <v>c) Regular</v>
      </c>
      <c r="AU166" s="89" t="str">
        <f>Registro!AP166</f>
        <v>b) Buena</v>
      </c>
      <c r="AV166" s="89" t="str">
        <f>Registro!AQ166</f>
        <v>b) Buena</v>
      </c>
      <c r="AW166" s="89" t="str">
        <f>Registro!AR166</f>
        <v>a) El compañerismo</v>
      </c>
      <c r="AX166" s="89" t="str">
        <f>Registro!AS166</f>
        <v>b) Darme una buena educación</v>
      </c>
      <c r="AY166" s="89" t="str">
        <f>Registro!AT166</f>
        <v>d) Bastante necesaria</v>
      </c>
      <c r="AZ166" s="89" t="str">
        <f>Registro!AU166</f>
        <v>a) No acostumbro a tomarlo nunca</v>
      </c>
      <c r="BA166" s="89" t="str">
        <f>Registro!AV166</f>
        <v>e) Educadores que se preocupan de nosotros</v>
      </c>
      <c r="BB166" s="89" t="str">
        <f>Registro!AW166</f>
        <v>d) Mucho o muchísimo</v>
      </c>
      <c r="BC166" s="89" t="str">
        <f>Registro!AX166</f>
        <v>d) Hay de todo tipo, pero predomina lo positivo</v>
      </c>
      <c r="BD166" s="89" t="str">
        <f>Registro!AY166</f>
        <v>a) Mi padre, b) Mi madre, g) Un amigo</v>
      </c>
    </row>
    <row r="167" spans="1:56" ht="15" customHeight="1" x14ac:dyDescent="0.25">
      <c r="A167" s="101">
        <f>Registro!A167</f>
        <v>42158.282500000001</v>
      </c>
      <c r="B167" s="89" t="str">
        <f>Registro!B167</f>
        <v>c) Obra Social San José de Calasanz de Valencia</v>
      </c>
      <c r="C167" s="89" t="str">
        <f>Registro!C167</f>
        <v>a) Primer año</v>
      </c>
      <c r="D167" s="89" t="str">
        <f>Registro!D167</f>
        <v>c) Entre Primero y Tercer año</v>
      </c>
      <c r="E167" s="89" t="str">
        <f>Registro!E167</f>
        <v>b) Femenino</v>
      </c>
      <c r="F167" s="89" t="str">
        <f>Registro!F167</f>
        <v>a) Católica</v>
      </c>
      <c r="G167" s="89" t="str">
        <f>Registro!G167</f>
        <v>a) Mamá, d) Abuelos, e) Otros familiares</v>
      </c>
      <c r="H167" s="89" t="str">
        <f>Registro!H167</f>
        <v>b) Casa Urbana</v>
      </c>
      <c r="I167" s="89" t="str">
        <f>Registro!I167</f>
        <v>a) Sí</v>
      </c>
      <c r="J167" s="89" t="str">
        <f>Registro!J167</f>
        <v>b) Lavadora, c) Microondas, d) TV pantalla plana, h) Carro, i) Computadora, k) Aire acondicionado</v>
      </c>
      <c r="K167" s="89" t="str">
        <f>Registro!K167</f>
        <v>c) Dos</v>
      </c>
      <c r="L167" s="89"/>
      <c r="M167" s="94">
        <f t="shared" si="14"/>
        <v>0</v>
      </c>
      <c r="N167" s="89" t="str">
        <f>Registro!M167</f>
        <v>g) Mis estudios</v>
      </c>
      <c r="O167" s="89" t="str">
        <f>Registro!N167</f>
        <v>a) Mucho</v>
      </c>
      <c r="P167" s="89" t="str">
        <f>Registro!O167</f>
        <v>a) Mucho</v>
      </c>
      <c r="Q167" s="89" t="str">
        <f>Registro!P167</f>
        <v>b) Suficiente</v>
      </c>
      <c r="R167" s="89"/>
      <c r="S167" s="94">
        <f t="shared" si="11"/>
        <v>0</v>
      </c>
      <c r="T167" s="89" t="str">
        <f>Registro!R167</f>
        <v>a) Mucho</v>
      </c>
      <c r="U167" s="89" t="str">
        <f>Registro!S167</f>
        <v>a) La Iglesia, d) Las convivencias, k) La oración, l) Los sacramentos</v>
      </c>
      <c r="V167" s="89" t="str">
        <f>Registro!T167</f>
        <v>a) Suelo rezar por convicción o porque me gusta</v>
      </c>
      <c r="W167" s="89" t="str">
        <f>Registro!U167</f>
        <v>c) Solo en fechas especiales</v>
      </c>
      <c r="X167" s="89" t="str">
        <f>Registro!V167</f>
        <v>d) Suelo orar todos los días</v>
      </c>
      <c r="Y167" s="89" t="str">
        <f>Registro!W167</f>
        <v>d) No pertenezco a ninguno</v>
      </c>
      <c r="Z167" s="89" t="str">
        <f>Registro!X167</f>
        <v>d) No pertenezco a grupos juveniles cristianos</v>
      </c>
      <c r="AA167" s="89" t="str">
        <f>Registro!Y167</f>
        <v>c) Algo</v>
      </c>
      <c r="AB167" s="89" t="str">
        <f>Registro!Z167</f>
        <v>c) Algo</v>
      </c>
      <c r="AC167" s="89"/>
      <c r="AD167" s="94">
        <f t="shared" si="10"/>
        <v>0</v>
      </c>
      <c r="AE167" s="89" t="str">
        <f>Registro!AB167</f>
        <v>e) Servir a los demás</v>
      </c>
      <c r="AF167" s="89" t="str">
        <f>Registro!AC167</f>
        <v>c) Bastante</v>
      </c>
      <c r="AG167" s="89" t="str">
        <f>Registro!AD167</f>
        <v>b) El ambiente de estudio y de trabajo</v>
      </c>
      <c r="AH167" s="94">
        <f t="shared" si="12"/>
        <v>1</v>
      </c>
      <c r="AI167" s="89" t="str">
        <f>Registro!AE167</f>
        <v>b) 3 a 4 horas</v>
      </c>
      <c r="AJ167" s="89" t="str">
        <f>Registro!AF167</f>
        <v>a) Me divierto con juegos para computadoras, b) Navego en Internet, m) Veo televisión y/o películas</v>
      </c>
      <c r="AK167" s="94">
        <f t="shared" si="13"/>
        <v>3</v>
      </c>
      <c r="AL167" s="89" t="str">
        <f>Registro!AG167</f>
        <v>b) Bueno</v>
      </c>
      <c r="AM167" s="89" t="str">
        <f>Registro!AH167</f>
        <v>b) Buena</v>
      </c>
      <c r="AN167" s="89" t="str">
        <f>Registro!AI167</f>
        <v>b) Buena</v>
      </c>
      <c r="AO167" s="89" t="str">
        <f>Registro!AJ167</f>
        <v>b) Buena</v>
      </c>
      <c r="AP167" s="89" t="str">
        <f>Registro!AK167</f>
        <v>b) Buena</v>
      </c>
      <c r="AQ167" s="89" t="str">
        <f>Registro!AL167</f>
        <v>b) Buena</v>
      </c>
      <c r="AR167" s="89" t="str">
        <f>Registro!AM167</f>
        <v>b) Buena</v>
      </c>
      <c r="AS167" s="89" t="str">
        <f>Registro!AN167</f>
        <v>b) Buena</v>
      </c>
      <c r="AT167" s="89" t="str">
        <f>Registro!AO167</f>
        <v>b) Buena</v>
      </c>
      <c r="AU167" s="89" t="str">
        <f>Registro!AP167</f>
        <v>a) Muy buena</v>
      </c>
      <c r="AV167" s="89" t="str">
        <f>Registro!AQ167</f>
        <v>a) Muy buena</v>
      </c>
      <c r="AW167" s="89" t="str">
        <f>Registro!AR167</f>
        <v>a) El compañerismo</v>
      </c>
      <c r="AX167" s="89" t="str">
        <f>Registro!AS167</f>
        <v>b) Darme una buena educación</v>
      </c>
      <c r="AY167" s="89" t="str">
        <f>Registro!AT167</f>
        <v>d) Bastante necesaria</v>
      </c>
      <c r="AZ167" s="89" t="str">
        <f>Registro!AU167</f>
        <v>a) No acostumbro a tomarlo nunca</v>
      </c>
      <c r="BA167" s="89" t="str">
        <f>Registro!AV167</f>
        <v>e) Educadores que se preocupan de nosotros</v>
      </c>
      <c r="BB167" s="89" t="str">
        <f>Registro!AW167</f>
        <v>c) Bastante</v>
      </c>
      <c r="BC167" s="89" t="str">
        <f>Registro!AX167</f>
        <v>e) Son personas que me gustan y admiro</v>
      </c>
      <c r="BD167" s="89" t="str">
        <f>Registro!AY167</f>
        <v>b) Mi madre, d) Un escolapio, religioso o religiosa, h) Una amiga</v>
      </c>
    </row>
    <row r="168" spans="1:56" ht="15" customHeight="1" x14ac:dyDescent="0.25">
      <c r="A168" s="101">
        <f>Registro!A168</f>
        <v>42158.282881944448</v>
      </c>
      <c r="B168" s="89" t="str">
        <f>Registro!B168</f>
        <v>c) Obra Social San José de Calasanz de Valencia</v>
      </c>
      <c r="C168" s="89" t="str">
        <f>Registro!C168</f>
        <v>a) Primer año</v>
      </c>
      <c r="D168" s="89" t="str">
        <f>Registro!D168</f>
        <v>a) Educación Inicial</v>
      </c>
      <c r="E168" s="89" t="str">
        <f>Registro!E168</f>
        <v>a) Masculino</v>
      </c>
      <c r="F168" s="89" t="str">
        <f>Registro!F168</f>
        <v>a) Católica</v>
      </c>
      <c r="G168" s="89" t="str">
        <f>Registro!G168</f>
        <v>a) Mamá, b) Papá, c) Hermanos, d) Abuelos, e) Otros familiares</v>
      </c>
      <c r="H168" s="89" t="str">
        <f>Registro!H168</f>
        <v>b) Casa Urbana</v>
      </c>
      <c r="I168" s="89" t="str">
        <f>Registro!I168</f>
        <v>c) Algo</v>
      </c>
      <c r="J168" s="89" t="str">
        <f>Registro!J168</f>
        <v>b) Lavadora, k) Aire acondicionado</v>
      </c>
      <c r="K168" s="89" t="str">
        <f>Registro!K168</f>
        <v>b) Una</v>
      </c>
      <c r="L168" s="89"/>
      <c r="M168" s="94">
        <f t="shared" si="14"/>
        <v>0</v>
      </c>
      <c r="N168" s="89" t="str">
        <f>Registro!M168</f>
        <v>e) La situación económica</v>
      </c>
      <c r="O168" s="89" t="str">
        <f>Registro!N168</f>
        <v>c) Poco</v>
      </c>
      <c r="P168" s="89" t="str">
        <f>Registro!O168</f>
        <v>a) Mucho</v>
      </c>
      <c r="Q168" s="89" t="str">
        <f>Registro!P168</f>
        <v>c) Poco</v>
      </c>
      <c r="R168" s="89"/>
      <c r="S168" s="94">
        <f t="shared" si="11"/>
        <v>0</v>
      </c>
      <c r="T168" s="89" t="str">
        <f>Registro!R168</f>
        <v>a) Mucho</v>
      </c>
      <c r="U168" s="89" t="str">
        <f>Registro!S168</f>
        <v>a) La Iglesia</v>
      </c>
      <c r="V168" s="89" t="str">
        <f>Registro!T168</f>
        <v>c) Rezo solo en situación de dificultad</v>
      </c>
      <c r="W168" s="89" t="str">
        <f>Registro!U168</f>
        <v>c) Solo en fechas especiales</v>
      </c>
      <c r="X168" s="89" t="str">
        <f>Registro!V168</f>
        <v>c) Suelo ir los domingos y otras fechas especiales a la Iglesia, h) En Semana Santa asisto a las procesiones</v>
      </c>
      <c r="Y168" s="89" t="str">
        <f>Registro!W168</f>
        <v>a) Deportivo</v>
      </c>
      <c r="Z168" s="89" t="str">
        <f>Registro!X168</f>
        <v>b) Un lugar donde comparto con mis compañeros</v>
      </c>
      <c r="AA168" s="89" t="str">
        <f>Registro!Y168</f>
        <v>b) No</v>
      </c>
      <c r="AB168" s="89" t="str">
        <f>Registro!Z168</f>
        <v>b) No</v>
      </c>
      <c r="AC168" s="89" t="str">
        <f>Registro!AA168</f>
        <v>a) Medicina, e) Derecho</v>
      </c>
      <c r="AD168" s="94">
        <f t="shared" si="10"/>
        <v>2</v>
      </c>
      <c r="AE168" s="89" t="str">
        <f>Registro!AB168</f>
        <v>c) Ser un excelente profesional</v>
      </c>
      <c r="AF168" s="89" t="str">
        <f>Registro!AC168</f>
        <v>c) Bastante</v>
      </c>
      <c r="AG168" s="89"/>
      <c r="AH168" s="94">
        <f t="shared" si="12"/>
        <v>0</v>
      </c>
      <c r="AI168" s="89" t="str">
        <f>Registro!AE168</f>
        <v>c) 5 a 6 horas</v>
      </c>
      <c r="AJ168" s="89" t="str">
        <f>Registro!AF168</f>
        <v>e) Suelo ir a algún parque, k) Practico algún deporte, n) Estoy conversando con los amigos/as</v>
      </c>
      <c r="AK168" s="94">
        <f t="shared" si="13"/>
        <v>3</v>
      </c>
      <c r="AL168" s="89" t="str">
        <f>Registro!AG168</f>
        <v>a) Muy bueno</v>
      </c>
      <c r="AM168" s="89" t="str">
        <f>Registro!AH168</f>
        <v>a) Muy buena</v>
      </c>
      <c r="AN168" s="89" t="str">
        <f>Registro!AI168</f>
        <v>a) Muy buena</v>
      </c>
      <c r="AO168" s="89" t="str">
        <f>Registro!AJ168</f>
        <v>b) Buena</v>
      </c>
      <c r="AP168" s="89" t="str">
        <f>Registro!AK168</f>
        <v>b) Buena</v>
      </c>
      <c r="AQ168" s="89" t="str">
        <f>Registro!AL168</f>
        <v>b) Buena</v>
      </c>
      <c r="AR168" s="89" t="str">
        <f>Registro!AM168</f>
        <v>a) Muy buena</v>
      </c>
      <c r="AS168" s="89" t="str">
        <f>Registro!AN168</f>
        <v>a) Muy buena</v>
      </c>
      <c r="AT168" s="89" t="str">
        <f>Registro!AO168</f>
        <v>a) Muy buena</v>
      </c>
      <c r="AU168" s="89" t="str">
        <f>Registro!AP168</f>
        <v>b) Buena</v>
      </c>
      <c r="AV168" s="89" t="str">
        <f>Registro!AQ168</f>
        <v>a) Muy buena</v>
      </c>
      <c r="AW168" s="89" t="str">
        <f>Registro!AR168</f>
        <v>c) El estudio</v>
      </c>
      <c r="AX168" s="89" t="str">
        <f>Registro!AS168</f>
        <v>a) Que sea un buen profesional</v>
      </c>
      <c r="AY168" s="89" t="str">
        <f>Registro!AT168</f>
        <v>e) Absolutamente necesaria</v>
      </c>
      <c r="AZ168" s="89" t="str">
        <f>Registro!AU168</f>
        <v>b) Las veces que bebo, es con moderación</v>
      </c>
      <c r="BA168" s="89" t="str">
        <f>Registro!AV168</f>
        <v>d) Buenos profesionales de la educación</v>
      </c>
      <c r="BB168" s="89" t="str">
        <f>Registro!AW168</f>
        <v>c) Bastante</v>
      </c>
      <c r="BC168" s="89">
        <f>Registro!AX168</f>
        <v>0</v>
      </c>
      <c r="BD168" s="89" t="str">
        <f>Registro!AY168</f>
        <v>a) Mi padre, b) Mi madre, c) Un hermano/a, d) Un escolapio, religioso o religiosa, e) Un, una docente, f) La orientadora, g) Un amigo, h) Una amiga, i) Un, una catequista o responsable de grupo, j) Nadie, k) No tengo problemas personales</v>
      </c>
    </row>
    <row r="169" spans="1:56" ht="15" customHeight="1" x14ac:dyDescent="0.25">
      <c r="A169" s="101">
        <f>Registro!A169</f>
        <v>42158.283518518518</v>
      </c>
      <c r="B169" s="89" t="str">
        <f>Registro!B169</f>
        <v>c) Obra Social San José de Calasanz de Valencia</v>
      </c>
      <c r="C169" s="89" t="str">
        <f>Registro!C169</f>
        <v>a) Primer año</v>
      </c>
      <c r="D169" s="89" t="str">
        <f>Registro!D169</f>
        <v>b) Primaria</v>
      </c>
      <c r="E169" s="89" t="str">
        <f>Registro!E169</f>
        <v>b) Femenino</v>
      </c>
      <c r="F169" s="89" t="str">
        <f>Registro!F169</f>
        <v>a) Católica</v>
      </c>
      <c r="G169" s="89" t="str">
        <f>Registro!G169</f>
        <v>a) Mamá, b) Papá, c) Hermanos</v>
      </c>
      <c r="H169" s="89" t="str">
        <f>Registro!H169</f>
        <v>d) Casa Rural</v>
      </c>
      <c r="I169" s="89" t="str">
        <f>Registro!I169</f>
        <v>a) Sí</v>
      </c>
      <c r="J169" s="89" t="str">
        <f>Registro!J169</f>
        <v>b) Lavadora, d) TV pantalla plana, e) Moto, g) MP4, i) Computadora</v>
      </c>
      <c r="K169" s="89" t="str">
        <f>Registro!K169</f>
        <v>c) Dos</v>
      </c>
      <c r="L169" s="89"/>
      <c r="M169" s="94">
        <f t="shared" si="14"/>
        <v>0</v>
      </c>
      <c r="N169" s="89" t="str">
        <f>Registro!M169</f>
        <v>g) Mis estudios</v>
      </c>
      <c r="O169" s="89" t="str">
        <f>Registro!N169</f>
        <v>c) Poco</v>
      </c>
      <c r="P169" s="89" t="str">
        <f>Registro!O169</f>
        <v>a) Mucho</v>
      </c>
      <c r="Q169" s="89" t="str">
        <f>Registro!P169</f>
        <v>b) Suficiente</v>
      </c>
      <c r="R169" s="89"/>
      <c r="S169" s="94">
        <f t="shared" si="11"/>
        <v>0</v>
      </c>
      <c r="T169" s="89" t="str">
        <f>Registro!R169</f>
        <v>a) Mucho</v>
      </c>
      <c r="U169" s="89" t="str">
        <f>Registro!S169</f>
        <v>a) La Iglesia, d) Las convivencias, h) Algunas personas cercanas a Dios, i) Los necesitados, k) La oración, l) Los sacramentos</v>
      </c>
      <c r="V169" s="89" t="str">
        <f>Registro!T169</f>
        <v>b) Rezo por costumbre</v>
      </c>
      <c r="W169" s="89" t="str">
        <f>Registro!U169</f>
        <v>c) Solo en fechas especiales</v>
      </c>
      <c r="X169" s="89" t="str">
        <f>Registro!V169</f>
        <v>d) Suelo orar todos los días, e) Voy a misa en las fechas de mis familiares difuntos, f) En alguna ocasión he rezado el rosario, h) En Semana Santa asisto a las procesiones</v>
      </c>
      <c r="Y169" s="89" t="str">
        <f>Registro!W169</f>
        <v>d) No pertenezco a ninguno</v>
      </c>
      <c r="Z169" s="89" t="str">
        <f>Registro!X169</f>
        <v>c) Un lugar donde me lo paso bien</v>
      </c>
      <c r="AA169" s="89" t="str">
        <f>Registro!Y169</f>
        <v>b) No</v>
      </c>
      <c r="AB169" s="89" t="str">
        <f>Registro!Z169</f>
        <v>a) Sí</v>
      </c>
      <c r="AC169" s="89"/>
      <c r="AD169" s="94">
        <f t="shared" si="10"/>
        <v>0</v>
      </c>
      <c r="AE169" s="89" t="str">
        <f>Registro!AB169</f>
        <v>c) Ser un excelente profesional</v>
      </c>
      <c r="AF169" s="89" t="str">
        <f>Registro!AC169</f>
        <v>c) Bastante</v>
      </c>
      <c r="AG169" s="89" t="str">
        <f>Registro!AD169</f>
        <v>a) Los deportes y diversiones, g) La relación con los docentes</v>
      </c>
      <c r="AH169" s="94">
        <f t="shared" si="12"/>
        <v>2</v>
      </c>
      <c r="AI169" s="89" t="str">
        <f>Registro!AE169</f>
        <v>b) 3 a 4 horas</v>
      </c>
      <c r="AJ169" s="89" t="str">
        <f>Registro!AF169</f>
        <v>d) Estoy la mayor parte del tiempo en la casa sin hacer nada, e) Suelo ir a algún parque, l) Escucho música y/o veo videos musicales</v>
      </c>
      <c r="AK169" s="94">
        <f t="shared" si="13"/>
        <v>3</v>
      </c>
      <c r="AL169" s="89" t="str">
        <f>Registro!AG169</f>
        <v>a) Muy bueno</v>
      </c>
      <c r="AM169" s="89" t="str">
        <f>Registro!AH169</f>
        <v>a) Muy buena</v>
      </c>
      <c r="AN169" s="89" t="str">
        <f>Registro!AI169</f>
        <v>a) Muy buena</v>
      </c>
      <c r="AO169" s="89" t="str">
        <f>Registro!AJ169</f>
        <v>a) Muy buena</v>
      </c>
      <c r="AP169" s="89" t="str">
        <f>Registro!AK169</f>
        <v>a) Muy buena</v>
      </c>
      <c r="AQ169" s="89" t="str">
        <f>Registro!AL169</f>
        <v>a) Muy buena</v>
      </c>
      <c r="AR169" s="89" t="str">
        <f>Registro!AM169</f>
        <v>a) Muy buena</v>
      </c>
      <c r="AS169" s="89" t="str">
        <f>Registro!AN169</f>
        <v>a) Muy buena</v>
      </c>
      <c r="AT169" s="89" t="str">
        <f>Registro!AO169</f>
        <v>a) Muy buena</v>
      </c>
      <c r="AU169" s="89" t="str">
        <f>Registro!AP169</f>
        <v>a) Muy buena</v>
      </c>
      <c r="AV169" s="89" t="str">
        <f>Registro!AQ169</f>
        <v>a) Muy buena</v>
      </c>
      <c r="AW169" s="89" t="str">
        <f>Registro!AR169</f>
        <v>a) El compañerismo</v>
      </c>
      <c r="AX169" s="89" t="str">
        <f>Registro!AS169</f>
        <v>a) Que sea un buen profesional</v>
      </c>
      <c r="AY169" s="89" t="str">
        <f>Registro!AT169</f>
        <v>d) Bastante necesaria</v>
      </c>
      <c r="AZ169" s="89" t="str">
        <f>Registro!AU169</f>
        <v>b) Las veces que bebo, es con moderación</v>
      </c>
      <c r="BA169" s="89" t="str">
        <f>Registro!AV169</f>
        <v>e) Educadores que se preocupan de nosotros</v>
      </c>
      <c r="BB169" s="89" t="str">
        <f>Registro!AW169</f>
        <v>c) Bastante</v>
      </c>
      <c r="BC169" s="89" t="str">
        <f>Registro!AX169</f>
        <v>e) Son personas que me gustan y admiro</v>
      </c>
      <c r="BD169" s="89" t="str">
        <f>Registro!AY169</f>
        <v>a) Mi padre, b) Mi madre, c) Un hermano/a, d) Un escolapio, religioso o religiosa, g) Un amigo, h) Una amiga, i) Un, una catequista o responsable de grupo</v>
      </c>
    </row>
    <row r="170" spans="1:56" ht="15" customHeight="1" x14ac:dyDescent="0.25">
      <c r="A170" s="101">
        <f>Registro!A170</f>
        <v>42158.289004629631</v>
      </c>
      <c r="B170" s="89" t="str">
        <f>Registro!B170</f>
        <v>c) Obra Social San José de Calasanz de Valencia</v>
      </c>
      <c r="C170" s="89" t="str">
        <f>Registro!C170</f>
        <v>a) Primer año</v>
      </c>
      <c r="D170" s="89" t="str">
        <f>Registro!D170</f>
        <v>a) Educación Inicial</v>
      </c>
      <c r="E170" s="89" t="str">
        <f>Registro!E170</f>
        <v>b) Femenino</v>
      </c>
      <c r="F170" s="89" t="str">
        <f>Registro!F170</f>
        <v>b) Evangélica</v>
      </c>
      <c r="G170" s="89" t="str">
        <f>Registro!G170</f>
        <v>b) Papá, c) Hermanos</v>
      </c>
      <c r="H170" s="89" t="str">
        <f>Registro!H170</f>
        <v>b) Casa Urbana</v>
      </c>
      <c r="I170" s="89" t="str">
        <f>Registro!I170</f>
        <v>a) Sí</v>
      </c>
      <c r="J170" s="89" t="str">
        <f>Registro!J170</f>
        <v>b) Lavadora, d) TV pantalla plana, i) Computadora, k) Aire acondicionado</v>
      </c>
      <c r="K170" s="89" t="str">
        <f>Registro!K170</f>
        <v>d) Tres</v>
      </c>
      <c r="L170" s="89" t="str">
        <f>Registro!L170</f>
        <v>a) La familia, b) Los amigos, f) Mi fe y vida cristiana</v>
      </c>
      <c r="M170" s="94">
        <f t="shared" si="14"/>
        <v>3</v>
      </c>
      <c r="N170" s="89" t="str">
        <f>Registro!M170</f>
        <v>g) Mis estudios</v>
      </c>
      <c r="O170" s="89" t="str">
        <f>Registro!N170</f>
        <v>b) Suficiente</v>
      </c>
      <c r="P170" s="89" t="str">
        <f>Registro!O170</f>
        <v>c) Poco</v>
      </c>
      <c r="Q170" s="89" t="str">
        <f>Registro!P170</f>
        <v>c) Poco</v>
      </c>
      <c r="R170" s="89" t="str">
        <f>Registro!Q170</f>
        <v>c) Los estudios, d) El cuidado de mi cuerpo, g) La felicidad</v>
      </c>
      <c r="S170" s="94">
        <f t="shared" si="11"/>
        <v>3</v>
      </c>
      <c r="T170" s="89" t="str">
        <f>Registro!R170</f>
        <v>a) Mucho</v>
      </c>
      <c r="U170" s="89" t="str">
        <f>Registro!S170</f>
        <v>a) La Iglesia, g) Mi familia, h) Algunas personas cercanas a Dios, k) La oración</v>
      </c>
      <c r="V170" s="89" t="str">
        <f>Registro!T170</f>
        <v>a) Suelo rezar por convicción o porque me gusta</v>
      </c>
      <c r="W170" s="89" t="str">
        <f>Registro!U170</f>
        <v>b) Algunos domingos</v>
      </c>
      <c r="X170" s="89" t="str">
        <f>Registro!V170</f>
        <v>g) En ocasiones, en mi casa tenemos una oración familiar</v>
      </c>
      <c r="Y170" s="89" t="str">
        <f>Registro!W170</f>
        <v>d) No pertenezco a ninguno</v>
      </c>
      <c r="Z170" s="89" t="str">
        <f>Registro!X170</f>
        <v>a) Un grupo donde profundizo mi fe</v>
      </c>
      <c r="AA170" s="89" t="str">
        <f>Registro!Y170</f>
        <v>b) No</v>
      </c>
      <c r="AB170" s="89" t="str">
        <f>Registro!Z170</f>
        <v>c) Algo</v>
      </c>
      <c r="AC170" s="89"/>
      <c r="AD170" s="94">
        <f t="shared" si="10"/>
        <v>0</v>
      </c>
      <c r="AE170" s="89" t="str">
        <f>Registro!AB170</f>
        <v>d) Desarrollarme personalmente</v>
      </c>
      <c r="AF170" s="89" t="str">
        <f>Registro!AC170</f>
        <v>c) Bastante</v>
      </c>
      <c r="AG170" s="89" t="str">
        <f>Registro!AD170</f>
        <v>a) Los deportes y diversiones, h) Las actividades extraescolares</v>
      </c>
      <c r="AH170" s="94">
        <f t="shared" si="12"/>
        <v>2</v>
      </c>
      <c r="AI170" s="89" t="str">
        <f>Registro!AE170</f>
        <v>a) 0 a 2 horas</v>
      </c>
      <c r="AJ170" s="89" t="str">
        <f>Registro!AF170</f>
        <v>i) Leo revistas o libros, m) Veo televisión y/o películas, n) Estoy conversando con los amigos/as</v>
      </c>
      <c r="AK170" s="94">
        <f t="shared" si="13"/>
        <v>3</v>
      </c>
      <c r="AL170" s="89" t="str">
        <f>Registro!AG170</f>
        <v>a) Muy bueno</v>
      </c>
      <c r="AM170" s="89" t="str">
        <f>Registro!AH170</f>
        <v>b) Buena</v>
      </c>
      <c r="AN170" s="89" t="str">
        <f>Registro!AI170</f>
        <v>b) Buena</v>
      </c>
      <c r="AO170" s="89" t="str">
        <f>Registro!AJ170</f>
        <v>a) Muy buena</v>
      </c>
      <c r="AP170" s="89" t="str">
        <f>Registro!AK170</f>
        <v>b) Buena</v>
      </c>
      <c r="AQ170" s="89" t="str">
        <f>Registro!AL170</f>
        <v>b) Buena</v>
      </c>
      <c r="AR170" s="89" t="str">
        <f>Registro!AM170</f>
        <v>a) Muy buena</v>
      </c>
      <c r="AS170" s="89" t="str">
        <f>Registro!AN170</f>
        <v>a) Muy buena</v>
      </c>
      <c r="AT170" s="89" t="str">
        <f>Registro!AO170</f>
        <v>a) Muy buena</v>
      </c>
      <c r="AU170" s="89" t="str">
        <f>Registro!AP170</f>
        <v>b) Buena</v>
      </c>
      <c r="AV170" s="89" t="str">
        <f>Registro!AQ170</f>
        <v>b) Buena</v>
      </c>
      <c r="AW170" s="89" t="str">
        <f>Registro!AR170</f>
        <v>h) La responsabilidad social y el servicio a los demás</v>
      </c>
      <c r="AX170" s="89" t="str">
        <f>Registro!AS170</f>
        <v>b) Darme una buena educación</v>
      </c>
      <c r="AY170" s="89" t="str">
        <f>Registro!AT170</f>
        <v>e) Absolutamente necesaria</v>
      </c>
      <c r="AZ170" s="89" t="str">
        <f>Registro!AU170</f>
        <v>a) No acostumbro a tomarlo nunca</v>
      </c>
      <c r="BA170" s="89" t="str">
        <f>Registro!AV170</f>
        <v>e) Educadores que se preocupan de nosotros</v>
      </c>
      <c r="BB170" s="89" t="str">
        <f>Registro!AW170</f>
        <v>c) Bastante</v>
      </c>
      <c r="BC170" s="89" t="str">
        <f>Registro!AX170</f>
        <v>e) Son personas que me gustan y admiro</v>
      </c>
      <c r="BD170" s="89" t="str">
        <f>Registro!AY170</f>
        <v>a) Mi padre, c) Un hermano/a, h) Una amiga</v>
      </c>
    </row>
    <row r="171" spans="1:56" ht="15" customHeight="1" x14ac:dyDescent="0.25">
      <c r="A171" s="101">
        <f>Registro!A171</f>
        <v>42158.290868055556</v>
      </c>
      <c r="B171" s="89" t="str">
        <f>Registro!B171</f>
        <v>c) Obra Social San José de Calasanz de Valencia</v>
      </c>
      <c r="C171" s="89" t="str">
        <f>Registro!C171</f>
        <v>a) Primer año</v>
      </c>
      <c r="D171" s="89" t="str">
        <f>Registro!D171</f>
        <v>b) Primaria</v>
      </c>
      <c r="E171" s="89" t="str">
        <f>Registro!E171</f>
        <v>b) Femenino</v>
      </c>
      <c r="F171" s="89" t="str">
        <f>Registro!F171</f>
        <v>a) Católica</v>
      </c>
      <c r="G171" s="89" t="str">
        <f>Registro!G171</f>
        <v>a) Mamá, b) Papá, c) Hermanos, e) Otros familiares</v>
      </c>
      <c r="H171" s="89" t="str">
        <f>Registro!H171</f>
        <v>b) Casa Urbana</v>
      </c>
      <c r="I171" s="89" t="str">
        <f>Registro!I171</f>
        <v>c) Algo</v>
      </c>
      <c r="J171" s="89" t="str">
        <f>Registro!J171</f>
        <v>c) Microondas, d) TV pantalla plana, e) Moto, k) Aire acondicionado</v>
      </c>
      <c r="K171" s="89" t="str">
        <f>Registro!K171</f>
        <v>c) Dos</v>
      </c>
      <c r="L171" s="89" t="str">
        <f>Registro!L171</f>
        <v>a) La familia, d) El cuidado de mi cuerpo, f) Mi fe y vida cristiana</v>
      </c>
      <c r="M171" s="94">
        <f t="shared" si="14"/>
        <v>3</v>
      </c>
      <c r="N171" s="89" t="str">
        <f>Registro!M171</f>
        <v>f) La situación política del país</v>
      </c>
      <c r="O171" s="89" t="str">
        <f>Registro!N171</f>
        <v>b) Suficiente</v>
      </c>
      <c r="P171" s="89" t="str">
        <f>Registro!O171</f>
        <v>a) Mucho</v>
      </c>
      <c r="Q171" s="89" t="str">
        <f>Registro!P171</f>
        <v>b) Suficiente</v>
      </c>
      <c r="R171" s="89"/>
      <c r="S171" s="94">
        <f t="shared" si="11"/>
        <v>0</v>
      </c>
      <c r="T171" s="89" t="str">
        <f>Registro!R171</f>
        <v>a) Mucho</v>
      </c>
      <c r="U171" s="89" t="str">
        <f>Registro!S171</f>
        <v>a) La Iglesia, b) La naturaleza, c) El salón de clase, e) Los amigos, g) Mi familia, i) Los necesitados, j) Todas partes, k) La oración</v>
      </c>
      <c r="V171" s="89" t="str">
        <f>Registro!T171</f>
        <v>b) Rezo por costumbre</v>
      </c>
      <c r="W171" s="89" t="str">
        <f>Registro!U171</f>
        <v>b) Algunos domingos</v>
      </c>
      <c r="X171" s="89" t="str">
        <f>Registro!V171</f>
        <v>c) Suelo ir los domingos y otras fechas especiales a la Iglesia, d) Suelo orar todos los días, e) Voy a misa en las fechas de mis familiares difuntos, f) En alguna ocasión he rezado el rosario, h) En Semana Santa asisto a las procesiones</v>
      </c>
      <c r="Y171" s="89" t="str">
        <f>Registro!W171</f>
        <v>c) Religioso o parroquial</v>
      </c>
      <c r="Z171" s="89" t="str">
        <f>Registro!X171</f>
        <v>a) Un grupo donde profundizo mi fe</v>
      </c>
      <c r="AA171" s="89" t="str">
        <f>Registro!Y171</f>
        <v>b) No</v>
      </c>
      <c r="AB171" s="89" t="str">
        <f>Registro!Z171</f>
        <v>b) No</v>
      </c>
      <c r="AC171" s="89"/>
      <c r="AD171" s="94">
        <f t="shared" si="10"/>
        <v>0</v>
      </c>
      <c r="AE171" s="89" t="str">
        <f>Registro!AB171</f>
        <v>e) Servir a los demás</v>
      </c>
      <c r="AF171" s="89" t="str">
        <f>Registro!AC171</f>
        <v>c) Bastante</v>
      </c>
      <c r="AG171" s="89" t="str">
        <f>Registro!AD171</f>
        <v>e) La mayor posibilidad de vivir mi fe, h) Las actividades extraescolares</v>
      </c>
      <c r="AH171" s="94">
        <f t="shared" si="12"/>
        <v>2</v>
      </c>
      <c r="AI171" s="89" t="str">
        <f>Registro!AE171</f>
        <v>b) 3 a 4 horas</v>
      </c>
      <c r="AJ171" s="89" t="str">
        <f>Registro!AF171</f>
        <v>b) Navego en Internet, j) Estoy en algún grupo juvenil, m) Veo televisión y/o películas</v>
      </c>
      <c r="AK171" s="94">
        <f t="shared" si="13"/>
        <v>3</v>
      </c>
      <c r="AL171" s="89" t="str">
        <f>Registro!AG171</f>
        <v>a) Muy bueno</v>
      </c>
      <c r="AM171" s="89" t="str">
        <f>Registro!AH171</f>
        <v>a) Muy buena</v>
      </c>
      <c r="AN171" s="89" t="str">
        <f>Registro!AI171</f>
        <v>a) Muy buena</v>
      </c>
      <c r="AO171" s="89" t="str">
        <f>Registro!AJ171</f>
        <v>a) Muy buena</v>
      </c>
      <c r="AP171" s="89">
        <f>Registro!AK171</f>
        <v>0</v>
      </c>
      <c r="AQ171" s="89" t="str">
        <f>Registro!AL171</f>
        <v>b) Buena</v>
      </c>
      <c r="AR171" s="89" t="str">
        <f>Registro!AM171</f>
        <v>a) Muy buena</v>
      </c>
      <c r="AS171" s="89" t="str">
        <f>Registro!AN171</f>
        <v>a) Muy buena</v>
      </c>
      <c r="AT171" s="89" t="str">
        <f>Registro!AO171</f>
        <v>a) Muy buena</v>
      </c>
      <c r="AU171" s="89" t="str">
        <f>Registro!AP171</f>
        <v>a) Muy buena</v>
      </c>
      <c r="AV171" s="89" t="str">
        <f>Registro!AQ171</f>
        <v>a) Muy buena</v>
      </c>
      <c r="AW171" s="89" t="str">
        <f>Registro!AR171</f>
        <v>g) La orientación profesional futura</v>
      </c>
      <c r="AX171" s="89" t="str">
        <f>Registro!AS171</f>
        <v>b) Darme una buena educación</v>
      </c>
      <c r="AY171" s="89" t="str">
        <f>Registro!AT171</f>
        <v>e) Absolutamente necesaria</v>
      </c>
      <c r="AZ171" s="89" t="str">
        <f>Registro!AU171</f>
        <v>a) No acostumbro a tomarlo nunca</v>
      </c>
      <c r="BA171" s="89" t="str">
        <f>Registro!AV171</f>
        <v>e) Educadores que se preocupan de nosotros</v>
      </c>
      <c r="BB171" s="89" t="str">
        <f>Registro!AW171</f>
        <v>c) Bastante</v>
      </c>
      <c r="BC171" s="89" t="str">
        <f>Registro!AX171</f>
        <v>e) Son personas que me gustan y admiro</v>
      </c>
      <c r="BD171" s="89" t="str">
        <f>Registro!AY171</f>
        <v>b) Mi madre, h) Una amiga</v>
      </c>
    </row>
    <row r="172" spans="1:56" ht="15" customHeight="1" x14ac:dyDescent="0.25">
      <c r="A172" s="101">
        <f>Registro!A172</f>
        <v>42158.308506944442</v>
      </c>
      <c r="B172" s="89" t="str">
        <f>Registro!B172</f>
        <v>c) Obra Social San José de Calasanz de Valencia</v>
      </c>
      <c r="C172" s="89" t="str">
        <f>Registro!C172</f>
        <v>a) Primer año</v>
      </c>
      <c r="D172" s="89" t="str">
        <f>Registro!D172</f>
        <v>c) Entre Primero y Tercer año</v>
      </c>
      <c r="E172" s="89" t="str">
        <f>Registro!E172</f>
        <v>a) Masculino</v>
      </c>
      <c r="F172" s="89" t="str">
        <f>Registro!F172</f>
        <v>a) Católica</v>
      </c>
      <c r="G172" s="89" t="str">
        <f>Registro!G172</f>
        <v>a) Mamá, b) Papá</v>
      </c>
      <c r="H172" s="89" t="str">
        <f>Registro!H172</f>
        <v>b) Casa Urbana</v>
      </c>
      <c r="I172" s="89" t="str">
        <f>Registro!I172</f>
        <v>a) Sí</v>
      </c>
      <c r="J172" s="89" t="str">
        <f>Registro!J172</f>
        <v>a) Cónsola videojuegos, b) Lavadora, c) Microondas, d) TV pantalla plana, f) MP3, h) Carro, i) Computadora, j) Cámara digital, k) Aire acondicionado</v>
      </c>
      <c r="K172" s="89" t="str">
        <f>Registro!K172</f>
        <v>a) Ninguna</v>
      </c>
      <c r="L172" s="89"/>
      <c r="M172" s="94">
        <f t="shared" si="14"/>
        <v>0</v>
      </c>
      <c r="N172" s="89" t="str">
        <f>Registro!M172</f>
        <v>b) El futuro</v>
      </c>
      <c r="O172" s="89" t="str">
        <f>Registro!N172</f>
        <v>a) Mucho</v>
      </c>
      <c r="P172" s="89" t="str">
        <f>Registro!O172</f>
        <v>c) Poco</v>
      </c>
      <c r="Q172" s="89" t="str">
        <f>Registro!P172</f>
        <v>c) Poco</v>
      </c>
      <c r="R172" s="89"/>
      <c r="S172" s="94">
        <f t="shared" si="11"/>
        <v>0</v>
      </c>
      <c r="T172" s="89" t="str">
        <f>Registro!R172</f>
        <v>a) Mucho</v>
      </c>
      <c r="U172" s="89" t="str">
        <f>Registro!S172</f>
        <v>a) La Iglesia</v>
      </c>
      <c r="V172" s="89" t="str">
        <f>Registro!T172</f>
        <v>a) Suelo rezar por convicción o porque me gusta</v>
      </c>
      <c r="W172" s="89" t="str">
        <f>Registro!U172</f>
        <v>b) Algunos domingos</v>
      </c>
      <c r="X172" s="89" t="str">
        <f>Registro!V172</f>
        <v>a) Suelo llevar una cruz o algún objeto religioso, i) Tengo en mi cuarto alguna imagen religiosa</v>
      </c>
      <c r="Y172" s="89" t="str">
        <f>Registro!W172</f>
        <v>a) Deportivo</v>
      </c>
      <c r="Z172" s="89" t="str">
        <f>Registro!X172</f>
        <v>c) Un lugar donde me lo paso bien</v>
      </c>
      <c r="AA172" s="89" t="str">
        <f>Registro!Y172</f>
        <v>b) No</v>
      </c>
      <c r="AB172" s="89" t="str">
        <f>Registro!Z172</f>
        <v>a) Sí</v>
      </c>
      <c r="AC172" s="89" t="str">
        <f>Registro!AA172</f>
        <v>a) Medicina</v>
      </c>
      <c r="AD172" s="94">
        <f t="shared" si="10"/>
        <v>1</v>
      </c>
      <c r="AE172" s="89" t="str">
        <f>Registro!AB172</f>
        <v>c) Ser un excelente profesional</v>
      </c>
      <c r="AF172" s="89" t="str">
        <f>Registro!AC172</f>
        <v>c) Bastante</v>
      </c>
      <c r="AG172" s="89" t="str">
        <f>Registro!AD172</f>
        <v>e) La mayor posibilidad de vivir mi fe</v>
      </c>
      <c r="AH172" s="94">
        <f t="shared" si="12"/>
        <v>1</v>
      </c>
      <c r="AI172" s="89" t="str">
        <f>Registro!AE172</f>
        <v>a) 0 a 2 horas</v>
      </c>
      <c r="AJ172" s="89" t="str">
        <f>Registro!AF172</f>
        <v>a) Me divierto con juegos para computadoras, b) Navego en Internet, m) Veo televisión y/o películas</v>
      </c>
      <c r="AK172" s="94">
        <f t="shared" si="13"/>
        <v>3</v>
      </c>
      <c r="AL172" s="89" t="str">
        <f>Registro!AG172</f>
        <v>c) Regular</v>
      </c>
      <c r="AM172" s="89" t="str">
        <f>Registro!AH172</f>
        <v>b) Buena</v>
      </c>
      <c r="AN172" s="89" t="str">
        <f>Registro!AI172</f>
        <v>b) Buena</v>
      </c>
      <c r="AO172" s="89" t="str">
        <f>Registro!AJ172</f>
        <v>c) Regular</v>
      </c>
      <c r="AP172" s="89" t="str">
        <f>Registro!AK172</f>
        <v>b) Buena</v>
      </c>
      <c r="AQ172" s="89" t="str">
        <f>Registro!AL172</f>
        <v>c) Regular</v>
      </c>
      <c r="AR172" s="89" t="str">
        <f>Registro!AM172</f>
        <v>a) Muy buena</v>
      </c>
      <c r="AS172" s="89" t="str">
        <f>Registro!AN172</f>
        <v>d) Mala</v>
      </c>
      <c r="AT172" s="89" t="str">
        <f>Registro!AO172</f>
        <v>b) Buena</v>
      </c>
      <c r="AU172" s="89" t="str">
        <f>Registro!AP172</f>
        <v>b) Buena</v>
      </c>
      <c r="AV172" s="89" t="str">
        <f>Registro!AQ172</f>
        <v>b) Buena</v>
      </c>
      <c r="AW172" s="89" t="str">
        <f>Registro!AR172</f>
        <v>a) El compañerismo</v>
      </c>
      <c r="AX172" s="89" t="str">
        <f>Registro!AS172</f>
        <v>h) No sé</v>
      </c>
      <c r="AY172" s="89" t="str">
        <f>Registro!AT172</f>
        <v>a) Innecesaria</v>
      </c>
      <c r="AZ172" s="89" t="str">
        <f>Registro!AU172</f>
        <v>a) No acostumbro a tomarlo nunca</v>
      </c>
      <c r="BA172" s="89" t="str">
        <f>Registro!AV172</f>
        <v>c) Profesionales que hacen lo que pueden</v>
      </c>
      <c r="BB172" s="89" t="str">
        <f>Registro!AW172</f>
        <v>d) Mucho o muchísimo</v>
      </c>
      <c r="BC172" s="89" t="str">
        <f>Registro!AX172</f>
        <v>a) No me gustan en absoluto</v>
      </c>
      <c r="BD172" s="89" t="str">
        <f>Registro!AY172</f>
        <v>a) Mi padre, b) Mi madre, g) Un amigo, h) Una amiga</v>
      </c>
    </row>
    <row r="173" spans="1:56" ht="15" customHeight="1" x14ac:dyDescent="0.25">
      <c r="A173" s="101">
        <f>Registro!A173</f>
        <v>42158.309050925927</v>
      </c>
      <c r="B173" s="89" t="str">
        <f>Registro!B173</f>
        <v>c) Obra Social San José de Calasanz de Valencia</v>
      </c>
      <c r="C173" s="89" t="str">
        <f>Registro!C173</f>
        <v>b) Tercer año</v>
      </c>
      <c r="D173" s="89" t="str">
        <f>Registro!D173</f>
        <v>a) Educación Inicial</v>
      </c>
      <c r="E173" s="89" t="str">
        <f>Registro!E173</f>
        <v>b) Femenino</v>
      </c>
      <c r="F173" s="89" t="str">
        <f>Registro!F173</f>
        <v>a) Católica</v>
      </c>
      <c r="G173" s="89" t="str">
        <f>Registro!G173</f>
        <v>a) Mamá, b) Papá, c) Hermanos</v>
      </c>
      <c r="H173" s="89" t="str">
        <f>Registro!H173</f>
        <v>b) Casa Urbana</v>
      </c>
      <c r="I173" s="89" t="str">
        <f>Registro!I173</f>
        <v>a) Sí</v>
      </c>
      <c r="J173" s="89" t="str">
        <f>Registro!J173</f>
        <v>a) Cónsola videojuegos, b) Lavadora, c) Microondas, g) MP4, h) Carro, i) Computadora, j) Cámara digital, k) Aire acondicionado</v>
      </c>
      <c r="K173" s="89" t="str">
        <f>Registro!K173</f>
        <v>b) Una</v>
      </c>
      <c r="L173" s="89" t="str">
        <f>Registro!L173</f>
        <v>a) La familia, b) Los amigos, c) Los estudios</v>
      </c>
      <c r="M173" s="94">
        <f t="shared" si="14"/>
        <v>3</v>
      </c>
      <c r="N173" s="89" t="str">
        <f>Registro!M173</f>
        <v>b) El futuro</v>
      </c>
      <c r="O173" s="89" t="str">
        <f>Registro!N173</f>
        <v>a) Mucho</v>
      </c>
      <c r="P173" s="89" t="str">
        <f>Registro!O173</f>
        <v>b) Suficiente</v>
      </c>
      <c r="Q173" s="89" t="str">
        <f>Registro!P173</f>
        <v>b) Suficiente</v>
      </c>
      <c r="R173" s="89" t="str">
        <f>Registro!Q173</f>
        <v>a) La familia, b) Los amigos, c) Los estudios</v>
      </c>
      <c r="S173" s="94">
        <f t="shared" si="11"/>
        <v>3</v>
      </c>
      <c r="T173" s="89" t="str">
        <f>Registro!R173</f>
        <v>a) Mucho</v>
      </c>
      <c r="U173" s="89" t="str">
        <f>Registro!S173</f>
        <v>a) La Iglesia, b) La naturaleza, c) El salón de clase, d) Las convivencias, e) Los amigos, f) Todas las personas, g) Mi familia, i) Los necesitados, j) Todas partes, k) La oración, l) Los sacramentos</v>
      </c>
      <c r="V173" s="89" t="str">
        <f>Registro!T173</f>
        <v>b) Rezo por costumbre</v>
      </c>
      <c r="W173" s="89" t="str">
        <f>Registro!U173</f>
        <v>c) Solo en fechas especiales</v>
      </c>
      <c r="X173" s="89" t="str">
        <f>Registro!V173</f>
        <v>e) Voy a misa en las fechas de mis familiares difuntos</v>
      </c>
      <c r="Y173" s="89" t="str">
        <f>Registro!W173</f>
        <v>d) No pertenezco a ninguno</v>
      </c>
      <c r="Z173" s="89" t="str">
        <f>Registro!X173</f>
        <v>d) No pertenezco a grupos juveniles cristianos</v>
      </c>
      <c r="AA173" s="89" t="str">
        <f>Registro!Y173</f>
        <v>b) No</v>
      </c>
      <c r="AB173" s="89" t="str">
        <f>Registro!Z173</f>
        <v>b) No</v>
      </c>
      <c r="AC173" s="89" t="str">
        <f>Registro!AA173</f>
        <v>a) Medicina, g) Artista</v>
      </c>
      <c r="AD173" s="94">
        <f t="shared" si="10"/>
        <v>2</v>
      </c>
      <c r="AE173" s="89" t="str">
        <f>Registro!AB173</f>
        <v>c) Ser un excelente profesional</v>
      </c>
      <c r="AF173" s="89" t="str">
        <f>Registro!AC173</f>
        <v>d) Mucho o muchísimo</v>
      </c>
      <c r="AG173" s="89" t="str">
        <f>Registro!AD173</f>
        <v>g) La relación con los docentes, h) Las actividades extraescolares</v>
      </c>
      <c r="AH173" s="94">
        <f t="shared" si="12"/>
        <v>2</v>
      </c>
      <c r="AI173" s="89" t="str">
        <f>Registro!AE173</f>
        <v>e) 9 a 10 horas</v>
      </c>
      <c r="AJ173" s="89" t="str">
        <f>Registro!AF173</f>
        <v>h) Suelo ir al cine, i) Leo revistas o libros, l) Escucho música y/o veo videos musicales</v>
      </c>
      <c r="AK173" s="94">
        <f t="shared" si="13"/>
        <v>3</v>
      </c>
      <c r="AL173" s="89" t="str">
        <f>Registro!AG173</f>
        <v>a) Muy bueno</v>
      </c>
      <c r="AM173" s="89" t="str">
        <f>Registro!AH173</f>
        <v>b) Buena</v>
      </c>
      <c r="AN173" s="89" t="str">
        <f>Registro!AI173</f>
        <v>b) Buena</v>
      </c>
      <c r="AO173" s="89" t="str">
        <f>Registro!AJ173</f>
        <v>a) Muy buena</v>
      </c>
      <c r="AP173" s="89" t="str">
        <f>Registro!AK173</f>
        <v>a) Muy buena</v>
      </c>
      <c r="AQ173" s="89" t="str">
        <f>Registro!AL173</f>
        <v>b) Buena</v>
      </c>
      <c r="AR173" s="89" t="str">
        <f>Registro!AM173</f>
        <v>b) Buena</v>
      </c>
      <c r="AS173" s="89" t="str">
        <f>Registro!AN173</f>
        <v>b) Buena</v>
      </c>
      <c r="AT173" s="89" t="str">
        <f>Registro!AO173</f>
        <v>a) Muy buena</v>
      </c>
      <c r="AU173" s="89" t="str">
        <f>Registro!AP173</f>
        <v>a) Muy buena</v>
      </c>
      <c r="AV173" s="89" t="str">
        <f>Registro!AQ173</f>
        <v>a) Muy buena</v>
      </c>
      <c r="AW173" s="89" t="str">
        <f>Registro!AR173</f>
        <v>h) La responsabilidad social y el servicio a los demás</v>
      </c>
      <c r="AX173" s="89" t="str">
        <f>Registro!AS173</f>
        <v>b) Darme una buena educación</v>
      </c>
      <c r="AY173" s="89" t="str">
        <f>Registro!AT173</f>
        <v>c) Conveniente</v>
      </c>
      <c r="AZ173" s="89" t="str">
        <f>Registro!AU173</f>
        <v>a) No acostumbro a tomarlo nunca</v>
      </c>
      <c r="BA173" s="89" t="str">
        <f>Registro!AV173</f>
        <v>f) Educadores que, además, me han abierto caminos</v>
      </c>
      <c r="BB173" s="89" t="str">
        <f>Registro!AW173</f>
        <v>d) Mucho o muchísimo</v>
      </c>
      <c r="BC173" s="89" t="str">
        <f>Registro!AX173</f>
        <v>e) Son personas que me gustan y admiro</v>
      </c>
      <c r="BD173" s="89" t="str">
        <f>Registro!AY173</f>
        <v>a) Mi padre, b) Mi madre, c) Un hermano/a, e) Un, una docente, g) Un amigo, h) Una amiga</v>
      </c>
    </row>
    <row r="174" spans="1:56" ht="15" customHeight="1" x14ac:dyDescent="0.25">
      <c r="A174" s="101">
        <f>Registro!A174</f>
        <v>42158.309120370373</v>
      </c>
      <c r="B174" s="89" t="str">
        <f>Registro!B174</f>
        <v>c) Obra Social San José de Calasanz de Valencia</v>
      </c>
      <c r="C174" s="89" t="str">
        <f>Registro!C174</f>
        <v>b) Tercer año</v>
      </c>
      <c r="D174" s="89" t="str">
        <f>Registro!D174</f>
        <v>b) Primaria</v>
      </c>
      <c r="E174" s="89" t="str">
        <f>Registro!E174</f>
        <v>a) Masculino</v>
      </c>
      <c r="F174" s="89" t="str">
        <f>Registro!F174</f>
        <v>d) Otra</v>
      </c>
      <c r="G174" s="89" t="str">
        <f>Registro!G174</f>
        <v>a) Mamá, b) Papá, c) Hermanos</v>
      </c>
      <c r="H174" s="89" t="str">
        <f>Registro!H174</f>
        <v>b) Casa Urbana</v>
      </c>
      <c r="I174" s="89" t="str">
        <f>Registro!I174</f>
        <v>c) Algo</v>
      </c>
      <c r="J174" s="89" t="str">
        <f>Registro!J174</f>
        <v>d) TV pantalla plana, i) Computadora, j) Cámara digital</v>
      </c>
      <c r="K174" s="89" t="str">
        <f>Registro!K174</f>
        <v>b) Una</v>
      </c>
      <c r="L174" s="89" t="str">
        <f>Registro!L174</f>
        <v>a) La familia, c) Los estudios, i) La música</v>
      </c>
      <c r="M174" s="94">
        <f t="shared" si="14"/>
        <v>3</v>
      </c>
      <c r="N174" s="89" t="str">
        <f>Registro!M174</f>
        <v>b) El futuro</v>
      </c>
      <c r="O174" s="89" t="str">
        <f>Registro!N174</f>
        <v>c) Poco</v>
      </c>
      <c r="P174" s="89" t="str">
        <f>Registro!O174</f>
        <v>a) Mucho</v>
      </c>
      <c r="Q174" s="89" t="str">
        <f>Registro!P174</f>
        <v>c) Poco</v>
      </c>
      <c r="R174" s="89" t="str">
        <f>Registro!Q174</f>
        <v>a) La familia, b) Los amigos, c) Los estudios</v>
      </c>
      <c r="S174" s="94">
        <f t="shared" si="11"/>
        <v>3</v>
      </c>
      <c r="T174" s="89" t="str">
        <f>Registro!R174</f>
        <v>a) Mucho</v>
      </c>
      <c r="U174" s="89" t="str">
        <f>Registro!S174</f>
        <v>b) La naturaleza, g) Mi familia, j) Todas partes, k) La oración</v>
      </c>
      <c r="V174" s="89" t="str">
        <f>Registro!T174</f>
        <v>c) Rezo solo en situación de dificultad</v>
      </c>
      <c r="W174" s="89" t="str">
        <f>Registro!U174</f>
        <v>d) Nunca</v>
      </c>
      <c r="X174" s="89" t="str">
        <f>Registro!V174</f>
        <v>f) En alguna ocasión he rezado el rosario, g) En ocasiones, en mi casa tenemos una oración familiar</v>
      </c>
      <c r="Y174" s="89" t="str">
        <f>Registro!W174</f>
        <v xml:space="preserve">b) Cultural (folklórico, musicales, danzas, scout, banda marcial,...) </v>
      </c>
      <c r="Z174" s="89" t="str">
        <f>Registro!X174</f>
        <v>d) No pertenezco a grupos juveniles cristianos</v>
      </c>
      <c r="AA174" s="89" t="str">
        <f>Registro!Y174</f>
        <v>c) Algo</v>
      </c>
      <c r="AB174" s="89" t="str">
        <f>Registro!Z174</f>
        <v>b) No</v>
      </c>
      <c r="AC174" s="89" t="str">
        <f>Registro!AA174</f>
        <v>d) Ingeniería, g) Artista</v>
      </c>
      <c r="AD174" s="94">
        <f t="shared" si="10"/>
        <v>2</v>
      </c>
      <c r="AE174" s="89" t="str">
        <f>Registro!AB174</f>
        <v>c) Ser un excelente profesional</v>
      </c>
      <c r="AF174" s="89" t="str">
        <f>Registro!AC174</f>
        <v>b) Poco</v>
      </c>
      <c r="AG174" s="89" t="str">
        <f>Registro!AD174</f>
        <v>g) La relación con los docentes, i) No me gusta nada</v>
      </c>
      <c r="AH174" s="94">
        <f t="shared" si="12"/>
        <v>2</v>
      </c>
      <c r="AI174" s="89" t="str">
        <f>Registro!AE174</f>
        <v>b) 3 a 4 horas</v>
      </c>
      <c r="AJ174" s="89" t="str">
        <f>Registro!AF174</f>
        <v>b) Navego en Internet, f) Toco un instrumento musical, l) Escucho música y/o veo videos musicales</v>
      </c>
      <c r="AK174" s="94">
        <f t="shared" si="13"/>
        <v>3</v>
      </c>
      <c r="AL174" s="89" t="str">
        <f>Registro!AG174</f>
        <v>b) Bueno</v>
      </c>
      <c r="AM174" s="89" t="str">
        <f>Registro!AH174</f>
        <v>a) Muy buena</v>
      </c>
      <c r="AN174" s="89" t="str">
        <f>Registro!AI174</f>
        <v>a) Muy buena</v>
      </c>
      <c r="AO174" s="89" t="str">
        <f>Registro!AJ174</f>
        <v>a) Muy buena</v>
      </c>
      <c r="AP174" s="89" t="str">
        <f>Registro!AK174</f>
        <v>b) Buena</v>
      </c>
      <c r="AQ174" s="89" t="str">
        <f>Registro!AL174</f>
        <v>c) Regular</v>
      </c>
      <c r="AR174" s="89" t="str">
        <f>Registro!AM174</f>
        <v>c) Regular</v>
      </c>
      <c r="AS174" s="89" t="str">
        <f>Registro!AN174</f>
        <v>b) Buena</v>
      </c>
      <c r="AT174" s="89" t="str">
        <f>Registro!AO174</f>
        <v>b) Buena</v>
      </c>
      <c r="AU174" s="89" t="str">
        <f>Registro!AP174</f>
        <v>b) Buena</v>
      </c>
      <c r="AV174" s="89" t="str">
        <f>Registro!AQ174</f>
        <v>c) Regular</v>
      </c>
      <c r="AW174" s="89" t="str">
        <f>Registro!AR174</f>
        <v>e) La disciplina y el orden</v>
      </c>
      <c r="AX174" s="89" t="str">
        <f>Registro!AS174</f>
        <v>c) Que me preocupe de los demás</v>
      </c>
      <c r="AY174" s="89" t="str">
        <f>Registro!AT174</f>
        <v>d) Bastante necesaria</v>
      </c>
      <c r="AZ174" s="89" t="str">
        <f>Registro!AU174</f>
        <v>a) No acostumbro a tomarlo nunca</v>
      </c>
      <c r="BA174" s="89" t="str">
        <f>Registro!AV174</f>
        <v>f) Educadores que, además, me han abierto caminos</v>
      </c>
      <c r="BB174" s="89" t="str">
        <f>Registro!AW174</f>
        <v>c) Bastante</v>
      </c>
      <c r="BC174" s="89" t="str">
        <f>Registro!AX174</f>
        <v>d) Hay de todo tipo, pero predomina lo positivo</v>
      </c>
      <c r="BD174" s="89" t="str">
        <f>Registro!AY174</f>
        <v>b) Mi madre, g) Un amigo, j) Nadie</v>
      </c>
    </row>
    <row r="175" spans="1:56" ht="15" customHeight="1" x14ac:dyDescent="0.25">
      <c r="A175" s="101">
        <f>Registro!A175</f>
        <v>42158.309178240743</v>
      </c>
      <c r="B175" s="89" t="str">
        <f>Registro!B175</f>
        <v>c) Obra Social San José de Calasanz de Valencia</v>
      </c>
      <c r="C175" s="89" t="str">
        <f>Registro!C175</f>
        <v>b) Tercer año</v>
      </c>
      <c r="D175" s="89" t="str">
        <f>Registro!D175</f>
        <v>c) Entre Primero y Tercer año</v>
      </c>
      <c r="E175" s="89" t="str">
        <f>Registro!E175</f>
        <v>b) Femenino</v>
      </c>
      <c r="F175" s="89" t="str">
        <f>Registro!F175</f>
        <v>a) Católica</v>
      </c>
      <c r="G175" s="89" t="str">
        <f>Registro!G175</f>
        <v>a) Mamá, b) Papá, c) Hermanos, e) Otros familiares</v>
      </c>
      <c r="H175" s="89" t="str">
        <f>Registro!H175</f>
        <v>b) Casa Urbana</v>
      </c>
      <c r="I175" s="89" t="str">
        <f>Registro!I175</f>
        <v>d) No sé</v>
      </c>
      <c r="J175" s="89" t="str">
        <f>Registro!J175</f>
        <v>a) Cónsola videojuegos, b) Lavadora, c) Microondas, d) TV pantalla plana, f) MP3, g) MP4, h) Carro, i) Computadora, j) Cámara digital, k) Aire acondicionado</v>
      </c>
      <c r="K175" s="89" t="str">
        <f>Registro!K175</f>
        <v>d) Tres</v>
      </c>
      <c r="L175" s="89" t="str">
        <f>Registro!L175</f>
        <v>a) La familia, b) Los amigos, d) El cuidado de mi cuerpo</v>
      </c>
      <c r="M175" s="94">
        <f t="shared" si="14"/>
        <v>3</v>
      </c>
      <c r="N175" s="89" t="str">
        <f>Registro!M175</f>
        <v>f) La situación política del país</v>
      </c>
      <c r="O175" s="89" t="str">
        <f>Registro!N175</f>
        <v>c) Poco</v>
      </c>
      <c r="P175" s="89" t="str">
        <f>Registro!O175</f>
        <v>c) Poco</v>
      </c>
      <c r="Q175" s="89" t="str">
        <f>Registro!P175</f>
        <v>d) Nada</v>
      </c>
      <c r="R175" s="89" t="str">
        <f>Registro!Q175</f>
        <v>c) Los estudios, i) La música, k) Internet</v>
      </c>
      <c r="S175" s="94">
        <f t="shared" si="11"/>
        <v>3</v>
      </c>
      <c r="T175" s="89" t="str">
        <f>Registro!R175</f>
        <v>a) Mucho</v>
      </c>
      <c r="U175" s="89" t="str">
        <f>Registro!S175</f>
        <v>d) Las convivencias, e) Los amigos, g) Mi familia, h) Algunas personas cercanas a Dios, i) Los necesitados, k) La oración</v>
      </c>
      <c r="V175" s="89" t="str">
        <f>Registro!T175</f>
        <v>a) Suelo rezar por convicción o porque me gusta</v>
      </c>
      <c r="W175" s="89" t="str">
        <f>Registro!U175</f>
        <v>c) Solo en fechas especiales</v>
      </c>
      <c r="X175" s="89" t="str">
        <f>Registro!V175</f>
        <v>e) Voy a misa en las fechas de mis familiares difuntos, f) En alguna ocasión he rezado el rosario, i) Tengo en mi cuarto alguna imagen religiosa</v>
      </c>
      <c r="Y175" s="89" t="str">
        <f>Registro!W175</f>
        <v>d) No pertenezco a ninguno</v>
      </c>
      <c r="Z175" s="89" t="str">
        <f>Registro!X175</f>
        <v>c) Un lugar donde me lo paso bien</v>
      </c>
      <c r="AA175" s="89" t="str">
        <f>Registro!Y175</f>
        <v>b) No</v>
      </c>
      <c r="AB175" s="89" t="str">
        <f>Registro!Z175</f>
        <v>b) No</v>
      </c>
      <c r="AC175" s="89"/>
      <c r="AD175" s="94">
        <f t="shared" si="10"/>
        <v>0</v>
      </c>
      <c r="AE175" s="89" t="str">
        <f>Registro!AB175</f>
        <v>d) Desarrollarme personalmente</v>
      </c>
      <c r="AF175" s="89" t="str">
        <f>Registro!AC175</f>
        <v>e) No sé</v>
      </c>
      <c r="AG175" s="89" t="str">
        <f>Registro!AD175</f>
        <v>i) No me gusta nada</v>
      </c>
      <c r="AH175" s="94">
        <f t="shared" si="12"/>
        <v>1</v>
      </c>
      <c r="AI175" s="89" t="str">
        <f>Registro!AE175</f>
        <v>a) 0 a 2 horas</v>
      </c>
      <c r="AJ175" s="89" t="str">
        <f>Registro!AF175</f>
        <v>a) Me divierto con juegos para computadoras, b) Navego en Internet, d) Estoy la mayor parte del tiempo en la casa sin hacer nada</v>
      </c>
      <c r="AK175" s="94">
        <f t="shared" si="13"/>
        <v>3</v>
      </c>
      <c r="AL175" s="89" t="str">
        <f>Registro!AG175</f>
        <v>b) Bueno</v>
      </c>
      <c r="AM175" s="89" t="str">
        <f>Registro!AH175</f>
        <v>f) No aplica</v>
      </c>
      <c r="AN175" s="89" t="str">
        <f>Registro!AI175</f>
        <v>b) Buena</v>
      </c>
      <c r="AO175" s="89" t="str">
        <f>Registro!AJ175</f>
        <v>c) Regular</v>
      </c>
      <c r="AP175" s="89" t="str">
        <f>Registro!AK175</f>
        <v>c) Regular</v>
      </c>
      <c r="AQ175" s="89" t="str">
        <f>Registro!AL175</f>
        <v>c) Regular</v>
      </c>
      <c r="AR175" s="89" t="str">
        <f>Registro!AM175</f>
        <v>c) Regular</v>
      </c>
      <c r="AS175" s="89" t="str">
        <f>Registro!AN175</f>
        <v>b) Buena</v>
      </c>
      <c r="AT175" s="89" t="str">
        <f>Registro!AO175</f>
        <v>a) Muy buena</v>
      </c>
      <c r="AU175" s="89" t="str">
        <f>Registro!AP175</f>
        <v>c) Regular</v>
      </c>
      <c r="AV175" s="89" t="str">
        <f>Registro!AQ175</f>
        <v>a) Muy buena</v>
      </c>
      <c r="AW175" s="89" t="str">
        <f>Registro!AR175</f>
        <v>i) En nada</v>
      </c>
      <c r="AX175" s="89" t="str">
        <f>Registro!AS175</f>
        <v>a) Que sea un buen profesional</v>
      </c>
      <c r="AY175" s="89" t="str">
        <f>Registro!AT175</f>
        <v>e) Absolutamente necesaria</v>
      </c>
      <c r="AZ175" s="89" t="str">
        <f>Registro!AU175</f>
        <v>c) Alguna vez he bebido más de la cuenta</v>
      </c>
      <c r="BA175" s="89" t="str">
        <f>Registro!AV175</f>
        <v>c) Profesionales que hacen lo que pueden</v>
      </c>
      <c r="BB175" s="89" t="str">
        <f>Registro!AW175</f>
        <v>b) Poco</v>
      </c>
      <c r="BC175" s="89" t="str">
        <f>Registro!AX175</f>
        <v>e) Son personas que me gustan y admiro</v>
      </c>
      <c r="BD175" s="89" t="str">
        <f>Registro!AY175</f>
        <v>a) Mi padre, b) Mi madre, c) Un hermano/a, g) Un amigo, h) Una amiga</v>
      </c>
    </row>
    <row r="176" spans="1:56" ht="15" customHeight="1" x14ac:dyDescent="0.25">
      <c r="A176" s="101">
        <f>Registro!A176</f>
        <v>42158.309513888889</v>
      </c>
      <c r="B176" s="89" t="str">
        <f>Registro!B176</f>
        <v>c) Obra Social San José de Calasanz de Valencia</v>
      </c>
      <c r="C176" s="89" t="str">
        <f>Registro!C176</f>
        <v>b) Tercer año</v>
      </c>
      <c r="D176" s="89" t="str">
        <f>Registro!D176</f>
        <v>a) Educación Inicial</v>
      </c>
      <c r="E176" s="89" t="str">
        <f>Registro!E176</f>
        <v>b) Femenino</v>
      </c>
      <c r="F176" s="89" t="str">
        <f>Registro!F176</f>
        <v>a) Católica</v>
      </c>
      <c r="G176" s="89" t="str">
        <f>Registro!G176</f>
        <v>a) Mamá, b) Papá, c) Hermanos</v>
      </c>
      <c r="H176" s="89" t="str">
        <f>Registro!H176</f>
        <v>b) Casa Urbana</v>
      </c>
      <c r="I176" s="89" t="str">
        <f>Registro!I176</f>
        <v>c) Algo</v>
      </c>
      <c r="J176" s="89" t="str">
        <f>Registro!J176</f>
        <v>b) Lavadora, d) TV pantalla plana, f) MP3, g) MP4, i) Computadora, j) Cámara digital, k) Aire acondicionado</v>
      </c>
      <c r="K176" s="89" t="str">
        <f>Registro!K176</f>
        <v>c) Dos</v>
      </c>
      <c r="L176" s="89" t="str">
        <f>Registro!L176</f>
        <v>a) La familia, b) Los amigos, c) Los estudios</v>
      </c>
      <c r="M176" s="94">
        <f t="shared" si="14"/>
        <v>3</v>
      </c>
      <c r="N176" s="89" t="str">
        <f>Registro!M176</f>
        <v>b) El futuro</v>
      </c>
      <c r="O176" s="89" t="str">
        <f>Registro!N176</f>
        <v>d) Nada</v>
      </c>
      <c r="P176" s="89" t="str">
        <f>Registro!O176</f>
        <v>b) Suficiente</v>
      </c>
      <c r="Q176" s="89" t="str">
        <f>Registro!P176</f>
        <v>b) Suficiente</v>
      </c>
      <c r="R176" s="89"/>
      <c r="S176" s="94">
        <f t="shared" si="11"/>
        <v>0</v>
      </c>
      <c r="T176" s="89" t="str">
        <f>Registro!R176</f>
        <v>a) Mucho</v>
      </c>
      <c r="U176" s="89" t="str">
        <f>Registro!S176</f>
        <v>a) La Iglesia, b) La naturaleza, c) El salón de clase, d) Las convivencias, e) Los amigos, f) Todas las personas, g) Mi familia, h) Algunas personas cercanas a Dios, i) Los necesitados, j) Todas partes, k) La oración, l) Los sacramentos</v>
      </c>
      <c r="V176" s="89" t="str">
        <f>Registro!T176</f>
        <v>c) Rezo solo en situación de dificultad</v>
      </c>
      <c r="W176" s="89" t="str">
        <f>Registro!U176</f>
        <v>c) Solo en fechas especiales</v>
      </c>
      <c r="X176" s="89" t="str">
        <f>Registro!V176</f>
        <v>e) Voy a misa en las fechas de mis familiares difuntos, h) En Semana Santa asisto a las procesiones, i) Tengo en mi cuarto alguna imagen religiosa</v>
      </c>
      <c r="Y176" s="89" t="str">
        <f>Registro!W176</f>
        <v>d) No pertenezco a ninguno</v>
      </c>
      <c r="Z176" s="89" t="str">
        <f>Registro!X176</f>
        <v>a) Un grupo donde profundizo mi fe</v>
      </c>
      <c r="AA176" s="89" t="str">
        <f>Registro!Y176</f>
        <v>b) No</v>
      </c>
      <c r="AB176" s="89" t="str">
        <f>Registro!Z176</f>
        <v>b) No</v>
      </c>
      <c r="AC176" s="89" t="str">
        <f>Registro!AA176</f>
        <v>e) Derecho, g) Artista</v>
      </c>
      <c r="AD176" s="94">
        <f t="shared" si="10"/>
        <v>2</v>
      </c>
      <c r="AE176" s="89" t="str">
        <f>Registro!AB176</f>
        <v>d) Desarrollarme personalmente</v>
      </c>
      <c r="AF176" s="89" t="str">
        <f>Registro!AC176</f>
        <v>c) Bastante</v>
      </c>
      <c r="AG176" s="89" t="str">
        <f>Registro!AD176</f>
        <v>b) El ambiente de estudio y de trabajo, h) Las actividades extraescolares</v>
      </c>
      <c r="AH176" s="94">
        <f t="shared" si="12"/>
        <v>2</v>
      </c>
      <c r="AI176" s="89" t="str">
        <f>Registro!AE176</f>
        <v>a) 0 a 2 horas</v>
      </c>
      <c r="AJ176" s="89"/>
      <c r="AK176" s="94">
        <f t="shared" si="13"/>
        <v>0</v>
      </c>
      <c r="AL176" s="89" t="str">
        <f>Registro!AG176</f>
        <v>a) Muy bueno</v>
      </c>
      <c r="AM176" s="89" t="str">
        <f>Registro!AH176</f>
        <v>d) Mala</v>
      </c>
      <c r="AN176" s="89" t="str">
        <f>Registro!AI176</f>
        <v>d) Mala</v>
      </c>
      <c r="AO176" s="89" t="str">
        <f>Registro!AJ176</f>
        <v>a) Muy buena</v>
      </c>
      <c r="AP176" s="89" t="str">
        <f>Registro!AK176</f>
        <v>d) Mala</v>
      </c>
      <c r="AQ176" s="89" t="str">
        <f>Registro!AL176</f>
        <v>b) Buena</v>
      </c>
      <c r="AR176" s="89" t="str">
        <f>Registro!AM176</f>
        <v>b) Buena</v>
      </c>
      <c r="AS176" s="89" t="str">
        <f>Registro!AN176</f>
        <v>b) Buena</v>
      </c>
      <c r="AT176" s="89" t="str">
        <f>Registro!AO176</f>
        <v>a) Muy buena</v>
      </c>
      <c r="AU176" s="89" t="str">
        <f>Registro!AP176</f>
        <v>a) Muy buena</v>
      </c>
      <c r="AV176" s="89" t="str">
        <f>Registro!AQ176</f>
        <v>b) Buena</v>
      </c>
      <c r="AW176" s="89" t="str">
        <f>Registro!AR176</f>
        <v>f) la práctica religiosa</v>
      </c>
      <c r="AX176" s="89" t="str">
        <f>Registro!AS176</f>
        <v>f) Que tenga honradez en la vida</v>
      </c>
      <c r="AY176" s="89" t="str">
        <f>Registro!AT176</f>
        <v>e) Absolutamente necesaria</v>
      </c>
      <c r="AZ176" s="89" t="str">
        <f>Registro!AU176</f>
        <v>b) Las veces que bebo, es con moderación</v>
      </c>
      <c r="BA176" s="89" t="str">
        <f>Registro!AV176</f>
        <v>e) Educadores que se preocupan de nosotros</v>
      </c>
      <c r="BB176" s="89" t="str">
        <f>Registro!AW176</f>
        <v>e) No sé</v>
      </c>
      <c r="BC176" s="89" t="str">
        <f>Registro!AX176</f>
        <v>d) Hay de todo tipo, pero predomina lo positivo</v>
      </c>
      <c r="BD176" s="89" t="str">
        <f>Registro!AY176</f>
        <v>j) Nadie</v>
      </c>
    </row>
    <row r="177" spans="1:56" ht="15" customHeight="1" x14ac:dyDescent="0.25">
      <c r="A177" s="101">
        <f>Registro!A177</f>
        <v>42158.309560185182</v>
      </c>
      <c r="B177" s="89" t="str">
        <f>Registro!B177</f>
        <v>c) Obra Social San José de Calasanz de Valencia</v>
      </c>
      <c r="C177" s="89" t="str">
        <f>Registro!C177</f>
        <v>b) Tercer año</v>
      </c>
      <c r="D177" s="89" t="str">
        <f>Registro!D177</f>
        <v>a) Educación Inicial</v>
      </c>
      <c r="E177" s="89" t="str">
        <f>Registro!E177</f>
        <v>a) Masculino</v>
      </c>
      <c r="F177" s="89" t="str">
        <f>Registro!F177</f>
        <v>a) Católica</v>
      </c>
      <c r="G177" s="89" t="str">
        <f>Registro!G177</f>
        <v>a) Mamá, b) Papá, d) Abuelos, e) Otros familiares</v>
      </c>
      <c r="H177" s="89" t="str">
        <f>Registro!H177</f>
        <v>b) Casa Urbana</v>
      </c>
      <c r="I177" s="89" t="str">
        <f>Registro!I177</f>
        <v>a) Sí</v>
      </c>
      <c r="J177" s="89" t="str">
        <f>Registro!J177</f>
        <v>a) Cónsola videojuegos, b) Lavadora, c) Microondas, d) TV pantalla plana, f) MP3, g) MP4, h) Carro, i) Computadora, j) Cámara digital, k) Aire acondicionado</v>
      </c>
      <c r="K177" s="89" t="str">
        <f>Registro!K177</f>
        <v>c) Dos</v>
      </c>
      <c r="L177" s="89"/>
      <c r="M177" s="94">
        <f t="shared" si="14"/>
        <v>0</v>
      </c>
      <c r="N177" s="89" t="str">
        <f>Registro!M177</f>
        <v>g) Mis estudios</v>
      </c>
      <c r="O177" s="89" t="str">
        <f>Registro!N177</f>
        <v>a) Mucho</v>
      </c>
      <c r="P177" s="89" t="str">
        <f>Registro!O177</f>
        <v>c) Poco</v>
      </c>
      <c r="Q177" s="89" t="str">
        <f>Registro!P177</f>
        <v>c) Poco</v>
      </c>
      <c r="R177" s="89"/>
      <c r="S177" s="94">
        <f t="shared" si="11"/>
        <v>0</v>
      </c>
      <c r="T177" s="89" t="str">
        <f>Registro!R177</f>
        <v>a) Mucho</v>
      </c>
      <c r="U177" s="89" t="str">
        <f>Registro!S177</f>
        <v>a) La Iglesia, d) Las convivencias, g) Mi familia, k) La oración</v>
      </c>
      <c r="V177" s="89" t="str">
        <f>Registro!T177</f>
        <v>c) Rezo solo en situación de dificultad</v>
      </c>
      <c r="W177" s="89" t="str">
        <f>Registro!U177</f>
        <v>b) Algunos domingos</v>
      </c>
      <c r="X177" s="89" t="str">
        <f>Registro!V177</f>
        <v>b) Suelo bendedir los alimentos antes de comer, c) Suelo ir los domingos y otras fechas especiales a la Iglesia, e) Voy a misa en las fechas de mis familiares difuntos, i) Tengo en mi cuarto alguna imagen religiosa</v>
      </c>
      <c r="Y177" s="89" t="str">
        <f>Registro!W177</f>
        <v>a) Deportivo, c) Religioso o parroquial</v>
      </c>
      <c r="Z177" s="89" t="str">
        <f>Registro!X177</f>
        <v>b) Un lugar donde comparto con mis compañeros</v>
      </c>
      <c r="AA177" s="89" t="str">
        <f>Registro!Y177</f>
        <v>b) No</v>
      </c>
      <c r="AB177" s="89" t="str">
        <f>Registro!Z177</f>
        <v>b) No</v>
      </c>
      <c r="AC177" s="89" t="str">
        <f>Registro!AA177</f>
        <v>b) Docencia, i) Comerciante</v>
      </c>
      <c r="AD177" s="94">
        <f t="shared" si="10"/>
        <v>2</v>
      </c>
      <c r="AE177" s="89" t="str">
        <f>Registro!AB177</f>
        <v>c) Ser un excelente profesional</v>
      </c>
      <c r="AF177" s="89" t="str">
        <f>Registro!AC177</f>
        <v>b) Poco</v>
      </c>
      <c r="AG177" s="89" t="str">
        <f>Registro!AD177</f>
        <v>a) Los deportes y diversiones, d) Los grupos juveniles cristianos</v>
      </c>
      <c r="AH177" s="94">
        <f t="shared" si="12"/>
        <v>2</v>
      </c>
      <c r="AI177" s="89" t="str">
        <f>Registro!AE177</f>
        <v>b) 3 a 4 horas</v>
      </c>
      <c r="AJ177" s="89"/>
      <c r="AK177" s="94">
        <f t="shared" si="13"/>
        <v>0</v>
      </c>
      <c r="AL177" s="89" t="str">
        <f>Registro!AG177</f>
        <v>a) Muy bueno</v>
      </c>
      <c r="AM177" s="89" t="str">
        <f>Registro!AH177</f>
        <v>c) Regular</v>
      </c>
      <c r="AN177" s="89" t="str">
        <f>Registro!AI177</f>
        <v>c) Regular</v>
      </c>
      <c r="AO177" s="89" t="str">
        <f>Registro!AJ177</f>
        <v>b) Buena</v>
      </c>
      <c r="AP177" s="89" t="str">
        <f>Registro!AK177</f>
        <v>c) Regular</v>
      </c>
      <c r="AQ177" s="89" t="str">
        <f>Registro!AL177</f>
        <v>b) Buena</v>
      </c>
      <c r="AR177" s="89" t="str">
        <f>Registro!AM177</f>
        <v>a) Muy buena</v>
      </c>
      <c r="AS177" s="89" t="str">
        <f>Registro!AN177</f>
        <v>c) Regular</v>
      </c>
      <c r="AT177" s="89" t="str">
        <f>Registro!AO177</f>
        <v>b) Buena</v>
      </c>
      <c r="AU177" s="89" t="str">
        <f>Registro!AP177</f>
        <v>c) Regular</v>
      </c>
      <c r="AV177" s="89" t="str">
        <f>Registro!AQ177</f>
        <v>c) Regular</v>
      </c>
      <c r="AW177" s="89" t="str">
        <f>Registro!AR177</f>
        <v>a) El compañerismo</v>
      </c>
      <c r="AX177" s="89" t="str">
        <f>Registro!AS177</f>
        <v>b) Darme una buena educación</v>
      </c>
      <c r="AY177" s="89" t="str">
        <f>Registro!AT177</f>
        <v>c) Conveniente</v>
      </c>
      <c r="AZ177" s="89" t="str">
        <f>Registro!AU177</f>
        <v>a) No acostumbro a tomarlo nunca</v>
      </c>
      <c r="BA177" s="89" t="str">
        <f>Registro!AV177</f>
        <v>d) Buenos profesionales de la educación</v>
      </c>
      <c r="BB177" s="89" t="str">
        <f>Registro!AW177</f>
        <v>b) Poco</v>
      </c>
      <c r="BC177" s="89" t="str">
        <f>Registro!AX177</f>
        <v>b) Hay de todo tipo, pero predomina lo negativo</v>
      </c>
      <c r="BD177" s="89" t="str">
        <f>Registro!AY177</f>
        <v>a) Mi padre, b) Mi madre, c) Un hermano/a, g) Un amigo, j) Nadie</v>
      </c>
    </row>
    <row r="178" spans="1:56" ht="15" customHeight="1" x14ac:dyDescent="0.25">
      <c r="A178" s="101">
        <f>Registro!A178</f>
        <v>42158.310706018521</v>
      </c>
      <c r="B178" s="89" t="str">
        <f>Registro!B178</f>
        <v>c) Obra Social San José de Calasanz de Valencia</v>
      </c>
      <c r="C178" s="89" t="str">
        <f>Registro!C178</f>
        <v>b) Tercer año</v>
      </c>
      <c r="D178" s="89" t="str">
        <f>Registro!D178</f>
        <v>b) Primaria</v>
      </c>
      <c r="E178" s="89" t="str">
        <f>Registro!E178</f>
        <v>b) Femenino</v>
      </c>
      <c r="F178" s="89" t="str">
        <f>Registro!F178</f>
        <v>d) Otra</v>
      </c>
      <c r="G178" s="89" t="str">
        <f>Registro!G178</f>
        <v>a) Mamá, b) Papá, c) Hermanos, d) Abuelos, e) Otros familiares</v>
      </c>
      <c r="H178" s="89" t="str">
        <f>Registro!H178</f>
        <v>d) Casa Rural</v>
      </c>
      <c r="I178" s="89" t="str">
        <f>Registro!I178</f>
        <v>c) Algo</v>
      </c>
      <c r="J178" s="89" t="str">
        <f>Registro!J178</f>
        <v>a) Cónsola videojuegos, b) Lavadora, c) Microondas, d) TV pantalla plana, h) Carro, i) Computadora, j) Cámara digital, k) Aire acondicionado</v>
      </c>
      <c r="K178" s="89" t="str">
        <f>Registro!K178</f>
        <v>e) Cuatro</v>
      </c>
      <c r="L178" s="89"/>
      <c r="M178" s="94">
        <f t="shared" si="14"/>
        <v>0</v>
      </c>
      <c r="N178" s="89" t="str">
        <f>Registro!M178</f>
        <v>b) El futuro</v>
      </c>
      <c r="O178" s="89" t="str">
        <f>Registro!N178</f>
        <v>c) Poco</v>
      </c>
      <c r="P178" s="89" t="str">
        <f>Registro!O178</f>
        <v>b) Suficiente</v>
      </c>
      <c r="Q178" s="89" t="str">
        <f>Registro!P178</f>
        <v>d) Nada</v>
      </c>
      <c r="R178" s="89"/>
      <c r="S178" s="94">
        <f t="shared" si="11"/>
        <v>0</v>
      </c>
      <c r="T178" s="89" t="str">
        <f>Registro!R178</f>
        <v>b) Suficiente</v>
      </c>
      <c r="U178" s="89" t="str">
        <f>Registro!S178</f>
        <v>a) La Iglesia, b) La naturaleza, e) Los amigos, g) Mi familia, j) Todas partes, k) La oración</v>
      </c>
      <c r="V178" s="89" t="str">
        <f>Registro!T178</f>
        <v>c) Rezo solo en situación de dificultad</v>
      </c>
      <c r="W178" s="89" t="str">
        <f>Registro!U178</f>
        <v>d) Nunca</v>
      </c>
      <c r="X178" s="89" t="str">
        <f>Registro!V178</f>
        <v>g) En ocasiones, en mi casa tenemos una oración familiar, h) En Semana Santa asisto a las procesiones</v>
      </c>
      <c r="Y178" s="89" t="str">
        <f>Registro!W178</f>
        <v>d) No pertenezco a ninguno</v>
      </c>
      <c r="Z178" s="89" t="str">
        <f>Registro!X178</f>
        <v>d) No pertenezco a grupos juveniles cristianos</v>
      </c>
      <c r="AA178" s="89" t="str">
        <f>Registro!Y178</f>
        <v>b) No</v>
      </c>
      <c r="AB178" s="89" t="str">
        <f>Registro!Z178</f>
        <v>b) No</v>
      </c>
      <c r="AC178" s="89"/>
      <c r="AD178" s="94">
        <f t="shared" si="10"/>
        <v>0</v>
      </c>
      <c r="AE178" s="89" t="str">
        <f>Registro!AB178</f>
        <v>d) Desarrollarme personalmente</v>
      </c>
      <c r="AF178" s="89" t="str">
        <f>Registro!AC178</f>
        <v>e) No sé</v>
      </c>
      <c r="AG178" s="89" t="str">
        <f>Registro!AD178</f>
        <v>i) No me gusta nada</v>
      </c>
      <c r="AH178" s="94">
        <f t="shared" si="12"/>
        <v>1</v>
      </c>
      <c r="AI178" s="89" t="str">
        <f>Registro!AE178</f>
        <v>c) 5 a 6 horas</v>
      </c>
      <c r="AJ178" s="89"/>
      <c r="AK178" s="94">
        <f t="shared" si="13"/>
        <v>0</v>
      </c>
      <c r="AL178" s="89" t="str">
        <f>Registro!AG178</f>
        <v>e) Muy deficiente</v>
      </c>
      <c r="AM178" s="89" t="str">
        <f>Registro!AH178</f>
        <v>a) Muy buena</v>
      </c>
      <c r="AN178" s="89" t="str">
        <f>Registro!AI178</f>
        <v>a) Muy buena</v>
      </c>
      <c r="AO178" s="89" t="str">
        <f>Registro!AJ178</f>
        <v>c) Regular</v>
      </c>
      <c r="AP178" s="89" t="str">
        <f>Registro!AK178</f>
        <v>b) Buena</v>
      </c>
      <c r="AQ178" s="89" t="str">
        <f>Registro!AL178</f>
        <v>c) Regular</v>
      </c>
      <c r="AR178" s="89" t="str">
        <f>Registro!AM178</f>
        <v>d) Mala</v>
      </c>
      <c r="AS178" s="89" t="str">
        <f>Registro!AN178</f>
        <v>c) Regular</v>
      </c>
      <c r="AT178" s="89" t="str">
        <f>Registro!AO178</f>
        <v>c) Regular</v>
      </c>
      <c r="AU178" s="89" t="str">
        <f>Registro!AP178</f>
        <v>b) Buena</v>
      </c>
      <c r="AV178" s="89" t="str">
        <f>Registro!AQ178</f>
        <v>c) Regular</v>
      </c>
      <c r="AW178" s="89" t="str">
        <f>Registro!AR178</f>
        <v>a) El compañerismo</v>
      </c>
      <c r="AX178" s="89" t="str">
        <f>Registro!AS178</f>
        <v>a) Que sea un buen profesional</v>
      </c>
      <c r="AY178" s="89" t="str">
        <f>Registro!AT178</f>
        <v>c) Conveniente</v>
      </c>
      <c r="AZ178" s="89" t="str">
        <f>Registro!AU178</f>
        <v>c) Alguna vez he bebido más de la cuenta</v>
      </c>
      <c r="BA178" s="89" t="str">
        <f>Registro!AV178</f>
        <v>e) Educadores que se preocupan de nosotros</v>
      </c>
      <c r="BB178" s="89" t="str">
        <f>Registro!AW178</f>
        <v>c) Bastante</v>
      </c>
      <c r="BC178" s="89" t="str">
        <f>Registro!AX178</f>
        <v>b) Hay de todo tipo, pero predomina lo negativo</v>
      </c>
      <c r="BD178" s="89" t="str">
        <f>Registro!AY178</f>
        <v>a) Mi padre, c) Un hermano/a, g) Un amigo, h) Una amiga</v>
      </c>
    </row>
    <row r="179" spans="1:56" ht="15" customHeight="1" x14ac:dyDescent="0.25">
      <c r="A179" s="101">
        <f>Registro!A179</f>
        <v>42158.311249999999</v>
      </c>
      <c r="B179" s="89" t="str">
        <f>Registro!B179</f>
        <v>c) Obra Social San José de Calasanz de Valencia</v>
      </c>
      <c r="C179" s="89" t="str">
        <f>Registro!C179</f>
        <v>b) Tercer año</v>
      </c>
      <c r="D179" s="89" t="str">
        <f>Registro!D179</f>
        <v>a) Educación Inicial</v>
      </c>
      <c r="E179" s="89" t="str">
        <f>Registro!E179</f>
        <v>b) Femenino</v>
      </c>
      <c r="F179" s="89" t="str">
        <f>Registro!F179</f>
        <v>d) Otra</v>
      </c>
      <c r="G179" s="89" t="str">
        <f>Registro!G179</f>
        <v>a) Mamá, b) Papá, d) Abuelos</v>
      </c>
      <c r="H179" s="89" t="str">
        <f>Registro!H179</f>
        <v>b) Casa Urbana</v>
      </c>
      <c r="I179" s="89" t="str">
        <f>Registro!I179</f>
        <v>a) Sí</v>
      </c>
      <c r="J179" s="89" t="str">
        <f>Registro!J179</f>
        <v>b) Lavadora, c) Microondas, k) Aire acondicionado</v>
      </c>
      <c r="K179" s="89" t="str">
        <f>Registro!K179</f>
        <v>c) Dos</v>
      </c>
      <c r="L179" s="89" t="str">
        <f>Registro!L179</f>
        <v>a) La familia, b) Los amigos, d) El cuidado de mi cuerpo</v>
      </c>
      <c r="M179" s="94">
        <f t="shared" si="14"/>
        <v>3</v>
      </c>
      <c r="N179" s="89" t="str">
        <f>Registro!M179</f>
        <v>c) Yo mismo</v>
      </c>
      <c r="O179" s="89" t="str">
        <f>Registro!N179</f>
        <v>b) Suficiente</v>
      </c>
      <c r="P179" s="89" t="str">
        <f>Registro!O179</f>
        <v>b) Suficiente</v>
      </c>
      <c r="Q179" s="89" t="str">
        <f>Registro!P179</f>
        <v>c) Poco</v>
      </c>
      <c r="R179" s="89" t="str">
        <f>Registro!Q179</f>
        <v>a) La familia, c) Los estudios, g) La felicidad</v>
      </c>
      <c r="S179" s="94">
        <f t="shared" si="11"/>
        <v>3</v>
      </c>
      <c r="T179" s="89" t="str">
        <f>Registro!R179</f>
        <v>a) Mucho</v>
      </c>
      <c r="U179" s="89" t="str">
        <f>Registro!S179</f>
        <v>a) La Iglesia, g) Mi familia, k) La oración</v>
      </c>
      <c r="V179" s="89" t="str">
        <f>Registro!T179</f>
        <v>c) Rezo solo en situación de dificultad</v>
      </c>
      <c r="W179" s="89" t="str">
        <f>Registro!U179</f>
        <v>c) Solo en fechas especiales</v>
      </c>
      <c r="X179" s="89" t="str">
        <f>Registro!V179</f>
        <v>e) Voy a misa en las fechas de mis familiares difuntos, f) En alguna ocasión he rezado el rosario, g) En ocasiones, en mi casa tenemos una oración familiar</v>
      </c>
      <c r="Y179" s="89" t="str">
        <f>Registro!W179</f>
        <v>d) No pertenezco a ninguno</v>
      </c>
      <c r="Z179" s="89" t="str">
        <f>Registro!X179</f>
        <v>b) Un lugar donde comparto con mis compañeros</v>
      </c>
      <c r="AA179" s="89" t="str">
        <f>Registro!Y179</f>
        <v>b) No</v>
      </c>
      <c r="AB179" s="89" t="str">
        <f>Registro!Z179</f>
        <v>b) No</v>
      </c>
      <c r="AC179" s="89"/>
      <c r="AD179" s="94">
        <f t="shared" si="10"/>
        <v>0</v>
      </c>
      <c r="AE179" s="89" t="str">
        <f>Registro!AB179</f>
        <v>a) Ganar mucho dinero</v>
      </c>
      <c r="AF179" s="89" t="str">
        <f>Registro!AC179</f>
        <v>e) No sé</v>
      </c>
      <c r="AG179" s="89" t="str">
        <f>Registro!AD179</f>
        <v>a) Los deportes y diversiones, h) Las actividades extraescolares</v>
      </c>
      <c r="AH179" s="94">
        <f t="shared" si="12"/>
        <v>2</v>
      </c>
      <c r="AI179" s="89" t="str">
        <f>Registro!AE179</f>
        <v>a) 0 a 2 horas</v>
      </c>
      <c r="AJ179" s="89" t="str">
        <f>Registro!AF179</f>
        <v>d) Estoy la mayor parte del tiempo en la casa sin hacer nada, m) Veo televisión y/o películas, n) Estoy conversando con los amigos/as</v>
      </c>
      <c r="AK179" s="94">
        <f t="shared" si="13"/>
        <v>3</v>
      </c>
      <c r="AL179" s="89" t="str">
        <f>Registro!AG179</f>
        <v>b) Bueno</v>
      </c>
      <c r="AM179" s="89" t="str">
        <f>Registro!AH179</f>
        <v>f) No aplica</v>
      </c>
      <c r="AN179" s="89" t="str">
        <f>Registro!AI179</f>
        <v>c) Regular</v>
      </c>
      <c r="AO179" s="89" t="str">
        <f>Registro!AJ179</f>
        <v>c) Regular</v>
      </c>
      <c r="AP179" s="89" t="str">
        <f>Registro!AK179</f>
        <v>d) Mala</v>
      </c>
      <c r="AQ179" s="89" t="str">
        <f>Registro!AL179</f>
        <v>c) Regular</v>
      </c>
      <c r="AR179" s="89" t="str">
        <f>Registro!AM179</f>
        <v>c) Regular</v>
      </c>
      <c r="AS179" s="89" t="str">
        <f>Registro!AN179</f>
        <v>f) No aplica</v>
      </c>
      <c r="AT179" s="89" t="str">
        <f>Registro!AO179</f>
        <v>b) Buena</v>
      </c>
      <c r="AU179" s="89" t="str">
        <f>Registro!AP179</f>
        <v>c) Regular</v>
      </c>
      <c r="AV179" s="89" t="str">
        <f>Registro!AQ179</f>
        <v>b) Buena</v>
      </c>
      <c r="AW179" s="89" t="str">
        <f>Registro!AR179</f>
        <v>c) El estudio</v>
      </c>
      <c r="AX179" s="89">
        <f>Registro!AS179</f>
        <v>0</v>
      </c>
      <c r="AY179" s="89">
        <f>Registro!AT179</f>
        <v>0</v>
      </c>
      <c r="AZ179" s="89" t="str">
        <f>Registro!AU179</f>
        <v>d) Con frecuencia (fines de semana u otros momentos) suelo beber más de la cuenta</v>
      </c>
      <c r="BA179" s="89" t="str">
        <f>Registro!AV179</f>
        <v>f) Educadores que, además, me han abierto caminos</v>
      </c>
      <c r="BB179" s="89" t="str">
        <f>Registro!AW179</f>
        <v>e) No sé</v>
      </c>
      <c r="BC179" s="89" t="str">
        <f>Registro!AX179</f>
        <v>d) Hay de todo tipo, pero predomina lo positivo</v>
      </c>
      <c r="BD179" s="89" t="str">
        <f>Registro!AY179</f>
        <v>a) Mi padre, b) Mi madre, e) Un, una docente, h) Una amiga</v>
      </c>
    </row>
    <row r="180" spans="1:56" ht="15" customHeight="1" x14ac:dyDescent="0.25">
      <c r="A180" s="101">
        <f>Registro!A180</f>
        <v>42158.311423611114</v>
      </c>
      <c r="B180" s="89" t="str">
        <f>Registro!B180</f>
        <v>c) Obra Social San José de Calasanz de Valencia</v>
      </c>
      <c r="C180" s="89" t="str">
        <f>Registro!C180</f>
        <v>b) Tercer año</v>
      </c>
      <c r="D180" s="89" t="str">
        <f>Registro!D180</f>
        <v>b) Primaria</v>
      </c>
      <c r="E180" s="89" t="str">
        <f>Registro!E180</f>
        <v>a) Masculino</v>
      </c>
      <c r="F180" s="89" t="str">
        <f>Registro!F180</f>
        <v>a) Católica</v>
      </c>
      <c r="G180" s="89" t="str">
        <f>Registro!G180</f>
        <v>a) Mamá, b) Papá, c) Hermanos, e) Otros familiares</v>
      </c>
      <c r="H180" s="89" t="str">
        <f>Registro!H180</f>
        <v>b) Casa Urbana</v>
      </c>
      <c r="I180" s="89" t="str">
        <f>Registro!I180</f>
        <v>a) Sí</v>
      </c>
      <c r="J180" s="89" t="str">
        <f>Registro!J180</f>
        <v>a) Cónsola videojuegos, b) Lavadora, c) Microondas, d) TV pantalla plana, f) MP3, g) MP4, h) Carro, i) Computadora, j) Cámara digital, k) Aire acondicionado</v>
      </c>
      <c r="K180" s="89" t="str">
        <f>Registro!K180</f>
        <v>d) Tres</v>
      </c>
      <c r="L180" s="89"/>
      <c r="M180" s="94">
        <f t="shared" si="14"/>
        <v>0</v>
      </c>
      <c r="N180" s="89" t="str">
        <f>Registro!M180</f>
        <v>f) La situación política del país</v>
      </c>
      <c r="O180" s="89" t="str">
        <f>Registro!N180</f>
        <v>c) Poco</v>
      </c>
      <c r="P180" s="89" t="str">
        <f>Registro!O180</f>
        <v>b) Suficiente</v>
      </c>
      <c r="Q180" s="89" t="str">
        <f>Registro!P180</f>
        <v>b) Suficiente</v>
      </c>
      <c r="R180" s="89" t="str">
        <f>Registro!Q180</f>
        <v>a) La familia, c) Los estudios, f) Mi fe y mi vida cristiana</v>
      </c>
      <c r="S180" s="94">
        <f t="shared" si="11"/>
        <v>3</v>
      </c>
      <c r="T180" s="89" t="str">
        <f>Registro!R180</f>
        <v>a) Mucho</v>
      </c>
      <c r="U180" s="89" t="str">
        <f>Registro!S180</f>
        <v>a) La Iglesia, b) La naturaleza, d) Las convivencias, g) Mi familia, h) Algunas personas cercanas a Dios, i) Los necesitados, j) Todas partes, k) La oración, l) Los sacramentos</v>
      </c>
      <c r="V180" s="89" t="str">
        <f>Registro!T180</f>
        <v>c) Rezo solo en situación de dificultad</v>
      </c>
      <c r="W180" s="89" t="str">
        <f>Registro!U180</f>
        <v>a) Todos los domingos</v>
      </c>
      <c r="X180" s="89" t="str">
        <f>Registro!V180</f>
        <v>a) Suelo llevar una cruz o algún objeto religioso, c) Suelo ir los domingos y otras fechas especiales a la Iglesia, e) Voy a misa en las fechas de mis familiares difuntos, f) En alguna ocasión he rezado el rosario, h) En Semana Santa asisto a las procesiones, i) Tengo en mi cuarto alguna imagen religiosa</v>
      </c>
      <c r="Y180" s="89" t="str">
        <f>Registro!W180</f>
        <v>a) Deportivo, c) Religioso o parroquial</v>
      </c>
      <c r="Z180" s="89" t="str">
        <f>Registro!X180</f>
        <v>a) Un grupo donde profundizo mi fe</v>
      </c>
      <c r="AA180" s="89" t="str">
        <f>Registro!Y180</f>
        <v>a) Sí</v>
      </c>
      <c r="AB180" s="89" t="str">
        <f>Registro!Z180</f>
        <v>c) Algo</v>
      </c>
      <c r="AC180" s="89"/>
      <c r="AD180" s="94">
        <f t="shared" si="10"/>
        <v>0</v>
      </c>
      <c r="AE180" s="89" t="str">
        <f>Registro!AB180</f>
        <v>f) Ejecutar una tarea conforme a mi fe</v>
      </c>
      <c r="AF180" s="89" t="str">
        <f>Registro!AC180</f>
        <v>c) Bastante</v>
      </c>
      <c r="AG180" s="89" t="str">
        <f>Registro!AD180</f>
        <v>c) Las instalaciones del Colegio, h) Las actividades extraescolares</v>
      </c>
      <c r="AH180" s="94">
        <f t="shared" si="12"/>
        <v>2</v>
      </c>
      <c r="AI180" s="89" t="str">
        <f>Registro!AE180</f>
        <v>b) 3 a 4 horas</v>
      </c>
      <c r="AJ180" s="89" t="str">
        <f>Registro!AF180</f>
        <v>a) Me divierto con juegos para computadoras, h) Suelo ir al cine, i) Leo revistas o libros</v>
      </c>
      <c r="AK180" s="94">
        <f t="shared" si="13"/>
        <v>3</v>
      </c>
      <c r="AL180" s="89" t="str">
        <f>Registro!AG180</f>
        <v>a) Muy bueno</v>
      </c>
      <c r="AM180" s="89" t="str">
        <f>Registro!AH180</f>
        <v>a) Muy buena</v>
      </c>
      <c r="AN180" s="89" t="str">
        <f>Registro!AI180</f>
        <v>a) Muy buena</v>
      </c>
      <c r="AO180" s="89" t="str">
        <f>Registro!AJ180</f>
        <v>a) Muy buena</v>
      </c>
      <c r="AP180" s="89" t="str">
        <f>Registro!AK180</f>
        <v>a) Muy buena</v>
      </c>
      <c r="AQ180" s="89" t="str">
        <f>Registro!AL180</f>
        <v>b) Buena</v>
      </c>
      <c r="AR180" s="89" t="str">
        <f>Registro!AM180</f>
        <v>a) Muy buena</v>
      </c>
      <c r="AS180" s="89" t="str">
        <f>Registro!AN180</f>
        <v>a) Muy buena</v>
      </c>
      <c r="AT180" s="89" t="str">
        <f>Registro!AO180</f>
        <v>a) Muy buena</v>
      </c>
      <c r="AU180" s="89" t="str">
        <f>Registro!AP180</f>
        <v>a) Muy buena</v>
      </c>
      <c r="AV180" s="89" t="str">
        <f>Registro!AQ180</f>
        <v>b) Buena</v>
      </c>
      <c r="AW180" s="89" t="str">
        <f>Registro!AR180</f>
        <v>d) La formación del carácter</v>
      </c>
      <c r="AX180" s="89" t="str">
        <f>Registro!AS180</f>
        <v>a) Que sea un buen profesional</v>
      </c>
      <c r="AY180" s="89" t="str">
        <f>Registro!AT180</f>
        <v>e) Absolutamente necesaria</v>
      </c>
      <c r="AZ180" s="89" t="str">
        <f>Registro!AU180</f>
        <v>c) Alguna vez he bebido más de la cuenta</v>
      </c>
      <c r="BA180" s="89" t="str">
        <f>Registro!AV180</f>
        <v>f) Educadores que, además, me han abierto caminos</v>
      </c>
      <c r="BB180" s="89" t="str">
        <f>Registro!AW180</f>
        <v>c) Bastante</v>
      </c>
      <c r="BC180" s="89" t="str">
        <f>Registro!AX180</f>
        <v>e) Son personas que me gustan y admiro</v>
      </c>
      <c r="BD180" s="89" t="str">
        <f>Registro!AY180</f>
        <v>a) Mi padre, b) Mi madre, c) Un hermano/a, d) Un escolapio, religioso o religiosa, e) Un, una docente, f) La orientadora, g) Un amigo, h) Una amiga, i) Un, una catequista o responsable de grupo</v>
      </c>
    </row>
    <row r="181" spans="1:56" ht="15" customHeight="1" x14ac:dyDescent="0.25">
      <c r="A181" s="101">
        <f>Registro!A181</f>
        <v>42158.314652777779</v>
      </c>
      <c r="B181" s="89" t="str">
        <f>Registro!B181</f>
        <v>c) Obra Social San José de Calasanz de Valencia</v>
      </c>
      <c r="C181" s="89" t="str">
        <f>Registro!C181</f>
        <v>a) Primer año</v>
      </c>
      <c r="D181" s="89" t="str">
        <f>Registro!D181</f>
        <v>c) Entre Primero y Tercer año</v>
      </c>
      <c r="E181" s="89" t="str">
        <f>Registro!E181</f>
        <v>a) Masculino</v>
      </c>
      <c r="F181" s="89" t="str">
        <f>Registro!F181</f>
        <v>a) Católica</v>
      </c>
      <c r="G181" s="89" t="str">
        <f>Registro!G181</f>
        <v>a) Mamá, b) Papá, c) Hermanos, d) Abuelos</v>
      </c>
      <c r="H181" s="89" t="str">
        <f>Registro!H181</f>
        <v>b) Casa Urbana</v>
      </c>
      <c r="I181" s="89" t="str">
        <f>Registro!I181</f>
        <v>a) Sí</v>
      </c>
      <c r="J181" s="89" t="str">
        <f>Registro!J181</f>
        <v>a) Cónsola videojuegos, b) Lavadora, c) Microondas, d) TV pantalla plana, f) MP3, i) Computadora, j) Cámara digital, k) Aire acondicionado</v>
      </c>
      <c r="K181" s="89" t="str">
        <f>Registro!K181</f>
        <v>a) Ninguna</v>
      </c>
      <c r="L181" s="89"/>
      <c r="M181" s="94">
        <f t="shared" si="14"/>
        <v>0</v>
      </c>
      <c r="N181" s="89" t="str">
        <f>Registro!M181</f>
        <v>b) El futuro</v>
      </c>
      <c r="O181" s="89" t="str">
        <f>Registro!N181</f>
        <v>a) Mucho</v>
      </c>
      <c r="P181" s="89" t="str">
        <f>Registro!O181</f>
        <v>d) Nada</v>
      </c>
      <c r="Q181" s="89" t="str">
        <f>Registro!P181</f>
        <v>a) Mucho</v>
      </c>
      <c r="R181" s="89"/>
      <c r="S181" s="94">
        <f t="shared" si="11"/>
        <v>0</v>
      </c>
      <c r="T181" s="89" t="str">
        <f>Registro!R181</f>
        <v>a) Mucho</v>
      </c>
      <c r="U181" s="89" t="str">
        <f>Registro!S181</f>
        <v>a) La Iglesia, b) La naturaleza, d) Las convivencias</v>
      </c>
      <c r="V181" s="89" t="str">
        <f>Registro!T181</f>
        <v>a) Suelo rezar por convicción o porque me gusta</v>
      </c>
      <c r="W181" s="89" t="str">
        <f>Registro!U181</f>
        <v>b) Algunos domingos</v>
      </c>
      <c r="X181" s="89" t="str">
        <f>Registro!V181</f>
        <v>a) Suelo llevar una cruz o algún objeto religioso</v>
      </c>
      <c r="Y181" s="89" t="str">
        <f>Registro!W181</f>
        <v>a) Deportivo</v>
      </c>
      <c r="Z181" s="89" t="str">
        <f>Registro!X181</f>
        <v>b) Un lugar donde comparto con mis compañeros</v>
      </c>
      <c r="AA181" s="89" t="str">
        <f>Registro!Y181</f>
        <v>b) No</v>
      </c>
      <c r="AB181" s="89" t="str">
        <f>Registro!Z181</f>
        <v>b) No</v>
      </c>
      <c r="AC181" s="89" t="str">
        <f>Registro!AA181</f>
        <v>a) Medicina</v>
      </c>
      <c r="AD181" s="94">
        <f t="shared" si="10"/>
        <v>1</v>
      </c>
      <c r="AE181" s="89" t="str">
        <f>Registro!AB181</f>
        <v>c) Ser un excelente profesional</v>
      </c>
      <c r="AF181" s="89" t="str">
        <f>Registro!AC181</f>
        <v>b) Poco</v>
      </c>
      <c r="AG181" s="89" t="str">
        <f>Registro!AD181</f>
        <v>a) Los deportes y diversiones</v>
      </c>
      <c r="AH181" s="94">
        <f t="shared" si="12"/>
        <v>1</v>
      </c>
      <c r="AI181" s="89" t="str">
        <f>Registro!AE181</f>
        <v>a) 0 a 2 horas</v>
      </c>
      <c r="AJ181" s="89" t="str">
        <f>Registro!AF181</f>
        <v>a) Me divierto con juegos para computadoras, b) Navego en Internet, n) Estoy conversando con los amigos/as</v>
      </c>
      <c r="AK181" s="94">
        <f t="shared" si="13"/>
        <v>3</v>
      </c>
      <c r="AL181" s="89" t="str">
        <f>Registro!AG181</f>
        <v>b) Bueno</v>
      </c>
      <c r="AM181" s="89" t="str">
        <f>Registro!AH181</f>
        <v>b) Buena</v>
      </c>
      <c r="AN181" s="89" t="str">
        <f>Registro!AI181</f>
        <v>a) Muy buena</v>
      </c>
      <c r="AO181" s="89" t="str">
        <f>Registro!AJ181</f>
        <v>a) Muy buena</v>
      </c>
      <c r="AP181" s="89" t="str">
        <f>Registro!AK181</f>
        <v>b) Buena</v>
      </c>
      <c r="AQ181" s="89" t="str">
        <f>Registro!AL181</f>
        <v>d) Mala</v>
      </c>
      <c r="AR181" s="89" t="str">
        <f>Registro!AM181</f>
        <v>a) Muy buena</v>
      </c>
      <c r="AS181" s="89" t="str">
        <f>Registro!AN181</f>
        <v>a) Muy buena</v>
      </c>
      <c r="AT181" s="89" t="str">
        <f>Registro!AO181</f>
        <v>b) Buena</v>
      </c>
      <c r="AU181" s="89" t="str">
        <f>Registro!AP181</f>
        <v>a) Muy buena</v>
      </c>
      <c r="AV181" s="89" t="str">
        <f>Registro!AQ181</f>
        <v>b) Buena</v>
      </c>
      <c r="AW181" s="89" t="str">
        <f>Registro!AR181</f>
        <v>a) El compañerismo</v>
      </c>
      <c r="AX181" s="89" t="str">
        <f>Registro!AS181</f>
        <v>a) Que sea un buen profesional</v>
      </c>
      <c r="AY181" s="89" t="str">
        <f>Registro!AT181</f>
        <v>d) Bastante necesaria</v>
      </c>
      <c r="AZ181" s="89" t="str">
        <f>Registro!AU181</f>
        <v>a) No acostumbro a tomarlo nunca</v>
      </c>
      <c r="BA181" s="89" t="str">
        <f>Registro!AV181</f>
        <v>a) Personas a las que tengo que aguantar</v>
      </c>
      <c r="BB181" s="89" t="str">
        <f>Registro!AW181</f>
        <v>c) Bastante</v>
      </c>
      <c r="BC181" s="89" t="str">
        <f>Registro!AX181</f>
        <v>d) Hay de todo tipo, pero predomina lo positivo</v>
      </c>
      <c r="BD181" s="89" t="str">
        <f>Registro!AY181</f>
        <v>a) Mi padre, b) Mi madre, c) Un hermano/a, g) Un amigo, h) Una amiga</v>
      </c>
    </row>
    <row r="182" spans="1:56" ht="15" customHeight="1" x14ac:dyDescent="0.25">
      <c r="A182" s="101">
        <f>Registro!A182</f>
        <v>42158.315254629626</v>
      </c>
      <c r="B182" s="89" t="str">
        <f>Registro!B182</f>
        <v>c) Obra Social San José de Calasanz de Valencia</v>
      </c>
      <c r="C182" s="89" t="str">
        <f>Registro!C182</f>
        <v>b) Tercer año</v>
      </c>
      <c r="D182" s="89" t="str">
        <f>Registro!D182</f>
        <v>a) Educación Inicial</v>
      </c>
      <c r="E182" s="89" t="str">
        <f>Registro!E182</f>
        <v>b) Femenino</v>
      </c>
      <c r="F182" s="89" t="str">
        <f>Registro!F182</f>
        <v>d) Otra</v>
      </c>
      <c r="G182" s="89" t="str">
        <f>Registro!G182</f>
        <v>a) Mamá</v>
      </c>
      <c r="H182" s="89" t="str">
        <f>Registro!H182</f>
        <v>d) Casa Rural</v>
      </c>
      <c r="I182" s="89" t="str">
        <f>Registro!I182</f>
        <v>a) Sí</v>
      </c>
      <c r="J182" s="89" t="str">
        <f>Registro!J182</f>
        <v>b) Lavadora, d) TV pantalla plana, h) Carro, i) Computadora, k) Aire acondicionado</v>
      </c>
      <c r="K182" s="89" t="str">
        <f>Registro!K182</f>
        <v>b) Una</v>
      </c>
      <c r="L182" s="89" t="str">
        <f>Registro!L182</f>
        <v>a) La familia, b) Los amigos, i) La música</v>
      </c>
      <c r="M182" s="94">
        <f t="shared" si="14"/>
        <v>3</v>
      </c>
      <c r="N182" s="89" t="str">
        <f>Registro!M182</f>
        <v>a) Seguridad personal (la violencia y la delincuencia)</v>
      </c>
      <c r="O182" s="89" t="str">
        <f>Registro!N182</f>
        <v>a) Mucho</v>
      </c>
      <c r="P182" s="89" t="str">
        <f>Registro!O182</f>
        <v>a) Mucho</v>
      </c>
      <c r="Q182" s="89" t="str">
        <f>Registro!P182</f>
        <v>c) Poco</v>
      </c>
      <c r="R182" s="89"/>
      <c r="S182" s="94">
        <f t="shared" si="11"/>
        <v>0</v>
      </c>
      <c r="T182" s="89" t="str">
        <f>Registro!R182</f>
        <v>a) Mucho</v>
      </c>
      <c r="U182" s="89" t="str">
        <f>Registro!S182</f>
        <v>a) La Iglesia, j) Todas partes, k) La oración</v>
      </c>
      <c r="V182" s="89" t="str">
        <f>Registro!T182</f>
        <v>a) Suelo rezar por convicción o porque me gusta</v>
      </c>
      <c r="W182" s="89" t="str">
        <f>Registro!U182</f>
        <v>c) Solo en fechas especiales</v>
      </c>
      <c r="X182" s="89" t="str">
        <f>Registro!V182</f>
        <v>b) Suelo bendedir los alimentos antes de comer, f) En alguna ocasión he rezado el rosario, h) En Semana Santa asisto a las procesiones</v>
      </c>
      <c r="Y182" s="89" t="str">
        <f>Registro!W182</f>
        <v xml:space="preserve">b) Cultural (folklórico, musicales, danzas, scout, banda marcial,...) </v>
      </c>
      <c r="Z182" s="89" t="str">
        <f>Registro!X182</f>
        <v>c) Un lugar donde me lo paso bien</v>
      </c>
      <c r="AA182" s="89" t="str">
        <f>Registro!Y182</f>
        <v>b) No</v>
      </c>
      <c r="AB182" s="89" t="str">
        <f>Registro!Z182</f>
        <v>b) No</v>
      </c>
      <c r="AC182" s="89" t="str">
        <f>Registro!AA182</f>
        <v>d) Ingeniería, g) Artista</v>
      </c>
      <c r="AD182" s="94">
        <f t="shared" si="10"/>
        <v>2</v>
      </c>
      <c r="AE182" s="89" t="str">
        <f>Registro!AB182</f>
        <v>c) Ser un excelente profesional</v>
      </c>
      <c r="AF182" s="89" t="str">
        <f>Registro!AC182</f>
        <v>e) No sé</v>
      </c>
      <c r="AG182" s="89" t="str">
        <f>Registro!AD182</f>
        <v>a) Los deportes y diversiones, d) Los grupos juveniles cristianos</v>
      </c>
      <c r="AH182" s="94">
        <f t="shared" si="12"/>
        <v>2</v>
      </c>
      <c r="AI182" s="89" t="str">
        <f>Registro!AE182</f>
        <v>c) 5 a 6 horas</v>
      </c>
      <c r="AJ182" s="89" t="str">
        <f>Registro!AF182</f>
        <v>b) Navego en Internet, e) Suelo ir a algún parque, l) Escucho música y/o veo videos musicales</v>
      </c>
      <c r="AK182" s="94">
        <f t="shared" si="13"/>
        <v>3</v>
      </c>
      <c r="AL182" s="89" t="str">
        <f>Registro!AG182</f>
        <v>a) Muy bueno</v>
      </c>
      <c r="AM182" s="89" t="str">
        <f>Registro!AH182</f>
        <v>a) Muy buena</v>
      </c>
      <c r="AN182" s="89" t="str">
        <f>Registro!AI182</f>
        <v>a) Muy buena</v>
      </c>
      <c r="AO182" s="89" t="str">
        <f>Registro!AJ182</f>
        <v>b) Buena</v>
      </c>
      <c r="AP182" s="89" t="str">
        <f>Registro!AK182</f>
        <v>b) Buena</v>
      </c>
      <c r="AQ182" s="89" t="str">
        <f>Registro!AL182</f>
        <v>b) Buena</v>
      </c>
      <c r="AR182" s="89" t="str">
        <f>Registro!AM182</f>
        <v>b) Buena</v>
      </c>
      <c r="AS182" s="89" t="str">
        <f>Registro!AN182</f>
        <v>b) Buena</v>
      </c>
      <c r="AT182" s="89" t="str">
        <f>Registro!AO182</f>
        <v>a) Muy buena</v>
      </c>
      <c r="AU182" s="89" t="str">
        <f>Registro!AP182</f>
        <v>b) Buena</v>
      </c>
      <c r="AV182" s="89" t="str">
        <f>Registro!AQ182</f>
        <v>b) Buena</v>
      </c>
      <c r="AW182" s="89" t="str">
        <f>Registro!AR182</f>
        <v>a) El compañerismo</v>
      </c>
      <c r="AX182" s="89" t="str">
        <f>Registro!AS182</f>
        <v>a) Que sea un buen profesional</v>
      </c>
      <c r="AY182" s="89" t="str">
        <f>Registro!AT182</f>
        <v>e) Absolutamente necesaria</v>
      </c>
      <c r="AZ182" s="89" t="str">
        <f>Registro!AU182</f>
        <v>b) Las veces que bebo, es con moderación</v>
      </c>
      <c r="BA182" s="89" t="str">
        <f>Registro!AV182</f>
        <v>d) Buenos profesionales de la educación</v>
      </c>
      <c r="BB182" s="89" t="str">
        <f>Registro!AW182</f>
        <v>b) Poco</v>
      </c>
      <c r="BC182" s="89" t="str">
        <f>Registro!AX182</f>
        <v>c) Son personas normales y corrientes</v>
      </c>
      <c r="BD182" s="89" t="str">
        <f>Registro!AY182</f>
        <v>e) Un, una docente, g) Un amigo, h) Una amiga</v>
      </c>
    </row>
    <row r="183" spans="1:56" ht="15" customHeight="1" x14ac:dyDescent="0.25">
      <c r="A183" s="101">
        <f>Registro!A183</f>
        <v>42158.31722222222</v>
      </c>
      <c r="B183" s="89" t="str">
        <f>Registro!B183</f>
        <v>c) Obra Social San José de Calasanz de Valencia</v>
      </c>
      <c r="C183" s="89" t="str">
        <f>Registro!C183</f>
        <v>b) Tercer año</v>
      </c>
      <c r="D183" s="89" t="str">
        <f>Registro!D183</f>
        <v>a) Educación Inicial</v>
      </c>
      <c r="E183" s="89" t="str">
        <f>Registro!E183</f>
        <v>a) Masculino</v>
      </c>
      <c r="F183" s="89" t="str">
        <f>Registro!F183</f>
        <v>a) Católica</v>
      </c>
      <c r="G183" s="89" t="str">
        <f>Registro!G183</f>
        <v>a) Mamá, b) Papá, c) Hermanos, d) Abuelos, e) Otros familiares</v>
      </c>
      <c r="H183" s="89" t="str">
        <f>Registro!H183</f>
        <v>b) Casa Urbana</v>
      </c>
      <c r="I183" s="89" t="str">
        <f>Registro!I183</f>
        <v>c) Algo</v>
      </c>
      <c r="J183" s="89" t="str">
        <f>Registro!J183</f>
        <v>a) Cónsola videojuegos, b) Lavadora, c) Microondas, d) TV pantalla plana, e) Moto, f) MP3, g) MP4, h) Carro, i) Computadora, j) Cámara digital, k) Aire acondicionado</v>
      </c>
      <c r="K183" s="89" t="str">
        <f>Registro!K183</f>
        <v>f) Más de cuatro</v>
      </c>
      <c r="L183" s="89" t="str">
        <f>Registro!L183</f>
        <v>a) La familia, c) Los estudios, j) El deporte</v>
      </c>
      <c r="M183" s="94">
        <f t="shared" si="14"/>
        <v>3</v>
      </c>
      <c r="N183" s="89" t="str">
        <f>Registro!M183</f>
        <v>c) Yo mismo</v>
      </c>
      <c r="O183" s="89" t="str">
        <f>Registro!N183</f>
        <v>c) Poco</v>
      </c>
      <c r="P183" s="89" t="str">
        <f>Registro!O183</f>
        <v>c) Poco</v>
      </c>
      <c r="Q183" s="89" t="str">
        <f>Registro!P183</f>
        <v>a) Mucho</v>
      </c>
      <c r="R183" s="89" t="str">
        <f>Registro!Q183</f>
        <v>a) La familia, c) Los estudios, j) El deporte</v>
      </c>
      <c r="S183" s="94">
        <f t="shared" si="11"/>
        <v>3</v>
      </c>
      <c r="T183" s="89" t="str">
        <f>Registro!R183</f>
        <v>a) Mucho</v>
      </c>
      <c r="U183" s="89" t="str">
        <f>Registro!S183</f>
        <v>a) La Iglesia, b) La naturaleza, c) El salón de clase, d) Las convivencias, e) Los amigos, f) Todas las personas, g) Mi familia, h) Algunas personas cercanas a Dios, i) Los necesitados, j) Todas partes, k) La oración, l) Los sacramentos</v>
      </c>
      <c r="V183" s="89" t="str">
        <f>Registro!T183</f>
        <v>a) Suelo rezar por convicción o porque me gusta</v>
      </c>
      <c r="W183" s="89" t="str">
        <f>Registro!U183</f>
        <v>c) Solo en fechas especiales</v>
      </c>
      <c r="X183" s="89" t="str">
        <f>Registro!V183</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183" s="89" t="str">
        <f>Registro!W183</f>
        <v>a) Deportivo</v>
      </c>
      <c r="Z183" s="89" t="str">
        <f>Registro!X183</f>
        <v>a) Un grupo donde profundizo mi fe</v>
      </c>
      <c r="AA183" s="89" t="str">
        <f>Registro!Y183</f>
        <v>b) No</v>
      </c>
      <c r="AB183" s="89" t="str">
        <f>Registro!Z183</f>
        <v>b) No</v>
      </c>
      <c r="AC183" s="89" t="str">
        <f>Registro!AA183</f>
        <v>d) Ingeniería, f) Ciencias policiales o artes militares</v>
      </c>
      <c r="AD183" s="94">
        <f t="shared" si="10"/>
        <v>2</v>
      </c>
      <c r="AE183" s="89" t="str">
        <f>Registro!AB183</f>
        <v>c) Ser un excelente profesional</v>
      </c>
      <c r="AF183" s="89" t="str">
        <f>Registro!AC183</f>
        <v>c) Bastante</v>
      </c>
      <c r="AG183" s="89" t="str">
        <f>Registro!AD183</f>
        <v>a) Los deportes y diversiones, f) La igualdad de trato que se da a todos</v>
      </c>
      <c r="AH183" s="94">
        <f t="shared" si="12"/>
        <v>2</v>
      </c>
      <c r="AI183" s="89" t="str">
        <f>Registro!AE183</f>
        <v>a) 0 a 2 horas</v>
      </c>
      <c r="AJ183" s="89" t="str">
        <f>Registro!AF183</f>
        <v>g) Suelo ir a discotecas o a fiestas, j) Estoy en algún grupo juvenil, k) Practico algún deporte</v>
      </c>
      <c r="AK183" s="94">
        <f t="shared" si="13"/>
        <v>3</v>
      </c>
      <c r="AL183" s="89" t="str">
        <f>Registro!AG183</f>
        <v>b) Bueno</v>
      </c>
      <c r="AM183" s="89" t="str">
        <f>Registro!AH183</f>
        <v>c) Regular</v>
      </c>
      <c r="AN183" s="89" t="str">
        <f>Registro!AI183</f>
        <v>b) Buena</v>
      </c>
      <c r="AO183" s="89" t="str">
        <f>Registro!AJ183</f>
        <v>b) Buena</v>
      </c>
      <c r="AP183" s="89" t="str">
        <f>Registro!AK183</f>
        <v>b) Buena</v>
      </c>
      <c r="AQ183" s="89" t="str">
        <f>Registro!AL183</f>
        <v>a) Muy buena</v>
      </c>
      <c r="AR183" s="89" t="str">
        <f>Registro!AM183</f>
        <v>a) Muy buena</v>
      </c>
      <c r="AS183" s="89" t="str">
        <f>Registro!AN183</f>
        <v>b) Buena</v>
      </c>
      <c r="AT183" s="89" t="str">
        <f>Registro!AO183</f>
        <v>a) Muy buena</v>
      </c>
      <c r="AU183" s="89" t="str">
        <f>Registro!AP183</f>
        <v>b) Buena</v>
      </c>
      <c r="AV183" s="89" t="str">
        <f>Registro!AQ183</f>
        <v>b) Buena</v>
      </c>
      <c r="AW183" s="89" t="str">
        <f>Registro!AR183</f>
        <v>e) La disciplina y el orden</v>
      </c>
      <c r="AX183" s="89" t="str">
        <f>Registro!AS183</f>
        <v>b) Darme una buena educación</v>
      </c>
      <c r="AY183" s="89" t="str">
        <f>Registro!AT183</f>
        <v>c) Conveniente</v>
      </c>
      <c r="AZ183" s="89" t="str">
        <f>Registro!AU183</f>
        <v>b) Las veces que bebo, es con moderación</v>
      </c>
      <c r="BA183" s="89" t="str">
        <f>Registro!AV183</f>
        <v>a) Personas a las que tengo que aguantar</v>
      </c>
      <c r="BB183" s="89" t="str">
        <f>Registro!AW183</f>
        <v>c) Bastante</v>
      </c>
      <c r="BC183" s="89" t="str">
        <f>Registro!AX183</f>
        <v>b) Hay de todo tipo, pero predomina lo negativo</v>
      </c>
      <c r="BD183" s="89" t="str">
        <f>Registro!AY183</f>
        <v>a) Mi padre</v>
      </c>
    </row>
    <row r="184" spans="1:56" ht="15" customHeight="1" x14ac:dyDescent="0.25">
      <c r="A184" s="101">
        <f>Registro!A184</f>
        <v>42158.31994212963</v>
      </c>
      <c r="B184" s="89" t="str">
        <f>Registro!B184</f>
        <v>c) Obra Social San José de Calasanz de Valencia</v>
      </c>
      <c r="C184" s="89" t="str">
        <f>Registro!C184</f>
        <v>b) Tercer año</v>
      </c>
      <c r="D184" s="89" t="str">
        <f>Registro!D184</f>
        <v>a) Educación Inicial</v>
      </c>
      <c r="E184" s="89" t="str">
        <f>Registro!E184</f>
        <v>a) Masculino</v>
      </c>
      <c r="F184" s="89" t="str">
        <f>Registro!F184</f>
        <v>a) Católica</v>
      </c>
      <c r="G184" s="89" t="str">
        <f>Registro!G184</f>
        <v>a) Mamá, e) Otros familiares</v>
      </c>
      <c r="H184" s="89" t="str">
        <f>Registro!H184</f>
        <v>f) Otro</v>
      </c>
      <c r="I184" s="89" t="str">
        <f>Registro!I184</f>
        <v>d) No sé</v>
      </c>
      <c r="J184" s="89" t="str">
        <f>Registro!J184</f>
        <v>a) Cónsola videojuegos, b) Lavadora, c) Microondas, d) TV pantalla plana, e) Moto, h) Carro, i) Computadora, j) Cámara digital, k) Aire acondicionado</v>
      </c>
      <c r="K184" s="89" t="str">
        <f>Registro!K184</f>
        <v>f) Más de cuatro</v>
      </c>
      <c r="L184" s="89"/>
      <c r="M184" s="94">
        <f t="shared" si="14"/>
        <v>0</v>
      </c>
      <c r="N184" s="89" t="str">
        <f>Registro!M184</f>
        <v>d) Los problemas familiares</v>
      </c>
      <c r="O184" s="89" t="str">
        <f>Registro!N184</f>
        <v>a) Mucho</v>
      </c>
      <c r="P184" s="89" t="str">
        <f>Registro!O184</f>
        <v>a) Mucho</v>
      </c>
      <c r="Q184" s="89" t="str">
        <f>Registro!P184</f>
        <v>b) Suficiente</v>
      </c>
      <c r="R184" s="89"/>
      <c r="S184" s="94">
        <f t="shared" si="11"/>
        <v>0</v>
      </c>
      <c r="T184" s="89" t="str">
        <f>Registro!R184</f>
        <v>b) Suficiente</v>
      </c>
      <c r="U184" s="89" t="str">
        <f>Registro!S184</f>
        <v>i) Los necesitados</v>
      </c>
      <c r="V184" s="89" t="str">
        <f>Registro!T184</f>
        <v>c) Rezo solo en situación de dificultad</v>
      </c>
      <c r="W184" s="89" t="str">
        <f>Registro!U184</f>
        <v>c) Solo en fechas especiales</v>
      </c>
      <c r="X184" s="89" t="str">
        <f>Registro!V184</f>
        <v>a) Suelo llevar una cruz o algún objeto religioso, h) En Semana Santa asisto a las procesiones</v>
      </c>
      <c r="Y184" s="89" t="str">
        <f>Registro!W184</f>
        <v>d) No pertenezco a ninguno</v>
      </c>
      <c r="Z184" s="89" t="str">
        <f>Registro!X184</f>
        <v>d) No pertenezco a grupos juveniles cristianos</v>
      </c>
      <c r="AA184" s="89" t="str">
        <f>Registro!Y184</f>
        <v>b) No</v>
      </c>
      <c r="AB184" s="89" t="str">
        <f>Registro!Z184</f>
        <v>c) Algo</v>
      </c>
      <c r="AC184" s="89" t="str">
        <f>Registro!AA184</f>
        <v>d) Ingeniería</v>
      </c>
      <c r="AD184" s="94">
        <f t="shared" si="10"/>
        <v>1</v>
      </c>
      <c r="AE184" s="89" t="str">
        <f>Registro!AB184</f>
        <v>b) Tener una buena posición social, ser importante</v>
      </c>
      <c r="AF184" s="89" t="str">
        <f>Registro!AC184</f>
        <v>e) No sé</v>
      </c>
      <c r="AG184" s="89" t="str">
        <f>Registro!AD184</f>
        <v>i) No me gusta nada</v>
      </c>
      <c r="AH184" s="94">
        <f t="shared" si="12"/>
        <v>1</v>
      </c>
      <c r="AI184" s="89" t="str">
        <f>Registro!AE184</f>
        <v>b) 3 a 4 horas</v>
      </c>
      <c r="AJ184" s="89" t="str">
        <f>Registro!AF184</f>
        <v>b) Navego en Internet, g) Suelo ir a discotecas o a fiestas, k) Practico algún deporte</v>
      </c>
      <c r="AK184" s="94">
        <f t="shared" si="13"/>
        <v>3</v>
      </c>
      <c r="AL184" s="89" t="str">
        <f>Registro!AG184</f>
        <v>d) Deficiente</v>
      </c>
      <c r="AM184" s="89" t="str">
        <f>Registro!AH184</f>
        <v>b) Buena</v>
      </c>
      <c r="AN184" s="89" t="str">
        <f>Registro!AI184</f>
        <v>b) Buena</v>
      </c>
      <c r="AO184" s="89" t="str">
        <f>Registro!AJ184</f>
        <v>b) Buena</v>
      </c>
      <c r="AP184" s="89" t="str">
        <f>Registro!AK184</f>
        <v>c) Regular</v>
      </c>
      <c r="AQ184" s="89" t="str">
        <f>Registro!AL184</f>
        <v>b) Buena</v>
      </c>
      <c r="AR184" s="89" t="str">
        <f>Registro!AM184</f>
        <v>b) Buena</v>
      </c>
      <c r="AS184" s="89" t="str">
        <f>Registro!AN184</f>
        <v>b) Buena</v>
      </c>
      <c r="AT184" s="89" t="str">
        <f>Registro!AO184</f>
        <v>b) Buena</v>
      </c>
      <c r="AU184" s="89" t="str">
        <f>Registro!AP184</f>
        <v>b) Buena</v>
      </c>
      <c r="AV184" s="89" t="str">
        <f>Registro!AQ184</f>
        <v>a) Muy buena</v>
      </c>
      <c r="AW184" s="89" t="str">
        <f>Registro!AR184</f>
        <v>e) La disciplina y el orden</v>
      </c>
      <c r="AX184" s="89" t="str">
        <f>Registro!AS184</f>
        <v>h) No sé</v>
      </c>
      <c r="AY184" s="89" t="str">
        <f>Registro!AT184</f>
        <v>d) Bastante necesaria</v>
      </c>
      <c r="AZ184" s="89" t="str">
        <f>Registro!AU184</f>
        <v>b) Las veces que bebo, es con moderación</v>
      </c>
      <c r="BA184" s="89" t="str">
        <f>Registro!AV184</f>
        <v>c) Profesionales que hacen lo que pueden</v>
      </c>
      <c r="BB184" s="89" t="str">
        <f>Registro!AW184</f>
        <v>e) No sé</v>
      </c>
      <c r="BC184" s="89" t="str">
        <f>Registro!AX184</f>
        <v>c) Son personas normales y corrientes</v>
      </c>
      <c r="BD184" s="89" t="str">
        <f>Registro!AY184</f>
        <v>h) Una amiga</v>
      </c>
    </row>
    <row r="185" spans="1:56" ht="15" customHeight="1" x14ac:dyDescent="0.25">
      <c r="A185" s="101">
        <f>Registro!A185</f>
        <v>42158.320625</v>
      </c>
      <c r="B185" s="89" t="str">
        <f>Registro!B185</f>
        <v>c) Obra Social San José de Calasanz de Valencia</v>
      </c>
      <c r="C185" s="89" t="str">
        <f>Registro!C185</f>
        <v>b) Tercer año</v>
      </c>
      <c r="D185" s="89" t="str">
        <f>Registro!D185</f>
        <v>b) Primaria</v>
      </c>
      <c r="E185" s="89" t="str">
        <f>Registro!E185</f>
        <v>a) Masculino</v>
      </c>
      <c r="F185" s="89" t="str">
        <f>Registro!F185</f>
        <v>a) Católica</v>
      </c>
      <c r="G185" s="89" t="str">
        <f>Registro!G185</f>
        <v>a) Mamá, b) Papá, c) Hermanos</v>
      </c>
      <c r="H185" s="89" t="str">
        <f>Registro!H185</f>
        <v>b) Casa Urbana</v>
      </c>
      <c r="I185" s="89" t="str">
        <f>Registro!I185</f>
        <v>c) Algo</v>
      </c>
      <c r="J185" s="89" t="str">
        <f>Registro!J185</f>
        <v>b) Lavadora, f) MP3</v>
      </c>
      <c r="K185" s="89" t="str">
        <f>Registro!K185</f>
        <v>c) Dos</v>
      </c>
      <c r="L185" s="89" t="str">
        <f>Registro!L185</f>
        <v>a) La familia, c) Los estudios, j) El deporte</v>
      </c>
      <c r="M185" s="94">
        <f t="shared" si="14"/>
        <v>3</v>
      </c>
      <c r="N185" s="89" t="str">
        <f>Registro!M185</f>
        <v>e) La situación económica</v>
      </c>
      <c r="O185" s="89">
        <f>Registro!N185</f>
        <v>0</v>
      </c>
      <c r="P185" s="89" t="str">
        <f>Registro!O185</f>
        <v>c) Poco</v>
      </c>
      <c r="Q185" s="89" t="str">
        <f>Registro!P185</f>
        <v>c) Poco</v>
      </c>
      <c r="R185" s="89" t="str">
        <f>Registro!Q185</f>
        <v>a) La familia, c) Los estudios, g) La felicidad</v>
      </c>
      <c r="S185" s="94">
        <f t="shared" si="11"/>
        <v>3</v>
      </c>
      <c r="T185" s="89">
        <f>Registro!R185</f>
        <v>0</v>
      </c>
      <c r="U185" s="89" t="str">
        <f>Registro!S185</f>
        <v>a) La Iglesia, g) Mi familia, h) Algunas personas cercanas a Dios, k) La oración, l) Los sacramentos</v>
      </c>
      <c r="V185" s="89" t="str">
        <f>Registro!T185</f>
        <v>c) Rezo solo en situación de dificultad</v>
      </c>
      <c r="W185" s="89" t="str">
        <f>Registro!U185</f>
        <v>d) Nunca</v>
      </c>
      <c r="X185" s="89" t="str">
        <f>Registro!V185</f>
        <v>i) Tengo en mi cuarto alguna imagen religiosa</v>
      </c>
      <c r="Y185" s="89" t="str">
        <f>Registro!W185</f>
        <v>c) Religioso o parroquial</v>
      </c>
      <c r="Z185" s="89" t="str">
        <f>Registro!X185</f>
        <v>c) Un lugar donde me lo paso bien</v>
      </c>
      <c r="AA185" s="89" t="str">
        <f>Registro!Y185</f>
        <v>a) Sí</v>
      </c>
      <c r="AB185" s="89" t="str">
        <f>Registro!Z185</f>
        <v>a) Sí</v>
      </c>
      <c r="AC185" s="89" t="str">
        <f>Registro!AA185</f>
        <v>a) Medicina, c) Sacerdocio o hermana religiosa</v>
      </c>
      <c r="AD185" s="94">
        <f t="shared" si="10"/>
        <v>2</v>
      </c>
      <c r="AE185" s="89" t="str">
        <f>Registro!AB185</f>
        <v>e) Servir a los demás</v>
      </c>
      <c r="AF185" s="89" t="str">
        <f>Registro!AC185</f>
        <v>b) Poco</v>
      </c>
      <c r="AG185" s="89" t="str">
        <f>Registro!AD185</f>
        <v>g) La relación con los docentes, h) Las actividades extraescolares</v>
      </c>
      <c r="AH185" s="94">
        <f t="shared" si="12"/>
        <v>2</v>
      </c>
      <c r="AI185" s="89" t="str">
        <f>Registro!AE185</f>
        <v>d) 7 a 8 horas</v>
      </c>
      <c r="AJ185" s="89" t="str">
        <f>Registro!AF185</f>
        <v>e) Suelo ir a algún parque, f) Toco un instrumento musical</v>
      </c>
      <c r="AK185" s="94">
        <f t="shared" si="13"/>
        <v>2</v>
      </c>
      <c r="AL185" s="89" t="str">
        <f>Registro!AG185</f>
        <v>d) Deficiente</v>
      </c>
      <c r="AM185" s="89" t="str">
        <f>Registro!AH185</f>
        <v>b) Buena</v>
      </c>
      <c r="AN185" s="89" t="str">
        <f>Registro!AI185</f>
        <v>c) Regular</v>
      </c>
      <c r="AO185" s="89" t="str">
        <f>Registro!AJ185</f>
        <v>e) Muy mala</v>
      </c>
      <c r="AP185" s="89" t="str">
        <f>Registro!AK185</f>
        <v>f) No aplica</v>
      </c>
      <c r="AQ185" s="89" t="str">
        <f>Registro!AL185</f>
        <v>c) Regular</v>
      </c>
      <c r="AR185" s="89" t="str">
        <f>Registro!AM185</f>
        <v>d) Mala</v>
      </c>
      <c r="AS185" s="89" t="str">
        <f>Registro!AN185</f>
        <v>a) Muy buena</v>
      </c>
      <c r="AT185" s="89" t="str">
        <f>Registro!AO185</f>
        <v>b) Buena</v>
      </c>
      <c r="AU185" s="89" t="str">
        <f>Registro!AP185</f>
        <v>d) Mala</v>
      </c>
      <c r="AV185" s="89" t="str">
        <f>Registro!AQ185</f>
        <v>e) Muy mala</v>
      </c>
      <c r="AW185" s="89" t="str">
        <f>Registro!AR185</f>
        <v>b) La orientación cristiana</v>
      </c>
      <c r="AX185" s="89" t="str">
        <f>Registro!AS185</f>
        <v>d) Que ayude económicamente a la familia</v>
      </c>
      <c r="AY185" s="89" t="str">
        <f>Registro!AT185</f>
        <v>d) Bastante necesaria</v>
      </c>
      <c r="AZ185" s="89" t="str">
        <f>Registro!AU185</f>
        <v>a) No acostumbro a tomarlo nunca</v>
      </c>
      <c r="BA185" s="89" t="str">
        <f>Registro!AV185</f>
        <v>e) Educadores que se preocupan de nosotros</v>
      </c>
      <c r="BB185" s="89" t="str">
        <f>Registro!AW185</f>
        <v>b) Poco</v>
      </c>
      <c r="BC185" s="89" t="str">
        <f>Registro!AX185</f>
        <v>d) Hay de todo tipo, pero predomina lo positivo</v>
      </c>
      <c r="BD185" s="89" t="str">
        <f>Registro!AY185</f>
        <v>d) Un escolapio, religioso o religiosa, e) Un, una docente</v>
      </c>
    </row>
    <row r="186" spans="1:56" ht="15" customHeight="1" x14ac:dyDescent="0.25">
      <c r="A186" s="101">
        <f>Registro!A186</f>
        <v>42158.321701388886</v>
      </c>
      <c r="B186" s="89" t="str">
        <f>Registro!B186</f>
        <v>c) Obra Social San José de Calasanz de Valencia</v>
      </c>
      <c r="C186" s="89" t="str">
        <f>Registro!C186</f>
        <v>b) Tercer año</v>
      </c>
      <c r="D186" s="89" t="str">
        <f>Registro!D186</f>
        <v>c) Entre Primero y Tercer año</v>
      </c>
      <c r="E186" s="89" t="str">
        <f>Registro!E186</f>
        <v>a) Masculino</v>
      </c>
      <c r="F186" s="89" t="str">
        <f>Registro!F186</f>
        <v>d) Otra</v>
      </c>
      <c r="G186" s="89" t="str">
        <f>Registro!G186</f>
        <v>a) Mamá, b) Papá, c) Hermanos, d) Abuelos, e) Otros familiares</v>
      </c>
      <c r="H186" s="89" t="str">
        <f>Registro!H186</f>
        <v>f) Otro</v>
      </c>
      <c r="I186" s="89" t="str">
        <f>Registro!I186</f>
        <v>c) Algo</v>
      </c>
      <c r="J186" s="89" t="str">
        <f>Registro!J186</f>
        <v>a) Cónsola videojuegos, b) Lavadora, c) Microondas, d) TV pantalla plana, e) Moto, f) MP3, g) MP4, h) Carro, i) Computadora, j) Cámara digital, k) Aire acondicionado</v>
      </c>
      <c r="K186" s="89" t="str">
        <f>Registro!K186</f>
        <v>f) Más de cuatro</v>
      </c>
      <c r="L186" s="89"/>
      <c r="M186" s="94">
        <f t="shared" si="14"/>
        <v>0</v>
      </c>
      <c r="N186" s="89" t="str">
        <f>Registro!M186</f>
        <v>a) Seguridad personal (la violencia y la delincuencia)</v>
      </c>
      <c r="O186" s="89" t="str">
        <f>Registro!N186</f>
        <v>c) Poco</v>
      </c>
      <c r="P186" s="89" t="str">
        <f>Registro!O186</f>
        <v>c) Poco</v>
      </c>
      <c r="Q186" s="89" t="str">
        <f>Registro!P186</f>
        <v>c) Poco</v>
      </c>
      <c r="R186" s="89"/>
      <c r="S186" s="94">
        <f t="shared" si="11"/>
        <v>0</v>
      </c>
      <c r="T186" s="89" t="str">
        <f>Registro!R186</f>
        <v>a) Mucho</v>
      </c>
      <c r="U186" s="89" t="str">
        <f>Registro!S186</f>
        <v>a) La Iglesia, b) La naturaleza, d) Las convivencias, e) Los amigos, f) Todas las personas, g) Mi familia, h) Algunas personas cercanas a Dios, j) Todas partes, k) La oración</v>
      </c>
      <c r="V186" s="89" t="str">
        <f>Registro!T186</f>
        <v>c) Rezo solo en situación de dificultad</v>
      </c>
      <c r="W186" s="89" t="str">
        <f>Registro!U186</f>
        <v>d) Nunca</v>
      </c>
      <c r="X186" s="89" t="str">
        <f>Registro!V186</f>
        <v>b) Suelo bendedir los alimentos antes de comer, d) Suelo orar todos los días, g) En ocasiones, en mi casa tenemos una oración familiar, h) En Semana Santa asisto a las procesiones, i) Tengo en mi cuarto alguna imagen religiosa</v>
      </c>
      <c r="Y186" s="89" t="str">
        <f>Registro!W186</f>
        <v xml:space="preserve">a) Deportivo, b) Cultural (folklórico, musicales, danzas, scout, banda marcial,...) </v>
      </c>
      <c r="Z186" s="89" t="str">
        <f>Registro!X186</f>
        <v>a) Un grupo donde profundizo mi fe</v>
      </c>
      <c r="AA186" s="89" t="str">
        <f>Registro!Y186</f>
        <v>b) No</v>
      </c>
      <c r="AB186" s="89" t="str">
        <f>Registro!Z186</f>
        <v>b) No</v>
      </c>
      <c r="AC186" s="89"/>
      <c r="AD186" s="94">
        <f t="shared" si="10"/>
        <v>0</v>
      </c>
      <c r="AE186" s="89" t="str">
        <f>Registro!AB186</f>
        <v>b) Tener una buena posición social, ser importante</v>
      </c>
      <c r="AF186" s="89" t="str">
        <f>Registro!AC186</f>
        <v>d) Mucho o muchísimo</v>
      </c>
      <c r="AG186" s="89"/>
      <c r="AH186" s="94">
        <f t="shared" si="12"/>
        <v>0</v>
      </c>
      <c r="AI186" s="89" t="str">
        <f>Registro!AE186</f>
        <v>e) 9 a 10 horas</v>
      </c>
      <c r="AJ186" s="89" t="str">
        <f>Registro!AF186</f>
        <v>a) Me divierto con juegos para computadoras, b) Navego en Internet, i) Leo revistas o libros</v>
      </c>
      <c r="AK186" s="94">
        <f t="shared" si="13"/>
        <v>3</v>
      </c>
      <c r="AL186" s="89" t="str">
        <f>Registro!AG186</f>
        <v>a) Muy bueno</v>
      </c>
      <c r="AM186" s="89" t="str">
        <f>Registro!AH186</f>
        <v>a) Muy buena</v>
      </c>
      <c r="AN186" s="89" t="str">
        <f>Registro!AI186</f>
        <v>a) Muy buena</v>
      </c>
      <c r="AO186" s="89" t="str">
        <f>Registro!AJ186</f>
        <v>a) Muy buena</v>
      </c>
      <c r="AP186" s="89" t="str">
        <f>Registro!AK186</f>
        <v>b) Buena</v>
      </c>
      <c r="AQ186" s="89" t="str">
        <f>Registro!AL186</f>
        <v>b) Buena</v>
      </c>
      <c r="AR186" s="89" t="str">
        <f>Registro!AM186</f>
        <v>a) Muy buena</v>
      </c>
      <c r="AS186" s="89" t="str">
        <f>Registro!AN186</f>
        <v>a) Muy buena</v>
      </c>
      <c r="AT186" s="89" t="str">
        <f>Registro!AO186</f>
        <v>b) Buena</v>
      </c>
      <c r="AU186" s="89" t="str">
        <f>Registro!AP186</f>
        <v>a) Muy buena</v>
      </c>
      <c r="AV186" s="89" t="str">
        <f>Registro!AQ186</f>
        <v>a) Muy buena</v>
      </c>
      <c r="AW186" s="89" t="str">
        <f>Registro!AR186</f>
        <v>a) El compañerismo</v>
      </c>
      <c r="AX186" s="89" t="str">
        <f>Registro!AS186</f>
        <v>a) Que sea un buen profesional</v>
      </c>
      <c r="AY186" s="89" t="str">
        <f>Registro!AT186</f>
        <v>d) Bastante necesaria</v>
      </c>
      <c r="AZ186" s="89" t="str">
        <f>Registro!AU186</f>
        <v>a) No acostumbro a tomarlo nunca</v>
      </c>
      <c r="BA186" s="89" t="str">
        <f>Registro!AV186</f>
        <v>e) Educadores que se preocupan de nosotros</v>
      </c>
      <c r="BB186" s="89" t="str">
        <f>Registro!AW186</f>
        <v>c) Bastante</v>
      </c>
      <c r="BC186" s="89" t="str">
        <f>Registro!AX186</f>
        <v>d) Hay de todo tipo, pero predomina lo positivo</v>
      </c>
      <c r="BD186" s="89" t="str">
        <f>Registro!AY186</f>
        <v>c) Un hermano/a, e) Un, una docente, g) Un amigo, h) Una amiga</v>
      </c>
    </row>
    <row r="187" spans="1:56" ht="15" customHeight="1" x14ac:dyDescent="0.25">
      <c r="A187" s="101">
        <f>Registro!A187</f>
        <v>42158.322650462964</v>
      </c>
      <c r="B187" s="89" t="str">
        <f>Registro!B187</f>
        <v>c) Obra Social San José de Calasanz de Valencia</v>
      </c>
      <c r="C187" s="89" t="str">
        <f>Registro!C187</f>
        <v>b) Tercer año</v>
      </c>
      <c r="D187" s="89" t="str">
        <f>Registro!D187</f>
        <v>b) Primaria</v>
      </c>
      <c r="E187" s="89" t="str">
        <f>Registro!E187</f>
        <v>a) Masculino</v>
      </c>
      <c r="F187" s="89" t="str">
        <f>Registro!F187</f>
        <v>a) Católica</v>
      </c>
      <c r="G187" s="89" t="str">
        <f>Registro!G187</f>
        <v>a) Mamá, b) Papá, c) Hermanos, d) Abuelos, e) Otros familiares</v>
      </c>
      <c r="H187" s="89" t="str">
        <f>Registro!H187</f>
        <v>d) Casa Rural</v>
      </c>
      <c r="I187" s="89" t="str">
        <f>Registro!I187</f>
        <v>a) Sí</v>
      </c>
      <c r="J187" s="89" t="str">
        <f>Registro!J187</f>
        <v>a) Cónsola videojuegos, b) Lavadora, c) Microondas, d) TV pantalla plana, e) Moto, f) MP3, g) MP4, h) Carro, i) Computadora, j) Cámara digital, k) Aire acondicionado</v>
      </c>
      <c r="K187" s="89" t="str">
        <f>Registro!K187</f>
        <v>f) Más de cuatro</v>
      </c>
      <c r="L187" s="89" t="str">
        <f>Registro!L187</f>
        <v>a) La familia, c) Los estudios, j) El deporte</v>
      </c>
      <c r="M187" s="94">
        <f t="shared" si="14"/>
        <v>3</v>
      </c>
      <c r="N187" s="89" t="str">
        <f>Registro!M187</f>
        <v>b) El futuro</v>
      </c>
      <c r="O187" s="89" t="str">
        <f>Registro!N187</f>
        <v>a) Mucho</v>
      </c>
      <c r="P187" s="89" t="str">
        <f>Registro!O187</f>
        <v>c) Poco</v>
      </c>
      <c r="Q187" s="89" t="str">
        <f>Registro!P187</f>
        <v>b) Suficiente</v>
      </c>
      <c r="R187" s="89" t="str">
        <f>Registro!Q187</f>
        <v>a) La familia, c) Los estudios, j) El deporte</v>
      </c>
      <c r="S187" s="94">
        <f t="shared" si="11"/>
        <v>3</v>
      </c>
      <c r="T187" s="89" t="str">
        <f>Registro!R187</f>
        <v>b) Suficiente</v>
      </c>
      <c r="U187" s="89" t="str">
        <f>Registro!S187</f>
        <v>a) La Iglesia, d) Las convivencias, g) Mi familia, k) La oración</v>
      </c>
      <c r="V187" s="89" t="str">
        <f>Registro!T187</f>
        <v>b) Rezo por costumbre</v>
      </c>
      <c r="W187" s="89" t="str">
        <f>Registro!U187</f>
        <v>c) Solo en fechas especiales</v>
      </c>
      <c r="X187" s="89" t="str">
        <f>Registro!V187</f>
        <v>c) Suelo ir los domingos y otras fechas especiales a la Iglesia</v>
      </c>
      <c r="Y187" s="89" t="str">
        <f>Registro!W187</f>
        <v>a) Deportivo, b) Cultural (folklórico, musicales, danzas, scout, banda marcial,...) , c) Religioso o parroquial</v>
      </c>
      <c r="Z187" s="89" t="str">
        <f>Registro!X187</f>
        <v>a) Un grupo donde profundizo mi fe</v>
      </c>
      <c r="AA187" s="89" t="str">
        <f>Registro!Y187</f>
        <v>b) No</v>
      </c>
      <c r="AB187" s="89" t="str">
        <f>Registro!Z187</f>
        <v>c) Algo</v>
      </c>
      <c r="AC187" s="89"/>
      <c r="AD187" s="94">
        <f t="shared" si="10"/>
        <v>0</v>
      </c>
      <c r="AE187" s="89" t="str">
        <f>Registro!AB187</f>
        <v>b) Tener una buena posición social, ser importante</v>
      </c>
      <c r="AF187" s="89" t="str">
        <f>Registro!AC187</f>
        <v>d) Mucho o muchísimo</v>
      </c>
      <c r="AG187" s="89"/>
      <c r="AH187" s="94">
        <f t="shared" si="12"/>
        <v>0</v>
      </c>
      <c r="AI187" s="89" t="str">
        <f>Registro!AE187</f>
        <v>f) 11 o más horas</v>
      </c>
      <c r="AJ187" s="89">
        <f>Registro!AF187</f>
        <v>0</v>
      </c>
      <c r="AK187" s="94">
        <f t="shared" si="13"/>
        <v>0</v>
      </c>
      <c r="AL187" s="89">
        <f>Registro!AG187</f>
        <v>0</v>
      </c>
      <c r="AM187" s="89">
        <f>Registro!AH187</f>
        <v>0</v>
      </c>
      <c r="AN187" s="89">
        <f>Registro!AI187</f>
        <v>0</v>
      </c>
      <c r="AO187" s="89">
        <f>Registro!AJ187</f>
        <v>0</v>
      </c>
      <c r="AP187" s="89">
        <f>Registro!AK187</f>
        <v>0</v>
      </c>
      <c r="AQ187" s="89">
        <f>Registro!AL187</f>
        <v>0</v>
      </c>
      <c r="AR187" s="89">
        <f>Registro!AM187</f>
        <v>0</v>
      </c>
      <c r="AS187" s="89">
        <f>Registro!AN187</f>
        <v>0</v>
      </c>
      <c r="AT187" s="89">
        <f>Registro!AO187</f>
        <v>0</v>
      </c>
      <c r="AU187" s="89">
        <f>Registro!AP187</f>
        <v>0</v>
      </c>
      <c r="AV187" s="89">
        <f>Registro!AQ187</f>
        <v>0</v>
      </c>
      <c r="AW187" s="89">
        <f>Registro!AR187</f>
        <v>0</v>
      </c>
      <c r="AX187" s="89">
        <f>Registro!AS187</f>
        <v>0</v>
      </c>
      <c r="AY187" s="89">
        <f>Registro!AT187</f>
        <v>0</v>
      </c>
      <c r="AZ187" s="89">
        <f>Registro!AU187</f>
        <v>0</v>
      </c>
      <c r="BA187" s="89">
        <f>Registro!AV187</f>
        <v>0</v>
      </c>
      <c r="BB187" s="89">
        <f>Registro!AW187</f>
        <v>0</v>
      </c>
      <c r="BC187" s="89">
        <f>Registro!AX187</f>
        <v>0</v>
      </c>
      <c r="BD187" s="89">
        <f>Registro!AY187</f>
        <v>0</v>
      </c>
    </row>
    <row r="188" spans="1:56" ht="15" customHeight="1" x14ac:dyDescent="0.25">
      <c r="A188" s="101">
        <f>Registro!A188</f>
        <v>42158.324618055558</v>
      </c>
      <c r="B188" s="89" t="str">
        <f>Registro!B188</f>
        <v>c) Obra Social San José de Calasanz de Valencia</v>
      </c>
      <c r="C188" s="89" t="str">
        <f>Registro!C188</f>
        <v>c) Cuarto año</v>
      </c>
      <c r="D188" s="89" t="str">
        <f>Registro!D188</f>
        <v>c) Entre Primero y Tercer año</v>
      </c>
      <c r="E188" s="89" t="str">
        <f>Registro!E188</f>
        <v>a) Masculino</v>
      </c>
      <c r="F188" s="89" t="str">
        <f>Registro!F188</f>
        <v>a) Católica</v>
      </c>
      <c r="G188" s="89" t="str">
        <f>Registro!G188</f>
        <v>a) Mamá, b) Papá</v>
      </c>
      <c r="H188" s="89" t="str">
        <f>Registro!H188</f>
        <v>c) Apartamento</v>
      </c>
      <c r="I188" s="89" t="str">
        <f>Registro!I188</f>
        <v>a) Sí</v>
      </c>
      <c r="J188" s="89" t="str">
        <f>Registro!J188</f>
        <v>a) Cónsola videojuegos, b) Lavadora, c) Microondas, d) TV pantalla plana, e) Moto, f) MP3, g) MP4, h) Carro, i) Computadora, j) Cámara digital, k) Aire acondicionado</v>
      </c>
      <c r="K188" s="89" t="str">
        <f>Registro!K188</f>
        <v>c) Dos</v>
      </c>
      <c r="L188" s="89" t="str">
        <f>Registro!L188</f>
        <v>a) La familia, c) Los estudios, h) La sexualidad</v>
      </c>
      <c r="M188" s="94">
        <f t="shared" si="14"/>
        <v>3</v>
      </c>
      <c r="N188" s="89" t="str">
        <f>Registro!M188</f>
        <v>b) El futuro</v>
      </c>
      <c r="O188" s="89" t="str">
        <f>Registro!N188</f>
        <v>c) Poco</v>
      </c>
      <c r="P188" s="89" t="str">
        <f>Registro!O188</f>
        <v>c) Poco</v>
      </c>
      <c r="Q188" s="89" t="str">
        <f>Registro!P188</f>
        <v>c) Poco</v>
      </c>
      <c r="R188" s="89"/>
      <c r="S188" s="94">
        <f t="shared" si="11"/>
        <v>0</v>
      </c>
      <c r="T188" s="89" t="str">
        <f>Registro!R188</f>
        <v>a) Mucho</v>
      </c>
      <c r="U188" s="89" t="str">
        <f>Registro!S188</f>
        <v>a) La Iglesia, b) La naturaleza, c) El salón de clase, d) Las convivencias, e) Los amigos, g) Mi familia, j) Todas partes, k) La oración, l) Los sacramentos</v>
      </c>
      <c r="V188" s="89" t="str">
        <f>Registro!T188</f>
        <v>c) Rezo solo en situación de dificultad</v>
      </c>
      <c r="W188" s="89" t="str">
        <f>Registro!U188</f>
        <v>c) Solo en fechas especiales</v>
      </c>
      <c r="X188" s="89" t="str">
        <f>Registro!V188</f>
        <v>c) Suelo ir los domingos y otras fechas especiales a la Iglesia, g) En ocasiones, en mi casa tenemos una oración familiar</v>
      </c>
      <c r="Y188" s="89" t="str">
        <f>Registro!W188</f>
        <v>a) Deportivo</v>
      </c>
      <c r="Z188" s="89" t="str">
        <f>Registro!X188</f>
        <v>b) Un lugar donde comparto con mis compañeros</v>
      </c>
      <c r="AA188" s="89" t="str">
        <f>Registro!Y188</f>
        <v>b) No</v>
      </c>
      <c r="AB188" s="89" t="str">
        <f>Registro!Z188</f>
        <v>b) No</v>
      </c>
      <c r="AC188" s="89" t="str">
        <f>Registro!AA188</f>
        <v>c) Sacerdocio o hermana religiosa</v>
      </c>
      <c r="AD188" s="94">
        <f t="shared" si="10"/>
        <v>1</v>
      </c>
      <c r="AE188" s="89" t="str">
        <f>Registro!AB188</f>
        <v>a) Ganar mucho dinero</v>
      </c>
      <c r="AF188" s="89" t="str">
        <f>Registro!AC188</f>
        <v>a) No, en absoluto</v>
      </c>
      <c r="AG188" s="89" t="str">
        <f>Registro!AD188</f>
        <v>b) El ambiente de estudio y de trabajo, c) Las instalaciones del Colegio</v>
      </c>
      <c r="AH188" s="94">
        <f t="shared" si="12"/>
        <v>2</v>
      </c>
      <c r="AI188" s="89" t="str">
        <f>Registro!AE188</f>
        <v>a) 0 a 2 horas</v>
      </c>
      <c r="AJ188" s="89" t="str">
        <f>Registro!AF188</f>
        <v>c) Suelo ir a centros de video (máquinas de juegos), g) Suelo ir a discotecas o a fiestas</v>
      </c>
      <c r="AK188" s="94">
        <f t="shared" si="13"/>
        <v>2</v>
      </c>
      <c r="AL188" s="89" t="str">
        <f>Registro!AG188</f>
        <v>c) Regular</v>
      </c>
      <c r="AM188" s="89" t="str">
        <f>Registro!AH188</f>
        <v>d) Mala</v>
      </c>
      <c r="AN188" s="89" t="str">
        <f>Registro!AI188</f>
        <v>d) Mala</v>
      </c>
      <c r="AO188" s="89" t="str">
        <f>Registro!AJ188</f>
        <v>d) Mala</v>
      </c>
      <c r="AP188" s="89" t="str">
        <f>Registro!AK188</f>
        <v>d) Mala</v>
      </c>
      <c r="AQ188" s="89" t="str">
        <f>Registro!AL188</f>
        <v>d) Mala</v>
      </c>
      <c r="AR188" s="89">
        <f>Registro!AM188</f>
        <v>0</v>
      </c>
      <c r="AS188" s="89" t="str">
        <f>Registro!AN188</f>
        <v>d) Mala</v>
      </c>
      <c r="AT188" s="89">
        <f>Registro!AO188</f>
        <v>0</v>
      </c>
      <c r="AU188" s="89">
        <f>Registro!AP188</f>
        <v>0</v>
      </c>
      <c r="AV188" s="89" t="str">
        <f>Registro!AQ188</f>
        <v>d) Mala</v>
      </c>
      <c r="AW188" s="89" t="str">
        <f>Registro!AR188</f>
        <v>f) la práctica religiosa</v>
      </c>
      <c r="AX188" s="89" t="str">
        <f>Registro!AS188</f>
        <v>e) Que sea cristiano responsable</v>
      </c>
      <c r="AY188" s="89" t="str">
        <f>Registro!AT188</f>
        <v>b) Indiferente</v>
      </c>
      <c r="AZ188" s="89" t="str">
        <f>Registro!AU188</f>
        <v>c) Alguna vez he bebido más de la cuenta</v>
      </c>
      <c r="BA188" s="89" t="str">
        <f>Registro!AV188</f>
        <v>c) Profesionales que hacen lo que pueden</v>
      </c>
      <c r="BB188" s="89" t="str">
        <f>Registro!AW188</f>
        <v>c) Bastante</v>
      </c>
      <c r="BC188" s="89" t="str">
        <f>Registro!AX188</f>
        <v>b) Hay de todo tipo, pero predomina lo negativo</v>
      </c>
      <c r="BD188" s="89" t="str">
        <f>Registro!AY188</f>
        <v>e) Un, una docente, h) Una amiga</v>
      </c>
    </row>
    <row r="189" spans="1:56" ht="15" customHeight="1" x14ac:dyDescent="0.25">
      <c r="A189" s="101">
        <f>Registro!A189</f>
        <v>42158.32508101852</v>
      </c>
      <c r="B189" s="89" t="str">
        <f>Registro!B189</f>
        <v>c) Obra Social San José de Calasanz de Valencia</v>
      </c>
      <c r="C189" s="89" t="str">
        <f>Registro!C189</f>
        <v>c) Cuarto año</v>
      </c>
      <c r="D189" s="89" t="str">
        <f>Registro!D189</f>
        <v>a) Educación Inicial</v>
      </c>
      <c r="E189" s="89" t="str">
        <f>Registro!E189</f>
        <v>b) Femenino</v>
      </c>
      <c r="F189" s="89" t="str">
        <f>Registro!F189</f>
        <v>a) Católica</v>
      </c>
      <c r="G189" s="89" t="str">
        <f>Registro!G189</f>
        <v>a) Mamá, b) Papá, c) Hermanos, e) Otros familiares</v>
      </c>
      <c r="H189" s="89" t="str">
        <f>Registro!H189</f>
        <v>b) Casa Urbana</v>
      </c>
      <c r="I189" s="89" t="str">
        <f>Registro!I189</f>
        <v>c) Algo</v>
      </c>
      <c r="J189" s="89" t="str">
        <f>Registro!J189</f>
        <v>b) Lavadora, c) Microondas, d) TV pantalla plana, k) Aire acondicionado</v>
      </c>
      <c r="K189" s="89" t="str">
        <f>Registro!K189</f>
        <v>d) Tres</v>
      </c>
      <c r="L189" s="89"/>
      <c r="M189" s="94">
        <f t="shared" si="14"/>
        <v>0</v>
      </c>
      <c r="N189" s="89" t="str">
        <f>Registro!M189</f>
        <v>h) Los amigos</v>
      </c>
      <c r="O189" s="89">
        <f>Registro!N189</f>
        <v>0</v>
      </c>
      <c r="P189" s="89">
        <f>Registro!O189</f>
        <v>0</v>
      </c>
      <c r="Q189" s="89">
        <f>Registro!P189</f>
        <v>0</v>
      </c>
      <c r="R189" s="89"/>
      <c r="S189" s="94">
        <f t="shared" si="11"/>
        <v>0</v>
      </c>
      <c r="T189" s="89">
        <f>Registro!R189</f>
        <v>0</v>
      </c>
      <c r="U189" s="89">
        <f>Registro!S189</f>
        <v>0</v>
      </c>
      <c r="V189" s="89">
        <f>Registro!T189</f>
        <v>0</v>
      </c>
      <c r="W189" s="89">
        <f>Registro!U189</f>
        <v>0</v>
      </c>
      <c r="X189" s="89">
        <f>Registro!V189</f>
        <v>0</v>
      </c>
      <c r="Y189" s="89">
        <f>Registro!W189</f>
        <v>0</v>
      </c>
      <c r="Z189" s="89">
        <f>Registro!X189</f>
        <v>0</v>
      </c>
      <c r="AA189" s="89">
        <f>Registro!Y189</f>
        <v>0</v>
      </c>
      <c r="AB189" s="89">
        <f>Registro!Z189</f>
        <v>0</v>
      </c>
      <c r="AC189" s="89"/>
      <c r="AD189" s="94">
        <f t="shared" si="10"/>
        <v>0</v>
      </c>
      <c r="AE189" s="89">
        <f>Registro!AB189</f>
        <v>0</v>
      </c>
      <c r="AF189" s="89">
        <f>Registro!AC189</f>
        <v>0</v>
      </c>
      <c r="AG189" s="89">
        <f>Registro!AD189</f>
        <v>0</v>
      </c>
      <c r="AH189" s="94">
        <f t="shared" si="12"/>
        <v>0</v>
      </c>
      <c r="AI189" s="89">
        <f>Registro!AE189</f>
        <v>0</v>
      </c>
      <c r="AJ189" s="89">
        <f>Registro!AF189</f>
        <v>0</v>
      </c>
      <c r="AK189" s="94">
        <f t="shared" si="13"/>
        <v>0</v>
      </c>
      <c r="AL189" s="89">
        <f>Registro!AG189</f>
        <v>0</v>
      </c>
      <c r="AM189" s="89">
        <f>Registro!AH189</f>
        <v>0</v>
      </c>
      <c r="AN189" s="89">
        <f>Registro!AI189</f>
        <v>0</v>
      </c>
      <c r="AO189" s="89">
        <f>Registro!AJ189</f>
        <v>0</v>
      </c>
      <c r="AP189" s="89">
        <f>Registro!AK189</f>
        <v>0</v>
      </c>
      <c r="AQ189" s="89">
        <f>Registro!AL189</f>
        <v>0</v>
      </c>
      <c r="AR189" s="89">
        <f>Registro!AM189</f>
        <v>0</v>
      </c>
      <c r="AS189" s="89">
        <f>Registro!AN189</f>
        <v>0</v>
      </c>
      <c r="AT189" s="89">
        <f>Registro!AO189</f>
        <v>0</v>
      </c>
      <c r="AU189" s="89">
        <f>Registro!AP189</f>
        <v>0</v>
      </c>
      <c r="AV189" s="89">
        <f>Registro!AQ189</f>
        <v>0</v>
      </c>
      <c r="AW189" s="89">
        <f>Registro!AR189</f>
        <v>0</v>
      </c>
      <c r="AX189" s="89">
        <f>Registro!AS189</f>
        <v>0</v>
      </c>
      <c r="AY189" s="89">
        <f>Registro!AT189</f>
        <v>0</v>
      </c>
      <c r="AZ189" s="89">
        <f>Registro!AU189</f>
        <v>0</v>
      </c>
      <c r="BA189" s="89">
        <f>Registro!AV189</f>
        <v>0</v>
      </c>
      <c r="BB189" s="89">
        <f>Registro!AW189</f>
        <v>0</v>
      </c>
      <c r="BC189" s="89">
        <f>Registro!AX189</f>
        <v>0</v>
      </c>
      <c r="BD189" s="89">
        <f>Registro!AY189</f>
        <v>0</v>
      </c>
    </row>
    <row r="190" spans="1:56" ht="15" customHeight="1" x14ac:dyDescent="0.25">
      <c r="A190" s="101">
        <f>Registro!A190</f>
        <v>42158.325729166667</v>
      </c>
      <c r="B190" s="89" t="str">
        <f>Registro!B190</f>
        <v>c) Obra Social San José de Calasanz de Valencia</v>
      </c>
      <c r="C190" s="89" t="str">
        <f>Registro!C190</f>
        <v>c) Cuarto año</v>
      </c>
      <c r="D190" s="89" t="str">
        <f>Registro!D190</f>
        <v>a) Educación Inicial</v>
      </c>
      <c r="E190" s="89" t="str">
        <f>Registro!E190</f>
        <v>a) Masculino</v>
      </c>
      <c r="F190" s="89" t="str">
        <f>Registro!F190</f>
        <v>a) Católica</v>
      </c>
      <c r="G190" s="89" t="str">
        <f>Registro!G190</f>
        <v>a) Mamá, b) Papá</v>
      </c>
      <c r="H190" s="89" t="str">
        <f>Registro!H190</f>
        <v>a) Quinta</v>
      </c>
      <c r="I190" s="89" t="str">
        <f>Registro!I190</f>
        <v>a) Sí</v>
      </c>
      <c r="J190" s="89" t="str">
        <f>Registro!J190</f>
        <v>a) Cónsola videojuegos, b) Lavadora, c) Microondas, d) TV pantalla plana, f) MP3, g) MP4, h) Carro, i) Computadora, j) Cámara digital, k) Aire acondicionado</v>
      </c>
      <c r="K190" s="89" t="str">
        <f>Registro!K190</f>
        <v>c) Dos</v>
      </c>
      <c r="L190" s="89"/>
      <c r="M190" s="94">
        <f t="shared" si="14"/>
        <v>0</v>
      </c>
      <c r="N190" s="89" t="str">
        <f>Registro!M190</f>
        <v>b) El futuro</v>
      </c>
      <c r="O190" s="89" t="str">
        <f>Registro!N190</f>
        <v>a) Mucho</v>
      </c>
      <c r="P190" s="89" t="str">
        <f>Registro!O190</f>
        <v>b) Suficiente</v>
      </c>
      <c r="Q190" s="89" t="str">
        <f>Registro!P190</f>
        <v>a) Mucho</v>
      </c>
      <c r="R190" s="89" t="str">
        <f>Registro!Q190</f>
        <v>b) Los amigos, c) Los estudios, f) Mi fe y mi vida cristiana</v>
      </c>
      <c r="S190" s="94">
        <f t="shared" si="11"/>
        <v>3</v>
      </c>
      <c r="T190" s="89" t="str">
        <f>Registro!R190</f>
        <v>a) Mucho</v>
      </c>
      <c r="U190" s="89" t="str">
        <f>Registro!S190</f>
        <v>a) La Iglesia, b) La naturaleza, c) El salón de clase, d) Las convivencias, e) Los amigos, g) Mi familia, i) Los necesitados, j) Todas partes, k) La oración, l) Los sacramentos</v>
      </c>
      <c r="V190" s="89" t="str">
        <f>Registro!T190</f>
        <v>b) Rezo por costumbre</v>
      </c>
      <c r="W190" s="89" t="str">
        <f>Registro!U190</f>
        <v>b) Algunos domingos</v>
      </c>
      <c r="X190" s="89" t="str">
        <f>Registro!V190</f>
        <v>a) Suelo llevar una cruz o algún objeto religioso</v>
      </c>
      <c r="Y190" s="89" t="str">
        <f>Registro!W190</f>
        <v>a) Deportivo, c) Religioso o parroquial</v>
      </c>
      <c r="Z190" s="89" t="str">
        <f>Registro!X190</f>
        <v>b) Un lugar donde comparto con mis compañeros</v>
      </c>
      <c r="AA190" s="89" t="str">
        <f>Registro!Y190</f>
        <v>b) No</v>
      </c>
      <c r="AB190" s="89" t="str">
        <f>Registro!Z190</f>
        <v>b) No</v>
      </c>
      <c r="AC190" s="89"/>
      <c r="AD190" s="94">
        <f t="shared" si="10"/>
        <v>0</v>
      </c>
      <c r="AE190" s="89" t="str">
        <f>Registro!AB190</f>
        <v>e) Servir a los demás</v>
      </c>
      <c r="AF190" s="89" t="str">
        <f>Registro!AC190</f>
        <v>d) Mucho o muchísimo</v>
      </c>
      <c r="AG190" s="89" t="str">
        <f>Registro!AD190</f>
        <v>c) Las instalaciones del Colegio</v>
      </c>
      <c r="AH190" s="94">
        <f t="shared" si="12"/>
        <v>1</v>
      </c>
      <c r="AI190" s="89" t="str">
        <f>Registro!AE190</f>
        <v>b) 3 a 4 horas</v>
      </c>
      <c r="AJ190" s="89"/>
      <c r="AK190" s="94">
        <f t="shared" si="13"/>
        <v>0</v>
      </c>
      <c r="AL190" s="89" t="str">
        <f>Registro!AG190</f>
        <v>b) Bueno</v>
      </c>
      <c r="AM190" s="89" t="str">
        <f>Registro!AH190</f>
        <v>b) Buena</v>
      </c>
      <c r="AN190" s="89" t="str">
        <f>Registro!AI190</f>
        <v>b) Buena</v>
      </c>
      <c r="AO190" s="89" t="str">
        <f>Registro!AJ190</f>
        <v>a) Muy buena</v>
      </c>
      <c r="AP190" s="89" t="str">
        <f>Registro!AK190</f>
        <v>e) Muy mala</v>
      </c>
      <c r="AQ190" s="89" t="str">
        <f>Registro!AL190</f>
        <v>a) Muy buena</v>
      </c>
      <c r="AR190" s="89" t="str">
        <f>Registro!AM190</f>
        <v>a) Muy buena</v>
      </c>
      <c r="AS190" s="89" t="str">
        <f>Registro!AN190</f>
        <v>a) Muy buena</v>
      </c>
      <c r="AT190" s="89" t="str">
        <f>Registro!AO190</f>
        <v>c) Regular</v>
      </c>
      <c r="AU190" s="89" t="str">
        <f>Registro!AP190</f>
        <v>a) Muy buena</v>
      </c>
      <c r="AV190" s="89" t="str">
        <f>Registro!AQ190</f>
        <v>b) Buena</v>
      </c>
      <c r="AW190" s="89" t="str">
        <f>Registro!AR190</f>
        <v>b) La orientación cristiana</v>
      </c>
      <c r="AX190" s="89" t="str">
        <f>Registro!AS190</f>
        <v>a) Que sea un buen profesional</v>
      </c>
      <c r="AY190" s="89" t="str">
        <f>Registro!AT190</f>
        <v>e) Absolutamente necesaria</v>
      </c>
      <c r="AZ190" s="89" t="str">
        <f>Registro!AU190</f>
        <v>b) Las veces que bebo, es con moderación</v>
      </c>
      <c r="BA190" s="89" t="str">
        <f>Registro!AV190</f>
        <v>e) Educadores que se preocupan de nosotros</v>
      </c>
      <c r="BB190" s="89" t="str">
        <f>Registro!AW190</f>
        <v>c) Bastante</v>
      </c>
      <c r="BC190" s="89" t="str">
        <f>Registro!AX190</f>
        <v>d) Hay de todo tipo, pero predomina lo positivo</v>
      </c>
      <c r="BD190" s="89" t="str">
        <f>Registro!AY190</f>
        <v>a) Mi padre, b) Mi madre, h) Una amiga, k) No tengo problemas personales</v>
      </c>
    </row>
    <row r="191" spans="1:56" ht="15" customHeight="1" x14ac:dyDescent="0.25">
      <c r="A191" s="101">
        <f>Registro!A191</f>
        <v>42158.326122685183</v>
      </c>
      <c r="B191" s="89" t="str">
        <f>Registro!B191</f>
        <v>c) Obra Social San José de Calasanz de Valencia</v>
      </c>
      <c r="C191" s="89" t="str">
        <f>Registro!C191</f>
        <v>c) Cuarto año</v>
      </c>
      <c r="D191" s="89" t="str">
        <f>Registro!D191</f>
        <v>d) En Cuarto año o posterior</v>
      </c>
      <c r="E191" s="89" t="str">
        <f>Registro!E191</f>
        <v>a) Masculino</v>
      </c>
      <c r="F191" s="89" t="str">
        <f>Registro!F191</f>
        <v>b) Evangélica</v>
      </c>
      <c r="G191" s="89" t="str">
        <f>Registro!G191</f>
        <v>a) Mamá, b) Papá</v>
      </c>
      <c r="H191" s="89" t="str">
        <f>Registro!H191</f>
        <v>b) Casa Urbana</v>
      </c>
      <c r="I191" s="89" t="str">
        <f>Registro!I191</f>
        <v>c) Algo</v>
      </c>
      <c r="J191" s="89" t="str">
        <f>Registro!J191</f>
        <v>i) Computadora, k) Aire acondicionado</v>
      </c>
      <c r="K191" s="89" t="str">
        <f>Registro!K191</f>
        <v>d) Tres</v>
      </c>
      <c r="L191" s="89" t="str">
        <f>Registro!L191</f>
        <v>a) La familia, b) Los amigos, c) Los estudios</v>
      </c>
      <c r="M191" s="94">
        <f t="shared" si="14"/>
        <v>3</v>
      </c>
      <c r="N191" s="89" t="str">
        <f>Registro!M191</f>
        <v>b) El futuro</v>
      </c>
      <c r="O191" s="89">
        <f>Registro!N191</f>
        <v>0</v>
      </c>
      <c r="P191" s="89" t="str">
        <f>Registro!O191</f>
        <v>b) Suficiente</v>
      </c>
      <c r="Q191" s="89" t="str">
        <f>Registro!P191</f>
        <v>b) Suficiente</v>
      </c>
      <c r="R191" s="89" t="str">
        <f>Registro!Q191</f>
        <v>a) La familia, c) Los estudios, k) Internet</v>
      </c>
      <c r="S191" s="94">
        <f t="shared" si="11"/>
        <v>3</v>
      </c>
      <c r="T191" s="89" t="str">
        <f>Registro!R191</f>
        <v>c) Poco</v>
      </c>
      <c r="U191" s="89" t="str">
        <f>Registro!S191</f>
        <v>h) Algunas personas cercanas a Dios</v>
      </c>
      <c r="V191" s="89" t="str">
        <f>Registro!T191</f>
        <v>d) No rezo nunca</v>
      </c>
      <c r="W191" s="89" t="str">
        <f>Registro!U191</f>
        <v>d) Nunca</v>
      </c>
      <c r="X191" s="89">
        <f>Registro!V191</f>
        <v>0</v>
      </c>
      <c r="Y191" s="89" t="str">
        <f>Registro!W191</f>
        <v>a) Deportivo</v>
      </c>
      <c r="Z191" s="89" t="str">
        <f>Registro!X191</f>
        <v>d) No pertenezco a grupos juveniles cristianos</v>
      </c>
      <c r="AA191" s="89" t="str">
        <f>Registro!Y191</f>
        <v>b) No</v>
      </c>
      <c r="AB191" s="89" t="str">
        <f>Registro!Z191</f>
        <v>b) No</v>
      </c>
      <c r="AC191" s="89" t="str">
        <f>Registro!AA191</f>
        <v>a) Medicina</v>
      </c>
      <c r="AD191" s="94">
        <f t="shared" si="10"/>
        <v>1</v>
      </c>
      <c r="AE191" s="89" t="str">
        <f>Registro!AB191</f>
        <v>a) Ganar mucho dinero</v>
      </c>
      <c r="AF191" s="89" t="str">
        <f>Registro!AC191</f>
        <v>a) No, en absoluto</v>
      </c>
      <c r="AG191" s="89" t="str">
        <f>Registro!AD191</f>
        <v>a) Los deportes y diversiones</v>
      </c>
      <c r="AH191" s="94">
        <f t="shared" si="12"/>
        <v>1</v>
      </c>
      <c r="AI191" s="89" t="str">
        <f>Registro!AE191</f>
        <v>f) 11 o más horas</v>
      </c>
      <c r="AJ191" s="89" t="str">
        <f>Registro!AF191</f>
        <v>b) Navego en Internet</v>
      </c>
      <c r="AK191" s="94">
        <f t="shared" si="13"/>
        <v>1</v>
      </c>
      <c r="AL191" s="89" t="str">
        <f>Registro!AG191</f>
        <v>c) Regular</v>
      </c>
      <c r="AM191" s="89" t="str">
        <f>Registro!AH191</f>
        <v>b) Buena</v>
      </c>
      <c r="AN191" s="89" t="str">
        <f>Registro!AI191</f>
        <v>c) Regular</v>
      </c>
      <c r="AO191" s="89" t="str">
        <f>Registro!AJ191</f>
        <v>d) Mala</v>
      </c>
      <c r="AP191" s="89" t="str">
        <f>Registro!AK191</f>
        <v>a) Muy buena</v>
      </c>
      <c r="AQ191" s="89" t="str">
        <f>Registro!AL191</f>
        <v>c) Regular</v>
      </c>
      <c r="AR191" s="89" t="str">
        <f>Registro!AM191</f>
        <v>a) Muy buena</v>
      </c>
      <c r="AS191" s="89" t="str">
        <f>Registro!AN191</f>
        <v>b) Buena</v>
      </c>
      <c r="AT191" s="89" t="str">
        <f>Registro!AO191</f>
        <v>c) Regular</v>
      </c>
      <c r="AU191" s="89" t="str">
        <f>Registro!AP191</f>
        <v>b) Buena</v>
      </c>
      <c r="AV191" s="89" t="str">
        <f>Registro!AQ191</f>
        <v>b) Buena</v>
      </c>
      <c r="AW191" s="89" t="str">
        <f>Registro!AR191</f>
        <v>c) El estudio</v>
      </c>
      <c r="AX191" s="89" t="str">
        <f>Registro!AS191</f>
        <v>b) Darme una buena educación</v>
      </c>
      <c r="AY191" s="89" t="str">
        <f>Registro!AT191</f>
        <v>c) Conveniente</v>
      </c>
      <c r="AZ191" s="89" t="str">
        <f>Registro!AU191</f>
        <v>a) No acostumbro a tomarlo nunca</v>
      </c>
      <c r="BA191" s="89" t="str">
        <f>Registro!AV191</f>
        <v>b) Profesionales que no se preocupan de nosotros</v>
      </c>
      <c r="BB191" s="89" t="str">
        <f>Registro!AW191</f>
        <v>b) Poco</v>
      </c>
      <c r="BC191" s="89" t="str">
        <f>Registro!AX191</f>
        <v>a) No me gustan en absoluto</v>
      </c>
      <c r="BD191" s="89" t="str">
        <f>Registro!AY191</f>
        <v>j) Nadie</v>
      </c>
    </row>
    <row r="192" spans="1:56" ht="15" customHeight="1" x14ac:dyDescent="0.25">
      <c r="A192" s="101">
        <f>Registro!A192</f>
        <v>42158.326527777775</v>
      </c>
      <c r="B192" s="89" t="str">
        <f>Registro!B192</f>
        <v>c) Obra Social San José de Calasanz de Valencia</v>
      </c>
      <c r="C192" s="89" t="str">
        <f>Registro!C192</f>
        <v>c) Cuarto año</v>
      </c>
      <c r="D192" s="89" t="str">
        <f>Registro!D192</f>
        <v>a) Educación Inicial</v>
      </c>
      <c r="E192" s="89" t="str">
        <f>Registro!E192</f>
        <v>b) Femenino</v>
      </c>
      <c r="F192" s="89" t="str">
        <f>Registro!F192</f>
        <v>a) Católica</v>
      </c>
      <c r="G192" s="89" t="str">
        <f>Registro!G192</f>
        <v>b) Papá</v>
      </c>
      <c r="H192" s="89" t="str">
        <f>Registro!H192</f>
        <v>e) Rancho</v>
      </c>
      <c r="I192" s="89" t="str">
        <f>Registro!I192</f>
        <v>a) Sí</v>
      </c>
      <c r="J192" s="89" t="str">
        <f>Registro!J192</f>
        <v>b) Lavadora</v>
      </c>
      <c r="K192" s="89" t="str">
        <f>Registro!K192</f>
        <v>b) Una</v>
      </c>
      <c r="L192" s="89" t="str">
        <f>Registro!L192</f>
        <v>a) La familia, b) Los amigos, g) La felicidad</v>
      </c>
      <c r="M192" s="94">
        <f t="shared" si="14"/>
        <v>3</v>
      </c>
      <c r="N192" s="89" t="str">
        <f>Registro!M192</f>
        <v>c) Yo mismo</v>
      </c>
      <c r="O192" s="89" t="str">
        <f>Registro!N192</f>
        <v>d) Nada</v>
      </c>
      <c r="P192" s="89" t="str">
        <f>Registro!O192</f>
        <v>b) Suficiente</v>
      </c>
      <c r="Q192" s="89" t="str">
        <f>Registro!P192</f>
        <v>c) Poco</v>
      </c>
      <c r="R192" s="89"/>
      <c r="S192" s="94">
        <f t="shared" si="11"/>
        <v>0</v>
      </c>
      <c r="T192" s="89" t="str">
        <f>Registro!R192</f>
        <v>a) Mucho</v>
      </c>
      <c r="U192" s="89" t="str">
        <f>Registro!S192</f>
        <v>a) La Iglesia, b) La naturaleza, d) Las convivencias, h) Algunas personas cercanas a Dios</v>
      </c>
      <c r="V192" s="89" t="str">
        <f>Registro!T192</f>
        <v>a) Suelo rezar por convicción o porque me gusta</v>
      </c>
      <c r="W192" s="89" t="str">
        <f>Registro!U192</f>
        <v>c) Solo en fechas especiales</v>
      </c>
      <c r="X192" s="89" t="str">
        <f>Registro!V192</f>
        <v>h) En Semana Santa asisto a las procesiones</v>
      </c>
      <c r="Y192" s="89" t="str">
        <f>Registro!W192</f>
        <v>c) Religioso o parroquial</v>
      </c>
      <c r="Z192" s="89" t="str">
        <f>Registro!X192</f>
        <v>a) Un grupo donde profundizo mi fe</v>
      </c>
      <c r="AA192" s="89" t="str">
        <f>Registro!Y192</f>
        <v>b) No</v>
      </c>
      <c r="AB192" s="89" t="str">
        <f>Registro!Z192</f>
        <v>b) No</v>
      </c>
      <c r="AC192" s="89"/>
      <c r="AD192" s="94">
        <f t="shared" ref="AD192:AD213" si="15">COUNTIF(AC192,"*a)*")+COUNTIF(AC192,"*b)*")+COUNTIF(AC192,"*c)*")+COUNTIF(AC192,"*d)*")+COUNTIF(AC192,"*e)*")+COUNTIF(AC192,"*f)*")+COUNTIF(AC192,"*g)*")+COUNTIF(AC192,"*h)*")+COUNTIF(AC192,"*i)*")+COUNTIF(AC192,"*j)*")+COUNTIF(AC192,"*k)*")+COUNTIF(AC192,"*l)*")+COUNTIF(AC192,"*m)*")+COUNTIF(AC192,"*n)*")+COUNTIF(AC192,"*o)*")+COUNTIF(AC192,"*p)*")</f>
        <v>0</v>
      </c>
      <c r="AE192" s="89" t="str">
        <f>Registro!AB192</f>
        <v>a) Ganar mucho dinero</v>
      </c>
      <c r="AF192" s="89" t="str">
        <f>Registro!AC192</f>
        <v>b) Poco</v>
      </c>
      <c r="AG192" s="89" t="str">
        <f>Registro!AD192</f>
        <v>c) Las instalaciones del Colegio</v>
      </c>
      <c r="AH192" s="94">
        <f t="shared" si="12"/>
        <v>1</v>
      </c>
      <c r="AI192" s="89" t="str">
        <f>Registro!AE192</f>
        <v>a) 0 a 2 horas</v>
      </c>
      <c r="AJ192" s="89"/>
      <c r="AK192" s="94">
        <f t="shared" si="13"/>
        <v>0</v>
      </c>
      <c r="AL192" s="89" t="str">
        <f>Registro!AG192</f>
        <v>e) Muy deficiente</v>
      </c>
      <c r="AM192" s="89" t="str">
        <f>Registro!AH192</f>
        <v>c) Regular</v>
      </c>
      <c r="AN192" s="89" t="str">
        <f>Registro!AI192</f>
        <v>c) Regular</v>
      </c>
      <c r="AO192" s="89" t="str">
        <f>Registro!AJ192</f>
        <v>c) Regular</v>
      </c>
      <c r="AP192" s="89" t="str">
        <f>Registro!AK192</f>
        <v>c) Regular</v>
      </c>
      <c r="AQ192" s="89" t="str">
        <f>Registro!AL192</f>
        <v>c) Regular</v>
      </c>
      <c r="AR192" s="89" t="str">
        <f>Registro!AM192</f>
        <v>c) Regular</v>
      </c>
      <c r="AS192" s="89" t="str">
        <f>Registro!AN192</f>
        <v>c) Regular</v>
      </c>
      <c r="AT192" s="89" t="str">
        <f>Registro!AO192</f>
        <v>c) Regular</v>
      </c>
      <c r="AU192" s="89" t="str">
        <f>Registro!AP192</f>
        <v>c) Regular</v>
      </c>
      <c r="AV192" s="89" t="str">
        <f>Registro!AQ192</f>
        <v>c) Regular</v>
      </c>
      <c r="AW192" s="89" t="str">
        <f>Registro!AR192</f>
        <v>a) El compañerismo</v>
      </c>
      <c r="AX192" s="89" t="str">
        <f>Registro!AS192</f>
        <v>a) Que sea un buen profesional</v>
      </c>
      <c r="AY192" s="89" t="str">
        <f>Registro!AT192</f>
        <v>d) Bastante necesaria</v>
      </c>
      <c r="AZ192" s="89" t="str">
        <f>Registro!AU192</f>
        <v>a) No acostumbro a tomarlo nunca</v>
      </c>
      <c r="BA192" s="89" t="str">
        <f>Registro!AV192</f>
        <v>a) Personas a las que tengo que aguantar</v>
      </c>
      <c r="BB192" s="89" t="str">
        <f>Registro!AW192</f>
        <v>a) No, en absoluto</v>
      </c>
      <c r="BC192" s="89" t="str">
        <f>Registro!AX192</f>
        <v>a) No me gustan en absoluto</v>
      </c>
      <c r="BD192" s="89" t="str">
        <f>Registro!AY192</f>
        <v>h) Una amiga</v>
      </c>
    </row>
    <row r="193" spans="1:56" ht="15" customHeight="1" x14ac:dyDescent="0.25">
      <c r="A193" s="101">
        <f>Registro!A193</f>
        <v>42158.327303240738</v>
      </c>
      <c r="B193" s="89" t="str">
        <f>Registro!B193</f>
        <v>c) Obra Social San José de Calasanz de Valencia</v>
      </c>
      <c r="C193" s="89" t="str">
        <f>Registro!C193</f>
        <v>c) Cuarto año</v>
      </c>
      <c r="D193" s="89" t="str">
        <f>Registro!D193</f>
        <v>a) Educación Inicial</v>
      </c>
      <c r="E193" s="89" t="str">
        <f>Registro!E193</f>
        <v>b) Femenino</v>
      </c>
      <c r="F193" s="89" t="str">
        <f>Registro!F193</f>
        <v>a) Católica</v>
      </c>
      <c r="G193" s="89" t="str">
        <f>Registro!G193</f>
        <v>a) Mamá, c) Hermanos</v>
      </c>
      <c r="H193" s="89" t="str">
        <f>Registro!H193</f>
        <v>b) Casa Urbana</v>
      </c>
      <c r="I193" s="89" t="str">
        <f>Registro!I193</f>
        <v>c) Algo</v>
      </c>
      <c r="J193" s="89" t="str">
        <f>Registro!J193</f>
        <v>a) Cónsola videojuegos, b) Lavadora, c) Microondas, f) MP3, h) Carro, i) Computadora, j) Cámara digital, k) Aire acondicionado</v>
      </c>
      <c r="K193" s="89" t="str">
        <f>Registro!K193</f>
        <v>d) Tres</v>
      </c>
      <c r="L193" s="89"/>
      <c r="M193" s="94">
        <f t="shared" si="14"/>
        <v>0</v>
      </c>
      <c r="N193" s="89" t="str">
        <f>Registro!M193</f>
        <v>c) Yo mismo</v>
      </c>
      <c r="O193" s="89" t="str">
        <f>Registro!N193</f>
        <v>b) Suficiente</v>
      </c>
      <c r="P193" s="89" t="str">
        <f>Registro!O193</f>
        <v>b) Suficiente</v>
      </c>
      <c r="Q193" s="89" t="str">
        <f>Registro!P193</f>
        <v>c) Poco</v>
      </c>
      <c r="R193" s="89"/>
      <c r="S193" s="94">
        <f t="shared" si="11"/>
        <v>0</v>
      </c>
      <c r="T193" s="89" t="str">
        <f>Registro!R193</f>
        <v>a) Mucho</v>
      </c>
      <c r="U193" s="89" t="str">
        <f>Registro!S193</f>
        <v>a) La Iglesia, b) La naturaleza, d) Las convivencias</v>
      </c>
      <c r="V193" s="89" t="str">
        <f>Registro!T193</f>
        <v>a) Suelo rezar por convicción o porque me gusta</v>
      </c>
      <c r="W193" s="89" t="str">
        <f>Registro!U193</f>
        <v>d) Nunca</v>
      </c>
      <c r="X193" s="89" t="str">
        <f>Registro!V193</f>
        <v>a) Suelo llevar una cruz o algún objeto religioso</v>
      </c>
      <c r="Y193" s="89" t="str">
        <f>Registro!W193</f>
        <v>c) Religioso o parroquial</v>
      </c>
      <c r="Z193" s="89" t="str">
        <f>Registro!X193</f>
        <v>a) Un grupo donde profundizo mi fe</v>
      </c>
      <c r="AA193" s="89" t="str">
        <f>Registro!Y193</f>
        <v>b) No</v>
      </c>
      <c r="AB193" s="89" t="str">
        <f>Registro!Z193</f>
        <v>b) No</v>
      </c>
      <c r="AC193" s="89"/>
      <c r="AD193" s="94">
        <f t="shared" si="15"/>
        <v>0</v>
      </c>
      <c r="AE193" s="89" t="str">
        <f>Registro!AB193</f>
        <v>a) Ganar mucho dinero</v>
      </c>
      <c r="AF193" s="89" t="str">
        <f>Registro!AC193</f>
        <v>e) No sé</v>
      </c>
      <c r="AG193" s="89" t="str">
        <f>Registro!AD193</f>
        <v>a) Los deportes y diversiones</v>
      </c>
      <c r="AH193" s="94">
        <f t="shared" si="12"/>
        <v>1</v>
      </c>
      <c r="AI193" s="89" t="str">
        <f>Registro!AE193</f>
        <v>a) 0 a 2 horas</v>
      </c>
      <c r="AJ193" s="89" t="str">
        <f>Registro!AF193</f>
        <v>b) Navego en Internet, d) Estoy la mayor parte del tiempo en la casa sin hacer nada</v>
      </c>
      <c r="AK193" s="94">
        <f t="shared" si="13"/>
        <v>2</v>
      </c>
      <c r="AL193" s="89" t="str">
        <f>Registro!AG193</f>
        <v>c) Regular</v>
      </c>
      <c r="AM193" s="89" t="str">
        <f>Registro!AH193</f>
        <v>c) Regular</v>
      </c>
      <c r="AN193" s="89" t="str">
        <f>Registro!AI193</f>
        <v>c) Regular</v>
      </c>
      <c r="AO193" s="89" t="str">
        <f>Registro!AJ193</f>
        <v>c) Regular</v>
      </c>
      <c r="AP193" s="89" t="str">
        <f>Registro!AK193</f>
        <v>c) Regular</v>
      </c>
      <c r="AQ193" s="89" t="str">
        <f>Registro!AL193</f>
        <v>c) Regular</v>
      </c>
      <c r="AR193" s="89" t="str">
        <f>Registro!AM193</f>
        <v>c) Regular</v>
      </c>
      <c r="AS193" s="89" t="str">
        <f>Registro!AN193</f>
        <v>c) Regular</v>
      </c>
      <c r="AT193" s="89" t="str">
        <f>Registro!AO193</f>
        <v>c) Regular</v>
      </c>
      <c r="AU193" s="89" t="str">
        <f>Registro!AP193</f>
        <v>c) Regular</v>
      </c>
      <c r="AV193" s="89" t="str">
        <f>Registro!AQ193</f>
        <v>c) Regular</v>
      </c>
      <c r="AW193" s="89" t="str">
        <f>Registro!AR193</f>
        <v>c) El estudio</v>
      </c>
      <c r="AX193" s="89" t="str">
        <f>Registro!AS193</f>
        <v>b) Darme una buena educación</v>
      </c>
      <c r="AY193" s="89" t="str">
        <f>Registro!AT193</f>
        <v>b) Indiferente</v>
      </c>
      <c r="AZ193" s="89" t="str">
        <f>Registro!AU193</f>
        <v>a) No acostumbro a tomarlo nunca</v>
      </c>
      <c r="BA193" s="89" t="str">
        <f>Registro!AV193</f>
        <v>a) Personas a las que tengo que aguantar</v>
      </c>
      <c r="BB193" s="89" t="str">
        <f>Registro!AW193</f>
        <v>c) Bastante</v>
      </c>
      <c r="BC193" s="89" t="str">
        <f>Registro!AX193</f>
        <v>a) No me gustan en absoluto</v>
      </c>
      <c r="BD193" s="89" t="str">
        <f>Registro!AY193</f>
        <v>b) Mi madre, h) Una amiga</v>
      </c>
    </row>
    <row r="194" spans="1:56" ht="15" customHeight="1" x14ac:dyDescent="0.25">
      <c r="A194" s="101">
        <f>Registro!A194</f>
        <v>42158.327407407407</v>
      </c>
      <c r="B194" s="89" t="str">
        <f>Registro!B194</f>
        <v>c) Obra Social San José de Calasanz de Valencia</v>
      </c>
      <c r="C194" s="89" t="str">
        <f>Registro!C194</f>
        <v>c) Cuarto año</v>
      </c>
      <c r="D194" s="89" t="str">
        <f>Registro!D194</f>
        <v>a) Educación Inicial</v>
      </c>
      <c r="E194" s="89" t="str">
        <f>Registro!E194</f>
        <v>a) Masculino</v>
      </c>
      <c r="F194" s="89" t="str">
        <f>Registro!F194</f>
        <v>a) Católica</v>
      </c>
      <c r="G194" s="89" t="str">
        <f>Registro!G194</f>
        <v>a) Mamá, b) Papá, c) Hermanos, d) Abuelos, e) Otros familiares</v>
      </c>
      <c r="H194" s="89" t="str">
        <f>Registro!H194</f>
        <v>b) Casa Urbana</v>
      </c>
      <c r="I194" s="89" t="str">
        <f>Registro!I194</f>
        <v>a) Sí</v>
      </c>
      <c r="J194" s="89" t="str">
        <f>Registro!J194</f>
        <v>b) Lavadora, h) Carro, i) Computadora, j) Cámara digital, k) Aire acondicionado</v>
      </c>
      <c r="K194" s="89" t="str">
        <f>Registro!K194</f>
        <v>c) Dos</v>
      </c>
      <c r="L194" s="89" t="str">
        <f>Registro!L194</f>
        <v>a) La familia, c) Los estudios, f) Mi fe y vida cristiana</v>
      </c>
      <c r="M194" s="94">
        <f t="shared" si="14"/>
        <v>3</v>
      </c>
      <c r="N194" s="89" t="str">
        <f>Registro!M194</f>
        <v>a) Seguridad personal (la violencia y la delincuencia)</v>
      </c>
      <c r="O194" s="89" t="str">
        <f>Registro!N194</f>
        <v>a) Mucho</v>
      </c>
      <c r="P194" s="89" t="str">
        <f>Registro!O194</f>
        <v>c) Poco</v>
      </c>
      <c r="Q194" s="89" t="str">
        <f>Registro!P194</f>
        <v>a) Mucho</v>
      </c>
      <c r="R194" s="89" t="str">
        <f>Registro!Q194</f>
        <v>a) La familia, c) Los estudios, j) El deporte</v>
      </c>
      <c r="S194" s="94">
        <f t="shared" si="11"/>
        <v>3</v>
      </c>
      <c r="T194" s="89" t="str">
        <f>Registro!R194</f>
        <v>a) Mucho</v>
      </c>
      <c r="U194" s="89" t="str">
        <f>Registro!S194</f>
        <v>a) La Iglesia, b) La naturaleza, d) Las convivencias</v>
      </c>
      <c r="V194" s="89">
        <f>Registro!T194</f>
        <v>0</v>
      </c>
      <c r="W194" s="89" t="str">
        <f>Registro!U194</f>
        <v>c) Solo en fechas especiales</v>
      </c>
      <c r="X194" s="89" t="str">
        <f>Registro!V194</f>
        <v>e) Voy a misa en las fechas de mis familiares difuntos</v>
      </c>
      <c r="Y194" s="89" t="str">
        <f>Registro!W194</f>
        <v>a) Deportivo</v>
      </c>
      <c r="Z194" s="89">
        <f>Registro!X194</f>
        <v>0</v>
      </c>
      <c r="AA194" s="89" t="str">
        <f>Registro!Y194</f>
        <v>b) No</v>
      </c>
      <c r="AB194" s="89" t="str">
        <f>Registro!Z194</f>
        <v>b) No</v>
      </c>
      <c r="AC194" s="89" t="str">
        <f>Registro!AA194</f>
        <v>f) Ciencias policiales o artes militares</v>
      </c>
      <c r="AD194" s="94">
        <f t="shared" si="15"/>
        <v>1</v>
      </c>
      <c r="AE194" s="89" t="str">
        <f>Registro!AB194</f>
        <v>d) Desarrollarme personalmente</v>
      </c>
      <c r="AF194" s="89" t="str">
        <f>Registro!AC194</f>
        <v>e) No sé</v>
      </c>
      <c r="AG194" s="89" t="str">
        <f>Registro!AD194</f>
        <v>b) El ambiente de estudio y de trabajo, c) Las instalaciones del Colegio</v>
      </c>
      <c r="AH194" s="94">
        <f t="shared" si="12"/>
        <v>2</v>
      </c>
      <c r="AI194" s="89" t="str">
        <f>Registro!AE194</f>
        <v>f) 11 o más horas</v>
      </c>
      <c r="AJ194" s="89" t="str">
        <f>Registro!AF194</f>
        <v>k) Practico algún deporte, m) Veo televisión y/o películas, n) Estoy conversando con los amigos/as</v>
      </c>
      <c r="AK194" s="94">
        <f t="shared" si="13"/>
        <v>3</v>
      </c>
      <c r="AL194" s="89" t="str">
        <f>Registro!AG194</f>
        <v>a) Muy bueno</v>
      </c>
      <c r="AM194" s="89" t="str">
        <f>Registro!AH194</f>
        <v>b) Buena</v>
      </c>
      <c r="AN194" s="89" t="str">
        <f>Registro!AI194</f>
        <v>b) Buena</v>
      </c>
      <c r="AO194" s="89" t="str">
        <f>Registro!AJ194</f>
        <v>a) Muy buena</v>
      </c>
      <c r="AP194" s="89" t="str">
        <f>Registro!AK194</f>
        <v>b) Buena</v>
      </c>
      <c r="AQ194" s="89" t="str">
        <f>Registro!AL194</f>
        <v>b) Buena</v>
      </c>
      <c r="AR194" s="89" t="str">
        <f>Registro!AM194</f>
        <v>a) Muy buena</v>
      </c>
      <c r="AS194" s="89" t="str">
        <f>Registro!AN194</f>
        <v>b) Buena</v>
      </c>
      <c r="AT194" s="89" t="str">
        <f>Registro!AO194</f>
        <v>a) Muy buena</v>
      </c>
      <c r="AU194" s="89" t="str">
        <f>Registro!AP194</f>
        <v>b) Buena</v>
      </c>
      <c r="AV194" s="89" t="str">
        <f>Registro!AQ194</f>
        <v>a) Muy buena</v>
      </c>
      <c r="AW194" s="89" t="str">
        <f>Registro!AR194</f>
        <v>a) El compañerismo</v>
      </c>
      <c r="AX194" s="89" t="str">
        <f>Registro!AS194</f>
        <v>b) Darme una buena educación</v>
      </c>
      <c r="AY194" s="89">
        <f>Registro!AT194</f>
        <v>0</v>
      </c>
      <c r="AZ194" s="89" t="str">
        <f>Registro!AU194</f>
        <v>a) No acostumbro a tomarlo nunca</v>
      </c>
      <c r="BA194" s="89" t="str">
        <f>Registro!AV194</f>
        <v>d) Buenos profesionales de la educación</v>
      </c>
      <c r="BB194" s="89" t="str">
        <f>Registro!AW194</f>
        <v>d) Mucho o muchísimo</v>
      </c>
      <c r="BC194" s="89" t="str">
        <f>Registro!AX194</f>
        <v>d) Hay de todo tipo, pero predomina lo positivo</v>
      </c>
      <c r="BD194" s="89" t="str">
        <f>Registro!AY194</f>
        <v>a) Mi padre, b) Mi madre, e) Un, una docente</v>
      </c>
    </row>
    <row r="195" spans="1:56" ht="15" customHeight="1" x14ac:dyDescent="0.25">
      <c r="A195" s="101">
        <f>Registro!A195</f>
        <v>42158.327928240738</v>
      </c>
      <c r="B195" s="89" t="str">
        <f>Registro!B195</f>
        <v>c) Obra Social San José de Calasanz de Valencia</v>
      </c>
      <c r="C195" s="89" t="str">
        <f>Registro!C195</f>
        <v>c) Cuarto año</v>
      </c>
      <c r="D195" s="89" t="str">
        <f>Registro!D195</f>
        <v>a) Educación Inicial</v>
      </c>
      <c r="E195" s="89" t="str">
        <f>Registro!E195</f>
        <v>a) Masculino</v>
      </c>
      <c r="F195" s="89" t="str">
        <f>Registro!F195</f>
        <v>a) Católica</v>
      </c>
      <c r="G195" s="89" t="str">
        <f>Registro!G195</f>
        <v>a) Mamá, b) Papá, c) Hermanos</v>
      </c>
      <c r="H195" s="89" t="str">
        <f>Registro!H195</f>
        <v>b) Casa Urbana</v>
      </c>
      <c r="I195" s="89" t="str">
        <f>Registro!I195</f>
        <v>a) Sí</v>
      </c>
      <c r="J195" s="89" t="str">
        <f>Registro!J195</f>
        <v>a) Cónsola videojuegos, d) TV pantalla plana, h) Carro, i) Computadora, k) Aire acondicionado</v>
      </c>
      <c r="K195" s="89" t="str">
        <f>Registro!K195</f>
        <v>b) Una</v>
      </c>
      <c r="L195" s="89" t="str">
        <f>Registro!L195</f>
        <v>a) La familia, c) Los estudios, g) La felicidad</v>
      </c>
      <c r="M195" s="94">
        <f t="shared" si="14"/>
        <v>3</v>
      </c>
      <c r="N195" s="89" t="str">
        <f>Registro!M195</f>
        <v>a) Seguridad personal (la violencia y la delincuencia)</v>
      </c>
      <c r="O195" s="89" t="str">
        <f>Registro!N195</f>
        <v>a) Mucho</v>
      </c>
      <c r="P195" s="89" t="str">
        <f>Registro!O195</f>
        <v>b) Suficiente</v>
      </c>
      <c r="Q195" s="89" t="str">
        <f>Registro!P195</f>
        <v>a) Mucho</v>
      </c>
      <c r="R195" s="89" t="str">
        <f>Registro!Q195</f>
        <v>a) La familia, c) Los estudios, e) Disponer de dinero</v>
      </c>
      <c r="S195" s="94">
        <f t="shared" ref="S195:S213" si="16">COUNTIF(R195,"*a)*")+COUNTIF(R195,"*b)*")+COUNTIF(R195,"*c)*")+COUNTIF(R195,"*d)*")+COUNTIF(R195,"*e)*")+COUNTIF(R195,"*f)*")+COUNTIF(R195,"*g)*")+COUNTIF(R195,"*h)*")+COUNTIF(R195,"*i)*")+COUNTIF(R195,"*j)*")+COUNTIF(R195,"*k)*")+COUNTIF(R195,"*l)*")+COUNTIF(R195,"*m)*")+COUNTIF(R195,"*n)*")+COUNTIF(R195,"*o)*")+COUNTIF(R195,"*p)*")</f>
        <v>3</v>
      </c>
      <c r="T195" s="89" t="str">
        <f>Registro!R195</f>
        <v>a) Mucho</v>
      </c>
      <c r="U195" s="89" t="str">
        <f>Registro!S195</f>
        <v>a) La Iglesia, d) Las convivencias, g) Mi familia</v>
      </c>
      <c r="V195" s="89" t="str">
        <f>Registro!T195</f>
        <v>c) Rezo solo en situación de dificultad</v>
      </c>
      <c r="W195" s="89" t="str">
        <f>Registro!U195</f>
        <v>b) Algunos domingos</v>
      </c>
      <c r="X195" s="89" t="str">
        <f>Registro!V195</f>
        <v>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195" s="89" t="str">
        <f>Registro!W195</f>
        <v>c) Religioso o parroquial</v>
      </c>
      <c r="Z195" s="89" t="str">
        <f>Registro!X195</f>
        <v>a) Un grupo donde profundizo mi fe</v>
      </c>
      <c r="AA195" s="89" t="str">
        <f>Registro!Y195</f>
        <v>b) No</v>
      </c>
      <c r="AB195" s="89" t="str">
        <f>Registro!Z195</f>
        <v>b) No</v>
      </c>
      <c r="AC195" s="89" t="str">
        <f>Registro!AA195</f>
        <v>d) Ingeniería, e) Derecho</v>
      </c>
      <c r="AD195" s="94">
        <f t="shared" si="15"/>
        <v>2</v>
      </c>
      <c r="AE195" s="89" t="str">
        <f>Registro!AB195</f>
        <v>b) Tener una buena posición social, ser importante</v>
      </c>
      <c r="AF195" s="89" t="str">
        <f>Registro!AC195</f>
        <v>c) Bastante</v>
      </c>
      <c r="AG195" s="89"/>
      <c r="AH195" s="94">
        <f t="shared" ref="AH195:AH258" si="17">COUNTIF(AG195,"*a)*")+COUNTIF(AG195,"*b)*")+COUNTIF(AG195,"*c)*")+COUNTIF(AG195,"*d)*")+COUNTIF(AG195,"*e)*")+COUNTIF(AG195,"*f)*")+COUNTIF(AG195,"*g)*")+COUNTIF(AG195,"*h)*")+COUNTIF(AG195,"*i)*")+COUNTIF(AG195,"*j)*")+COUNTIF(AG195,"*k)*")+COUNTIF(AG195,"*l)*")+COUNTIF(AG195,"*m)*")+COUNTIF(AG195,"*n)*")+COUNTIF(AG195,"*o)*")+COUNTIF(AG195,"*p)*")</f>
        <v>0</v>
      </c>
      <c r="AI195" s="89" t="str">
        <f>Registro!AE195</f>
        <v>b) 3 a 4 horas</v>
      </c>
      <c r="AJ195" s="89" t="str">
        <f>Registro!AF195</f>
        <v>b) Navego en Internet, h) Suelo ir al cine, m) Veo televisión y/o películas</v>
      </c>
      <c r="AK195" s="94">
        <f t="shared" ref="AK195:AK258" si="18">COUNTIF(AJ195,"*a)*")+COUNTIF(AJ195,"*b)*")+COUNTIF(AJ195,"*c)*")+COUNTIF(AJ195,"*d)*")+COUNTIF(AJ195,"*e)*")+COUNTIF(AJ195,"*f)*")+COUNTIF(AJ195,"*g)*")+COUNTIF(AJ195,"*h)*")+COUNTIF(AJ195,"*i)*")+COUNTIF(AJ195,"*j)*")+COUNTIF(AJ195,"*k)*")+COUNTIF(AJ195,"*l)*")+COUNTIF(AJ195,"*m)*")+COUNTIF(AJ195,"*n)*")+COUNTIF(AJ195,"*o)*")+COUNTIF(AJ195,"*p)*")</f>
        <v>3</v>
      </c>
      <c r="AL195" s="89" t="str">
        <f>Registro!AG195</f>
        <v>a) Muy bueno</v>
      </c>
      <c r="AM195" s="89" t="str">
        <f>Registro!AH195</f>
        <v>b) Buena</v>
      </c>
      <c r="AN195" s="89" t="str">
        <f>Registro!AI195</f>
        <v>b) Buena</v>
      </c>
      <c r="AO195" s="89" t="str">
        <f>Registro!AJ195</f>
        <v>a) Muy buena</v>
      </c>
      <c r="AP195" s="89" t="str">
        <f>Registro!AK195</f>
        <v>c) Regular</v>
      </c>
      <c r="AQ195" s="89" t="str">
        <f>Registro!AL195</f>
        <v>a) Muy buena</v>
      </c>
      <c r="AR195" s="89" t="str">
        <f>Registro!AM195</f>
        <v>a) Muy buena</v>
      </c>
      <c r="AS195" s="89" t="str">
        <f>Registro!AN195</f>
        <v>a) Muy buena</v>
      </c>
      <c r="AT195" s="89" t="str">
        <f>Registro!AO195</f>
        <v>a) Muy buena</v>
      </c>
      <c r="AU195" s="89" t="str">
        <f>Registro!AP195</f>
        <v>a) Muy buena</v>
      </c>
      <c r="AV195" s="89" t="str">
        <f>Registro!AQ195</f>
        <v>b) Buena</v>
      </c>
      <c r="AW195" s="89" t="str">
        <f>Registro!AR195</f>
        <v>c) El estudio</v>
      </c>
      <c r="AX195" s="89" t="str">
        <f>Registro!AS195</f>
        <v>a) Que sea un buen profesional</v>
      </c>
      <c r="AY195" s="89" t="str">
        <f>Registro!AT195</f>
        <v>d) Bastante necesaria</v>
      </c>
      <c r="AZ195" s="89" t="str">
        <f>Registro!AU195</f>
        <v>b) Las veces que bebo, es con moderación</v>
      </c>
      <c r="BA195" s="89" t="str">
        <f>Registro!AV195</f>
        <v>f) Educadores que, además, me han abierto caminos</v>
      </c>
      <c r="BB195" s="89" t="str">
        <f>Registro!AW195</f>
        <v>d) Mucho o muchísimo</v>
      </c>
      <c r="BC195" s="89" t="str">
        <f>Registro!AX195</f>
        <v>c) Son personas normales y corrientes</v>
      </c>
      <c r="BD195" s="89" t="str">
        <f>Registro!AY195</f>
        <v>a) Mi padre, b) Mi madre, h) Una amiga</v>
      </c>
    </row>
    <row r="196" spans="1:56" ht="15" customHeight="1" x14ac:dyDescent="0.25">
      <c r="A196" s="101">
        <f>Registro!A196</f>
        <v>42158.3284375</v>
      </c>
      <c r="B196" s="89" t="str">
        <f>Registro!B196</f>
        <v>c) Obra Social San José de Calasanz de Valencia</v>
      </c>
      <c r="C196" s="89" t="str">
        <f>Registro!C196</f>
        <v>c) Cuarto año</v>
      </c>
      <c r="D196" s="89" t="str">
        <f>Registro!D196</f>
        <v>d) En Cuarto año o posterior</v>
      </c>
      <c r="E196" s="89" t="str">
        <f>Registro!E196</f>
        <v>a) Masculino</v>
      </c>
      <c r="F196" s="89" t="str">
        <f>Registro!F196</f>
        <v>a) Católica</v>
      </c>
      <c r="G196" s="89" t="str">
        <f>Registro!G196</f>
        <v>a) Mamá, b) Papá, c) Hermanos</v>
      </c>
      <c r="H196" s="89" t="str">
        <f>Registro!H196</f>
        <v>b) Casa Urbana</v>
      </c>
      <c r="I196" s="89" t="str">
        <f>Registro!I196</f>
        <v>a) Sí</v>
      </c>
      <c r="J196" s="89" t="str">
        <f>Registro!J196</f>
        <v>a) Cónsola videojuegos, i) Computadora</v>
      </c>
      <c r="K196" s="89" t="str">
        <f>Registro!K196</f>
        <v>a) Ninguna</v>
      </c>
      <c r="L196" s="89" t="str">
        <f>Registro!L196</f>
        <v>a) La familia, b) Los amigos, c) Los estudios</v>
      </c>
      <c r="M196" s="94">
        <f t="shared" ref="M196:M213" si="19">COUNTIF(L196,"*a)*")+COUNTIF(L196,"*b)*")+COUNTIF(L196,"*c)*")+COUNTIF(L196,"*d)*")+COUNTIF(L196,"*e)*")+COUNTIF(L196,"*f)*")+COUNTIF(L196,"*g)*")+COUNTIF(L196,"*h)*")+COUNTIF(L196,"*i)*")+COUNTIF(L196,"*j)*")+COUNTIF(L196,"*k)*")+COUNTIF(L196,"*l)*")+COUNTIF(L196,"*m)*")+COUNTIF(L196,"*n)*")+COUNTIF(L196,"*o)*")+COUNTIF(L196,"*p)*")</f>
        <v>3</v>
      </c>
      <c r="N196" s="89" t="str">
        <f>Registro!M196</f>
        <v>g) Mis estudios</v>
      </c>
      <c r="O196" s="89" t="str">
        <f>Registro!N196</f>
        <v>a) Mucho</v>
      </c>
      <c r="P196" s="89" t="str">
        <f>Registro!O196</f>
        <v>a) Mucho</v>
      </c>
      <c r="Q196" s="89" t="str">
        <f>Registro!P196</f>
        <v>c) Poco</v>
      </c>
      <c r="R196" s="89"/>
      <c r="S196" s="94">
        <f t="shared" si="16"/>
        <v>0</v>
      </c>
      <c r="T196" s="89" t="str">
        <f>Registro!R196</f>
        <v>b) Suficiente</v>
      </c>
      <c r="U196" s="89" t="str">
        <f>Registro!S196</f>
        <v>e) Los amigos</v>
      </c>
      <c r="V196" s="89" t="str">
        <f>Registro!T196</f>
        <v>c) Rezo solo en situación de dificultad</v>
      </c>
      <c r="W196" s="89" t="str">
        <f>Registro!U196</f>
        <v>d) Nunca</v>
      </c>
      <c r="X196" s="89">
        <f>Registro!V196</f>
        <v>0</v>
      </c>
      <c r="Y196" s="89" t="str">
        <f>Registro!W196</f>
        <v>c) Religioso o parroquial</v>
      </c>
      <c r="Z196" s="89" t="str">
        <f>Registro!X196</f>
        <v>d) No pertenezco a grupos juveniles cristianos</v>
      </c>
      <c r="AA196" s="89" t="str">
        <f>Registro!Y196</f>
        <v>b) No</v>
      </c>
      <c r="AB196" s="89" t="str">
        <f>Registro!Z196</f>
        <v>b) No</v>
      </c>
      <c r="AC196" s="89"/>
      <c r="AD196" s="94">
        <f t="shared" si="15"/>
        <v>0</v>
      </c>
      <c r="AE196" s="89" t="str">
        <f>Registro!AB196</f>
        <v>c) Ser un excelente profesional</v>
      </c>
      <c r="AF196" s="89" t="str">
        <f>Registro!AC196</f>
        <v>c) Bastante</v>
      </c>
      <c r="AG196" s="89" t="str">
        <f>Registro!AD196</f>
        <v>a) Los deportes y diversiones, b) El ambiente de estudio y de trabajo</v>
      </c>
      <c r="AH196" s="94">
        <f t="shared" si="17"/>
        <v>2</v>
      </c>
      <c r="AI196" s="89" t="str">
        <f>Registro!AE196</f>
        <v>f) 11 o más horas</v>
      </c>
      <c r="AJ196" s="89" t="str">
        <f>Registro!AF196</f>
        <v>b) Navego en Internet, l) Escucho música y/o veo videos musicales, m) Veo televisión y/o películas</v>
      </c>
      <c r="AK196" s="94">
        <f t="shared" si="18"/>
        <v>3</v>
      </c>
      <c r="AL196" s="89" t="str">
        <f>Registro!AG196</f>
        <v>d) Deficiente</v>
      </c>
      <c r="AM196" s="89" t="str">
        <f>Registro!AH196</f>
        <v>d) Mala</v>
      </c>
      <c r="AN196" s="89" t="str">
        <f>Registro!AI196</f>
        <v>b) Buena</v>
      </c>
      <c r="AO196" s="89" t="str">
        <f>Registro!AJ196</f>
        <v>a) Muy buena</v>
      </c>
      <c r="AP196" s="89" t="str">
        <f>Registro!AK196</f>
        <v>b) Buena</v>
      </c>
      <c r="AQ196" s="89" t="str">
        <f>Registro!AL196</f>
        <v>b) Buena</v>
      </c>
      <c r="AR196" s="89" t="str">
        <f>Registro!AM196</f>
        <v>b) Buena</v>
      </c>
      <c r="AS196" s="89" t="str">
        <f>Registro!AN196</f>
        <v>b) Buena</v>
      </c>
      <c r="AT196" s="89" t="str">
        <f>Registro!AO196</f>
        <v>b) Buena</v>
      </c>
      <c r="AU196" s="89" t="str">
        <f>Registro!AP196</f>
        <v>b) Buena</v>
      </c>
      <c r="AV196" s="89" t="str">
        <f>Registro!AQ196</f>
        <v>b) Buena</v>
      </c>
      <c r="AW196" s="89" t="str">
        <f>Registro!AR196</f>
        <v>c) El estudio</v>
      </c>
      <c r="AX196" s="89" t="str">
        <f>Registro!AS196</f>
        <v>h) No sé</v>
      </c>
      <c r="AY196" s="89" t="str">
        <f>Registro!AT196</f>
        <v>c) Conveniente</v>
      </c>
      <c r="AZ196" s="89" t="str">
        <f>Registro!AU196</f>
        <v>b) Las veces que bebo, es con moderación</v>
      </c>
      <c r="BA196" s="89" t="str">
        <f>Registro!AV196</f>
        <v>a) Personas a las que tengo que aguantar</v>
      </c>
      <c r="BB196" s="89" t="str">
        <f>Registro!AW196</f>
        <v>c) Bastante</v>
      </c>
      <c r="BC196" s="89" t="str">
        <f>Registro!AX196</f>
        <v>c) Son personas normales y corrientes</v>
      </c>
      <c r="BD196" s="89" t="str">
        <f>Registro!AY196</f>
        <v>a) Mi padre, b) Mi madre, c) Un hermano/a, g) Un amigo, h) Una amiga</v>
      </c>
    </row>
    <row r="197" spans="1:56" ht="15" customHeight="1" x14ac:dyDescent="0.25">
      <c r="A197" s="101">
        <f>Registro!A197</f>
        <v>42158.328449074077</v>
      </c>
      <c r="B197" s="89" t="str">
        <f>Registro!B197</f>
        <v>c) Obra Social San José de Calasanz de Valencia</v>
      </c>
      <c r="C197" s="89" t="str">
        <f>Registro!C197</f>
        <v>c) Cuarto año</v>
      </c>
      <c r="D197" s="89" t="str">
        <f>Registro!D197</f>
        <v>b) Primaria</v>
      </c>
      <c r="E197" s="89" t="str">
        <f>Registro!E197</f>
        <v>a) Masculino</v>
      </c>
      <c r="F197" s="89" t="str">
        <f>Registro!F197</f>
        <v>a) Católica</v>
      </c>
      <c r="G197" s="89" t="str">
        <f>Registro!G197</f>
        <v>a) Mamá, c) Hermanos</v>
      </c>
      <c r="H197" s="89" t="str">
        <f>Registro!H197</f>
        <v>b) Casa Urbana</v>
      </c>
      <c r="I197" s="89" t="str">
        <f>Registro!I197</f>
        <v>c) Algo</v>
      </c>
      <c r="J197" s="89" t="str">
        <f>Registro!J197</f>
        <v>i) Computadora, k) Aire acondicionado</v>
      </c>
      <c r="K197" s="89" t="str">
        <f>Registro!K197</f>
        <v>d) Tres</v>
      </c>
      <c r="L197" s="89" t="str">
        <f>Registro!L197</f>
        <v>a) La familia, c) Los estudios, f) Mi fe y vida cristiana</v>
      </c>
      <c r="M197" s="94">
        <f t="shared" si="19"/>
        <v>3</v>
      </c>
      <c r="N197" s="89" t="str">
        <f>Registro!M197</f>
        <v>e) La situación económica</v>
      </c>
      <c r="O197" s="89" t="str">
        <f>Registro!N197</f>
        <v>b) Suficiente</v>
      </c>
      <c r="P197" s="89" t="str">
        <f>Registro!O197</f>
        <v>c) Poco</v>
      </c>
      <c r="Q197" s="89" t="str">
        <f>Registro!P197</f>
        <v>c) Poco</v>
      </c>
      <c r="R197" s="89" t="str">
        <f>Registro!Q197</f>
        <v>a) La familia, c) Los estudios, e) Disponer de dinero</v>
      </c>
      <c r="S197" s="94">
        <f t="shared" si="16"/>
        <v>3</v>
      </c>
      <c r="T197" s="89" t="str">
        <f>Registro!R197</f>
        <v>b) Suficiente</v>
      </c>
      <c r="U197" s="89" t="str">
        <f>Registro!S197</f>
        <v>a) La Iglesia, b) La naturaleza, d) Las convivencias, g) Mi familia, h) Algunas personas cercanas a Dios, i) Los necesitados, j) Todas partes, k) La oración, l) Los sacramentos</v>
      </c>
      <c r="V197" s="89" t="str">
        <f>Registro!T197</f>
        <v>b) Rezo por costumbre</v>
      </c>
      <c r="W197" s="89" t="str">
        <f>Registro!U197</f>
        <v>c) Solo en fechas especiales</v>
      </c>
      <c r="X197" s="89">
        <f>Registro!V197</f>
        <v>0</v>
      </c>
      <c r="Y197" s="89" t="str">
        <f>Registro!W197</f>
        <v>c) Religioso o parroquial</v>
      </c>
      <c r="Z197" s="89" t="str">
        <f>Registro!X197</f>
        <v>b) Un lugar donde comparto con mis compañeros</v>
      </c>
      <c r="AA197" s="89" t="str">
        <f>Registro!Y197</f>
        <v>b) No</v>
      </c>
      <c r="AB197" s="89" t="str">
        <f>Registro!Z197</f>
        <v>b) No</v>
      </c>
      <c r="AC197" s="89"/>
      <c r="AD197" s="94">
        <f t="shared" si="15"/>
        <v>0</v>
      </c>
      <c r="AE197" s="89" t="str">
        <f>Registro!AB197</f>
        <v>d) Desarrollarme personalmente</v>
      </c>
      <c r="AF197" s="89" t="str">
        <f>Registro!AC197</f>
        <v>e) No sé</v>
      </c>
      <c r="AG197" s="89" t="str">
        <f>Registro!AD197</f>
        <v>a) Los deportes y diversiones, b) El ambiente de estudio y de trabajo</v>
      </c>
      <c r="AH197" s="94">
        <f t="shared" si="17"/>
        <v>2</v>
      </c>
      <c r="AI197" s="89" t="str">
        <f>Registro!AE197</f>
        <v>f) 11 o más horas</v>
      </c>
      <c r="AJ197" s="89" t="str">
        <f>Registro!AF197</f>
        <v>a) Me divierto con juegos para computadoras, b) Navego en Internet, d) Estoy la mayor parte del tiempo en la casa sin hacer nada</v>
      </c>
      <c r="AK197" s="94">
        <f t="shared" si="18"/>
        <v>3</v>
      </c>
      <c r="AL197" s="89" t="str">
        <f>Registro!AG197</f>
        <v>a) Muy bueno</v>
      </c>
      <c r="AM197" s="89" t="str">
        <f>Registro!AH197</f>
        <v>c) Regular</v>
      </c>
      <c r="AN197" s="89" t="str">
        <f>Registro!AI197</f>
        <v>c) Regular</v>
      </c>
      <c r="AO197" s="89" t="str">
        <f>Registro!AJ197</f>
        <v>b) Buena</v>
      </c>
      <c r="AP197" s="89" t="str">
        <f>Registro!AK197</f>
        <v>b) Buena</v>
      </c>
      <c r="AQ197" s="89" t="str">
        <f>Registro!AL197</f>
        <v>b) Buena</v>
      </c>
      <c r="AR197" s="89" t="str">
        <f>Registro!AM197</f>
        <v>b) Buena</v>
      </c>
      <c r="AS197" s="89" t="str">
        <f>Registro!AN197</f>
        <v>b) Buena</v>
      </c>
      <c r="AT197" s="89" t="str">
        <f>Registro!AO197</f>
        <v>b) Buena</v>
      </c>
      <c r="AU197" s="89" t="str">
        <f>Registro!AP197</f>
        <v>b) Buena</v>
      </c>
      <c r="AV197" s="89" t="str">
        <f>Registro!AQ197</f>
        <v>a) Muy buena</v>
      </c>
      <c r="AW197" s="89" t="str">
        <f>Registro!AR197</f>
        <v>g) La orientación profesional futura</v>
      </c>
      <c r="AX197" s="89" t="str">
        <f>Registro!AS197</f>
        <v>b) Darme una buena educación</v>
      </c>
      <c r="AY197" s="89" t="str">
        <f>Registro!AT197</f>
        <v>c) Conveniente</v>
      </c>
      <c r="AZ197" s="89" t="str">
        <f>Registro!AU197</f>
        <v>b) Las veces que bebo, es con moderación</v>
      </c>
      <c r="BA197" s="89" t="str">
        <f>Registro!AV197</f>
        <v>d) Buenos profesionales de la educación</v>
      </c>
      <c r="BB197" s="89" t="str">
        <f>Registro!AW197</f>
        <v>c) Bastante</v>
      </c>
      <c r="BC197" s="89" t="str">
        <f>Registro!AX197</f>
        <v>d) Hay de todo tipo, pero predomina lo positivo</v>
      </c>
      <c r="BD197" s="89" t="str">
        <f>Registro!AY197</f>
        <v>a) Mi padre, b) Mi madre, c) Un hermano/a, d) Un escolapio, religioso o religiosa, g) Un amigo</v>
      </c>
    </row>
    <row r="198" spans="1:56" ht="15" customHeight="1" x14ac:dyDescent="0.25">
      <c r="A198" s="101">
        <f>Registro!A198</f>
        <v>42158.329259259262</v>
      </c>
      <c r="B198" s="89" t="str">
        <f>Registro!B198</f>
        <v>c) Obra Social San José de Calasanz de Valencia</v>
      </c>
      <c r="C198" s="89" t="str">
        <f>Registro!C198</f>
        <v>c) Cuarto año</v>
      </c>
      <c r="D198" s="89" t="str">
        <f>Registro!D198</f>
        <v>c) Entre Primero y Tercer año</v>
      </c>
      <c r="E198" s="89" t="str">
        <f>Registro!E198</f>
        <v>b) Femenino</v>
      </c>
      <c r="F198" s="89" t="str">
        <f>Registro!F198</f>
        <v>a) Católica</v>
      </c>
      <c r="G198" s="89" t="str">
        <f>Registro!G198</f>
        <v>a) Mamá, b) Papá, c) Hermanos</v>
      </c>
      <c r="H198" s="89" t="str">
        <f>Registro!H198</f>
        <v>b) Casa Urbana</v>
      </c>
      <c r="I198" s="89" t="str">
        <f>Registro!I198</f>
        <v>a) Sí</v>
      </c>
      <c r="J198" s="89" t="str">
        <f>Registro!J198</f>
        <v>b) Lavadora, c) Microondas, f) MP3, i) Computadora, j) Cámara digital, k) Aire acondicionado</v>
      </c>
      <c r="K198" s="89" t="str">
        <f>Registro!K198</f>
        <v>b) Una</v>
      </c>
      <c r="L198" s="89" t="str">
        <f>Registro!L198</f>
        <v>a) La familia, c) Los estudios, f) Mi fe y vida cristiana</v>
      </c>
      <c r="M198" s="94">
        <f t="shared" si="19"/>
        <v>3</v>
      </c>
      <c r="N198" s="89" t="str">
        <f>Registro!M198</f>
        <v>f) La situación política del país</v>
      </c>
      <c r="O198" s="89" t="str">
        <f>Registro!N198</f>
        <v>c) Poco</v>
      </c>
      <c r="P198" s="89" t="str">
        <f>Registro!O198</f>
        <v>b) Suficiente</v>
      </c>
      <c r="Q198" s="89" t="str">
        <f>Registro!P198</f>
        <v>a) Mucho</v>
      </c>
      <c r="R198" s="89"/>
      <c r="S198" s="94">
        <f t="shared" si="16"/>
        <v>0</v>
      </c>
      <c r="T198" s="89" t="str">
        <f>Registro!R198</f>
        <v>c) Poco</v>
      </c>
      <c r="U198" s="89" t="str">
        <f>Registro!S198</f>
        <v>b) La naturaleza, g) Mi familia, j) Todas partes</v>
      </c>
      <c r="V198" s="89" t="str">
        <f>Registro!T198</f>
        <v>c) Rezo solo en situación de dificultad</v>
      </c>
      <c r="W198" s="89" t="str">
        <f>Registro!U198</f>
        <v>d) Nunca</v>
      </c>
      <c r="X198" s="89" t="str">
        <f>Registro!V198</f>
        <v>f) En alguna ocasión he rezado el rosario, g) En ocasiones, en mi casa tenemos una oración familiar, i) Tengo en mi cuarto alguna imagen religiosa</v>
      </c>
      <c r="Y198" s="89" t="str">
        <f>Registro!W198</f>
        <v>a) Deportivo</v>
      </c>
      <c r="Z198" s="89" t="str">
        <f>Registro!X198</f>
        <v>d) No pertenezco a grupos juveniles cristianos</v>
      </c>
      <c r="AA198" s="89" t="str">
        <f>Registro!Y198</f>
        <v>b) No</v>
      </c>
      <c r="AB198" s="89" t="str">
        <f>Registro!Z198</f>
        <v>b) No</v>
      </c>
      <c r="AC198" s="89" t="str">
        <f>Registro!AA198</f>
        <v>a) Medicina, f) Ciencias policiales o artes militares</v>
      </c>
      <c r="AD198" s="94">
        <f t="shared" si="15"/>
        <v>2</v>
      </c>
      <c r="AE198" s="89" t="str">
        <f>Registro!AB198</f>
        <v>c) Ser un excelente profesional</v>
      </c>
      <c r="AF198" s="89" t="str">
        <f>Registro!AC198</f>
        <v>b) Poco</v>
      </c>
      <c r="AG198" s="89"/>
      <c r="AH198" s="94">
        <f t="shared" si="17"/>
        <v>0</v>
      </c>
      <c r="AI198" s="89" t="str">
        <f>Registro!AE198</f>
        <v>b) 3 a 4 horas</v>
      </c>
      <c r="AJ198" s="89"/>
      <c r="AK198" s="94">
        <f t="shared" si="18"/>
        <v>0</v>
      </c>
      <c r="AL198" s="89" t="str">
        <f>Registro!AG198</f>
        <v>e) Muy deficiente</v>
      </c>
      <c r="AM198" s="89" t="str">
        <f>Registro!AH198</f>
        <v>c) Regular</v>
      </c>
      <c r="AN198" s="89" t="str">
        <f>Registro!AI198</f>
        <v>c) Regular</v>
      </c>
      <c r="AO198" s="89" t="str">
        <f>Registro!AJ198</f>
        <v>b) Buena</v>
      </c>
      <c r="AP198" s="89" t="str">
        <f>Registro!AK198</f>
        <v>d) Mala</v>
      </c>
      <c r="AQ198" s="89" t="str">
        <f>Registro!AL198</f>
        <v>b) Buena</v>
      </c>
      <c r="AR198" s="89" t="str">
        <f>Registro!AM198</f>
        <v>a) Muy buena</v>
      </c>
      <c r="AS198" s="89" t="str">
        <f>Registro!AN198</f>
        <v>c) Regular</v>
      </c>
      <c r="AT198" s="89" t="str">
        <f>Registro!AO198</f>
        <v>d) Mala</v>
      </c>
      <c r="AU198" s="89" t="str">
        <f>Registro!AP198</f>
        <v>b) Buena</v>
      </c>
      <c r="AV198" s="89" t="str">
        <f>Registro!AQ198</f>
        <v>c) Regular</v>
      </c>
      <c r="AW198" s="89" t="str">
        <f>Registro!AR198</f>
        <v>e) La disciplina y el orden</v>
      </c>
      <c r="AX198" s="89" t="str">
        <f>Registro!AS198</f>
        <v>b) Darme una buena educación</v>
      </c>
      <c r="AY198" s="89" t="str">
        <f>Registro!AT198</f>
        <v>d) Bastante necesaria</v>
      </c>
      <c r="AZ198" s="89" t="str">
        <f>Registro!AU198</f>
        <v>c) Alguna vez he bebido más de la cuenta</v>
      </c>
      <c r="BA198" s="89" t="str">
        <f>Registro!AV198</f>
        <v>d) Buenos profesionales de la educación</v>
      </c>
      <c r="BB198" s="89" t="str">
        <f>Registro!AW198</f>
        <v>b) Poco</v>
      </c>
      <c r="BC198" s="89" t="str">
        <f>Registro!AX198</f>
        <v>c) Son personas normales y corrientes</v>
      </c>
      <c r="BD198" s="89" t="str">
        <f>Registro!AY198</f>
        <v>b) Mi madre, c) Un hermano/a, k) No tengo problemas personales</v>
      </c>
    </row>
    <row r="199" spans="1:56" ht="15" customHeight="1" x14ac:dyDescent="0.25">
      <c r="A199" s="101">
        <f>Registro!A199</f>
        <v>42158.332337962966</v>
      </c>
      <c r="B199" s="89" t="str">
        <f>Registro!B199</f>
        <v>c) Obra Social San José de Calasanz de Valencia</v>
      </c>
      <c r="C199" s="89" t="str">
        <f>Registro!C199</f>
        <v>c) Cuarto año</v>
      </c>
      <c r="D199" s="89" t="str">
        <f>Registro!D199</f>
        <v>a) Educación Inicial</v>
      </c>
      <c r="E199" s="89" t="str">
        <f>Registro!E199</f>
        <v>a) Masculino</v>
      </c>
      <c r="F199" s="89" t="str">
        <f>Registro!F199</f>
        <v>a) Católica</v>
      </c>
      <c r="G199" s="89" t="str">
        <f>Registro!G199</f>
        <v>a) Mamá, b) Papá, c) Hermanos</v>
      </c>
      <c r="H199" s="89" t="str">
        <f>Registro!H199</f>
        <v>b) Casa Urbana</v>
      </c>
      <c r="I199" s="89" t="str">
        <f>Registro!I199</f>
        <v>a) Sí</v>
      </c>
      <c r="J199" s="89" t="str">
        <f>Registro!J199</f>
        <v>a) Cónsola videojuegos, b) Lavadora, c) Microondas, h) Carro, k) Aire acondicionado</v>
      </c>
      <c r="K199" s="89" t="str">
        <f>Registro!K199</f>
        <v>f) Más de cuatro</v>
      </c>
      <c r="L199" s="89"/>
      <c r="M199" s="94">
        <f t="shared" si="19"/>
        <v>0</v>
      </c>
      <c r="N199" s="89" t="str">
        <f>Registro!M199</f>
        <v>b) El futuro</v>
      </c>
      <c r="O199" s="89" t="str">
        <f>Registro!N199</f>
        <v>a) Mucho</v>
      </c>
      <c r="P199" s="89" t="str">
        <f>Registro!O199</f>
        <v>c) Poco</v>
      </c>
      <c r="Q199" s="89" t="str">
        <f>Registro!P199</f>
        <v>a) Mucho</v>
      </c>
      <c r="R199" s="89"/>
      <c r="S199" s="94">
        <f t="shared" si="16"/>
        <v>0</v>
      </c>
      <c r="T199" s="89" t="str">
        <f>Registro!R199</f>
        <v>a) Mucho</v>
      </c>
      <c r="U199" s="89" t="str">
        <f>Registro!S199</f>
        <v>a) La Iglesia, b) La naturaleza, c) El salón de clase, d) Las convivencias, e) Los amigos, g) Mi familia, k) La oración</v>
      </c>
      <c r="V199" s="89" t="str">
        <f>Registro!T199</f>
        <v>a) Suelo rezar por convicción o porque me gusta</v>
      </c>
      <c r="W199" s="89" t="str">
        <f>Registro!U199</f>
        <v>c) Solo en fechas especiales</v>
      </c>
      <c r="X199" s="89" t="str">
        <f>Registro!V199</f>
        <v>c) Suelo ir los domingos y otras fechas especiales a la Iglesia</v>
      </c>
      <c r="Y199" s="89" t="str">
        <f>Registro!W199</f>
        <v>a) Deportivo</v>
      </c>
      <c r="Z199" s="89" t="str">
        <f>Registro!X199</f>
        <v>b) Un lugar donde comparto con mis compañeros</v>
      </c>
      <c r="AA199" s="89" t="str">
        <f>Registro!Y199</f>
        <v>b) No</v>
      </c>
      <c r="AB199" s="89" t="str">
        <f>Registro!Z199</f>
        <v>b) No</v>
      </c>
      <c r="AC199" s="89" t="str">
        <f>Registro!AA199</f>
        <v>g) Artista</v>
      </c>
      <c r="AD199" s="94">
        <f t="shared" si="15"/>
        <v>1</v>
      </c>
      <c r="AE199" s="89" t="str">
        <f>Registro!AB199</f>
        <v>c) Ser un excelente profesional</v>
      </c>
      <c r="AF199" s="89" t="str">
        <f>Registro!AC199</f>
        <v>d) Mucho o muchísimo</v>
      </c>
      <c r="AG199" s="89" t="str">
        <f>Registro!AD199</f>
        <v>a) Los deportes y diversiones, b) El ambiente de estudio y de trabajo</v>
      </c>
      <c r="AH199" s="94">
        <f t="shared" si="17"/>
        <v>2</v>
      </c>
      <c r="AI199" s="89" t="str">
        <f>Registro!AE199</f>
        <v>c) 5 a 6 horas</v>
      </c>
      <c r="AJ199" s="89"/>
      <c r="AK199" s="94">
        <f t="shared" si="18"/>
        <v>0</v>
      </c>
      <c r="AL199" s="89" t="str">
        <f>Registro!AG199</f>
        <v>a) Muy bueno</v>
      </c>
      <c r="AM199" s="89" t="str">
        <f>Registro!AH199</f>
        <v>b) Buena</v>
      </c>
      <c r="AN199" s="89" t="str">
        <f>Registro!AI199</f>
        <v>b) Buena</v>
      </c>
      <c r="AO199" s="89" t="str">
        <f>Registro!AJ199</f>
        <v>a) Muy buena</v>
      </c>
      <c r="AP199" s="89" t="str">
        <f>Registro!AK199</f>
        <v>a) Muy buena</v>
      </c>
      <c r="AQ199" s="89" t="str">
        <f>Registro!AL199</f>
        <v>a) Muy buena</v>
      </c>
      <c r="AR199" s="89" t="str">
        <f>Registro!AM199</f>
        <v>a) Muy buena</v>
      </c>
      <c r="AS199" s="89" t="str">
        <f>Registro!AN199</f>
        <v>a) Muy buena</v>
      </c>
      <c r="AT199" s="89" t="str">
        <f>Registro!AO199</f>
        <v>a) Muy buena</v>
      </c>
      <c r="AU199" s="89" t="str">
        <f>Registro!AP199</f>
        <v>b) Buena</v>
      </c>
      <c r="AV199" s="89" t="str">
        <f>Registro!AQ199</f>
        <v>c) Regular</v>
      </c>
      <c r="AW199" s="89" t="str">
        <f>Registro!AR199</f>
        <v>a) El compañerismo</v>
      </c>
      <c r="AX199" s="89" t="str">
        <f>Registro!AS199</f>
        <v>c) Que me preocupe de los demás</v>
      </c>
      <c r="AY199" s="89" t="str">
        <f>Registro!AT199</f>
        <v>e) Absolutamente necesaria</v>
      </c>
      <c r="AZ199" s="89" t="str">
        <f>Registro!AU199</f>
        <v>a) No acostumbro a tomarlo nunca</v>
      </c>
      <c r="BA199" s="89" t="str">
        <f>Registro!AV199</f>
        <v>e) Educadores que se preocupan de nosotros</v>
      </c>
      <c r="BB199" s="89" t="str">
        <f>Registro!AW199</f>
        <v>c) Bastante</v>
      </c>
      <c r="BC199" s="89" t="str">
        <f>Registro!AX199</f>
        <v>e) Son personas que me gustan y admiro</v>
      </c>
      <c r="BD199" s="89" t="str">
        <f>Registro!AY199</f>
        <v>b) Mi madre, c) Un hermano/a, e) Un, una docente, g) Un amigo, h) Una amiga</v>
      </c>
    </row>
    <row r="200" spans="1:56" ht="15" customHeight="1" x14ac:dyDescent="0.25">
      <c r="A200" s="101">
        <f>Registro!A200</f>
        <v>42158.332337962966</v>
      </c>
      <c r="B200" s="89" t="str">
        <f>Registro!B200</f>
        <v>c) Obra Social San José de Calasanz de Valencia</v>
      </c>
      <c r="C200" s="89" t="str">
        <f>Registro!C200</f>
        <v>c) Cuarto año</v>
      </c>
      <c r="D200" s="89" t="str">
        <f>Registro!D200</f>
        <v>a) Educación Inicial</v>
      </c>
      <c r="E200" s="89" t="str">
        <f>Registro!E200</f>
        <v>a) Masculino</v>
      </c>
      <c r="F200" s="89" t="str">
        <f>Registro!F200</f>
        <v>a) Católica</v>
      </c>
      <c r="G200" s="89" t="str">
        <f>Registro!G200</f>
        <v>a) Mamá, b) Papá, c) Hermanos, d) Abuelos, e) Otros familiares</v>
      </c>
      <c r="H200" s="89" t="str">
        <f>Registro!H200</f>
        <v>b) Casa Urbana</v>
      </c>
      <c r="I200" s="89" t="str">
        <f>Registro!I200</f>
        <v>a) Sí</v>
      </c>
      <c r="J200" s="89" t="str">
        <f>Registro!J200</f>
        <v>a) Cónsola videojuegos, b) Lavadora, d) TV pantalla plana, e) Moto, f) MP3, g) MP4, h) Carro, i) Computadora, j) Cámara digital, k) Aire acondicionado</v>
      </c>
      <c r="K200" s="89" t="str">
        <f>Registro!K200</f>
        <v>d) Tres</v>
      </c>
      <c r="L200" s="89" t="str">
        <f>Registro!L200</f>
        <v>a) La familia, c) Los estudios, f) Mi fe y vida cristiana</v>
      </c>
      <c r="M200" s="94">
        <f t="shared" si="19"/>
        <v>3</v>
      </c>
      <c r="N200" s="89" t="str">
        <f>Registro!M200</f>
        <v>a) Seguridad personal (la violencia y la delincuencia)</v>
      </c>
      <c r="O200" s="89" t="str">
        <f>Registro!N200</f>
        <v>b) Suficiente</v>
      </c>
      <c r="P200" s="89" t="str">
        <f>Registro!O200</f>
        <v>b) Suficiente</v>
      </c>
      <c r="Q200" s="89" t="str">
        <f>Registro!P200</f>
        <v>b) Suficiente</v>
      </c>
      <c r="R200" s="89" t="str">
        <f>Registro!Q200</f>
        <v>a) La familia, c) Los estudios, f) Mi fe y mi vida cristiana</v>
      </c>
      <c r="S200" s="94">
        <f t="shared" si="16"/>
        <v>3</v>
      </c>
      <c r="T200" s="89" t="str">
        <f>Registro!R200</f>
        <v>a) Mucho</v>
      </c>
      <c r="U200" s="89" t="str">
        <f>Registro!S200</f>
        <v>a) La Iglesia, b) La naturaleza, d) Las convivencias, e) Los amigos, g) Mi familia, i) Los necesitados, k) La oración, l) Los sacramentos</v>
      </c>
      <c r="V200" s="89" t="str">
        <f>Registro!T200</f>
        <v>a) Suelo rezar por convicción o porque me gusta</v>
      </c>
      <c r="W200" s="89" t="str">
        <f>Registro!U200</f>
        <v>b) Algunos domingos</v>
      </c>
      <c r="X200" s="89" t="str">
        <f>Registro!V200</f>
        <v>c) Suelo ir los domingos y otras fechas especiales a la Iglesia, e) Voy a misa en las fechas de mis familiares difuntos, f) En alguna ocasión he rezado el rosario, g) En ocasiones, en mi casa tenemos una oración familiar, h) En Semana Santa asisto a las procesiones</v>
      </c>
      <c r="Y200" s="89" t="str">
        <f>Registro!W200</f>
        <v>a) Deportivo, c) Religioso o parroquial</v>
      </c>
      <c r="Z200" s="89" t="str">
        <f>Registro!X200</f>
        <v>a) Un grupo donde profundizo mi fe</v>
      </c>
      <c r="AA200" s="89" t="str">
        <f>Registro!Y200</f>
        <v>b) No</v>
      </c>
      <c r="AB200" s="89" t="str">
        <f>Registro!Z200</f>
        <v>b) No</v>
      </c>
      <c r="AC200" s="89" t="str">
        <f>Registro!AA200</f>
        <v>d) Ingeniería, f) Ciencias policiales o artes militares</v>
      </c>
      <c r="AD200" s="94">
        <f t="shared" si="15"/>
        <v>2</v>
      </c>
      <c r="AE200" s="89" t="str">
        <f>Registro!AB200</f>
        <v>c) Ser un excelente profesional</v>
      </c>
      <c r="AF200" s="89" t="str">
        <f>Registro!AC200</f>
        <v>c) Bastante</v>
      </c>
      <c r="AG200" s="89" t="str">
        <f>Registro!AD200</f>
        <v>e) La mayor posibilidad de vivir mi fe, h) Las actividades extraescolares</v>
      </c>
      <c r="AH200" s="94">
        <f t="shared" si="17"/>
        <v>2</v>
      </c>
      <c r="AI200" s="89" t="str">
        <f>Registro!AE200</f>
        <v>f) 11 o más horas</v>
      </c>
      <c r="AJ200" s="89" t="str">
        <f>Registro!AF200</f>
        <v>a) Me divierto con juegos para computadoras, d) Estoy la mayor parte del tiempo en la casa sin hacer nada, k) Practico algún deporte</v>
      </c>
      <c r="AK200" s="94">
        <f t="shared" si="18"/>
        <v>3</v>
      </c>
      <c r="AL200" s="89" t="str">
        <f>Registro!AG200</f>
        <v>b) Bueno</v>
      </c>
      <c r="AM200" s="89" t="str">
        <f>Registro!AH200</f>
        <v>b) Buena</v>
      </c>
      <c r="AN200" s="89" t="str">
        <f>Registro!AI200</f>
        <v>b) Buena</v>
      </c>
      <c r="AO200" s="89" t="str">
        <f>Registro!AJ200</f>
        <v>b) Buena</v>
      </c>
      <c r="AP200" s="89" t="str">
        <f>Registro!AK200</f>
        <v>b) Buena</v>
      </c>
      <c r="AQ200" s="89" t="str">
        <f>Registro!AL200</f>
        <v>c) Regular</v>
      </c>
      <c r="AR200" s="89" t="str">
        <f>Registro!AM200</f>
        <v>a) Muy buena</v>
      </c>
      <c r="AS200" s="89" t="str">
        <f>Registro!AN200</f>
        <v>a) Muy buena</v>
      </c>
      <c r="AT200" s="89" t="str">
        <f>Registro!AO200</f>
        <v>a) Muy buena</v>
      </c>
      <c r="AU200" s="89" t="str">
        <f>Registro!AP200</f>
        <v>b) Buena</v>
      </c>
      <c r="AV200" s="89" t="str">
        <f>Registro!AQ200</f>
        <v>b) Buena</v>
      </c>
      <c r="AW200" s="89" t="str">
        <f>Registro!AR200</f>
        <v>c) El estudio</v>
      </c>
      <c r="AX200" s="89" t="str">
        <f>Registro!AS200</f>
        <v>b) Darme una buena educación</v>
      </c>
      <c r="AY200" s="89" t="str">
        <f>Registro!AT200</f>
        <v>c) Conveniente</v>
      </c>
      <c r="AZ200" s="89" t="str">
        <f>Registro!AU200</f>
        <v>b) Las veces que bebo, es con moderación</v>
      </c>
      <c r="BA200" s="89" t="str">
        <f>Registro!AV200</f>
        <v>b) Profesionales que no se preocupan de nosotros</v>
      </c>
      <c r="BB200" s="89" t="str">
        <f>Registro!AW200</f>
        <v>c) Bastante</v>
      </c>
      <c r="BC200" s="89" t="str">
        <f>Registro!AX200</f>
        <v>e) Son personas que me gustan y admiro</v>
      </c>
      <c r="BD200" s="89" t="str">
        <f>Registro!AY200</f>
        <v>a) Mi padre, b) Mi madre, g) Un amigo, h) Una amiga</v>
      </c>
    </row>
    <row r="201" spans="1:56" ht="15" customHeight="1" x14ac:dyDescent="0.25">
      <c r="A201" s="101">
        <f>Registro!A201</f>
        <v>42158.332974537036</v>
      </c>
      <c r="B201" s="89" t="str">
        <f>Registro!B201</f>
        <v>c) Obra Social San José de Calasanz de Valencia</v>
      </c>
      <c r="C201" s="89" t="str">
        <f>Registro!C201</f>
        <v>c) Cuarto año</v>
      </c>
      <c r="D201" s="89" t="str">
        <f>Registro!D201</f>
        <v>a) Educación Inicial</v>
      </c>
      <c r="E201" s="89" t="str">
        <f>Registro!E201</f>
        <v>b) Femenino</v>
      </c>
      <c r="F201" s="89" t="str">
        <f>Registro!F201</f>
        <v>a) Católica</v>
      </c>
      <c r="G201" s="89" t="str">
        <f>Registro!G201</f>
        <v>d) Abuelos, e) Otros familiares</v>
      </c>
      <c r="H201" s="89" t="str">
        <f>Registro!H201</f>
        <v>b) Casa Urbana</v>
      </c>
      <c r="I201" s="89" t="str">
        <f>Registro!I201</f>
        <v>c) Algo</v>
      </c>
      <c r="J201" s="89" t="str">
        <f>Registro!J201</f>
        <v>b) Lavadora, k) Aire acondicionado</v>
      </c>
      <c r="K201" s="89" t="str">
        <f>Registro!K201</f>
        <v>b) Una</v>
      </c>
      <c r="L201" s="89" t="str">
        <f>Registro!L201</f>
        <v>a) La familia, c) Los estudios, f) Mi fe y vida cristiana</v>
      </c>
      <c r="M201" s="94">
        <f t="shared" si="19"/>
        <v>3</v>
      </c>
      <c r="N201" s="89" t="str">
        <f>Registro!M201</f>
        <v>d) Los problemas familiares</v>
      </c>
      <c r="O201" s="89" t="str">
        <f>Registro!N201</f>
        <v>c) Poco</v>
      </c>
      <c r="P201" s="89" t="str">
        <f>Registro!O201</f>
        <v>c) Poco</v>
      </c>
      <c r="Q201" s="89" t="str">
        <f>Registro!P201</f>
        <v>b) Suficiente</v>
      </c>
      <c r="R201" s="89"/>
      <c r="S201" s="94">
        <f t="shared" si="16"/>
        <v>0</v>
      </c>
      <c r="T201" s="89" t="str">
        <f>Registro!R201</f>
        <v>a) Mucho</v>
      </c>
      <c r="U201" s="89" t="str">
        <f>Registro!S201</f>
        <v>i) Los necesitados, j) Todas partes</v>
      </c>
      <c r="V201" s="89" t="str">
        <f>Registro!T201</f>
        <v>c) Rezo solo en situación de dificultad</v>
      </c>
      <c r="W201" s="89" t="str">
        <f>Registro!U201</f>
        <v>b) Algunos domingos</v>
      </c>
      <c r="X201" s="89" t="str">
        <f>Registro!V201</f>
        <v>e) Voy a misa en las fechas de mis familiares difuntos, f) En alguna ocasión he rezado el rosario, h) En Semana Santa asisto a las procesiones, i) Tengo en mi cuarto alguna imagen religiosa</v>
      </c>
      <c r="Y201" s="89" t="str">
        <f>Registro!W201</f>
        <v xml:space="preserve">b) Cultural (folklórico, musicales, danzas, scout, banda marcial,...) </v>
      </c>
      <c r="Z201" s="89" t="str">
        <f>Registro!X201</f>
        <v>a) Un grupo donde profundizo mi fe</v>
      </c>
      <c r="AA201" s="89" t="str">
        <f>Registro!Y201</f>
        <v>a) Sí</v>
      </c>
      <c r="AB201" s="89" t="str">
        <f>Registro!Z201</f>
        <v>b) No</v>
      </c>
      <c r="AC201" s="89" t="str">
        <f>Registro!AA201</f>
        <v>b) Docencia, g) Artista</v>
      </c>
      <c r="AD201" s="94">
        <f t="shared" si="15"/>
        <v>2</v>
      </c>
      <c r="AE201" s="89" t="str">
        <f>Registro!AB201</f>
        <v>e) Servir a los demás</v>
      </c>
      <c r="AF201" s="89" t="str">
        <f>Registro!AC201</f>
        <v>d) Mucho o muchísimo</v>
      </c>
      <c r="AG201" s="89" t="str">
        <f>Registro!AD201</f>
        <v>d) Los grupos juveniles cristianos, h) Las actividades extraescolares</v>
      </c>
      <c r="AH201" s="94">
        <f t="shared" si="17"/>
        <v>2</v>
      </c>
      <c r="AI201" s="89" t="str">
        <f>Registro!AE201</f>
        <v>a) 0 a 2 horas</v>
      </c>
      <c r="AJ201" s="89" t="str">
        <f>Registro!AF201</f>
        <v>e) Suelo ir a algún parque, g) Suelo ir a discotecas o a fiestas, h) Suelo ir al cine</v>
      </c>
      <c r="AK201" s="94">
        <f t="shared" si="18"/>
        <v>3</v>
      </c>
      <c r="AL201" s="89" t="str">
        <f>Registro!AG201</f>
        <v>a) Muy bueno</v>
      </c>
      <c r="AM201" s="89" t="str">
        <f>Registro!AH201</f>
        <v>a) Muy buena</v>
      </c>
      <c r="AN201" s="89" t="str">
        <f>Registro!AI201</f>
        <v>a) Muy buena</v>
      </c>
      <c r="AO201" s="89" t="str">
        <f>Registro!AJ201</f>
        <v>b) Buena</v>
      </c>
      <c r="AP201" s="89" t="str">
        <f>Registro!AK201</f>
        <v>b) Buena</v>
      </c>
      <c r="AQ201" s="89">
        <f>Registro!AL201</f>
        <v>0</v>
      </c>
      <c r="AR201" s="89" t="str">
        <f>Registro!AM201</f>
        <v>a) Muy buena</v>
      </c>
      <c r="AS201" s="89" t="str">
        <f>Registro!AN201</f>
        <v>a) Muy buena</v>
      </c>
      <c r="AT201" s="89" t="str">
        <f>Registro!AO201</f>
        <v>c) Regular</v>
      </c>
      <c r="AU201" s="89" t="str">
        <f>Registro!AP201</f>
        <v>b) Buena</v>
      </c>
      <c r="AV201" s="89" t="str">
        <f>Registro!AQ201</f>
        <v>b) Buena</v>
      </c>
      <c r="AW201" s="89" t="str">
        <f>Registro!AR201</f>
        <v>e) La disciplina y el orden</v>
      </c>
      <c r="AX201" s="89" t="str">
        <f>Registro!AS201</f>
        <v>a) Que sea un buen profesional</v>
      </c>
      <c r="AY201" s="89" t="str">
        <f>Registro!AT201</f>
        <v>e) Absolutamente necesaria</v>
      </c>
      <c r="AZ201" s="89" t="str">
        <f>Registro!AU201</f>
        <v>b) Las veces que bebo, es con moderación</v>
      </c>
      <c r="BA201" s="89" t="str">
        <f>Registro!AV201</f>
        <v>c) Profesionales que hacen lo que pueden</v>
      </c>
      <c r="BB201" s="89" t="str">
        <f>Registro!AW201</f>
        <v>b) Poco</v>
      </c>
      <c r="BC201" s="89" t="str">
        <f>Registro!AX201</f>
        <v>c) Son personas normales y corrientes</v>
      </c>
      <c r="BD201" s="89" t="str">
        <f>Registro!AY201</f>
        <v>g) Un amigo</v>
      </c>
    </row>
    <row r="202" spans="1:56" ht="15" customHeight="1" x14ac:dyDescent="0.25">
      <c r="A202" s="101">
        <f>Registro!A202</f>
        <v>42158.333657407406</v>
      </c>
      <c r="B202" s="89" t="str">
        <f>Registro!B202</f>
        <v>c) Obra Social San José de Calasanz de Valencia</v>
      </c>
      <c r="C202" s="89" t="str">
        <f>Registro!C202</f>
        <v>c) Cuarto año</v>
      </c>
      <c r="D202" s="89" t="str">
        <f>Registro!D202</f>
        <v>d) En Cuarto año o posterior</v>
      </c>
      <c r="E202" s="89" t="str">
        <f>Registro!E202</f>
        <v>b) Femenino</v>
      </c>
      <c r="F202" s="89" t="str">
        <f>Registro!F202</f>
        <v>a) Católica</v>
      </c>
      <c r="G202" s="89" t="str">
        <f>Registro!G202</f>
        <v>a) Mamá, c) Hermanos, d) Abuelos, e) Otros familiares</v>
      </c>
      <c r="H202" s="89" t="str">
        <f>Registro!H202</f>
        <v>b) Casa Urbana</v>
      </c>
      <c r="I202" s="89" t="str">
        <f>Registro!I202</f>
        <v>c) Algo</v>
      </c>
      <c r="J202" s="89" t="str">
        <f>Registro!J202</f>
        <v>b) Lavadora, i) Computadora, k) Aire acondicionado</v>
      </c>
      <c r="K202" s="89" t="str">
        <f>Registro!K202</f>
        <v>b) Una</v>
      </c>
      <c r="L202" s="89" t="str">
        <f>Registro!L202</f>
        <v>a) La familia, b) Los amigos, c) Los estudios</v>
      </c>
      <c r="M202" s="94">
        <f t="shared" si="19"/>
        <v>3</v>
      </c>
      <c r="N202" s="89" t="str">
        <f>Registro!M202</f>
        <v>g) Mis estudios</v>
      </c>
      <c r="O202" s="89" t="str">
        <f>Registro!N202</f>
        <v>c) Poco</v>
      </c>
      <c r="P202" s="89" t="str">
        <f>Registro!O202</f>
        <v>b) Suficiente</v>
      </c>
      <c r="Q202" s="89" t="str">
        <f>Registro!P202</f>
        <v>c) Poco</v>
      </c>
      <c r="R202" s="89" t="str">
        <f>Registro!Q202</f>
        <v>a) La familia, c) Los estudios, e) Disponer de dinero</v>
      </c>
      <c r="S202" s="94">
        <f t="shared" si="16"/>
        <v>3</v>
      </c>
      <c r="T202" s="89" t="str">
        <f>Registro!R202</f>
        <v>b) Suficiente</v>
      </c>
      <c r="U202" s="89" t="str">
        <f>Registro!S202</f>
        <v>a) La Iglesia</v>
      </c>
      <c r="V202" s="89" t="str">
        <f>Registro!T202</f>
        <v>b) Rezo por costumbre</v>
      </c>
      <c r="W202" s="89" t="str">
        <f>Registro!U202</f>
        <v>c) Solo en fechas especiales</v>
      </c>
      <c r="X202" s="89" t="str">
        <f>Registro!V202</f>
        <v>c) Suelo ir los domingos y otras fechas especiales a la Iglesia, e) Voy a misa en las fechas de mis familiares difuntos</v>
      </c>
      <c r="Y202" s="89" t="str">
        <f>Registro!W202</f>
        <v>d) No pertenezco a ninguno</v>
      </c>
      <c r="Z202" s="89" t="str">
        <f>Registro!X202</f>
        <v>b) Un lugar donde comparto con mis compañeros</v>
      </c>
      <c r="AA202" s="89" t="str">
        <f>Registro!Y202</f>
        <v>b) No</v>
      </c>
      <c r="AB202" s="89" t="str">
        <f>Registro!Z202</f>
        <v>b) No</v>
      </c>
      <c r="AC202" s="89" t="str">
        <f>Registro!AA202</f>
        <v>a) Medicina, j) Trabajador calificado</v>
      </c>
      <c r="AD202" s="94">
        <f t="shared" si="15"/>
        <v>2</v>
      </c>
      <c r="AE202" s="89" t="str">
        <f>Registro!AB202</f>
        <v>b) Tener una buena posición social, ser importante</v>
      </c>
      <c r="AF202" s="89" t="str">
        <f>Registro!AC202</f>
        <v>c) Bastante</v>
      </c>
      <c r="AG202" s="89" t="str">
        <f>Registro!AD202</f>
        <v>b) El ambiente de estudio y de trabajo, h) Las actividades extraescolares</v>
      </c>
      <c r="AH202" s="94">
        <f t="shared" si="17"/>
        <v>2</v>
      </c>
      <c r="AI202" s="89" t="str">
        <f>Registro!AE202</f>
        <v>b) 3 a 4 horas</v>
      </c>
      <c r="AJ202" s="89" t="str">
        <f>Registro!AF202</f>
        <v>b) Navego en Internet, d) Estoy la mayor parte del tiempo en la casa sin hacer nada, m) Veo televisión y/o películas</v>
      </c>
      <c r="AK202" s="94">
        <f t="shared" si="18"/>
        <v>3</v>
      </c>
      <c r="AL202" s="89" t="str">
        <f>Registro!AG202</f>
        <v>b) Bueno</v>
      </c>
      <c r="AM202" s="89" t="str">
        <f>Registro!AH202</f>
        <v>c) Regular</v>
      </c>
      <c r="AN202" s="89" t="str">
        <f>Registro!AI202</f>
        <v>c) Regular</v>
      </c>
      <c r="AO202" s="89" t="str">
        <f>Registro!AJ202</f>
        <v>b) Buena</v>
      </c>
      <c r="AP202" s="89" t="str">
        <f>Registro!AK202</f>
        <v>b) Buena</v>
      </c>
      <c r="AQ202" s="89" t="str">
        <f>Registro!AL202</f>
        <v>b) Buena</v>
      </c>
      <c r="AR202" s="89" t="str">
        <f>Registro!AM202</f>
        <v>b) Buena</v>
      </c>
      <c r="AS202" s="89" t="str">
        <f>Registro!AN202</f>
        <v>b) Buena</v>
      </c>
      <c r="AT202" s="89" t="str">
        <f>Registro!AO202</f>
        <v>a) Muy buena</v>
      </c>
      <c r="AU202" s="89" t="str">
        <f>Registro!AP202</f>
        <v>b) Buena</v>
      </c>
      <c r="AV202" s="89" t="str">
        <f>Registro!AQ202</f>
        <v>b) Buena</v>
      </c>
      <c r="AW202" s="89" t="str">
        <f>Registro!AR202</f>
        <v>e) La disciplina y el orden</v>
      </c>
      <c r="AX202" s="89" t="str">
        <f>Registro!AS202</f>
        <v>b) Darme una buena educación</v>
      </c>
      <c r="AY202" s="89" t="str">
        <f>Registro!AT202</f>
        <v>e) Absolutamente necesaria</v>
      </c>
      <c r="AZ202" s="89" t="str">
        <f>Registro!AU202</f>
        <v>a) No acostumbro a tomarlo nunca</v>
      </c>
      <c r="BA202" s="89" t="str">
        <f>Registro!AV202</f>
        <v>e) Educadores que se preocupan de nosotros</v>
      </c>
      <c r="BB202" s="89" t="str">
        <f>Registro!AW202</f>
        <v>c) Bastante</v>
      </c>
      <c r="BC202" s="89" t="str">
        <f>Registro!AX202</f>
        <v>c) Son personas normales y corrientes</v>
      </c>
      <c r="BD202" s="89" t="str">
        <f>Registro!AY202</f>
        <v>g) Un amigo, h) Una amiga</v>
      </c>
    </row>
    <row r="203" spans="1:56" ht="15" customHeight="1" x14ac:dyDescent="0.25">
      <c r="A203" s="101">
        <f>Registro!A203</f>
        <v>42158.334398148145</v>
      </c>
      <c r="B203" s="89" t="str">
        <f>Registro!B203</f>
        <v>c) Obra Social San José de Calasanz de Valencia</v>
      </c>
      <c r="C203" s="89" t="str">
        <f>Registro!C203</f>
        <v>c) Cuarto año</v>
      </c>
      <c r="D203" s="89" t="str">
        <f>Registro!D203</f>
        <v>b) Primaria</v>
      </c>
      <c r="E203" s="89" t="str">
        <f>Registro!E203</f>
        <v>b) Femenino</v>
      </c>
      <c r="F203" s="89" t="str">
        <f>Registro!F203</f>
        <v>a) Católica</v>
      </c>
      <c r="G203" s="89" t="str">
        <f>Registro!G203</f>
        <v>a) Mamá, b) Papá, c) Hermanos</v>
      </c>
      <c r="H203" s="89" t="str">
        <f>Registro!H203</f>
        <v>b) Casa Urbana</v>
      </c>
      <c r="I203" s="89" t="str">
        <f>Registro!I203</f>
        <v>b) No</v>
      </c>
      <c r="J203" s="89" t="str">
        <f>Registro!J203</f>
        <v>b) Lavadora, c) Microondas, h) Carro, i) Computadora, j) Cámara digital, k) Aire acondicionado</v>
      </c>
      <c r="K203" s="89" t="str">
        <f>Registro!K203</f>
        <v>e) Cuatro</v>
      </c>
      <c r="L203" s="89"/>
      <c r="M203" s="94">
        <f t="shared" si="19"/>
        <v>0</v>
      </c>
      <c r="N203" s="89" t="str">
        <f>Registro!M203</f>
        <v>e) La situación económica</v>
      </c>
      <c r="O203" s="89" t="str">
        <f>Registro!N203</f>
        <v>a) Mucho</v>
      </c>
      <c r="P203" s="89" t="str">
        <f>Registro!O203</f>
        <v>a) Mucho</v>
      </c>
      <c r="Q203" s="89" t="str">
        <f>Registro!P203</f>
        <v>b) Suficiente</v>
      </c>
      <c r="R203" s="89"/>
      <c r="S203" s="94">
        <f t="shared" si="16"/>
        <v>0</v>
      </c>
      <c r="T203" s="89" t="str">
        <f>Registro!R203</f>
        <v>a) Mucho</v>
      </c>
      <c r="U203" s="89" t="str">
        <f>Registro!S203</f>
        <v>j) Todas partes</v>
      </c>
      <c r="V203" s="89" t="str">
        <f>Registro!T203</f>
        <v>c) Rezo solo en situación de dificultad</v>
      </c>
      <c r="W203" s="89" t="str">
        <f>Registro!U203</f>
        <v>c) Solo en fechas especiales</v>
      </c>
      <c r="X203" s="89" t="str">
        <f>Registro!V203</f>
        <v>e) Voy a misa en las fechas de mis familiares difuntos</v>
      </c>
      <c r="Y203" s="89" t="str">
        <f>Registro!W203</f>
        <v>d) No pertenezco a ninguno</v>
      </c>
      <c r="Z203" s="89" t="str">
        <f>Registro!X203</f>
        <v>d) No pertenezco a grupos juveniles cristianos</v>
      </c>
      <c r="AA203" s="89" t="str">
        <f>Registro!Y203</f>
        <v>b) No</v>
      </c>
      <c r="AB203" s="89" t="str">
        <f>Registro!Z203</f>
        <v>b) No</v>
      </c>
      <c r="AC203" s="89"/>
      <c r="AD203" s="94">
        <f t="shared" si="15"/>
        <v>0</v>
      </c>
      <c r="AE203" s="89" t="str">
        <f>Registro!AB203</f>
        <v>f) Ejecutar una tarea conforme a mi fe</v>
      </c>
      <c r="AF203" s="89" t="str">
        <f>Registro!AC203</f>
        <v>c) Bastante</v>
      </c>
      <c r="AG203" s="89" t="str">
        <f>Registro!AD203</f>
        <v>a) Los deportes y diversiones</v>
      </c>
      <c r="AH203" s="94">
        <f t="shared" si="17"/>
        <v>1</v>
      </c>
      <c r="AI203" s="89" t="str">
        <f>Registro!AE203</f>
        <v>b) 3 a 4 horas</v>
      </c>
      <c r="AJ203" s="89" t="str">
        <f>Registro!AF203</f>
        <v>l) Escucho música y/o veo videos musicales, n) Estoy conversando con los amigos/as</v>
      </c>
      <c r="AK203" s="94">
        <f t="shared" si="18"/>
        <v>2</v>
      </c>
      <c r="AL203" s="89" t="str">
        <f>Registro!AG203</f>
        <v>b) Bueno</v>
      </c>
      <c r="AM203" s="89" t="str">
        <f>Registro!AH203</f>
        <v>f) No aplica</v>
      </c>
      <c r="AN203" s="89" t="str">
        <f>Registro!AI203</f>
        <v>f) No aplica</v>
      </c>
      <c r="AO203" s="89" t="str">
        <f>Registro!AJ203</f>
        <v>a) Muy buena</v>
      </c>
      <c r="AP203" s="89" t="str">
        <f>Registro!AK203</f>
        <v>f) No aplica</v>
      </c>
      <c r="AQ203" s="89" t="str">
        <f>Registro!AL203</f>
        <v>a) Muy buena</v>
      </c>
      <c r="AR203" s="89" t="str">
        <f>Registro!AM203</f>
        <v>a) Muy buena</v>
      </c>
      <c r="AS203" s="89" t="str">
        <f>Registro!AN203</f>
        <v>b) Buena</v>
      </c>
      <c r="AT203" s="89" t="str">
        <f>Registro!AO203</f>
        <v>c) Regular</v>
      </c>
      <c r="AU203" s="89" t="str">
        <f>Registro!AP203</f>
        <v>a) Muy buena</v>
      </c>
      <c r="AV203" s="89" t="str">
        <f>Registro!AQ203</f>
        <v>a) Muy buena</v>
      </c>
      <c r="AW203" s="89" t="str">
        <f>Registro!AR203</f>
        <v>c) El estudio</v>
      </c>
      <c r="AX203" s="89" t="str">
        <f>Registro!AS203</f>
        <v>b) Darme una buena educación</v>
      </c>
      <c r="AY203" s="89" t="str">
        <f>Registro!AT203</f>
        <v>e) Absolutamente necesaria</v>
      </c>
      <c r="AZ203" s="89" t="str">
        <f>Registro!AU203</f>
        <v>b) Las veces que bebo, es con moderación</v>
      </c>
      <c r="BA203" s="89" t="str">
        <f>Registro!AV203</f>
        <v>d) Buenos profesionales de la educación</v>
      </c>
      <c r="BB203" s="89" t="str">
        <f>Registro!AW203</f>
        <v>d) Mucho o muchísimo</v>
      </c>
      <c r="BC203" s="89" t="str">
        <f>Registro!AX203</f>
        <v>e) Son personas que me gustan y admiro</v>
      </c>
      <c r="BD203" s="89" t="str">
        <f>Registro!AY203</f>
        <v>c) Un hermano/a</v>
      </c>
    </row>
    <row r="204" spans="1:56" ht="15" customHeight="1" x14ac:dyDescent="0.25">
      <c r="A204" s="101">
        <f>Registro!A204</f>
        <v>42158.335300925923</v>
      </c>
      <c r="B204" s="89" t="str">
        <f>Registro!B204</f>
        <v>c) Obra Social San José de Calasanz de Valencia</v>
      </c>
      <c r="C204" s="89" t="str">
        <f>Registro!C204</f>
        <v>c) Cuarto año</v>
      </c>
      <c r="D204" s="89" t="str">
        <f>Registro!D204</f>
        <v>d) En Cuarto año o posterior</v>
      </c>
      <c r="E204" s="89" t="str">
        <f>Registro!E204</f>
        <v>b) Femenino</v>
      </c>
      <c r="F204" s="89" t="str">
        <f>Registro!F204</f>
        <v>a) Católica</v>
      </c>
      <c r="G204" s="89" t="str">
        <f>Registro!G204</f>
        <v>a) Mamá, b) Papá, c) Hermanos</v>
      </c>
      <c r="H204" s="89" t="str">
        <f>Registro!H204</f>
        <v>b) Casa Urbana</v>
      </c>
      <c r="I204" s="89" t="str">
        <f>Registro!I204</f>
        <v>a) Sí</v>
      </c>
      <c r="J204" s="89" t="str">
        <f>Registro!J204</f>
        <v>b) Lavadora, i) Computadora, k) Aire acondicionado</v>
      </c>
      <c r="K204" s="89" t="str">
        <f>Registro!K204</f>
        <v>c) Dos</v>
      </c>
      <c r="L204" s="89"/>
      <c r="M204" s="94">
        <f t="shared" si="19"/>
        <v>0</v>
      </c>
      <c r="N204" s="89" t="str">
        <f>Registro!M204</f>
        <v>b) El futuro</v>
      </c>
      <c r="O204" s="89" t="str">
        <f>Registro!N204</f>
        <v>c) Poco</v>
      </c>
      <c r="P204" s="89" t="str">
        <f>Registro!O204</f>
        <v>c) Poco</v>
      </c>
      <c r="Q204" s="89" t="str">
        <f>Registro!P204</f>
        <v>c) Poco</v>
      </c>
      <c r="R204" s="89"/>
      <c r="S204" s="94">
        <f t="shared" si="16"/>
        <v>0</v>
      </c>
      <c r="T204" s="89" t="str">
        <f>Registro!R204</f>
        <v>a) Mucho</v>
      </c>
      <c r="U204" s="89" t="str">
        <f>Registro!S204</f>
        <v>a) La Iglesia, b) La naturaleza, c) El salón de clase, d) Las convivencias, e) Los amigos, f) Todas las personas, g) Mi familia, h) Algunas personas cercanas a Dios, i) Los necesitados, j) Todas partes, k) La oración, l) Los sacramentos</v>
      </c>
      <c r="V204" s="89" t="str">
        <f>Registro!T204</f>
        <v>c) Rezo solo en situación de dificultad</v>
      </c>
      <c r="W204" s="89" t="str">
        <f>Registro!U204</f>
        <v>b) Algunos domingos</v>
      </c>
      <c r="X204" s="89" t="str">
        <f>Registro!V204</f>
        <v>h) En Semana Santa asisto a las procesiones</v>
      </c>
      <c r="Y204" s="89" t="str">
        <f>Registro!W204</f>
        <v>a) Deportivo, b) Cultural (folklórico, musicales, danzas, scout, banda marcial,...) , c) Religioso o parroquial</v>
      </c>
      <c r="Z204" s="89" t="str">
        <f>Registro!X204</f>
        <v>a) Un grupo donde profundizo mi fe</v>
      </c>
      <c r="AA204" s="89" t="str">
        <f>Registro!Y204</f>
        <v>b) No</v>
      </c>
      <c r="AB204" s="89" t="str">
        <f>Registro!Z204</f>
        <v>b) No</v>
      </c>
      <c r="AC204" s="89"/>
      <c r="AD204" s="94">
        <f t="shared" si="15"/>
        <v>0</v>
      </c>
      <c r="AE204" s="89" t="str">
        <f>Registro!AB204</f>
        <v>e) Servir a los demás</v>
      </c>
      <c r="AF204" s="89" t="str">
        <f>Registro!AC204</f>
        <v>e) No sé</v>
      </c>
      <c r="AG204" s="89"/>
      <c r="AH204" s="94">
        <f t="shared" si="17"/>
        <v>0</v>
      </c>
      <c r="AI204" s="89" t="str">
        <f>Registro!AE204</f>
        <v>b) 3 a 4 horas</v>
      </c>
      <c r="AJ204" s="89" t="str">
        <f>Registro!AF204</f>
        <v>b) Navego en Internet</v>
      </c>
      <c r="AK204" s="94">
        <f t="shared" si="18"/>
        <v>1</v>
      </c>
      <c r="AL204" s="89" t="str">
        <f>Registro!AG204</f>
        <v>a) Muy bueno</v>
      </c>
      <c r="AM204" s="89">
        <f>Registro!AH204</f>
        <v>0</v>
      </c>
      <c r="AN204" s="89" t="str">
        <f>Registro!AI204</f>
        <v>a) Muy buena</v>
      </c>
      <c r="AO204" s="89">
        <f>Registro!AJ204</f>
        <v>0</v>
      </c>
      <c r="AP204" s="89">
        <f>Registro!AK204</f>
        <v>0</v>
      </c>
      <c r="AQ204" s="89">
        <f>Registro!AL204</f>
        <v>0</v>
      </c>
      <c r="AR204" s="89" t="str">
        <f>Registro!AM204</f>
        <v>a) Muy buena</v>
      </c>
      <c r="AS204" s="89">
        <f>Registro!AN204</f>
        <v>0</v>
      </c>
      <c r="AT204" s="89">
        <f>Registro!AO204</f>
        <v>0</v>
      </c>
      <c r="AU204" s="89">
        <f>Registro!AP204</f>
        <v>0</v>
      </c>
      <c r="AV204" s="89">
        <f>Registro!AQ204</f>
        <v>0</v>
      </c>
      <c r="AW204" s="89">
        <f>Registro!AR204</f>
        <v>0</v>
      </c>
      <c r="AX204" s="89">
        <f>Registro!AS204</f>
        <v>0</v>
      </c>
      <c r="AY204" s="89">
        <f>Registro!AT204</f>
        <v>0</v>
      </c>
      <c r="AZ204" s="89">
        <f>Registro!AU204</f>
        <v>0</v>
      </c>
      <c r="BA204" s="89">
        <f>Registro!AV204</f>
        <v>0</v>
      </c>
      <c r="BB204" s="89">
        <f>Registro!AW204</f>
        <v>0</v>
      </c>
      <c r="BC204" s="89">
        <f>Registro!AX204</f>
        <v>0</v>
      </c>
      <c r="BD204" s="89" t="str">
        <f>Registro!AY204</f>
        <v>a) Mi padre, b) Mi madre</v>
      </c>
    </row>
    <row r="205" spans="1:56" ht="15" customHeight="1" x14ac:dyDescent="0.25">
      <c r="A205" s="101">
        <f>Registro!A205</f>
        <v>42158.335358796299</v>
      </c>
      <c r="B205" s="89" t="str">
        <f>Registro!B205</f>
        <v>c) Obra Social San José de Calasanz de Valencia</v>
      </c>
      <c r="C205" s="89" t="str">
        <f>Registro!C205</f>
        <v>c) Cuarto año</v>
      </c>
      <c r="D205" s="89" t="str">
        <f>Registro!D205</f>
        <v>b) Primaria</v>
      </c>
      <c r="E205" s="89" t="str">
        <f>Registro!E205</f>
        <v>a) Masculino</v>
      </c>
      <c r="F205" s="89">
        <f>Registro!F205</f>
        <v>0</v>
      </c>
      <c r="G205" s="89" t="str">
        <f>Registro!G205</f>
        <v>a) Mamá</v>
      </c>
      <c r="H205" s="89" t="str">
        <f>Registro!H205</f>
        <v>b) Casa Urbana</v>
      </c>
      <c r="I205" s="89" t="str">
        <f>Registro!I205</f>
        <v>a) Sí</v>
      </c>
      <c r="J205" s="89" t="str">
        <f>Registro!J205</f>
        <v>a) Cónsola videojuegos, b) Lavadora, d) TV pantalla plana, i) Computadora, k) Aire acondicionado</v>
      </c>
      <c r="K205" s="89" t="str">
        <f>Registro!K205</f>
        <v>b) Una</v>
      </c>
      <c r="L205" s="89" t="str">
        <f>Registro!L205</f>
        <v>a) La familia, f) Mi fe y vida cristiana, i) La música</v>
      </c>
      <c r="M205" s="94">
        <f t="shared" si="19"/>
        <v>3</v>
      </c>
      <c r="N205" s="89" t="str">
        <f>Registro!M205</f>
        <v>b) El futuro</v>
      </c>
      <c r="O205" s="89" t="str">
        <f>Registro!N205</f>
        <v>c) Poco</v>
      </c>
      <c r="P205" s="89" t="str">
        <f>Registro!O205</f>
        <v>c) Poco</v>
      </c>
      <c r="Q205" s="89" t="str">
        <f>Registro!P205</f>
        <v>b) Suficiente</v>
      </c>
      <c r="R205" s="89"/>
      <c r="S205" s="94">
        <f t="shared" si="16"/>
        <v>0</v>
      </c>
      <c r="T205" s="89" t="str">
        <f>Registro!R205</f>
        <v>a) Mucho</v>
      </c>
      <c r="U205" s="89" t="str">
        <f>Registro!S205</f>
        <v>a) La Iglesia, b) La naturaleza, g) Mi familia, h) Algunas personas cercanas a Dios, i) Los necesitados, k) La oración</v>
      </c>
      <c r="V205" s="89" t="str">
        <f>Registro!T205</f>
        <v>b) Rezo por costumbre</v>
      </c>
      <c r="W205" s="89" t="str">
        <f>Registro!U205</f>
        <v>d) Nunca</v>
      </c>
      <c r="X205" s="89" t="str">
        <f>Registro!V205</f>
        <v>c) Suelo ir los domingos y otras fechas especiales a la Iglesia, f) En alguna ocasión he rezado el rosario, g) En ocasiones, en mi casa tenemos una oración familiar</v>
      </c>
      <c r="Y205" s="89" t="str">
        <f>Registro!W205</f>
        <v>c) Religioso o parroquial</v>
      </c>
      <c r="Z205" s="89" t="str">
        <f>Registro!X205</f>
        <v>a) Un grupo donde profundizo mi fe</v>
      </c>
      <c r="AA205" s="89" t="str">
        <f>Registro!Y205</f>
        <v>b) No</v>
      </c>
      <c r="AB205" s="89" t="str">
        <f>Registro!Z205</f>
        <v>b) No</v>
      </c>
      <c r="AC205" s="89" t="str">
        <f>Registro!AA205</f>
        <v>a) Medicina, d) Ingeniería</v>
      </c>
      <c r="AD205" s="94">
        <f t="shared" si="15"/>
        <v>2</v>
      </c>
      <c r="AE205" s="89" t="str">
        <f>Registro!AB205</f>
        <v>e) Servir a los demás</v>
      </c>
      <c r="AF205" s="89" t="str">
        <f>Registro!AC205</f>
        <v>c) Bastante</v>
      </c>
      <c r="AG205" s="89" t="str">
        <f>Registro!AD205</f>
        <v>d) Los grupos juveniles cristianos, g) La relación con los docentes</v>
      </c>
      <c r="AH205" s="94">
        <f t="shared" si="17"/>
        <v>2</v>
      </c>
      <c r="AI205" s="89" t="str">
        <f>Registro!AE205</f>
        <v>a) 0 a 2 horas</v>
      </c>
      <c r="AJ205" s="89" t="str">
        <f>Registro!AF205</f>
        <v>a) Me divierto con juegos para computadoras, l) Escucho música y/o veo videos musicales, m) Veo televisión y/o películas</v>
      </c>
      <c r="AK205" s="94">
        <f t="shared" si="18"/>
        <v>3</v>
      </c>
      <c r="AL205" s="89">
        <f>Registro!AG205</f>
        <v>0</v>
      </c>
      <c r="AM205" s="89" t="str">
        <f>Registro!AH205</f>
        <v>a) Muy buena</v>
      </c>
      <c r="AN205" s="89" t="str">
        <f>Registro!AI205</f>
        <v>a) Muy buena</v>
      </c>
      <c r="AO205" s="89">
        <f>Registro!AJ205</f>
        <v>0</v>
      </c>
      <c r="AP205" s="89" t="str">
        <f>Registro!AK205</f>
        <v>b) Buena</v>
      </c>
      <c r="AQ205" s="89" t="str">
        <f>Registro!AL205</f>
        <v>a) Muy buena</v>
      </c>
      <c r="AR205" s="89" t="str">
        <f>Registro!AM205</f>
        <v>d) Mala</v>
      </c>
      <c r="AS205" s="89" t="str">
        <f>Registro!AN205</f>
        <v>a) Muy buena</v>
      </c>
      <c r="AT205" s="89" t="str">
        <f>Registro!AO205</f>
        <v>a) Muy buena</v>
      </c>
      <c r="AU205" s="89" t="str">
        <f>Registro!AP205</f>
        <v>a) Muy buena</v>
      </c>
      <c r="AV205" s="89" t="str">
        <f>Registro!AQ205</f>
        <v>a) Muy buena</v>
      </c>
      <c r="AW205" s="89" t="str">
        <f>Registro!AR205</f>
        <v>h) La responsabilidad social y el servicio a los demás</v>
      </c>
      <c r="AX205" s="89" t="str">
        <f>Registro!AS205</f>
        <v>a) Que sea un buen profesional</v>
      </c>
      <c r="AY205" s="89" t="str">
        <f>Registro!AT205</f>
        <v>e) Absolutamente necesaria</v>
      </c>
      <c r="AZ205" s="89" t="str">
        <f>Registro!AU205</f>
        <v>a) No acostumbro a tomarlo nunca</v>
      </c>
      <c r="BA205" s="89" t="str">
        <f>Registro!AV205</f>
        <v>f) Educadores que, además, me han abierto caminos</v>
      </c>
      <c r="BB205" s="89" t="str">
        <f>Registro!AW205</f>
        <v>b) Poco</v>
      </c>
      <c r="BC205" s="89" t="str">
        <f>Registro!AX205</f>
        <v>e) Son personas que me gustan y admiro</v>
      </c>
      <c r="BD205" s="89" t="str">
        <f>Registro!AY205</f>
        <v>b) Mi madre, e) Un, una docente, g) Un amigo, h) Una amiga, k) No tengo problemas personales</v>
      </c>
    </row>
    <row r="206" spans="1:56" ht="15" customHeight="1" x14ac:dyDescent="0.25">
      <c r="A206" s="101">
        <f>Registro!A206</f>
        <v>42158.346307870372</v>
      </c>
      <c r="B206" s="89" t="str">
        <f>Registro!B206</f>
        <v>c) Obra Social San José de Calasanz de Valencia</v>
      </c>
      <c r="C206" s="89" t="str">
        <f>Registro!C206</f>
        <v>d) Quinto año</v>
      </c>
      <c r="D206" s="89" t="str">
        <f>Registro!D206</f>
        <v>d) En Cuarto año o posterior</v>
      </c>
      <c r="E206" s="89" t="str">
        <f>Registro!E206</f>
        <v>b) Femenino</v>
      </c>
      <c r="F206" s="89" t="str">
        <f>Registro!F206</f>
        <v>a) Católica</v>
      </c>
      <c r="G206" s="89" t="str">
        <f>Registro!G206</f>
        <v>c) Hermanos</v>
      </c>
      <c r="H206" s="89" t="str">
        <f>Registro!H206</f>
        <v>b) Casa Urbana</v>
      </c>
      <c r="I206" s="89" t="str">
        <f>Registro!I206</f>
        <v>c) Algo</v>
      </c>
      <c r="J206" s="89" t="str">
        <f>Registro!J206</f>
        <v>b) Lavadora, d) TV pantalla plana</v>
      </c>
      <c r="K206" s="89" t="str">
        <f>Registro!K206</f>
        <v>c) Dos</v>
      </c>
      <c r="L206" s="89" t="str">
        <f>Registro!L206</f>
        <v>a) La familia, c) Los estudios, g) La felicidad</v>
      </c>
      <c r="M206" s="94">
        <f t="shared" si="19"/>
        <v>3</v>
      </c>
      <c r="N206" s="89" t="str">
        <f>Registro!M206</f>
        <v>e) La situación económica</v>
      </c>
      <c r="O206" s="89" t="str">
        <f>Registro!N206</f>
        <v>d) Nada</v>
      </c>
      <c r="P206" s="89" t="str">
        <f>Registro!O206</f>
        <v>a) Mucho</v>
      </c>
      <c r="Q206" s="89" t="str">
        <f>Registro!P206</f>
        <v>b) Suficiente</v>
      </c>
      <c r="R206" s="89" t="str">
        <f>Registro!Q206</f>
        <v>b) Los amigos, c) Los estudios, h) La sexualidad</v>
      </c>
      <c r="S206" s="94">
        <f t="shared" si="16"/>
        <v>3</v>
      </c>
      <c r="T206" s="89" t="str">
        <f>Registro!R206</f>
        <v>a) Mucho</v>
      </c>
      <c r="U206" s="89" t="str">
        <f>Registro!S206</f>
        <v>a) La Iglesia, h) Algunas personas cercanas a Dios, i) Los necesitados, k) La oración</v>
      </c>
      <c r="V206" s="89" t="str">
        <f>Registro!T206</f>
        <v>c) Rezo solo en situación de dificultad</v>
      </c>
      <c r="W206" s="89" t="str">
        <f>Registro!U206</f>
        <v>c) Solo en fechas especiales</v>
      </c>
      <c r="X206" s="89" t="str">
        <f>Registro!V206</f>
        <v>e) Voy a misa en las fechas de mis familiares difuntos</v>
      </c>
      <c r="Y206" s="89" t="str">
        <f>Registro!W206</f>
        <v>d) No pertenezco a ninguno</v>
      </c>
      <c r="Z206" s="89" t="str">
        <f>Registro!X206</f>
        <v>c) Un lugar donde me lo paso bien</v>
      </c>
      <c r="AA206" s="89" t="str">
        <f>Registro!Y206</f>
        <v>b) No</v>
      </c>
      <c r="AB206" s="89" t="str">
        <f>Registro!Z206</f>
        <v>b) No</v>
      </c>
      <c r="AC206" s="89" t="str">
        <f>Registro!AA206</f>
        <v>d) Ingeniería, i) Comerciante</v>
      </c>
      <c r="AD206" s="94">
        <f t="shared" si="15"/>
        <v>2</v>
      </c>
      <c r="AE206" s="89" t="str">
        <f>Registro!AB206</f>
        <v>c) Ser un excelente profesional</v>
      </c>
      <c r="AF206" s="89" t="str">
        <f>Registro!AC206</f>
        <v>c) Bastante</v>
      </c>
      <c r="AG206" s="89" t="str">
        <f>Registro!AD206</f>
        <v>a) Los deportes y diversiones, h) Las actividades extraescolares</v>
      </c>
      <c r="AH206" s="94">
        <f t="shared" si="17"/>
        <v>2</v>
      </c>
      <c r="AI206" s="89" t="str">
        <f>Registro!AE206</f>
        <v>a) 0 a 2 horas</v>
      </c>
      <c r="AJ206" s="89" t="str">
        <f>Registro!AF206</f>
        <v>d) Estoy la mayor parte del tiempo en la casa sin hacer nada, n) Estoy conversando con los amigos/as</v>
      </c>
      <c r="AK206" s="94">
        <f t="shared" si="18"/>
        <v>2</v>
      </c>
      <c r="AL206" s="89" t="str">
        <f>Registro!AG206</f>
        <v>c) Regular</v>
      </c>
      <c r="AM206" s="89" t="str">
        <f>Registro!AH206</f>
        <v>a) Muy buena</v>
      </c>
      <c r="AN206" s="89" t="str">
        <f>Registro!AI206</f>
        <v>b) Buena</v>
      </c>
      <c r="AO206" s="89" t="str">
        <f>Registro!AJ206</f>
        <v>a) Muy buena</v>
      </c>
      <c r="AP206" s="89" t="str">
        <f>Registro!AK206</f>
        <v>f) No aplica</v>
      </c>
      <c r="AQ206" s="89" t="str">
        <f>Registro!AL206</f>
        <v>c) Regular</v>
      </c>
      <c r="AR206" s="89" t="str">
        <f>Registro!AM206</f>
        <v>b) Buena</v>
      </c>
      <c r="AS206" s="89" t="str">
        <f>Registro!AN206</f>
        <v>a) Muy buena</v>
      </c>
      <c r="AT206" s="89" t="str">
        <f>Registro!AO206</f>
        <v>a) Muy buena</v>
      </c>
      <c r="AU206" s="89" t="str">
        <f>Registro!AP206</f>
        <v>a) Muy buena</v>
      </c>
      <c r="AV206" s="89" t="str">
        <f>Registro!AQ206</f>
        <v>a) Muy buena</v>
      </c>
      <c r="AW206" s="89" t="str">
        <f>Registro!AR206</f>
        <v>a) El compañerismo</v>
      </c>
      <c r="AX206" s="89" t="str">
        <f>Registro!AS206</f>
        <v>b) Darme una buena educación</v>
      </c>
      <c r="AY206" s="89" t="str">
        <f>Registro!AT206</f>
        <v>d) Bastante necesaria</v>
      </c>
      <c r="AZ206" s="89" t="str">
        <f>Registro!AU206</f>
        <v>a) No acostumbro a tomarlo nunca</v>
      </c>
      <c r="BA206" s="89" t="str">
        <f>Registro!AV206</f>
        <v>d) Buenos profesionales de la educación</v>
      </c>
      <c r="BB206" s="89" t="str">
        <f>Registro!AW206</f>
        <v>c) Bastante</v>
      </c>
      <c r="BC206" s="89" t="str">
        <f>Registro!AX206</f>
        <v>e) Son personas que me gustan y admiro</v>
      </c>
      <c r="BD206" s="89" t="str">
        <f>Registro!AY206</f>
        <v>c) Un hermano/a, g) Un amigo, h) Una amiga</v>
      </c>
    </row>
    <row r="207" spans="1:56" ht="15" customHeight="1" x14ac:dyDescent="0.25">
      <c r="A207" s="101">
        <f>Registro!A207</f>
        <v>42158.347222222219</v>
      </c>
      <c r="B207" s="89" t="str">
        <f>Registro!B207</f>
        <v>c) Obra Social San José de Calasanz de Valencia</v>
      </c>
      <c r="C207" s="89" t="str">
        <f>Registro!C207</f>
        <v>d) Quinto año</v>
      </c>
      <c r="D207" s="89" t="str">
        <f>Registro!D207</f>
        <v>b) Primaria</v>
      </c>
      <c r="E207" s="89" t="str">
        <f>Registro!E207</f>
        <v>b) Femenino</v>
      </c>
      <c r="F207" s="89" t="str">
        <f>Registro!F207</f>
        <v>a) Católica</v>
      </c>
      <c r="G207" s="89" t="str">
        <f>Registro!G207</f>
        <v>a) Mamá, b) Papá, c) Hermanos</v>
      </c>
      <c r="H207" s="89" t="str">
        <f>Registro!H207</f>
        <v>b) Casa Urbana</v>
      </c>
      <c r="I207" s="89" t="str">
        <f>Registro!I207</f>
        <v>c) Algo</v>
      </c>
      <c r="J207" s="89" t="str">
        <f>Registro!J207</f>
        <v>i) Computadora, k) Aire acondicionado</v>
      </c>
      <c r="K207" s="89" t="str">
        <f>Registro!K207</f>
        <v>d) Tres</v>
      </c>
      <c r="L207" s="89" t="str">
        <f>Registro!L207</f>
        <v>a) La familia, b) Los amigos, i) La música</v>
      </c>
      <c r="M207" s="94">
        <f t="shared" si="19"/>
        <v>3</v>
      </c>
      <c r="N207" s="89" t="str">
        <f>Registro!M207</f>
        <v>b) El futuro</v>
      </c>
      <c r="O207" s="89" t="str">
        <f>Registro!N207</f>
        <v>b) Suficiente</v>
      </c>
      <c r="P207" s="89" t="str">
        <f>Registro!O207</f>
        <v>c) Poco</v>
      </c>
      <c r="Q207" s="89" t="str">
        <f>Registro!P207</f>
        <v>b) Suficiente</v>
      </c>
      <c r="R207" s="89"/>
      <c r="S207" s="94">
        <f t="shared" si="16"/>
        <v>0</v>
      </c>
      <c r="T207" s="89" t="str">
        <f>Registro!R207</f>
        <v>c) Poco</v>
      </c>
      <c r="U207" s="89" t="str">
        <f>Registro!S207</f>
        <v>b) La naturaleza, e) Los amigos, g) Mi familia</v>
      </c>
      <c r="V207" s="89" t="str">
        <f>Registro!T207</f>
        <v>a) Suelo rezar por convicción o porque me gusta</v>
      </c>
      <c r="W207" s="89" t="str">
        <f>Registro!U207</f>
        <v>b) Algunos domingos</v>
      </c>
      <c r="X207" s="89">
        <f>Registro!V207</f>
        <v>0</v>
      </c>
      <c r="Y207" s="89" t="str">
        <f>Registro!W207</f>
        <v>d) No pertenezco a ninguno</v>
      </c>
      <c r="Z207" s="89" t="str">
        <f>Registro!X207</f>
        <v>d) No pertenezco a grupos juveniles cristianos</v>
      </c>
      <c r="AA207" s="89" t="str">
        <f>Registro!Y207</f>
        <v>b) No</v>
      </c>
      <c r="AB207" s="89" t="str">
        <f>Registro!Z207</f>
        <v>b) No</v>
      </c>
      <c r="AC207" s="89"/>
      <c r="AD207" s="94">
        <f t="shared" si="15"/>
        <v>0</v>
      </c>
      <c r="AE207" s="89" t="str">
        <f>Registro!AB207</f>
        <v>d) Desarrollarme personalmente</v>
      </c>
      <c r="AF207" s="89" t="str">
        <f>Registro!AC207</f>
        <v>b) Poco</v>
      </c>
      <c r="AG207" s="89" t="str">
        <f>Registro!AD207</f>
        <v>c) Las instalaciones del Colegio, h) Las actividades extraescolares</v>
      </c>
      <c r="AH207" s="94">
        <f t="shared" si="17"/>
        <v>2</v>
      </c>
      <c r="AI207" s="89" t="str">
        <f>Registro!AE207</f>
        <v>b) 3 a 4 horas</v>
      </c>
      <c r="AJ207" s="89" t="str">
        <f>Registro!AF207</f>
        <v>i) Leo revistas o libros, l) Escucho música y/o veo videos musicales, n) Estoy conversando con los amigos/as</v>
      </c>
      <c r="AK207" s="94">
        <f t="shared" si="18"/>
        <v>3</v>
      </c>
      <c r="AL207" s="89" t="str">
        <f>Registro!AG207</f>
        <v>c) Regular</v>
      </c>
      <c r="AM207" s="89" t="str">
        <f>Registro!AH207</f>
        <v>c) Regular</v>
      </c>
      <c r="AN207" s="89" t="str">
        <f>Registro!AI207</f>
        <v>c) Regular</v>
      </c>
      <c r="AO207" s="89" t="str">
        <f>Registro!AJ207</f>
        <v>c) Regular</v>
      </c>
      <c r="AP207" s="89" t="str">
        <f>Registro!AK207</f>
        <v>b) Buena</v>
      </c>
      <c r="AQ207" s="89" t="str">
        <f>Registro!AL207</f>
        <v>c) Regular</v>
      </c>
      <c r="AR207" s="89" t="str">
        <f>Registro!AM207</f>
        <v>a) Muy buena</v>
      </c>
      <c r="AS207" s="89" t="str">
        <f>Registro!AN207</f>
        <v>c) Regular</v>
      </c>
      <c r="AT207" s="89" t="str">
        <f>Registro!AO207</f>
        <v>b) Buena</v>
      </c>
      <c r="AU207" s="89" t="str">
        <f>Registro!AP207</f>
        <v>b) Buena</v>
      </c>
      <c r="AV207" s="89" t="str">
        <f>Registro!AQ207</f>
        <v>c) Regular</v>
      </c>
      <c r="AW207" s="89" t="str">
        <f>Registro!AR207</f>
        <v>e) La disciplina y el orden</v>
      </c>
      <c r="AX207" s="89" t="str">
        <f>Registro!AS207</f>
        <v>a) Que sea un buen profesional</v>
      </c>
      <c r="AY207" s="89" t="str">
        <f>Registro!AT207</f>
        <v>d) Bastante necesaria</v>
      </c>
      <c r="AZ207" s="89" t="str">
        <f>Registro!AU207</f>
        <v>a) No acostumbro a tomarlo nunca</v>
      </c>
      <c r="BA207" s="89" t="str">
        <f>Registro!AV207</f>
        <v>e) Educadores que se preocupan de nosotros</v>
      </c>
      <c r="BB207" s="89" t="str">
        <f>Registro!AW207</f>
        <v>b) Poco</v>
      </c>
      <c r="BC207" s="89" t="str">
        <f>Registro!AX207</f>
        <v>c) Son personas normales y corrientes</v>
      </c>
      <c r="BD207" s="89" t="str">
        <f>Registro!AY207</f>
        <v>b) Mi madre, g) Un amigo, h) Una amiga</v>
      </c>
    </row>
    <row r="208" spans="1:56" ht="15" customHeight="1" x14ac:dyDescent="0.25">
      <c r="A208" s="101">
        <f>Registro!A208</f>
        <v>42158.347349537034</v>
      </c>
      <c r="B208" s="89" t="str">
        <f>Registro!B208</f>
        <v>c) Obra Social San José de Calasanz de Valencia</v>
      </c>
      <c r="C208" s="89" t="str">
        <f>Registro!C208</f>
        <v>d) Quinto año</v>
      </c>
      <c r="D208" s="89" t="str">
        <f>Registro!D208</f>
        <v>b) Primaria</v>
      </c>
      <c r="E208" s="89" t="str">
        <f>Registro!E208</f>
        <v>a) Masculino</v>
      </c>
      <c r="F208" s="89" t="str">
        <f>Registro!F208</f>
        <v>a) Católica</v>
      </c>
      <c r="G208" s="89" t="str">
        <f>Registro!G208</f>
        <v>a) Mamá, b) Papá, c) Hermanos</v>
      </c>
      <c r="H208" s="89" t="str">
        <f>Registro!H208</f>
        <v>b) Casa Urbana</v>
      </c>
      <c r="I208" s="89" t="str">
        <f>Registro!I208</f>
        <v>a) Sí</v>
      </c>
      <c r="J208" s="89" t="str">
        <f>Registro!J208</f>
        <v>i) Computadora</v>
      </c>
      <c r="K208" s="89" t="str">
        <f>Registro!K208</f>
        <v>d) Tres</v>
      </c>
      <c r="L208" s="89"/>
      <c r="M208" s="94">
        <f t="shared" si="19"/>
        <v>0</v>
      </c>
      <c r="N208" s="89" t="str">
        <f>Registro!M208</f>
        <v>b) El futuro</v>
      </c>
      <c r="O208" s="89" t="str">
        <f>Registro!N208</f>
        <v>b) Suficiente</v>
      </c>
      <c r="P208" s="89" t="str">
        <f>Registro!O208</f>
        <v>a) Mucho</v>
      </c>
      <c r="Q208" s="89" t="str">
        <f>Registro!P208</f>
        <v>c) Poco</v>
      </c>
      <c r="R208" s="89"/>
      <c r="S208" s="94">
        <f t="shared" si="16"/>
        <v>0</v>
      </c>
      <c r="T208" s="89" t="str">
        <f>Registro!R208</f>
        <v>b) Suficiente</v>
      </c>
      <c r="U208" s="89" t="str">
        <f>Registro!S208</f>
        <v>b) La naturaleza, e) Los amigos, k) La oración</v>
      </c>
      <c r="V208" s="89" t="str">
        <f>Registro!T208</f>
        <v>c) Rezo solo en situación de dificultad</v>
      </c>
      <c r="W208" s="89" t="str">
        <f>Registro!U208</f>
        <v>d) Nunca</v>
      </c>
      <c r="X208" s="89" t="str">
        <f>Registro!V208</f>
        <v>i) Tengo en mi cuarto alguna imagen religiosa</v>
      </c>
      <c r="Y208" s="89" t="str">
        <f>Registro!W208</f>
        <v>d) No pertenezco a ninguno</v>
      </c>
      <c r="Z208" s="89" t="str">
        <f>Registro!X208</f>
        <v>d) No pertenezco a grupos juveniles cristianos</v>
      </c>
      <c r="AA208" s="89" t="str">
        <f>Registro!Y208</f>
        <v>b) No</v>
      </c>
      <c r="AB208" s="89" t="str">
        <f>Registro!Z208</f>
        <v>b) No</v>
      </c>
      <c r="AC208" s="89" t="str">
        <f>Registro!AA208</f>
        <v>a) Medicina</v>
      </c>
      <c r="AD208" s="94">
        <f t="shared" si="15"/>
        <v>1</v>
      </c>
      <c r="AE208" s="89" t="str">
        <f>Registro!AB208</f>
        <v>d) Desarrollarme personalmente</v>
      </c>
      <c r="AF208" s="89" t="str">
        <f>Registro!AC208</f>
        <v>c) Bastante</v>
      </c>
      <c r="AG208" s="89" t="str">
        <f>Registro!AD208</f>
        <v>i) No me gusta nada</v>
      </c>
      <c r="AH208" s="94">
        <f t="shared" si="17"/>
        <v>1</v>
      </c>
      <c r="AI208" s="89" t="str">
        <f>Registro!AE208</f>
        <v>c) 5 a 6 horas</v>
      </c>
      <c r="AJ208" s="89"/>
      <c r="AK208" s="94">
        <f t="shared" si="18"/>
        <v>0</v>
      </c>
      <c r="AL208" s="89" t="str">
        <f>Registro!AG208</f>
        <v>b) Bueno</v>
      </c>
      <c r="AM208" s="89" t="str">
        <f>Registro!AH208</f>
        <v>c) Regular</v>
      </c>
      <c r="AN208" s="89">
        <f>Registro!AI208</f>
        <v>0</v>
      </c>
      <c r="AO208" s="89" t="str">
        <f>Registro!AJ208</f>
        <v>b) Buena</v>
      </c>
      <c r="AP208" s="89" t="str">
        <f>Registro!AK208</f>
        <v>c) Regular</v>
      </c>
      <c r="AQ208" s="89" t="str">
        <f>Registro!AL208</f>
        <v>c) Regular</v>
      </c>
      <c r="AR208" s="89" t="str">
        <f>Registro!AM208</f>
        <v>c) Regular</v>
      </c>
      <c r="AS208" s="89" t="str">
        <f>Registro!AN208</f>
        <v>a) Muy buena</v>
      </c>
      <c r="AT208" s="89" t="str">
        <f>Registro!AO208</f>
        <v>b) Buena</v>
      </c>
      <c r="AU208" s="89" t="str">
        <f>Registro!AP208</f>
        <v>c) Regular</v>
      </c>
      <c r="AV208" s="89" t="str">
        <f>Registro!AQ208</f>
        <v>f) No aplica</v>
      </c>
      <c r="AW208" s="89" t="str">
        <f>Registro!AR208</f>
        <v>g) La orientación profesional futura</v>
      </c>
      <c r="AX208" s="89" t="str">
        <f>Registro!AS208</f>
        <v>a) Que sea un buen profesional</v>
      </c>
      <c r="AY208" s="89" t="str">
        <f>Registro!AT208</f>
        <v>c) Conveniente</v>
      </c>
      <c r="AZ208" s="89" t="str">
        <f>Registro!AU208</f>
        <v>a) No acostumbro a tomarlo nunca</v>
      </c>
      <c r="BA208" s="89" t="str">
        <f>Registro!AV208</f>
        <v>e) Educadores que se preocupan de nosotros</v>
      </c>
      <c r="BB208" s="89" t="str">
        <f>Registro!AW208</f>
        <v>c) Bastante</v>
      </c>
      <c r="BC208" s="89" t="str">
        <f>Registro!AX208</f>
        <v>d) Hay de todo tipo, pero predomina lo positivo</v>
      </c>
      <c r="BD208" s="89" t="str">
        <f>Registro!AY208</f>
        <v>a) Mi padre, b) Mi madre, h) Una amiga</v>
      </c>
    </row>
    <row r="209" spans="1:56" ht="15" customHeight="1" x14ac:dyDescent="0.25">
      <c r="A209" s="101">
        <f>Registro!A209</f>
        <v>42158.348773148151</v>
      </c>
      <c r="B209" s="89" t="str">
        <f>Registro!B209</f>
        <v>c) Obra Social San José de Calasanz de Valencia</v>
      </c>
      <c r="C209" s="89" t="str">
        <f>Registro!C209</f>
        <v>d) Quinto año</v>
      </c>
      <c r="D209" s="89" t="str">
        <f>Registro!D209</f>
        <v>c) Entre Primero y Tercer año</v>
      </c>
      <c r="E209" s="89" t="str">
        <f>Registro!E209</f>
        <v>b) Femenino</v>
      </c>
      <c r="F209" s="89" t="str">
        <f>Registro!F209</f>
        <v>d) Otra</v>
      </c>
      <c r="G209" s="89" t="str">
        <f>Registro!G209</f>
        <v>b) Papá, e) Otros familiares</v>
      </c>
      <c r="H209" s="89" t="str">
        <f>Registro!H209</f>
        <v>b) Casa Urbana</v>
      </c>
      <c r="I209" s="89" t="str">
        <f>Registro!I209</f>
        <v>d) No sé</v>
      </c>
      <c r="J209" s="89" t="str">
        <f>Registro!J209</f>
        <v>b) Lavadora, d) TV pantalla plana, i) Computadora, k) Aire acondicionado</v>
      </c>
      <c r="K209" s="89" t="str">
        <f>Registro!K209</f>
        <v>c) Dos</v>
      </c>
      <c r="L209" s="89" t="str">
        <f>Registro!L209</f>
        <v>a) La familia, b) Los amigos, j) El deporte</v>
      </c>
      <c r="M209" s="94">
        <f t="shared" si="19"/>
        <v>3</v>
      </c>
      <c r="N209" s="89" t="str">
        <f>Registro!M209</f>
        <v>h) Los amigos</v>
      </c>
      <c r="O209" s="89" t="str">
        <f>Registro!N209</f>
        <v>a) Mucho</v>
      </c>
      <c r="P209" s="89" t="str">
        <f>Registro!O209</f>
        <v>c) Poco</v>
      </c>
      <c r="Q209" s="89" t="str">
        <f>Registro!P209</f>
        <v>c) Poco</v>
      </c>
      <c r="R209" s="89" t="str">
        <f>Registro!Q209</f>
        <v>a) La familia, c) Los estudios, e) Disponer de dinero</v>
      </c>
      <c r="S209" s="94">
        <f t="shared" si="16"/>
        <v>3</v>
      </c>
      <c r="T209" s="89" t="str">
        <f>Registro!R209</f>
        <v>d) Nada</v>
      </c>
      <c r="U209" s="89">
        <f>Registro!S209</f>
        <v>0</v>
      </c>
      <c r="V209" s="89" t="str">
        <f>Registro!T209</f>
        <v>d) No rezo nunca</v>
      </c>
      <c r="W209" s="89" t="str">
        <f>Registro!U209</f>
        <v>d) Nunca</v>
      </c>
      <c r="X209" s="89">
        <f>Registro!V209</f>
        <v>0</v>
      </c>
      <c r="Y209" s="89" t="str">
        <f>Registro!W209</f>
        <v>a) Deportivo</v>
      </c>
      <c r="Z209" s="89" t="str">
        <f>Registro!X209</f>
        <v>d) No pertenezco a grupos juveniles cristianos</v>
      </c>
      <c r="AA209" s="89" t="str">
        <f>Registro!Y209</f>
        <v>b) No</v>
      </c>
      <c r="AB209" s="89" t="str">
        <f>Registro!Z209</f>
        <v>b) No</v>
      </c>
      <c r="AC209" s="89" t="str">
        <f>Registro!AA209</f>
        <v>e) Derecho, h) Ciencias políticas</v>
      </c>
      <c r="AD209" s="94">
        <f t="shared" si="15"/>
        <v>2</v>
      </c>
      <c r="AE209" s="89" t="str">
        <f>Registro!AB209</f>
        <v>d) Desarrollarme personalmente</v>
      </c>
      <c r="AF209" s="89" t="str">
        <f>Registro!AC209</f>
        <v>e) No sé</v>
      </c>
      <c r="AG209" s="89" t="str">
        <f>Registro!AD209</f>
        <v>a) Los deportes y diversiones, c) Las instalaciones del Colegio</v>
      </c>
      <c r="AH209" s="94">
        <f t="shared" si="17"/>
        <v>2</v>
      </c>
      <c r="AI209" s="89" t="str">
        <f>Registro!AE209</f>
        <v>a) 0 a 2 horas</v>
      </c>
      <c r="AJ209" s="89" t="str">
        <f>Registro!AF209</f>
        <v>b) Navego en Internet, d) Estoy la mayor parte del tiempo en la casa sin hacer nada, k) Practico algún deporte</v>
      </c>
      <c r="AK209" s="94">
        <f t="shared" si="18"/>
        <v>3</v>
      </c>
      <c r="AL209" s="89" t="str">
        <f>Registro!AG209</f>
        <v>b) Bueno</v>
      </c>
      <c r="AM209" s="89" t="str">
        <f>Registro!AH209</f>
        <v>c) Regular</v>
      </c>
      <c r="AN209" s="89" t="str">
        <f>Registro!AI209</f>
        <v>c) Regular</v>
      </c>
      <c r="AO209" s="89" t="str">
        <f>Registro!AJ209</f>
        <v>b) Buena</v>
      </c>
      <c r="AP209" s="89" t="str">
        <f>Registro!AK209</f>
        <v>c) Regular</v>
      </c>
      <c r="AQ209" s="89" t="str">
        <f>Registro!AL209</f>
        <v>b) Buena</v>
      </c>
      <c r="AR209" s="89" t="str">
        <f>Registro!AM209</f>
        <v>b) Buena</v>
      </c>
      <c r="AS209" s="89" t="str">
        <f>Registro!AN209</f>
        <v>f) No aplica</v>
      </c>
      <c r="AT209" s="89" t="str">
        <f>Registro!AO209</f>
        <v>b) Buena</v>
      </c>
      <c r="AU209" s="89" t="str">
        <f>Registro!AP209</f>
        <v>c) Regular</v>
      </c>
      <c r="AV209" s="89" t="str">
        <f>Registro!AQ209</f>
        <v>c) Regular</v>
      </c>
      <c r="AW209" s="89" t="str">
        <f>Registro!AR209</f>
        <v>e) La disciplina y el orden</v>
      </c>
      <c r="AX209" s="89" t="str">
        <f>Registro!AS209</f>
        <v>b) Darme una buena educación</v>
      </c>
      <c r="AY209" s="89" t="str">
        <f>Registro!AT209</f>
        <v>c) Conveniente</v>
      </c>
      <c r="AZ209" s="89" t="str">
        <f>Registro!AU209</f>
        <v>b) Las veces que bebo, es con moderación</v>
      </c>
      <c r="BA209" s="89" t="str">
        <f>Registro!AV209</f>
        <v>e) Educadores que se preocupan de nosotros</v>
      </c>
      <c r="BB209" s="89" t="str">
        <f>Registro!AW209</f>
        <v>b) Poco</v>
      </c>
      <c r="BC209" s="89" t="str">
        <f>Registro!AX209</f>
        <v>c) Son personas normales y corrientes</v>
      </c>
      <c r="BD209" s="89" t="str">
        <f>Registro!AY209</f>
        <v>a) Mi padre, b) Mi madre, g) Un amigo, h) Una amiga</v>
      </c>
    </row>
    <row r="210" spans="1:56" ht="15" customHeight="1" x14ac:dyDescent="0.25">
      <c r="A210" s="101">
        <f>Registro!A210</f>
        <v>42158.349895833337</v>
      </c>
      <c r="B210" s="89" t="str">
        <f>Registro!B210</f>
        <v>c) Obra Social San José de Calasanz de Valencia</v>
      </c>
      <c r="C210" s="89" t="str">
        <f>Registro!C210</f>
        <v>d) Quinto año</v>
      </c>
      <c r="D210" s="89" t="str">
        <f>Registro!D210</f>
        <v>a) Educación Inicial</v>
      </c>
      <c r="E210" s="89" t="str">
        <f>Registro!E210</f>
        <v>a) Masculino</v>
      </c>
      <c r="F210" s="89" t="str">
        <f>Registro!F210</f>
        <v>a) Católica</v>
      </c>
      <c r="G210" s="89" t="str">
        <f>Registro!G210</f>
        <v>a) Mamá, c) Hermanos, e) Otros familiares</v>
      </c>
      <c r="H210" s="89" t="str">
        <f>Registro!H210</f>
        <v>b) Casa Urbana</v>
      </c>
      <c r="I210" s="89" t="str">
        <f>Registro!I210</f>
        <v>a) Sí</v>
      </c>
      <c r="J210" s="89" t="str">
        <f>Registro!J210</f>
        <v>b) Lavadora, i) Computadora, j) Cámara digital, k) Aire acondicionado</v>
      </c>
      <c r="K210" s="89" t="str">
        <f>Registro!K210</f>
        <v>b) Una</v>
      </c>
      <c r="L210" s="89" t="str">
        <f>Registro!L210</f>
        <v>a) La familia, c) Los estudios, e) Disponer de dinero</v>
      </c>
      <c r="M210" s="94">
        <f t="shared" si="19"/>
        <v>3</v>
      </c>
      <c r="N210" s="89" t="str">
        <f>Registro!M210</f>
        <v>b) El futuro</v>
      </c>
      <c r="O210" s="89" t="str">
        <f>Registro!N210</f>
        <v>c) Poco</v>
      </c>
      <c r="P210" s="89" t="str">
        <f>Registro!O210</f>
        <v>c) Poco</v>
      </c>
      <c r="Q210" s="89" t="str">
        <f>Registro!P210</f>
        <v>c) Poco</v>
      </c>
      <c r="R210" s="89" t="str">
        <f>Registro!Q210</f>
        <v>a) La familia, b) Los amigos, c) Los estudios</v>
      </c>
      <c r="S210" s="94">
        <f t="shared" si="16"/>
        <v>3</v>
      </c>
      <c r="T210" s="89" t="str">
        <f>Registro!R210</f>
        <v>a) Mucho</v>
      </c>
      <c r="U210" s="89" t="str">
        <f>Registro!S210</f>
        <v>a) La Iglesia, b) La naturaleza, d) Las convivencias, h) Algunas personas cercanas a Dios, i) Los necesitados, k) La oración, l) Los sacramentos</v>
      </c>
      <c r="V210" s="89" t="str">
        <f>Registro!T210</f>
        <v>a) Suelo rezar por convicción o porque me gusta</v>
      </c>
      <c r="W210" s="89" t="str">
        <f>Registro!U210</f>
        <v>c) Solo en fechas especiales</v>
      </c>
      <c r="X210" s="89" t="str">
        <f>Registro!V210</f>
        <v>c) Suelo ir los domingos y otras fechas especiales a la Iglesia, e) Voy a misa en las fechas de mis familiares difuntos, f) En alguna ocasión he rezado el rosario, i) Tengo en mi cuarto alguna imagen religiosa</v>
      </c>
      <c r="Y210" s="89" t="str">
        <f>Registro!W210</f>
        <v>d) No pertenezco a ninguno</v>
      </c>
      <c r="Z210" s="89" t="str">
        <f>Registro!X210</f>
        <v>a) Un grupo donde profundizo mi fe</v>
      </c>
      <c r="AA210" s="89" t="str">
        <f>Registro!Y210</f>
        <v>b) No</v>
      </c>
      <c r="AB210" s="89" t="str">
        <f>Registro!Z210</f>
        <v>b) No</v>
      </c>
      <c r="AC210" s="89" t="str">
        <f>Registro!AA210</f>
        <v>e) Derecho, f) Ciencias policiales o artes militares</v>
      </c>
      <c r="AD210" s="94">
        <f t="shared" si="15"/>
        <v>2</v>
      </c>
      <c r="AE210" s="89" t="str">
        <f>Registro!AB210</f>
        <v>b) Tener una buena posición social, ser importante</v>
      </c>
      <c r="AF210" s="89" t="str">
        <f>Registro!AC210</f>
        <v>c) Bastante</v>
      </c>
      <c r="AG210" s="89" t="str">
        <f>Registro!AD210</f>
        <v>c) Las instalaciones del Colegio, h) Las actividades extraescolares</v>
      </c>
      <c r="AH210" s="94">
        <f t="shared" si="17"/>
        <v>2</v>
      </c>
      <c r="AI210" s="89" t="str">
        <f>Registro!AE210</f>
        <v>a) 0 a 2 horas</v>
      </c>
      <c r="AJ210" s="89" t="str">
        <f>Registro!AF210</f>
        <v>h) Suelo ir al cine, i) Leo revistas o libros, l) Escucho música y/o veo videos musicales</v>
      </c>
      <c r="AK210" s="94">
        <f t="shared" si="18"/>
        <v>3</v>
      </c>
      <c r="AL210" s="89" t="str">
        <f>Registro!AG210</f>
        <v>c) Regular</v>
      </c>
      <c r="AM210" s="89" t="str">
        <f>Registro!AH210</f>
        <v>b) Buena</v>
      </c>
      <c r="AN210" s="89" t="str">
        <f>Registro!AI210</f>
        <v>b) Buena</v>
      </c>
      <c r="AO210" s="89" t="str">
        <f>Registro!AJ210</f>
        <v>b) Buena</v>
      </c>
      <c r="AP210" s="89" t="str">
        <f>Registro!AK210</f>
        <v>c) Regular</v>
      </c>
      <c r="AQ210" s="89" t="str">
        <f>Registro!AL210</f>
        <v>b) Buena</v>
      </c>
      <c r="AR210" s="89" t="str">
        <f>Registro!AM210</f>
        <v>c) Regular</v>
      </c>
      <c r="AS210" s="89" t="str">
        <f>Registro!AN210</f>
        <v>b) Buena</v>
      </c>
      <c r="AT210" s="89" t="str">
        <f>Registro!AO210</f>
        <v>b) Buena</v>
      </c>
      <c r="AU210" s="89" t="str">
        <f>Registro!AP210</f>
        <v>b) Buena</v>
      </c>
      <c r="AV210" s="89" t="str">
        <f>Registro!AQ210</f>
        <v>c) Regular</v>
      </c>
      <c r="AW210" s="89" t="str">
        <f>Registro!AR210</f>
        <v>c) El estudio</v>
      </c>
      <c r="AX210" s="89" t="str">
        <f>Registro!AS210</f>
        <v>a) Que sea un buen profesional</v>
      </c>
      <c r="AY210" s="89" t="str">
        <f>Registro!AT210</f>
        <v>e) Absolutamente necesaria</v>
      </c>
      <c r="AZ210" s="89" t="str">
        <f>Registro!AU210</f>
        <v>b) Las veces que bebo, es con moderación</v>
      </c>
      <c r="BA210" s="89" t="str">
        <f>Registro!AV210</f>
        <v>a) Personas a las que tengo que aguantar</v>
      </c>
      <c r="BB210" s="89" t="str">
        <f>Registro!AW210</f>
        <v>c) Bastante</v>
      </c>
      <c r="BC210" s="89" t="str">
        <f>Registro!AX210</f>
        <v>d) Hay de todo tipo, pero predomina lo positivo</v>
      </c>
      <c r="BD210" s="89" t="str">
        <f>Registro!AY210</f>
        <v>b) Mi madre, c) Un hermano/a, e) Un, una docente, f) La orientadora, h) Una amiga</v>
      </c>
    </row>
    <row r="211" spans="1:56" ht="15" customHeight="1" x14ac:dyDescent="0.25">
      <c r="A211" s="101">
        <f>Registro!A211</f>
        <v>42158.351817129631</v>
      </c>
      <c r="B211" s="89" t="str">
        <f>Registro!B211</f>
        <v>c) Obra Social San José de Calasanz de Valencia</v>
      </c>
      <c r="C211" s="89" t="str">
        <f>Registro!C211</f>
        <v>d) Quinto año</v>
      </c>
      <c r="D211" s="89" t="str">
        <f>Registro!D211</f>
        <v>b) Primaria</v>
      </c>
      <c r="E211" s="89" t="str">
        <f>Registro!E211</f>
        <v>a) Masculino</v>
      </c>
      <c r="F211" s="89" t="str">
        <f>Registro!F211</f>
        <v>a) Católica</v>
      </c>
      <c r="G211" s="89" t="str">
        <f>Registro!G211</f>
        <v>a) Mamá, b) Papá, c) Hermanos, d) Abuelos</v>
      </c>
      <c r="H211" s="89" t="str">
        <f>Registro!H211</f>
        <v>b) Casa Urbana</v>
      </c>
      <c r="I211" s="89" t="str">
        <f>Registro!I211</f>
        <v>a) Sí</v>
      </c>
      <c r="J211" s="89" t="str">
        <f>Registro!J211</f>
        <v>a) Cónsola videojuegos, b) Lavadora, c) Microondas, d) TV pantalla plana, e) Moto, f) MP3, g) MP4, h) Carro, i) Computadora, j) Cámara digital, k) Aire acondicionado</v>
      </c>
      <c r="K211" s="89" t="str">
        <f>Registro!K211</f>
        <v>b) Una</v>
      </c>
      <c r="L211" s="89" t="str">
        <f>Registro!L211</f>
        <v>a) La familia</v>
      </c>
      <c r="M211" s="94">
        <f t="shared" si="19"/>
        <v>1</v>
      </c>
      <c r="N211" s="89" t="str">
        <f>Registro!M211</f>
        <v>b) El futuro</v>
      </c>
      <c r="O211" s="89" t="str">
        <f>Registro!N211</f>
        <v>b) Suficiente</v>
      </c>
      <c r="P211" s="89" t="str">
        <f>Registro!O211</f>
        <v>b) Suficiente</v>
      </c>
      <c r="Q211" s="89" t="str">
        <f>Registro!P211</f>
        <v>b) Suficiente</v>
      </c>
      <c r="R211" s="89" t="str">
        <f>Registro!Q211</f>
        <v>a) La familia, c) Los estudios</v>
      </c>
      <c r="S211" s="94">
        <f t="shared" si="16"/>
        <v>2</v>
      </c>
      <c r="T211" s="89" t="str">
        <f>Registro!R211</f>
        <v>a) Mucho</v>
      </c>
      <c r="U211" s="89" t="str">
        <f>Registro!S211</f>
        <v>a) La Iglesia, g) Mi familia, k) La oración</v>
      </c>
      <c r="V211" s="89" t="str">
        <f>Registro!T211</f>
        <v>c) Rezo solo en situación de dificultad</v>
      </c>
      <c r="W211" s="89" t="str">
        <f>Registro!U211</f>
        <v>c) Solo en fechas especiales</v>
      </c>
      <c r="X211" s="89" t="str">
        <f>Registro!V211</f>
        <v>i) Tengo en mi cuarto alguna imagen religiosa</v>
      </c>
      <c r="Y211" s="89" t="str">
        <f>Registro!W211</f>
        <v>a) Deportivo</v>
      </c>
      <c r="Z211" s="89" t="str">
        <f>Registro!X211</f>
        <v>b) Un lugar donde comparto con mis compañeros</v>
      </c>
      <c r="AA211" s="89" t="str">
        <f>Registro!Y211</f>
        <v>b) No</v>
      </c>
      <c r="AB211" s="89" t="str">
        <f>Registro!Z211</f>
        <v>b) No</v>
      </c>
      <c r="AC211" s="89"/>
      <c r="AD211" s="94">
        <f t="shared" si="15"/>
        <v>0</v>
      </c>
      <c r="AE211" s="89" t="str">
        <f>Registro!AB211</f>
        <v>a) Ganar mucho dinero</v>
      </c>
      <c r="AF211" s="89" t="str">
        <f>Registro!AC211</f>
        <v>c) Bastante</v>
      </c>
      <c r="AG211" s="89" t="str">
        <f>Registro!AD211</f>
        <v>b) El ambiente de estudio y de trabajo</v>
      </c>
      <c r="AH211" s="94">
        <f t="shared" si="17"/>
        <v>1</v>
      </c>
      <c r="AI211" s="89" t="str">
        <f>Registro!AE211</f>
        <v>a) 0 a 2 horas</v>
      </c>
      <c r="AJ211" s="89" t="str">
        <f>Registro!AF211</f>
        <v>b) Navego en Internet, n) Estoy conversando con los amigos/as</v>
      </c>
      <c r="AK211" s="94">
        <f t="shared" si="18"/>
        <v>2</v>
      </c>
      <c r="AL211" s="89">
        <f>Registro!AG211</f>
        <v>0</v>
      </c>
      <c r="AM211" s="89" t="str">
        <f>Registro!AH211</f>
        <v>c) Regular</v>
      </c>
      <c r="AN211" s="89" t="str">
        <f>Registro!AI211</f>
        <v>b) Buena</v>
      </c>
      <c r="AO211" s="89" t="str">
        <f>Registro!AJ211</f>
        <v>b) Buena</v>
      </c>
      <c r="AP211" s="89" t="str">
        <f>Registro!AK211</f>
        <v>b) Buena</v>
      </c>
      <c r="AQ211" s="89" t="str">
        <f>Registro!AL211</f>
        <v>b) Buena</v>
      </c>
      <c r="AR211" s="89" t="str">
        <f>Registro!AM211</f>
        <v>c) Regular</v>
      </c>
      <c r="AS211" s="89" t="str">
        <f>Registro!AN211</f>
        <v>b) Buena</v>
      </c>
      <c r="AT211" s="89" t="str">
        <f>Registro!AO211</f>
        <v>b) Buena</v>
      </c>
      <c r="AU211" s="89" t="str">
        <f>Registro!AP211</f>
        <v>b) Buena</v>
      </c>
      <c r="AV211" s="89" t="str">
        <f>Registro!AQ211</f>
        <v>b) Buena</v>
      </c>
      <c r="AW211" s="89" t="str">
        <f>Registro!AR211</f>
        <v>c) El estudio</v>
      </c>
      <c r="AX211" s="89" t="str">
        <f>Registro!AS211</f>
        <v>a) Que sea un buen profesional</v>
      </c>
      <c r="AY211" s="89" t="str">
        <f>Registro!AT211</f>
        <v>d) Bastante necesaria</v>
      </c>
      <c r="AZ211" s="89" t="str">
        <f>Registro!AU211</f>
        <v>d) Con frecuencia (fines de semana u otros momentos) suelo beber más de la cuenta</v>
      </c>
      <c r="BA211" s="89" t="str">
        <f>Registro!AV211</f>
        <v>a) Personas a las que tengo que aguantar</v>
      </c>
      <c r="BB211" s="89">
        <f>Registro!AW211</f>
        <v>0</v>
      </c>
      <c r="BC211" s="89">
        <f>Registro!AX211</f>
        <v>0</v>
      </c>
      <c r="BD211" s="89" t="str">
        <f>Registro!AY211</f>
        <v>d) Un escolapio, religioso o religiosa</v>
      </c>
    </row>
    <row r="212" spans="1:56" ht="15" customHeight="1" x14ac:dyDescent="0.25">
      <c r="A212" s="101">
        <f>Registro!A212</f>
        <v>42158.352199074077</v>
      </c>
      <c r="B212" s="89" t="str">
        <f>Registro!B212</f>
        <v>c) Obra Social San José de Calasanz de Valencia</v>
      </c>
      <c r="C212" s="89" t="str">
        <f>Registro!C212</f>
        <v>d) Quinto año</v>
      </c>
      <c r="D212" s="89" t="str">
        <f>Registro!D212</f>
        <v>c) Entre Primero y Tercer año</v>
      </c>
      <c r="E212" s="89" t="str">
        <f>Registro!E212</f>
        <v>b) Femenino</v>
      </c>
      <c r="F212" s="89" t="str">
        <f>Registro!F212</f>
        <v>a) Católica</v>
      </c>
      <c r="G212" s="89" t="str">
        <f>Registro!G212</f>
        <v>c) Hermanos, d) Abuelos, e) Otros familiares</v>
      </c>
      <c r="H212" s="89" t="str">
        <f>Registro!H212</f>
        <v>b) Casa Urbana</v>
      </c>
      <c r="I212" s="89" t="str">
        <f>Registro!I212</f>
        <v>a) Sí</v>
      </c>
      <c r="J212" s="89" t="str">
        <f>Registro!J212</f>
        <v>b) Lavadora, d) TV pantalla plana, i) Computadora, k) Aire acondicionado</v>
      </c>
      <c r="K212" s="89" t="str">
        <f>Registro!K212</f>
        <v>c) Dos</v>
      </c>
      <c r="L212" s="89"/>
      <c r="M212" s="94">
        <f t="shared" si="19"/>
        <v>0</v>
      </c>
      <c r="N212" s="89" t="str">
        <f>Registro!M212</f>
        <v>f) La situación política del país</v>
      </c>
      <c r="O212" s="89" t="str">
        <f>Registro!N212</f>
        <v>a) Mucho</v>
      </c>
      <c r="P212" s="89" t="str">
        <f>Registro!O212</f>
        <v>b) Suficiente</v>
      </c>
      <c r="Q212" s="89" t="str">
        <f>Registro!P212</f>
        <v>a) Mucho</v>
      </c>
      <c r="R212" s="89"/>
      <c r="S212" s="94">
        <f t="shared" si="16"/>
        <v>0</v>
      </c>
      <c r="T212" s="89" t="str">
        <f>Registro!R212</f>
        <v>a) Mucho</v>
      </c>
      <c r="U212" s="89" t="str">
        <f>Registro!S212</f>
        <v>a) La Iglesia, b) La naturaleza, c) El salón de clase, d) Las convivencias, e) Los amigos, f) Todas las personas, g) Mi familia, h) Algunas personas cercanas a Dios, i) Los necesitados, j) Todas partes, k) La oración, l) Los sacramentos</v>
      </c>
      <c r="V212" s="89" t="str">
        <f>Registro!T212</f>
        <v>a) Suelo rezar por convicción o porque me gusta</v>
      </c>
      <c r="W212" s="89" t="str">
        <f>Registro!U212</f>
        <v>c) Solo en fechas especiales</v>
      </c>
      <c r="X212" s="89" t="str">
        <f>Registro!V212</f>
        <v>e) Voy a misa en las fechas de mis familiares difuntos, f) En alguna ocasión he rezado el rosario, i) Tengo en mi cuarto alguna imagen religiosa</v>
      </c>
      <c r="Y212" s="89" t="str">
        <f>Registro!W212</f>
        <v>d) No pertenezco a ninguno</v>
      </c>
      <c r="Z212" s="89" t="str">
        <f>Registro!X212</f>
        <v>a) Un grupo donde profundizo mi fe</v>
      </c>
      <c r="AA212" s="89" t="str">
        <f>Registro!Y212</f>
        <v>c) Algo</v>
      </c>
      <c r="AB212" s="89" t="str">
        <f>Registro!Z212</f>
        <v>b) No</v>
      </c>
      <c r="AC212" s="89"/>
      <c r="AD212" s="94">
        <f t="shared" si="15"/>
        <v>0</v>
      </c>
      <c r="AE212" s="89" t="str">
        <f>Registro!AB212</f>
        <v>c) Ser un excelente profesional</v>
      </c>
      <c r="AF212" s="89" t="str">
        <f>Registro!AC212</f>
        <v>c) Bastante</v>
      </c>
      <c r="AG212" s="89"/>
      <c r="AH212" s="94">
        <f t="shared" si="17"/>
        <v>0</v>
      </c>
      <c r="AI212" s="89" t="str">
        <f>Registro!AE212</f>
        <v>a) 0 a 2 horas</v>
      </c>
      <c r="AJ212" s="89"/>
      <c r="AK212" s="94">
        <f t="shared" si="18"/>
        <v>0</v>
      </c>
      <c r="AL212" s="89" t="str">
        <f>Registro!AG212</f>
        <v>b) Bueno</v>
      </c>
      <c r="AM212" s="89" t="str">
        <f>Registro!AH212</f>
        <v>b) Buena</v>
      </c>
      <c r="AN212" s="89" t="str">
        <f>Registro!AI212</f>
        <v>b) Buena</v>
      </c>
      <c r="AO212" s="89" t="str">
        <f>Registro!AJ212</f>
        <v>b) Buena</v>
      </c>
      <c r="AP212" s="89" t="str">
        <f>Registro!AK212</f>
        <v>f) No aplica</v>
      </c>
      <c r="AQ212" s="89" t="str">
        <f>Registro!AL212</f>
        <v>b) Buena</v>
      </c>
      <c r="AR212" s="89" t="str">
        <f>Registro!AM212</f>
        <v>c) Regular</v>
      </c>
      <c r="AS212" s="89" t="str">
        <f>Registro!AN212</f>
        <v>b) Buena</v>
      </c>
      <c r="AT212" s="89" t="str">
        <f>Registro!AO212</f>
        <v>a) Muy buena</v>
      </c>
      <c r="AU212" s="89" t="str">
        <f>Registro!AP212</f>
        <v>b) Buena</v>
      </c>
      <c r="AV212" s="89" t="str">
        <f>Registro!AQ212</f>
        <v>c) Regular</v>
      </c>
      <c r="AW212" s="89" t="str">
        <f>Registro!AR212</f>
        <v>g) La orientación profesional futura</v>
      </c>
      <c r="AX212" s="89" t="str">
        <f>Registro!AS212</f>
        <v>b) Darme una buena educación</v>
      </c>
      <c r="AY212" s="89" t="str">
        <f>Registro!AT212</f>
        <v>e) Absolutamente necesaria</v>
      </c>
      <c r="AZ212" s="89" t="str">
        <f>Registro!AU212</f>
        <v>b) Las veces que bebo, es con moderación</v>
      </c>
      <c r="BA212" s="89" t="str">
        <f>Registro!AV212</f>
        <v>e) Educadores que se preocupan de nosotros</v>
      </c>
      <c r="BB212" s="89" t="str">
        <f>Registro!AW212</f>
        <v>c) Bastante</v>
      </c>
      <c r="BC212" s="89" t="str">
        <f>Registro!AX212</f>
        <v>c) Son personas normales y corrientes</v>
      </c>
      <c r="BD212" s="89" t="str">
        <f>Registro!AY212</f>
        <v>b) Mi madre, g) Un amigo</v>
      </c>
    </row>
    <row r="213" spans="1:56" ht="15" customHeight="1" x14ac:dyDescent="0.25">
      <c r="A213" s="101">
        <f>Registro!A213</f>
        <v>42158.35224537037</v>
      </c>
      <c r="B213" s="89" t="str">
        <f>Registro!B213</f>
        <v>c) Obra Social San José de Calasanz de Valencia</v>
      </c>
      <c r="C213" s="89" t="str">
        <f>Registro!C213</f>
        <v>d) Quinto año</v>
      </c>
      <c r="D213" s="89" t="str">
        <f>Registro!D213</f>
        <v>d) En Cuarto año o posterior</v>
      </c>
      <c r="E213" s="89" t="str">
        <f>Registro!E213</f>
        <v>a) Masculino</v>
      </c>
      <c r="F213" s="89" t="str">
        <f>Registro!F213</f>
        <v>a) Católica</v>
      </c>
      <c r="G213" s="89" t="str">
        <f>Registro!G213</f>
        <v>a) Mamá, c) Hermanos</v>
      </c>
      <c r="H213" s="89" t="str">
        <f>Registro!H213</f>
        <v>b) Casa Urbana</v>
      </c>
      <c r="I213" s="89" t="str">
        <f>Registro!I213</f>
        <v>a) Sí</v>
      </c>
      <c r="J213" s="89" t="str">
        <f>Registro!J213</f>
        <v>a) Cónsola videojuegos, b) Lavadora, c) Microondas, d) TV pantalla plana, e) Moto, f) MP3, g) MP4, h) Carro, i) Computadora, j) Cámara digital, k) Aire acondicionado</v>
      </c>
      <c r="K213" s="89" t="str">
        <f>Registro!K213</f>
        <v>e) Cuatro</v>
      </c>
      <c r="L213" s="89"/>
      <c r="M213" s="94">
        <f t="shared" si="19"/>
        <v>0</v>
      </c>
      <c r="N213" s="89" t="str">
        <f>Registro!M213</f>
        <v>g) Mis estudios</v>
      </c>
      <c r="O213" s="89" t="str">
        <f>Registro!N213</f>
        <v>c) Poco</v>
      </c>
      <c r="P213" s="89" t="str">
        <f>Registro!O213</f>
        <v>d) Nada</v>
      </c>
      <c r="Q213" s="89" t="str">
        <f>Registro!P213</f>
        <v>c) Poco</v>
      </c>
      <c r="R213" s="89"/>
      <c r="S213" s="94">
        <f t="shared" si="16"/>
        <v>0</v>
      </c>
      <c r="T213" s="89" t="str">
        <f>Registro!R213</f>
        <v>a) Mucho</v>
      </c>
      <c r="U213" s="89" t="str">
        <f>Registro!S213</f>
        <v>b) La naturaleza, d) Las convivencias, g) Mi familia</v>
      </c>
      <c r="V213" s="89" t="str">
        <f>Registro!T213</f>
        <v>d) No rezo nunca</v>
      </c>
      <c r="W213" s="89" t="str">
        <f>Registro!U213</f>
        <v>c) Solo en fechas especiales</v>
      </c>
      <c r="X213" s="89">
        <f>Registro!V213</f>
        <v>0</v>
      </c>
      <c r="Y213" s="89" t="str">
        <f>Registro!W213</f>
        <v>a) Deportivo</v>
      </c>
      <c r="Z213" s="89" t="str">
        <f>Registro!X213</f>
        <v>b) Un lugar donde comparto con mis compañeros</v>
      </c>
      <c r="AA213" s="89" t="str">
        <f>Registro!Y213</f>
        <v>b) No</v>
      </c>
      <c r="AB213" s="89" t="str">
        <f>Registro!Z213</f>
        <v>b) No</v>
      </c>
      <c r="AC213" s="89" t="str">
        <f>Registro!AA213</f>
        <v>d) Ingeniería, i) Comerciante</v>
      </c>
      <c r="AD213" s="94">
        <f t="shared" si="15"/>
        <v>2</v>
      </c>
      <c r="AE213" s="89" t="str">
        <f>Registro!AB213</f>
        <v>b) Tener una buena posición social, ser importante</v>
      </c>
      <c r="AF213" s="89" t="str">
        <f>Registro!AC213</f>
        <v>d) Mucho o muchísimo</v>
      </c>
      <c r="AG213" s="89" t="str">
        <f>Registro!AD213</f>
        <v>a) Los deportes y diversiones, c) Las instalaciones del Colegio</v>
      </c>
      <c r="AH213" s="94">
        <f t="shared" si="17"/>
        <v>2</v>
      </c>
      <c r="AI213" s="89" t="str">
        <f>Registro!AE213</f>
        <v>a) 0 a 2 horas</v>
      </c>
      <c r="AJ213" s="89"/>
      <c r="AK213" s="94">
        <f t="shared" si="18"/>
        <v>0</v>
      </c>
      <c r="AL213" s="89" t="str">
        <f>Registro!AG213</f>
        <v>b) Bueno</v>
      </c>
      <c r="AM213" s="89" t="str">
        <f>Registro!AH213</f>
        <v>b) Buena</v>
      </c>
      <c r="AN213" s="89" t="str">
        <f>Registro!AI213</f>
        <v>b) Buena</v>
      </c>
      <c r="AO213" s="89" t="str">
        <f>Registro!AJ213</f>
        <v>b) Buena</v>
      </c>
      <c r="AP213" s="89" t="str">
        <f>Registro!AK213</f>
        <v>b) Buena</v>
      </c>
      <c r="AQ213" s="89" t="str">
        <f>Registro!AL213</f>
        <v>c) Regular</v>
      </c>
      <c r="AR213" s="89" t="str">
        <f>Registro!AM213</f>
        <v>b) Buena</v>
      </c>
      <c r="AS213" s="89" t="str">
        <f>Registro!AN213</f>
        <v>b) Buena</v>
      </c>
      <c r="AT213" s="89" t="str">
        <f>Registro!AO213</f>
        <v>a) Muy buena</v>
      </c>
      <c r="AU213" s="89" t="str">
        <f>Registro!AP213</f>
        <v>b) Buena</v>
      </c>
      <c r="AV213" s="89" t="str">
        <f>Registro!AQ213</f>
        <v>a) Muy buena</v>
      </c>
      <c r="AW213" s="89" t="str">
        <f>Registro!AR213</f>
        <v>e) La disciplina y el orden</v>
      </c>
      <c r="AX213" s="89" t="str">
        <f>Registro!AS213</f>
        <v>a) Que sea un buen profesional</v>
      </c>
      <c r="AY213" s="89" t="str">
        <f>Registro!AT213</f>
        <v>e) Absolutamente necesaria</v>
      </c>
      <c r="AZ213" s="89" t="str">
        <f>Registro!AU213</f>
        <v>d) Con frecuencia (fines de semana u otros momentos) suelo beber más de la cuenta</v>
      </c>
      <c r="BA213" s="89" t="str">
        <f>Registro!AV213</f>
        <v>a) Personas a las que tengo que aguantar</v>
      </c>
      <c r="BB213" s="89" t="str">
        <f>Registro!AW213</f>
        <v>b) Poco</v>
      </c>
      <c r="BC213" s="89" t="str">
        <f>Registro!AX213</f>
        <v>e) Son personas que me gustan y admiro</v>
      </c>
      <c r="BD213" s="89" t="str">
        <f>Registro!AY213</f>
        <v>b) Mi madre</v>
      </c>
    </row>
    <row r="214" spans="1:56" ht="15" customHeight="1" x14ac:dyDescent="0.25">
      <c r="A214" s="101">
        <f>Registro!A214</f>
        <v>42158.352592592593</v>
      </c>
      <c r="B214" s="89" t="str">
        <f>Registro!B214</f>
        <v>c) Obra Social San José de Calasanz de Valencia</v>
      </c>
      <c r="C214" s="89" t="str">
        <f>Registro!C214</f>
        <v>d) Quinto año</v>
      </c>
      <c r="D214" s="89" t="str">
        <f>Registro!D214</f>
        <v>b) Primaria</v>
      </c>
      <c r="E214" s="89" t="str">
        <f>Registro!E214</f>
        <v>a) Masculino</v>
      </c>
      <c r="F214" s="89" t="str">
        <f>Registro!F214</f>
        <v>a) Católica</v>
      </c>
      <c r="G214" s="89" t="str">
        <f>Registro!G214</f>
        <v>a) Mamá, b) Papá, c) Hermanos, e) Otros familiares</v>
      </c>
      <c r="H214" s="89" t="str">
        <f>Registro!H214</f>
        <v>b) Casa Urbana</v>
      </c>
      <c r="I214" s="89" t="str">
        <f>Registro!I214</f>
        <v>a) Sí</v>
      </c>
      <c r="J214" s="89" t="str">
        <f>Registro!J214</f>
        <v>a) Cónsola videojuegos, b) Lavadora, c) Microondas, d) TV pantalla plana, f) MP3, h) Carro, i) Computadora, j) Cámara digital, k) Aire acondicionado</v>
      </c>
      <c r="K214" s="89" t="str">
        <f>Registro!K214</f>
        <v>d) Tres</v>
      </c>
      <c r="L214" s="89" t="str">
        <f>Registro!L214</f>
        <v>a) La familia, b) Los amigos, i) La música</v>
      </c>
      <c r="M214" s="94">
        <f t="shared" ref="M214:M277" si="20">COUNTIF(L214,"*a)*")+COUNTIF(L214,"*b)*")+COUNTIF(L214,"*c)*")+COUNTIF(L214,"*d)*")+COUNTIF(L214,"*e)*")+COUNTIF(L214,"*f)*")+COUNTIF(L214,"*g)*")+COUNTIF(L214,"*h)*")+COUNTIF(L214,"*i)*")+COUNTIF(L214,"*j)*")+COUNTIF(L214,"*k)*")+COUNTIF(L214,"*l)*")+COUNTIF(L214,"*m)*")+COUNTIF(L214,"*n)*")+COUNTIF(L214,"*o)*")+COUNTIF(L214,"*p)*")</f>
        <v>3</v>
      </c>
      <c r="N214" s="89" t="str">
        <f>Registro!M214</f>
        <v>f) La situación política del país</v>
      </c>
      <c r="O214" s="89" t="str">
        <f>Registro!N214</f>
        <v>b) Suficiente</v>
      </c>
      <c r="P214" s="89" t="str">
        <f>Registro!O214</f>
        <v>c) Poco</v>
      </c>
      <c r="Q214" s="89" t="str">
        <f>Registro!P214</f>
        <v>c) Poco</v>
      </c>
      <c r="R214" s="89" t="str">
        <f>Registro!Q214</f>
        <v>a) La familia, c) Los estudios, g) La felicidad</v>
      </c>
      <c r="S214" s="94">
        <f t="shared" ref="S214:S277" si="21">COUNTIF(R214,"*a)*")+COUNTIF(R214,"*b)*")+COUNTIF(R214,"*c)*")+COUNTIF(R214,"*d)*")+COUNTIF(R214,"*e)*")+COUNTIF(R214,"*f)*")+COUNTIF(R214,"*g)*")+COUNTIF(R214,"*h)*")+COUNTIF(R214,"*i)*")+COUNTIF(R214,"*j)*")+COUNTIF(R214,"*k)*")+COUNTIF(R214,"*l)*")+COUNTIF(R214,"*m)*")+COUNTIF(R214,"*n)*")+COUNTIF(R214,"*o)*")+COUNTIF(R214,"*p)*")</f>
        <v>3</v>
      </c>
      <c r="T214" s="89" t="str">
        <f>Registro!R214</f>
        <v>b) Suficiente</v>
      </c>
      <c r="U214" s="89" t="str">
        <f>Registro!S214</f>
        <v>a) La Iglesia, k) La oración</v>
      </c>
      <c r="V214" s="89" t="str">
        <f>Registro!T214</f>
        <v>b) Rezo por costumbre</v>
      </c>
      <c r="W214" s="89" t="str">
        <f>Registro!U214</f>
        <v>d) Nunca</v>
      </c>
      <c r="X214" s="89" t="str">
        <f>Registro!V214</f>
        <v>f) En alguna ocasión he rezado el rosario</v>
      </c>
      <c r="Y214" s="89" t="str">
        <f>Registro!W214</f>
        <v>a) Deportivo</v>
      </c>
      <c r="Z214" s="89" t="str">
        <f>Registro!X214</f>
        <v>b) Un lugar donde comparto con mis compañeros</v>
      </c>
      <c r="AA214" s="89" t="str">
        <f>Registro!Y214</f>
        <v>b) No</v>
      </c>
      <c r="AB214" s="89" t="str">
        <f>Registro!Z214</f>
        <v>b) No</v>
      </c>
      <c r="AC214" s="89" t="str">
        <f>Registro!AA214</f>
        <v>d) Ingeniería, j) Trabajador calificado</v>
      </c>
      <c r="AD214" s="94">
        <f t="shared" ref="AD214:AD277" si="22">COUNTIF(AC214,"*a)*")+COUNTIF(AC214,"*b)*")+COUNTIF(AC214,"*c)*")+COUNTIF(AC214,"*d)*")+COUNTIF(AC214,"*e)*")+COUNTIF(AC214,"*f)*")+COUNTIF(AC214,"*g)*")+COUNTIF(AC214,"*h)*")+COUNTIF(AC214,"*i)*")+COUNTIF(AC214,"*j)*")+COUNTIF(AC214,"*k)*")+COUNTIF(AC214,"*l)*")+COUNTIF(AC214,"*m)*")+COUNTIF(AC214,"*n)*")+COUNTIF(AC214,"*o)*")+COUNTIF(AC214,"*p)*")</f>
        <v>2</v>
      </c>
      <c r="AE214" s="89" t="str">
        <f>Registro!AB214</f>
        <v>a) Ganar mucho dinero</v>
      </c>
      <c r="AF214" s="89" t="str">
        <f>Registro!AC214</f>
        <v>b) Poco</v>
      </c>
      <c r="AG214" s="89" t="str">
        <f>Registro!AD214</f>
        <v>a) Los deportes y diversiones, c) Las instalaciones del Colegio</v>
      </c>
      <c r="AH214" s="94">
        <f t="shared" si="17"/>
        <v>2</v>
      </c>
      <c r="AI214" s="89" t="str">
        <f>Registro!AE214</f>
        <v>a) 0 a 2 horas</v>
      </c>
      <c r="AJ214" s="89"/>
      <c r="AK214" s="94">
        <f t="shared" si="18"/>
        <v>0</v>
      </c>
      <c r="AL214" s="89" t="str">
        <f>Registro!AG214</f>
        <v>b) Bueno</v>
      </c>
      <c r="AM214" s="89" t="str">
        <f>Registro!AH214</f>
        <v>c) Regular</v>
      </c>
      <c r="AN214" s="89" t="str">
        <f>Registro!AI214</f>
        <v>c) Regular</v>
      </c>
      <c r="AO214" s="89" t="str">
        <f>Registro!AJ214</f>
        <v>b) Buena</v>
      </c>
      <c r="AP214" s="89" t="str">
        <f>Registro!AK214</f>
        <v>b) Buena</v>
      </c>
      <c r="AQ214" s="89" t="str">
        <f>Registro!AL214</f>
        <v>b) Buena</v>
      </c>
      <c r="AR214" s="89" t="str">
        <f>Registro!AM214</f>
        <v>b) Buena</v>
      </c>
      <c r="AS214" s="89" t="str">
        <f>Registro!AN214</f>
        <v>b) Buena</v>
      </c>
      <c r="AT214" s="89" t="str">
        <f>Registro!AO214</f>
        <v>a) Muy buena</v>
      </c>
      <c r="AU214" s="89" t="str">
        <f>Registro!AP214</f>
        <v>c) Regular</v>
      </c>
      <c r="AV214" s="89" t="str">
        <f>Registro!AQ214</f>
        <v>a) Muy buena</v>
      </c>
      <c r="AW214" s="89" t="str">
        <f>Registro!AR214</f>
        <v>c) El estudio</v>
      </c>
      <c r="AX214" s="89" t="str">
        <f>Registro!AS214</f>
        <v>b) Darme una buena educación</v>
      </c>
      <c r="AY214" s="89" t="str">
        <f>Registro!AT214</f>
        <v>c) Conveniente</v>
      </c>
      <c r="AZ214" s="89" t="str">
        <f>Registro!AU214</f>
        <v>b) Las veces que bebo, es con moderación</v>
      </c>
      <c r="BA214" s="89" t="str">
        <f>Registro!AV214</f>
        <v>b) Profesionales que no se preocupan de nosotros</v>
      </c>
      <c r="BB214" s="89" t="str">
        <f>Registro!AW214</f>
        <v>c) Bastante</v>
      </c>
      <c r="BC214" s="89" t="str">
        <f>Registro!AX214</f>
        <v>d) Hay de todo tipo, pero predomina lo positivo</v>
      </c>
      <c r="BD214" s="89" t="str">
        <f>Registro!AY214</f>
        <v>a) Mi padre, b) Mi madre, c) Un hermano/a</v>
      </c>
    </row>
    <row r="215" spans="1:56" ht="15" customHeight="1" x14ac:dyDescent="0.25">
      <c r="A215" s="101">
        <f>Registro!A215</f>
        <v>42158.353368055556</v>
      </c>
      <c r="B215" s="89" t="str">
        <f>Registro!B215</f>
        <v>c) Obra Social San José de Calasanz de Valencia</v>
      </c>
      <c r="C215" s="89" t="str">
        <f>Registro!C215</f>
        <v>d) Quinto año</v>
      </c>
      <c r="D215" s="89" t="str">
        <f>Registro!D215</f>
        <v>c) Entre Primero y Tercer año</v>
      </c>
      <c r="E215" s="89" t="str">
        <f>Registro!E215</f>
        <v>a) Masculino</v>
      </c>
      <c r="F215" s="89" t="str">
        <f>Registro!F215</f>
        <v>b) Evangélica</v>
      </c>
      <c r="G215" s="89" t="str">
        <f>Registro!G215</f>
        <v>a) Mamá, b) Papá, c) Hermanos</v>
      </c>
      <c r="H215" s="89" t="str">
        <f>Registro!H215</f>
        <v>b) Casa Urbana</v>
      </c>
      <c r="I215" s="89" t="str">
        <f>Registro!I215</f>
        <v>c) Algo</v>
      </c>
      <c r="J215" s="89" t="str">
        <f>Registro!J215</f>
        <v>b) Lavadora, c) Microondas, d) TV pantalla plana, k) Aire acondicionado</v>
      </c>
      <c r="K215" s="89" t="str">
        <f>Registro!K215</f>
        <v>b) Una</v>
      </c>
      <c r="L215" s="89" t="str">
        <f>Registro!L215</f>
        <v>a) La familia, b) Los amigos, c) Los estudios</v>
      </c>
      <c r="M215" s="94">
        <f t="shared" si="20"/>
        <v>3</v>
      </c>
      <c r="N215" s="89" t="str">
        <f>Registro!M215</f>
        <v>b) El futuro</v>
      </c>
      <c r="O215" s="89" t="str">
        <f>Registro!N215</f>
        <v>c) Poco</v>
      </c>
      <c r="P215" s="89" t="str">
        <f>Registro!O215</f>
        <v>c) Poco</v>
      </c>
      <c r="Q215" s="89" t="str">
        <f>Registro!P215</f>
        <v>a) Mucho</v>
      </c>
      <c r="R215" s="89" t="str">
        <f>Registro!Q215</f>
        <v>a) La familia, c) Los estudios, f) Mi fe y mi vida cristiana</v>
      </c>
      <c r="S215" s="94">
        <f t="shared" si="21"/>
        <v>3</v>
      </c>
      <c r="T215" s="89" t="str">
        <f>Registro!R215</f>
        <v>a) Mucho</v>
      </c>
      <c r="U215" s="89" t="str">
        <f>Registro!S215</f>
        <v>a) La Iglesia, d) Las convivencias, e) Los amigos, j) Todas partes, k) La oración</v>
      </c>
      <c r="V215" s="89" t="str">
        <f>Registro!T215</f>
        <v>a) Suelo rezar por convicción o porque me gusta</v>
      </c>
      <c r="W215" s="89" t="str">
        <f>Registro!U215</f>
        <v>b) Algunos domingos</v>
      </c>
      <c r="X215" s="89" t="str">
        <f>Registro!V215</f>
        <v>b) Suelo bendedir los alimentos antes de comer, c) Suelo ir los domingos y otras fechas especiales a la Iglesia</v>
      </c>
      <c r="Y215" s="89" t="str">
        <f>Registro!W215</f>
        <v>a) Deportivo</v>
      </c>
      <c r="Z215" s="89" t="str">
        <f>Registro!X215</f>
        <v>d) No pertenezco a grupos juveniles cristianos</v>
      </c>
      <c r="AA215" s="89" t="str">
        <f>Registro!Y215</f>
        <v>c) Algo</v>
      </c>
      <c r="AB215" s="89" t="str">
        <f>Registro!Z215</f>
        <v>b) No</v>
      </c>
      <c r="AC215" s="89" t="str">
        <f>Registro!AA215</f>
        <v>b) Docencia, d) Ingeniería</v>
      </c>
      <c r="AD215" s="94">
        <f t="shared" si="22"/>
        <v>2</v>
      </c>
      <c r="AE215" s="89" t="str">
        <f>Registro!AB215</f>
        <v>d) Desarrollarme personalmente</v>
      </c>
      <c r="AF215" s="89" t="str">
        <f>Registro!AC215</f>
        <v>c) Bastante</v>
      </c>
      <c r="AG215" s="89" t="str">
        <f>Registro!AD215</f>
        <v>a) Los deportes y diversiones, b) El ambiente de estudio y de trabajo</v>
      </c>
      <c r="AH215" s="94">
        <f t="shared" si="17"/>
        <v>2</v>
      </c>
      <c r="AI215" s="89" t="str">
        <f>Registro!AE215</f>
        <v>b) 3 a 4 horas</v>
      </c>
      <c r="AJ215" s="89" t="str">
        <f>Registro!AF215</f>
        <v>a) Me divierto con juegos para computadoras, k) Practico algún deporte, m) Veo televisión y/o películas</v>
      </c>
      <c r="AK215" s="94">
        <f t="shared" si="18"/>
        <v>3</v>
      </c>
      <c r="AL215" s="89" t="str">
        <f>Registro!AG215</f>
        <v>b) Bueno</v>
      </c>
      <c r="AM215" s="89" t="str">
        <f>Registro!AH215</f>
        <v>b) Buena</v>
      </c>
      <c r="AN215" s="89" t="str">
        <f>Registro!AI215</f>
        <v>a) Muy buena</v>
      </c>
      <c r="AO215" s="89" t="str">
        <f>Registro!AJ215</f>
        <v>a) Muy buena</v>
      </c>
      <c r="AP215" s="89" t="str">
        <f>Registro!AK215</f>
        <v>c) Regular</v>
      </c>
      <c r="AQ215" s="89" t="str">
        <f>Registro!AL215</f>
        <v>a) Muy buena</v>
      </c>
      <c r="AR215" s="89" t="str">
        <f>Registro!AM215</f>
        <v>c) Regular</v>
      </c>
      <c r="AS215" s="89" t="str">
        <f>Registro!AN215</f>
        <v>a) Muy buena</v>
      </c>
      <c r="AT215" s="89" t="str">
        <f>Registro!AO215</f>
        <v>a) Muy buena</v>
      </c>
      <c r="AU215" s="89" t="str">
        <f>Registro!AP215</f>
        <v>b) Buena</v>
      </c>
      <c r="AV215" s="89" t="str">
        <f>Registro!AQ215</f>
        <v>b) Buena</v>
      </c>
      <c r="AW215" s="89" t="str">
        <f>Registro!AR215</f>
        <v>g) La orientación profesional futura</v>
      </c>
      <c r="AX215" s="89" t="str">
        <f>Registro!AS215</f>
        <v>b) Darme una buena educación</v>
      </c>
      <c r="AY215" s="89" t="str">
        <f>Registro!AT215</f>
        <v>e) Absolutamente necesaria</v>
      </c>
      <c r="AZ215" s="89" t="str">
        <f>Registro!AU215</f>
        <v>a) No acostumbro a tomarlo nunca</v>
      </c>
      <c r="BA215" s="89" t="str">
        <f>Registro!AV215</f>
        <v>e) Educadores que se preocupan de nosotros</v>
      </c>
      <c r="BB215" s="89" t="str">
        <f>Registro!AW215</f>
        <v>c) Bastante</v>
      </c>
      <c r="BC215" s="89" t="str">
        <f>Registro!AX215</f>
        <v>e) Son personas que me gustan y admiro</v>
      </c>
      <c r="BD215" s="89" t="str">
        <f>Registro!AY215</f>
        <v>b) Mi madre, g) Un amigo, h) Una amiga</v>
      </c>
    </row>
    <row r="216" spans="1:56" ht="15" customHeight="1" x14ac:dyDescent="0.25">
      <c r="A216" s="101">
        <f>Registro!A216</f>
        <v>42158.354004629633</v>
      </c>
      <c r="B216" s="89" t="str">
        <f>Registro!B216</f>
        <v>c) Obra Social San José de Calasanz de Valencia</v>
      </c>
      <c r="C216" s="89" t="str">
        <f>Registro!C216</f>
        <v>d) Quinto año</v>
      </c>
      <c r="D216" s="89" t="str">
        <f>Registro!D216</f>
        <v>a) Educación Inicial</v>
      </c>
      <c r="E216" s="89" t="str">
        <f>Registro!E216</f>
        <v>b) Femenino</v>
      </c>
      <c r="F216" s="89" t="str">
        <f>Registro!F216</f>
        <v>a) Católica</v>
      </c>
      <c r="G216" s="89" t="str">
        <f>Registro!G216</f>
        <v>a) Mamá, b) Papá, c) Hermanos, d) Abuelos, e) Otros familiares</v>
      </c>
      <c r="H216" s="89" t="str">
        <f>Registro!H216</f>
        <v>b) Casa Urbana</v>
      </c>
      <c r="I216" s="89" t="str">
        <f>Registro!I216</f>
        <v>a) Sí</v>
      </c>
      <c r="J216" s="89" t="str">
        <f>Registro!J216</f>
        <v>a) Cónsola videojuegos, b) Lavadora, c) Microondas, h) Carro, k) Aire acondicionado</v>
      </c>
      <c r="K216" s="89" t="str">
        <f>Registro!K216</f>
        <v>e) Cuatro</v>
      </c>
      <c r="L216" s="89" t="str">
        <f>Registro!L216</f>
        <v>a) La familia, b) Los amigos, c) Los estudios</v>
      </c>
      <c r="M216" s="94">
        <f t="shared" si="20"/>
        <v>3</v>
      </c>
      <c r="N216" s="89" t="str">
        <f>Registro!M216</f>
        <v>b) El futuro</v>
      </c>
      <c r="O216" s="89" t="str">
        <f>Registro!N216</f>
        <v>b) Suficiente</v>
      </c>
      <c r="P216" s="89" t="str">
        <f>Registro!O216</f>
        <v>c) Poco</v>
      </c>
      <c r="Q216" s="89" t="str">
        <f>Registro!P216</f>
        <v>b) Suficiente</v>
      </c>
      <c r="R216" s="89"/>
      <c r="S216" s="94">
        <f t="shared" si="21"/>
        <v>0</v>
      </c>
      <c r="T216" s="89" t="str">
        <f>Registro!R216</f>
        <v>a) Mucho</v>
      </c>
      <c r="U216" s="89" t="str">
        <f>Registro!S216</f>
        <v>d) Las convivencias, e) Los amigos, g) Mi familia, h) Algunas personas cercanas a Dios</v>
      </c>
      <c r="V216" s="89">
        <f>Registro!T216</f>
        <v>0</v>
      </c>
      <c r="W216" s="89" t="str">
        <f>Registro!U216</f>
        <v>d) Nunca</v>
      </c>
      <c r="X216" s="89" t="str">
        <f>Registro!V216</f>
        <v>i) Tengo en mi cuarto alguna imagen religiosa</v>
      </c>
      <c r="Y216" s="89" t="str">
        <f>Registro!W216</f>
        <v>d) No pertenezco a ninguno</v>
      </c>
      <c r="Z216" s="89" t="str">
        <f>Registro!X216</f>
        <v>d) No pertenezco a grupos juveniles cristianos</v>
      </c>
      <c r="AA216" s="89" t="str">
        <f>Registro!Y216</f>
        <v>c) Algo</v>
      </c>
      <c r="AB216" s="89" t="str">
        <f>Registro!Z216</f>
        <v>b) No</v>
      </c>
      <c r="AC216" s="89" t="str">
        <f>Registro!AA216</f>
        <v>a) Medicina</v>
      </c>
      <c r="AD216" s="94">
        <f t="shared" si="22"/>
        <v>1</v>
      </c>
      <c r="AE216" s="89" t="str">
        <f>Registro!AB216</f>
        <v>e) Servir a los demás</v>
      </c>
      <c r="AF216" s="89" t="str">
        <f>Registro!AC216</f>
        <v>c) Bastante</v>
      </c>
      <c r="AG216" s="89"/>
      <c r="AH216" s="94">
        <f t="shared" si="17"/>
        <v>0</v>
      </c>
      <c r="AI216" s="89" t="str">
        <f>Registro!AE216</f>
        <v>a) 0 a 2 horas</v>
      </c>
      <c r="AJ216" s="89"/>
      <c r="AK216" s="94">
        <f t="shared" si="18"/>
        <v>0</v>
      </c>
      <c r="AL216" s="89" t="str">
        <f>Registro!AG216</f>
        <v>b) Bueno</v>
      </c>
      <c r="AM216" s="89" t="str">
        <f>Registro!AH216</f>
        <v>b) Buena</v>
      </c>
      <c r="AN216" s="89" t="str">
        <f>Registro!AI216</f>
        <v>c) Regular</v>
      </c>
      <c r="AO216" s="89" t="str">
        <f>Registro!AJ216</f>
        <v>c) Regular</v>
      </c>
      <c r="AP216" s="89" t="str">
        <f>Registro!AK216</f>
        <v>c) Regular</v>
      </c>
      <c r="AQ216" s="89" t="str">
        <f>Registro!AL216</f>
        <v>b) Buena</v>
      </c>
      <c r="AR216" s="89" t="str">
        <f>Registro!AM216</f>
        <v>c) Regular</v>
      </c>
      <c r="AS216" s="89" t="str">
        <f>Registro!AN216</f>
        <v>c) Regular</v>
      </c>
      <c r="AT216" s="89" t="str">
        <f>Registro!AO216</f>
        <v>b) Buena</v>
      </c>
      <c r="AU216" s="89" t="str">
        <f>Registro!AP216</f>
        <v>b) Buena</v>
      </c>
      <c r="AV216" s="89" t="str">
        <f>Registro!AQ216</f>
        <v>b) Buena</v>
      </c>
      <c r="AW216" s="89" t="str">
        <f>Registro!AR216</f>
        <v>b) La orientación cristiana</v>
      </c>
      <c r="AX216" s="89" t="str">
        <f>Registro!AS216</f>
        <v>a) Que sea un buen profesional</v>
      </c>
      <c r="AY216" s="89" t="str">
        <f>Registro!AT216</f>
        <v>e) Absolutamente necesaria</v>
      </c>
      <c r="AZ216" s="89" t="str">
        <f>Registro!AU216</f>
        <v>a) No acostumbro a tomarlo nunca</v>
      </c>
      <c r="BA216" s="89" t="str">
        <f>Registro!AV216</f>
        <v>f) Educadores que, además, me han abierto caminos</v>
      </c>
      <c r="BB216" s="89" t="str">
        <f>Registro!AW216</f>
        <v>b) Poco</v>
      </c>
      <c r="BC216" s="89" t="str">
        <f>Registro!AX216</f>
        <v>d) Hay de todo tipo, pero predomina lo positivo</v>
      </c>
      <c r="BD216" s="89" t="str">
        <f>Registro!AY216</f>
        <v>h) Una amiga</v>
      </c>
    </row>
    <row r="217" spans="1:56" ht="15" customHeight="1" x14ac:dyDescent="0.25">
      <c r="A217" s="101">
        <f>Registro!A217</f>
        <v>42158.354097222225</v>
      </c>
      <c r="B217" s="89" t="str">
        <f>Registro!B217</f>
        <v>c) Obra Social San José de Calasanz de Valencia</v>
      </c>
      <c r="C217" s="89" t="str">
        <f>Registro!C217</f>
        <v>d) Quinto año</v>
      </c>
      <c r="D217" s="89" t="str">
        <f>Registro!D217</f>
        <v>a) Educación Inicial</v>
      </c>
      <c r="E217" s="89" t="str">
        <f>Registro!E217</f>
        <v>a) Masculino</v>
      </c>
      <c r="F217" s="89" t="str">
        <f>Registro!F217</f>
        <v>a) Católica</v>
      </c>
      <c r="G217" s="89" t="str">
        <f>Registro!G217</f>
        <v>a) Mamá, c) Hermanos, d) Abuelos, e) Otros familiares</v>
      </c>
      <c r="H217" s="89" t="str">
        <f>Registro!H217</f>
        <v>b) Casa Urbana</v>
      </c>
      <c r="I217" s="89" t="str">
        <f>Registro!I217</f>
        <v>a) Sí</v>
      </c>
      <c r="J217" s="89" t="str">
        <f>Registro!J217</f>
        <v>a) Cónsola videojuegos, b) Lavadora, c) Microondas, d) TV pantalla plana, f) MP3, g) MP4, h) Carro, j) Cámara digital, k) Aire acondicionado</v>
      </c>
      <c r="K217" s="89" t="str">
        <f>Registro!K217</f>
        <v>c) Dos</v>
      </c>
      <c r="L217" s="89" t="str">
        <f>Registro!L217</f>
        <v>a) La familia, g) La felicidad</v>
      </c>
      <c r="M217" s="94">
        <f t="shared" si="20"/>
        <v>2</v>
      </c>
      <c r="N217" s="89" t="str">
        <f>Registro!M217</f>
        <v>b) El futuro</v>
      </c>
      <c r="O217" s="89" t="str">
        <f>Registro!N217</f>
        <v>b) Suficiente</v>
      </c>
      <c r="P217" s="89" t="str">
        <f>Registro!O217</f>
        <v>b) Suficiente</v>
      </c>
      <c r="Q217" s="89" t="str">
        <f>Registro!P217</f>
        <v>b) Suficiente</v>
      </c>
      <c r="R217" s="89" t="str">
        <f>Registro!Q217</f>
        <v>a) La familia, c) Los estudios, g) La felicidad</v>
      </c>
      <c r="S217" s="94">
        <f t="shared" si="21"/>
        <v>3</v>
      </c>
      <c r="T217" s="89" t="str">
        <f>Registro!R217</f>
        <v>a) Mucho</v>
      </c>
      <c r="U217" s="89" t="str">
        <f>Registro!S217</f>
        <v>g) Mi familia, k) La oración</v>
      </c>
      <c r="V217" s="89" t="str">
        <f>Registro!T217</f>
        <v>a) Suelo rezar por convicción o porque me gusta</v>
      </c>
      <c r="W217" s="89" t="str">
        <f>Registro!U217</f>
        <v>c) Solo en fechas especiales</v>
      </c>
      <c r="X217" s="89" t="str">
        <f>Registro!V217</f>
        <v>d) Suelo orar todos los días, i) Tengo en mi cuarto alguna imagen religiosa</v>
      </c>
      <c r="Y217" s="89" t="str">
        <f>Registro!W217</f>
        <v>a) Deportivo</v>
      </c>
      <c r="Z217" s="89" t="str">
        <f>Registro!X217</f>
        <v>c) Un lugar donde me lo paso bien</v>
      </c>
      <c r="AA217" s="89" t="str">
        <f>Registro!Y217</f>
        <v>b) No</v>
      </c>
      <c r="AB217" s="89" t="str">
        <f>Registro!Z217</f>
        <v>b) No</v>
      </c>
      <c r="AC217" s="89"/>
      <c r="AD217" s="94">
        <f t="shared" si="22"/>
        <v>0</v>
      </c>
      <c r="AE217" s="89" t="str">
        <f>Registro!AB217</f>
        <v>d) Desarrollarme personalmente</v>
      </c>
      <c r="AF217" s="89" t="str">
        <f>Registro!AC217</f>
        <v>c) Bastante</v>
      </c>
      <c r="AG217" s="89"/>
      <c r="AH217" s="94">
        <f t="shared" si="17"/>
        <v>0</v>
      </c>
      <c r="AI217" s="89" t="str">
        <f>Registro!AE217</f>
        <v>c) 5 a 6 horas</v>
      </c>
      <c r="AJ217" s="89"/>
      <c r="AK217" s="94">
        <f t="shared" si="18"/>
        <v>0</v>
      </c>
      <c r="AL217" s="89" t="str">
        <f>Registro!AG217</f>
        <v>c) Regular</v>
      </c>
      <c r="AM217" s="89" t="str">
        <f>Registro!AH217</f>
        <v>c) Regular</v>
      </c>
      <c r="AN217" s="89" t="str">
        <f>Registro!AI217</f>
        <v>b) Buena</v>
      </c>
      <c r="AO217" s="89" t="str">
        <f>Registro!AJ217</f>
        <v>b) Buena</v>
      </c>
      <c r="AP217" s="89" t="str">
        <f>Registro!AK217</f>
        <v>b) Buena</v>
      </c>
      <c r="AQ217" s="89" t="str">
        <f>Registro!AL217</f>
        <v>b) Buena</v>
      </c>
      <c r="AR217" s="89" t="str">
        <f>Registro!AM217</f>
        <v>c) Regular</v>
      </c>
      <c r="AS217" s="89" t="str">
        <f>Registro!AN217</f>
        <v>b) Buena</v>
      </c>
      <c r="AT217" s="89" t="str">
        <f>Registro!AO217</f>
        <v>b) Buena</v>
      </c>
      <c r="AU217" s="89" t="str">
        <f>Registro!AP217</f>
        <v>b) Buena</v>
      </c>
      <c r="AV217" s="89" t="str">
        <f>Registro!AQ217</f>
        <v>b) Buena</v>
      </c>
      <c r="AW217" s="89" t="str">
        <f>Registro!AR217</f>
        <v>c) El estudio</v>
      </c>
      <c r="AX217" s="89" t="str">
        <f>Registro!AS217</f>
        <v>a) Que sea un buen profesional</v>
      </c>
      <c r="AY217" s="89" t="str">
        <f>Registro!AT217</f>
        <v>d) Bastante necesaria</v>
      </c>
      <c r="AZ217" s="89" t="str">
        <f>Registro!AU217</f>
        <v>b) Las veces que bebo, es con moderación</v>
      </c>
      <c r="BA217" s="89" t="str">
        <f>Registro!AV217</f>
        <v>d) Buenos profesionales de la educación</v>
      </c>
      <c r="BB217" s="89">
        <f>Registro!AW217</f>
        <v>0</v>
      </c>
      <c r="BC217" s="89">
        <f>Registro!AX217</f>
        <v>0</v>
      </c>
      <c r="BD217" s="89" t="str">
        <f>Registro!AY217</f>
        <v>a) Mi padre</v>
      </c>
    </row>
    <row r="218" spans="1:56" ht="15" customHeight="1" x14ac:dyDescent="0.25">
      <c r="A218" s="101">
        <f>Registro!A218</f>
        <v>42158.354884259257</v>
      </c>
      <c r="B218" s="89" t="str">
        <f>Registro!B218</f>
        <v>c) Obra Social San José de Calasanz de Valencia</v>
      </c>
      <c r="C218" s="89" t="str">
        <f>Registro!C218</f>
        <v>d) Quinto año</v>
      </c>
      <c r="D218" s="89" t="str">
        <f>Registro!D218</f>
        <v>d) En Cuarto año o posterior</v>
      </c>
      <c r="E218" s="89" t="str">
        <f>Registro!E218</f>
        <v>a) Masculino</v>
      </c>
      <c r="F218" s="89" t="str">
        <f>Registro!F218</f>
        <v>a) Católica</v>
      </c>
      <c r="G218" s="89" t="str">
        <f>Registro!G218</f>
        <v>a) Mamá, b) Papá, c) Hermanos</v>
      </c>
      <c r="H218" s="89" t="str">
        <f>Registro!H218</f>
        <v>b) Casa Urbana</v>
      </c>
      <c r="I218" s="89" t="str">
        <f>Registro!I218</f>
        <v>c) Algo</v>
      </c>
      <c r="J218" s="89" t="str">
        <f>Registro!J218</f>
        <v>b) Lavadora, d) TV pantalla plana, h) Carro, i) Computadora, k) Aire acondicionado</v>
      </c>
      <c r="K218" s="89" t="str">
        <f>Registro!K218</f>
        <v>d) Tres</v>
      </c>
      <c r="L218" s="89" t="str">
        <f>Registro!L218</f>
        <v>a) La familia, f) Mi fe y vida cristiana, j) El deporte</v>
      </c>
      <c r="M218" s="94">
        <f t="shared" si="20"/>
        <v>3</v>
      </c>
      <c r="N218" s="89" t="str">
        <f>Registro!M218</f>
        <v>d) Los problemas familiares</v>
      </c>
      <c r="O218" s="89" t="str">
        <f>Registro!N218</f>
        <v>b) Suficiente</v>
      </c>
      <c r="P218" s="89" t="str">
        <f>Registro!O218</f>
        <v>b) Suficiente</v>
      </c>
      <c r="Q218" s="89" t="str">
        <f>Registro!P218</f>
        <v>b) Suficiente</v>
      </c>
      <c r="R218" s="89" t="str">
        <f>Registro!Q218</f>
        <v>a) La familia, c) Los estudios, d) El cuidado de mi cuerpo</v>
      </c>
      <c r="S218" s="94">
        <f t="shared" si="21"/>
        <v>3</v>
      </c>
      <c r="T218" s="89" t="str">
        <f>Registro!R218</f>
        <v>a) Mucho</v>
      </c>
      <c r="U218" s="89" t="str">
        <f>Registro!S218</f>
        <v>a) La Iglesia, b) La naturaleza, d) Las convivencias, g) Mi familia, h) Algunas personas cercanas a Dios, i) Los necesitados, k) La oración</v>
      </c>
      <c r="V218" s="89" t="str">
        <f>Registro!T218</f>
        <v>b) Rezo por costumbre</v>
      </c>
      <c r="W218" s="89" t="str">
        <f>Registro!U218</f>
        <v>c) Solo en fechas especiales</v>
      </c>
      <c r="X218" s="89" t="str">
        <f>Registro!V218</f>
        <v>c) Suelo ir los domingos y otras fechas especiales a la Iglesia, e) Voy a misa en las fechas de mis familiares difuntos, f) En alguna ocasión he rezado el rosario, i) Tengo en mi cuarto alguna imagen religiosa</v>
      </c>
      <c r="Y218" s="89" t="str">
        <f>Registro!W218</f>
        <v>a) Deportivo</v>
      </c>
      <c r="Z218" s="89" t="str">
        <f>Registro!X218</f>
        <v>c) Un lugar donde me lo paso bien</v>
      </c>
      <c r="AA218" s="89" t="str">
        <f>Registro!Y218</f>
        <v>c) Algo</v>
      </c>
      <c r="AB218" s="89" t="str">
        <f>Registro!Z218</f>
        <v>b) No</v>
      </c>
      <c r="AC218" s="89" t="str">
        <f>Registro!AA218</f>
        <v>d) Ingeniería, g) Artista</v>
      </c>
      <c r="AD218" s="94">
        <f t="shared" si="22"/>
        <v>2</v>
      </c>
      <c r="AE218" s="89" t="str">
        <f>Registro!AB218</f>
        <v>c) Ser un excelente profesional</v>
      </c>
      <c r="AF218" s="89" t="str">
        <f>Registro!AC218</f>
        <v>c) Bastante</v>
      </c>
      <c r="AG218" s="89" t="str">
        <f>Registro!AD218</f>
        <v>a) Los deportes y diversiones, h) Las actividades extraescolares</v>
      </c>
      <c r="AH218" s="94">
        <f t="shared" si="17"/>
        <v>2</v>
      </c>
      <c r="AI218" s="89" t="str">
        <f>Registro!AE218</f>
        <v>a) 0 a 2 horas</v>
      </c>
      <c r="AJ218" s="89" t="str">
        <f>Registro!AF218</f>
        <v>a) Me divierto con juegos para computadoras, e) Suelo ir a algún parque, k) Practico algún deporte</v>
      </c>
      <c r="AK218" s="94">
        <f t="shared" si="18"/>
        <v>3</v>
      </c>
      <c r="AL218" s="89" t="str">
        <f>Registro!AG218</f>
        <v>c) Regular</v>
      </c>
      <c r="AM218" s="89" t="str">
        <f>Registro!AH218</f>
        <v>c) Regular</v>
      </c>
      <c r="AN218" s="89" t="str">
        <f>Registro!AI218</f>
        <v>c) Regular</v>
      </c>
      <c r="AO218" s="89" t="str">
        <f>Registro!AJ218</f>
        <v>b) Buena</v>
      </c>
      <c r="AP218" s="89" t="str">
        <f>Registro!AK218</f>
        <v>d) Mala</v>
      </c>
      <c r="AQ218" s="89" t="str">
        <f>Registro!AL218</f>
        <v>b) Buena</v>
      </c>
      <c r="AR218" s="89" t="str">
        <f>Registro!AM218</f>
        <v>d) Mala</v>
      </c>
      <c r="AS218" s="89" t="str">
        <f>Registro!AN218</f>
        <v>c) Regular</v>
      </c>
      <c r="AT218" s="89" t="str">
        <f>Registro!AO218</f>
        <v>c) Regular</v>
      </c>
      <c r="AU218" s="89" t="str">
        <f>Registro!AP218</f>
        <v>b) Buena</v>
      </c>
      <c r="AV218" s="89" t="str">
        <f>Registro!AQ218</f>
        <v>c) Regular</v>
      </c>
      <c r="AW218" s="89" t="str">
        <f>Registro!AR218</f>
        <v>e) La disciplina y el orden</v>
      </c>
      <c r="AX218" s="89" t="str">
        <f>Registro!AS218</f>
        <v>b) Darme una buena educación</v>
      </c>
      <c r="AY218" s="89" t="str">
        <f>Registro!AT218</f>
        <v>e) Absolutamente necesaria</v>
      </c>
      <c r="AZ218" s="89" t="str">
        <f>Registro!AU218</f>
        <v>a) No acostumbro a tomarlo nunca</v>
      </c>
      <c r="BA218" s="89" t="str">
        <f>Registro!AV218</f>
        <v>c) Profesionales que hacen lo que pueden</v>
      </c>
      <c r="BB218" s="89" t="str">
        <f>Registro!AW218</f>
        <v>c) Bastante</v>
      </c>
      <c r="BC218" s="89" t="str">
        <f>Registro!AX218</f>
        <v>e) Son personas que me gustan y admiro</v>
      </c>
      <c r="BD218" s="89" t="str">
        <f>Registro!AY218</f>
        <v>b) Mi madre, c) Un hermano/a, g) Un amigo, h) Una amiga</v>
      </c>
    </row>
    <row r="219" spans="1:56" ht="15" customHeight="1" x14ac:dyDescent="0.25">
      <c r="A219" s="101">
        <f>Registro!A219</f>
        <v>42158.355729166666</v>
      </c>
      <c r="B219" s="89" t="str">
        <f>Registro!B219</f>
        <v>c) Obra Social San José de Calasanz de Valencia</v>
      </c>
      <c r="C219" s="89" t="str">
        <f>Registro!C219</f>
        <v>d) Quinto año</v>
      </c>
      <c r="D219" s="89" t="str">
        <f>Registro!D219</f>
        <v>a) Educación Inicial</v>
      </c>
      <c r="E219" s="89" t="str">
        <f>Registro!E219</f>
        <v>a) Masculino</v>
      </c>
      <c r="F219" s="89">
        <f>Registro!F219</f>
        <v>0</v>
      </c>
      <c r="G219" s="89" t="str">
        <f>Registro!G219</f>
        <v>a) Mamá, b) Papá, c) Hermanos, d) Abuelos</v>
      </c>
      <c r="H219" s="89" t="str">
        <f>Registro!H219</f>
        <v>c) Apartamento</v>
      </c>
      <c r="I219" s="89" t="str">
        <f>Registro!I219</f>
        <v>a) Sí</v>
      </c>
      <c r="J219" s="89" t="str">
        <f>Registro!J219</f>
        <v>a) Cónsola videojuegos, b) Lavadora, d) TV pantalla plana, i) Computadora, k) Aire acondicionado</v>
      </c>
      <c r="K219" s="89" t="str">
        <f>Registro!K219</f>
        <v>c) Dos</v>
      </c>
      <c r="L219" s="89" t="str">
        <f>Registro!L219</f>
        <v>a) La familia, c) Los estudios, i) La música</v>
      </c>
      <c r="M219" s="94">
        <f t="shared" si="20"/>
        <v>3</v>
      </c>
      <c r="N219" s="89" t="str">
        <f>Registro!M219</f>
        <v>g) Mis estudios</v>
      </c>
      <c r="O219" s="89" t="str">
        <f>Registro!N219</f>
        <v>a) Mucho</v>
      </c>
      <c r="P219" s="89" t="str">
        <f>Registro!O219</f>
        <v>c) Poco</v>
      </c>
      <c r="Q219" s="89" t="str">
        <f>Registro!P219</f>
        <v>c) Poco</v>
      </c>
      <c r="R219" s="89" t="str">
        <f>Registro!Q219</f>
        <v>a) La familia, c) Los estudios</v>
      </c>
      <c r="S219" s="94">
        <f t="shared" si="21"/>
        <v>2</v>
      </c>
      <c r="T219" s="89" t="str">
        <f>Registro!R219</f>
        <v>a) Mucho</v>
      </c>
      <c r="U219" s="89" t="str">
        <f>Registro!S219</f>
        <v>a) La Iglesia, g) Mi familia, k) La oración</v>
      </c>
      <c r="V219" s="89" t="str">
        <f>Registro!T219</f>
        <v>d) No rezo nunca</v>
      </c>
      <c r="W219" s="89" t="str">
        <f>Registro!U219</f>
        <v>c) Solo en fechas especiales</v>
      </c>
      <c r="X219" s="89" t="str">
        <f>Registro!V219</f>
        <v>g) En ocasiones, en mi casa tenemos una oración familiar</v>
      </c>
      <c r="Y219" s="89" t="str">
        <f>Registro!W219</f>
        <v>d) No pertenezco a ninguno</v>
      </c>
      <c r="Z219" s="89" t="str">
        <f>Registro!X219</f>
        <v>c) Un lugar donde me lo paso bien</v>
      </c>
      <c r="AA219" s="89" t="str">
        <f>Registro!Y219</f>
        <v>b) No</v>
      </c>
      <c r="AB219" s="89" t="str">
        <f>Registro!Z219</f>
        <v>b) No</v>
      </c>
      <c r="AC219" s="89" t="str">
        <f>Registro!AA219</f>
        <v>d) Ingeniería</v>
      </c>
      <c r="AD219" s="94">
        <f t="shared" si="22"/>
        <v>1</v>
      </c>
      <c r="AE219" s="89" t="str">
        <f>Registro!AB219</f>
        <v>c) Ser un excelente profesional</v>
      </c>
      <c r="AF219" s="89" t="str">
        <f>Registro!AC219</f>
        <v>c) Bastante</v>
      </c>
      <c r="AG219" s="89" t="str">
        <f>Registro!AD219</f>
        <v>a) Los deportes y diversiones</v>
      </c>
      <c r="AH219" s="94">
        <f t="shared" si="17"/>
        <v>1</v>
      </c>
      <c r="AI219" s="89" t="str">
        <f>Registro!AE219</f>
        <v>a) 0 a 2 horas</v>
      </c>
      <c r="AJ219" s="89" t="str">
        <f>Registro!AF219</f>
        <v>a) Me divierto con juegos para computadoras, k) Practico algún deporte, l) Escucho música y/o veo videos musicales</v>
      </c>
      <c r="AK219" s="94">
        <f t="shared" si="18"/>
        <v>3</v>
      </c>
      <c r="AL219" s="89" t="str">
        <f>Registro!AG219</f>
        <v>a) Muy bueno</v>
      </c>
      <c r="AM219" s="89" t="str">
        <f>Registro!AH219</f>
        <v>c) Regular</v>
      </c>
      <c r="AN219" s="89" t="str">
        <f>Registro!AI219</f>
        <v>b) Buena</v>
      </c>
      <c r="AO219" s="89" t="str">
        <f>Registro!AJ219</f>
        <v>a) Muy buena</v>
      </c>
      <c r="AP219" s="89" t="str">
        <f>Registro!AK219</f>
        <v>b) Buena</v>
      </c>
      <c r="AQ219" s="89" t="str">
        <f>Registro!AL219</f>
        <v>b) Buena</v>
      </c>
      <c r="AR219" s="89" t="str">
        <f>Registro!AM219</f>
        <v>a) Muy buena</v>
      </c>
      <c r="AS219" s="89" t="str">
        <f>Registro!AN219</f>
        <v>b) Buena</v>
      </c>
      <c r="AT219" s="89" t="str">
        <f>Registro!AO219</f>
        <v>a) Muy buena</v>
      </c>
      <c r="AU219" s="89" t="str">
        <f>Registro!AP219</f>
        <v>b) Buena</v>
      </c>
      <c r="AV219" s="89" t="str">
        <f>Registro!AQ219</f>
        <v>b) Buena</v>
      </c>
      <c r="AW219" s="89" t="str">
        <f>Registro!AR219</f>
        <v>c) El estudio</v>
      </c>
      <c r="AX219" s="89" t="str">
        <f>Registro!AS219</f>
        <v>a) Que sea un buen profesional</v>
      </c>
      <c r="AY219" s="89" t="str">
        <f>Registro!AT219</f>
        <v>e) Absolutamente necesaria</v>
      </c>
      <c r="AZ219" s="89" t="str">
        <f>Registro!AU219</f>
        <v>a) No acostumbro a tomarlo nunca</v>
      </c>
      <c r="BA219" s="89" t="str">
        <f>Registro!AV219</f>
        <v>f) Educadores que, además, me han abierto caminos</v>
      </c>
      <c r="BB219" s="89" t="str">
        <f>Registro!AW219</f>
        <v>c) Bastante</v>
      </c>
      <c r="BC219" s="89" t="str">
        <f>Registro!AX219</f>
        <v>d) Hay de todo tipo, pero predomina lo positivo</v>
      </c>
      <c r="BD219" s="89" t="str">
        <f>Registro!AY219</f>
        <v>a) Mi padre, b) Mi madre</v>
      </c>
    </row>
    <row r="220" spans="1:56" ht="15" customHeight="1" x14ac:dyDescent="0.25">
      <c r="A220" s="101" t="str">
        <f>Registro!A220</f>
        <v>4/28/2015 8:34:17</v>
      </c>
      <c r="B220" s="89" t="str">
        <f>Registro!B220</f>
        <v>a) Calasanz de Caracas</v>
      </c>
      <c r="C220" s="89" t="str">
        <f>Registro!C220</f>
        <v>b) Tercer año</v>
      </c>
      <c r="D220" s="89" t="str">
        <f>Registro!D220</f>
        <v>a) Educación Inicial</v>
      </c>
      <c r="E220" s="89" t="str">
        <f>Registro!E220</f>
        <v>b) Femenino</v>
      </c>
      <c r="F220" s="89" t="str">
        <f>Registro!F220</f>
        <v>a) Católica</v>
      </c>
      <c r="G220" s="89" t="str">
        <f>Registro!G220</f>
        <v>a) Mamá, c) Hermanos</v>
      </c>
      <c r="H220" s="89" t="str">
        <f>Registro!H220</f>
        <v>b) Casa Urbana</v>
      </c>
      <c r="I220" s="89" t="str">
        <f>Registro!I220</f>
        <v>a) Sí</v>
      </c>
      <c r="J220" s="89" t="str">
        <f>Registro!J220</f>
        <v>b) Lavadora, c) Microondas, i) Computadora, j) Cámara digital</v>
      </c>
      <c r="K220" s="89" t="str">
        <f>Registro!K220</f>
        <v>c) Dos</v>
      </c>
      <c r="L220" s="89" t="str">
        <f>Registro!L220</f>
        <v>a) La familia, b) Los amigos, c) Los estudios</v>
      </c>
      <c r="M220" s="94">
        <f t="shared" si="20"/>
        <v>3</v>
      </c>
      <c r="N220" s="89" t="str">
        <f>Registro!M220</f>
        <v>a) Seguridad personal (la violencia y la delincuencia)</v>
      </c>
      <c r="O220" s="89" t="str">
        <f>Registro!N220</f>
        <v>b) Suficiente</v>
      </c>
      <c r="P220" s="89" t="str">
        <f>Registro!O220</f>
        <v>a) Mucho</v>
      </c>
      <c r="Q220" s="89" t="str">
        <f>Registro!P220</f>
        <v>b) Suficiente</v>
      </c>
      <c r="R220" s="89" t="str">
        <f>Registro!Q220</f>
        <v>a) La familia, b) Los amigos, c) Los estudios</v>
      </c>
      <c r="S220" s="94">
        <f t="shared" si="21"/>
        <v>3</v>
      </c>
      <c r="T220" s="89" t="str">
        <f>Registro!R220</f>
        <v>b) Suficiente</v>
      </c>
      <c r="U220" s="89" t="str">
        <f>Registro!S220</f>
        <v>a) La Iglesia, b) La naturaleza, e) Los amigos, k) La oración</v>
      </c>
      <c r="V220" s="89" t="str">
        <f>Registro!T220</f>
        <v>a) Suelo rezar por convicción o porque me gusta</v>
      </c>
      <c r="W220" s="89" t="str">
        <f>Registro!U220</f>
        <v>c) Solo en fechas especiales</v>
      </c>
      <c r="X220" s="89" t="str">
        <f>Registro!V220</f>
        <v>b) Suelo bendedir los alimentos antes de comer, c) Suelo ir los domingos y otras fechas especiales a la Iglesia, e) Voy a misa en las fechas de mis familiares difuntos, f) En alguna ocasión he rezado el rosario</v>
      </c>
      <c r="Y220" s="89" t="str">
        <f>Registro!W220</f>
        <v>a) Deportivo</v>
      </c>
      <c r="Z220" s="89" t="str">
        <f>Registro!X220</f>
        <v>b) Un lugar donde comparto con mis compañeros</v>
      </c>
      <c r="AA220" s="89" t="str">
        <f>Registro!Y220</f>
        <v>b) No</v>
      </c>
      <c r="AB220" s="89" t="str">
        <f>Registro!Z220</f>
        <v>b) No</v>
      </c>
      <c r="AC220" s="89" t="str">
        <f>Registro!AA220</f>
        <v>a) Medicina, b) Docencia</v>
      </c>
      <c r="AD220" s="94">
        <f t="shared" si="22"/>
        <v>2</v>
      </c>
      <c r="AE220" s="89" t="str">
        <f>Registro!AB220</f>
        <v>d) Desarrollarme personalmente</v>
      </c>
      <c r="AF220" s="89" t="str">
        <f>Registro!AC220</f>
        <v>c) Bastante</v>
      </c>
      <c r="AG220" s="89" t="str">
        <f>Registro!AD220</f>
        <v>b) El ambiente de estudio y de trabajo, c) Las instalaciones del Colegio</v>
      </c>
      <c r="AH220" s="94">
        <f t="shared" si="17"/>
        <v>2</v>
      </c>
      <c r="AI220" s="89" t="str">
        <f>Registro!AE220</f>
        <v>d) 7 a 8 horas</v>
      </c>
      <c r="AJ220" s="89"/>
      <c r="AK220" s="94">
        <f t="shared" si="18"/>
        <v>0</v>
      </c>
      <c r="AL220" s="89" t="str">
        <f>Registro!AG220</f>
        <v>a) Muy bueno</v>
      </c>
      <c r="AM220" s="89" t="str">
        <f>Registro!AH220</f>
        <v>a) Muy buena</v>
      </c>
      <c r="AN220" s="89" t="str">
        <f>Registro!AI220</f>
        <v>a) Muy buena</v>
      </c>
      <c r="AO220" s="89" t="str">
        <f>Registro!AJ220</f>
        <v>a) Muy buena</v>
      </c>
      <c r="AP220" s="89" t="str">
        <f>Registro!AK220</f>
        <v>c) Regular</v>
      </c>
      <c r="AQ220" s="89" t="str">
        <f>Registro!AL220</f>
        <v>b) Buena</v>
      </c>
      <c r="AR220" s="89" t="str">
        <f>Registro!AM220</f>
        <v>e) Muy mala</v>
      </c>
      <c r="AS220" s="89" t="str">
        <f>Registro!AN220</f>
        <v>b) Buena</v>
      </c>
      <c r="AT220" s="89" t="str">
        <f>Registro!AO220</f>
        <v>c) Regular</v>
      </c>
      <c r="AU220" s="89" t="str">
        <f>Registro!AP220</f>
        <v>c) Regular</v>
      </c>
      <c r="AV220" s="89" t="str">
        <f>Registro!AQ220</f>
        <v>b) Buena</v>
      </c>
      <c r="AW220" s="89" t="str">
        <f>Registro!AR220</f>
        <v>g) La orientación profesional futura</v>
      </c>
      <c r="AX220" s="89" t="str">
        <f>Registro!AS220</f>
        <v>b) Darme una buena educación</v>
      </c>
      <c r="AY220" s="89" t="str">
        <f>Registro!AT220</f>
        <v>b) Indiferente</v>
      </c>
      <c r="AZ220" s="89" t="str">
        <f>Registro!AU220</f>
        <v>b) Las veces que bebo, es con moderación</v>
      </c>
      <c r="BA220" s="89" t="str">
        <f>Registro!AV220</f>
        <v>d) Buenos profesionales de la educación</v>
      </c>
      <c r="BB220" s="89" t="str">
        <f>Registro!AW220</f>
        <v>c) Bastante</v>
      </c>
      <c r="BC220" s="89" t="str">
        <f>Registro!AX220</f>
        <v>c) Son personas normales y corrientes</v>
      </c>
      <c r="BD220" s="89" t="str">
        <f>Registro!AY220</f>
        <v>c) Un hermano/a, h) Una amiga</v>
      </c>
    </row>
    <row r="221" spans="1:56" ht="15" customHeight="1" x14ac:dyDescent="0.25">
      <c r="A221" s="101" t="str">
        <f>Registro!A221</f>
        <v>4/28/2015 8:35:13</v>
      </c>
      <c r="B221" s="89" t="str">
        <f>Registro!B221</f>
        <v>a) Calasanz de Caracas</v>
      </c>
      <c r="C221" s="89" t="str">
        <f>Registro!C221</f>
        <v>b) Tercer año</v>
      </c>
      <c r="D221" s="89" t="str">
        <f>Registro!D221</f>
        <v>a) Educación Inicial</v>
      </c>
      <c r="E221" s="89" t="str">
        <f>Registro!E221</f>
        <v>b) Femenino</v>
      </c>
      <c r="F221" s="89" t="str">
        <f>Registro!F221</f>
        <v>a) Católica</v>
      </c>
      <c r="G221" s="89" t="str">
        <f>Registro!G221</f>
        <v>a) Mamá, c) Hermanos, e) Otros familiares</v>
      </c>
      <c r="H221" s="89">
        <f>Registro!H221</f>
        <v>0</v>
      </c>
      <c r="I221" s="89">
        <f>Registro!I221</f>
        <v>0</v>
      </c>
      <c r="J221" s="89">
        <f>Registro!J221</f>
        <v>0</v>
      </c>
      <c r="K221" s="89">
        <f>Registro!K221</f>
        <v>0</v>
      </c>
      <c r="L221" s="89">
        <f>Registro!L221</f>
        <v>0</v>
      </c>
      <c r="M221" s="94">
        <f t="shared" si="20"/>
        <v>0</v>
      </c>
      <c r="N221" s="89">
        <f>Registro!M221</f>
        <v>0</v>
      </c>
      <c r="O221" s="89">
        <f>Registro!N221</f>
        <v>0</v>
      </c>
      <c r="P221" s="89">
        <f>Registro!O221</f>
        <v>0</v>
      </c>
      <c r="Q221" s="89">
        <f>Registro!P221</f>
        <v>0</v>
      </c>
      <c r="R221" s="89">
        <f>Registro!Q221</f>
        <v>0</v>
      </c>
      <c r="S221" s="94">
        <f t="shared" si="21"/>
        <v>0</v>
      </c>
      <c r="T221" s="89">
        <f>Registro!R221</f>
        <v>0</v>
      </c>
      <c r="U221" s="89">
        <f>Registro!S221</f>
        <v>0</v>
      </c>
      <c r="V221" s="89">
        <f>Registro!T221</f>
        <v>0</v>
      </c>
      <c r="W221" s="89">
        <f>Registro!U221</f>
        <v>0</v>
      </c>
      <c r="X221" s="89">
        <f>Registro!V221</f>
        <v>0</v>
      </c>
      <c r="Y221" s="89">
        <f>Registro!W221</f>
        <v>0</v>
      </c>
      <c r="Z221" s="89" t="str">
        <f>Registro!X221</f>
        <v>a) Un grupo donde profundizo mi fe</v>
      </c>
      <c r="AA221" s="89" t="str">
        <f>Registro!Y221</f>
        <v>b) No</v>
      </c>
      <c r="AB221" s="89" t="str">
        <f>Registro!Z221</f>
        <v>b) No</v>
      </c>
      <c r="AC221" s="89">
        <f>Registro!AA221</f>
        <v>0</v>
      </c>
      <c r="AD221" s="94">
        <f t="shared" si="22"/>
        <v>0</v>
      </c>
      <c r="AE221" s="89" t="str">
        <f>Registro!AB221</f>
        <v>e) Servir a los demás</v>
      </c>
      <c r="AF221" s="89">
        <f>Registro!AC221</f>
        <v>0</v>
      </c>
      <c r="AG221" s="89">
        <f>Registro!AD221</f>
        <v>0</v>
      </c>
      <c r="AH221" s="94">
        <f t="shared" si="17"/>
        <v>0</v>
      </c>
      <c r="AI221" s="89">
        <f>Registro!AE221</f>
        <v>0</v>
      </c>
      <c r="AJ221" s="89">
        <f>Registro!AF221</f>
        <v>0</v>
      </c>
      <c r="AK221" s="94">
        <f t="shared" si="18"/>
        <v>0</v>
      </c>
      <c r="AL221" s="89">
        <f>Registro!AG221</f>
        <v>0</v>
      </c>
      <c r="AM221" s="89">
        <f>Registro!AH221</f>
        <v>0</v>
      </c>
      <c r="AN221" s="89">
        <f>Registro!AI221</f>
        <v>0</v>
      </c>
      <c r="AO221" s="89">
        <f>Registro!AJ221</f>
        <v>0</v>
      </c>
      <c r="AP221" s="89">
        <f>Registro!AK221</f>
        <v>0</v>
      </c>
      <c r="AQ221" s="89">
        <f>Registro!AL221</f>
        <v>0</v>
      </c>
      <c r="AR221" s="89">
        <f>Registro!AM221</f>
        <v>0</v>
      </c>
      <c r="AS221" s="89">
        <f>Registro!AN221</f>
        <v>0</v>
      </c>
      <c r="AT221" s="89">
        <f>Registro!AO221</f>
        <v>0</v>
      </c>
      <c r="AU221" s="89">
        <f>Registro!AP221</f>
        <v>0</v>
      </c>
      <c r="AV221" s="89">
        <f>Registro!AQ221</f>
        <v>0</v>
      </c>
      <c r="AW221" s="89">
        <f>Registro!AR221</f>
        <v>0</v>
      </c>
      <c r="AX221" s="89">
        <f>Registro!AS221</f>
        <v>0</v>
      </c>
      <c r="AY221" s="89">
        <f>Registro!AT221</f>
        <v>0</v>
      </c>
      <c r="AZ221" s="89">
        <f>Registro!AU221</f>
        <v>0</v>
      </c>
      <c r="BA221" s="89">
        <f>Registro!AV221</f>
        <v>0</v>
      </c>
      <c r="BB221" s="89">
        <f>Registro!AW221</f>
        <v>0</v>
      </c>
      <c r="BC221" s="89">
        <f>Registro!AX221</f>
        <v>0</v>
      </c>
      <c r="BD221" s="89">
        <f>Registro!AY221</f>
        <v>0</v>
      </c>
    </row>
    <row r="222" spans="1:56" ht="15" customHeight="1" x14ac:dyDescent="0.25">
      <c r="A222" s="101" t="str">
        <f>Registro!A222</f>
        <v>4/28/2015 8:36:29</v>
      </c>
      <c r="B222" s="89" t="str">
        <f>Registro!B222</f>
        <v>a) Calasanz de Caracas</v>
      </c>
      <c r="C222" s="89" t="str">
        <f>Registro!C222</f>
        <v>b) Tercer año</v>
      </c>
      <c r="D222" s="89" t="str">
        <f>Registro!D222</f>
        <v>a) Educación Inicial</v>
      </c>
      <c r="E222" s="89" t="str">
        <f>Registro!E222</f>
        <v>a) Masculino</v>
      </c>
      <c r="F222" s="89" t="str">
        <f>Registro!F222</f>
        <v>b) Evangélica</v>
      </c>
      <c r="G222" s="89" t="str">
        <f>Registro!G222</f>
        <v>b) Papá, c) Hermanos</v>
      </c>
      <c r="H222" s="89" t="str">
        <f>Registro!H222</f>
        <v>c) Apartamento</v>
      </c>
      <c r="I222" s="89" t="str">
        <f>Registro!I222</f>
        <v>a) Sí</v>
      </c>
      <c r="J222" s="89" t="str">
        <f>Registro!J222</f>
        <v>b) Lavadora, c) Microondas, d) TV pantalla plana, f) MP3, k) Aire acondicionado</v>
      </c>
      <c r="K222" s="89" t="str">
        <f>Registro!K222</f>
        <v>e) Cuatro</v>
      </c>
      <c r="L222" s="89" t="str">
        <f>Registro!L222</f>
        <v>a) La familia, b) Los amigos, c) Los estudios</v>
      </c>
      <c r="M222" s="94">
        <f t="shared" si="20"/>
        <v>3</v>
      </c>
      <c r="N222" s="89" t="str">
        <f>Registro!M222</f>
        <v>g) Mis estudios</v>
      </c>
      <c r="O222" s="89" t="str">
        <f>Registro!N222</f>
        <v>a) Mucho</v>
      </c>
      <c r="P222" s="89" t="str">
        <f>Registro!O222</f>
        <v>a) Mucho</v>
      </c>
      <c r="Q222" s="89" t="str">
        <f>Registro!P222</f>
        <v>a) Mucho</v>
      </c>
      <c r="R222" s="89" t="str">
        <f>Registro!Q222</f>
        <v>a) La familia, c) Los estudios, g) La felicidad</v>
      </c>
      <c r="S222" s="94">
        <f t="shared" si="21"/>
        <v>3</v>
      </c>
      <c r="T222" s="89" t="str">
        <f>Registro!R222</f>
        <v>a) Mucho</v>
      </c>
      <c r="U222" s="89" t="str">
        <f>Registro!S222</f>
        <v>a) La Iglesia, b) La naturaleza, g) Mi familia, h) Algunas personas cercanas a Dios, i) Los necesitados, k) La oración</v>
      </c>
      <c r="V222" s="89" t="str">
        <f>Registro!T222</f>
        <v>d) No rezo nunca</v>
      </c>
      <c r="W222" s="89" t="str">
        <f>Registro!U222</f>
        <v>a) Todos los domingos</v>
      </c>
      <c r="X222" s="89" t="str">
        <f>Registro!V222</f>
        <v>b) Suelo bendedir los alimentos antes de comer, c) Suelo ir los domingos y otras fechas especiales a la Iglesia, d) Suelo orar todos los días, g) En ocasiones, en mi casa tenemos una oración familiar</v>
      </c>
      <c r="Y222" s="89">
        <f>Registro!W222</f>
        <v>0</v>
      </c>
      <c r="Z222" s="89" t="str">
        <f>Registro!X222</f>
        <v>b) Un lugar donde comparto con mis compañeros</v>
      </c>
      <c r="AA222" s="89" t="str">
        <f>Registro!Y222</f>
        <v>b) No</v>
      </c>
      <c r="AB222" s="89" t="str">
        <f>Registro!Z222</f>
        <v>b) No</v>
      </c>
      <c r="AC222" s="89" t="str">
        <f>Registro!AA222</f>
        <v>g) Artista, j) Trabajador calificado</v>
      </c>
      <c r="AD222" s="94">
        <f t="shared" si="22"/>
        <v>2</v>
      </c>
      <c r="AE222" s="89" t="str">
        <f>Registro!AB222</f>
        <v>c) Ser un excelente profesional</v>
      </c>
      <c r="AF222" s="89" t="str">
        <f>Registro!AC222</f>
        <v>c) Bastante</v>
      </c>
      <c r="AG222" s="89" t="str">
        <f>Registro!AD222</f>
        <v>a) Los deportes y diversiones</v>
      </c>
      <c r="AH222" s="94">
        <f t="shared" si="17"/>
        <v>1</v>
      </c>
      <c r="AI222" s="89" t="str">
        <f>Registro!AE222</f>
        <v>c) 5 a 6 horas</v>
      </c>
      <c r="AJ222" s="89" t="str">
        <f>Registro!AF222</f>
        <v>d) Estoy la mayor parte del tiempo en la casa sin hacer nada, n) Estoy conversando con los amigos/as</v>
      </c>
      <c r="AK222" s="94">
        <f t="shared" si="18"/>
        <v>2</v>
      </c>
      <c r="AL222" s="89" t="str">
        <f>Registro!AG222</f>
        <v>b) Bueno</v>
      </c>
      <c r="AM222" s="89">
        <f>Registro!AH222</f>
        <v>0</v>
      </c>
      <c r="AN222" s="89">
        <f>Registro!AI222</f>
        <v>0</v>
      </c>
      <c r="AO222" s="89" t="str">
        <f>Registro!AJ222</f>
        <v>b) Buena</v>
      </c>
      <c r="AP222" s="89" t="str">
        <f>Registro!AK222</f>
        <v>b) Buena</v>
      </c>
      <c r="AQ222" s="89" t="str">
        <f>Registro!AL222</f>
        <v>b) Buena</v>
      </c>
      <c r="AR222" s="89" t="str">
        <f>Registro!AM222</f>
        <v>b) Buena</v>
      </c>
      <c r="AS222" s="89" t="str">
        <f>Registro!AN222</f>
        <v>b) Buena</v>
      </c>
      <c r="AT222" s="89" t="str">
        <f>Registro!AO222</f>
        <v>b) Buena</v>
      </c>
      <c r="AU222" s="89" t="str">
        <f>Registro!AP222</f>
        <v>c) Regular</v>
      </c>
      <c r="AV222" s="89" t="str">
        <f>Registro!AQ222</f>
        <v>d) Mala</v>
      </c>
      <c r="AW222" s="89" t="str">
        <f>Registro!AR222</f>
        <v>a) El compañerismo</v>
      </c>
      <c r="AX222" s="89" t="str">
        <f>Registro!AS222</f>
        <v>c) Que me preocupe de los demás</v>
      </c>
      <c r="AY222" s="89" t="str">
        <f>Registro!AT222</f>
        <v>d) Bastante necesaria</v>
      </c>
      <c r="AZ222" s="89" t="str">
        <f>Registro!AU222</f>
        <v>b) Las veces que bebo, es con moderación</v>
      </c>
      <c r="BA222" s="89" t="str">
        <f>Registro!AV222</f>
        <v>c) Profesionales que hacen lo que pueden</v>
      </c>
      <c r="BB222" s="89" t="str">
        <f>Registro!AW222</f>
        <v>c) Bastante</v>
      </c>
      <c r="BC222" s="89" t="str">
        <f>Registro!AX222</f>
        <v>c) Son personas normales y corrientes</v>
      </c>
      <c r="BD222" s="89" t="str">
        <f>Registro!AY222</f>
        <v>a) Mi padre, b) Mi madre, c) Un hermano/a, g) Un amigo, h) Una amiga</v>
      </c>
    </row>
    <row r="223" spans="1:56" ht="15" customHeight="1" x14ac:dyDescent="0.25">
      <c r="A223" s="101" t="str">
        <f>Registro!A223</f>
        <v>4/28/2015 8:36:37</v>
      </c>
      <c r="B223" s="89" t="str">
        <f>Registro!B223</f>
        <v>a) Calasanz de Caracas</v>
      </c>
      <c r="C223" s="89" t="str">
        <f>Registro!C223</f>
        <v>b) Tercer año</v>
      </c>
      <c r="D223" s="89" t="str">
        <f>Registro!D223</f>
        <v>a) Educación Inicial</v>
      </c>
      <c r="E223" s="89" t="str">
        <f>Registro!E223</f>
        <v>a) Masculino</v>
      </c>
      <c r="F223" s="89" t="str">
        <f>Registro!F223</f>
        <v>d) Otra</v>
      </c>
      <c r="G223" s="89" t="str">
        <f>Registro!G223</f>
        <v>a) Mamá, b) Papá, c) Hermanos</v>
      </c>
      <c r="H223" s="89" t="str">
        <f>Registro!H223</f>
        <v>c) Apartamento</v>
      </c>
      <c r="I223" s="89" t="str">
        <f>Registro!I223</f>
        <v>a) Sí</v>
      </c>
      <c r="J223" s="89" t="str">
        <f>Registro!J223</f>
        <v>a) Cónsola videojuegos, b) Lavadora, c) Microondas, d) TV pantalla plana, f) MP3, g) MP4, h) Carro, i) Computadora, j) Cámara digital, k) Aire acondicionado</v>
      </c>
      <c r="K223" s="89" t="str">
        <f>Registro!K223</f>
        <v>e) Cuatro</v>
      </c>
      <c r="L223" s="89" t="str">
        <f>Registro!L223</f>
        <v>a) La familia, c) Los estudios, i) La música</v>
      </c>
      <c r="M223" s="94">
        <f t="shared" si="20"/>
        <v>3</v>
      </c>
      <c r="N223" s="89" t="str">
        <f>Registro!M223</f>
        <v>b) El futuro</v>
      </c>
      <c r="O223" s="89" t="str">
        <f>Registro!N223</f>
        <v>a) Mucho</v>
      </c>
      <c r="P223" s="89" t="str">
        <f>Registro!O223</f>
        <v>c) Poco</v>
      </c>
      <c r="Q223" s="89" t="str">
        <f>Registro!P223</f>
        <v>c) Poco</v>
      </c>
      <c r="R223" s="89" t="str">
        <f>Registro!Q223</f>
        <v>a) La familia, b) Los amigos, c) Los estudios</v>
      </c>
      <c r="S223" s="94">
        <f t="shared" si="21"/>
        <v>3</v>
      </c>
      <c r="T223" s="89" t="str">
        <f>Registro!R223</f>
        <v>a) Mucho</v>
      </c>
      <c r="U223" s="89" t="str">
        <f>Registro!S223</f>
        <v>a) La Iglesia, b) La naturaleza, e) Los amigos, g) Mi familia, j) Todas partes, k) La oración</v>
      </c>
      <c r="V223" s="89" t="str">
        <f>Registro!T223</f>
        <v>c) Rezo solo en situación de dificultad</v>
      </c>
      <c r="W223" s="89" t="str">
        <f>Registro!U223</f>
        <v>c) Solo en fechas especiales</v>
      </c>
      <c r="X223" s="89" t="str">
        <f>Registro!V223</f>
        <v>f) En alguna ocasión he rezado el rosario</v>
      </c>
      <c r="Y223" s="89" t="str">
        <f>Registro!W223</f>
        <v>a) Deportivo</v>
      </c>
      <c r="Z223" s="89" t="str">
        <f>Registro!X223</f>
        <v>d) No pertenezco a grupos juveniles cristianos</v>
      </c>
      <c r="AA223" s="89" t="str">
        <f>Registro!Y223</f>
        <v>b) No</v>
      </c>
      <c r="AB223" s="89" t="str">
        <f>Registro!Z223</f>
        <v>b) No</v>
      </c>
      <c r="AC223" s="89" t="str">
        <f>Registro!AA223</f>
        <v>a) Medicina, i) Comerciante</v>
      </c>
      <c r="AD223" s="94">
        <f t="shared" si="22"/>
        <v>2</v>
      </c>
      <c r="AE223" s="89" t="str">
        <f>Registro!AB223</f>
        <v>a) Ganar mucho dinero</v>
      </c>
      <c r="AF223" s="89" t="str">
        <f>Registro!AC223</f>
        <v>b) Poco</v>
      </c>
      <c r="AG223" s="89" t="str">
        <f>Registro!AD223</f>
        <v>a) Los deportes y diversiones, b) El ambiente de estudio y de trabajo</v>
      </c>
      <c r="AH223" s="94">
        <f t="shared" si="17"/>
        <v>2</v>
      </c>
      <c r="AI223" s="89" t="str">
        <f>Registro!AE223</f>
        <v>c) 5 a 6 horas</v>
      </c>
      <c r="AJ223" s="89" t="str">
        <f>Registro!AF223</f>
        <v>b) Navego en Internet, h) Suelo ir al cine, k) Practico algún deporte</v>
      </c>
      <c r="AK223" s="94">
        <f t="shared" si="18"/>
        <v>3</v>
      </c>
      <c r="AL223" s="89" t="str">
        <f>Registro!AG223</f>
        <v>b) Bueno</v>
      </c>
      <c r="AM223" s="89">
        <f>Registro!AH223</f>
        <v>0</v>
      </c>
      <c r="AN223" s="89">
        <f>Registro!AI223</f>
        <v>0</v>
      </c>
      <c r="AO223" s="89" t="str">
        <f>Registro!AJ223</f>
        <v>b) Buena</v>
      </c>
      <c r="AP223" s="89" t="str">
        <f>Registro!AK223</f>
        <v>c) Regular</v>
      </c>
      <c r="AQ223" s="89" t="str">
        <f>Registro!AL223</f>
        <v>b) Buena</v>
      </c>
      <c r="AR223" s="89" t="str">
        <f>Registro!AM223</f>
        <v>a) Muy buena</v>
      </c>
      <c r="AS223" s="89" t="str">
        <f>Registro!AN223</f>
        <v>a) Muy buena</v>
      </c>
      <c r="AT223" s="89" t="str">
        <f>Registro!AO223</f>
        <v>a) Muy buena</v>
      </c>
      <c r="AU223" s="89" t="str">
        <f>Registro!AP223</f>
        <v>a) Muy buena</v>
      </c>
      <c r="AV223" s="89" t="str">
        <f>Registro!AQ223</f>
        <v>b) Buena</v>
      </c>
      <c r="AW223" s="89" t="str">
        <f>Registro!AR223</f>
        <v>a) El compañerismo</v>
      </c>
      <c r="AX223" s="89" t="str">
        <f>Registro!AS223</f>
        <v>b) Darme una buena educación</v>
      </c>
      <c r="AY223" s="89" t="str">
        <f>Registro!AT223</f>
        <v>c) Conveniente</v>
      </c>
      <c r="AZ223" s="89" t="str">
        <f>Registro!AU223</f>
        <v>b) Las veces que bebo, es con moderación</v>
      </c>
      <c r="BA223" s="89" t="str">
        <f>Registro!AV223</f>
        <v>b) Profesionales que no se preocupan de nosotros</v>
      </c>
      <c r="BB223" s="89" t="str">
        <f>Registro!AW223</f>
        <v>b) Poco</v>
      </c>
      <c r="BC223" s="89" t="str">
        <f>Registro!AX223</f>
        <v>c) Son personas normales y corrientes</v>
      </c>
      <c r="BD223" s="89" t="str">
        <f>Registro!AY223</f>
        <v>a) Mi padre, b) Mi madre, c) Un hermano/a, g) Un amigo</v>
      </c>
    </row>
    <row r="224" spans="1:56" ht="15" customHeight="1" x14ac:dyDescent="0.25">
      <c r="A224" s="101" t="str">
        <f>Registro!A224</f>
        <v>4/28/2015 8:36:46</v>
      </c>
      <c r="B224" s="89" t="str">
        <f>Registro!B224</f>
        <v>a) Calasanz de Caracas</v>
      </c>
      <c r="C224" s="89" t="str">
        <f>Registro!C224</f>
        <v>b) Tercer año</v>
      </c>
      <c r="D224" s="89" t="str">
        <f>Registro!D224</f>
        <v>b) Primaria</v>
      </c>
      <c r="E224" s="89" t="str">
        <f>Registro!E224</f>
        <v>b) Femenino</v>
      </c>
      <c r="F224" s="89" t="str">
        <f>Registro!F224</f>
        <v>a) Católica</v>
      </c>
      <c r="G224" s="89" t="str">
        <f>Registro!G224</f>
        <v>a) Mamá, b) Papá, c) Hermanos</v>
      </c>
      <c r="H224" s="89" t="str">
        <f>Registro!H224</f>
        <v>c) Apartamento</v>
      </c>
      <c r="I224" s="89" t="str">
        <f>Registro!I224</f>
        <v>a) Sí</v>
      </c>
      <c r="J224" s="89" t="str">
        <f>Registro!J224</f>
        <v>b) Lavadora, c) Microondas, e) Moto, h) Carro, i) Computadora, j) Cámara digital, k) Aire acondicionado</v>
      </c>
      <c r="K224" s="89" t="str">
        <f>Registro!K224</f>
        <v>c) Dos</v>
      </c>
      <c r="L224" s="89" t="str">
        <f>Registro!L224</f>
        <v>a) La familia, b) Los amigos, c) Los estudios</v>
      </c>
      <c r="M224" s="94">
        <f t="shared" si="20"/>
        <v>3</v>
      </c>
      <c r="N224" s="89" t="str">
        <f>Registro!M224</f>
        <v>e) La situación económica</v>
      </c>
      <c r="O224" s="89" t="str">
        <f>Registro!N224</f>
        <v>b) Suficiente</v>
      </c>
      <c r="P224" s="89" t="str">
        <f>Registro!O224</f>
        <v>c) Poco</v>
      </c>
      <c r="Q224" s="89" t="str">
        <f>Registro!P224</f>
        <v>c) Poco</v>
      </c>
      <c r="R224" s="89" t="str">
        <f>Registro!Q224</f>
        <v>a) La familia, e) Disponer de dinero, g) La felicidad</v>
      </c>
      <c r="S224" s="94">
        <f t="shared" si="21"/>
        <v>3</v>
      </c>
      <c r="T224" s="89" t="str">
        <f>Registro!R224</f>
        <v>b) Suficiente</v>
      </c>
      <c r="U224" s="89" t="str">
        <f>Registro!S224</f>
        <v>h) Algunas personas cercanas a Dios</v>
      </c>
      <c r="V224" s="89" t="str">
        <f>Registro!T224</f>
        <v>b) Rezo por costumbre</v>
      </c>
      <c r="W224" s="89" t="str">
        <f>Registro!U224</f>
        <v>d) Nunca</v>
      </c>
      <c r="X224" s="89" t="str">
        <f>Registro!V224</f>
        <v>f) En alguna ocasión he rezado el rosario, i) Tengo en mi cuarto alguna imagen religiosa</v>
      </c>
      <c r="Y224" s="89" t="str">
        <f>Registro!W224</f>
        <v>d) No pertenezco a ninguno</v>
      </c>
      <c r="Z224" s="89" t="str">
        <f>Registro!X224</f>
        <v>d) No pertenezco a grupos juveniles cristianos</v>
      </c>
      <c r="AA224" s="89" t="str">
        <f>Registro!Y224</f>
        <v>b) No</v>
      </c>
      <c r="AB224" s="89" t="str">
        <f>Registro!Z224</f>
        <v>b) No</v>
      </c>
      <c r="AC224" s="89" t="str">
        <f>Registro!AA224</f>
        <v>b) Docencia, e) Derecho</v>
      </c>
      <c r="AD224" s="94">
        <f t="shared" si="22"/>
        <v>2</v>
      </c>
      <c r="AE224" s="89" t="str">
        <f>Registro!AB224</f>
        <v>d) Desarrollarme personalmente</v>
      </c>
      <c r="AF224" s="89" t="str">
        <f>Registro!AC224</f>
        <v>b) Poco</v>
      </c>
      <c r="AG224" s="89" t="str">
        <f>Registro!AD224</f>
        <v>a) Los deportes y diversiones, c) Las instalaciones del Colegio</v>
      </c>
      <c r="AH224" s="94">
        <f t="shared" si="17"/>
        <v>2</v>
      </c>
      <c r="AI224" s="89" t="str">
        <f>Registro!AE224</f>
        <v>a) 0 a 2 horas</v>
      </c>
      <c r="AJ224" s="89" t="str">
        <f>Registro!AF224</f>
        <v>b) Navego en Internet, l) Escucho música y/o veo videos musicales, n) Estoy conversando con los amigos/as</v>
      </c>
      <c r="AK224" s="94">
        <f t="shared" si="18"/>
        <v>3</v>
      </c>
      <c r="AL224" s="89" t="str">
        <f>Registro!AG224</f>
        <v>b) Bueno</v>
      </c>
      <c r="AM224" s="89" t="str">
        <f>Registro!AH224</f>
        <v>a) Muy buena</v>
      </c>
      <c r="AN224" s="89">
        <f>Registro!AI224</f>
        <v>0</v>
      </c>
      <c r="AO224" s="89" t="str">
        <f>Registro!AJ224</f>
        <v>b) Buena</v>
      </c>
      <c r="AP224" s="89" t="str">
        <f>Registro!AK224</f>
        <v>c) Regular</v>
      </c>
      <c r="AQ224" s="89">
        <f>Registro!AL224</f>
        <v>0</v>
      </c>
      <c r="AR224" s="89" t="str">
        <f>Registro!AM224</f>
        <v>b) Buena</v>
      </c>
      <c r="AS224" s="89" t="str">
        <f>Registro!AN224</f>
        <v>b) Buena</v>
      </c>
      <c r="AT224" s="89" t="str">
        <f>Registro!AO224</f>
        <v>f) No aplica</v>
      </c>
      <c r="AU224" s="89" t="str">
        <f>Registro!AP224</f>
        <v>f) No aplica</v>
      </c>
      <c r="AV224" s="89" t="str">
        <f>Registro!AQ224</f>
        <v>a) Muy buena</v>
      </c>
      <c r="AW224" s="89" t="str">
        <f>Registro!AR224</f>
        <v>h) La responsabilidad social y el servicio a los demás</v>
      </c>
      <c r="AX224" s="89" t="str">
        <f>Registro!AS224</f>
        <v>c) Que me preocupe de los demás</v>
      </c>
      <c r="AY224" s="89" t="str">
        <f>Registro!AT224</f>
        <v>d) Bastante necesaria</v>
      </c>
      <c r="AZ224" s="89" t="str">
        <f>Registro!AU224</f>
        <v>c) Alguna vez he bebido más de la cuenta</v>
      </c>
      <c r="BA224" s="89" t="str">
        <f>Registro!AV224</f>
        <v>d) Buenos profesionales de la educación</v>
      </c>
      <c r="BB224" s="89" t="str">
        <f>Registro!AW224</f>
        <v>b) Poco</v>
      </c>
      <c r="BC224" s="89" t="str">
        <f>Registro!AX224</f>
        <v>c) Son personas normales y corrientes</v>
      </c>
      <c r="BD224" s="89" t="str">
        <f>Registro!AY224</f>
        <v>b) Mi madre, c) Un hermano/a, g) Un amigo, h) Una amiga</v>
      </c>
    </row>
    <row r="225" spans="1:56" ht="15" customHeight="1" x14ac:dyDescent="0.25">
      <c r="A225" s="101" t="str">
        <f>Registro!A225</f>
        <v>4/28/2015 8:36:52</v>
      </c>
      <c r="B225" s="89" t="str">
        <f>Registro!B225</f>
        <v>a) Calasanz de Caracas</v>
      </c>
      <c r="C225" s="89" t="str">
        <f>Registro!C225</f>
        <v>b) Tercer año</v>
      </c>
      <c r="D225" s="89" t="str">
        <f>Registro!D225</f>
        <v>a) Educación Inicial</v>
      </c>
      <c r="E225" s="89" t="str">
        <f>Registro!E225</f>
        <v>b) Femenino</v>
      </c>
      <c r="F225" s="89" t="str">
        <f>Registro!F225</f>
        <v>a) Católica</v>
      </c>
      <c r="G225" s="89" t="str">
        <f>Registro!G225</f>
        <v>a) Mamá, c) Hermanos, e) Otros familiares</v>
      </c>
      <c r="H225" s="89" t="str">
        <f>Registro!H225</f>
        <v>b) Casa Urbana</v>
      </c>
      <c r="I225" s="89" t="str">
        <f>Registro!I225</f>
        <v>c) Algo</v>
      </c>
      <c r="J225" s="89" t="str">
        <f>Registro!J225</f>
        <v>b) Lavadora, c) Microondas, d) TV pantalla plana, i) Computadora, j) Cámara digital</v>
      </c>
      <c r="K225" s="89" t="str">
        <f>Registro!K225</f>
        <v>e) Cuatro</v>
      </c>
      <c r="L225" s="89"/>
      <c r="M225" s="94">
        <f t="shared" si="20"/>
        <v>0</v>
      </c>
      <c r="N225" s="89" t="str">
        <f>Registro!M225</f>
        <v>b) El futuro</v>
      </c>
      <c r="O225" s="89" t="str">
        <f>Registro!N225</f>
        <v>b) Suficiente</v>
      </c>
      <c r="P225" s="89" t="str">
        <f>Registro!O225</f>
        <v>d) Nada</v>
      </c>
      <c r="Q225" s="89" t="str">
        <f>Registro!P225</f>
        <v>b) Suficiente</v>
      </c>
      <c r="R225" s="89" t="str">
        <f>Registro!Q225</f>
        <v>b) Los amigos, c) Los estudios, d) El cuidado de mi cuerpo</v>
      </c>
      <c r="S225" s="94">
        <f t="shared" si="21"/>
        <v>3</v>
      </c>
      <c r="T225" s="89" t="str">
        <f>Registro!R225</f>
        <v>b) Suficiente</v>
      </c>
      <c r="U225" s="89" t="str">
        <f>Registro!S225</f>
        <v>a) La Iglesia, d) Las convivencias, l) Los sacramentos</v>
      </c>
      <c r="V225" s="89" t="str">
        <f>Registro!T225</f>
        <v>c) Rezo solo en situación de dificultad</v>
      </c>
      <c r="W225" s="89" t="str">
        <f>Registro!U225</f>
        <v>c) Solo en fechas especiales</v>
      </c>
      <c r="X225" s="89" t="str">
        <f>Registro!V225</f>
        <v>f) En alguna ocasión he rezado el rosario, i) Tengo en mi cuarto alguna imagen religiosa</v>
      </c>
      <c r="Y225" s="89" t="str">
        <f>Registro!W225</f>
        <v>d) No pertenezco a ninguno</v>
      </c>
      <c r="Z225" s="89" t="str">
        <f>Registro!X225</f>
        <v>d) No pertenezco a grupos juveniles cristianos</v>
      </c>
      <c r="AA225" s="89" t="str">
        <f>Registro!Y225</f>
        <v>b) No</v>
      </c>
      <c r="AB225" s="89" t="str">
        <f>Registro!Z225</f>
        <v>b) No</v>
      </c>
      <c r="AC225" s="89" t="str">
        <f>Registro!AA225</f>
        <v>a) Medicina, e) Derecho</v>
      </c>
      <c r="AD225" s="94">
        <f t="shared" si="22"/>
        <v>2</v>
      </c>
      <c r="AE225" s="89" t="str">
        <f>Registro!AB225</f>
        <v>b) Tener una buena posición social, ser importante</v>
      </c>
      <c r="AF225" s="89" t="str">
        <f>Registro!AC225</f>
        <v>c) Bastante</v>
      </c>
      <c r="AG225" s="89" t="str">
        <f>Registro!AD225</f>
        <v>b) El ambiente de estudio y de trabajo, c) Las instalaciones del Colegio</v>
      </c>
      <c r="AH225" s="94">
        <f t="shared" si="17"/>
        <v>2</v>
      </c>
      <c r="AI225" s="89" t="str">
        <f>Registro!AE225</f>
        <v>b) 3 a 4 horas</v>
      </c>
      <c r="AJ225" s="89" t="str">
        <f>Registro!AF225</f>
        <v>d) Estoy la mayor parte del tiempo en la casa sin hacer nada, l) Escucho música y/o veo videos musicales, n) Estoy conversando con los amigos/as</v>
      </c>
      <c r="AK225" s="94">
        <f t="shared" si="18"/>
        <v>3</v>
      </c>
      <c r="AL225" s="89" t="str">
        <f>Registro!AG225</f>
        <v>b) Bueno</v>
      </c>
      <c r="AM225" s="89" t="str">
        <f>Registro!AH225</f>
        <v>b) Buena</v>
      </c>
      <c r="AN225" s="89" t="str">
        <f>Registro!AI225</f>
        <v>f) No aplica</v>
      </c>
      <c r="AO225" s="89" t="str">
        <f>Registro!AJ225</f>
        <v>a) Muy buena</v>
      </c>
      <c r="AP225" s="89" t="str">
        <f>Registro!AK225</f>
        <v>a) Muy buena</v>
      </c>
      <c r="AQ225" s="89" t="str">
        <f>Registro!AL225</f>
        <v>a) Muy buena</v>
      </c>
      <c r="AR225" s="89" t="str">
        <f>Registro!AM225</f>
        <v>b) Buena</v>
      </c>
      <c r="AS225" s="89" t="str">
        <f>Registro!AN225</f>
        <v>c) Regular</v>
      </c>
      <c r="AT225" s="89" t="str">
        <f>Registro!AO225</f>
        <v>c) Regular</v>
      </c>
      <c r="AU225" s="89" t="str">
        <f>Registro!AP225</f>
        <v>b) Buena</v>
      </c>
      <c r="AV225" s="89" t="str">
        <f>Registro!AQ225</f>
        <v>b) Buena</v>
      </c>
      <c r="AW225" s="89" t="str">
        <f>Registro!AR225</f>
        <v>c) El estudio</v>
      </c>
      <c r="AX225" s="89" t="str">
        <f>Registro!AS225</f>
        <v>a) Que sea un buen profesional</v>
      </c>
      <c r="AY225" s="89" t="str">
        <f>Registro!AT225</f>
        <v>c) Conveniente</v>
      </c>
      <c r="AZ225" s="89" t="str">
        <f>Registro!AU225</f>
        <v>b) Las veces que bebo, es con moderación</v>
      </c>
      <c r="BA225" s="89" t="str">
        <f>Registro!AV225</f>
        <v>c) Profesionales que hacen lo que pueden</v>
      </c>
      <c r="BB225" s="89" t="str">
        <f>Registro!AW225</f>
        <v>b) Poco</v>
      </c>
      <c r="BC225" s="89" t="str">
        <f>Registro!AX225</f>
        <v>c) Son personas normales y corrientes</v>
      </c>
      <c r="BD225" s="89" t="str">
        <f>Registro!AY225</f>
        <v>b) Mi madre, c) Un hermano/a, g) Un amigo, h) Una amiga</v>
      </c>
    </row>
    <row r="226" spans="1:56" ht="15" customHeight="1" x14ac:dyDescent="0.25">
      <c r="A226" s="101" t="str">
        <f>Registro!A226</f>
        <v>4/28/2015 8:39:13</v>
      </c>
      <c r="B226" s="89" t="str">
        <f>Registro!B226</f>
        <v>a) Calasanz de Caracas</v>
      </c>
      <c r="C226" s="89" t="str">
        <f>Registro!C226</f>
        <v>b) Tercer año</v>
      </c>
      <c r="D226" s="89" t="str">
        <f>Registro!D226</f>
        <v>a) Educación Inicial</v>
      </c>
      <c r="E226" s="89" t="str">
        <f>Registro!E226</f>
        <v>a) Masculino</v>
      </c>
      <c r="F226" s="89" t="str">
        <f>Registro!F226</f>
        <v>a) Católica</v>
      </c>
      <c r="G226" s="89" t="str">
        <f>Registro!G226</f>
        <v>a) Mamá, b) Papá, c) Hermanos</v>
      </c>
      <c r="H226" s="89" t="str">
        <f>Registro!H226</f>
        <v>d) Casa Rural</v>
      </c>
      <c r="I226" s="89" t="str">
        <f>Registro!I226</f>
        <v>a) Sí</v>
      </c>
      <c r="J226" s="89" t="str">
        <f>Registro!J226</f>
        <v>a) Cónsola videojuegos, b) Lavadora, c) Microondas, d) TV pantalla plana, e) Moto, g) MP4, h) Carro, i) Computadora, j) Cámara digital, k) Aire acondicionado</v>
      </c>
      <c r="K226" s="89" t="str">
        <f>Registro!K226</f>
        <v>d) Tres</v>
      </c>
      <c r="L226" s="89" t="str">
        <f>Registro!L226</f>
        <v>a) La familia, g) La felicidad, k) El internet</v>
      </c>
      <c r="M226" s="94">
        <f t="shared" si="20"/>
        <v>3</v>
      </c>
      <c r="N226" s="89" t="str">
        <f>Registro!M226</f>
        <v>a) Seguridad personal (la violencia y la delincuencia)</v>
      </c>
      <c r="O226" s="89" t="str">
        <f>Registro!N226</f>
        <v>a) Mucho</v>
      </c>
      <c r="P226" s="89" t="str">
        <f>Registro!O226</f>
        <v>d) Nada</v>
      </c>
      <c r="Q226" s="89" t="str">
        <f>Registro!P226</f>
        <v>c) Poco</v>
      </c>
      <c r="R226" s="89" t="str">
        <f>Registro!Q226</f>
        <v>a) La familia, c) Los estudios, g) La felicidad</v>
      </c>
      <c r="S226" s="94">
        <f t="shared" si="21"/>
        <v>3</v>
      </c>
      <c r="T226" s="89" t="str">
        <f>Registro!R226</f>
        <v>b) Suficiente</v>
      </c>
      <c r="U226" s="89" t="str">
        <f>Registro!S226</f>
        <v>b) La naturaleza</v>
      </c>
      <c r="V226" s="89" t="str">
        <f>Registro!T226</f>
        <v>c) Rezo solo en situación de dificultad</v>
      </c>
      <c r="W226" s="89" t="str">
        <f>Registro!U226</f>
        <v>d) Nunca</v>
      </c>
      <c r="X226" s="89" t="str">
        <f>Registro!V226</f>
        <v>f) En alguna ocasión he rezado el rosario, h) En Semana Santa asisto a las procesiones, i) Tengo en mi cuarto alguna imagen religiosa</v>
      </c>
      <c r="Y226" s="89" t="str">
        <f>Registro!W226</f>
        <v>a) Deportivo</v>
      </c>
      <c r="Z226" s="89" t="str">
        <f>Registro!X226</f>
        <v>d) No pertenezco a grupos juveniles cristianos</v>
      </c>
      <c r="AA226" s="89" t="str">
        <f>Registro!Y226</f>
        <v>b) No</v>
      </c>
      <c r="AB226" s="89" t="str">
        <f>Registro!Z226</f>
        <v>b) No</v>
      </c>
      <c r="AC226" s="89" t="str">
        <f>Registro!AA226</f>
        <v>a) Medicina, h) Ciencias políticas</v>
      </c>
      <c r="AD226" s="94">
        <f t="shared" si="22"/>
        <v>2</v>
      </c>
      <c r="AE226" s="89" t="str">
        <f>Registro!AB226</f>
        <v>a) Ganar mucho dinero</v>
      </c>
      <c r="AF226" s="89" t="str">
        <f>Registro!AC226</f>
        <v>b) Poco</v>
      </c>
      <c r="AG226" s="89" t="str">
        <f>Registro!AD226</f>
        <v>a) Los deportes y diversiones, c) Las instalaciones del Colegio</v>
      </c>
      <c r="AH226" s="94">
        <f t="shared" si="17"/>
        <v>2</v>
      </c>
      <c r="AI226" s="89" t="str">
        <f>Registro!AE226</f>
        <v>a) 0 a 2 horas</v>
      </c>
      <c r="AJ226" s="89" t="str">
        <f>Registro!AF226</f>
        <v>b) Navego en Internet, g) Suelo ir a discotecas o a fiestas, m) Veo televisión y/o películas</v>
      </c>
      <c r="AK226" s="94">
        <f t="shared" si="18"/>
        <v>3</v>
      </c>
      <c r="AL226" s="89" t="str">
        <f>Registro!AG226</f>
        <v>e) Muy deficiente</v>
      </c>
      <c r="AM226" s="89" t="str">
        <f>Registro!AH226</f>
        <v>f) No aplica</v>
      </c>
      <c r="AN226" s="89" t="str">
        <f>Registro!AI226</f>
        <v>f) No aplica</v>
      </c>
      <c r="AO226" s="89" t="str">
        <f>Registro!AJ226</f>
        <v>c) Regular</v>
      </c>
      <c r="AP226" s="89" t="str">
        <f>Registro!AK226</f>
        <v>e) Muy mala</v>
      </c>
      <c r="AQ226" s="89" t="str">
        <f>Registro!AL226</f>
        <v>e) Muy mala</v>
      </c>
      <c r="AR226" s="89" t="str">
        <f>Registro!AM226</f>
        <v>e) Muy mala</v>
      </c>
      <c r="AS226" s="89" t="str">
        <f>Registro!AN226</f>
        <v>e) Muy mala</v>
      </c>
      <c r="AT226" s="89" t="str">
        <f>Registro!AO226</f>
        <v>e) Muy mala</v>
      </c>
      <c r="AU226" s="89" t="str">
        <f>Registro!AP226</f>
        <v>e) Muy mala</v>
      </c>
      <c r="AV226" s="89" t="str">
        <f>Registro!AQ226</f>
        <v>c) Regular</v>
      </c>
      <c r="AW226" s="89" t="str">
        <f>Registro!AR226</f>
        <v>i) En nada</v>
      </c>
      <c r="AX226" s="89" t="str">
        <f>Registro!AS226</f>
        <v>a) Que sea un buen profesional</v>
      </c>
      <c r="AY226" s="89" t="str">
        <f>Registro!AT226</f>
        <v>b) Indiferente</v>
      </c>
      <c r="AZ226" s="89" t="str">
        <f>Registro!AU226</f>
        <v>d) Con frecuencia (fines de semana u otros momentos) suelo beber más de la cuenta</v>
      </c>
      <c r="BA226" s="89" t="str">
        <f>Registro!AV226</f>
        <v>c) Profesionales que hacen lo que pueden</v>
      </c>
      <c r="BB226" s="89" t="str">
        <f>Registro!AW226</f>
        <v>b) Poco</v>
      </c>
      <c r="BC226" s="89" t="str">
        <f>Registro!AX226</f>
        <v>a) No me gustan en absoluto</v>
      </c>
      <c r="BD226" s="89" t="str">
        <f>Registro!AY226</f>
        <v>a) Mi padre, b) Mi madre, c) Un hermano/a, g) Un amigo</v>
      </c>
    </row>
    <row r="227" spans="1:56" ht="15" customHeight="1" x14ac:dyDescent="0.25">
      <c r="A227" s="101" t="str">
        <f>Registro!A227</f>
        <v>4/28/2015 8:39:13</v>
      </c>
      <c r="B227" s="89" t="str">
        <f>Registro!B227</f>
        <v>a) Calasanz de Caracas</v>
      </c>
      <c r="C227" s="89" t="str">
        <f>Registro!C227</f>
        <v>b) Tercer año</v>
      </c>
      <c r="D227" s="89" t="str">
        <f>Registro!D227</f>
        <v>a) Educación Inicial</v>
      </c>
      <c r="E227" s="89" t="str">
        <f>Registro!E227</f>
        <v>a) Masculino</v>
      </c>
      <c r="F227" s="89" t="str">
        <f>Registro!F227</f>
        <v>d) Otra</v>
      </c>
      <c r="G227" s="89" t="str">
        <f>Registro!G227</f>
        <v>d) Abuelos</v>
      </c>
      <c r="H227" s="89" t="str">
        <f>Registro!H227</f>
        <v>b) Casa Urbana</v>
      </c>
      <c r="I227" s="89" t="str">
        <f>Registro!I227</f>
        <v>c) Algo</v>
      </c>
      <c r="J227" s="89" t="str">
        <f>Registro!J227</f>
        <v>a) Cónsola videojuegos, b) Lavadora, c) Microondas, d) TV pantalla plana, f) MP3, g) MP4, i) Computadora, j) Cámara digital</v>
      </c>
      <c r="K227" s="89" t="str">
        <f>Registro!K227</f>
        <v>c) Dos</v>
      </c>
      <c r="L227" s="89" t="str">
        <f>Registro!L227</f>
        <v>c) Los estudios, e) Disponer de dinero, g) La felicidad</v>
      </c>
      <c r="M227" s="94">
        <f t="shared" si="20"/>
        <v>3</v>
      </c>
      <c r="N227" s="89" t="str">
        <f>Registro!M227</f>
        <v>b) El futuro</v>
      </c>
      <c r="O227" s="89" t="str">
        <f>Registro!N227</f>
        <v>c) Poco</v>
      </c>
      <c r="P227" s="89" t="str">
        <f>Registro!O227</f>
        <v>b) Suficiente</v>
      </c>
      <c r="Q227" s="89" t="str">
        <f>Registro!P227</f>
        <v>b) Suficiente</v>
      </c>
      <c r="R227" s="89" t="str">
        <f>Registro!Q227</f>
        <v>b) Los amigos, c) Los estudios, d) El cuidado de mi cuerpo</v>
      </c>
      <c r="S227" s="94">
        <f t="shared" si="21"/>
        <v>3</v>
      </c>
      <c r="T227" s="89" t="str">
        <f>Registro!R227</f>
        <v>b) Suficiente</v>
      </c>
      <c r="U227" s="89">
        <f>Registro!S227</f>
        <v>0</v>
      </c>
      <c r="V227" s="89" t="str">
        <f>Registro!T227</f>
        <v>d) No rezo nunca</v>
      </c>
      <c r="W227" s="89" t="str">
        <f>Registro!U227</f>
        <v>c) Solo en fechas especiales</v>
      </c>
      <c r="X227" s="89" t="str">
        <f>Registro!V227</f>
        <v>e) Voy a misa en las fechas de mis familiares difuntos, i) Tengo en mi cuarto alguna imagen religiosa</v>
      </c>
      <c r="Y227" s="89" t="str">
        <f>Registro!W227</f>
        <v>d) No pertenezco a ninguno</v>
      </c>
      <c r="Z227" s="89" t="str">
        <f>Registro!X227</f>
        <v>d) No pertenezco a grupos juveniles cristianos</v>
      </c>
      <c r="AA227" s="89" t="str">
        <f>Registro!Y227</f>
        <v>b) No</v>
      </c>
      <c r="AB227" s="89" t="str">
        <f>Registro!Z227</f>
        <v>b) No</v>
      </c>
      <c r="AC227" s="89" t="str">
        <f>Registro!AA227</f>
        <v>d) Ingeniería, h) Ciencias políticas</v>
      </c>
      <c r="AD227" s="94">
        <f t="shared" si="22"/>
        <v>2</v>
      </c>
      <c r="AE227" s="89" t="str">
        <f>Registro!AB227</f>
        <v>a) Ganar mucho dinero</v>
      </c>
      <c r="AF227" s="89" t="str">
        <f>Registro!AC227</f>
        <v>b) Poco</v>
      </c>
      <c r="AG227" s="89" t="str">
        <f>Registro!AD227</f>
        <v>b) El ambiente de estudio y de trabajo, c) Las instalaciones del Colegio</v>
      </c>
      <c r="AH227" s="94">
        <f t="shared" si="17"/>
        <v>2</v>
      </c>
      <c r="AI227" s="89" t="str">
        <f>Registro!AE227</f>
        <v>e) 9 a 10 horas</v>
      </c>
      <c r="AJ227" s="89" t="str">
        <f>Registro!AF227</f>
        <v>a) Me divierto con juegos para computadoras, b) Navego en Internet, l) Escucho música y/o veo videos musicales</v>
      </c>
      <c r="AK227" s="94">
        <f t="shared" si="18"/>
        <v>3</v>
      </c>
      <c r="AL227" s="89" t="str">
        <f>Registro!AG227</f>
        <v>c) Regular</v>
      </c>
      <c r="AM227" s="89" t="str">
        <f>Registro!AH227</f>
        <v>f) No aplica</v>
      </c>
      <c r="AN227" s="89" t="str">
        <f>Registro!AI227</f>
        <v>f) No aplica</v>
      </c>
      <c r="AO227" s="89" t="str">
        <f>Registro!AJ227</f>
        <v>b) Buena</v>
      </c>
      <c r="AP227" s="89" t="str">
        <f>Registro!AK227</f>
        <v>a) Muy buena</v>
      </c>
      <c r="AQ227" s="89" t="str">
        <f>Registro!AL227</f>
        <v>c) Regular</v>
      </c>
      <c r="AR227" s="89" t="str">
        <f>Registro!AM227</f>
        <v>c) Regular</v>
      </c>
      <c r="AS227" s="89" t="str">
        <f>Registro!AN227</f>
        <v>c) Regular</v>
      </c>
      <c r="AT227" s="89" t="str">
        <f>Registro!AO227</f>
        <v>e) Muy mala</v>
      </c>
      <c r="AU227" s="89" t="str">
        <f>Registro!AP227</f>
        <v>c) Regular</v>
      </c>
      <c r="AV227" s="89" t="str">
        <f>Registro!AQ227</f>
        <v>c) Regular</v>
      </c>
      <c r="AW227" s="89" t="str">
        <f>Registro!AR227</f>
        <v>g) La orientación profesional futura</v>
      </c>
      <c r="AX227" s="89" t="str">
        <f>Registro!AS227</f>
        <v>g) No tienen una preocupación especial</v>
      </c>
      <c r="AY227" s="89" t="str">
        <f>Registro!AT227</f>
        <v>c) Conveniente</v>
      </c>
      <c r="AZ227" s="89" t="str">
        <f>Registro!AU227</f>
        <v>c) Alguna vez he bebido más de la cuenta</v>
      </c>
      <c r="BA227" s="89" t="str">
        <f>Registro!AV227</f>
        <v>a) Personas a las que tengo que aguantar</v>
      </c>
      <c r="BB227" s="89" t="str">
        <f>Registro!AW227</f>
        <v>b) Poco</v>
      </c>
      <c r="BC227" s="89" t="str">
        <f>Registro!AX227</f>
        <v>c) Son personas normales y corrientes</v>
      </c>
      <c r="BD227" s="89" t="str">
        <f>Registro!AY227</f>
        <v>g) Un amigo, h) Una amiga</v>
      </c>
    </row>
    <row r="228" spans="1:56" ht="15" customHeight="1" x14ac:dyDescent="0.25">
      <c r="A228" s="101" t="str">
        <f>Registro!A228</f>
        <v>4/28/2015 8:42:02</v>
      </c>
      <c r="B228" s="89" t="str">
        <f>Registro!B228</f>
        <v>a) Calasanz de Caracas</v>
      </c>
      <c r="C228" s="89" t="str">
        <f>Registro!C228</f>
        <v>b) Tercer año</v>
      </c>
      <c r="D228" s="89" t="str">
        <f>Registro!D228</f>
        <v>a) Educación Inicial</v>
      </c>
      <c r="E228" s="89" t="str">
        <f>Registro!E228</f>
        <v>b) Femenino</v>
      </c>
      <c r="F228" s="89" t="str">
        <f>Registro!F228</f>
        <v>a) Católica</v>
      </c>
      <c r="G228" s="89" t="str">
        <f>Registro!G228</f>
        <v>a) Mamá, b) Papá, c) Hermanos, d) Abuelos</v>
      </c>
      <c r="H228" s="89" t="str">
        <f>Registro!H228</f>
        <v>b) Casa Urbana</v>
      </c>
      <c r="I228" s="89" t="str">
        <f>Registro!I228</f>
        <v>a) Sí</v>
      </c>
      <c r="J228" s="89" t="str">
        <f>Registro!J228</f>
        <v>b) Lavadora, c) Microondas, d) TV pantalla plana, i) Computadora, j) Cámara digital</v>
      </c>
      <c r="K228" s="89" t="str">
        <f>Registro!K228</f>
        <v>c) Dos</v>
      </c>
      <c r="L228" s="89"/>
      <c r="M228" s="94">
        <f t="shared" si="20"/>
        <v>0</v>
      </c>
      <c r="N228" s="89" t="str">
        <f>Registro!M228</f>
        <v>d) Los problemas familiares</v>
      </c>
      <c r="O228" s="89" t="str">
        <f>Registro!N228</f>
        <v>b) Suficiente</v>
      </c>
      <c r="P228" s="89" t="str">
        <f>Registro!O228</f>
        <v>b) Suficiente</v>
      </c>
      <c r="Q228" s="89" t="str">
        <f>Registro!P228</f>
        <v>b) Suficiente</v>
      </c>
      <c r="R228" s="89" t="str">
        <f>Registro!Q228</f>
        <v>a) La familia, e) Disponer de dinero, g) La felicidad</v>
      </c>
      <c r="S228" s="94">
        <f t="shared" si="21"/>
        <v>3</v>
      </c>
      <c r="T228" s="89" t="str">
        <f>Registro!R228</f>
        <v>b) Suficiente</v>
      </c>
      <c r="U228" s="89" t="str">
        <f>Registro!S228</f>
        <v>a) La Iglesia, b) La naturaleza, d) Las convivencias, f) Todas las personas, g) Mi familia, h) Algunas personas cercanas a Dios, i) Los necesitados, j) Todas partes, k) La oración, l) Los sacramentos</v>
      </c>
      <c r="V228" s="89" t="str">
        <f>Registro!T228</f>
        <v>c) Rezo solo en situación de dificultad</v>
      </c>
      <c r="W228" s="89" t="str">
        <f>Registro!U228</f>
        <v>c) Solo en fechas especiales</v>
      </c>
      <c r="X228" s="89" t="str">
        <f>Registro!V228</f>
        <v>a) Suelo llevar una cruz o algún objeto religioso, e) Voy a misa en las fechas de mis familiares difuntos, f) En alguna ocasión he rezado el rosario, h) En Semana Santa asisto a las procesiones, i) Tengo en mi cuarto alguna imagen religiosa</v>
      </c>
      <c r="Y228" s="89" t="str">
        <f>Registro!W228</f>
        <v>a) Deportivo</v>
      </c>
      <c r="Z228" s="89" t="str">
        <f>Registro!X228</f>
        <v>d) No pertenezco a grupos juveniles cristianos</v>
      </c>
      <c r="AA228" s="89" t="str">
        <f>Registro!Y228</f>
        <v>b) No</v>
      </c>
      <c r="AB228" s="89" t="str">
        <f>Registro!Z228</f>
        <v>b) No</v>
      </c>
      <c r="AC228" s="89" t="str">
        <f>Registro!AA228</f>
        <v>a) Medicina, b) Docencia</v>
      </c>
      <c r="AD228" s="94">
        <f t="shared" si="22"/>
        <v>2</v>
      </c>
      <c r="AE228" s="89" t="str">
        <f>Registro!AB228</f>
        <v>b) Tener una buena posición social, ser importante</v>
      </c>
      <c r="AF228" s="89" t="str">
        <f>Registro!AC228</f>
        <v>c) Bastante</v>
      </c>
      <c r="AG228" s="89" t="str">
        <f>Registro!AD228</f>
        <v>a) Los deportes y diversiones, b) El ambiente de estudio y de trabajo</v>
      </c>
      <c r="AH228" s="94">
        <f t="shared" si="17"/>
        <v>2</v>
      </c>
      <c r="AI228" s="89" t="str">
        <f>Registro!AE228</f>
        <v>b) 3 a 4 horas</v>
      </c>
      <c r="AJ228" s="89" t="str">
        <f>Registro!AF228</f>
        <v>i) Leo revistas o libros, k) Practico algún deporte, m) Veo televisión y/o películas</v>
      </c>
      <c r="AK228" s="94">
        <f t="shared" si="18"/>
        <v>3</v>
      </c>
      <c r="AL228" s="89" t="str">
        <f>Registro!AG228</f>
        <v>b) Bueno</v>
      </c>
      <c r="AM228" s="89" t="str">
        <f>Registro!AH228</f>
        <v>b) Buena</v>
      </c>
      <c r="AN228" s="89">
        <f>Registro!AI228</f>
        <v>0</v>
      </c>
      <c r="AO228" s="89" t="str">
        <f>Registro!AJ228</f>
        <v>b) Buena</v>
      </c>
      <c r="AP228" s="89" t="str">
        <f>Registro!AK228</f>
        <v>b) Buena</v>
      </c>
      <c r="AQ228" s="89" t="str">
        <f>Registro!AL228</f>
        <v>a) Muy buena</v>
      </c>
      <c r="AR228" s="89" t="str">
        <f>Registro!AM228</f>
        <v>b) Buena</v>
      </c>
      <c r="AS228" s="89" t="str">
        <f>Registro!AN228</f>
        <v>b) Buena</v>
      </c>
      <c r="AT228" s="89" t="str">
        <f>Registro!AO228</f>
        <v>c) Regular</v>
      </c>
      <c r="AU228" s="89" t="str">
        <f>Registro!AP228</f>
        <v>c) Regular</v>
      </c>
      <c r="AV228" s="89" t="str">
        <f>Registro!AQ228</f>
        <v>b) Buena</v>
      </c>
      <c r="AW228" s="89" t="str">
        <f>Registro!AR228</f>
        <v>b) La orientación cristiana</v>
      </c>
      <c r="AX228" s="89" t="str">
        <f>Registro!AS228</f>
        <v>a) Que sea un buen profesional</v>
      </c>
      <c r="AY228" s="89" t="str">
        <f>Registro!AT228</f>
        <v>c) Conveniente</v>
      </c>
      <c r="AZ228" s="89" t="str">
        <f>Registro!AU228</f>
        <v>a) No acostumbro a tomarlo nunca</v>
      </c>
      <c r="BA228" s="89" t="str">
        <f>Registro!AV228</f>
        <v>f) Educadores que, además, me han abierto caminos</v>
      </c>
      <c r="BB228" s="89" t="str">
        <f>Registro!AW228</f>
        <v>c) Bastante</v>
      </c>
      <c r="BC228" s="89" t="str">
        <f>Registro!AX228</f>
        <v>d) Hay de todo tipo, pero predomina lo positivo</v>
      </c>
      <c r="BD228" s="89" t="str">
        <f>Registro!AY228</f>
        <v>b) Mi madre, c) Un hermano/a, f) La orientadora, g) Un amigo, h) Una amiga</v>
      </c>
    </row>
    <row r="229" spans="1:56" ht="15" customHeight="1" x14ac:dyDescent="0.25">
      <c r="A229" s="101" t="str">
        <f>Registro!A229</f>
        <v>4/28/2015 8:42:13</v>
      </c>
      <c r="B229" s="89" t="str">
        <f>Registro!B229</f>
        <v>a) Calasanz de Caracas</v>
      </c>
      <c r="C229" s="89" t="str">
        <f>Registro!C229</f>
        <v>b) Tercer año</v>
      </c>
      <c r="D229" s="89" t="str">
        <f>Registro!D229</f>
        <v>a) Educación Inicial</v>
      </c>
      <c r="E229" s="89" t="str">
        <f>Registro!E229</f>
        <v>b) Femenino</v>
      </c>
      <c r="F229" s="89" t="str">
        <f>Registro!F229</f>
        <v>d) Otra</v>
      </c>
      <c r="G229" s="89" t="str">
        <f>Registro!G229</f>
        <v>a) Mamá, b) Papá, c) Hermanos, d) Abuelos</v>
      </c>
      <c r="H229" s="89" t="str">
        <f>Registro!H229</f>
        <v>c) Apartamento</v>
      </c>
      <c r="I229" s="89" t="str">
        <f>Registro!I229</f>
        <v>d) No sé</v>
      </c>
      <c r="J229" s="89" t="str">
        <f>Registro!J229</f>
        <v>a) Cónsola videojuegos, b) Lavadora, c) Microondas, d) TV pantalla plana, i) Computadora, j) Cámara digital</v>
      </c>
      <c r="K229" s="89" t="str">
        <f>Registro!K229</f>
        <v>c) Dos</v>
      </c>
      <c r="L229" s="89" t="str">
        <f>Registro!L229</f>
        <v>a) La familia, b) Los amigos, i) La música</v>
      </c>
      <c r="M229" s="94">
        <f t="shared" si="20"/>
        <v>3</v>
      </c>
      <c r="N229" s="89" t="str">
        <f>Registro!M229</f>
        <v>b) El futuro</v>
      </c>
      <c r="O229" s="89" t="str">
        <f>Registro!N229</f>
        <v>b) Suficiente</v>
      </c>
      <c r="P229" s="89" t="str">
        <f>Registro!O229</f>
        <v>b) Suficiente</v>
      </c>
      <c r="Q229" s="89" t="str">
        <f>Registro!P229</f>
        <v>b) Suficiente</v>
      </c>
      <c r="R229" s="89" t="str">
        <f>Registro!Q229</f>
        <v>a) La familia, c) Los estudios, e) Disponer de dinero</v>
      </c>
      <c r="S229" s="94">
        <f t="shared" si="21"/>
        <v>3</v>
      </c>
      <c r="T229" s="89" t="str">
        <f>Registro!R229</f>
        <v>c) Poco</v>
      </c>
      <c r="U229" s="89" t="str">
        <f>Registro!S229</f>
        <v>j) Todas partes</v>
      </c>
      <c r="V229" s="89" t="str">
        <f>Registro!T229</f>
        <v>d) No rezo nunca</v>
      </c>
      <c r="W229" s="89" t="str">
        <f>Registro!U229</f>
        <v>d) Nunca</v>
      </c>
      <c r="X229" s="89" t="str">
        <f>Registro!V229</f>
        <v>h) En Semana Santa asisto a las procesiones</v>
      </c>
      <c r="Y229" s="89" t="str">
        <f>Registro!W229</f>
        <v>d) No pertenezco a ninguno</v>
      </c>
      <c r="Z229" s="89" t="str">
        <f>Registro!X229</f>
        <v>d) No pertenezco a grupos juveniles cristianos</v>
      </c>
      <c r="AA229" s="89" t="str">
        <f>Registro!Y229</f>
        <v>b) No</v>
      </c>
      <c r="AB229" s="89" t="str">
        <f>Registro!Z229</f>
        <v>b) No</v>
      </c>
      <c r="AC229" s="89" t="str">
        <f>Registro!AA229</f>
        <v>e) Derecho, g) Artista</v>
      </c>
      <c r="AD229" s="94">
        <f t="shared" si="22"/>
        <v>2</v>
      </c>
      <c r="AE229" s="89" t="str">
        <f>Registro!AB229</f>
        <v>d) Desarrollarme personalmente</v>
      </c>
      <c r="AF229" s="89" t="str">
        <f>Registro!AC229</f>
        <v>e) No sé</v>
      </c>
      <c r="AG229" s="89" t="str">
        <f>Registro!AD229</f>
        <v>i) No me gusta nada</v>
      </c>
      <c r="AH229" s="94">
        <f t="shared" si="17"/>
        <v>1</v>
      </c>
      <c r="AI229" s="89" t="str">
        <f>Registro!AE229</f>
        <v>a) 0 a 2 horas</v>
      </c>
      <c r="AJ229" s="89" t="str">
        <f>Registro!AF229</f>
        <v>a) Me divierto con juegos para computadoras, i) Leo revistas o libros, l) Escucho música y/o veo videos musicales</v>
      </c>
      <c r="AK229" s="94">
        <f t="shared" si="18"/>
        <v>3</v>
      </c>
      <c r="AL229" s="89" t="str">
        <f>Registro!AG229</f>
        <v>b) Bueno</v>
      </c>
      <c r="AM229" s="89" t="str">
        <f>Registro!AH229</f>
        <v>b) Buena</v>
      </c>
      <c r="AN229" s="89" t="str">
        <f>Registro!AI229</f>
        <v>f) No aplica</v>
      </c>
      <c r="AO229" s="89" t="str">
        <f>Registro!AJ229</f>
        <v>b) Buena</v>
      </c>
      <c r="AP229" s="89" t="str">
        <f>Registro!AK229</f>
        <v>b) Buena</v>
      </c>
      <c r="AQ229" s="89" t="str">
        <f>Registro!AL229</f>
        <v>b) Buena</v>
      </c>
      <c r="AR229" s="89" t="str">
        <f>Registro!AM229</f>
        <v>b) Buena</v>
      </c>
      <c r="AS229" s="89" t="str">
        <f>Registro!AN229</f>
        <v>f) No aplica</v>
      </c>
      <c r="AT229" s="89" t="str">
        <f>Registro!AO229</f>
        <v>f) No aplica</v>
      </c>
      <c r="AU229" s="89" t="str">
        <f>Registro!AP229</f>
        <v>f) No aplica</v>
      </c>
      <c r="AV229" s="89" t="str">
        <f>Registro!AQ229</f>
        <v>b) Buena</v>
      </c>
      <c r="AW229" s="89" t="str">
        <f>Registro!AR229</f>
        <v>i) En nada</v>
      </c>
      <c r="AX229" s="89" t="str">
        <f>Registro!AS229</f>
        <v>h) No sé</v>
      </c>
      <c r="AY229" s="89" t="str">
        <f>Registro!AT229</f>
        <v>a) Innecesaria</v>
      </c>
      <c r="AZ229" s="89" t="str">
        <f>Registro!AU229</f>
        <v>b) Las veces que bebo, es con moderación</v>
      </c>
      <c r="BA229" s="89" t="str">
        <f>Registro!AV229</f>
        <v>c) Profesionales que hacen lo que pueden</v>
      </c>
      <c r="BB229" s="89" t="str">
        <f>Registro!AW229</f>
        <v>a) No, en absoluto</v>
      </c>
      <c r="BC229" s="89" t="str">
        <f>Registro!AX229</f>
        <v>a) No me gustan en absoluto</v>
      </c>
      <c r="BD229" s="89" t="str">
        <f>Registro!AY229</f>
        <v>a) Mi padre</v>
      </c>
    </row>
    <row r="230" spans="1:56" ht="15" customHeight="1" x14ac:dyDescent="0.25">
      <c r="A230" s="101" t="str">
        <f>Registro!A230</f>
        <v>4/28/2015 8:43:07</v>
      </c>
      <c r="B230" s="89" t="str">
        <f>Registro!B230</f>
        <v>a) Calasanz de Caracas</v>
      </c>
      <c r="C230" s="89" t="str">
        <f>Registro!C230</f>
        <v>b) Tercer año</v>
      </c>
      <c r="D230" s="89" t="str">
        <f>Registro!D230</f>
        <v>a) Educación Inicial</v>
      </c>
      <c r="E230" s="89" t="str">
        <f>Registro!E230</f>
        <v>b) Femenino</v>
      </c>
      <c r="F230" s="89" t="str">
        <f>Registro!F230</f>
        <v>d) Otra</v>
      </c>
      <c r="G230" s="89" t="str">
        <f>Registro!G230</f>
        <v>a) Mamá, b) Papá, c) Hermanos</v>
      </c>
      <c r="H230" s="89" t="str">
        <f>Registro!H230</f>
        <v>c) Apartamento</v>
      </c>
      <c r="I230" s="89" t="str">
        <f>Registro!I230</f>
        <v>a) Sí</v>
      </c>
      <c r="J230" s="89" t="str">
        <f>Registro!J230</f>
        <v>b) Lavadora, c) Microondas, d) TV pantalla plana, h) Carro, i) Computadora, k) Aire acondicionado</v>
      </c>
      <c r="K230" s="89" t="str">
        <f>Registro!K230</f>
        <v>b) Una</v>
      </c>
      <c r="L230" s="89"/>
      <c r="M230" s="94">
        <f t="shared" si="20"/>
        <v>0</v>
      </c>
      <c r="N230" s="89" t="str">
        <f>Registro!M230</f>
        <v>a) Seguridad personal (la violencia y la delincuencia)</v>
      </c>
      <c r="O230" s="89" t="str">
        <f>Registro!N230</f>
        <v>b) Suficiente</v>
      </c>
      <c r="P230" s="89" t="str">
        <f>Registro!O230</f>
        <v>c) Poco</v>
      </c>
      <c r="Q230" s="89" t="str">
        <f>Registro!P230</f>
        <v>b) Suficiente</v>
      </c>
      <c r="R230" s="89" t="str">
        <f>Registro!Q230</f>
        <v>c) Los estudios, h) La sexualidad, i) La música</v>
      </c>
      <c r="S230" s="94">
        <f t="shared" si="21"/>
        <v>3</v>
      </c>
      <c r="T230" s="89" t="str">
        <f>Registro!R230</f>
        <v>a) Mucho</v>
      </c>
      <c r="U230" s="89" t="str">
        <f>Registro!S230</f>
        <v>a) La Iglesia, k) La oración</v>
      </c>
      <c r="V230" s="89" t="str">
        <f>Registro!T230</f>
        <v>a) Suelo rezar por convicción o porque me gusta</v>
      </c>
      <c r="W230" s="89" t="str">
        <f>Registro!U230</f>
        <v>a) Todos los domingos</v>
      </c>
      <c r="X230" s="89" t="str">
        <f>Registro!V230</f>
        <v>c) Suelo ir los domingos y otras fechas especiales a la Iglesia, d) Suelo orar todos los días</v>
      </c>
      <c r="Y230" s="89" t="str">
        <f>Registro!W230</f>
        <v>d) No pertenezco a ninguno</v>
      </c>
      <c r="Z230" s="89" t="str">
        <f>Registro!X230</f>
        <v>d) No pertenezco a grupos juveniles cristianos</v>
      </c>
      <c r="AA230" s="89" t="str">
        <f>Registro!Y230</f>
        <v>b) No</v>
      </c>
      <c r="AB230" s="89" t="str">
        <f>Registro!Z230</f>
        <v>b) No</v>
      </c>
      <c r="AC230" s="89" t="str">
        <f>Registro!AA230</f>
        <v>g) Artista, j) Trabajador calificado</v>
      </c>
      <c r="AD230" s="94">
        <f t="shared" si="22"/>
        <v>2</v>
      </c>
      <c r="AE230" s="89" t="str">
        <f>Registro!AB230</f>
        <v>d) Desarrollarme personalmente</v>
      </c>
      <c r="AF230" s="89" t="str">
        <f>Registro!AC230</f>
        <v>e) No sé</v>
      </c>
      <c r="AG230" s="89" t="str">
        <f>Registro!AD230</f>
        <v>b) El ambiente de estudio y de trabajo, c) Las instalaciones del Colegio</v>
      </c>
      <c r="AH230" s="94">
        <f t="shared" si="17"/>
        <v>2</v>
      </c>
      <c r="AI230" s="89" t="str">
        <f>Registro!AE230</f>
        <v>a) 0 a 2 horas</v>
      </c>
      <c r="AJ230" s="89" t="str">
        <f>Registro!AF230</f>
        <v>f) Toco un instrumento musical</v>
      </c>
      <c r="AK230" s="94">
        <f t="shared" si="18"/>
        <v>1</v>
      </c>
      <c r="AL230" s="89" t="str">
        <f>Registro!AG230</f>
        <v>b) Bueno</v>
      </c>
      <c r="AM230" s="89" t="str">
        <f>Registro!AH230</f>
        <v>b) Buena</v>
      </c>
      <c r="AN230" s="89" t="str">
        <f>Registro!AI230</f>
        <v>f) No aplica</v>
      </c>
      <c r="AO230" s="89" t="str">
        <f>Registro!AJ230</f>
        <v>b) Buena</v>
      </c>
      <c r="AP230" s="89" t="str">
        <f>Registro!AK230</f>
        <v>b) Buena</v>
      </c>
      <c r="AQ230" s="89" t="str">
        <f>Registro!AL230</f>
        <v>b) Buena</v>
      </c>
      <c r="AR230" s="89" t="str">
        <f>Registro!AM230</f>
        <v>c) Regular</v>
      </c>
      <c r="AS230" s="89" t="str">
        <f>Registro!AN230</f>
        <v>f) No aplica</v>
      </c>
      <c r="AT230" s="89" t="str">
        <f>Registro!AO230</f>
        <v>f) No aplica</v>
      </c>
      <c r="AU230" s="89" t="str">
        <f>Registro!AP230</f>
        <v>f) No aplica</v>
      </c>
      <c r="AV230" s="89" t="str">
        <f>Registro!AQ230</f>
        <v>a) Muy buena</v>
      </c>
      <c r="AW230" s="89" t="str">
        <f>Registro!AR230</f>
        <v>h) La responsabilidad social y el servicio a los demás</v>
      </c>
      <c r="AX230" s="89" t="str">
        <f>Registro!AS230</f>
        <v>b) Darme una buena educación</v>
      </c>
      <c r="AY230" s="89" t="str">
        <f>Registro!AT230</f>
        <v>e) Absolutamente necesaria</v>
      </c>
      <c r="AZ230" s="89" t="str">
        <f>Registro!AU230</f>
        <v>b) Las veces que bebo, es con moderación</v>
      </c>
      <c r="BA230" s="89" t="str">
        <f>Registro!AV230</f>
        <v>e) Educadores que se preocupan de nosotros</v>
      </c>
      <c r="BB230" s="89" t="str">
        <f>Registro!AW230</f>
        <v>b) Poco</v>
      </c>
      <c r="BC230" s="89" t="str">
        <f>Registro!AX230</f>
        <v>c) Son personas normales y corrientes</v>
      </c>
      <c r="BD230" s="89" t="str">
        <f>Registro!AY230</f>
        <v>a) Mi padre, b) Mi madre, c) Un hermano/a, h) Una amiga</v>
      </c>
    </row>
    <row r="231" spans="1:56" ht="15" customHeight="1" x14ac:dyDescent="0.25">
      <c r="A231" s="101" t="str">
        <f>Registro!A231</f>
        <v>4/28/2015 8:44:19</v>
      </c>
      <c r="B231" s="89" t="str">
        <f>Registro!B231</f>
        <v>a) Calasanz de Caracas</v>
      </c>
      <c r="C231" s="89" t="str">
        <f>Registro!C231</f>
        <v>b) Tercer año</v>
      </c>
      <c r="D231" s="89" t="str">
        <f>Registro!D231</f>
        <v>c) Entre Primero y Tercer año</v>
      </c>
      <c r="E231" s="89" t="str">
        <f>Registro!E231</f>
        <v>b) Femenino</v>
      </c>
      <c r="F231" s="89" t="str">
        <f>Registro!F231</f>
        <v>a) Católica</v>
      </c>
      <c r="G231" s="89" t="str">
        <f>Registro!G231</f>
        <v>a) Mamá, b) Papá, c) Hermanos</v>
      </c>
      <c r="H231" s="89" t="str">
        <f>Registro!H231</f>
        <v>c) Apartamento</v>
      </c>
      <c r="I231" s="89" t="str">
        <f>Registro!I231</f>
        <v>c) Algo</v>
      </c>
      <c r="J231" s="89" t="str">
        <f>Registro!J231</f>
        <v>a) Cónsola videojuegos, b) Lavadora, d) TV pantalla plana, i) Computadora, j) Cámara digital</v>
      </c>
      <c r="K231" s="89" t="str">
        <f>Registro!K231</f>
        <v>b) Una</v>
      </c>
      <c r="L231" s="89" t="str">
        <f>Registro!L231</f>
        <v>a) La familia, g) La felicidad, i) La música</v>
      </c>
      <c r="M231" s="94">
        <f t="shared" si="20"/>
        <v>3</v>
      </c>
      <c r="N231" s="89" t="str">
        <f>Registro!M231</f>
        <v>a) Seguridad personal (la violencia y la delincuencia)</v>
      </c>
      <c r="O231" s="89" t="str">
        <f>Registro!N231</f>
        <v>b) Suficiente</v>
      </c>
      <c r="P231" s="89" t="str">
        <f>Registro!O231</f>
        <v>a) Mucho</v>
      </c>
      <c r="Q231" s="89" t="str">
        <f>Registro!P231</f>
        <v>b) Suficiente</v>
      </c>
      <c r="R231" s="89"/>
      <c r="S231" s="94">
        <f t="shared" si="21"/>
        <v>0</v>
      </c>
      <c r="T231" s="89" t="str">
        <f>Registro!R231</f>
        <v>a) Mucho</v>
      </c>
      <c r="U231" s="89" t="str">
        <f>Registro!S231</f>
        <v>b) La naturaleza, g) Mi familia, k) La oración</v>
      </c>
      <c r="V231" s="89" t="str">
        <f>Registro!T231</f>
        <v>b) Rezo por costumbre</v>
      </c>
      <c r="W231" s="89" t="str">
        <f>Registro!U231</f>
        <v>d) Nunca</v>
      </c>
      <c r="X231" s="89" t="str">
        <f>Registro!V231</f>
        <v>b) Suelo bendedir los alimentos antes de comer, e) Voy a misa en las fechas de mis familiares difuntos, g) En ocasiones, en mi casa tenemos una oración familiar, i) Tengo en mi cuarto alguna imagen religiosa</v>
      </c>
      <c r="Y231" s="89" t="str">
        <f>Registro!W231</f>
        <v xml:space="preserve">b) Cultural (folklórico, musicales, danzas, scout, banda marcial,...) </v>
      </c>
      <c r="Z231" s="89" t="str">
        <f>Registro!X231</f>
        <v>a) Un grupo donde profundizo mi fe</v>
      </c>
      <c r="AA231" s="89" t="str">
        <f>Registro!Y231</f>
        <v>b) No</v>
      </c>
      <c r="AB231" s="89" t="str">
        <f>Registro!Z231</f>
        <v>b) No</v>
      </c>
      <c r="AC231" s="89" t="str">
        <f>Registro!AA231</f>
        <v>g) Artista, j) Trabajador calificado</v>
      </c>
      <c r="AD231" s="94">
        <f t="shared" si="22"/>
        <v>2</v>
      </c>
      <c r="AE231" s="89" t="str">
        <f>Registro!AB231</f>
        <v>c) Ser un excelente profesional</v>
      </c>
      <c r="AF231" s="89" t="str">
        <f>Registro!AC231</f>
        <v>b) Poco</v>
      </c>
      <c r="AG231" s="89" t="str">
        <f>Registro!AD231</f>
        <v>a) Los deportes y diversiones, h) Las actividades extraescolares</v>
      </c>
      <c r="AH231" s="94">
        <f t="shared" si="17"/>
        <v>2</v>
      </c>
      <c r="AI231" s="89" t="str">
        <f>Registro!AE231</f>
        <v>f) 11 o más horas</v>
      </c>
      <c r="AJ231" s="89" t="str">
        <f>Registro!AF231</f>
        <v>b) Navego en Internet, f) Toco un instrumento musical</v>
      </c>
      <c r="AK231" s="94">
        <f t="shared" si="18"/>
        <v>2</v>
      </c>
      <c r="AL231" s="89" t="str">
        <f>Registro!AG231</f>
        <v>c) Regular</v>
      </c>
      <c r="AM231" s="89" t="str">
        <f>Registro!AH231</f>
        <v>b) Buena</v>
      </c>
      <c r="AN231" s="89" t="str">
        <f>Registro!AI231</f>
        <v>f) No aplica</v>
      </c>
      <c r="AO231" s="89" t="str">
        <f>Registro!AJ231</f>
        <v>b) Buena</v>
      </c>
      <c r="AP231" s="89" t="str">
        <f>Registro!AK231</f>
        <v>a) Muy buena</v>
      </c>
      <c r="AQ231" s="89" t="str">
        <f>Registro!AL231</f>
        <v>b) Buena</v>
      </c>
      <c r="AR231" s="89" t="str">
        <f>Registro!AM231</f>
        <v>a) Muy buena</v>
      </c>
      <c r="AS231" s="89" t="str">
        <f>Registro!AN231</f>
        <v>a) Muy buena</v>
      </c>
      <c r="AT231" s="89" t="str">
        <f>Registro!AO231</f>
        <v>b) Buena</v>
      </c>
      <c r="AU231" s="89" t="str">
        <f>Registro!AP231</f>
        <v>c) Regular</v>
      </c>
      <c r="AV231" s="89" t="str">
        <f>Registro!AQ231</f>
        <v>b) Buena</v>
      </c>
      <c r="AW231" s="89" t="str">
        <f>Registro!AR231</f>
        <v>g) La orientación profesional futura</v>
      </c>
      <c r="AX231" s="89" t="str">
        <f>Registro!AS231</f>
        <v>b) Darme una buena educación</v>
      </c>
      <c r="AY231" s="89" t="str">
        <f>Registro!AT231</f>
        <v>e) Absolutamente necesaria</v>
      </c>
      <c r="AZ231" s="89" t="str">
        <f>Registro!AU231</f>
        <v>b) Las veces que bebo, es con moderación</v>
      </c>
      <c r="BA231" s="89" t="str">
        <f>Registro!AV231</f>
        <v>d) Buenos profesionales de la educación</v>
      </c>
      <c r="BB231" s="89" t="str">
        <f>Registro!AW231</f>
        <v>c) Bastante</v>
      </c>
      <c r="BC231" s="89" t="str">
        <f>Registro!AX231</f>
        <v>d) Hay de todo tipo, pero predomina lo positivo</v>
      </c>
      <c r="BD231" s="89" t="str">
        <f>Registro!AY231</f>
        <v>b) Mi madre, g) Un amigo</v>
      </c>
    </row>
    <row r="232" spans="1:56" ht="15" customHeight="1" x14ac:dyDescent="0.25">
      <c r="A232" s="101" t="str">
        <f>Registro!A232</f>
        <v>4/28/2015 8:44:23</v>
      </c>
      <c r="B232" s="89" t="str">
        <f>Registro!B232</f>
        <v>a) Calasanz de Caracas</v>
      </c>
      <c r="C232" s="89" t="str">
        <f>Registro!C232</f>
        <v>b) Tercer año</v>
      </c>
      <c r="D232" s="89" t="str">
        <f>Registro!D232</f>
        <v>b) Primaria</v>
      </c>
      <c r="E232" s="89" t="str">
        <f>Registro!E232</f>
        <v>b) Femenino</v>
      </c>
      <c r="F232" s="89" t="str">
        <f>Registro!F232</f>
        <v>a) Católica</v>
      </c>
      <c r="G232" s="89" t="str">
        <f>Registro!G232</f>
        <v>a) Mamá, b) Papá, c) Hermanos</v>
      </c>
      <c r="H232" s="89" t="str">
        <f>Registro!H232</f>
        <v>c) Apartamento</v>
      </c>
      <c r="I232" s="89" t="str">
        <f>Registro!I232</f>
        <v>c) Algo</v>
      </c>
      <c r="J232" s="89" t="str">
        <f>Registro!J232</f>
        <v>a) Cónsola videojuegos, b) Lavadora, d) TV pantalla plana, i) Computadora</v>
      </c>
      <c r="K232" s="89" t="str">
        <f>Registro!K232</f>
        <v>c) Dos</v>
      </c>
      <c r="L232" s="89" t="str">
        <f>Registro!L232</f>
        <v>a) La familia, b) Los amigos, g) La felicidad</v>
      </c>
      <c r="M232" s="94">
        <f t="shared" si="20"/>
        <v>3</v>
      </c>
      <c r="N232" s="89" t="str">
        <f>Registro!M232</f>
        <v>b) El futuro</v>
      </c>
      <c r="O232" s="89" t="str">
        <f>Registro!N232</f>
        <v>c) Poco</v>
      </c>
      <c r="P232" s="89" t="str">
        <f>Registro!O232</f>
        <v>b) Suficiente</v>
      </c>
      <c r="Q232" s="89" t="str">
        <f>Registro!P232</f>
        <v>b) Suficiente</v>
      </c>
      <c r="R232" s="89" t="str">
        <f>Registro!Q232</f>
        <v>a) La familia, e) Disponer de dinero, g) La felicidad</v>
      </c>
      <c r="S232" s="94">
        <f t="shared" si="21"/>
        <v>3</v>
      </c>
      <c r="T232" s="89" t="str">
        <f>Registro!R232</f>
        <v>b) Suficiente</v>
      </c>
      <c r="U232" s="89" t="str">
        <f>Registro!S232</f>
        <v>k) La oración, l) Los sacramentos</v>
      </c>
      <c r="V232" s="89" t="str">
        <f>Registro!T232</f>
        <v>a) Suelo rezar por convicción o porque me gusta</v>
      </c>
      <c r="W232" s="89" t="str">
        <f>Registro!U232</f>
        <v>d) Nunca</v>
      </c>
      <c r="X232" s="89" t="str">
        <f>Registro!V232</f>
        <v>d) Suelo orar todos los días, f) En alguna ocasión he rezado el rosario</v>
      </c>
      <c r="Y232" s="89" t="str">
        <f>Registro!W232</f>
        <v>a) Deportivo, c) Religioso o parroquial</v>
      </c>
      <c r="Z232" s="89" t="str">
        <f>Registro!X232</f>
        <v>b) Un lugar donde comparto con mis compañeros</v>
      </c>
      <c r="AA232" s="89" t="str">
        <f>Registro!Y232</f>
        <v>b) No</v>
      </c>
      <c r="AB232" s="89" t="str">
        <f>Registro!Z232</f>
        <v>b) No</v>
      </c>
      <c r="AC232" s="89" t="str">
        <f>Registro!AA232</f>
        <v>b) Docencia, g) Artista</v>
      </c>
      <c r="AD232" s="94">
        <f t="shared" si="22"/>
        <v>2</v>
      </c>
      <c r="AE232" s="89" t="str">
        <f>Registro!AB232</f>
        <v>c) Ser un excelente profesional</v>
      </c>
      <c r="AF232" s="89" t="str">
        <f>Registro!AC232</f>
        <v>b) Poco</v>
      </c>
      <c r="AG232" s="89" t="str">
        <f>Registro!AD232</f>
        <v>c) Las instalaciones del Colegio, h) Las actividades extraescolares</v>
      </c>
      <c r="AH232" s="94">
        <f t="shared" si="17"/>
        <v>2</v>
      </c>
      <c r="AI232" s="89" t="str">
        <f>Registro!AE232</f>
        <v>b) 3 a 4 horas</v>
      </c>
      <c r="AJ232" s="89" t="str">
        <f>Registro!AF232</f>
        <v>b) Navego en Internet, d) Estoy la mayor parte del tiempo en la casa sin hacer nada, i) Leo revistas o libros</v>
      </c>
      <c r="AK232" s="94">
        <f t="shared" si="18"/>
        <v>3</v>
      </c>
      <c r="AL232" s="89" t="str">
        <f>Registro!AG232</f>
        <v>b) Bueno</v>
      </c>
      <c r="AM232" s="89" t="str">
        <f>Registro!AH232</f>
        <v>b) Buena</v>
      </c>
      <c r="AN232" s="89" t="str">
        <f>Registro!AI232</f>
        <v>f) No aplica</v>
      </c>
      <c r="AO232" s="89" t="str">
        <f>Registro!AJ232</f>
        <v>b) Buena</v>
      </c>
      <c r="AP232" s="89" t="str">
        <f>Registro!AK232</f>
        <v>b) Buena</v>
      </c>
      <c r="AQ232" s="89" t="str">
        <f>Registro!AL232</f>
        <v>c) Regular</v>
      </c>
      <c r="AR232" s="89" t="str">
        <f>Registro!AM232</f>
        <v>b) Buena</v>
      </c>
      <c r="AS232" s="89" t="str">
        <f>Registro!AN232</f>
        <v>b) Buena</v>
      </c>
      <c r="AT232" s="89" t="str">
        <f>Registro!AO232</f>
        <v>b) Buena</v>
      </c>
      <c r="AU232" s="89" t="str">
        <f>Registro!AP232</f>
        <v>b) Buena</v>
      </c>
      <c r="AV232" s="89" t="str">
        <f>Registro!AQ232</f>
        <v>b) Buena</v>
      </c>
      <c r="AW232" s="89" t="str">
        <f>Registro!AR232</f>
        <v>g) La orientación profesional futura</v>
      </c>
      <c r="AX232" s="89" t="str">
        <f>Registro!AS232</f>
        <v>b) Darme una buena educación</v>
      </c>
      <c r="AY232" s="89" t="str">
        <f>Registro!AT232</f>
        <v>c) Conveniente</v>
      </c>
      <c r="AZ232" s="89" t="str">
        <f>Registro!AU232</f>
        <v>b) Las veces que bebo, es con moderación</v>
      </c>
      <c r="BA232" s="89" t="str">
        <f>Registro!AV232</f>
        <v>c) Profesionales que hacen lo que pueden</v>
      </c>
      <c r="BB232" s="89" t="str">
        <f>Registro!AW232</f>
        <v>c) Bastante</v>
      </c>
      <c r="BC232" s="89" t="str">
        <f>Registro!AX232</f>
        <v>d) Hay de todo tipo, pero predomina lo positivo</v>
      </c>
      <c r="BD232" s="89" t="str">
        <f>Registro!AY232</f>
        <v>d) Un escolapio, religioso o religiosa, h) Una amiga</v>
      </c>
    </row>
    <row r="233" spans="1:56" ht="15" customHeight="1" x14ac:dyDescent="0.25">
      <c r="A233" s="101" t="str">
        <f>Registro!A233</f>
        <v>4/28/2015 8:44:46</v>
      </c>
      <c r="B233" s="89" t="str">
        <f>Registro!B233</f>
        <v>a) Calasanz de Caracas</v>
      </c>
      <c r="C233" s="89" t="str">
        <f>Registro!C233</f>
        <v>b) Tercer año</v>
      </c>
      <c r="D233" s="89" t="str">
        <f>Registro!D233</f>
        <v>c) Entre Primero y Tercer año</v>
      </c>
      <c r="E233" s="89" t="str">
        <f>Registro!E233</f>
        <v>a) Masculino</v>
      </c>
      <c r="F233" s="89" t="str">
        <f>Registro!F233</f>
        <v>a) Católica</v>
      </c>
      <c r="G233" s="89" t="str">
        <f>Registro!G233</f>
        <v>a) Mamá, c) Hermanos, d) Abuelos</v>
      </c>
      <c r="H233" s="89" t="str">
        <f>Registro!H233</f>
        <v>b) Casa Urbana</v>
      </c>
      <c r="I233" s="89" t="str">
        <f>Registro!I233</f>
        <v>a) Sí</v>
      </c>
      <c r="J233" s="89" t="str">
        <f>Registro!J233</f>
        <v>a) Cónsola videojuegos, d) TV pantalla plana, i) Computadora</v>
      </c>
      <c r="K233" s="89" t="str">
        <f>Registro!K233</f>
        <v>c) Dos</v>
      </c>
      <c r="L233" s="89" t="str">
        <f>Registro!L233</f>
        <v>a) La familia, g) La felicidad, j) El deporte</v>
      </c>
      <c r="M233" s="94">
        <f t="shared" si="20"/>
        <v>3</v>
      </c>
      <c r="N233" s="89" t="str">
        <f>Registro!M233</f>
        <v>a) Seguridad personal (la violencia y la delincuencia)</v>
      </c>
      <c r="O233" s="89" t="str">
        <f>Registro!N233</f>
        <v>b) Suficiente</v>
      </c>
      <c r="P233" s="89" t="str">
        <f>Registro!O233</f>
        <v>b) Suficiente</v>
      </c>
      <c r="Q233" s="89" t="str">
        <f>Registro!P233</f>
        <v>d) Nada</v>
      </c>
      <c r="R233" s="89" t="str">
        <f>Registro!Q233</f>
        <v>a) La familia, d) El cuidado de mi cuerpo, j) El deporte</v>
      </c>
      <c r="S233" s="94">
        <f t="shared" si="21"/>
        <v>3</v>
      </c>
      <c r="T233" s="89" t="str">
        <f>Registro!R233</f>
        <v>a) Mucho</v>
      </c>
      <c r="U233" s="89" t="str">
        <f>Registro!S233</f>
        <v>a) La Iglesia, g) Mi familia, h) Algunas personas cercanas a Dios</v>
      </c>
      <c r="V233" s="89" t="str">
        <f>Registro!T233</f>
        <v>b) Rezo por costumbre</v>
      </c>
      <c r="W233" s="89" t="str">
        <f>Registro!U233</f>
        <v>b) Algunos domingos</v>
      </c>
      <c r="X233" s="89" t="str">
        <f>Registro!V233</f>
        <v>c) Suelo ir los domingos y otras fechas especiales a la Iglesia, h) En Semana Santa asisto a las procesiones</v>
      </c>
      <c r="Y233" s="89" t="str">
        <f>Registro!W233</f>
        <v>a) Deportivo</v>
      </c>
      <c r="Z233" s="89" t="str">
        <f>Registro!X233</f>
        <v>d) No pertenezco a grupos juveniles cristianos</v>
      </c>
      <c r="AA233" s="89" t="str">
        <f>Registro!Y233</f>
        <v>b) No</v>
      </c>
      <c r="AB233" s="89" t="str">
        <f>Registro!Z233</f>
        <v>b) No</v>
      </c>
      <c r="AC233" s="89"/>
      <c r="AD233" s="94">
        <f t="shared" si="22"/>
        <v>0</v>
      </c>
      <c r="AE233" s="89" t="str">
        <f>Registro!AB233</f>
        <v>b) Tener una buena posición social, ser importante</v>
      </c>
      <c r="AF233" s="89" t="str">
        <f>Registro!AC233</f>
        <v>b) Poco</v>
      </c>
      <c r="AG233" s="89" t="str">
        <f>Registro!AD233</f>
        <v>a) Los deportes y diversiones, c) Las instalaciones del Colegio</v>
      </c>
      <c r="AH233" s="94">
        <f t="shared" si="17"/>
        <v>2</v>
      </c>
      <c r="AI233" s="89" t="str">
        <f>Registro!AE233</f>
        <v>b) 3 a 4 horas</v>
      </c>
      <c r="AJ233" s="89"/>
      <c r="AK233" s="94">
        <f t="shared" si="18"/>
        <v>0</v>
      </c>
      <c r="AL233" s="89" t="str">
        <f>Registro!AG233</f>
        <v>c) Regular</v>
      </c>
      <c r="AM233" s="89" t="str">
        <f>Registro!AH233</f>
        <v>c) Regular</v>
      </c>
      <c r="AN233" s="89" t="str">
        <f>Registro!AI233</f>
        <v>c) Regular</v>
      </c>
      <c r="AO233" s="89" t="str">
        <f>Registro!AJ233</f>
        <v>c) Regular</v>
      </c>
      <c r="AP233" s="89" t="str">
        <f>Registro!AK233</f>
        <v>b) Buena</v>
      </c>
      <c r="AQ233" s="89" t="str">
        <f>Registro!AL233</f>
        <v>b) Buena</v>
      </c>
      <c r="AR233" s="89" t="str">
        <f>Registro!AM233</f>
        <v>b) Buena</v>
      </c>
      <c r="AS233" s="89" t="str">
        <f>Registro!AN233</f>
        <v>c) Regular</v>
      </c>
      <c r="AT233" s="89" t="str">
        <f>Registro!AO233</f>
        <v>c) Regular</v>
      </c>
      <c r="AU233" s="89" t="str">
        <f>Registro!AP233</f>
        <v>c) Regular</v>
      </c>
      <c r="AV233" s="89" t="str">
        <f>Registro!AQ233</f>
        <v>b) Buena</v>
      </c>
      <c r="AW233" s="89" t="str">
        <f>Registro!AR233</f>
        <v>c) El estudio</v>
      </c>
      <c r="AX233" s="89" t="str">
        <f>Registro!AS233</f>
        <v>a) Que sea un buen profesional</v>
      </c>
      <c r="AY233" s="89" t="str">
        <f>Registro!AT233</f>
        <v>c) Conveniente</v>
      </c>
      <c r="AZ233" s="89" t="str">
        <f>Registro!AU233</f>
        <v>b) Las veces que bebo, es con moderación</v>
      </c>
      <c r="BA233" s="89" t="str">
        <f>Registro!AV233</f>
        <v>e) Educadores que se preocupan de nosotros</v>
      </c>
      <c r="BB233" s="89" t="str">
        <f>Registro!AW233</f>
        <v>c) Bastante</v>
      </c>
      <c r="BC233" s="89" t="str">
        <f>Registro!AX233</f>
        <v>c) Son personas normales y corrientes</v>
      </c>
      <c r="BD233" s="89" t="str">
        <f>Registro!AY233</f>
        <v>b) Mi madre, g) Un amigo</v>
      </c>
    </row>
    <row r="234" spans="1:56" ht="15" customHeight="1" x14ac:dyDescent="0.25">
      <c r="A234" s="101" t="str">
        <f>Registro!A234</f>
        <v>4/28/2015 8:45:17</v>
      </c>
      <c r="B234" s="89" t="str">
        <f>Registro!B234</f>
        <v>a) Calasanz de Caracas</v>
      </c>
      <c r="C234" s="89" t="str">
        <f>Registro!C234</f>
        <v>b) Tercer año</v>
      </c>
      <c r="D234" s="89" t="str">
        <f>Registro!D234</f>
        <v>a) Educación Inicial</v>
      </c>
      <c r="E234" s="89" t="str">
        <f>Registro!E234</f>
        <v>b) Femenino</v>
      </c>
      <c r="F234" s="89" t="str">
        <f>Registro!F234</f>
        <v>c) Musulmana</v>
      </c>
      <c r="G234" s="89" t="str">
        <f>Registro!G234</f>
        <v>a) Mamá, b) Papá, c) Hermanos</v>
      </c>
      <c r="H234" s="89" t="str">
        <f>Registro!H234</f>
        <v>c) Apartamento</v>
      </c>
      <c r="I234" s="89" t="str">
        <f>Registro!I234</f>
        <v>c) Algo</v>
      </c>
      <c r="J234" s="89" t="str">
        <f>Registro!J234</f>
        <v>b) Lavadora, c) Microondas, d) TV pantalla plana, e) Moto, h) Carro, i) Computadora</v>
      </c>
      <c r="K234" s="89" t="str">
        <f>Registro!K234</f>
        <v>c) Dos</v>
      </c>
      <c r="L234" s="89" t="str">
        <f>Registro!L234</f>
        <v>a) La familia, b) Los amigos, g) La felicidad</v>
      </c>
      <c r="M234" s="94">
        <f t="shared" si="20"/>
        <v>3</v>
      </c>
      <c r="N234" s="89" t="str">
        <f>Registro!M234</f>
        <v>a) Seguridad personal (la violencia y la delincuencia)</v>
      </c>
      <c r="O234" s="89" t="str">
        <f>Registro!N234</f>
        <v>c) Poco</v>
      </c>
      <c r="P234" s="89" t="str">
        <f>Registro!O234</f>
        <v>b) Suficiente</v>
      </c>
      <c r="Q234" s="89" t="str">
        <f>Registro!P234</f>
        <v>a) Mucho</v>
      </c>
      <c r="R234" s="89" t="str">
        <f>Registro!Q234</f>
        <v>a) La familia, c) Los estudios, e) Disponer de dinero</v>
      </c>
      <c r="S234" s="94">
        <f t="shared" si="21"/>
        <v>3</v>
      </c>
      <c r="T234" s="89" t="str">
        <f>Registro!R234</f>
        <v>a) Mucho</v>
      </c>
      <c r="U234" s="89" t="str">
        <f>Registro!S234</f>
        <v>j) Todas partes</v>
      </c>
      <c r="V234" s="89" t="str">
        <f>Registro!T234</f>
        <v>b) Rezo por costumbre</v>
      </c>
      <c r="W234" s="89" t="str">
        <f>Registro!U234</f>
        <v>d) Nunca</v>
      </c>
      <c r="X234" s="89" t="str">
        <f>Registro!V234</f>
        <v>b) Suelo bendedir los alimentos antes de comer</v>
      </c>
      <c r="Y234" s="89" t="str">
        <f>Registro!W234</f>
        <v>d) No pertenezco a ninguno</v>
      </c>
      <c r="Z234" s="89" t="str">
        <f>Registro!X234</f>
        <v>d) No pertenezco a grupos juveniles cristianos</v>
      </c>
      <c r="AA234" s="89" t="str">
        <f>Registro!Y234</f>
        <v>b) No</v>
      </c>
      <c r="AB234" s="89" t="str">
        <f>Registro!Z234</f>
        <v>b) No</v>
      </c>
      <c r="AC234" s="89" t="str">
        <f>Registro!AA234</f>
        <v>a) Medicina, g) Artista</v>
      </c>
      <c r="AD234" s="94">
        <f t="shared" si="22"/>
        <v>2</v>
      </c>
      <c r="AE234" s="89" t="str">
        <f>Registro!AB234</f>
        <v>a) Ganar mucho dinero</v>
      </c>
      <c r="AF234" s="89" t="str">
        <f>Registro!AC234</f>
        <v>b) Poco</v>
      </c>
      <c r="AG234" s="89" t="str">
        <f>Registro!AD234</f>
        <v>a) Los deportes y diversiones, c) Las instalaciones del Colegio</v>
      </c>
      <c r="AH234" s="94">
        <f t="shared" si="17"/>
        <v>2</v>
      </c>
      <c r="AI234" s="89" t="str">
        <f>Registro!AE234</f>
        <v>c) 5 a 6 horas</v>
      </c>
      <c r="AJ234" s="89" t="str">
        <f>Registro!AF234</f>
        <v>b) Navego en Internet, h) Suelo ir al cine, m) Veo televisión y/o películas</v>
      </c>
      <c r="AK234" s="94">
        <f t="shared" si="18"/>
        <v>3</v>
      </c>
      <c r="AL234" s="89" t="str">
        <f>Registro!AG234</f>
        <v>c) Regular</v>
      </c>
      <c r="AM234" s="89" t="str">
        <f>Registro!AH234</f>
        <v>b) Buena</v>
      </c>
      <c r="AN234" s="89" t="str">
        <f>Registro!AI234</f>
        <v>b) Buena</v>
      </c>
      <c r="AO234" s="89" t="str">
        <f>Registro!AJ234</f>
        <v>c) Regular</v>
      </c>
      <c r="AP234" s="89" t="str">
        <f>Registro!AK234</f>
        <v>a) Muy buena</v>
      </c>
      <c r="AQ234" s="89" t="str">
        <f>Registro!AL234</f>
        <v>c) Regular</v>
      </c>
      <c r="AR234" s="89" t="str">
        <f>Registro!AM234</f>
        <v>a) Muy buena</v>
      </c>
      <c r="AS234" s="89" t="str">
        <f>Registro!AN234</f>
        <v>b) Buena</v>
      </c>
      <c r="AT234" s="89" t="str">
        <f>Registro!AO234</f>
        <v>b) Buena</v>
      </c>
      <c r="AU234" s="89" t="str">
        <f>Registro!AP234</f>
        <v>b) Buena</v>
      </c>
      <c r="AV234" s="89" t="str">
        <f>Registro!AQ234</f>
        <v>c) Regular</v>
      </c>
      <c r="AW234" s="89" t="str">
        <f>Registro!AR234</f>
        <v>a) El compañerismo</v>
      </c>
      <c r="AX234" s="89" t="str">
        <f>Registro!AS234</f>
        <v>b) Darme una buena educación</v>
      </c>
      <c r="AY234" s="89" t="str">
        <f>Registro!AT234</f>
        <v>e) Absolutamente necesaria</v>
      </c>
      <c r="AZ234" s="89" t="str">
        <f>Registro!AU234</f>
        <v>a) No acostumbro a tomarlo nunca</v>
      </c>
      <c r="BA234" s="89" t="str">
        <f>Registro!AV234</f>
        <v>c) Profesionales que hacen lo que pueden</v>
      </c>
      <c r="BB234" s="89" t="str">
        <f>Registro!AW234</f>
        <v>c) Bastante</v>
      </c>
      <c r="BC234" s="89" t="str">
        <f>Registro!AX234</f>
        <v>c) Son personas normales y corrientes</v>
      </c>
      <c r="BD234" s="89" t="str">
        <f>Registro!AY234</f>
        <v>j) Nadie</v>
      </c>
    </row>
    <row r="235" spans="1:56" ht="15" customHeight="1" x14ac:dyDescent="0.25">
      <c r="A235" s="101" t="str">
        <f>Registro!A235</f>
        <v>4/28/2015 8:45:28</v>
      </c>
      <c r="B235" s="89" t="str">
        <f>Registro!B235</f>
        <v>a) Calasanz de Caracas</v>
      </c>
      <c r="C235" s="89" t="str">
        <f>Registro!C235</f>
        <v>b) Tercer año</v>
      </c>
      <c r="D235" s="89" t="str">
        <f>Registro!D235</f>
        <v>a) Educación Inicial</v>
      </c>
      <c r="E235" s="89" t="str">
        <f>Registro!E235</f>
        <v>b) Femenino</v>
      </c>
      <c r="F235" s="89" t="str">
        <f>Registro!F235</f>
        <v>a) Católica</v>
      </c>
      <c r="G235" s="89" t="str">
        <f>Registro!G235</f>
        <v>a) Mamá, b) Papá</v>
      </c>
      <c r="H235" s="89" t="str">
        <f>Registro!H235</f>
        <v>c) Apartamento</v>
      </c>
      <c r="I235" s="89" t="str">
        <f>Registro!I235</f>
        <v>a) Sí</v>
      </c>
      <c r="J235" s="89" t="str">
        <f>Registro!J235</f>
        <v>a) Cónsola videojuegos, b) Lavadora, c) Microondas, d) TV pantalla plana, g) MP4, h) Carro, i) Computadora, j) Cámara digital, k) Aire acondicionado</v>
      </c>
      <c r="K235" s="89" t="str">
        <f>Registro!K235</f>
        <v>c) Dos</v>
      </c>
      <c r="L235" s="89" t="str">
        <f>Registro!L235</f>
        <v>a) La familia, b) Los amigos, e) Disponer de dinero</v>
      </c>
      <c r="M235" s="94">
        <f t="shared" si="20"/>
        <v>3</v>
      </c>
      <c r="N235" s="89" t="str">
        <f>Registro!M235</f>
        <v>f) La situación política del país</v>
      </c>
      <c r="O235" s="89" t="str">
        <f>Registro!N235</f>
        <v>a) Mucho</v>
      </c>
      <c r="P235" s="89" t="str">
        <f>Registro!O235</f>
        <v>b) Suficiente</v>
      </c>
      <c r="Q235" s="89" t="str">
        <f>Registro!P235</f>
        <v>b) Suficiente</v>
      </c>
      <c r="R235" s="89" t="str">
        <f>Registro!Q235</f>
        <v>a) La familia, c) Los estudios, j) El deporte</v>
      </c>
      <c r="S235" s="94">
        <f t="shared" si="21"/>
        <v>3</v>
      </c>
      <c r="T235" s="89" t="str">
        <f>Registro!R235</f>
        <v>a) Mucho</v>
      </c>
      <c r="U235" s="89" t="str">
        <f>Registro!S235</f>
        <v>b) La naturaleza, d) Las convivencias, k) La oración</v>
      </c>
      <c r="V235" s="89" t="str">
        <f>Registro!T235</f>
        <v>c) Rezo solo en situación de dificultad</v>
      </c>
      <c r="W235" s="89" t="str">
        <f>Registro!U235</f>
        <v>d) Nunca</v>
      </c>
      <c r="X235" s="89" t="str">
        <f>Registro!V235</f>
        <v>e) Voy a misa en las fechas de mis familiares difuntos, f) En alguna ocasión he rezado el rosario, g) En ocasiones, en mi casa tenemos una oración familiar</v>
      </c>
      <c r="Y235" s="89" t="str">
        <f>Registro!W235</f>
        <v>a) Deportivo</v>
      </c>
      <c r="Z235" s="89" t="str">
        <f>Registro!X235</f>
        <v>b) Un lugar donde comparto con mis compañeros</v>
      </c>
      <c r="AA235" s="89" t="str">
        <f>Registro!Y235</f>
        <v>b) No</v>
      </c>
      <c r="AB235" s="89" t="str">
        <f>Registro!Z235</f>
        <v>b) No</v>
      </c>
      <c r="AC235" s="89"/>
      <c r="AD235" s="94">
        <f t="shared" si="22"/>
        <v>0</v>
      </c>
      <c r="AE235" s="89" t="str">
        <f>Registro!AB235</f>
        <v>a) Ganar mucho dinero</v>
      </c>
      <c r="AF235" s="89" t="str">
        <f>Registro!AC235</f>
        <v>b) Poco</v>
      </c>
      <c r="AG235" s="89"/>
      <c r="AH235" s="94">
        <f t="shared" si="17"/>
        <v>0</v>
      </c>
      <c r="AI235" s="89" t="str">
        <f>Registro!AE235</f>
        <v>b) 3 a 4 horas</v>
      </c>
      <c r="AJ235" s="89"/>
      <c r="AK235" s="94">
        <f t="shared" si="18"/>
        <v>0</v>
      </c>
      <c r="AL235" s="89" t="str">
        <f>Registro!AG235</f>
        <v>c) Regular</v>
      </c>
      <c r="AM235" s="89" t="str">
        <f>Registro!AH235</f>
        <v>a) Muy buena</v>
      </c>
      <c r="AN235" s="89" t="str">
        <f>Registro!AI235</f>
        <v>b) Buena</v>
      </c>
      <c r="AO235" s="89" t="str">
        <f>Registro!AJ235</f>
        <v>c) Regular</v>
      </c>
      <c r="AP235" s="89" t="str">
        <f>Registro!AK235</f>
        <v>c) Regular</v>
      </c>
      <c r="AQ235" s="89" t="str">
        <f>Registro!AL235</f>
        <v>b) Buena</v>
      </c>
      <c r="AR235" s="89" t="str">
        <f>Registro!AM235</f>
        <v>d) Mala</v>
      </c>
      <c r="AS235" s="89" t="str">
        <f>Registro!AN235</f>
        <v>b) Buena</v>
      </c>
      <c r="AT235" s="89" t="str">
        <f>Registro!AO235</f>
        <v>b) Buena</v>
      </c>
      <c r="AU235" s="89" t="str">
        <f>Registro!AP235</f>
        <v>a) Muy buena</v>
      </c>
      <c r="AV235" s="89" t="str">
        <f>Registro!AQ235</f>
        <v>b) Buena</v>
      </c>
      <c r="AW235" s="89" t="str">
        <f>Registro!AR235</f>
        <v>g) La orientación profesional futura</v>
      </c>
      <c r="AX235" s="89" t="str">
        <f>Registro!AS235</f>
        <v>b) Darme una buena educación</v>
      </c>
      <c r="AY235" s="89" t="str">
        <f>Registro!AT235</f>
        <v>d) Bastante necesaria</v>
      </c>
      <c r="AZ235" s="89" t="str">
        <f>Registro!AU235</f>
        <v>b) Las veces que bebo, es con moderación</v>
      </c>
      <c r="BA235" s="89" t="str">
        <f>Registro!AV235</f>
        <v>c) Profesionales que hacen lo que pueden</v>
      </c>
      <c r="BB235" s="89" t="str">
        <f>Registro!AW235</f>
        <v>c) Bastante</v>
      </c>
      <c r="BC235" s="89" t="str">
        <f>Registro!AX235</f>
        <v>d) Hay de todo tipo, pero predomina lo positivo</v>
      </c>
      <c r="BD235" s="89" t="str">
        <f>Registro!AY235</f>
        <v>a) Mi padre, b) Mi madre, c) Un hermano/a, f) La orientadora, g) Un amigo</v>
      </c>
    </row>
    <row r="236" spans="1:56" ht="15" customHeight="1" x14ac:dyDescent="0.25">
      <c r="A236" s="101" t="str">
        <f>Registro!A236</f>
        <v>4/28/2015 8:47:27</v>
      </c>
      <c r="B236" s="89" t="str">
        <f>Registro!B236</f>
        <v>a) Calasanz de Caracas</v>
      </c>
      <c r="C236" s="89" t="str">
        <f>Registro!C236</f>
        <v>b) Tercer año</v>
      </c>
      <c r="D236" s="89" t="str">
        <f>Registro!D236</f>
        <v>a) Educación Inicial</v>
      </c>
      <c r="E236" s="89" t="str">
        <f>Registro!E236</f>
        <v>b) Femenino</v>
      </c>
      <c r="F236" s="89" t="str">
        <f>Registro!F236</f>
        <v>a) Católica</v>
      </c>
      <c r="G236" s="89" t="str">
        <f>Registro!G236</f>
        <v>a) Mamá, c) Hermanos, e) Otros familiares</v>
      </c>
      <c r="H236" s="89" t="str">
        <f>Registro!H236</f>
        <v>b) Casa Urbana</v>
      </c>
      <c r="I236" s="89" t="str">
        <f>Registro!I236</f>
        <v>a) Sí</v>
      </c>
      <c r="J236" s="89" t="str">
        <f>Registro!J236</f>
        <v>a) Cónsola videojuegos, b) Lavadora, c) Microondas, d) TV pantalla plana, g) MP4, h) Carro, i) Computadora, j) Cámara digital</v>
      </c>
      <c r="K236" s="89" t="str">
        <f>Registro!K236</f>
        <v>f) Más de cuatro</v>
      </c>
      <c r="L236" s="89"/>
      <c r="M236" s="94">
        <f t="shared" si="20"/>
        <v>0</v>
      </c>
      <c r="N236" s="89" t="str">
        <f>Registro!M236</f>
        <v>a) Seguridad personal (la violencia y la delincuencia)</v>
      </c>
      <c r="O236" s="89" t="str">
        <f>Registro!N236</f>
        <v>a) Mucho</v>
      </c>
      <c r="P236" s="89" t="str">
        <f>Registro!O236</f>
        <v>b) Suficiente</v>
      </c>
      <c r="Q236" s="89" t="str">
        <f>Registro!P236</f>
        <v>b) Suficiente</v>
      </c>
      <c r="R236" s="89" t="str">
        <f>Registro!Q236</f>
        <v>c) Los estudios</v>
      </c>
      <c r="S236" s="94">
        <f t="shared" si="21"/>
        <v>1</v>
      </c>
      <c r="T236" s="89" t="str">
        <f>Registro!R236</f>
        <v>a) Mucho</v>
      </c>
      <c r="U236" s="89" t="str">
        <f>Registro!S236</f>
        <v>a) La Iglesia, b) La naturaleza, i) Los necesitados</v>
      </c>
      <c r="V236" s="89" t="str">
        <f>Registro!T236</f>
        <v>d) No rezo nunca</v>
      </c>
      <c r="W236" s="89" t="str">
        <f>Registro!U236</f>
        <v>c) Solo en fechas especiales</v>
      </c>
      <c r="X236" s="89" t="str">
        <f>Registro!V236</f>
        <v>d) Suelo orar todos los días, e) Voy a misa en las fechas de mis familiares difuntos, f) En alguna ocasión he rezado el rosario</v>
      </c>
      <c r="Y236" s="89" t="str">
        <f>Registro!W236</f>
        <v>b) Cultural (folklórico, musicales, danzas, scout, banda marcial,...) , c) Religioso o parroquial</v>
      </c>
      <c r="Z236" s="89" t="str">
        <f>Registro!X236</f>
        <v>a) Un grupo donde profundizo mi fe</v>
      </c>
      <c r="AA236" s="89" t="str">
        <f>Registro!Y236</f>
        <v>b) No</v>
      </c>
      <c r="AB236" s="89" t="str">
        <f>Registro!Z236</f>
        <v>b) No</v>
      </c>
      <c r="AC236" s="89" t="str">
        <f>Registro!AA236</f>
        <v>a) Medicina, e) Derecho</v>
      </c>
      <c r="AD236" s="94">
        <f t="shared" si="22"/>
        <v>2</v>
      </c>
      <c r="AE236" s="89" t="str">
        <f>Registro!AB236</f>
        <v>e) Servir a los demás</v>
      </c>
      <c r="AF236" s="89" t="str">
        <f>Registro!AC236</f>
        <v>b) Poco</v>
      </c>
      <c r="AG236" s="89" t="str">
        <f>Registro!AD236</f>
        <v>a) Los deportes y diversiones, d) Los grupos juveniles cristianos</v>
      </c>
      <c r="AH236" s="94">
        <f t="shared" si="17"/>
        <v>2</v>
      </c>
      <c r="AI236" s="89" t="str">
        <f>Registro!AE236</f>
        <v>a) 0 a 2 horas</v>
      </c>
      <c r="AJ236" s="89"/>
      <c r="AK236" s="94">
        <f t="shared" si="18"/>
        <v>0</v>
      </c>
      <c r="AL236" s="89" t="str">
        <f>Registro!AG236</f>
        <v>b) Bueno</v>
      </c>
      <c r="AM236" s="89" t="str">
        <f>Registro!AH236</f>
        <v>b) Buena</v>
      </c>
      <c r="AN236" s="89" t="str">
        <f>Registro!AI236</f>
        <v>b) Buena</v>
      </c>
      <c r="AO236" s="89">
        <f>Registro!AJ236</f>
        <v>0</v>
      </c>
      <c r="AP236" s="89" t="str">
        <f>Registro!AK236</f>
        <v>b) Buena</v>
      </c>
      <c r="AQ236" s="89" t="str">
        <f>Registro!AL236</f>
        <v>b) Buena</v>
      </c>
      <c r="AR236" s="89" t="str">
        <f>Registro!AM236</f>
        <v>b) Buena</v>
      </c>
      <c r="AS236" s="89" t="str">
        <f>Registro!AN236</f>
        <v>b) Buena</v>
      </c>
      <c r="AT236" s="89" t="str">
        <f>Registro!AO236</f>
        <v>b) Buena</v>
      </c>
      <c r="AU236" s="89" t="str">
        <f>Registro!AP236</f>
        <v>b) Buena</v>
      </c>
      <c r="AV236" s="89" t="str">
        <f>Registro!AQ236</f>
        <v>b) Buena</v>
      </c>
      <c r="AW236" s="89" t="str">
        <f>Registro!AR236</f>
        <v>a) El compañerismo</v>
      </c>
      <c r="AX236" s="89">
        <f>Registro!AS236</f>
        <v>0</v>
      </c>
      <c r="AY236" s="89" t="str">
        <f>Registro!AT236</f>
        <v>d) Bastante necesaria</v>
      </c>
      <c r="AZ236" s="89" t="str">
        <f>Registro!AU236</f>
        <v>a) No acostumbro a tomarlo nunca</v>
      </c>
      <c r="BA236" s="89" t="str">
        <f>Registro!AV236</f>
        <v>d) Buenos profesionales de la educación</v>
      </c>
      <c r="BB236" s="89" t="str">
        <f>Registro!AW236</f>
        <v>c) Bastante</v>
      </c>
      <c r="BC236" s="89" t="str">
        <f>Registro!AX236</f>
        <v>e) Son personas que me gustan y admiro</v>
      </c>
      <c r="BD236" s="89" t="str">
        <f>Registro!AY236</f>
        <v>b) Mi madre, c) Un hermano/a</v>
      </c>
    </row>
    <row r="237" spans="1:56" ht="15" customHeight="1" x14ac:dyDescent="0.25">
      <c r="A237" s="101">
        <f>Registro!A237</f>
        <v>42099.213541666664</v>
      </c>
      <c r="B237" s="89" t="str">
        <f>Registro!B237</f>
        <v>a) Calasanz de Caracas</v>
      </c>
      <c r="C237" s="89" t="str">
        <f>Registro!C237</f>
        <v>a) Primer año</v>
      </c>
      <c r="D237" s="89" t="str">
        <f>Registro!D237</f>
        <v>b) Primaria</v>
      </c>
      <c r="E237" s="89" t="str">
        <f>Registro!E237</f>
        <v>b) Femenino</v>
      </c>
      <c r="F237" s="89" t="str">
        <f>Registro!F237</f>
        <v>d) Otra</v>
      </c>
      <c r="G237" s="89" t="str">
        <f>Registro!G237</f>
        <v>a) Mamá, b) Papá, c) Hermanos</v>
      </c>
      <c r="H237" s="89" t="str">
        <f>Registro!H237</f>
        <v>c) Apartamento</v>
      </c>
      <c r="I237" s="89" t="str">
        <f>Registro!I237</f>
        <v>d) No sé</v>
      </c>
      <c r="J237" s="89" t="str">
        <f>Registro!J237</f>
        <v>b) Lavadora, c) Microondas, d) TV pantalla plana, h) Carro, i) Computadora, j) Cámara digital</v>
      </c>
      <c r="K237" s="89" t="str">
        <f>Registro!K237</f>
        <v>c) Dos</v>
      </c>
      <c r="L237" s="89" t="str">
        <f>Registro!L237</f>
        <v>b) Los amigos, i) La música, k) El internet</v>
      </c>
      <c r="M237" s="94">
        <f t="shared" si="20"/>
        <v>3</v>
      </c>
      <c r="N237" s="89" t="str">
        <f>Registro!M237</f>
        <v>h) Los amigos</v>
      </c>
      <c r="O237" s="89" t="str">
        <f>Registro!N237</f>
        <v>c) Poco</v>
      </c>
      <c r="P237" s="89" t="str">
        <f>Registro!O237</f>
        <v>d) Nada</v>
      </c>
      <c r="Q237" s="89" t="str">
        <f>Registro!P237</f>
        <v>d) Nada</v>
      </c>
      <c r="R237" s="89" t="str">
        <f>Registro!Q237</f>
        <v>a) La familia, c) Los estudios, k) Internet</v>
      </c>
      <c r="S237" s="94">
        <f t="shared" si="21"/>
        <v>3</v>
      </c>
      <c r="T237" s="89" t="str">
        <f>Registro!R237</f>
        <v>d) Nada</v>
      </c>
      <c r="U237" s="89">
        <f>Registro!S237</f>
        <v>0</v>
      </c>
      <c r="V237" s="89">
        <f>Registro!T237</f>
        <v>0</v>
      </c>
      <c r="W237" s="89" t="str">
        <f>Registro!U237</f>
        <v>d) Nunca</v>
      </c>
      <c r="X237" s="89">
        <f>Registro!V237</f>
        <v>0</v>
      </c>
      <c r="Y237" s="89" t="str">
        <f>Registro!W237</f>
        <v>d) No pertenezco a ninguno</v>
      </c>
      <c r="Z237" s="89" t="str">
        <f>Registro!X237</f>
        <v>d) No pertenezco a grupos juveniles cristianos</v>
      </c>
      <c r="AA237" s="89" t="str">
        <f>Registro!Y237</f>
        <v>b) No</v>
      </c>
      <c r="AB237" s="89" t="str">
        <f>Registro!Z237</f>
        <v>b) No</v>
      </c>
      <c r="AC237" s="89" t="str">
        <f>Registro!AA237</f>
        <v>e) Derecho, g) Artista</v>
      </c>
      <c r="AD237" s="94">
        <f t="shared" si="22"/>
        <v>2</v>
      </c>
      <c r="AE237" s="89" t="str">
        <f>Registro!AB237</f>
        <v>b) Tener una buena posición social, ser importante</v>
      </c>
      <c r="AF237" s="89" t="str">
        <f>Registro!AC237</f>
        <v>b) Poco</v>
      </c>
      <c r="AG237" s="89" t="str">
        <f>Registro!AD237</f>
        <v>a) Los deportes y diversiones, c) Las instalaciones del Colegio</v>
      </c>
      <c r="AH237" s="94">
        <f t="shared" si="17"/>
        <v>2</v>
      </c>
      <c r="AI237" s="89" t="str">
        <f>Registro!AE237</f>
        <v>b) 3 a 4 horas</v>
      </c>
      <c r="AJ237" s="89" t="str">
        <f>Registro!AF237</f>
        <v>b) Navego en Internet, l) Escucho música y/o veo videos musicales, n) Estoy conversando con los amigos/as</v>
      </c>
      <c r="AK237" s="94">
        <f t="shared" si="18"/>
        <v>3</v>
      </c>
      <c r="AL237" s="89" t="str">
        <f>Registro!AG237</f>
        <v>c) Regular</v>
      </c>
      <c r="AM237" s="89" t="str">
        <f>Registro!AH237</f>
        <v>f) No aplica</v>
      </c>
      <c r="AN237" s="89" t="str">
        <f>Registro!AI237</f>
        <v>f) No aplica</v>
      </c>
      <c r="AO237" s="89" t="str">
        <f>Registro!AJ237</f>
        <v>c) Regular</v>
      </c>
      <c r="AP237" s="89" t="str">
        <f>Registro!AK237</f>
        <v>c) Regular</v>
      </c>
      <c r="AQ237" s="89" t="str">
        <f>Registro!AL237</f>
        <v>b) Buena</v>
      </c>
      <c r="AR237" s="89" t="str">
        <f>Registro!AM237</f>
        <v>c) Regular</v>
      </c>
      <c r="AS237" s="89" t="str">
        <f>Registro!AN237</f>
        <v>c) Regular</v>
      </c>
      <c r="AT237" s="89" t="str">
        <f>Registro!AO237</f>
        <v>c) Regular</v>
      </c>
      <c r="AU237" s="89" t="str">
        <f>Registro!AP237</f>
        <v>f) No aplica</v>
      </c>
      <c r="AV237" s="89" t="str">
        <f>Registro!AQ237</f>
        <v>b) Buena</v>
      </c>
      <c r="AW237" s="89" t="str">
        <f>Registro!AR237</f>
        <v>f) la práctica religiosa</v>
      </c>
      <c r="AX237" s="89" t="str">
        <f>Registro!AS237</f>
        <v>h) No sé</v>
      </c>
      <c r="AY237" s="89" t="str">
        <f>Registro!AT237</f>
        <v>b) Indiferente</v>
      </c>
      <c r="AZ237" s="89" t="str">
        <f>Registro!AU237</f>
        <v>a) No acostumbro a tomarlo nunca</v>
      </c>
      <c r="BA237" s="89" t="str">
        <f>Registro!AV237</f>
        <v>c) Profesionales que hacen lo que pueden</v>
      </c>
      <c r="BB237" s="89" t="str">
        <f>Registro!AW237</f>
        <v>b) Poco</v>
      </c>
      <c r="BC237" s="89" t="str">
        <f>Registro!AX237</f>
        <v>d) Hay de todo tipo, pero predomina lo positivo</v>
      </c>
      <c r="BD237" s="89" t="str">
        <f>Registro!AY237</f>
        <v>c) Un hermano/a, d) Un escolapio, religioso o religiosa, g) Un amigo, h) Una amiga</v>
      </c>
    </row>
    <row r="238" spans="1:56" ht="15" customHeight="1" x14ac:dyDescent="0.25">
      <c r="A238" s="101">
        <f>Registro!A238</f>
        <v>42099.217013888891</v>
      </c>
      <c r="B238" s="89" t="str">
        <f>Registro!B238</f>
        <v>a) Calasanz de Caracas</v>
      </c>
      <c r="C238" s="89" t="str">
        <f>Registro!C238</f>
        <v>a) Primer año</v>
      </c>
      <c r="D238" s="89" t="str">
        <f>Registro!D238</f>
        <v>c) Entre Primero y Tercer año</v>
      </c>
      <c r="E238" s="89" t="str">
        <f>Registro!E238</f>
        <v>b) Femenino</v>
      </c>
      <c r="F238" s="89" t="str">
        <f>Registro!F238</f>
        <v>d) Otra</v>
      </c>
      <c r="G238" s="89" t="str">
        <f>Registro!G238</f>
        <v>a) Mamá, b) Papá, c) Hermanos, e) Otros familiares</v>
      </c>
      <c r="H238" s="89" t="str">
        <f>Registro!H238</f>
        <v>b) Casa Urbana</v>
      </c>
      <c r="I238" s="89" t="str">
        <f>Registro!I238</f>
        <v>c) Algo</v>
      </c>
      <c r="J238" s="89" t="str">
        <f>Registro!J238</f>
        <v>a) Cónsola videojuegos, b) Lavadora, c) Microondas, d) TV pantalla plana, e) Moto, f) MP3, h) Carro, i) Computadora, j) Cámara digital</v>
      </c>
      <c r="K238" s="89" t="str">
        <f>Registro!K238</f>
        <v>d) Tres</v>
      </c>
      <c r="L238" s="89"/>
      <c r="M238" s="94">
        <f t="shared" si="20"/>
        <v>0</v>
      </c>
      <c r="N238" s="89" t="str">
        <f>Registro!M238</f>
        <v>b) El futuro</v>
      </c>
      <c r="O238" s="89" t="str">
        <f>Registro!N238</f>
        <v>b) Suficiente</v>
      </c>
      <c r="P238" s="89" t="str">
        <f>Registro!O238</f>
        <v>a) Mucho</v>
      </c>
      <c r="Q238" s="89" t="str">
        <f>Registro!P238</f>
        <v>c) Poco</v>
      </c>
      <c r="R238" s="89" t="str">
        <f>Registro!Q238</f>
        <v>c) Los estudios, d) El cuidado de mi cuerpo, e) Disponer de dinero</v>
      </c>
      <c r="S238" s="94">
        <f t="shared" si="21"/>
        <v>3</v>
      </c>
      <c r="T238" s="89" t="str">
        <f>Registro!R238</f>
        <v>c) Poco</v>
      </c>
      <c r="U238" s="89" t="str">
        <f>Registro!S238</f>
        <v>b) La naturaleza, e) Los amigos</v>
      </c>
      <c r="V238" s="89" t="str">
        <f>Registro!T238</f>
        <v>d) No rezo nunca</v>
      </c>
      <c r="W238" s="89" t="str">
        <f>Registro!U238</f>
        <v>d) Nunca</v>
      </c>
      <c r="X238" s="89" t="str">
        <f>Registro!V238</f>
        <v>e) Voy a misa en las fechas de mis familiares difuntos</v>
      </c>
      <c r="Y238" s="89" t="str">
        <f>Registro!W238</f>
        <v>b) Cultural (folklórico, musicales, danzas, scout, banda marcial,...) , d) No pertenezco a ninguno</v>
      </c>
      <c r="Z238" s="89" t="str">
        <f>Registro!X238</f>
        <v>d) No pertenezco a grupos juveniles cristianos</v>
      </c>
      <c r="AA238" s="89" t="str">
        <f>Registro!Y238</f>
        <v>b) No</v>
      </c>
      <c r="AB238" s="89" t="str">
        <f>Registro!Z238</f>
        <v>b) No</v>
      </c>
      <c r="AC238" s="89"/>
      <c r="AD238" s="94">
        <f t="shared" si="22"/>
        <v>0</v>
      </c>
      <c r="AE238" s="89" t="str">
        <f>Registro!AB238</f>
        <v>b) Tener una buena posición social, ser importante</v>
      </c>
      <c r="AF238" s="89" t="str">
        <f>Registro!AC238</f>
        <v>b) Poco</v>
      </c>
      <c r="AG238" s="89" t="str">
        <f>Registro!AD238</f>
        <v>b) El ambiente de estudio y de trabajo, f) La igualdad de trato que se da a todos</v>
      </c>
      <c r="AH238" s="94">
        <f t="shared" si="17"/>
        <v>2</v>
      </c>
      <c r="AI238" s="89" t="str">
        <f>Registro!AE238</f>
        <v>c) 5 a 6 horas</v>
      </c>
      <c r="AJ238" s="89" t="str">
        <f>Registro!AF238</f>
        <v>d) Estoy la mayor parte del tiempo en la casa sin hacer nada, l) Escucho música y/o veo videos musicales, m) Veo televisión y/o películas</v>
      </c>
      <c r="AK238" s="94">
        <f t="shared" si="18"/>
        <v>3</v>
      </c>
      <c r="AL238" s="89" t="str">
        <f>Registro!AG238</f>
        <v>c) Regular</v>
      </c>
      <c r="AM238" s="89" t="str">
        <f>Registro!AH238</f>
        <v>f) No aplica</v>
      </c>
      <c r="AN238" s="89" t="str">
        <f>Registro!AI238</f>
        <v>f) No aplica</v>
      </c>
      <c r="AO238" s="89" t="str">
        <f>Registro!AJ238</f>
        <v>c) Regular</v>
      </c>
      <c r="AP238" s="89" t="str">
        <f>Registro!AK238</f>
        <v>c) Regular</v>
      </c>
      <c r="AQ238" s="89" t="str">
        <f>Registro!AL238</f>
        <v>c) Regular</v>
      </c>
      <c r="AR238" s="89" t="str">
        <f>Registro!AM238</f>
        <v>b) Buena</v>
      </c>
      <c r="AS238" s="89" t="str">
        <f>Registro!AN238</f>
        <v>c) Regular</v>
      </c>
      <c r="AT238" s="89" t="str">
        <f>Registro!AO238</f>
        <v>d) Mala</v>
      </c>
      <c r="AU238" s="89" t="str">
        <f>Registro!AP238</f>
        <v>d) Mala</v>
      </c>
      <c r="AV238" s="89" t="str">
        <f>Registro!AQ238</f>
        <v>c) Regular</v>
      </c>
      <c r="AW238" s="89" t="str">
        <f>Registro!AR238</f>
        <v>a) El compañerismo</v>
      </c>
      <c r="AX238" s="89" t="str">
        <f>Registro!AS238</f>
        <v>a) Que sea un buen profesional</v>
      </c>
      <c r="AY238" s="89" t="str">
        <f>Registro!AT238</f>
        <v>b) Indiferente</v>
      </c>
      <c r="AZ238" s="89" t="str">
        <f>Registro!AU238</f>
        <v>b) Las veces que bebo, es con moderación</v>
      </c>
      <c r="BA238" s="89" t="str">
        <f>Registro!AV238</f>
        <v>a) Personas a las que tengo que aguantar</v>
      </c>
      <c r="BB238" s="89" t="str">
        <f>Registro!AW238</f>
        <v>b) Poco</v>
      </c>
      <c r="BC238" s="89" t="str">
        <f>Registro!AX238</f>
        <v>c) Son personas normales y corrientes</v>
      </c>
      <c r="BD238" s="89" t="str">
        <f>Registro!AY238</f>
        <v>a) Mi padre, c) Un hermano/a, g) Un amigo</v>
      </c>
    </row>
    <row r="239" spans="1:56" ht="15" customHeight="1" x14ac:dyDescent="0.25">
      <c r="A239" s="101">
        <f>Registro!A239</f>
        <v>42099.217129629629</v>
      </c>
      <c r="B239" s="89" t="str">
        <f>Registro!B239</f>
        <v>a) Calasanz de Caracas</v>
      </c>
      <c r="C239" s="89" t="str">
        <f>Registro!C239</f>
        <v>a) Primer año</v>
      </c>
      <c r="D239" s="89" t="str">
        <f>Registro!D239</f>
        <v>b) Primaria</v>
      </c>
      <c r="E239" s="89" t="str">
        <f>Registro!E239</f>
        <v>a) Masculino</v>
      </c>
      <c r="F239" s="89" t="str">
        <f>Registro!F239</f>
        <v>a) Católica</v>
      </c>
      <c r="G239" s="89" t="str">
        <f>Registro!G239</f>
        <v>a) Mamá, b) Papá, c) Hermanos</v>
      </c>
      <c r="H239" s="89" t="str">
        <f>Registro!H239</f>
        <v>c) Apartamento</v>
      </c>
      <c r="I239" s="89" t="str">
        <f>Registro!I239</f>
        <v>a) Sí</v>
      </c>
      <c r="J239" s="89" t="str">
        <f>Registro!J239</f>
        <v>b) Lavadora, c) Microondas, d) TV pantalla plana, k) Aire acondicionado</v>
      </c>
      <c r="K239" s="89" t="str">
        <f>Registro!K239</f>
        <v>c) Dos</v>
      </c>
      <c r="L239" s="89" t="str">
        <f>Registro!L239</f>
        <v>a) La familia, c) Los estudios, g) La felicidad</v>
      </c>
      <c r="M239" s="94">
        <f t="shared" si="20"/>
        <v>3</v>
      </c>
      <c r="N239" s="89" t="str">
        <f>Registro!M239</f>
        <v>d) Los problemas familiares</v>
      </c>
      <c r="O239" s="89" t="str">
        <f>Registro!N239</f>
        <v>b) Suficiente</v>
      </c>
      <c r="P239" s="89" t="str">
        <f>Registro!O239</f>
        <v>c) Poco</v>
      </c>
      <c r="Q239" s="89" t="str">
        <f>Registro!P239</f>
        <v>c) Poco</v>
      </c>
      <c r="R239" s="89" t="str">
        <f>Registro!Q239</f>
        <v>a) La familia, c) Los estudios, g) La felicidad</v>
      </c>
      <c r="S239" s="94">
        <f t="shared" si="21"/>
        <v>3</v>
      </c>
      <c r="T239" s="89" t="str">
        <f>Registro!R239</f>
        <v>b) Suficiente</v>
      </c>
      <c r="U239" s="89" t="str">
        <f>Registro!S239</f>
        <v>b) La naturaleza, d) Las convivencias, g) Mi familia, k) La oración, l) Los sacramentos</v>
      </c>
      <c r="V239" s="89" t="str">
        <f>Registro!T239</f>
        <v>c) Rezo solo en situación de dificultad</v>
      </c>
      <c r="W239" s="89" t="str">
        <f>Registro!U239</f>
        <v>d) Nunca</v>
      </c>
      <c r="X239" s="89" t="str">
        <f>Registro!V239</f>
        <v>e) Voy a misa en las fechas de mis familiares difuntos, f) En alguna ocasión he rezado el rosario</v>
      </c>
      <c r="Y239" s="89" t="str">
        <f>Registro!W239</f>
        <v>d) No pertenezco a ninguno</v>
      </c>
      <c r="Z239" s="89" t="str">
        <f>Registro!X239</f>
        <v>d) No pertenezco a grupos juveniles cristianos</v>
      </c>
      <c r="AA239" s="89" t="str">
        <f>Registro!Y239</f>
        <v>b) No</v>
      </c>
      <c r="AB239" s="89" t="str">
        <f>Registro!Z239</f>
        <v>b) No</v>
      </c>
      <c r="AC239" s="89" t="str">
        <f>Registro!AA239</f>
        <v>a) Medicina, b) Docencia</v>
      </c>
      <c r="AD239" s="94">
        <f t="shared" si="22"/>
        <v>2</v>
      </c>
      <c r="AE239" s="89" t="str">
        <f>Registro!AB239</f>
        <v>e) Servir a los demás</v>
      </c>
      <c r="AF239" s="89" t="str">
        <f>Registro!AC239</f>
        <v>b) Poco</v>
      </c>
      <c r="AG239" s="89" t="str">
        <f>Registro!AD239</f>
        <v>a) Los deportes y diversiones, c) Las instalaciones del Colegio</v>
      </c>
      <c r="AH239" s="94">
        <f t="shared" si="17"/>
        <v>2</v>
      </c>
      <c r="AI239" s="89" t="str">
        <f>Registro!AE239</f>
        <v>d) 7 a 8 horas</v>
      </c>
      <c r="AJ239" s="89" t="str">
        <f>Registro!AF239</f>
        <v>d) Estoy la mayor parte del tiempo en la casa sin hacer nada, l) Escucho música y/o veo videos musicales, m) Veo televisión y/o películas</v>
      </c>
      <c r="AK239" s="94">
        <f t="shared" si="18"/>
        <v>3</v>
      </c>
      <c r="AL239" s="89" t="str">
        <f>Registro!AG239</f>
        <v>b) Bueno</v>
      </c>
      <c r="AM239" s="89" t="str">
        <f>Registro!AH239</f>
        <v>b) Buena</v>
      </c>
      <c r="AN239" s="89">
        <f>Registro!AI239</f>
        <v>0</v>
      </c>
      <c r="AO239" s="89" t="str">
        <f>Registro!AJ239</f>
        <v>b) Buena</v>
      </c>
      <c r="AP239" s="89" t="str">
        <f>Registro!AK239</f>
        <v>b) Buena</v>
      </c>
      <c r="AQ239" s="89" t="str">
        <f>Registro!AL239</f>
        <v>b) Buena</v>
      </c>
      <c r="AR239" s="89" t="str">
        <f>Registro!AM239</f>
        <v>c) Regular</v>
      </c>
      <c r="AS239" s="89" t="str">
        <f>Registro!AN239</f>
        <v>c) Regular</v>
      </c>
      <c r="AT239" s="89" t="str">
        <f>Registro!AO239</f>
        <v>b) Buena</v>
      </c>
      <c r="AU239" s="89" t="str">
        <f>Registro!AP239</f>
        <v>b) Buena</v>
      </c>
      <c r="AV239" s="89" t="str">
        <f>Registro!AQ239</f>
        <v>b) Buena</v>
      </c>
      <c r="AW239" s="89" t="str">
        <f>Registro!AR239</f>
        <v>c) El estudio</v>
      </c>
      <c r="AX239" s="89" t="str">
        <f>Registro!AS239</f>
        <v>c) Que me preocupe de los demás</v>
      </c>
      <c r="AY239" s="89" t="str">
        <f>Registro!AT239</f>
        <v>c) Conveniente</v>
      </c>
      <c r="AZ239" s="89" t="str">
        <f>Registro!AU239</f>
        <v>a) No acostumbro a tomarlo nunca</v>
      </c>
      <c r="BA239" s="89" t="str">
        <f>Registro!AV239</f>
        <v>e) Educadores que se preocupan de nosotros</v>
      </c>
      <c r="BB239" s="89" t="str">
        <f>Registro!AW239</f>
        <v>c) Bastante</v>
      </c>
      <c r="BC239" s="89" t="str">
        <f>Registro!AX239</f>
        <v>c) Son personas normales y corrientes</v>
      </c>
      <c r="BD239" s="89" t="str">
        <f>Registro!AY239</f>
        <v>a) Mi padre, b) Mi madre, k) No tengo problemas personales</v>
      </c>
    </row>
    <row r="240" spans="1:56" ht="15" customHeight="1" x14ac:dyDescent="0.25">
      <c r="A240" s="101">
        <f>Registro!A240</f>
        <v>42099.217615740738</v>
      </c>
      <c r="B240" s="89" t="str">
        <f>Registro!B240</f>
        <v>a) Calasanz de Caracas</v>
      </c>
      <c r="C240" s="89" t="str">
        <f>Registro!C240</f>
        <v>a) Primer año</v>
      </c>
      <c r="D240" s="89" t="str">
        <f>Registro!D240</f>
        <v>a) Educación Inicial</v>
      </c>
      <c r="E240" s="89" t="str">
        <f>Registro!E240</f>
        <v>a) Masculino</v>
      </c>
      <c r="F240" s="89" t="str">
        <f>Registro!F240</f>
        <v>a) Católica</v>
      </c>
      <c r="G240" s="89" t="str">
        <f>Registro!G240</f>
        <v>a) Mamá, c) Hermanos, d) Abuelos</v>
      </c>
      <c r="H240" s="89" t="str">
        <f>Registro!H240</f>
        <v>f) Otro</v>
      </c>
      <c r="I240" s="89" t="str">
        <f>Registro!I240</f>
        <v>a) Sí</v>
      </c>
      <c r="J240" s="89" t="str">
        <f>Registro!J240</f>
        <v>a) Cónsola videojuegos, b) Lavadora, c) Microondas, d) TV pantalla plana, i) Computadora, j) Cámara digital</v>
      </c>
      <c r="K240" s="89" t="str">
        <f>Registro!K240</f>
        <v>a) Ninguna</v>
      </c>
      <c r="L240" s="89" t="str">
        <f>Registro!L240</f>
        <v>a) La familia, b) Los amigos, c) Los estudios</v>
      </c>
      <c r="M240" s="94">
        <f t="shared" si="20"/>
        <v>3</v>
      </c>
      <c r="N240" s="89" t="str">
        <f>Registro!M240</f>
        <v>g) Mis estudios</v>
      </c>
      <c r="O240" s="89" t="str">
        <f>Registro!N240</f>
        <v>b) Suficiente</v>
      </c>
      <c r="P240" s="89" t="str">
        <f>Registro!O240</f>
        <v>c) Poco</v>
      </c>
      <c r="Q240" s="89" t="str">
        <f>Registro!P240</f>
        <v>a) Mucho</v>
      </c>
      <c r="R240" s="89" t="str">
        <f>Registro!Q240</f>
        <v>a) La familia, c) Los estudios, g) La felicidad</v>
      </c>
      <c r="S240" s="94">
        <f t="shared" si="21"/>
        <v>3</v>
      </c>
      <c r="T240" s="89" t="str">
        <f>Registro!R240</f>
        <v>a) Mucho</v>
      </c>
      <c r="U240" s="89" t="str">
        <f>Registro!S240</f>
        <v>a) La Iglesia, b) La naturaleza, d) Las convivencias, e) Los amigos, g) Mi familia, h) Algunas personas cercanas a Dios, i) Los necesitados, k) La oración</v>
      </c>
      <c r="V240" s="89" t="str">
        <f>Registro!T240</f>
        <v>b) Rezo por costumbre</v>
      </c>
      <c r="W240" s="89" t="str">
        <f>Registro!U240</f>
        <v>d) Nunca</v>
      </c>
      <c r="X240" s="89" t="str">
        <f>Registro!V240</f>
        <v>d) Suelo orar todos los días, e) Voy a misa en las fechas de mis familiares difuntos, g) En ocasiones, en mi casa tenemos una oración familiar, h) En Semana Santa asisto a las procesiones, i) Tengo en mi cuarto alguna imagen religiosa</v>
      </c>
      <c r="Y240" s="89" t="str">
        <f>Registro!W240</f>
        <v>a) Deportivo</v>
      </c>
      <c r="Z240" s="89" t="str">
        <f>Registro!X240</f>
        <v>b) Un lugar donde comparto con mis compañeros</v>
      </c>
      <c r="AA240" s="89" t="str">
        <f>Registro!Y240</f>
        <v>b) No</v>
      </c>
      <c r="AB240" s="89" t="str">
        <f>Registro!Z240</f>
        <v>b) No</v>
      </c>
      <c r="AC240" s="89"/>
      <c r="AD240" s="94">
        <f t="shared" si="22"/>
        <v>0</v>
      </c>
      <c r="AE240" s="89" t="str">
        <f>Registro!AB240</f>
        <v>a) Ganar mucho dinero</v>
      </c>
      <c r="AF240" s="89" t="str">
        <f>Registro!AC240</f>
        <v>c) Bastante</v>
      </c>
      <c r="AG240" s="89">
        <f>Registro!AD240</f>
        <v>0</v>
      </c>
      <c r="AH240" s="94">
        <f t="shared" si="17"/>
        <v>0</v>
      </c>
      <c r="AI240" s="89" t="str">
        <f>Registro!AE240</f>
        <v>c) 5 a 6 horas</v>
      </c>
      <c r="AJ240" s="89" t="str">
        <f>Registro!AF240</f>
        <v>g) Suelo ir a discotecas o a fiestas, l) Escucho música y/o veo videos musicales, n) Estoy conversando con los amigos/as</v>
      </c>
      <c r="AK240" s="94">
        <f t="shared" si="18"/>
        <v>3</v>
      </c>
      <c r="AL240" s="89" t="str">
        <f>Registro!AG240</f>
        <v>a) Muy bueno</v>
      </c>
      <c r="AM240" s="89" t="str">
        <f>Registro!AH240</f>
        <v>a) Muy buena</v>
      </c>
      <c r="AN240" s="89" t="str">
        <f>Registro!AI240</f>
        <v>f) No aplica</v>
      </c>
      <c r="AO240" s="89" t="str">
        <f>Registro!AJ240</f>
        <v>b) Buena</v>
      </c>
      <c r="AP240" s="89" t="str">
        <f>Registro!AK240</f>
        <v>a) Muy buena</v>
      </c>
      <c r="AQ240" s="89" t="str">
        <f>Registro!AL240</f>
        <v>a) Muy buena</v>
      </c>
      <c r="AR240" s="89" t="str">
        <f>Registro!AM240</f>
        <v>a) Muy buena</v>
      </c>
      <c r="AS240" s="89" t="str">
        <f>Registro!AN240</f>
        <v>b) Buena</v>
      </c>
      <c r="AT240" s="89" t="str">
        <f>Registro!AO240</f>
        <v>b) Buena</v>
      </c>
      <c r="AU240" s="89" t="str">
        <f>Registro!AP240</f>
        <v>b) Buena</v>
      </c>
      <c r="AV240" s="89" t="str">
        <f>Registro!AQ240</f>
        <v>a) Muy buena</v>
      </c>
      <c r="AW240" s="89" t="str">
        <f>Registro!AR240</f>
        <v>c) El estudio</v>
      </c>
      <c r="AX240" s="89" t="str">
        <f>Registro!AS240</f>
        <v>a) Que sea un buen profesional</v>
      </c>
      <c r="AY240" s="89" t="str">
        <f>Registro!AT240</f>
        <v>d) Bastante necesaria</v>
      </c>
      <c r="AZ240" s="89" t="str">
        <f>Registro!AU240</f>
        <v>b) Las veces que bebo, es con moderación</v>
      </c>
      <c r="BA240" s="89" t="str">
        <f>Registro!AV240</f>
        <v>a) Personas a las que tengo que aguantar</v>
      </c>
      <c r="BB240" s="89" t="str">
        <f>Registro!AW240</f>
        <v>c) Bastante</v>
      </c>
      <c r="BC240" s="89" t="str">
        <f>Registro!AX240</f>
        <v>c) Son personas normales y corrientes</v>
      </c>
      <c r="BD240" s="89" t="str">
        <f>Registro!AY240</f>
        <v>a) Mi padre, b) Mi madre, c) Un hermano/a</v>
      </c>
    </row>
    <row r="241" spans="1:56" ht="15" customHeight="1" x14ac:dyDescent="0.25">
      <c r="A241" s="101">
        <f>Registro!A241</f>
        <v>42099.217766203707</v>
      </c>
      <c r="B241" s="89" t="str">
        <f>Registro!B241</f>
        <v>a) Calasanz de Caracas</v>
      </c>
      <c r="C241" s="89" t="str">
        <f>Registro!C241</f>
        <v>a) Primer año</v>
      </c>
      <c r="D241" s="89" t="str">
        <f>Registro!D241</f>
        <v>a) Educación Inicial</v>
      </c>
      <c r="E241" s="89" t="str">
        <f>Registro!E241</f>
        <v>b) Femenino</v>
      </c>
      <c r="F241" s="89" t="str">
        <f>Registro!F241</f>
        <v>d) Otra</v>
      </c>
      <c r="G241" s="89" t="str">
        <f>Registro!G241</f>
        <v>a) Mamá, b) Papá, c) Hermanos</v>
      </c>
      <c r="H241" s="89" t="str">
        <f>Registro!H241</f>
        <v>c) Apartamento</v>
      </c>
      <c r="I241" s="89" t="str">
        <f>Registro!I241</f>
        <v>c) Algo</v>
      </c>
      <c r="J241" s="89" t="str">
        <f>Registro!J241</f>
        <v>b) Lavadora, c) Microondas, d) TV pantalla plana, h) Carro, i) Computadora</v>
      </c>
      <c r="K241" s="89" t="str">
        <f>Registro!K241</f>
        <v>f) Más de cuatro</v>
      </c>
      <c r="L241" s="89" t="str">
        <f>Registro!L241</f>
        <v>a) La familia, i) La música, j) El deporte</v>
      </c>
      <c r="M241" s="94">
        <f t="shared" si="20"/>
        <v>3</v>
      </c>
      <c r="N241" s="89" t="str">
        <f>Registro!M241</f>
        <v>c) Yo mismo</v>
      </c>
      <c r="O241" s="89" t="str">
        <f>Registro!N241</f>
        <v>c) Poco</v>
      </c>
      <c r="P241" s="89" t="str">
        <f>Registro!O241</f>
        <v>a) Mucho</v>
      </c>
      <c r="Q241" s="89" t="str">
        <f>Registro!P241</f>
        <v>c) Poco</v>
      </c>
      <c r="R241" s="89" t="str">
        <f>Registro!Q241</f>
        <v>c) Los estudios</v>
      </c>
      <c r="S241" s="94">
        <f t="shared" si="21"/>
        <v>1</v>
      </c>
      <c r="T241" s="89" t="str">
        <f>Registro!R241</f>
        <v>a) Mucho</v>
      </c>
      <c r="U241" s="89" t="str">
        <f>Registro!S241</f>
        <v>g) Mi familia</v>
      </c>
      <c r="V241" s="89" t="str">
        <f>Registro!T241</f>
        <v>d) No rezo nunca</v>
      </c>
      <c r="W241" s="89" t="str">
        <f>Registro!U241</f>
        <v>d) Nunca</v>
      </c>
      <c r="X241" s="89">
        <f>Registro!V241</f>
        <v>0</v>
      </c>
      <c r="Y241" s="89" t="str">
        <f>Registro!W241</f>
        <v>a) Deportivo</v>
      </c>
      <c r="Z241" s="89" t="str">
        <f>Registro!X241</f>
        <v>d) No pertenezco a grupos juveniles cristianos</v>
      </c>
      <c r="AA241" s="89" t="str">
        <f>Registro!Y241</f>
        <v>b) No</v>
      </c>
      <c r="AB241" s="89" t="str">
        <f>Registro!Z241</f>
        <v>b) No</v>
      </c>
      <c r="AC241" s="89" t="str">
        <f>Registro!AA241</f>
        <v>d) Ingeniería, g) Artista</v>
      </c>
      <c r="AD241" s="94">
        <f t="shared" si="22"/>
        <v>2</v>
      </c>
      <c r="AE241" s="89" t="str">
        <f>Registro!AB241</f>
        <v>c) Ser un excelente profesional</v>
      </c>
      <c r="AF241" s="89" t="str">
        <f>Registro!AC241</f>
        <v>b) Poco</v>
      </c>
      <c r="AG241" s="89" t="str">
        <f>Registro!AD241</f>
        <v>a) Los deportes y diversiones, i) No me gusta nada</v>
      </c>
      <c r="AH241" s="94">
        <f t="shared" si="17"/>
        <v>2</v>
      </c>
      <c r="AI241" s="89" t="str">
        <f>Registro!AE241</f>
        <v>d) 7 a 8 horas</v>
      </c>
      <c r="AJ241" s="89" t="str">
        <f>Registro!AF241</f>
        <v>i) Leo revistas o libros, k) Practico algún deporte</v>
      </c>
      <c r="AK241" s="94">
        <f t="shared" si="18"/>
        <v>2</v>
      </c>
      <c r="AL241" s="89" t="str">
        <f>Registro!AG241</f>
        <v>c) Regular</v>
      </c>
      <c r="AM241" s="89" t="str">
        <f>Registro!AH241</f>
        <v>b) Buena</v>
      </c>
      <c r="AN241" s="89" t="str">
        <f>Registro!AI241</f>
        <v>f) No aplica</v>
      </c>
      <c r="AO241" s="89" t="str">
        <f>Registro!AJ241</f>
        <v>b) Buena</v>
      </c>
      <c r="AP241" s="89" t="str">
        <f>Registro!AK241</f>
        <v>b) Buena</v>
      </c>
      <c r="AQ241" s="89" t="str">
        <f>Registro!AL241</f>
        <v>c) Regular</v>
      </c>
      <c r="AR241" s="89" t="str">
        <f>Registro!AM241</f>
        <v>b) Buena</v>
      </c>
      <c r="AS241" s="89" t="str">
        <f>Registro!AN241</f>
        <v>f) No aplica</v>
      </c>
      <c r="AT241" s="89" t="str">
        <f>Registro!AO241</f>
        <v>c) Regular</v>
      </c>
      <c r="AU241" s="89" t="str">
        <f>Registro!AP241</f>
        <v>f) No aplica</v>
      </c>
      <c r="AV241" s="89" t="str">
        <f>Registro!AQ241</f>
        <v>b) Buena</v>
      </c>
      <c r="AW241" s="89" t="str">
        <f>Registro!AR241</f>
        <v>c) El estudio</v>
      </c>
      <c r="AX241" s="89" t="str">
        <f>Registro!AS241</f>
        <v>b) Darme una buena educación</v>
      </c>
      <c r="AY241" s="89" t="str">
        <f>Registro!AT241</f>
        <v>e) Absolutamente necesaria</v>
      </c>
      <c r="AZ241" s="89" t="str">
        <f>Registro!AU241</f>
        <v>a) No acostumbro a tomarlo nunca</v>
      </c>
      <c r="BA241" s="89" t="str">
        <f>Registro!AV241</f>
        <v>a) Personas a las que tengo que aguantar</v>
      </c>
      <c r="BB241" s="89" t="str">
        <f>Registro!AW241</f>
        <v>c) Bastante</v>
      </c>
      <c r="BC241" s="89" t="str">
        <f>Registro!AX241</f>
        <v>c) Son personas normales y corrientes</v>
      </c>
      <c r="BD241" s="89" t="str">
        <f>Registro!AY241</f>
        <v>h) Una amiga</v>
      </c>
    </row>
    <row r="242" spans="1:56" ht="15" customHeight="1" x14ac:dyDescent="0.25">
      <c r="A242" s="101">
        <f>Registro!A242</f>
        <v>42099.217962962961</v>
      </c>
      <c r="B242" s="89" t="str">
        <f>Registro!B242</f>
        <v>a) Calasanz de Caracas</v>
      </c>
      <c r="C242" s="89" t="str">
        <f>Registro!C242</f>
        <v>a) Primer año</v>
      </c>
      <c r="D242" s="89" t="str">
        <f>Registro!D242</f>
        <v>a) Educación Inicial</v>
      </c>
      <c r="E242" s="89" t="str">
        <f>Registro!E242</f>
        <v>b) Femenino</v>
      </c>
      <c r="F242" s="89" t="str">
        <f>Registro!F242</f>
        <v>a) Católica</v>
      </c>
      <c r="G242" s="89" t="str">
        <f>Registro!G242</f>
        <v>a) Mamá, c) Hermanos</v>
      </c>
      <c r="H242" s="89" t="str">
        <f>Registro!H242</f>
        <v>b) Casa Urbana</v>
      </c>
      <c r="I242" s="89" t="str">
        <f>Registro!I242</f>
        <v>a) Sí</v>
      </c>
      <c r="J242" s="89" t="str">
        <f>Registro!J242</f>
        <v>a) Cónsola videojuegos, b) Lavadora, c) Microondas, d) TV pantalla plana, h) Carro, i) Computadora, j) Cámara digital</v>
      </c>
      <c r="K242" s="89" t="str">
        <f>Registro!K242</f>
        <v>c) Dos</v>
      </c>
      <c r="L242" s="89" t="str">
        <f>Registro!L242</f>
        <v>a) La familia, b) Los amigos, c) Los estudios</v>
      </c>
      <c r="M242" s="94">
        <f t="shared" si="20"/>
        <v>3</v>
      </c>
      <c r="N242" s="89" t="str">
        <f>Registro!M242</f>
        <v>b) El futuro</v>
      </c>
      <c r="O242" s="89" t="str">
        <f>Registro!N242</f>
        <v>b) Suficiente</v>
      </c>
      <c r="P242" s="89" t="str">
        <f>Registro!O242</f>
        <v>b) Suficiente</v>
      </c>
      <c r="Q242" s="89" t="str">
        <f>Registro!P242</f>
        <v>b) Suficiente</v>
      </c>
      <c r="R242" s="89" t="str">
        <f>Registro!Q242</f>
        <v>a) La familia, c) Los estudios, g) La felicidad</v>
      </c>
      <c r="S242" s="94">
        <f t="shared" si="21"/>
        <v>3</v>
      </c>
      <c r="T242" s="89" t="str">
        <f>Registro!R242</f>
        <v>b) Suficiente</v>
      </c>
      <c r="U242" s="89" t="str">
        <f>Registro!S242</f>
        <v>a) La Iglesia, b) La naturaleza, k) La oración</v>
      </c>
      <c r="V242" s="89" t="str">
        <f>Registro!T242</f>
        <v>c) Rezo solo en situación de dificultad</v>
      </c>
      <c r="W242" s="89" t="str">
        <f>Registro!U242</f>
        <v>d) Nunca</v>
      </c>
      <c r="X242" s="89" t="str">
        <f>Registro!V242</f>
        <v>b) Suelo bendedir los alimentos antes de comer, i) Tengo en mi cuarto alguna imagen religiosa</v>
      </c>
      <c r="Y242" s="89" t="str">
        <f>Registro!W242</f>
        <v xml:space="preserve">b) Cultural (folklórico, musicales, danzas, scout, banda marcial,...) </v>
      </c>
      <c r="Z242" s="89" t="str">
        <f>Registro!X242</f>
        <v>d) No pertenezco a grupos juveniles cristianos</v>
      </c>
      <c r="AA242" s="89" t="str">
        <f>Registro!Y242</f>
        <v>b) No</v>
      </c>
      <c r="AB242" s="89" t="str">
        <f>Registro!Z242</f>
        <v>b) No</v>
      </c>
      <c r="AC242" s="89" t="str">
        <f>Registro!AA242</f>
        <v>a) Medicina, e) Derecho</v>
      </c>
      <c r="AD242" s="94">
        <f t="shared" si="22"/>
        <v>2</v>
      </c>
      <c r="AE242" s="89" t="str">
        <f>Registro!AB242</f>
        <v>a) Ganar mucho dinero</v>
      </c>
      <c r="AF242" s="89" t="str">
        <f>Registro!AC242</f>
        <v>b) Poco</v>
      </c>
      <c r="AG242" s="89" t="str">
        <f>Registro!AD242</f>
        <v>b) El ambiente de estudio y de trabajo, h) Las actividades extraescolares</v>
      </c>
      <c r="AH242" s="94">
        <f t="shared" si="17"/>
        <v>2</v>
      </c>
      <c r="AI242" s="89" t="str">
        <f>Registro!AE242</f>
        <v>a) 0 a 2 horas</v>
      </c>
      <c r="AJ242" s="89" t="str">
        <f>Registro!AF242</f>
        <v>d) Estoy la mayor parte del tiempo en la casa sin hacer nada, g) Suelo ir a discotecas o a fiestas, h) Suelo ir al cine</v>
      </c>
      <c r="AK242" s="94">
        <f t="shared" si="18"/>
        <v>3</v>
      </c>
      <c r="AL242" s="89" t="str">
        <f>Registro!AG242</f>
        <v>b) Bueno</v>
      </c>
      <c r="AM242" s="89" t="str">
        <f>Registro!AH242</f>
        <v>b) Buena</v>
      </c>
      <c r="AN242" s="89" t="str">
        <f>Registro!AI242</f>
        <v>f) No aplica</v>
      </c>
      <c r="AO242" s="89" t="str">
        <f>Registro!AJ242</f>
        <v>b) Buena</v>
      </c>
      <c r="AP242" s="89" t="str">
        <f>Registro!AK242</f>
        <v>a) Muy buena</v>
      </c>
      <c r="AQ242" s="89" t="str">
        <f>Registro!AL242</f>
        <v>a) Muy buena</v>
      </c>
      <c r="AR242" s="89" t="str">
        <f>Registro!AM242</f>
        <v>a) Muy buena</v>
      </c>
      <c r="AS242" s="89" t="str">
        <f>Registro!AN242</f>
        <v>a) Muy buena</v>
      </c>
      <c r="AT242" s="89" t="str">
        <f>Registro!AO242</f>
        <v>a) Muy buena</v>
      </c>
      <c r="AU242" s="89" t="str">
        <f>Registro!AP242</f>
        <v>a) Muy buena</v>
      </c>
      <c r="AV242" s="89" t="str">
        <f>Registro!AQ242</f>
        <v>b) Buena</v>
      </c>
      <c r="AW242" s="89" t="str">
        <f>Registro!AR242</f>
        <v>h) La responsabilidad social y el servicio a los demás</v>
      </c>
      <c r="AX242" s="89" t="str">
        <f>Registro!AS242</f>
        <v>a) Que sea un buen profesional</v>
      </c>
      <c r="AY242" s="89" t="str">
        <f>Registro!AT242</f>
        <v>d) Bastante necesaria</v>
      </c>
      <c r="AZ242" s="89" t="str">
        <f>Registro!AU242</f>
        <v>a) No acostumbro a tomarlo nunca</v>
      </c>
      <c r="BA242" s="89" t="str">
        <f>Registro!AV242</f>
        <v>f) Educadores que, además, me han abierto caminos</v>
      </c>
      <c r="BB242" s="89" t="str">
        <f>Registro!AW242</f>
        <v>b) Poco</v>
      </c>
      <c r="BC242" s="89" t="str">
        <f>Registro!AX242</f>
        <v>c) Son personas normales y corrientes</v>
      </c>
      <c r="BD242" s="89" t="str">
        <f>Registro!AY242</f>
        <v>b) Mi madre, c) Un hermano/a, h) Una amiga</v>
      </c>
    </row>
    <row r="243" spans="1:56" ht="15" customHeight="1" x14ac:dyDescent="0.25">
      <c r="A243" s="101">
        <f>Registro!A243</f>
        <v>42099.218171296299</v>
      </c>
      <c r="B243" s="89" t="str">
        <f>Registro!B243</f>
        <v>a) Calasanz de Caracas</v>
      </c>
      <c r="C243" s="89" t="str">
        <f>Registro!C243</f>
        <v>a) Primer año</v>
      </c>
      <c r="D243" s="89" t="str">
        <f>Registro!D243</f>
        <v>b) Primaria</v>
      </c>
      <c r="E243" s="89" t="str">
        <f>Registro!E243</f>
        <v>a) Masculino</v>
      </c>
      <c r="F243" s="89" t="str">
        <f>Registro!F243</f>
        <v>a) Católica</v>
      </c>
      <c r="G243" s="89" t="str">
        <f>Registro!G243</f>
        <v>a) Mamá, b) Papá, c) Hermanos</v>
      </c>
      <c r="H243" s="89" t="str">
        <f>Registro!H243</f>
        <v>c) Apartamento</v>
      </c>
      <c r="I243" s="89" t="str">
        <f>Registro!I243</f>
        <v>a) Sí</v>
      </c>
      <c r="J243" s="89" t="str">
        <f>Registro!J243</f>
        <v>a) Cónsola videojuegos, d) TV pantalla plana, f) MP3, h) Carro</v>
      </c>
      <c r="K243" s="89" t="str">
        <f>Registro!K243</f>
        <v>c) Dos</v>
      </c>
      <c r="L243" s="89" t="str">
        <f>Registro!L243</f>
        <v>a) La familia, b) Los amigos, c) Los estudios</v>
      </c>
      <c r="M243" s="94">
        <f t="shared" si="20"/>
        <v>3</v>
      </c>
      <c r="N243" s="89" t="str">
        <f>Registro!M243</f>
        <v>g) Mis estudios</v>
      </c>
      <c r="O243" s="89" t="str">
        <f>Registro!N243</f>
        <v>c) Poco</v>
      </c>
      <c r="P243" s="89" t="str">
        <f>Registro!O243</f>
        <v>a) Mucho</v>
      </c>
      <c r="Q243" s="89" t="str">
        <f>Registro!P243</f>
        <v>c) Poco</v>
      </c>
      <c r="R243" s="89" t="str">
        <f>Registro!Q243</f>
        <v>a) La familia, b) Los amigos, c) Los estudios</v>
      </c>
      <c r="S243" s="94">
        <f t="shared" si="21"/>
        <v>3</v>
      </c>
      <c r="T243" s="89" t="str">
        <f>Registro!R243</f>
        <v>a) Mucho</v>
      </c>
      <c r="U243" s="89" t="str">
        <f>Registro!S243</f>
        <v>b) La naturaleza, d) Las convivencias, e) Los amigos, g) Mi familia</v>
      </c>
      <c r="V243" s="89" t="str">
        <f>Registro!T243</f>
        <v>c) Rezo solo en situación de dificultad</v>
      </c>
      <c r="W243" s="89" t="str">
        <f>Registro!U243</f>
        <v>c) Solo en fechas especiales</v>
      </c>
      <c r="X243" s="89" t="str">
        <f>Registro!V243</f>
        <v>c) Suelo ir los domingos y otras fechas especiales a la Iglesia, d) Suelo orar todos los días, e) Voy a misa en las fechas de mis familiares difuntos, h) En Semana Santa asisto a las procesiones</v>
      </c>
      <c r="Y243" s="89" t="str">
        <f>Registro!W243</f>
        <v>a) Deportivo</v>
      </c>
      <c r="Z243" s="89" t="str">
        <f>Registro!X243</f>
        <v>b) Un lugar donde comparto con mis compañeros</v>
      </c>
      <c r="AA243" s="89" t="str">
        <f>Registro!Y243</f>
        <v>b) No</v>
      </c>
      <c r="AB243" s="89" t="str">
        <f>Registro!Z243</f>
        <v>b) No</v>
      </c>
      <c r="AC243" s="89" t="str">
        <f>Registro!AA243</f>
        <v>f) Ciencias policiales o artes militares, g) Artista</v>
      </c>
      <c r="AD243" s="94">
        <f t="shared" si="22"/>
        <v>2</v>
      </c>
      <c r="AE243" s="89" t="str">
        <f>Registro!AB243</f>
        <v>e) Servir a los demás</v>
      </c>
      <c r="AF243" s="89" t="str">
        <f>Registro!AC243</f>
        <v>a) No, en absoluto</v>
      </c>
      <c r="AG243" s="89" t="str">
        <f>Registro!AD243</f>
        <v>a) Los deportes y diversiones, b) El ambiente de estudio y de trabajo</v>
      </c>
      <c r="AH243" s="94">
        <f t="shared" si="17"/>
        <v>2</v>
      </c>
      <c r="AI243" s="89" t="str">
        <f>Registro!AE243</f>
        <v>c) 5 a 6 horas</v>
      </c>
      <c r="AJ243" s="89" t="str">
        <f>Registro!AF243</f>
        <v>c) Suelo ir a centros de video (máquinas de juegos), k) Practico algún deporte, m) Veo televisión y/o películas</v>
      </c>
      <c r="AK243" s="94">
        <f t="shared" si="18"/>
        <v>3</v>
      </c>
      <c r="AL243" s="89" t="str">
        <f>Registro!AG243</f>
        <v>a) Muy bueno</v>
      </c>
      <c r="AM243" s="89" t="str">
        <f>Registro!AH243</f>
        <v>a) Muy buena</v>
      </c>
      <c r="AN243" s="89">
        <f>Registro!AI243</f>
        <v>0</v>
      </c>
      <c r="AO243" s="89" t="str">
        <f>Registro!AJ243</f>
        <v>a) Muy buena</v>
      </c>
      <c r="AP243" s="89" t="str">
        <f>Registro!AK243</f>
        <v>b) Buena</v>
      </c>
      <c r="AQ243" s="89" t="str">
        <f>Registro!AL243</f>
        <v>b) Buena</v>
      </c>
      <c r="AR243" s="89" t="str">
        <f>Registro!AM243</f>
        <v>a) Muy buena</v>
      </c>
      <c r="AS243" s="89" t="str">
        <f>Registro!AN243</f>
        <v>b) Buena</v>
      </c>
      <c r="AT243" s="89" t="str">
        <f>Registro!AO243</f>
        <v>a) Muy buena</v>
      </c>
      <c r="AU243" s="89" t="str">
        <f>Registro!AP243</f>
        <v>b) Buena</v>
      </c>
      <c r="AV243" s="89" t="str">
        <f>Registro!AQ243</f>
        <v>b) Buena</v>
      </c>
      <c r="AW243" s="89" t="str">
        <f>Registro!AR243</f>
        <v>e) La disciplina y el orden</v>
      </c>
      <c r="AX243" s="89" t="str">
        <f>Registro!AS243</f>
        <v>a) Que sea un buen profesional</v>
      </c>
      <c r="AY243" s="89" t="str">
        <f>Registro!AT243</f>
        <v>c) Conveniente</v>
      </c>
      <c r="AZ243" s="89" t="str">
        <f>Registro!AU243</f>
        <v>b) Las veces que bebo, es con moderación</v>
      </c>
      <c r="BA243" s="89" t="str">
        <f>Registro!AV243</f>
        <v>f) Educadores que, además, me han abierto caminos</v>
      </c>
      <c r="BB243" s="89" t="str">
        <f>Registro!AW243</f>
        <v>c) Bastante</v>
      </c>
      <c r="BC243" s="89" t="str">
        <f>Registro!AX243</f>
        <v>e) Son personas que me gustan y admiro</v>
      </c>
      <c r="BD243" s="89" t="str">
        <f>Registro!AY243</f>
        <v>a) Mi padre, b) Mi madre, c) Un hermano/a</v>
      </c>
    </row>
    <row r="244" spans="1:56" ht="15" customHeight="1" x14ac:dyDescent="0.25">
      <c r="A244" s="101">
        <f>Registro!A244</f>
        <v>42099.218425925923</v>
      </c>
      <c r="B244" s="89" t="str">
        <f>Registro!B244</f>
        <v>a) Calasanz de Caracas</v>
      </c>
      <c r="C244" s="89" t="str">
        <f>Registro!C244</f>
        <v>a) Primer año</v>
      </c>
      <c r="D244" s="89" t="str">
        <f>Registro!D244</f>
        <v>a) Educación Inicial</v>
      </c>
      <c r="E244" s="89" t="str">
        <f>Registro!E244</f>
        <v>b) Femenino</v>
      </c>
      <c r="F244" s="89" t="str">
        <f>Registro!F244</f>
        <v>d) Otra</v>
      </c>
      <c r="G244" s="89" t="str">
        <f>Registro!G244</f>
        <v>a) Mamá, b) Papá, c) Hermanos, e) Otros familiares</v>
      </c>
      <c r="H244" s="89" t="str">
        <f>Registro!H244</f>
        <v>c) Apartamento</v>
      </c>
      <c r="I244" s="89" t="str">
        <f>Registro!I244</f>
        <v>d) No sé</v>
      </c>
      <c r="J244" s="89" t="str">
        <f>Registro!J244</f>
        <v>a) Cónsola videojuegos, b) Lavadora, c) Microondas, d) TV pantalla plana, g) MP4, h) Carro, i) Computadora, j) Cámara digital</v>
      </c>
      <c r="K244" s="89">
        <f>Registro!K244</f>
        <v>0</v>
      </c>
      <c r="L244" s="89" t="str">
        <f>Registro!L244</f>
        <v>a) La familia, b) Los amigos, f) Mi fe y vida cristiana</v>
      </c>
      <c r="M244" s="94">
        <f t="shared" si="20"/>
        <v>3</v>
      </c>
      <c r="N244" s="89" t="str">
        <f>Registro!M244</f>
        <v>b) El futuro</v>
      </c>
      <c r="O244" s="89" t="str">
        <f>Registro!N244</f>
        <v>a) Mucho</v>
      </c>
      <c r="P244" s="89" t="str">
        <f>Registro!O244</f>
        <v>b) Suficiente</v>
      </c>
      <c r="Q244" s="89" t="str">
        <f>Registro!P244</f>
        <v>a) Mucho</v>
      </c>
      <c r="R244" s="89"/>
      <c r="S244" s="94">
        <f t="shared" si="21"/>
        <v>0</v>
      </c>
      <c r="T244" s="89" t="str">
        <f>Registro!R244</f>
        <v>a) Mucho</v>
      </c>
      <c r="U244" s="89" t="str">
        <f>Registro!S244</f>
        <v>a) La Iglesia, b) La naturaleza, e) Los amigos, f) Todas las personas, g) Mi familia, i) Los necesitados, k) La oración</v>
      </c>
      <c r="V244" s="89" t="str">
        <f>Registro!T244</f>
        <v>a) Suelo rezar por convicción o porque me gusta</v>
      </c>
      <c r="W244" s="89" t="str">
        <f>Registro!U244</f>
        <v>a) Todos los domingos</v>
      </c>
      <c r="X244" s="89" t="str">
        <f>Registro!V244</f>
        <v>d) Suelo orar todos los días, g) En ocasiones, en mi casa tenemos una oración familiar</v>
      </c>
      <c r="Y244" s="89" t="str">
        <f>Registro!W244</f>
        <v>a) Deportivo, c) Religioso o parroquial</v>
      </c>
      <c r="Z244" s="89" t="str">
        <f>Registro!X244</f>
        <v>b) Un lugar donde comparto con mis compañeros</v>
      </c>
      <c r="AA244" s="89" t="str">
        <f>Registro!Y244</f>
        <v>b) No</v>
      </c>
      <c r="AB244" s="89" t="str">
        <f>Registro!Z244</f>
        <v>b) No</v>
      </c>
      <c r="AC244" s="89" t="str">
        <f>Registro!AA244</f>
        <v>a) Medicina, b) Docencia</v>
      </c>
      <c r="AD244" s="94">
        <f t="shared" si="22"/>
        <v>2</v>
      </c>
      <c r="AE244" s="89" t="str">
        <f>Registro!AB244</f>
        <v>e) Servir a los demás</v>
      </c>
      <c r="AF244" s="89" t="str">
        <f>Registro!AC244</f>
        <v>e) No sé</v>
      </c>
      <c r="AG244" s="89" t="str">
        <f>Registro!AD244</f>
        <v>a) Los deportes y diversiones, b) El ambiente de estudio y de trabajo</v>
      </c>
      <c r="AH244" s="94">
        <f t="shared" si="17"/>
        <v>2</v>
      </c>
      <c r="AI244" s="89" t="str">
        <f>Registro!AE244</f>
        <v>b) 3 a 4 horas</v>
      </c>
      <c r="AJ244" s="89" t="str">
        <f>Registro!AF244</f>
        <v>k) Practico algún deporte, l) Escucho música y/o veo videos musicales, n) Estoy conversando con los amigos/as</v>
      </c>
      <c r="AK244" s="94">
        <f t="shared" si="18"/>
        <v>3</v>
      </c>
      <c r="AL244" s="89" t="str">
        <f>Registro!AG244</f>
        <v>b) Bueno</v>
      </c>
      <c r="AM244" s="89" t="str">
        <f>Registro!AH244</f>
        <v>a) Muy buena</v>
      </c>
      <c r="AN244" s="89" t="str">
        <f>Registro!AI244</f>
        <v>f) No aplica</v>
      </c>
      <c r="AO244" s="89" t="str">
        <f>Registro!AJ244</f>
        <v>b) Buena</v>
      </c>
      <c r="AP244" s="89" t="str">
        <f>Registro!AK244</f>
        <v>a) Muy buena</v>
      </c>
      <c r="AQ244" s="89" t="str">
        <f>Registro!AL244</f>
        <v>a) Muy buena</v>
      </c>
      <c r="AR244" s="89" t="str">
        <f>Registro!AM244</f>
        <v>c) Regular</v>
      </c>
      <c r="AS244" s="89" t="str">
        <f>Registro!AN244</f>
        <v>c) Regular</v>
      </c>
      <c r="AT244" s="89" t="str">
        <f>Registro!AO244</f>
        <v>b) Buena</v>
      </c>
      <c r="AU244" s="89" t="str">
        <f>Registro!AP244</f>
        <v>c) Regular</v>
      </c>
      <c r="AV244" s="89" t="str">
        <f>Registro!AQ244</f>
        <v>b) Buena</v>
      </c>
      <c r="AW244" s="89" t="str">
        <f>Registro!AR244</f>
        <v>c) El estudio</v>
      </c>
      <c r="AX244" s="89" t="str">
        <f>Registro!AS244</f>
        <v>a) Que sea un buen profesional</v>
      </c>
      <c r="AY244" s="89" t="str">
        <f>Registro!AT244</f>
        <v>e) Absolutamente necesaria</v>
      </c>
      <c r="AZ244" s="89" t="str">
        <f>Registro!AU244</f>
        <v>b) Las veces que bebo, es con moderación</v>
      </c>
      <c r="BA244" s="89" t="str">
        <f>Registro!AV244</f>
        <v>a) Personas a las que tengo que aguantar</v>
      </c>
      <c r="BB244" s="89" t="str">
        <f>Registro!AW244</f>
        <v>c) Bastante</v>
      </c>
      <c r="BC244" s="89" t="str">
        <f>Registro!AX244</f>
        <v>d) Hay de todo tipo, pero predomina lo positivo</v>
      </c>
      <c r="BD244" s="89" t="str">
        <f>Registro!AY244</f>
        <v>a) Mi padre, b) Mi madre, h) Una amiga</v>
      </c>
    </row>
    <row r="245" spans="1:56" ht="15" customHeight="1" x14ac:dyDescent="0.25">
      <c r="A245" s="101">
        <f>Registro!A245</f>
        <v>42099.218530092592</v>
      </c>
      <c r="B245" s="89" t="str">
        <f>Registro!B245</f>
        <v>a) Calasanz de Caracas</v>
      </c>
      <c r="C245" s="89" t="str">
        <f>Registro!C245</f>
        <v>a) Primer año</v>
      </c>
      <c r="D245" s="89" t="str">
        <f>Registro!D245</f>
        <v>b) Primaria</v>
      </c>
      <c r="E245" s="89" t="str">
        <f>Registro!E245</f>
        <v>b) Femenino</v>
      </c>
      <c r="F245" s="89" t="str">
        <f>Registro!F245</f>
        <v>a) Católica</v>
      </c>
      <c r="G245" s="89" t="str">
        <f>Registro!G245</f>
        <v>a) Mamá, b) Papá, c) Hermanos, e) Otros familiares</v>
      </c>
      <c r="H245" s="89" t="str">
        <f>Registro!H245</f>
        <v>b) Casa Urbana</v>
      </c>
      <c r="I245" s="89" t="str">
        <f>Registro!I245</f>
        <v>a) Sí</v>
      </c>
      <c r="J245" s="89" t="str">
        <f>Registro!J245</f>
        <v>a) Cónsola videojuegos, b) Lavadora, f) MP3, g) MP4, i) Computadora</v>
      </c>
      <c r="K245" s="89" t="str">
        <f>Registro!K245</f>
        <v>d) Tres</v>
      </c>
      <c r="L245" s="89"/>
      <c r="M245" s="94">
        <f t="shared" si="20"/>
        <v>0</v>
      </c>
      <c r="N245" s="89" t="str">
        <f>Registro!M245</f>
        <v>g) Mis estudios</v>
      </c>
      <c r="O245" s="89" t="str">
        <f>Registro!N245</f>
        <v>b) Suficiente</v>
      </c>
      <c r="P245" s="89" t="str">
        <f>Registro!O245</f>
        <v>b) Suficiente</v>
      </c>
      <c r="Q245" s="89" t="str">
        <f>Registro!P245</f>
        <v>b) Suficiente</v>
      </c>
      <c r="R245" s="89"/>
      <c r="S245" s="94">
        <f t="shared" si="21"/>
        <v>0</v>
      </c>
      <c r="T245" s="89" t="str">
        <f>Registro!R245</f>
        <v>c) Poco</v>
      </c>
      <c r="U245" s="89" t="str">
        <f>Registro!S245</f>
        <v>b) La naturaleza, g) Mi familia</v>
      </c>
      <c r="V245" s="89" t="str">
        <f>Registro!T245</f>
        <v>a) Suelo rezar por convicción o porque me gusta</v>
      </c>
      <c r="W245" s="89" t="str">
        <f>Registro!U245</f>
        <v>c) Solo en fechas especiales</v>
      </c>
      <c r="X245" s="89" t="str">
        <f>Registro!V245</f>
        <v>a) Suelo llevar una cruz o algún objeto religioso, c) Suelo ir los domingos y otras fechas especiales a la Iglesia, i) Tengo en mi cuarto alguna imagen religiosa</v>
      </c>
      <c r="Y245" s="89" t="str">
        <f>Registro!W245</f>
        <v>a) Deportivo</v>
      </c>
      <c r="Z245" s="89" t="str">
        <f>Registro!X245</f>
        <v>d) No pertenezco a grupos juveniles cristianos</v>
      </c>
      <c r="AA245" s="89" t="str">
        <f>Registro!Y245</f>
        <v>b) No</v>
      </c>
      <c r="AB245" s="89" t="str">
        <f>Registro!Z245</f>
        <v>b) No</v>
      </c>
      <c r="AC245" s="89"/>
      <c r="AD245" s="94">
        <f t="shared" si="22"/>
        <v>0</v>
      </c>
      <c r="AE245" s="89" t="str">
        <f>Registro!AB245</f>
        <v>c) Ser un excelente profesional</v>
      </c>
      <c r="AF245" s="89" t="str">
        <f>Registro!AC245</f>
        <v>b) Poco</v>
      </c>
      <c r="AG245" s="89" t="str">
        <f>Registro!AD245</f>
        <v>a) Los deportes y diversiones, b) El ambiente de estudio y de trabajo</v>
      </c>
      <c r="AH245" s="94">
        <f t="shared" si="17"/>
        <v>2</v>
      </c>
      <c r="AI245" s="89" t="str">
        <f>Registro!AE245</f>
        <v>a) 0 a 2 horas</v>
      </c>
      <c r="AJ245" s="89"/>
      <c r="AK245" s="94">
        <f t="shared" si="18"/>
        <v>0</v>
      </c>
      <c r="AL245" s="89" t="str">
        <f>Registro!AG245</f>
        <v>c) Regular</v>
      </c>
      <c r="AM245" s="89">
        <f>Registro!AH245</f>
        <v>0</v>
      </c>
      <c r="AN245" s="89">
        <f>Registro!AI245</f>
        <v>0</v>
      </c>
      <c r="AO245" s="89" t="str">
        <f>Registro!AJ245</f>
        <v>d) Mala</v>
      </c>
      <c r="AP245" s="89" t="str">
        <f>Registro!AK245</f>
        <v>c) Regular</v>
      </c>
      <c r="AQ245" s="89" t="str">
        <f>Registro!AL245</f>
        <v>c) Regular</v>
      </c>
      <c r="AR245" s="89" t="str">
        <f>Registro!AM245</f>
        <v>b) Buena</v>
      </c>
      <c r="AS245" s="89" t="str">
        <f>Registro!AN245</f>
        <v>c) Regular</v>
      </c>
      <c r="AT245" s="89" t="str">
        <f>Registro!AO245</f>
        <v>c) Regular</v>
      </c>
      <c r="AU245" s="89" t="str">
        <f>Registro!AP245</f>
        <v>b) Buena</v>
      </c>
      <c r="AV245" s="89" t="str">
        <f>Registro!AQ245</f>
        <v>c) Regular</v>
      </c>
      <c r="AW245" s="89" t="str">
        <f>Registro!AR245</f>
        <v>e) La disciplina y el orden</v>
      </c>
      <c r="AX245" s="89" t="str">
        <f>Registro!AS245</f>
        <v>b) Darme una buena educación</v>
      </c>
      <c r="AY245" s="89" t="str">
        <f>Registro!AT245</f>
        <v>c) Conveniente</v>
      </c>
      <c r="AZ245" s="89" t="str">
        <f>Registro!AU245</f>
        <v>a) No acostumbro a tomarlo nunca</v>
      </c>
      <c r="BA245" s="89" t="str">
        <f>Registro!AV245</f>
        <v>b) Profesionales que no se preocupan de nosotros</v>
      </c>
      <c r="BB245" s="89" t="str">
        <f>Registro!AW245</f>
        <v>c) Bastante</v>
      </c>
      <c r="BC245" s="89" t="str">
        <f>Registro!AX245</f>
        <v>c) Son personas normales y corrientes</v>
      </c>
      <c r="BD245" s="89" t="str">
        <f>Registro!AY245</f>
        <v>a) Mi padre, b) Mi madre, g) Un amigo, h) Una amiga</v>
      </c>
    </row>
    <row r="246" spans="1:56" ht="15" customHeight="1" x14ac:dyDescent="0.25">
      <c r="A246" s="101">
        <f>Registro!A246</f>
        <v>42099.218819444446</v>
      </c>
      <c r="B246" s="89" t="str">
        <f>Registro!B246</f>
        <v>a) Calasanz de Caracas</v>
      </c>
      <c r="C246" s="89" t="str">
        <f>Registro!C246</f>
        <v>a) Primer año</v>
      </c>
      <c r="D246" s="89" t="str">
        <f>Registro!D246</f>
        <v>b) Primaria</v>
      </c>
      <c r="E246" s="89" t="str">
        <f>Registro!E246</f>
        <v>a) Masculino</v>
      </c>
      <c r="F246" s="89" t="str">
        <f>Registro!F246</f>
        <v>a) Católica</v>
      </c>
      <c r="G246" s="89" t="str">
        <f>Registro!G246</f>
        <v>a) Mamá, c) Hermanos</v>
      </c>
      <c r="H246" s="89" t="str">
        <f>Registro!H246</f>
        <v>c) Apartamento</v>
      </c>
      <c r="I246" s="89" t="str">
        <f>Registro!I246</f>
        <v>a) Sí</v>
      </c>
      <c r="J246" s="89" t="str">
        <f>Registro!J246</f>
        <v>a) Cónsola videojuegos, b) Lavadora, c) Microondas, d) TV pantalla plana, h) Carro, i) Computadora, j) Cámara digital, k) Aire acondicionado</v>
      </c>
      <c r="K246" s="89" t="str">
        <f>Registro!K246</f>
        <v>d) Tres</v>
      </c>
      <c r="L246" s="89" t="str">
        <f>Registro!L246</f>
        <v>a) La familia, c) Los estudios, j) El deporte</v>
      </c>
      <c r="M246" s="94">
        <f t="shared" si="20"/>
        <v>3</v>
      </c>
      <c r="N246" s="89" t="str">
        <f>Registro!M246</f>
        <v>g) Mis estudios</v>
      </c>
      <c r="O246" s="89">
        <f>Registro!N246</f>
        <v>0</v>
      </c>
      <c r="P246" s="89" t="str">
        <f>Registro!O246</f>
        <v>c) Poco</v>
      </c>
      <c r="Q246" s="89" t="str">
        <f>Registro!P246</f>
        <v>c) Poco</v>
      </c>
      <c r="R246" s="89"/>
      <c r="S246" s="94">
        <f t="shared" si="21"/>
        <v>0</v>
      </c>
      <c r="T246" s="89" t="str">
        <f>Registro!R246</f>
        <v>b) Suficiente</v>
      </c>
      <c r="U246" s="89" t="str">
        <f>Registro!S246</f>
        <v>a) La Iglesia, b) La naturaleza, c) El salón de clase, d) Las convivencias, g) Mi familia, h) Algunas personas cercanas a Dios, j) Todas partes, k) La oración, l) Los sacramentos</v>
      </c>
      <c r="V246" s="89" t="str">
        <f>Registro!T246</f>
        <v>a) Suelo rezar por convicción o porque me gusta</v>
      </c>
      <c r="W246" s="89" t="str">
        <f>Registro!U246</f>
        <v>a) Todos los domingos</v>
      </c>
      <c r="X246" s="89" t="str">
        <f>Registro!V246</f>
        <v>c) Suelo ir los domingos y otras fechas especiales a la Iglesia, d) Suelo orar todos los días</v>
      </c>
      <c r="Y246" s="89" t="str">
        <f>Registro!W246</f>
        <v>a) Deportivo</v>
      </c>
      <c r="Z246" s="89" t="str">
        <f>Registro!X246</f>
        <v>a) Un grupo donde profundizo mi fe</v>
      </c>
      <c r="AA246" s="89" t="str">
        <f>Registro!Y246</f>
        <v>b) No</v>
      </c>
      <c r="AB246" s="89" t="str">
        <f>Registro!Z246</f>
        <v>b) No</v>
      </c>
      <c r="AC246" s="89" t="str">
        <f>Registro!AA246</f>
        <v>d) Ingeniería</v>
      </c>
      <c r="AD246" s="94">
        <f t="shared" si="22"/>
        <v>1</v>
      </c>
      <c r="AE246" s="89" t="str">
        <f>Registro!AB246</f>
        <v>c) Ser un excelente profesional</v>
      </c>
      <c r="AF246" s="89" t="str">
        <f>Registro!AC246</f>
        <v>e) No sé</v>
      </c>
      <c r="AG246" s="89" t="str">
        <f>Registro!AD246</f>
        <v>a) Los deportes y diversiones, d) Los grupos juveniles cristianos</v>
      </c>
      <c r="AH246" s="94">
        <f t="shared" si="17"/>
        <v>2</v>
      </c>
      <c r="AI246" s="89" t="str">
        <f>Registro!AE246</f>
        <v>a) 0 a 2 horas</v>
      </c>
      <c r="AJ246" s="89" t="str">
        <f>Registro!AF246</f>
        <v>b) Navego en Internet, g) Suelo ir a discotecas o a fiestas, k) Practico algún deporte</v>
      </c>
      <c r="AK246" s="94">
        <f t="shared" si="18"/>
        <v>3</v>
      </c>
      <c r="AL246" s="89" t="str">
        <f>Registro!AG246</f>
        <v>c) Regular</v>
      </c>
      <c r="AM246" s="89" t="str">
        <f>Registro!AH246</f>
        <v>c) Regular</v>
      </c>
      <c r="AN246" s="89" t="str">
        <f>Registro!AI246</f>
        <v>f) No aplica</v>
      </c>
      <c r="AO246" s="89" t="str">
        <f>Registro!AJ246</f>
        <v>c) Regular</v>
      </c>
      <c r="AP246" s="89" t="str">
        <f>Registro!AK246</f>
        <v>d) Mala</v>
      </c>
      <c r="AQ246" s="89" t="str">
        <f>Registro!AL246</f>
        <v>f) No aplica</v>
      </c>
      <c r="AR246" s="89" t="str">
        <f>Registro!AM246</f>
        <v>b) Buena</v>
      </c>
      <c r="AS246" s="89" t="str">
        <f>Registro!AN246</f>
        <v>c) Regular</v>
      </c>
      <c r="AT246" s="89" t="str">
        <f>Registro!AO246</f>
        <v>b) Buena</v>
      </c>
      <c r="AU246" s="89" t="str">
        <f>Registro!AP246</f>
        <v>c) Regular</v>
      </c>
      <c r="AV246" s="89" t="str">
        <f>Registro!AQ246</f>
        <v>a) Muy buena</v>
      </c>
      <c r="AW246" s="89" t="str">
        <f>Registro!AR246</f>
        <v>a) El compañerismo</v>
      </c>
      <c r="AX246" s="89" t="str">
        <f>Registro!AS246</f>
        <v>a) Que sea un buen profesional</v>
      </c>
      <c r="AY246" s="89" t="str">
        <f>Registro!AT246</f>
        <v>d) Bastante necesaria</v>
      </c>
      <c r="AZ246" s="89" t="str">
        <f>Registro!AU246</f>
        <v>b) Las veces que bebo, es con moderación</v>
      </c>
      <c r="BA246" s="89" t="str">
        <f>Registro!AV246</f>
        <v>a) Personas a las que tengo que aguantar</v>
      </c>
      <c r="BB246" s="89" t="str">
        <f>Registro!AW246</f>
        <v>a) No, en absoluto</v>
      </c>
      <c r="BC246" s="89" t="str">
        <f>Registro!AX246</f>
        <v>a) No me gustan en absoluto</v>
      </c>
      <c r="BD246" s="89" t="str">
        <f>Registro!AY246</f>
        <v>b) Mi madre, c) Un hermano/a, g) Un amigo</v>
      </c>
    </row>
    <row r="247" spans="1:56" ht="15" customHeight="1" x14ac:dyDescent="0.25">
      <c r="A247" s="101">
        <f>Registro!A247</f>
        <v>42099.219548611109</v>
      </c>
      <c r="B247" s="89" t="str">
        <f>Registro!B247</f>
        <v>a) Calasanz de Caracas</v>
      </c>
      <c r="C247" s="89" t="str">
        <f>Registro!C247</f>
        <v>a) Primer año</v>
      </c>
      <c r="D247" s="89" t="str">
        <f>Registro!D247</f>
        <v>c) Entre Primero y Tercer año</v>
      </c>
      <c r="E247" s="89" t="str">
        <f>Registro!E247</f>
        <v>b) Femenino</v>
      </c>
      <c r="F247" s="89" t="str">
        <f>Registro!F247</f>
        <v>a) Católica</v>
      </c>
      <c r="G247" s="89" t="str">
        <f>Registro!G247</f>
        <v>a) Mamá, b) Papá, c) Hermanos</v>
      </c>
      <c r="H247" s="89" t="str">
        <f>Registro!H247</f>
        <v>c) Apartamento</v>
      </c>
      <c r="I247" s="89" t="str">
        <f>Registro!I247</f>
        <v>c) Algo</v>
      </c>
      <c r="J247" s="89" t="str">
        <f>Registro!J247</f>
        <v>a) Cónsola videojuegos, b) Lavadora, c) Microondas, d) TV pantalla plana, i) Computadora, j) Cámara digital</v>
      </c>
      <c r="K247" s="89" t="str">
        <f>Registro!K247</f>
        <v>c) Dos</v>
      </c>
      <c r="L247" s="89" t="str">
        <f>Registro!L247</f>
        <v>a) La familia, f) Mi fe y vida cristiana, g) La felicidad</v>
      </c>
      <c r="M247" s="94">
        <f t="shared" si="20"/>
        <v>3</v>
      </c>
      <c r="N247" s="89" t="str">
        <f>Registro!M247</f>
        <v>a) Seguridad personal (la violencia y la delincuencia)</v>
      </c>
      <c r="O247" s="89" t="str">
        <f>Registro!N247</f>
        <v>a) Mucho</v>
      </c>
      <c r="P247" s="89" t="str">
        <f>Registro!O247</f>
        <v>c) Poco</v>
      </c>
      <c r="Q247" s="89" t="str">
        <f>Registro!P247</f>
        <v>b) Suficiente</v>
      </c>
      <c r="R247" s="89" t="str">
        <f>Registro!Q247</f>
        <v>a) La familia, e) Disponer de dinero, g) La felicidad</v>
      </c>
      <c r="S247" s="94">
        <f t="shared" si="21"/>
        <v>3</v>
      </c>
      <c r="T247" s="89" t="str">
        <f>Registro!R247</f>
        <v>a) Mucho</v>
      </c>
      <c r="U247" s="89" t="str">
        <f>Registro!S247</f>
        <v>a) La Iglesia, b) La naturaleza, d) Las convivencias, g) Mi familia, h) Algunas personas cercanas a Dios, k) La oración, l) Los sacramentos</v>
      </c>
      <c r="V247" s="89" t="str">
        <f>Registro!T247</f>
        <v>c) Rezo solo en situación de dificultad</v>
      </c>
      <c r="W247" s="89" t="str">
        <f>Registro!U247</f>
        <v>c) Solo en fechas especiales</v>
      </c>
      <c r="X247" s="89" t="str">
        <f>Registro!V247</f>
        <v>e) Voy a misa en las fechas de mis familiares difuntos, f) En alguna ocasión he rezado el rosario, h) En Semana Santa asisto a las procesiones</v>
      </c>
      <c r="Y247" s="89" t="str">
        <f>Registro!W247</f>
        <v>c) Religioso o parroquial</v>
      </c>
      <c r="Z247" s="89" t="str">
        <f>Registro!X247</f>
        <v>c) Un lugar donde me lo paso bien</v>
      </c>
      <c r="AA247" s="89" t="str">
        <f>Registro!Y247</f>
        <v>b) No</v>
      </c>
      <c r="AB247" s="89" t="str">
        <f>Registro!Z247</f>
        <v>b) No</v>
      </c>
      <c r="AC247" s="89" t="str">
        <f>Registro!AA247</f>
        <v>a) Medicina, d) Ingeniería</v>
      </c>
      <c r="AD247" s="94">
        <f t="shared" si="22"/>
        <v>2</v>
      </c>
      <c r="AE247" s="89" t="str">
        <f>Registro!AB247</f>
        <v>c) Ser un excelente profesional</v>
      </c>
      <c r="AF247" s="89" t="str">
        <f>Registro!AC247</f>
        <v>b) Poco</v>
      </c>
      <c r="AG247" s="89" t="str">
        <f>Registro!AD247</f>
        <v>d) Los grupos juveniles cristianos, h) Las actividades extraescolares</v>
      </c>
      <c r="AH247" s="94">
        <f t="shared" si="17"/>
        <v>2</v>
      </c>
      <c r="AI247" s="89" t="str">
        <f>Registro!AE247</f>
        <v>a) 0 a 2 horas</v>
      </c>
      <c r="AJ247" s="89" t="str">
        <f>Registro!AF247</f>
        <v>b) Navego en Internet, d) Estoy la mayor parte del tiempo en la casa sin hacer nada, f) Toco un instrumento musical</v>
      </c>
      <c r="AK247" s="94">
        <f t="shared" si="18"/>
        <v>3</v>
      </c>
      <c r="AL247" s="89" t="str">
        <f>Registro!AG247</f>
        <v>b) Bueno</v>
      </c>
      <c r="AM247" s="89" t="str">
        <f>Registro!AH247</f>
        <v>b) Buena</v>
      </c>
      <c r="AN247" s="89" t="str">
        <f>Registro!AI247</f>
        <v>b) Buena</v>
      </c>
      <c r="AO247" s="89" t="str">
        <f>Registro!AJ247</f>
        <v>b) Buena</v>
      </c>
      <c r="AP247" s="89" t="str">
        <f>Registro!AK247</f>
        <v>c) Regular</v>
      </c>
      <c r="AQ247" s="89" t="str">
        <f>Registro!AL247</f>
        <v>c) Regular</v>
      </c>
      <c r="AR247" s="89" t="str">
        <f>Registro!AM247</f>
        <v>a) Muy buena</v>
      </c>
      <c r="AS247" s="89" t="str">
        <f>Registro!AN247</f>
        <v>b) Buena</v>
      </c>
      <c r="AT247" s="89" t="str">
        <f>Registro!AO247</f>
        <v>a) Muy buena</v>
      </c>
      <c r="AU247" s="89" t="str">
        <f>Registro!AP247</f>
        <v>b) Buena</v>
      </c>
      <c r="AV247" s="89" t="str">
        <f>Registro!AQ247</f>
        <v>a) Muy buena</v>
      </c>
      <c r="AW247" s="89" t="str">
        <f>Registro!AR247</f>
        <v>a) El compañerismo</v>
      </c>
      <c r="AX247" s="89" t="str">
        <f>Registro!AS247</f>
        <v>a) Que sea un buen profesional</v>
      </c>
      <c r="AY247" s="89" t="str">
        <f>Registro!AT247</f>
        <v>e) Absolutamente necesaria</v>
      </c>
      <c r="AZ247" s="89" t="str">
        <f>Registro!AU247</f>
        <v>d) Con frecuencia (fines de semana u otros momentos) suelo beber más de la cuenta</v>
      </c>
      <c r="BA247" s="89" t="str">
        <f>Registro!AV247</f>
        <v>a) Personas a las que tengo que aguantar</v>
      </c>
      <c r="BB247" s="89" t="str">
        <f>Registro!AW247</f>
        <v>b) Poco</v>
      </c>
      <c r="BC247" s="89" t="str">
        <f>Registro!AX247</f>
        <v>c) Son personas normales y corrientes</v>
      </c>
      <c r="BD247" s="89" t="str">
        <f>Registro!AY247</f>
        <v>g) Un amigo, h) Una amiga</v>
      </c>
    </row>
    <row r="248" spans="1:56" ht="15" customHeight="1" x14ac:dyDescent="0.25">
      <c r="A248" s="101">
        <f>Registro!A248</f>
        <v>42099.219618055555</v>
      </c>
      <c r="B248" s="89" t="str">
        <f>Registro!B248</f>
        <v>a) Calasanz de Caracas</v>
      </c>
      <c r="C248" s="89" t="str">
        <f>Registro!C248</f>
        <v>a) Primer año</v>
      </c>
      <c r="D248" s="89" t="str">
        <f>Registro!D248</f>
        <v>a) Educación Inicial</v>
      </c>
      <c r="E248" s="89" t="str">
        <f>Registro!E248</f>
        <v>b) Femenino</v>
      </c>
      <c r="F248" s="89" t="str">
        <f>Registro!F248</f>
        <v>b) Evangélica</v>
      </c>
      <c r="G248" s="89" t="str">
        <f>Registro!G248</f>
        <v>a) Mamá, c) Hermanos, e) Otros familiares</v>
      </c>
      <c r="H248" s="89" t="str">
        <f>Registro!H248</f>
        <v>c) Apartamento</v>
      </c>
      <c r="I248" s="89" t="str">
        <f>Registro!I248</f>
        <v>d) No sé</v>
      </c>
      <c r="J248" s="89" t="str">
        <f>Registro!J248</f>
        <v>a) Cónsola videojuegos, b) Lavadora, c) Microondas, d) TV pantalla plana, f) MP3, h) Carro, i) Computadora, j) Cámara digital</v>
      </c>
      <c r="K248" s="89" t="str">
        <f>Registro!K248</f>
        <v>a) Ninguna</v>
      </c>
      <c r="L248" s="89"/>
      <c r="M248" s="94">
        <f t="shared" si="20"/>
        <v>0</v>
      </c>
      <c r="N248" s="89" t="str">
        <f>Registro!M248</f>
        <v>b) El futuro</v>
      </c>
      <c r="O248" s="89" t="str">
        <f>Registro!N248</f>
        <v>c) Poco</v>
      </c>
      <c r="P248" s="89" t="str">
        <f>Registro!O248</f>
        <v>d) Nada</v>
      </c>
      <c r="Q248" s="89" t="str">
        <f>Registro!P248</f>
        <v>b) Suficiente</v>
      </c>
      <c r="R248" s="89" t="str">
        <f>Registro!Q248</f>
        <v>a) La familia, c) Los estudios, f) Mi fe y mi vida cristiana</v>
      </c>
      <c r="S248" s="94">
        <f t="shared" si="21"/>
        <v>3</v>
      </c>
      <c r="T248" s="89" t="str">
        <f>Registro!R248</f>
        <v>d) Nada</v>
      </c>
      <c r="U248" s="89" t="str">
        <f>Registro!S248</f>
        <v>a) La Iglesia, k) La oración, l) Los sacramentos</v>
      </c>
      <c r="V248" s="89" t="str">
        <f>Registro!T248</f>
        <v>c) Rezo solo en situación de dificultad</v>
      </c>
      <c r="W248" s="89" t="str">
        <f>Registro!U248</f>
        <v>c) Solo en fechas especiales</v>
      </c>
      <c r="X248" s="89" t="str">
        <f>Registro!V248</f>
        <v>e) Voy a misa en las fechas de mis familiares difuntos</v>
      </c>
      <c r="Y248" s="89" t="str">
        <f>Registro!W248</f>
        <v>a) Deportivo</v>
      </c>
      <c r="Z248" s="89" t="str">
        <f>Registro!X248</f>
        <v>d) No pertenezco a grupos juveniles cristianos</v>
      </c>
      <c r="AA248" s="89" t="str">
        <f>Registro!Y248</f>
        <v>b) No</v>
      </c>
      <c r="AB248" s="89" t="str">
        <f>Registro!Z248</f>
        <v>b) No</v>
      </c>
      <c r="AC248" s="89" t="str">
        <f>Registro!AA248</f>
        <v>b) Docencia, g) Artista</v>
      </c>
      <c r="AD248" s="94">
        <f t="shared" si="22"/>
        <v>2</v>
      </c>
      <c r="AE248" s="89" t="str">
        <f>Registro!AB248</f>
        <v>d) Desarrollarme personalmente</v>
      </c>
      <c r="AF248" s="89" t="str">
        <f>Registro!AC248</f>
        <v>b) Poco</v>
      </c>
      <c r="AG248" s="89" t="str">
        <f>Registro!AD248</f>
        <v>a) Los deportes y diversiones, b) El ambiente de estudio y de trabajo</v>
      </c>
      <c r="AH248" s="94">
        <f t="shared" si="17"/>
        <v>2</v>
      </c>
      <c r="AI248" s="89" t="str">
        <f>Registro!AE248</f>
        <v>d) 7 a 8 horas</v>
      </c>
      <c r="AJ248" s="89" t="str">
        <f>Registro!AF248</f>
        <v>a) Me divierto con juegos para computadoras, d) Estoy la mayor parte del tiempo en la casa sin hacer nada, f) Toco un instrumento musical</v>
      </c>
      <c r="AK248" s="94">
        <f t="shared" si="18"/>
        <v>3</v>
      </c>
      <c r="AL248" s="89" t="str">
        <f>Registro!AG248</f>
        <v>c) Regular</v>
      </c>
      <c r="AM248" s="89" t="str">
        <f>Registro!AH248</f>
        <v>c) Regular</v>
      </c>
      <c r="AN248" s="89" t="str">
        <f>Registro!AI248</f>
        <v>c) Regular</v>
      </c>
      <c r="AO248" s="89" t="str">
        <f>Registro!AJ248</f>
        <v>b) Buena</v>
      </c>
      <c r="AP248" s="89" t="str">
        <f>Registro!AK248</f>
        <v>c) Regular</v>
      </c>
      <c r="AQ248" s="89" t="str">
        <f>Registro!AL248</f>
        <v>c) Regular</v>
      </c>
      <c r="AR248" s="89" t="str">
        <f>Registro!AM248</f>
        <v>b) Buena</v>
      </c>
      <c r="AS248" s="89" t="str">
        <f>Registro!AN248</f>
        <v>a) Muy buena</v>
      </c>
      <c r="AT248" s="89" t="str">
        <f>Registro!AO248</f>
        <v>b) Buena</v>
      </c>
      <c r="AU248" s="89" t="str">
        <f>Registro!AP248</f>
        <v>c) Regular</v>
      </c>
      <c r="AV248" s="89" t="str">
        <f>Registro!AQ248</f>
        <v>a) Muy buena</v>
      </c>
      <c r="AW248" s="89" t="str">
        <f>Registro!AR248</f>
        <v>b) La orientación cristiana</v>
      </c>
      <c r="AX248" s="89" t="str">
        <f>Registro!AS248</f>
        <v>h) No sé</v>
      </c>
      <c r="AY248" s="89" t="str">
        <f>Registro!AT248</f>
        <v>c) Conveniente</v>
      </c>
      <c r="AZ248" s="89" t="str">
        <f>Registro!AU248</f>
        <v>a) No acostumbro a tomarlo nunca</v>
      </c>
      <c r="BA248" s="89" t="str">
        <f>Registro!AV248</f>
        <v>a) Personas a las que tengo que aguantar</v>
      </c>
      <c r="BB248" s="89" t="str">
        <f>Registro!AW248</f>
        <v>b) Poco</v>
      </c>
      <c r="BC248" s="89" t="str">
        <f>Registro!AX248</f>
        <v>b) Hay de todo tipo, pero predomina lo negativo</v>
      </c>
      <c r="BD248" s="89" t="str">
        <f>Registro!AY248</f>
        <v>e) Un, una docente, h) Una amiga</v>
      </c>
    </row>
    <row r="249" spans="1:56" ht="15" customHeight="1" x14ac:dyDescent="0.25">
      <c r="A249" s="101">
        <f>Registro!A249</f>
        <v>42099.22</v>
      </c>
      <c r="B249" s="89" t="str">
        <f>Registro!B249</f>
        <v>a) Calasanz de Caracas</v>
      </c>
      <c r="C249" s="89" t="str">
        <f>Registro!C249</f>
        <v>a) Primer año</v>
      </c>
      <c r="D249" s="89" t="str">
        <f>Registro!D249</f>
        <v>c) Entre Primero y Tercer año</v>
      </c>
      <c r="E249" s="89" t="str">
        <f>Registro!E249</f>
        <v>a) Masculino</v>
      </c>
      <c r="F249" s="89" t="str">
        <f>Registro!F249</f>
        <v>a) Católica</v>
      </c>
      <c r="G249" s="89" t="str">
        <f>Registro!G249</f>
        <v>a) Mamá, b) Papá, c) Hermanos</v>
      </c>
      <c r="H249" s="89" t="str">
        <f>Registro!H249</f>
        <v>c) Apartamento</v>
      </c>
      <c r="I249" s="89" t="str">
        <f>Registro!I249</f>
        <v>a) Sí</v>
      </c>
      <c r="J249" s="89" t="str">
        <f>Registro!J249</f>
        <v>a) Cónsola videojuegos, b) Lavadora, c) Microondas, d) TV pantalla plana, h) Carro, i) Computadora</v>
      </c>
      <c r="K249" s="89" t="str">
        <f>Registro!K249</f>
        <v>b) Una</v>
      </c>
      <c r="L249" s="89" t="str">
        <f>Registro!L249</f>
        <v>a) La familia, c) Los estudios, d) El cuidado de mi cuerpo</v>
      </c>
      <c r="M249" s="94">
        <f t="shared" si="20"/>
        <v>3</v>
      </c>
      <c r="N249" s="89" t="str">
        <f>Registro!M249</f>
        <v>d) Los problemas familiares</v>
      </c>
      <c r="O249" s="89" t="str">
        <f>Registro!N249</f>
        <v>a) Mucho</v>
      </c>
      <c r="P249" s="89" t="str">
        <f>Registro!O249</f>
        <v>a) Mucho</v>
      </c>
      <c r="Q249" s="89" t="str">
        <f>Registro!P249</f>
        <v>b) Suficiente</v>
      </c>
      <c r="R249" s="89" t="str">
        <f>Registro!Q249</f>
        <v>a) La familia, d) El cuidado de mi cuerpo</v>
      </c>
      <c r="S249" s="94">
        <f t="shared" si="21"/>
        <v>2</v>
      </c>
      <c r="T249" s="89" t="str">
        <f>Registro!R249</f>
        <v>a) Mucho</v>
      </c>
      <c r="U249" s="89" t="str">
        <f>Registro!S249</f>
        <v>a) La Iglesia, b) La naturaleza, d) Las convivencias, h) Algunas personas cercanas a Dios, i) Los necesitados</v>
      </c>
      <c r="V249" s="89" t="str">
        <f>Registro!T249</f>
        <v>c) Rezo solo en situación de dificultad</v>
      </c>
      <c r="W249" s="89" t="str">
        <f>Registro!U249</f>
        <v>b) Algunos domingos</v>
      </c>
      <c r="X249" s="89" t="str">
        <f>Registro!V249</f>
        <v>b) Suelo bendedir los alimentos antes de comer, g) En ocasiones, en mi casa tenemos una oración familiar, i) Tengo en mi cuarto alguna imagen religiosa</v>
      </c>
      <c r="Y249" s="89" t="str">
        <f>Registro!W249</f>
        <v>a) Deportivo, c) Religioso o parroquial</v>
      </c>
      <c r="Z249" s="89" t="str">
        <f>Registro!X249</f>
        <v>a) Un grupo donde profundizo mi fe</v>
      </c>
      <c r="AA249" s="89" t="str">
        <f>Registro!Y249</f>
        <v>a) Sí</v>
      </c>
      <c r="AB249" s="89" t="str">
        <f>Registro!Z249</f>
        <v>a) Sí</v>
      </c>
      <c r="AC249" s="89" t="str">
        <f>Registro!AA249</f>
        <v>a) Medicina, c) Sacerdocio o hermana religiosa</v>
      </c>
      <c r="AD249" s="94">
        <f t="shared" si="22"/>
        <v>2</v>
      </c>
      <c r="AE249" s="89" t="str">
        <f>Registro!AB249</f>
        <v>e) Servir a los demás</v>
      </c>
      <c r="AF249" s="89" t="str">
        <f>Registro!AC249</f>
        <v>d) Mucho o muchísimo</v>
      </c>
      <c r="AG249" s="89" t="str">
        <f>Registro!AD249</f>
        <v>c) Las instalaciones del Colegio, e) La mayor posibilidad de vivir mi fe</v>
      </c>
      <c r="AH249" s="94">
        <f t="shared" si="17"/>
        <v>2</v>
      </c>
      <c r="AI249" s="89" t="str">
        <f>Registro!AE249</f>
        <v>f) 11 o más horas</v>
      </c>
      <c r="AJ249" s="89" t="str">
        <f>Registro!AF249</f>
        <v>k) Practico algún deporte, m) Veo televisión y/o películas, n) Estoy conversando con los amigos/as</v>
      </c>
      <c r="AK249" s="94">
        <f t="shared" si="18"/>
        <v>3</v>
      </c>
      <c r="AL249" s="89" t="str">
        <f>Registro!AG249</f>
        <v>d) Deficiente</v>
      </c>
      <c r="AM249" s="89" t="str">
        <f>Registro!AH249</f>
        <v>b) Buena</v>
      </c>
      <c r="AN249" s="89" t="str">
        <f>Registro!AI249</f>
        <v>f) No aplica</v>
      </c>
      <c r="AO249" s="89" t="str">
        <f>Registro!AJ249</f>
        <v>a) Muy buena</v>
      </c>
      <c r="AP249" s="89" t="str">
        <f>Registro!AK249</f>
        <v>a) Muy buena</v>
      </c>
      <c r="AQ249" s="89" t="str">
        <f>Registro!AL249</f>
        <v>a) Muy buena</v>
      </c>
      <c r="AR249" s="89" t="str">
        <f>Registro!AM249</f>
        <v>b) Buena</v>
      </c>
      <c r="AS249" s="89" t="str">
        <f>Registro!AN249</f>
        <v>a) Muy buena</v>
      </c>
      <c r="AT249" s="89" t="str">
        <f>Registro!AO249</f>
        <v>a) Muy buena</v>
      </c>
      <c r="AU249" s="89" t="str">
        <f>Registro!AP249</f>
        <v>a) Muy buena</v>
      </c>
      <c r="AV249" s="89" t="str">
        <f>Registro!AQ249</f>
        <v>a) Muy buena</v>
      </c>
      <c r="AW249" s="89" t="str">
        <f>Registro!AR249</f>
        <v>c) El estudio</v>
      </c>
      <c r="AX249" s="89" t="str">
        <f>Registro!AS249</f>
        <v>d) Que ayude económicamente a la familia</v>
      </c>
      <c r="AY249" s="89" t="str">
        <f>Registro!AT249</f>
        <v>e) Absolutamente necesaria</v>
      </c>
      <c r="AZ249" s="89" t="str">
        <f>Registro!AU249</f>
        <v>a) No acostumbro a tomarlo nunca</v>
      </c>
      <c r="BA249" s="89" t="str">
        <f>Registro!AV249</f>
        <v>f) Educadores que, además, me han abierto caminos</v>
      </c>
      <c r="BB249" s="89" t="str">
        <f>Registro!AW249</f>
        <v>d) Mucho o muchísimo</v>
      </c>
      <c r="BC249" s="89" t="str">
        <f>Registro!AX249</f>
        <v>e) Son personas que me gustan y admiro</v>
      </c>
      <c r="BD249" s="89" t="str">
        <f>Registro!AY249</f>
        <v>a) Mi padre, b) Mi madre, c) Un hermano/a, e) Un, una docente</v>
      </c>
    </row>
    <row r="250" spans="1:56" ht="15" customHeight="1" x14ac:dyDescent="0.25">
      <c r="A250" s="101">
        <f>Registro!A250</f>
        <v>42099.220879629633</v>
      </c>
      <c r="B250" s="89" t="str">
        <f>Registro!B250</f>
        <v>a) Calasanz de Caracas</v>
      </c>
      <c r="C250" s="89" t="str">
        <f>Registro!C250</f>
        <v>a) Primer año</v>
      </c>
      <c r="D250" s="89" t="str">
        <f>Registro!D250</f>
        <v>a) Educación Inicial</v>
      </c>
      <c r="E250" s="89" t="str">
        <f>Registro!E250</f>
        <v>a) Masculino</v>
      </c>
      <c r="F250" s="89" t="str">
        <f>Registro!F250</f>
        <v>b) Evangélica</v>
      </c>
      <c r="G250" s="89" t="str">
        <f>Registro!G250</f>
        <v>a) Mamá, b) Papá, c) Hermanos, d) Abuelos, e) Otros familiares</v>
      </c>
      <c r="H250" s="89" t="str">
        <f>Registro!H250</f>
        <v>c) Apartamento</v>
      </c>
      <c r="I250" s="89" t="str">
        <f>Registro!I250</f>
        <v>a) Sí</v>
      </c>
      <c r="J250" s="89" t="str">
        <f>Registro!J250</f>
        <v>a) Cónsola videojuegos, b) Lavadora, c) Microondas, d) TV pantalla plana, h) Carro, i) Computadora, j) Cámara digital</v>
      </c>
      <c r="K250" s="89" t="str">
        <f>Registro!K250</f>
        <v>c) Dos</v>
      </c>
      <c r="L250" s="89" t="str">
        <f>Registro!L250</f>
        <v>a) La familia, b) Los amigos, c) Los estudios</v>
      </c>
      <c r="M250" s="94">
        <f t="shared" si="20"/>
        <v>3</v>
      </c>
      <c r="N250" s="89" t="str">
        <f>Registro!M250</f>
        <v>b) El futuro</v>
      </c>
      <c r="O250" s="89" t="str">
        <f>Registro!N250</f>
        <v>a) Mucho</v>
      </c>
      <c r="P250" s="89" t="str">
        <f>Registro!O250</f>
        <v>a) Mucho</v>
      </c>
      <c r="Q250" s="89" t="str">
        <f>Registro!P250</f>
        <v>a) Mucho</v>
      </c>
      <c r="R250" s="89" t="str">
        <f>Registro!Q250</f>
        <v>a) La familia</v>
      </c>
      <c r="S250" s="94">
        <f t="shared" si="21"/>
        <v>1</v>
      </c>
      <c r="T250" s="89" t="str">
        <f>Registro!R250</f>
        <v>a) Mucho</v>
      </c>
      <c r="U250" s="89" t="str">
        <f>Registro!S250</f>
        <v>b) La naturaleza, e) Los amigos, g) Mi familia, h) Algunas personas cercanas a Dios, k) La oración</v>
      </c>
      <c r="V250" s="89" t="str">
        <f>Registro!T250</f>
        <v>a) Suelo rezar por convicción o porque me gusta</v>
      </c>
      <c r="W250" s="89" t="str">
        <f>Registro!U250</f>
        <v>d) Nunca</v>
      </c>
      <c r="X250" s="89" t="str">
        <f>Registro!V250</f>
        <v>b) Suelo bendedir los alimentos antes de comer, f) En alguna ocasión he rezado el rosario, g) En ocasiones, en mi casa tenemos una oración familiar</v>
      </c>
      <c r="Y250" s="89" t="str">
        <f>Registro!W250</f>
        <v>a) Deportivo</v>
      </c>
      <c r="Z250" s="89" t="str">
        <f>Registro!X250</f>
        <v>b) Un lugar donde comparto con mis compañeros</v>
      </c>
      <c r="AA250" s="89" t="str">
        <f>Registro!Y250</f>
        <v>b) No</v>
      </c>
      <c r="AB250" s="89" t="str">
        <f>Registro!Z250</f>
        <v>b) No</v>
      </c>
      <c r="AC250" s="89">
        <f>Registro!AA250</f>
        <v>0</v>
      </c>
      <c r="AD250" s="94">
        <f t="shared" si="22"/>
        <v>0</v>
      </c>
      <c r="AE250" s="89" t="str">
        <f>Registro!AB250</f>
        <v>b) Tener una buena posición social, ser importante</v>
      </c>
      <c r="AF250" s="89" t="str">
        <f>Registro!AC250</f>
        <v>c) Bastante</v>
      </c>
      <c r="AG250" s="89" t="str">
        <f>Registro!AD250</f>
        <v>b) El ambiente de estudio y de trabajo, h) Las actividades extraescolares</v>
      </c>
      <c r="AH250" s="94">
        <f t="shared" si="17"/>
        <v>2</v>
      </c>
      <c r="AI250" s="89" t="str">
        <f>Registro!AE250</f>
        <v>f) 11 o más horas</v>
      </c>
      <c r="AJ250" s="89" t="str">
        <f>Registro!AF250</f>
        <v>a) Me divierto con juegos para computadoras, k) Practico algún deporte, m) Veo televisión y/o películas</v>
      </c>
      <c r="AK250" s="94">
        <f t="shared" si="18"/>
        <v>3</v>
      </c>
      <c r="AL250" s="89" t="str">
        <f>Registro!AG250</f>
        <v>b) Bueno</v>
      </c>
      <c r="AM250" s="89" t="str">
        <f>Registro!AH250</f>
        <v>c) Regular</v>
      </c>
      <c r="AN250" s="89" t="str">
        <f>Registro!AI250</f>
        <v>f) No aplica</v>
      </c>
      <c r="AO250" s="89" t="str">
        <f>Registro!AJ250</f>
        <v>b) Buena</v>
      </c>
      <c r="AP250" s="89" t="str">
        <f>Registro!AK250</f>
        <v>a) Muy buena</v>
      </c>
      <c r="AQ250" s="89" t="str">
        <f>Registro!AL250</f>
        <v>a) Muy buena</v>
      </c>
      <c r="AR250" s="89" t="str">
        <f>Registro!AM250</f>
        <v>a) Muy buena</v>
      </c>
      <c r="AS250" s="89" t="str">
        <f>Registro!AN250</f>
        <v>c) Regular</v>
      </c>
      <c r="AT250" s="89" t="str">
        <f>Registro!AO250</f>
        <v>b) Buena</v>
      </c>
      <c r="AU250" s="89" t="str">
        <f>Registro!AP250</f>
        <v>d) Mala</v>
      </c>
      <c r="AV250" s="89" t="str">
        <f>Registro!AQ250</f>
        <v>a) Muy buena</v>
      </c>
      <c r="AW250" s="89" t="str">
        <f>Registro!AR250</f>
        <v>b) La orientación cristiana</v>
      </c>
      <c r="AX250" s="89" t="str">
        <f>Registro!AS250</f>
        <v>a) Que sea un buen profesional</v>
      </c>
      <c r="AY250" s="89" t="str">
        <f>Registro!AT250</f>
        <v>d) Bastante necesaria</v>
      </c>
      <c r="AZ250" s="89" t="str">
        <f>Registro!AU250</f>
        <v>c) Alguna vez he bebido más de la cuenta</v>
      </c>
      <c r="BA250" s="89" t="str">
        <f>Registro!AV250</f>
        <v>d) Buenos profesionales de la educación</v>
      </c>
      <c r="BB250" s="89" t="str">
        <f>Registro!AW250</f>
        <v>c) Bastante</v>
      </c>
      <c r="BC250" s="89" t="str">
        <f>Registro!AX250</f>
        <v>c) Son personas normales y corrientes</v>
      </c>
      <c r="BD250" s="89" t="str">
        <f>Registro!AY250</f>
        <v>b) Mi madre, e) Un, una docente, g) Un amigo, h) Una amiga</v>
      </c>
    </row>
    <row r="251" spans="1:56" ht="15" customHeight="1" x14ac:dyDescent="0.25">
      <c r="A251" s="101">
        <f>Registro!A251</f>
        <v>42099.222060185188</v>
      </c>
      <c r="B251" s="89" t="str">
        <f>Registro!B251</f>
        <v>a) Calasanz de Caracas</v>
      </c>
      <c r="C251" s="89" t="str">
        <f>Registro!C251</f>
        <v>a) Primer año</v>
      </c>
      <c r="D251" s="89" t="str">
        <f>Registro!D251</f>
        <v>a) Educación Inicial</v>
      </c>
      <c r="E251" s="89" t="str">
        <f>Registro!E251</f>
        <v>a) Masculino</v>
      </c>
      <c r="F251" s="89" t="str">
        <f>Registro!F251</f>
        <v>a) Católica</v>
      </c>
      <c r="G251" s="89" t="str">
        <f>Registro!G251</f>
        <v>a) Mamá, b) Papá, c) Hermanos</v>
      </c>
      <c r="H251" s="89" t="str">
        <f>Registro!H251</f>
        <v>c) Apartamento</v>
      </c>
      <c r="I251" s="89" t="str">
        <f>Registro!I251</f>
        <v>a) Sí</v>
      </c>
      <c r="J251" s="89" t="str">
        <f>Registro!J251</f>
        <v>b) Lavadora, c) Microondas, d) TV pantalla plana, f) MP3, h) Carro, i) Computadora, k) Aire acondicionado</v>
      </c>
      <c r="K251" s="89" t="str">
        <f>Registro!K251</f>
        <v>c) Dos</v>
      </c>
      <c r="L251" s="89" t="str">
        <f>Registro!L251</f>
        <v>a) La familia, c) Los estudios, j) El deporte</v>
      </c>
      <c r="M251" s="94">
        <f t="shared" si="20"/>
        <v>3</v>
      </c>
      <c r="N251" s="89" t="str">
        <f>Registro!M251</f>
        <v>a) Seguridad personal (la violencia y la delincuencia)</v>
      </c>
      <c r="O251" s="89" t="str">
        <f>Registro!N251</f>
        <v>b) Suficiente</v>
      </c>
      <c r="P251" s="89" t="str">
        <f>Registro!O251</f>
        <v>b) Suficiente</v>
      </c>
      <c r="Q251" s="89" t="str">
        <f>Registro!P251</f>
        <v>b) Suficiente</v>
      </c>
      <c r="R251" s="89" t="str">
        <f>Registro!Q251</f>
        <v>a) La familia, c) Los estudios, e) Disponer de dinero</v>
      </c>
      <c r="S251" s="94">
        <f t="shared" si="21"/>
        <v>3</v>
      </c>
      <c r="T251" s="89" t="str">
        <f>Registro!R251</f>
        <v>b) Suficiente</v>
      </c>
      <c r="U251" s="89" t="str">
        <f>Registro!S251</f>
        <v>b) La naturaleza, g) Mi familia</v>
      </c>
      <c r="V251" s="89" t="str">
        <f>Registro!T251</f>
        <v>c) Rezo solo en situación de dificultad</v>
      </c>
      <c r="W251" s="89" t="str">
        <f>Registro!U251</f>
        <v>d) Nunca</v>
      </c>
      <c r="X251" s="89" t="str">
        <f>Registro!V251</f>
        <v>f) En alguna ocasión he rezado el rosario, i) Tengo en mi cuarto alguna imagen religiosa</v>
      </c>
      <c r="Y251" s="89" t="str">
        <f>Registro!W251</f>
        <v>a) Deportivo</v>
      </c>
      <c r="Z251" s="89" t="str">
        <f>Registro!X251</f>
        <v>d) No pertenezco a grupos juveniles cristianos</v>
      </c>
      <c r="AA251" s="89" t="str">
        <f>Registro!Y251</f>
        <v>b) No</v>
      </c>
      <c r="AB251" s="89" t="str">
        <f>Registro!Z251</f>
        <v>b) No</v>
      </c>
      <c r="AC251" s="89" t="str">
        <f>Registro!AA251</f>
        <v>a) Medicina, b) Docencia</v>
      </c>
      <c r="AD251" s="94">
        <f t="shared" si="22"/>
        <v>2</v>
      </c>
      <c r="AE251" s="89" t="str">
        <f>Registro!AB251</f>
        <v>c) Ser un excelente profesional</v>
      </c>
      <c r="AF251" s="89" t="str">
        <f>Registro!AC251</f>
        <v>b) Poco</v>
      </c>
      <c r="AG251" s="89" t="str">
        <f>Registro!AD251</f>
        <v>a) Los deportes y diversiones, b) El ambiente de estudio y de trabajo</v>
      </c>
      <c r="AH251" s="94">
        <f t="shared" si="17"/>
        <v>2</v>
      </c>
      <c r="AI251" s="89" t="str">
        <f>Registro!AE251</f>
        <v>b) 3 a 4 horas</v>
      </c>
      <c r="AJ251" s="89" t="str">
        <f>Registro!AF251</f>
        <v>k) Practico algún deporte</v>
      </c>
      <c r="AK251" s="94">
        <f t="shared" si="18"/>
        <v>1</v>
      </c>
      <c r="AL251" s="89" t="str">
        <f>Registro!AG251</f>
        <v>b) Bueno</v>
      </c>
      <c r="AM251" s="89" t="str">
        <f>Registro!AH251</f>
        <v>a) Muy buena</v>
      </c>
      <c r="AN251" s="89">
        <f>Registro!AI251</f>
        <v>0</v>
      </c>
      <c r="AO251" s="89" t="str">
        <f>Registro!AJ251</f>
        <v>a) Muy buena</v>
      </c>
      <c r="AP251" s="89" t="str">
        <f>Registro!AK251</f>
        <v>b) Buena</v>
      </c>
      <c r="AQ251" s="89" t="str">
        <f>Registro!AL251</f>
        <v>a) Muy buena</v>
      </c>
      <c r="AR251" s="89" t="str">
        <f>Registro!AM251</f>
        <v>a) Muy buena</v>
      </c>
      <c r="AS251" s="89" t="str">
        <f>Registro!AN251</f>
        <v>b) Buena</v>
      </c>
      <c r="AT251" s="89" t="str">
        <f>Registro!AO251</f>
        <v>b) Buena</v>
      </c>
      <c r="AU251" s="89" t="str">
        <f>Registro!AP251</f>
        <v>a) Muy buena</v>
      </c>
      <c r="AV251" s="89" t="str">
        <f>Registro!AQ251</f>
        <v>a) Muy buena</v>
      </c>
      <c r="AW251" s="89" t="str">
        <f>Registro!AR251</f>
        <v>c) El estudio</v>
      </c>
      <c r="AX251" s="89" t="str">
        <f>Registro!AS251</f>
        <v>b) Darme una buena educación</v>
      </c>
      <c r="AY251" s="89" t="str">
        <f>Registro!AT251</f>
        <v>d) Bastante necesaria</v>
      </c>
      <c r="AZ251" s="89" t="str">
        <f>Registro!AU251</f>
        <v>a) No acostumbro a tomarlo nunca</v>
      </c>
      <c r="BA251" s="89" t="str">
        <f>Registro!AV251</f>
        <v>e) Educadores que se preocupan de nosotros</v>
      </c>
      <c r="BB251" s="89" t="str">
        <f>Registro!AW251</f>
        <v>c) Bastante</v>
      </c>
      <c r="BC251" s="89">
        <f>Registro!AX251</f>
        <v>0</v>
      </c>
      <c r="BD251" s="89" t="str">
        <f>Registro!AY251</f>
        <v>a) Mi padre, b) Mi madre, g) Un amigo</v>
      </c>
    </row>
    <row r="252" spans="1:56" ht="15" customHeight="1" x14ac:dyDescent="0.25">
      <c r="A252" s="101">
        <f>Registro!A252</f>
        <v>42099.222384259258</v>
      </c>
      <c r="B252" s="89" t="str">
        <f>Registro!B252</f>
        <v>a) Calasanz de Caracas</v>
      </c>
      <c r="C252" s="89" t="str">
        <f>Registro!C252</f>
        <v>a) Primer año</v>
      </c>
      <c r="D252" s="89" t="str">
        <f>Registro!D252</f>
        <v>c) Entre Primero y Tercer año</v>
      </c>
      <c r="E252" s="89" t="str">
        <f>Registro!E252</f>
        <v>b) Femenino</v>
      </c>
      <c r="F252" s="89" t="str">
        <f>Registro!F252</f>
        <v>a) Católica</v>
      </c>
      <c r="G252" s="89" t="str">
        <f>Registro!G252</f>
        <v>a) Mamá, b) Papá, d) Abuelos, e) Otros familiares</v>
      </c>
      <c r="H252" s="89" t="str">
        <f>Registro!H252</f>
        <v>d) Casa Rural</v>
      </c>
      <c r="I252" s="89" t="str">
        <f>Registro!I252</f>
        <v>a) Sí</v>
      </c>
      <c r="J252" s="89" t="str">
        <f>Registro!J252</f>
        <v>a) Cónsola videojuegos, b) Lavadora, d) TV pantalla plana, e) Moto, i) Computadora, j) Cámara digital</v>
      </c>
      <c r="K252" s="89" t="str">
        <f>Registro!K252</f>
        <v>d) Tres</v>
      </c>
      <c r="L252" s="89"/>
      <c r="M252" s="94">
        <f t="shared" si="20"/>
        <v>0</v>
      </c>
      <c r="N252" s="89" t="str">
        <f>Registro!M252</f>
        <v>e) La situación económica</v>
      </c>
      <c r="O252" s="89" t="str">
        <f>Registro!N252</f>
        <v>a) Mucho</v>
      </c>
      <c r="P252" s="89" t="str">
        <f>Registro!O252</f>
        <v>c) Poco</v>
      </c>
      <c r="Q252" s="89" t="str">
        <f>Registro!P252</f>
        <v>b) Suficiente</v>
      </c>
      <c r="R252" s="89" t="str">
        <f>Registro!Q252</f>
        <v>b) Los amigos, c) Los estudios, g) La felicidad</v>
      </c>
      <c r="S252" s="94">
        <f t="shared" si="21"/>
        <v>3</v>
      </c>
      <c r="T252" s="89" t="str">
        <f>Registro!R252</f>
        <v>a) Mucho</v>
      </c>
      <c r="U252" s="89" t="str">
        <f>Registro!S252</f>
        <v>a) La Iglesia, b) La naturaleza, g) Mi familia, i) Los necesitados, j) Todas partes, k) La oración, l) Los sacramentos</v>
      </c>
      <c r="V252" s="89" t="str">
        <f>Registro!T252</f>
        <v>b) Rezo por costumbre</v>
      </c>
      <c r="W252" s="89" t="str">
        <f>Registro!U252</f>
        <v>a) Todos los domingos</v>
      </c>
      <c r="X252" s="89" t="str">
        <f>Registro!V252</f>
        <v>c) Suelo ir los domingos y otras fechas especiales a la Iglesia, f) En alguna ocasión he rezado el rosario, g) En ocasiones, en mi casa tenemos una oración familiar, h) En Semana Santa asisto a las procesiones, i) Tengo en mi cuarto alguna imagen religiosa</v>
      </c>
      <c r="Y252" s="89" t="str">
        <f>Registro!W252</f>
        <v>a) Deportivo, c) Religioso o parroquial</v>
      </c>
      <c r="Z252" s="89" t="str">
        <f>Registro!X252</f>
        <v>c) Un lugar donde me lo paso bien</v>
      </c>
      <c r="AA252" s="89">
        <f>Registro!Y252</f>
        <v>0</v>
      </c>
      <c r="AB252" s="89" t="str">
        <f>Registro!Z252</f>
        <v>b) No</v>
      </c>
      <c r="AC252" s="89" t="str">
        <f>Registro!AA252</f>
        <v>a) Medicina, b) Docencia</v>
      </c>
      <c r="AD252" s="94">
        <f t="shared" si="22"/>
        <v>2</v>
      </c>
      <c r="AE252" s="89" t="str">
        <f>Registro!AB252</f>
        <v>b) Tener una buena posición social, ser importante</v>
      </c>
      <c r="AF252" s="89" t="str">
        <f>Registro!AC252</f>
        <v>c) Bastante</v>
      </c>
      <c r="AG252" s="89" t="str">
        <f>Registro!AD252</f>
        <v>b) El ambiente de estudio y de trabajo, c) Las instalaciones del Colegio</v>
      </c>
      <c r="AH252" s="94">
        <f t="shared" si="17"/>
        <v>2</v>
      </c>
      <c r="AI252" s="89" t="str">
        <f>Registro!AE252</f>
        <v>a) 0 a 2 horas</v>
      </c>
      <c r="AJ252" s="89" t="str">
        <f>Registro!AF252</f>
        <v>e) Suelo ir a algún parque, k) Practico algún deporte</v>
      </c>
      <c r="AK252" s="94">
        <f t="shared" si="18"/>
        <v>2</v>
      </c>
      <c r="AL252" s="89" t="str">
        <f>Registro!AG252</f>
        <v>a) Muy bueno</v>
      </c>
      <c r="AM252" s="89" t="str">
        <f>Registro!AH252</f>
        <v>b) Buena</v>
      </c>
      <c r="AN252" s="89" t="str">
        <f>Registro!AI252</f>
        <v>b) Buena</v>
      </c>
      <c r="AO252" s="89" t="str">
        <f>Registro!AJ252</f>
        <v>b) Buena</v>
      </c>
      <c r="AP252" s="89" t="str">
        <f>Registro!AK252</f>
        <v>b) Buena</v>
      </c>
      <c r="AQ252" s="89" t="str">
        <f>Registro!AL252</f>
        <v>a) Muy buena</v>
      </c>
      <c r="AR252" s="89" t="str">
        <f>Registro!AM252</f>
        <v>a) Muy buena</v>
      </c>
      <c r="AS252" s="89" t="str">
        <f>Registro!AN252</f>
        <v>b) Buena</v>
      </c>
      <c r="AT252" s="89" t="str">
        <f>Registro!AO252</f>
        <v>a) Muy buena</v>
      </c>
      <c r="AU252" s="89" t="str">
        <f>Registro!AP252</f>
        <v>b) Buena</v>
      </c>
      <c r="AV252" s="89" t="str">
        <f>Registro!AQ252</f>
        <v>a) Muy buena</v>
      </c>
      <c r="AW252" s="89" t="str">
        <f>Registro!AR252</f>
        <v>c) El estudio</v>
      </c>
      <c r="AX252" s="89" t="str">
        <f>Registro!AS252</f>
        <v>b) Darme una buena educación</v>
      </c>
      <c r="AY252" s="89" t="str">
        <f>Registro!AT252</f>
        <v>d) Bastante necesaria</v>
      </c>
      <c r="AZ252" s="89" t="str">
        <f>Registro!AU252</f>
        <v>a) No acostumbro a tomarlo nunca</v>
      </c>
      <c r="BA252" s="89" t="str">
        <f>Registro!AV252</f>
        <v>e) Educadores que se preocupan de nosotros</v>
      </c>
      <c r="BB252" s="89" t="str">
        <f>Registro!AW252</f>
        <v>c) Bastante</v>
      </c>
      <c r="BC252" s="89" t="str">
        <f>Registro!AX252</f>
        <v>c) Son personas normales y corrientes</v>
      </c>
      <c r="BD252" s="89" t="str">
        <f>Registro!AY252</f>
        <v>b) Mi madre</v>
      </c>
    </row>
    <row r="253" spans="1:56" ht="15" customHeight="1" x14ac:dyDescent="0.25">
      <c r="A253" s="101">
        <f>Registro!A253</f>
        <v>42099.222928240742</v>
      </c>
      <c r="B253" s="89" t="str">
        <f>Registro!B253</f>
        <v>a) Calasanz de Caracas</v>
      </c>
      <c r="C253" s="89" t="str">
        <f>Registro!C253</f>
        <v>a) Primer año</v>
      </c>
      <c r="D253" s="89" t="str">
        <f>Registro!D253</f>
        <v>b) Primaria</v>
      </c>
      <c r="E253" s="89" t="str">
        <f>Registro!E253</f>
        <v>a) Masculino</v>
      </c>
      <c r="F253" s="89" t="str">
        <f>Registro!F253</f>
        <v>a) Católica</v>
      </c>
      <c r="G253" s="89" t="str">
        <f>Registro!G253</f>
        <v>a) Mamá, b) Papá, c) Hermanos</v>
      </c>
      <c r="H253" s="89" t="str">
        <f>Registro!H253</f>
        <v>b) Casa Urbana</v>
      </c>
      <c r="I253" s="89" t="str">
        <f>Registro!I253</f>
        <v>a) Sí</v>
      </c>
      <c r="J253" s="89" t="str">
        <f>Registro!J253</f>
        <v>a) Cónsola videojuegos, b) Lavadora, c) Microondas, d) TV pantalla plana, h) Carro, i) Computadora, j) Cámara digital, k) Aire acondicionado</v>
      </c>
      <c r="K253" s="89" t="str">
        <f>Registro!K253</f>
        <v>f) Más de cuatro</v>
      </c>
      <c r="L253" s="89" t="str">
        <f>Registro!L253</f>
        <v>a) La familia</v>
      </c>
      <c r="M253" s="94">
        <f t="shared" si="20"/>
        <v>1</v>
      </c>
      <c r="N253" s="89" t="str">
        <f>Registro!M253</f>
        <v>f) La situación política del país</v>
      </c>
      <c r="O253" s="89" t="str">
        <f>Registro!N253</f>
        <v>b) Suficiente</v>
      </c>
      <c r="P253" s="89" t="str">
        <f>Registro!O253</f>
        <v>b) Suficiente</v>
      </c>
      <c r="Q253" s="89" t="str">
        <f>Registro!P253</f>
        <v>b) Suficiente</v>
      </c>
      <c r="R253" s="89" t="str">
        <f>Registro!Q253</f>
        <v>c) Los estudios, g) La felicidad</v>
      </c>
      <c r="S253" s="94">
        <f t="shared" si="21"/>
        <v>2</v>
      </c>
      <c r="T253" s="89" t="str">
        <f>Registro!R253</f>
        <v>a) Mucho</v>
      </c>
      <c r="U253" s="89" t="str">
        <f>Registro!S253</f>
        <v>a) La Iglesia, b) La naturaleza, g) Mi familia, j) Todas partes</v>
      </c>
      <c r="V253" s="89" t="str">
        <f>Registro!T253</f>
        <v>c) Rezo solo en situación de dificultad</v>
      </c>
      <c r="W253" s="89" t="str">
        <f>Registro!U253</f>
        <v>c) Solo en fechas especiales</v>
      </c>
      <c r="X253" s="89" t="str">
        <f>Registro!V253</f>
        <v>e) Voy a misa en las fechas de mis familiares difuntos, i) Tengo en mi cuarto alguna imagen religiosa</v>
      </c>
      <c r="Y253" s="89" t="str">
        <f>Registro!W253</f>
        <v>a) Deportivo</v>
      </c>
      <c r="Z253" s="89" t="str">
        <f>Registro!X253</f>
        <v>d) No pertenezco a grupos juveniles cristianos</v>
      </c>
      <c r="AA253" s="89" t="str">
        <f>Registro!Y253</f>
        <v>b) No</v>
      </c>
      <c r="AB253" s="89" t="str">
        <f>Registro!Z253</f>
        <v>b) No</v>
      </c>
      <c r="AC253" s="89" t="str">
        <f>Registro!AA253</f>
        <v>d) Ingeniería, g) Artista</v>
      </c>
      <c r="AD253" s="94">
        <f t="shared" si="22"/>
        <v>2</v>
      </c>
      <c r="AE253" s="89" t="str">
        <f>Registro!AB253</f>
        <v>c) Ser un excelente profesional</v>
      </c>
      <c r="AF253" s="89" t="str">
        <f>Registro!AC253</f>
        <v>c) Bastante</v>
      </c>
      <c r="AG253" s="89" t="str">
        <f>Registro!AD253</f>
        <v>a) Los deportes y diversiones</v>
      </c>
      <c r="AH253" s="94">
        <f t="shared" si="17"/>
        <v>1</v>
      </c>
      <c r="AI253" s="89" t="str">
        <f>Registro!AE253</f>
        <v>c) 5 a 6 horas</v>
      </c>
      <c r="AJ253" s="89" t="str">
        <f>Registro!AF253</f>
        <v>k) Practico algún deporte</v>
      </c>
      <c r="AK253" s="94">
        <f t="shared" si="18"/>
        <v>1</v>
      </c>
      <c r="AL253" s="89" t="str">
        <f>Registro!AG253</f>
        <v>b) Bueno</v>
      </c>
      <c r="AM253" s="89" t="str">
        <f>Registro!AH253</f>
        <v>f) No aplica</v>
      </c>
      <c r="AN253" s="89" t="str">
        <f>Registro!AI253</f>
        <v>f) No aplica</v>
      </c>
      <c r="AO253" s="89" t="str">
        <f>Registro!AJ253</f>
        <v>b) Buena</v>
      </c>
      <c r="AP253" s="89" t="str">
        <f>Registro!AK253</f>
        <v>b) Buena</v>
      </c>
      <c r="AQ253" s="89" t="str">
        <f>Registro!AL253</f>
        <v>b) Buena</v>
      </c>
      <c r="AR253" s="89" t="str">
        <f>Registro!AM253</f>
        <v>b) Buena</v>
      </c>
      <c r="AS253" s="89" t="str">
        <f>Registro!AN253</f>
        <v>b) Buena</v>
      </c>
      <c r="AT253" s="89" t="str">
        <f>Registro!AO253</f>
        <v>b) Buena</v>
      </c>
      <c r="AU253" s="89" t="str">
        <f>Registro!AP253</f>
        <v>b) Buena</v>
      </c>
      <c r="AV253" s="89" t="str">
        <f>Registro!AQ253</f>
        <v>b) Buena</v>
      </c>
      <c r="AW253" s="89" t="str">
        <f>Registro!AR253</f>
        <v>f) la práctica religiosa</v>
      </c>
      <c r="AX253" s="89" t="str">
        <f>Registro!AS253</f>
        <v>b) Darme una buena educación</v>
      </c>
      <c r="AY253" s="89" t="str">
        <f>Registro!AT253</f>
        <v>e) Absolutamente necesaria</v>
      </c>
      <c r="AZ253" s="89" t="str">
        <f>Registro!AU253</f>
        <v>a) No acostumbro a tomarlo nunca</v>
      </c>
      <c r="BA253" s="89" t="str">
        <f>Registro!AV253</f>
        <v>e) Educadores que se preocupan de nosotros</v>
      </c>
      <c r="BB253" s="89" t="str">
        <f>Registro!AW253</f>
        <v>c) Bastante</v>
      </c>
      <c r="BC253" s="89" t="str">
        <f>Registro!AX253</f>
        <v>e) Son personas que me gustan y admiro</v>
      </c>
      <c r="BD253" s="89" t="str">
        <f>Registro!AY253</f>
        <v>a) Mi padre, b) Mi madre, c) Un hermano/a</v>
      </c>
    </row>
    <row r="254" spans="1:56" ht="15" customHeight="1" x14ac:dyDescent="0.25">
      <c r="A254" s="101">
        <f>Registro!A254</f>
        <v>42099.223645833335</v>
      </c>
      <c r="B254" s="89" t="str">
        <f>Registro!B254</f>
        <v>a) Calasanz de Caracas</v>
      </c>
      <c r="C254" s="89" t="str">
        <f>Registro!C254</f>
        <v>a) Primer año</v>
      </c>
      <c r="D254" s="89" t="str">
        <f>Registro!D254</f>
        <v>b) Primaria</v>
      </c>
      <c r="E254" s="89" t="str">
        <f>Registro!E254</f>
        <v>a) Masculino</v>
      </c>
      <c r="F254" s="89" t="str">
        <f>Registro!F254</f>
        <v>a) Católica</v>
      </c>
      <c r="G254" s="89" t="str">
        <f>Registro!G254</f>
        <v>a) Mamá, b) Papá, c) Hermanos</v>
      </c>
      <c r="H254" s="89" t="str">
        <f>Registro!H254</f>
        <v>c) Apartamento</v>
      </c>
      <c r="I254" s="89" t="str">
        <f>Registro!I254</f>
        <v>a) Sí</v>
      </c>
      <c r="J254" s="89" t="str">
        <f>Registro!J254</f>
        <v>a) Cónsola videojuegos, f) MP3, h) Carro</v>
      </c>
      <c r="K254" s="89">
        <f>Registro!K254</f>
        <v>0</v>
      </c>
      <c r="L254" s="89"/>
      <c r="M254" s="94">
        <f t="shared" si="20"/>
        <v>0</v>
      </c>
      <c r="N254" s="89" t="str">
        <f>Registro!M254</f>
        <v>b) El futuro</v>
      </c>
      <c r="O254" s="89" t="str">
        <f>Registro!N254</f>
        <v>c) Poco</v>
      </c>
      <c r="P254" s="89" t="str">
        <f>Registro!O254</f>
        <v>c) Poco</v>
      </c>
      <c r="Q254" s="89" t="str">
        <f>Registro!P254</f>
        <v>c) Poco</v>
      </c>
      <c r="R254" s="89" t="str">
        <f>Registro!Q254</f>
        <v>a) La familia, b) Los amigos, c) Los estudios</v>
      </c>
      <c r="S254" s="94">
        <f t="shared" si="21"/>
        <v>3</v>
      </c>
      <c r="T254" s="89" t="str">
        <f>Registro!R254</f>
        <v>a) Mucho</v>
      </c>
      <c r="U254" s="89" t="str">
        <f>Registro!S254</f>
        <v>b) La naturaleza, c) El salón de clase, d) Las convivencias, g) Mi familia</v>
      </c>
      <c r="V254" s="89" t="str">
        <f>Registro!T254</f>
        <v>c) Rezo solo en situación de dificultad</v>
      </c>
      <c r="W254" s="89" t="str">
        <f>Registro!U254</f>
        <v>c) Solo en fechas especiales</v>
      </c>
      <c r="X254" s="89" t="str">
        <f>Registro!V254</f>
        <v>c) Suelo ir los domingos y otras fechas especiales a la Iglesia, d) Suelo orar todos los días</v>
      </c>
      <c r="Y254" s="89" t="str">
        <f>Registro!W254</f>
        <v xml:space="preserve">a) Deportivo, b) Cultural (folklórico, musicales, danzas, scout, banda marcial,...) </v>
      </c>
      <c r="Z254" s="89" t="str">
        <f>Registro!X254</f>
        <v>a) Un grupo donde profundizo mi fe</v>
      </c>
      <c r="AA254" s="89" t="str">
        <f>Registro!Y254</f>
        <v>b) No</v>
      </c>
      <c r="AB254" s="89" t="str">
        <f>Registro!Z254</f>
        <v>b) No</v>
      </c>
      <c r="AC254" s="89" t="str">
        <f>Registro!AA254</f>
        <v>f) Ciencias policiales o artes militares, g) Artista</v>
      </c>
      <c r="AD254" s="94">
        <f t="shared" si="22"/>
        <v>2</v>
      </c>
      <c r="AE254" s="89" t="str">
        <f>Registro!AB254</f>
        <v>e) Servir a los demás</v>
      </c>
      <c r="AF254" s="89" t="str">
        <f>Registro!AC254</f>
        <v>b) Poco</v>
      </c>
      <c r="AG254" s="89" t="str">
        <f>Registro!AD254</f>
        <v>a) Los deportes y diversiones, b) El ambiente de estudio y de trabajo</v>
      </c>
      <c r="AH254" s="94">
        <f t="shared" si="17"/>
        <v>2</v>
      </c>
      <c r="AI254" s="89" t="str">
        <f>Registro!AE254</f>
        <v>b) 3 a 4 horas</v>
      </c>
      <c r="AJ254" s="89" t="str">
        <f>Registro!AF254</f>
        <v>a) Me divierto con juegos para computadoras, k) Practico algún deporte, m) Veo televisión y/o películas</v>
      </c>
      <c r="AK254" s="94">
        <f t="shared" si="18"/>
        <v>3</v>
      </c>
      <c r="AL254" s="89" t="str">
        <f>Registro!AG254</f>
        <v>a) Muy bueno</v>
      </c>
      <c r="AM254" s="89" t="str">
        <f>Registro!AH254</f>
        <v>b) Buena</v>
      </c>
      <c r="AN254" s="89">
        <f>Registro!AI254</f>
        <v>0</v>
      </c>
      <c r="AO254" s="89" t="str">
        <f>Registro!AJ254</f>
        <v>b) Buena</v>
      </c>
      <c r="AP254" s="89" t="str">
        <f>Registro!AK254</f>
        <v>a) Muy buena</v>
      </c>
      <c r="AQ254" s="89" t="str">
        <f>Registro!AL254</f>
        <v>b) Buena</v>
      </c>
      <c r="AR254" s="89" t="str">
        <f>Registro!AM254</f>
        <v>a) Muy buena</v>
      </c>
      <c r="AS254" s="89" t="str">
        <f>Registro!AN254</f>
        <v>b) Buena</v>
      </c>
      <c r="AT254" s="89" t="str">
        <f>Registro!AO254</f>
        <v>a) Muy buena</v>
      </c>
      <c r="AU254" s="89" t="str">
        <f>Registro!AP254</f>
        <v>a) Muy buena</v>
      </c>
      <c r="AV254" s="89" t="str">
        <f>Registro!AQ254</f>
        <v>b) Buena</v>
      </c>
      <c r="AW254" s="89" t="str">
        <f>Registro!AR254</f>
        <v>a) El compañerismo</v>
      </c>
      <c r="AX254" s="89" t="str">
        <f>Registro!AS254</f>
        <v>a) Que sea un buen profesional</v>
      </c>
      <c r="AY254" s="89" t="str">
        <f>Registro!AT254</f>
        <v>c) Conveniente</v>
      </c>
      <c r="AZ254" s="89" t="str">
        <f>Registro!AU254</f>
        <v>b) Las veces que bebo, es con moderación</v>
      </c>
      <c r="BA254" s="89" t="str">
        <f>Registro!AV254</f>
        <v>f) Educadores que, además, me han abierto caminos</v>
      </c>
      <c r="BB254" s="89">
        <f>Registro!AW254</f>
        <v>0</v>
      </c>
      <c r="BC254" s="89" t="str">
        <f>Registro!AX254</f>
        <v>e) Son personas que me gustan y admiro</v>
      </c>
      <c r="BD254" s="89" t="str">
        <f>Registro!AY254</f>
        <v>a) Mi padre, b) Mi madre, c) Un hermano/a</v>
      </c>
    </row>
    <row r="255" spans="1:56" ht="15" customHeight="1" x14ac:dyDescent="0.25">
      <c r="A255" s="101">
        <f>Registro!A255</f>
        <v>42099.223923611113</v>
      </c>
      <c r="B255" s="89" t="str">
        <f>Registro!B255</f>
        <v>a) Calasanz de Caracas</v>
      </c>
      <c r="C255" s="89" t="str">
        <f>Registro!C255</f>
        <v>a) Primer año</v>
      </c>
      <c r="D255" s="89" t="str">
        <f>Registro!D255</f>
        <v>b) Primaria</v>
      </c>
      <c r="E255" s="89" t="str">
        <f>Registro!E255</f>
        <v>a) Masculino</v>
      </c>
      <c r="F255" s="89" t="str">
        <f>Registro!F255</f>
        <v>a) Católica</v>
      </c>
      <c r="G255" s="89" t="str">
        <f>Registro!G255</f>
        <v>a) Mamá, b) Papá, c) Hermanos</v>
      </c>
      <c r="H255" s="89" t="str">
        <f>Registro!H255</f>
        <v>c) Apartamento</v>
      </c>
      <c r="I255" s="89" t="str">
        <f>Registro!I255</f>
        <v>a) Sí</v>
      </c>
      <c r="J255" s="89" t="str">
        <f>Registro!J255</f>
        <v>a) Cónsola videojuegos, b) Lavadora, c) Microondas, d) TV pantalla plana, h) Carro, i) Computadora, k) Aire acondicionado</v>
      </c>
      <c r="K255" s="89" t="str">
        <f>Registro!K255</f>
        <v>e) Cuatro</v>
      </c>
      <c r="L255" s="89" t="str">
        <f>Registro!L255</f>
        <v>a) La familia, c) Los estudios, f) Mi fe y vida cristiana</v>
      </c>
      <c r="M255" s="94">
        <f t="shared" si="20"/>
        <v>3</v>
      </c>
      <c r="N255" s="89">
        <f>Registro!M255</f>
        <v>0</v>
      </c>
      <c r="O255" s="89" t="str">
        <f>Registro!N255</f>
        <v>a) Mucho</v>
      </c>
      <c r="P255" s="89" t="str">
        <f>Registro!O255</f>
        <v>a) Mucho</v>
      </c>
      <c r="Q255" s="89" t="str">
        <f>Registro!P255</f>
        <v>a) Mucho</v>
      </c>
      <c r="R255" s="89" t="str">
        <f>Registro!Q255</f>
        <v>a) La familia, c) Los estudios, g) La felicidad</v>
      </c>
      <c r="S255" s="94">
        <f t="shared" si="21"/>
        <v>3</v>
      </c>
      <c r="T255" s="89" t="str">
        <f>Registro!R255</f>
        <v>a) Mucho</v>
      </c>
      <c r="U255" s="89" t="str">
        <f>Registro!S255</f>
        <v>a) La Iglesia, b) La naturaleza, c) El salón de clase, g) Mi familia, k) La oración</v>
      </c>
      <c r="V255" s="89" t="str">
        <f>Registro!T255</f>
        <v>a) Suelo rezar por convicción o porque me gusta</v>
      </c>
      <c r="W255" s="89" t="str">
        <f>Registro!U255</f>
        <v>c) Solo en fechas especiales</v>
      </c>
      <c r="X255" s="89" t="str">
        <f>Registro!V255</f>
        <v>a) Suelo llevar una cruz o algún objeto religioso, h) En Semana Santa asisto a las procesiones, i) Tengo en mi cuarto alguna imagen religiosa</v>
      </c>
      <c r="Y255" s="89" t="str">
        <f>Registro!W255</f>
        <v>a) Deportivo</v>
      </c>
      <c r="Z255" s="89" t="str">
        <f>Registro!X255</f>
        <v>c) Un lugar donde me lo paso bien</v>
      </c>
      <c r="AA255" s="89" t="str">
        <f>Registro!Y255</f>
        <v>b) No</v>
      </c>
      <c r="AB255" s="89" t="str">
        <f>Registro!Z255</f>
        <v>b) No</v>
      </c>
      <c r="AC255" s="89" t="str">
        <f>Registro!AA255</f>
        <v>f) Ciencias policiales o artes militares, i) Comerciante</v>
      </c>
      <c r="AD255" s="94">
        <f t="shared" si="22"/>
        <v>2</v>
      </c>
      <c r="AE255" s="89" t="str">
        <f>Registro!AB255</f>
        <v>b) Tener una buena posición social, ser importante</v>
      </c>
      <c r="AF255" s="89" t="str">
        <f>Registro!AC255</f>
        <v>c) Bastante</v>
      </c>
      <c r="AG255" s="89" t="str">
        <f>Registro!AD255</f>
        <v>a) Los deportes y diversiones, e) La mayor posibilidad de vivir mi fe</v>
      </c>
      <c r="AH255" s="94">
        <f t="shared" si="17"/>
        <v>2</v>
      </c>
      <c r="AI255" s="89" t="str">
        <f>Registro!AE255</f>
        <v>c) 5 a 6 horas</v>
      </c>
      <c r="AJ255" s="89" t="str">
        <f>Registro!AF255</f>
        <v>e) Suelo ir a algún parque, h) Suelo ir al cine, m) Veo televisión y/o películas</v>
      </c>
      <c r="AK255" s="94">
        <f t="shared" si="18"/>
        <v>3</v>
      </c>
      <c r="AL255" s="89" t="str">
        <f>Registro!AG255</f>
        <v>a) Muy bueno</v>
      </c>
      <c r="AM255" s="89" t="str">
        <f>Registro!AH255</f>
        <v>b) Buena</v>
      </c>
      <c r="AN255" s="89" t="str">
        <f>Registro!AI255</f>
        <v>f) No aplica</v>
      </c>
      <c r="AO255" s="89" t="str">
        <f>Registro!AJ255</f>
        <v>b) Buena</v>
      </c>
      <c r="AP255" s="89" t="str">
        <f>Registro!AK255</f>
        <v>a) Muy buena</v>
      </c>
      <c r="AQ255" s="89" t="str">
        <f>Registro!AL255</f>
        <v>a) Muy buena</v>
      </c>
      <c r="AR255" s="89" t="str">
        <f>Registro!AM255</f>
        <v>a) Muy buena</v>
      </c>
      <c r="AS255" s="89" t="str">
        <f>Registro!AN255</f>
        <v>a) Muy buena</v>
      </c>
      <c r="AT255" s="89" t="str">
        <f>Registro!AO255</f>
        <v>a) Muy buena</v>
      </c>
      <c r="AU255" s="89" t="str">
        <f>Registro!AP255</f>
        <v>a) Muy buena</v>
      </c>
      <c r="AV255" s="89" t="str">
        <f>Registro!AQ255</f>
        <v>b) Buena</v>
      </c>
      <c r="AW255" s="89" t="str">
        <f>Registro!AR255</f>
        <v>a) El compañerismo</v>
      </c>
      <c r="AX255" s="89" t="str">
        <f>Registro!AS255</f>
        <v>a) Que sea un buen profesional</v>
      </c>
      <c r="AY255" s="89" t="str">
        <f>Registro!AT255</f>
        <v>e) Absolutamente necesaria</v>
      </c>
      <c r="AZ255" s="89" t="str">
        <f>Registro!AU255</f>
        <v>a) No acostumbro a tomarlo nunca</v>
      </c>
      <c r="BA255" s="89" t="str">
        <f>Registro!AV255</f>
        <v>b) Profesionales que no se preocupan de nosotros</v>
      </c>
      <c r="BB255" s="89" t="str">
        <f>Registro!AW255</f>
        <v>c) Bastante</v>
      </c>
      <c r="BC255" s="89" t="str">
        <f>Registro!AX255</f>
        <v>e) Son personas que me gustan y admiro</v>
      </c>
      <c r="BD255" s="89" t="str">
        <f>Registro!AY255</f>
        <v>a) Mi padre, b) Mi madre, c) Un hermano/a</v>
      </c>
    </row>
    <row r="256" spans="1:56" ht="15" customHeight="1" x14ac:dyDescent="0.25">
      <c r="A256" s="101">
        <f>Registro!A256</f>
        <v>42099.346550925926</v>
      </c>
      <c r="B256" s="89" t="str">
        <f>Registro!B256</f>
        <v>a) Calasanz de Caracas</v>
      </c>
      <c r="C256" s="89" t="str">
        <f>Registro!C256</f>
        <v>a) Primer año</v>
      </c>
      <c r="D256" s="89" t="str">
        <f>Registro!D256</f>
        <v>b) Primaria</v>
      </c>
      <c r="E256" s="89" t="str">
        <f>Registro!E256</f>
        <v>a) Masculino</v>
      </c>
      <c r="F256" s="89" t="str">
        <f>Registro!F256</f>
        <v>a) Católica</v>
      </c>
      <c r="G256" s="89" t="str">
        <f>Registro!G256</f>
        <v>a) Mamá, b) Papá, c) Hermanos</v>
      </c>
      <c r="H256" s="89" t="str">
        <f>Registro!H256</f>
        <v>c) Apartamento</v>
      </c>
      <c r="I256" s="89" t="str">
        <f>Registro!I256</f>
        <v>c) Algo</v>
      </c>
      <c r="J256" s="89" t="str">
        <f>Registro!J256</f>
        <v>a) Cónsola videojuegos, b) Lavadora, c) Microondas, d) TV pantalla plana, f) MP3, g) MP4, h) Carro, i) Computadora, j) Cámara digital, k) Aire acondicionado</v>
      </c>
      <c r="K256" s="89" t="str">
        <f>Registro!K256</f>
        <v>f) Más de cuatro</v>
      </c>
      <c r="L256" s="89" t="str">
        <f>Registro!L256</f>
        <v>a) La familia, c) Los estudios, k) El internet</v>
      </c>
      <c r="M256" s="94">
        <f t="shared" si="20"/>
        <v>3</v>
      </c>
      <c r="N256" s="89" t="str">
        <f>Registro!M256</f>
        <v>b) El futuro</v>
      </c>
      <c r="O256" s="89" t="str">
        <f>Registro!N256</f>
        <v>c) Poco</v>
      </c>
      <c r="P256" s="89" t="str">
        <f>Registro!O256</f>
        <v>a) Mucho</v>
      </c>
      <c r="Q256" s="89" t="str">
        <f>Registro!P256</f>
        <v>b) Suficiente</v>
      </c>
      <c r="R256" s="89" t="str">
        <f>Registro!Q256</f>
        <v>a) La familia, c) Los estudios, e) Disponer de dinero</v>
      </c>
      <c r="S256" s="94">
        <f t="shared" si="21"/>
        <v>3</v>
      </c>
      <c r="T256" s="89" t="str">
        <f>Registro!R256</f>
        <v>b) Suficiente</v>
      </c>
      <c r="U256" s="89" t="str">
        <f>Registro!S256</f>
        <v>a) La Iglesia, b) La naturaleza, c) El salón de clase, d) Las convivencias, e) Los amigos, f) Todas las personas, g) Mi familia, h) Algunas personas cercanas a Dios, i) Los necesitados, j) Todas partes, k) La oración, l) Los sacramentos</v>
      </c>
      <c r="V256" s="89" t="str">
        <f>Registro!T256</f>
        <v>d) No rezo nunca</v>
      </c>
      <c r="W256" s="89" t="str">
        <f>Registro!U256</f>
        <v>d) Nunca</v>
      </c>
      <c r="X256" s="89" t="str">
        <f>Registro!V256</f>
        <v>g) En ocasiones, en mi casa tenemos una oración familiar</v>
      </c>
      <c r="Y256" s="89">
        <f>Registro!W256</f>
        <v>0</v>
      </c>
      <c r="Z256" s="89">
        <f>Registro!X256</f>
        <v>0</v>
      </c>
      <c r="AA256" s="89">
        <f>Registro!Y256</f>
        <v>0</v>
      </c>
      <c r="AB256" s="89">
        <f>Registro!Z256</f>
        <v>0</v>
      </c>
      <c r="AC256" s="89">
        <f>Registro!AA256</f>
        <v>0</v>
      </c>
      <c r="AD256" s="94">
        <f t="shared" si="22"/>
        <v>0</v>
      </c>
      <c r="AE256" s="89">
        <f>Registro!AB256</f>
        <v>0</v>
      </c>
      <c r="AF256" s="89">
        <f>Registro!AC256</f>
        <v>0</v>
      </c>
      <c r="AG256" s="89">
        <f>Registro!AD256</f>
        <v>0</v>
      </c>
      <c r="AH256" s="94">
        <f t="shared" si="17"/>
        <v>0</v>
      </c>
      <c r="AI256" s="89">
        <f>Registro!AE256</f>
        <v>0</v>
      </c>
      <c r="AJ256" s="89">
        <f>Registro!AF256</f>
        <v>0</v>
      </c>
      <c r="AK256" s="94">
        <f t="shared" si="18"/>
        <v>0</v>
      </c>
      <c r="AL256" s="89">
        <f>Registro!AG256</f>
        <v>0</v>
      </c>
      <c r="AM256" s="89">
        <f>Registro!AH256</f>
        <v>0</v>
      </c>
      <c r="AN256" s="89">
        <f>Registro!AI256</f>
        <v>0</v>
      </c>
      <c r="AO256" s="89">
        <f>Registro!AJ256</f>
        <v>0</v>
      </c>
      <c r="AP256" s="89">
        <f>Registro!AK256</f>
        <v>0</v>
      </c>
      <c r="AQ256" s="89">
        <f>Registro!AL256</f>
        <v>0</v>
      </c>
      <c r="AR256" s="89">
        <f>Registro!AM256</f>
        <v>0</v>
      </c>
      <c r="AS256" s="89">
        <f>Registro!AN256</f>
        <v>0</v>
      </c>
      <c r="AT256" s="89">
        <f>Registro!AO256</f>
        <v>0</v>
      </c>
      <c r="AU256" s="89">
        <f>Registro!AP256</f>
        <v>0</v>
      </c>
      <c r="AV256" s="89">
        <f>Registro!AQ256</f>
        <v>0</v>
      </c>
      <c r="AW256" s="89">
        <f>Registro!AR256</f>
        <v>0</v>
      </c>
      <c r="AX256" s="89">
        <f>Registro!AS256</f>
        <v>0</v>
      </c>
      <c r="AY256" s="89">
        <f>Registro!AT256</f>
        <v>0</v>
      </c>
      <c r="AZ256" s="89">
        <f>Registro!AU256</f>
        <v>0</v>
      </c>
      <c r="BA256" s="89">
        <f>Registro!AV256</f>
        <v>0</v>
      </c>
      <c r="BB256" s="89">
        <f>Registro!AW256</f>
        <v>0</v>
      </c>
      <c r="BC256" s="89">
        <f>Registro!AX256</f>
        <v>0</v>
      </c>
      <c r="BD256" s="89">
        <f>Registro!AY256</f>
        <v>0</v>
      </c>
    </row>
    <row r="257" spans="1:56" ht="15" customHeight="1" x14ac:dyDescent="0.25">
      <c r="A257" s="101">
        <f>Registro!A257</f>
        <v>42099.349849537037</v>
      </c>
      <c r="B257" s="89" t="str">
        <f>Registro!B257</f>
        <v>a) Calasanz de Caracas</v>
      </c>
      <c r="C257" s="89" t="str">
        <f>Registro!C257</f>
        <v>a) Primer año</v>
      </c>
      <c r="D257" s="89" t="str">
        <f>Registro!D257</f>
        <v>a) Educación Inicial</v>
      </c>
      <c r="E257" s="89" t="str">
        <f>Registro!E257</f>
        <v>b) Femenino</v>
      </c>
      <c r="F257" s="89" t="str">
        <f>Registro!F257</f>
        <v>d) Otra</v>
      </c>
      <c r="G257" s="89" t="str">
        <f>Registro!G257</f>
        <v>b) Papá, c) Hermanos, d) Abuelos</v>
      </c>
      <c r="H257" s="89" t="str">
        <f>Registro!H257</f>
        <v>c) Apartamento</v>
      </c>
      <c r="I257" s="89" t="str">
        <f>Registro!I257</f>
        <v>c) Algo</v>
      </c>
      <c r="J257" s="89" t="str">
        <f>Registro!J257</f>
        <v>b) Lavadora, c) Microondas, d) TV pantalla plana, f) MP3, g) MP4, i) Computadora</v>
      </c>
      <c r="K257" s="89" t="str">
        <f>Registro!K257</f>
        <v>b) Una</v>
      </c>
      <c r="L257" s="89" t="str">
        <f>Registro!L257</f>
        <v>a) La familia, b) Los amigos, k) El internet</v>
      </c>
      <c r="M257" s="94">
        <f t="shared" si="20"/>
        <v>3</v>
      </c>
      <c r="N257" s="89" t="str">
        <f>Registro!M257</f>
        <v>b) El futuro</v>
      </c>
      <c r="O257" s="89" t="str">
        <f>Registro!N257</f>
        <v>c) Poco</v>
      </c>
      <c r="P257" s="89" t="str">
        <f>Registro!O257</f>
        <v>d) Nada</v>
      </c>
      <c r="Q257" s="89" t="str">
        <f>Registro!P257</f>
        <v>d) Nada</v>
      </c>
      <c r="R257" s="89" t="str">
        <f>Registro!Q257</f>
        <v>c) Los estudios, d) El cuidado de mi cuerpo, h) La sexualidad</v>
      </c>
      <c r="S257" s="94">
        <f t="shared" si="21"/>
        <v>3</v>
      </c>
      <c r="T257" s="89" t="str">
        <f>Registro!R257</f>
        <v>b) Suficiente</v>
      </c>
      <c r="U257" s="89" t="str">
        <f>Registro!S257</f>
        <v>h) Algunas personas cercanas a Dios, k) La oración</v>
      </c>
      <c r="V257" s="89" t="str">
        <f>Registro!T257</f>
        <v>d) No rezo nunca</v>
      </c>
      <c r="W257" s="89" t="str">
        <f>Registro!U257</f>
        <v>d) Nunca</v>
      </c>
      <c r="X257" s="89" t="str">
        <f>Registro!V257</f>
        <v>i) Tengo en mi cuarto alguna imagen religiosa</v>
      </c>
      <c r="Y257" s="89">
        <f>Registro!W257</f>
        <v>0</v>
      </c>
      <c r="Z257" s="89" t="str">
        <f>Registro!X257</f>
        <v>c) Un lugar donde me lo paso bien</v>
      </c>
      <c r="AA257" s="89" t="str">
        <f>Registro!Y257</f>
        <v>b) No</v>
      </c>
      <c r="AB257" s="89" t="str">
        <f>Registro!Z257</f>
        <v>b) No</v>
      </c>
      <c r="AC257" s="89" t="str">
        <f>Registro!AA257</f>
        <v>a) Medicina, d) Ingeniería</v>
      </c>
      <c r="AD257" s="94">
        <f t="shared" si="22"/>
        <v>2</v>
      </c>
      <c r="AE257" s="89" t="str">
        <f>Registro!AB257</f>
        <v>d) Desarrollarme personalmente</v>
      </c>
      <c r="AF257" s="89" t="str">
        <f>Registro!AC257</f>
        <v>a) No, en absoluto</v>
      </c>
      <c r="AG257" s="89" t="str">
        <f>Registro!AD257</f>
        <v>a) Los deportes y diversiones, c) Las instalaciones del Colegio</v>
      </c>
      <c r="AH257" s="94">
        <f t="shared" si="17"/>
        <v>2</v>
      </c>
      <c r="AI257" s="89" t="str">
        <f>Registro!AE257</f>
        <v>c) 5 a 6 horas</v>
      </c>
      <c r="AJ257" s="89"/>
      <c r="AK257" s="94">
        <f t="shared" si="18"/>
        <v>0</v>
      </c>
      <c r="AL257" s="89" t="str">
        <f>Registro!AG257</f>
        <v>c) Regular</v>
      </c>
      <c r="AM257" s="89" t="str">
        <f>Registro!AH257</f>
        <v>c) Regular</v>
      </c>
      <c r="AN257" s="89">
        <f>Registro!AI257</f>
        <v>0</v>
      </c>
      <c r="AO257" s="89" t="str">
        <f>Registro!AJ257</f>
        <v>b) Buena</v>
      </c>
      <c r="AP257" s="89" t="str">
        <f>Registro!AK257</f>
        <v>a) Muy buena</v>
      </c>
      <c r="AQ257" s="89" t="str">
        <f>Registro!AL257</f>
        <v>d) Mala</v>
      </c>
      <c r="AR257" s="89" t="str">
        <f>Registro!AM257</f>
        <v>c) Regular</v>
      </c>
      <c r="AS257" s="89" t="str">
        <f>Registro!AN257</f>
        <v>e) Muy mala</v>
      </c>
      <c r="AT257" s="89" t="str">
        <f>Registro!AO257</f>
        <v>d) Mala</v>
      </c>
      <c r="AU257" s="89" t="str">
        <f>Registro!AP257</f>
        <v>c) Regular</v>
      </c>
      <c r="AV257" s="89" t="str">
        <f>Registro!AQ257</f>
        <v>b) Buena</v>
      </c>
      <c r="AW257" s="89" t="str">
        <f>Registro!AR257</f>
        <v>b) La orientación cristiana</v>
      </c>
      <c r="AX257" s="89" t="str">
        <f>Registro!AS257</f>
        <v>h) No sé</v>
      </c>
      <c r="AY257" s="89" t="str">
        <f>Registro!AT257</f>
        <v>c) Conveniente</v>
      </c>
      <c r="AZ257" s="89" t="str">
        <f>Registro!AU257</f>
        <v>a) No acostumbro a tomarlo nunca</v>
      </c>
      <c r="BA257" s="89" t="str">
        <f>Registro!AV257</f>
        <v>a) Personas a las que tengo que aguantar</v>
      </c>
      <c r="BB257" s="89" t="str">
        <f>Registro!AW257</f>
        <v>b) Poco</v>
      </c>
      <c r="BC257" s="89" t="str">
        <f>Registro!AX257</f>
        <v>c) Son personas normales y corrientes</v>
      </c>
      <c r="BD257" s="89" t="str">
        <f>Registro!AY257</f>
        <v>h) Una amiga</v>
      </c>
    </row>
    <row r="258" spans="1:56" ht="15" customHeight="1" x14ac:dyDescent="0.25">
      <c r="A258" s="101">
        <f>Registro!A258</f>
        <v>42099.34988425926</v>
      </c>
      <c r="B258" s="89" t="str">
        <f>Registro!B258</f>
        <v>a) Calasanz de Caracas</v>
      </c>
      <c r="C258" s="89" t="str">
        <f>Registro!C258</f>
        <v>a) Primer año</v>
      </c>
      <c r="D258" s="89" t="str">
        <f>Registro!D258</f>
        <v>a) Educación Inicial</v>
      </c>
      <c r="E258" s="89" t="str">
        <f>Registro!E258</f>
        <v>b) Femenino</v>
      </c>
      <c r="F258" s="89" t="str">
        <f>Registro!F258</f>
        <v>a) Católica</v>
      </c>
      <c r="G258" s="89" t="str">
        <f>Registro!G258</f>
        <v>a) Mamá, b) Papá, c) Hermanos, d) Abuelos, e) Otros familiares</v>
      </c>
      <c r="H258" s="89" t="str">
        <f>Registro!H258</f>
        <v>c) Apartamento</v>
      </c>
      <c r="I258" s="89" t="str">
        <f>Registro!I258</f>
        <v>a) Sí</v>
      </c>
      <c r="J258" s="89" t="str">
        <f>Registro!J258</f>
        <v>a) Cónsola videojuegos, b) Lavadora, c) Microondas, d) TV pantalla plana, f) MP3, g) MP4, h) Carro, i) Computadora, j) Cámara digital, k) Aire acondicionado</v>
      </c>
      <c r="K258" s="89" t="str">
        <f>Registro!K258</f>
        <v>b) Una</v>
      </c>
      <c r="L258" s="89" t="str">
        <f>Registro!L258</f>
        <v>a) La familia, d) El cuidado de mi cuerpo, g) La felicidad</v>
      </c>
      <c r="M258" s="94">
        <f t="shared" si="20"/>
        <v>3</v>
      </c>
      <c r="N258" s="89" t="str">
        <f>Registro!M258</f>
        <v>d) Los problemas familiares</v>
      </c>
      <c r="O258" s="89" t="str">
        <f>Registro!N258</f>
        <v>a) Mucho</v>
      </c>
      <c r="P258" s="89" t="str">
        <f>Registro!O258</f>
        <v>a) Mucho</v>
      </c>
      <c r="Q258" s="89" t="str">
        <f>Registro!P258</f>
        <v>b) Suficiente</v>
      </c>
      <c r="R258" s="89" t="str">
        <f>Registro!Q258</f>
        <v>a) La familia, d) El cuidado de mi cuerpo, g) La felicidad</v>
      </c>
      <c r="S258" s="94">
        <f t="shared" si="21"/>
        <v>3</v>
      </c>
      <c r="T258" s="89" t="str">
        <f>Registro!R258</f>
        <v>a) Mucho</v>
      </c>
      <c r="U258" s="89" t="str">
        <f>Registro!S258</f>
        <v>a) La Iglesia, b) La naturaleza, c) El salón de clase, d) Las convivencias, e) Los amigos, f) Todas las personas, g) Mi familia, h) Algunas personas cercanas a Dios, i) Los necesitados, j) Todas partes, k) La oración, l) Los sacramentos</v>
      </c>
      <c r="V258" s="89" t="str">
        <f>Registro!T258</f>
        <v>c) Rezo solo en situación de dificultad</v>
      </c>
      <c r="W258" s="89" t="str">
        <f>Registro!U258</f>
        <v>b) Algunos domingos</v>
      </c>
      <c r="X258" s="89" t="str">
        <f>Registro!V258</f>
        <v>a) Suelo llevar una cruz o algún objeto religioso, e) Voy a misa en las fechas de mis familiares difuntos, i) Tengo en mi cuarto alguna imagen religiosa</v>
      </c>
      <c r="Y258" s="89" t="str">
        <f>Registro!W258</f>
        <v xml:space="preserve">a) Deportivo, b) Cultural (folklórico, musicales, danzas, scout, banda marcial,...) </v>
      </c>
      <c r="Z258" s="89" t="str">
        <f>Registro!X258</f>
        <v>d) No pertenezco a grupos juveniles cristianos</v>
      </c>
      <c r="AA258" s="89" t="str">
        <f>Registro!Y258</f>
        <v>b) No</v>
      </c>
      <c r="AB258" s="89" t="str">
        <f>Registro!Z258</f>
        <v>b) No</v>
      </c>
      <c r="AC258" s="89" t="str">
        <f>Registro!AA258</f>
        <v>a) Medicina, e) Derecho</v>
      </c>
      <c r="AD258" s="94">
        <f t="shared" si="22"/>
        <v>2</v>
      </c>
      <c r="AE258" s="89" t="str">
        <f>Registro!AB258</f>
        <v>c) Ser un excelente profesional</v>
      </c>
      <c r="AF258" s="89" t="str">
        <f>Registro!AC258</f>
        <v>b) Poco</v>
      </c>
      <c r="AG258" s="89" t="str">
        <f>Registro!AD258</f>
        <v>a) Los deportes y diversiones, b) El ambiente de estudio y de trabajo</v>
      </c>
      <c r="AH258" s="94">
        <f t="shared" si="17"/>
        <v>2</v>
      </c>
      <c r="AI258" s="89" t="str">
        <f>Registro!AE258</f>
        <v>b) 3 a 4 horas</v>
      </c>
      <c r="AJ258" s="89" t="str">
        <f>Registro!AF258</f>
        <v>b) Navego en Internet, d) Estoy la mayor parte del tiempo en la casa sin hacer nada, i) Leo revistas o libros</v>
      </c>
      <c r="AK258" s="94">
        <f t="shared" si="18"/>
        <v>3</v>
      </c>
      <c r="AL258" s="89" t="str">
        <f>Registro!AG258</f>
        <v>d) Deficiente</v>
      </c>
      <c r="AM258" s="89" t="str">
        <f>Registro!AH258</f>
        <v>c) Regular</v>
      </c>
      <c r="AN258" s="89">
        <f>Registro!AI258</f>
        <v>0</v>
      </c>
      <c r="AO258" s="89" t="str">
        <f>Registro!AJ258</f>
        <v>b) Buena</v>
      </c>
      <c r="AP258" s="89" t="str">
        <f>Registro!AK258</f>
        <v>c) Regular</v>
      </c>
      <c r="AQ258" s="89" t="str">
        <f>Registro!AL258</f>
        <v>c) Regular</v>
      </c>
      <c r="AR258" s="89" t="str">
        <f>Registro!AM258</f>
        <v>c) Regular</v>
      </c>
      <c r="AS258" s="89" t="str">
        <f>Registro!AN258</f>
        <v>d) Mala</v>
      </c>
      <c r="AT258" s="89" t="str">
        <f>Registro!AO258</f>
        <v>d) Mala</v>
      </c>
      <c r="AU258" s="89" t="str">
        <f>Registro!AP258</f>
        <v>c) Regular</v>
      </c>
      <c r="AV258" s="89" t="str">
        <f>Registro!AQ258</f>
        <v>c) Regular</v>
      </c>
      <c r="AW258" s="89" t="str">
        <f>Registro!AR258</f>
        <v>b) La orientación cristiana</v>
      </c>
      <c r="AX258" s="89" t="str">
        <f>Registro!AS258</f>
        <v>b) Darme una buena educación</v>
      </c>
      <c r="AY258" s="89" t="str">
        <f>Registro!AT258</f>
        <v>d) Bastante necesaria</v>
      </c>
      <c r="AZ258" s="89" t="str">
        <f>Registro!AU258</f>
        <v>b) Las veces que bebo, es con moderación</v>
      </c>
      <c r="BA258" s="89" t="str">
        <f>Registro!AV258</f>
        <v>a) Personas a las que tengo que aguantar</v>
      </c>
      <c r="BB258" s="89" t="str">
        <f>Registro!AW258</f>
        <v>b) Poco</v>
      </c>
      <c r="BC258" s="89" t="str">
        <f>Registro!AX258</f>
        <v>a) No me gustan en absoluto</v>
      </c>
      <c r="BD258" s="89" t="str">
        <f>Registro!AY258</f>
        <v>a) Mi padre, b) Mi madre, c) Un hermano/a, h) Una amiga</v>
      </c>
    </row>
    <row r="259" spans="1:56" ht="15" customHeight="1" x14ac:dyDescent="0.25">
      <c r="A259" s="101">
        <f>Registro!A259</f>
        <v>42099.349965277775</v>
      </c>
      <c r="B259" s="89" t="str">
        <f>Registro!B259</f>
        <v>a) Calasanz de Caracas</v>
      </c>
      <c r="C259" s="89" t="str">
        <f>Registro!C259</f>
        <v>a) Primer año</v>
      </c>
      <c r="D259" s="89" t="str">
        <f>Registro!D259</f>
        <v>a) Educación Inicial</v>
      </c>
      <c r="E259" s="89" t="str">
        <f>Registro!E259</f>
        <v>a) Masculino</v>
      </c>
      <c r="F259" s="89" t="str">
        <f>Registro!F259</f>
        <v>a) Católica</v>
      </c>
      <c r="G259" s="89" t="str">
        <f>Registro!G259</f>
        <v>a) Mamá, b) Papá, c) Hermanos, e) Otros familiares</v>
      </c>
      <c r="H259" s="89" t="str">
        <f>Registro!H259</f>
        <v>b) Casa Urbana</v>
      </c>
      <c r="I259" s="89" t="str">
        <f>Registro!I259</f>
        <v>a) Sí</v>
      </c>
      <c r="J259" s="89" t="str">
        <f>Registro!J259</f>
        <v>a) Cónsola videojuegos, b) Lavadora, c) Microondas, d) TV pantalla plana, f) MP3, g) MP4, h) Carro, i) Computadora, j) Cámara digital</v>
      </c>
      <c r="K259" s="89" t="str">
        <f>Registro!K259</f>
        <v>e) Cuatro</v>
      </c>
      <c r="L259" s="89" t="str">
        <f>Registro!L259</f>
        <v>a) La familia, b) Los amigos, f) Mi fe y vida cristiana</v>
      </c>
      <c r="M259" s="94">
        <f t="shared" si="20"/>
        <v>3</v>
      </c>
      <c r="N259" s="89" t="str">
        <f>Registro!M259</f>
        <v>b) El futuro</v>
      </c>
      <c r="O259" s="89" t="str">
        <f>Registro!N259</f>
        <v>a) Mucho</v>
      </c>
      <c r="P259" s="89" t="str">
        <f>Registro!O259</f>
        <v>b) Suficiente</v>
      </c>
      <c r="Q259" s="89" t="str">
        <f>Registro!P259</f>
        <v>a) Mucho</v>
      </c>
      <c r="R259" s="89" t="str">
        <f>Registro!Q259</f>
        <v>c) Los estudios, f) Mi fe y mi vida cristiana, g) La felicidad</v>
      </c>
      <c r="S259" s="94">
        <f t="shared" si="21"/>
        <v>3</v>
      </c>
      <c r="T259" s="89" t="str">
        <f>Registro!R259</f>
        <v>a) Mucho</v>
      </c>
      <c r="U259" s="89" t="str">
        <f>Registro!S259</f>
        <v>a) La Iglesia, b) La naturaleza, c) El salón de clase, d) Las convivencias, e) Los amigos, f) Todas las personas, g) Mi familia, h) Algunas personas cercanas a Dios, i) Los necesitados, j) Todas partes, k) La oración, l) Los sacramentos</v>
      </c>
      <c r="V259" s="89" t="str">
        <f>Registro!T259</f>
        <v>a) Suelo rezar por convicción o porque me gusta</v>
      </c>
      <c r="W259" s="89" t="str">
        <f>Registro!U259</f>
        <v>c) Solo en fechas especiales</v>
      </c>
      <c r="X259" s="89" t="str">
        <f>Registro!V259</f>
        <v>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259" s="89" t="str">
        <f>Registro!W259</f>
        <v xml:space="preserve">b) Cultural (folklórico, musicales, danzas, scout, banda marcial,...) </v>
      </c>
      <c r="Z259" s="89" t="str">
        <f>Registro!X259</f>
        <v>b) Un lugar donde comparto con mis compañeros</v>
      </c>
      <c r="AA259" s="89" t="str">
        <f>Registro!Y259</f>
        <v>a) Sí</v>
      </c>
      <c r="AB259" s="89" t="str">
        <f>Registro!Z259</f>
        <v>c) Algo</v>
      </c>
      <c r="AC259" s="89" t="str">
        <f>Registro!AA259</f>
        <v>d) Ingeniería, g) Artista</v>
      </c>
      <c r="AD259" s="94">
        <f t="shared" si="22"/>
        <v>2</v>
      </c>
      <c r="AE259" s="89" t="str">
        <f>Registro!AB259</f>
        <v>e) Servir a los demás</v>
      </c>
      <c r="AF259" s="89" t="str">
        <f>Registro!AC259</f>
        <v>c) Bastante</v>
      </c>
      <c r="AG259" s="89" t="str">
        <f>Registro!AD259</f>
        <v>c) Las instalaciones del Colegio, h) Las actividades extraescolares</v>
      </c>
      <c r="AH259" s="94">
        <f t="shared" ref="AH259:AH322" si="23">COUNTIF(AG259,"*a)*")+COUNTIF(AG259,"*b)*")+COUNTIF(AG259,"*c)*")+COUNTIF(AG259,"*d)*")+COUNTIF(AG259,"*e)*")+COUNTIF(AG259,"*f)*")+COUNTIF(AG259,"*g)*")+COUNTIF(AG259,"*h)*")+COUNTIF(AG259,"*i)*")+COUNTIF(AG259,"*j)*")+COUNTIF(AG259,"*k)*")+COUNTIF(AG259,"*l)*")+COUNTIF(AG259,"*m)*")+COUNTIF(AG259,"*n)*")+COUNTIF(AG259,"*o)*")+COUNTIF(AG259,"*p)*")</f>
        <v>2</v>
      </c>
      <c r="AI259" s="89" t="str">
        <f>Registro!AE259</f>
        <v>b) 3 a 4 horas</v>
      </c>
      <c r="AJ259" s="89" t="str">
        <f>Registro!AF259</f>
        <v>a) Me divierto con juegos para computadoras, b) Navego en Internet, e) Suelo ir a algún parque</v>
      </c>
      <c r="AK259" s="94">
        <f t="shared" ref="AK259:AK322" si="24">COUNTIF(AJ259,"*a)*")+COUNTIF(AJ259,"*b)*")+COUNTIF(AJ259,"*c)*")+COUNTIF(AJ259,"*d)*")+COUNTIF(AJ259,"*e)*")+COUNTIF(AJ259,"*f)*")+COUNTIF(AJ259,"*g)*")+COUNTIF(AJ259,"*h)*")+COUNTIF(AJ259,"*i)*")+COUNTIF(AJ259,"*j)*")+COUNTIF(AJ259,"*k)*")+COUNTIF(AJ259,"*l)*")+COUNTIF(AJ259,"*m)*")+COUNTIF(AJ259,"*n)*")+COUNTIF(AJ259,"*o)*")+COUNTIF(AJ259,"*p)*")</f>
        <v>3</v>
      </c>
      <c r="AL259" s="89" t="str">
        <f>Registro!AG259</f>
        <v>b) Bueno</v>
      </c>
      <c r="AM259" s="89" t="str">
        <f>Registro!AH259</f>
        <v>c) Regular</v>
      </c>
      <c r="AN259" s="89" t="str">
        <f>Registro!AI259</f>
        <v>b) Buena</v>
      </c>
      <c r="AO259" s="89" t="str">
        <f>Registro!AJ259</f>
        <v>d) Mala</v>
      </c>
      <c r="AP259" s="89" t="str">
        <f>Registro!AK259</f>
        <v>a) Muy buena</v>
      </c>
      <c r="AQ259" s="89" t="str">
        <f>Registro!AL259</f>
        <v>a) Muy buena</v>
      </c>
      <c r="AR259" s="89" t="str">
        <f>Registro!AM259</f>
        <v>b) Buena</v>
      </c>
      <c r="AS259" s="89" t="str">
        <f>Registro!AN259</f>
        <v>b) Buena</v>
      </c>
      <c r="AT259" s="89" t="str">
        <f>Registro!AO259</f>
        <v>a) Muy buena</v>
      </c>
      <c r="AU259" s="89" t="str">
        <f>Registro!AP259</f>
        <v>a) Muy buena</v>
      </c>
      <c r="AV259" s="89" t="str">
        <f>Registro!AQ259</f>
        <v>b) Buena</v>
      </c>
      <c r="AW259" s="89" t="str">
        <f>Registro!AR259</f>
        <v>h) La responsabilidad social y el servicio a los demás</v>
      </c>
      <c r="AX259" s="89" t="str">
        <f>Registro!AS259</f>
        <v>a) Que sea un buen profesional</v>
      </c>
      <c r="AY259" s="89" t="str">
        <f>Registro!AT259</f>
        <v>e) Absolutamente necesaria</v>
      </c>
      <c r="AZ259" s="89" t="str">
        <f>Registro!AU259</f>
        <v>a) No acostumbro a tomarlo nunca</v>
      </c>
      <c r="BA259" s="89" t="str">
        <f>Registro!AV259</f>
        <v>f) Educadores que, además, me han abierto caminos</v>
      </c>
      <c r="BB259" s="89" t="str">
        <f>Registro!AW259</f>
        <v>d) Mucho o muchísimo</v>
      </c>
      <c r="BC259" s="89" t="str">
        <f>Registro!AX259</f>
        <v>e) Son personas que me gustan y admiro</v>
      </c>
      <c r="BD259" s="89" t="str">
        <f>Registro!AY259</f>
        <v>a) Mi padre, b) Mi madre, c) Un hermano/a, d) Un escolapio, religioso o religiosa, e) Un, una docente, g) Un amigo, h) Una amiga, i) Un, una catequista o responsable de grupo</v>
      </c>
    </row>
    <row r="260" spans="1:56" ht="15" customHeight="1" x14ac:dyDescent="0.25">
      <c r="A260" s="101">
        <f>Registro!A260</f>
        <v>42099.35</v>
      </c>
      <c r="B260" s="89" t="str">
        <f>Registro!B260</f>
        <v>a) Calasanz de Caracas</v>
      </c>
      <c r="C260" s="89" t="str">
        <f>Registro!C260</f>
        <v>a) Primer año</v>
      </c>
      <c r="D260" s="89" t="str">
        <f>Registro!D260</f>
        <v>a) Educación Inicial</v>
      </c>
      <c r="E260" s="89" t="str">
        <f>Registro!E260</f>
        <v>a) Masculino</v>
      </c>
      <c r="F260" s="89" t="str">
        <f>Registro!F260</f>
        <v>a) Católica</v>
      </c>
      <c r="G260" s="89" t="str">
        <f>Registro!G260</f>
        <v>a) Mamá, b) Papá, e) Otros familiares</v>
      </c>
      <c r="H260" s="89" t="str">
        <f>Registro!H260</f>
        <v>c) Apartamento</v>
      </c>
      <c r="I260" s="89" t="str">
        <f>Registro!I260</f>
        <v>a) Sí</v>
      </c>
      <c r="J260" s="89" t="str">
        <f>Registro!J260</f>
        <v>a) Cónsola videojuegos, b) Lavadora, c) Microondas, d) TV pantalla plana, e) Moto, h) Carro, i) Computadora, j) Cámara digital, k) Aire acondicionado</v>
      </c>
      <c r="K260" s="89" t="str">
        <f>Registro!K260</f>
        <v>c) Dos</v>
      </c>
      <c r="L260" s="89" t="str">
        <f>Registro!L260</f>
        <v>a) La familia, b) Los amigos, j) El deporte</v>
      </c>
      <c r="M260" s="94">
        <f t="shared" si="20"/>
        <v>3</v>
      </c>
      <c r="N260" s="89" t="str">
        <f>Registro!M260</f>
        <v>b) El futuro</v>
      </c>
      <c r="O260" s="89" t="str">
        <f>Registro!N260</f>
        <v>b) Suficiente</v>
      </c>
      <c r="P260" s="89" t="str">
        <f>Registro!O260</f>
        <v>c) Poco</v>
      </c>
      <c r="Q260" s="89" t="str">
        <f>Registro!P260</f>
        <v>b) Suficiente</v>
      </c>
      <c r="R260" s="89" t="str">
        <f>Registro!Q260</f>
        <v>a) La familia, c) Los estudios, j) El deporte</v>
      </c>
      <c r="S260" s="94">
        <f t="shared" si="21"/>
        <v>3</v>
      </c>
      <c r="T260" s="89" t="str">
        <f>Registro!R260</f>
        <v>a) Mucho</v>
      </c>
      <c r="U260" s="89" t="str">
        <f>Registro!S260</f>
        <v>a) La Iglesia, c) El salón de clase, d) Las convivencias, g) Mi familia, k) La oración</v>
      </c>
      <c r="V260" s="89" t="str">
        <f>Registro!T260</f>
        <v>c) Rezo solo en situación de dificultad</v>
      </c>
      <c r="W260" s="89" t="str">
        <f>Registro!U260</f>
        <v>b) Algunos domingos</v>
      </c>
      <c r="X260" s="89" t="str">
        <f>Registro!V260</f>
        <v>c) Suelo ir los domingos y otras fechas especiales a la Iglesia, d) Suelo orar todos los días, g) En ocasiones, en mi casa tenemos una oración familiar</v>
      </c>
      <c r="Y260" s="89" t="str">
        <f>Registro!W260</f>
        <v>a) Deportivo</v>
      </c>
      <c r="Z260" s="89" t="str">
        <f>Registro!X260</f>
        <v>b) Un lugar donde comparto con mis compañeros</v>
      </c>
      <c r="AA260" s="89" t="str">
        <f>Registro!Y260</f>
        <v>b) No</v>
      </c>
      <c r="AB260" s="89" t="str">
        <f>Registro!Z260</f>
        <v>b) No</v>
      </c>
      <c r="AC260" s="89" t="str">
        <f>Registro!AA260</f>
        <v>d) Ingeniería, i) Comerciante</v>
      </c>
      <c r="AD260" s="94">
        <f t="shared" si="22"/>
        <v>2</v>
      </c>
      <c r="AE260" s="89" t="str">
        <f>Registro!AB260</f>
        <v>a) Ganar mucho dinero</v>
      </c>
      <c r="AF260" s="89" t="str">
        <f>Registro!AC260</f>
        <v>b) Poco</v>
      </c>
      <c r="AG260" s="89" t="str">
        <f>Registro!AD260</f>
        <v>a) Los deportes y diversiones, c) Las instalaciones del Colegio</v>
      </c>
      <c r="AH260" s="94">
        <f t="shared" si="23"/>
        <v>2</v>
      </c>
      <c r="AI260" s="89" t="str">
        <f>Registro!AE260</f>
        <v>b) 3 a 4 horas</v>
      </c>
      <c r="AJ260" s="89" t="str">
        <f>Registro!AF260</f>
        <v>a) Me divierto con juegos para computadoras, b) Navego en Internet, k) Practico algún deporte</v>
      </c>
      <c r="AK260" s="94">
        <f t="shared" si="24"/>
        <v>3</v>
      </c>
      <c r="AL260" s="89" t="str">
        <f>Registro!AG260</f>
        <v>b) Bueno</v>
      </c>
      <c r="AM260" s="89" t="str">
        <f>Registro!AH260</f>
        <v>b) Buena</v>
      </c>
      <c r="AN260" s="89">
        <f>Registro!AI260</f>
        <v>0</v>
      </c>
      <c r="AO260" s="89" t="str">
        <f>Registro!AJ260</f>
        <v>b) Buena</v>
      </c>
      <c r="AP260" s="89" t="str">
        <f>Registro!AK260</f>
        <v>a) Muy buena</v>
      </c>
      <c r="AQ260" s="89" t="str">
        <f>Registro!AL260</f>
        <v>c) Regular</v>
      </c>
      <c r="AR260" s="89" t="str">
        <f>Registro!AM260</f>
        <v>c) Regular</v>
      </c>
      <c r="AS260" s="89" t="str">
        <f>Registro!AN260</f>
        <v>b) Buena</v>
      </c>
      <c r="AT260" s="89" t="str">
        <f>Registro!AO260</f>
        <v>b) Buena</v>
      </c>
      <c r="AU260" s="89" t="str">
        <f>Registro!AP260</f>
        <v>a) Muy buena</v>
      </c>
      <c r="AV260" s="89" t="str">
        <f>Registro!AQ260</f>
        <v>b) Buena</v>
      </c>
      <c r="AW260" s="89" t="str">
        <f>Registro!AR260</f>
        <v>a) El compañerismo</v>
      </c>
      <c r="AX260" s="89" t="str">
        <f>Registro!AS260</f>
        <v>a) Que sea un buen profesional</v>
      </c>
      <c r="AY260" s="89" t="str">
        <f>Registro!AT260</f>
        <v>d) Bastante necesaria</v>
      </c>
      <c r="AZ260" s="89" t="str">
        <f>Registro!AU260</f>
        <v>b) Las veces que bebo, es con moderación</v>
      </c>
      <c r="BA260" s="89" t="str">
        <f>Registro!AV260</f>
        <v>e) Educadores que se preocupan de nosotros</v>
      </c>
      <c r="BB260" s="89" t="str">
        <f>Registro!AW260</f>
        <v>e) No sé</v>
      </c>
      <c r="BC260" s="89" t="str">
        <f>Registro!AX260</f>
        <v>a) No me gustan en absoluto</v>
      </c>
      <c r="BD260" s="89" t="str">
        <f>Registro!AY260</f>
        <v>a) Mi padre, b) Mi madre, e) Un, una docente, g) Un amigo</v>
      </c>
    </row>
    <row r="261" spans="1:56" ht="15" customHeight="1" x14ac:dyDescent="0.25">
      <c r="A261" s="101">
        <f>Registro!A261</f>
        <v>42099.350370370368</v>
      </c>
      <c r="B261" s="89" t="str">
        <f>Registro!B261</f>
        <v>a) Calasanz de Caracas</v>
      </c>
      <c r="C261" s="89" t="str">
        <f>Registro!C261</f>
        <v>a) Primer año</v>
      </c>
      <c r="D261" s="89" t="str">
        <f>Registro!D261</f>
        <v>a) Educación Inicial</v>
      </c>
      <c r="E261" s="89" t="str">
        <f>Registro!E261</f>
        <v>b) Femenino</v>
      </c>
      <c r="F261" s="89" t="str">
        <f>Registro!F261</f>
        <v>a) Católica</v>
      </c>
      <c r="G261" s="89" t="str">
        <f>Registro!G261</f>
        <v>a) Mamá, c) Hermanos</v>
      </c>
      <c r="H261" s="89" t="str">
        <f>Registro!H261</f>
        <v>c) Apartamento</v>
      </c>
      <c r="I261" s="89" t="str">
        <f>Registro!I261</f>
        <v>a) Sí</v>
      </c>
      <c r="J261" s="89" t="str">
        <f>Registro!J261</f>
        <v>a) Cónsola videojuegos, b) Lavadora, c) Microondas, d) TV pantalla plana, f) MP3, g) MP4, i) Computadora, j) Cámara digital, k) Aire acondicionado</v>
      </c>
      <c r="K261" s="89" t="str">
        <f>Registro!K261</f>
        <v>c) Dos</v>
      </c>
      <c r="L261" s="89" t="str">
        <f>Registro!L261</f>
        <v>a) La familia, c) Los estudios, d) El cuidado de mi cuerpo</v>
      </c>
      <c r="M261" s="94">
        <f t="shared" si="20"/>
        <v>3</v>
      </c>
      <c r="N261" s="89" t="str">
        <f>Registro!M261</f>
        <v>d) Los problemas familiares</v>
      </c>
      <c r="O261" s="89" t="str">
        <f>Registro!N261</f>
        <v>a) Mucho</v>
      </c>
      <c r="P261" s="89" t="str">
        <f>Registro!O261</f>
        <v>c) Poco</v>
      </c>
      <c r="Q261" s="89" t="str">
        <f>Registro!P261</f>
        <v>c) Poco</v>
      </c>
      <c r="R261" s="89" t="str">
        <f>Registro!Q261</f>
        <v>c) Los estudios, d) El cuidado de mi cuerpo, g) La felicidad</v>
      </c>
      <c r="S261" s="94">
        <f t="shared" si="21"/>
        <v>3</v>
      </c>
      <c r="T261" s="89" t="str">
        <f>Registro!R261</f>
        <v>b) Suficiente</v>
      </c>
      <c r="U261" s="89" t="str">
        <f>Registro!S261</f>
        <v>b) La naturaleza, g) Mi familia, j) Todas partes, k) La oración</v>
      </c>
      <c r="V261" s="89" t="str">
        <f>Registro!T261</f>
        <v>b) Rezo por costumbre</v>
      </c>
      <c r="W261" s="89" t="str">
        <f>Registro!U261</f>
        <v>c) Solo en fechas especiales</v>
      </c>
      <c r="X261" s="89" t="str">
        <f>Registro!V261</f>
        <v>e) Voy a misa en las fechas de mis familiares difuntos, h) En Semana Santa asisto a las procesiones</v>
      </c>
      <c r="Y261" s="89" t="str">
        <f>Registro!W261</f>
        <v xml:space="preserve">b) Cultural (folklórico, musicales, danzas, scout, banda marcial,...) </v>
      </c>
      <c r="Z261" s="89" t="str">
        <f>Registro!X261</f>
        <v>a) Un grupo donde profundizo mi fe</v>
      </c>
      <c r="AA261" s="89" t="str">
        <f>Registro!Y261</f>
        <v>b) No</v>
      </c>
      <c r="AB261" s="89" t="str">
        <f>Registro!Z261</f>
        <v>b) No</v>
      </c>
      <c r="AC261" s="89"/>
      <c r="AD261" s="94">
        <f t="shared" si="22"/>
        <v>0</v>
      </c>
      <c r="AE261" s="89" t="str">
        <f>Registro!AB261</f>
        <v>e) Servir a los demás</v>
      </c>
      <c r="AF261" s="89" t="str">
        <f>Registro!AC261</f>
        <v>b) Poco</v>
      </c>
      <c r="AG261" s="89" t="str">
        <f>Registro!AD261</f>
        <v>a) Los deportes y diversiones, b) El ambiente de estudio y de trabajo</v>
      </c>
      <c r="AH261" s="94">
        <f t="shared" si="23"/>
        <v>2</v>
      </c>
      <c r="AI261" s="89" t="str">
        <f>Registro!AE261</f>
        <v>a) 0 a 2 horas</v>
      </c>
      <c r="AJ261" s="89" t="str">
        <f>Registro!AF261</f>
        <v>h) Suelo ir al cine, i) Leo revistas o libros, m) Veo televisión y/o películas</v>
      </c>
      <c r="AK261" s="94">
        <f t="shared" si="24"/>
        <v>3</v>
      </c>
      <c r="AL261" s="89" t="str">
        <f>Registro!AG261</f>
        <v>c) Regular</v>
      </c>
      <c r="AM261" s="89">
        <f>Registro!AH261</f>
        <v>0</v>
      </c>
      <c r="AN261" s="89">
        <f>Registro!AI261</f>
        <v>0</v>
      </c>
      <c r="AO261" s="89" t="str">
        <f>Registro!AJ261</f>
        <v>b) Buena</v>
      </c>
      <c r="AP261" s="89" t="str">
        <f>Registro!AK261</f>
        <v>b) Buena</v>
      </c>
      <c r="AQ261" s="89" t="str">
        <f>Registro!AL261</f>
        <v>c) Regular</v>
      </c>
      <c r="AR261" s="89" t="str">
        <f>Registro!AM261</f>
        <v>f) No aplica</v>
      </c>
      <c r="AS261" s="89" t="str">
        <f>Registro!AN261</f>
        <v>d) Mala</v>
      </c>
      <c r="AT261" s="89" t="str">
        <f>Registro!AO261</f>
        <v>d) Mala</v>
      </c>
      <c r="AU261" s="89" t="str">
        <f>Registro!AP261</f>
        <v>b) Buena</v>
      </c>
      <c r="AV261" s="89" t="str">
        <f>Registro!AQ261</f>
        <v>c) Regular</v>
      </c>
      <c r="AW261" s="89" t="str">
        <f>Registro!AR261</f>
        <v>b) La orientación cristiana</v>
      </c>
      <c r="AX261" s="89" t="str">
        <f>Registro!AS261</f>
        <v>b) Darme una buena educación</v>
      </c>
      <c r="AY261" s="89" t="str">
        <f>Registro!AT261</f>
        <v>c) Conveniente</v>
      </c>
      <c r="AZ261" s="89" t="str">
        <f>Registro!AU261</f>
        <v>b) Las veces que bebo, es con moderación</v>
      </c>
      <c r="BA261" s="89" t="str">
        <f>Registro!AV261</f>
        <v>a) Personas a las que tengo que aguantar</v>
      </c>
      <c r="BB261" s="89" t="str">
        <f>Registro!AW261</f>
        <v>b) Poco</v>
      </c>
      <c r="BC261" s="89" t="str">
        <f>Registro!AX261</f>
        <v>a) No me gustan en absoluto</v>
      </c>
      <c r="BD261" s="89" t="str">
        <f>Registro!AY261</f>
        <v>b) Mi madre, c) Un hermano/a, g) Un amigo, h) Una amiga</v>
      </c>
    </row>
    <row r="262" spans="1:56" ht="15" customHeight="1" x14ac:dyDescent="0.25">
      <c r="A262" s="101">
        <f>Registro!A262</f>
        <v>42099.350763888891</v>
      </c>
      <c r="B262" s="89" t="str">
        <f>Registro!B262</f>
        <v>a) Calasanz de Caracas</v>
      </c>
      <c r="C262" s="89" t="str">
        <f>Registro!C262</f>
        <v>a) Primer año</v>
      </c>
      <c r="D262" s="89" t="str">
        <f>Registro!D262</f>
        <v>b) Primaria</v>
      </c>
      <c r="E262" s="89" t="str">
        <f>Registro!E262</f>
        <v>a) Masculino</v>
      </c>
      <c r="F262" s="89" t="str">
        <f>Registro!F262</f>
        <v>a) Católica</v>
      </c>
      <c r="G262" s="89" t="str">
        <f>Registro!G262</f>
        <v>a) Mamá, b) Papá, c) Hermanos</v>
      </c>
      <c r="H262" s="89" t="str">
        <f>Registro!H262</f>
        <v>c) Apartamento</v>
      </c>
      <c r="I262" s="89" t="str">
        <f>Registro!I262</f>
        <v>a) Sí</v>
      </c>
      <c r="J262" s="89" t="str">
        <f>Registro!J262</f>
        <v>a) Cónsola videojuegos, b) Lavadora, c) Microondas, d) TV pantalla plana, f) MP3, g) MP4, i) Computadora, j) Cámara digital</v>
      </c>
      <c r="K262" s="89" t="str">
        <f>Registro!K262</f>
        <v>c) Dos</v>
      </c>
      <c r="L262" s="89" t="str">
        <f>Registro!L262</f>
        <v>a) La familia, b) Los amigos, j) El deporte</v>
      </c>
      <c r="M262" s="94">
        <f t="shared" si="20"/>
        <v>3</v>
      </c>
      <c r="N262" s="89" t="str">
        <f>Registro!M262</f>
        <v>e) La situación económica</v>
      </c>
      <c r="O262" s="89" t="str">
        <f>Registro!N262</f>
        <v>a) Mucho</v>
      </c>
      <c r="P262" s="89" t="str">
        <f>Registro!O262</f>
        <v>b) Suficiente</v>
      </c>
      <c r="Q262" s="89" t="str">
        <f>Registro!P262</f>
        <v>c) Poco</v>
      </c>
      <c r="R262" s="89" t="str">
        <f>Registro!Q262</f>
        <v>c) Los estudios, g) La felicidad, j) El deporte</v>
      </c>
      <c r="S262" s="94">
        <f t="shared" si="21"/>
        <v>3</v>
      </c>
      <c r="T262" s="89">
        <f>Registro!R262</f>
        <v>0</v>
      </c>
      <c r="U262" s="89" t="str">
        <f>Registro!S262</f>
        <v>a) La Iglesia, b) La naturaleza, c) El salón de clase, d) Las convivencias, e) Los amigos, f) Todas las personas, g) Mi familia, h) Algunas personas cercanas a Dios, i) Los necesitados, j) Todas partes, k) La oración, l) Los sacramentos</v>
      </c>
      <c r="V262" s="89">
        <f>Registro!T262</f>
        <v>0</v>
      </c>
      <c r="W262" s="89" t="str">
        <f>Registro!U262</f>
        <v>b) Algunos domingos</v>
      </c>
      <c r="X262" s="89" t="str">
        <f>Registro!V262</f>
        <v>b) Suelo bendedir los alimentos antes de comer, c) Suelo ir los domingos y otras fechas especiales a la Iglesia, e) Voy a misa en las fechas de mis familiares difuntos, f) En alguna ocasión he rezado el rosario, h) En Semana Santa asisto a las procesiones</v>
      </c>
      <c r="Y262" s="89" t="str">
        <f>Registro!W262</f>
        <v>a) Deportivo</v>
      </c>
      <c r="Z262" s="89" t="str">
        <f>Registro!X262</f>
        <v>c) Un lugar donde me lo paso bien</v>
      </c>
      <c r="AA262" s="89">
        <f>Registro!Y262</f>
        <v>0</v>
      </c>
      <c r="AB262" s="89" t="str">
        <f>Registro!Z262</f>
        <v>b) No</v>
      </c>
      <c r="AC262" s="89" t="str">
        <f>Registro!AA262</f>
        <v>a) Medicina, e) Derecho</v>
      </c>
      <c r="AD262" s="94">
        <f t="shared" si="22"/>
        <v>2</v>
      </c>
      <c r="AE262" s="89" t="str">
        <f>Registro!AB262</f>
        <v>e) Servir a los demás</v>
      </c>
      <c r="AF262" s="89" t="str">
        <f>Registro!AC262</f>
        <v>b) Poco</v>
      </c>
      <c r="AG262" s="89" t="str">
        <f>Registro!AD262</f>
        <v>a) Los deportes y diversiones, c) Las instalaciones del Colegio</v>
      </c>
      <c r="AH262" s="94">
        <f t="shared" si="23"/>
        <v>2</v>
      </c>
      <c r="AI262" s="89" t="str">
        <f>Registro!AE262</f>
        <v>d) 7 a 8 horas</v>
      </c>
      <c r="AJ262" s="89" t="str">
        <f>Registro!AF262</f>
        <v>d) Estoy la mayor parte del tiempo en la casa sin hacer nada, k) Practico algún deporte, m) Veo televisión y/o películas</v>
      </c>
      <c r="AK262" s="94">
        <f t="shared" si="24"/>
        <v>3</v>
      </c>
      <c r="AL262" s="89" t="str">
        <f>Registro!AG262</f>
        <v>a) Muy bueno</v>
      </c>
      <c r="AM262" s="89" t="str">
        <f>Registro!AH262</f>
        <v>c) Regular</v>
      </c>
      <c r="AN262" s="89" t="str">
        <f>Registro!AI262</f>
        <v>c) Regular</v>
      </c>
      <c r="AO262" s="89" t="str">
        <f>Registro!AJ262</f>
        <v>a) Muy buena</v>
      </c>
      <c r="AP262" s="89" t="str">
        <f>Registro!AK262</f>
        <v>a) Muy buena</v>
      </c>
      <c r="AQ262" s="89" t="str">
        <f>Registro!AL262</f>
        <v>c) Regular</v>
      </c>
      <c r="AR262" s="89">
        <f>Registro!AM262</f>
        <v>0</v>
      </c>
      <c r="AS262" s="89" t="str">
        <f>Registro!AN262</f>
        <v>f) No aplica</v>
      </c>
      <c r="AT262" s="89" t="str">
        <f>Registro!AO262</f>
        <v>b) Buena</v>
      </c>
      <c r="AU262" s="89" t="str">
        <f>Registro!AP262</f>
        <v>a) Muy buena</v>
      </c>
      <c r="AV262" s="89" t="str">
        <f>Registro!AQ262</f>
        <v>b) Buena</v>
      </c>
      <c r="AW262" s="89" t="str">
        <f>Registro!AR262</f>
        <v>b) La orientación cristiana</v>
      </c>
      <c r="AX262" s="89" t="str">
        <f>Registro!AS262</f>
        <v>b) Darme una buena educación</v>
      </c>
      <c r="AY262" s="89" t="str">
        <f>Registro!AT262</f>
        <v>c) Conveniente</v>
      </c>
      <c r="AZ262" s="89" t="str">
        <f>Registro!AU262</f>
        <v>a) No acostumbro a tomarlo nunca</v>
      </c>
      <c r="BA262" s="89" t="str">
        <f>Registro!AV262</f>
        <v>d) Buenos profesionales de la educación</v>
      </c>
      <c r="BB262" s="89" t="str">
        <f>Registro!AW262</f>
        <v>c) Bastante</v>
      </c>
      <c r="BC262" s="89" t="str">
        <f>Registro!AX262</f>
        <v>b) Hay de todo tipo, pero predomina lo negativo</v>
      </c>
      <c r="BD262" s="89" t="str">
        <f>Registro!AY262</f>
        <v>a) Mi padre, b) Mi madre, g) Un amigo, h) Una amiga</v>
      </c>
    </row>
    <row r="263" spans="1:56" ht="15" customHeight="1" x14ac:dyDescent="0.25">
      <c r="A263" s="101">
        <f>Registro!A263</f>
        <v>42099.351273148146</v>
      </c>
      <c r="B263" s="89" t="str">
        <f>Registro!B263</f>
        <v>a) Calasanz de Caracas</v>
      </c>
      <c r="C263" s="89" t="str">
        <f>Registro!C263</f>
        <v>a) Primer año</v>
      </c>
      <c r="D263" s="89" t="str">
        <f>Registro!D263</f>
        <v>b) Primaria</v>
      </c>
      <c r="E263" s="89" t="str">
        <f>Registro!E263</f>
        <v>a) Masculino</v>
      </c>
      <c r="F263" s="89" t="str">
        <f>Registro!F263</f>
        <v>d) Otra</v>
      </c>
      <c r="G263" s="89" t="str">
        <f>Registro!G263</f>
        <v>a) Mamá, b) Papá, c) Hermanos, e) Otros familiares</v>
      </c>
      <c r="H263" s="89" t="str">
        <f>Registro!H263</f>
        <v>b) Casa Urbana</v>
      </c>
      <c r="I263" s="89" t="str">
        <f>Registro!I263</f>
        <v>a) Sí</v>
      </c>
      <c r="J263" s="89" t="str">
        <f>Registro!J263</f>
        <v>e) Moto, h) Carro, k) Aire acondicionado</v>
      </c>
      <c r="K263" s="89" t="str">
        <f>Registro!K263</f>
        <v>f) Más de cuatro</v>
      </c>
      <c r="L263" s="89" t="str">
        <f>Registro!L263</f>
        <v>a) La familia, c) Los estudios</v>
      </c>
      <c r="M263" s="94">
        <f t="shared" si="20"/>
        <v>2</v>
      </c>
      <c r="N263" s="89" t="str">
        <f>Registro!M263</f>
        <v>d) Los problemas familiares</v>
      </c>
      <c r="O263" s="89" t="str">
        <f>Registro!N263</f>
        <v>b) Suficiente</v>
      </c>
      <c r="P263" s="89" t="str">
        <f>Registro!O263</f>
        <v>a) Mucho</v>
      </c>
      <c r="Q263" s="89" t="str">
        <f>Registro!P263</f>
        <v>c) Poco</v>
      </c>
      <c r="R263" s="89" t="str">
        <f>Registro!Q263</f>
        <v>a) La familia, c) Los estudios, d) El cuidado de mi cuerpo</v>
      </c>
      <c r="S263" s="94">
        <f t="shared" si="21"/>
        <v>3</v>
      </c>
      <c r="T263" s="89" t="str">
        <f>Registro!R263</f>
        <v>c) Poco</v>
      </c>
      <c r="U263" s="89" t="str">
        <f>Registro!S263</f>
        <v>g) Mi familia</v>
      </c>
      <c r="V263" s="89" t="str">
        <f>Registro!T263</f>
        <v>b) Rezo por costumbre</v>
      </c>
      <c r="W263" s="89" t="str">
        <f>Registro!U263</f>
        <v>d) Nunca</v>
      </c>
      <c r="X263" s="89">
        <f>Registro!V263</f>
        <v>0</v>
      </c>
      <c r="Y263" s="89" t="str">
        <f>Registro!W263</f>
        <v>a) Deportivo</v>
      </c>
      <c r="Z263" s="89">
        <f>Registro!X263</f>
        <v>0</v>
      </c>
      <c r="AA263" s="89" t="str">
        <f>Registro!Y263</f>
        <v>b) No</v>
      </c>
      <c r="AB263" s="89" t="str">
        <f>Registro!Z263</f>
        <v>b) No</v>
      </c>
      <c r="AC263" s="89"/>
      <c r="AD263" s="94">
        <f t="shared" si="22"/>
        <v>0</v>
      </c>
      <c r="AE263" s="89" t="str">
        <f>Registro!AB263</f>
        <v>b) Tener una buena posición social, ser importante</v>
      </c>
      <c r="AF263" s="89" t="str">
        <f>Registro!AC263</f>
        <v>a) No, en absoluto</v>
      </c>
      <c r="AG263" s="89" t="str">
        <f>Registro!AD263</f>
        <v>a) Los deportes y diversiones</v>
      </c>
      <c r="AH263" s="94">
        <f t="shared" si="23"/>
        <v>1</v>
      </c>
      <c r="AI263" s="89" t="str">
        <f>Registro!AE263</f>
        <v>b) 3 a 4 horas</v>
      </c>
      <c r="AJ263" s="89" t="str">
        <f>Registro!AF263</f>
        <v>k) Practico algún deporte</v>
      </c>
      <c r="AK263" s="94">
        <f t="shared" si="24"/>
        <v>1</v>
      </c>
      <c r="AL263" s="89" t="str">
        <f>Registro!AG263</f>
        <v>d) Deficiente</v>
      </c>
      <c r="AM263" s="89" t="str">
        <f>Registro!AH263</f>
        <v>c) Regular</v>
      </c>
      <c r="AN263" s="89" t="str">
        <f>Registro!AI263</f>
        <v>c) Regular</v>
      </c>
      <c r="AO263" s="89" t="str">
        <f>Registro!AJ263</f>
        <v>c) Regular</v>
      </c>
      <c r="AP263" s="89" t="str">
        <f>Registro!AK263</f>
        <v>d) Mala</v>
      </c>
      <c r="AQ263" s="89" t="str">
        <f>Registro!AL263</f>
        <v>c) Regular</v>
      </c>
      <c r="AR263" s="89" t="str">
        <f>Registro!AM263</f>
        <v>a) Muy buena</v>
      </c>
      <c r="AS263" s="89" t="str">
        <f>Registro!AN263</f>
        <v>c) Regular</v>
      </c>
      <c r="AT263" s="89" t="str">
        <f>Registro!AO263</f>
        <v>d) Mala</v>
      </c>
      <c r="AU263" s="89" t="str">
        <f>Registro!AP263</f>
        <v>d) Mala</v>
      </c>
      <c r="AV263" s="89" t="str">
        <f>Registro!AQ263</f>
        <v>c) Regular</v>
      </c>
      <c r="AW263" s="89" t="str">
        <f>Registro!AR263</f>
        <v>f) la práctica religiosa</v>
      </c>
      <c r="AX263" s="89" t="str">
        <f>Registro!AS263</f>
        <v>b) Darme una buena educación</v>
      </c>
      <c r="AY263" s="89" t="str">
        <f>Registro!AT263</f>
        <v>c) Conveniente</v>
      </c>
      <c r="AZ263" s="89" t="str">
        <f>Registro!AU263</f>
        <v>b) Las veces que bebo, es con moderación</v>
      </c>
      <c r="BA263" s="89" t="str">
        <f>Registro!AV263</f>
        <v>a) Personas a las que tengo que aguantar</v>
      </c>
      <c r="BB263" s="89" t="str">
        <f>Registro!AW263</f>
        <v>b) Poco</v>
      </c>
      <c r="BC263" s="89" t="str">
        <f>Registro!AX263</f>
        <v>a) No me gustan en absoluto</v>
      </c>
      <c r="BD263" s="89" t="str">
        <f>Registro!AY263</f>
        <v>a) Mi padre, b) Mi madre, c) Un hermano/a</v>
      </c>
    </row>
    <row r="264" spans="1:56" ht="15" customHeight="1" x14ac:dyDescent="0.25">
      <c r="A264" s="101">
        <f>Registro!A264</f>
        <v>42099.351446759261</v>
      </c>
      <c r="B264" s="89" t="str">
        <f>Registro!B264</f>
        <v>a) Calasanz de Caracas</v>
      </c>
      <c r="C264" s="89" t="str">
        <f>Registro!C264</f>
        <v>a) Primer año</v>
      </c>
      <c r="D264" s="89" t="str">
        <f>Registro!D264</f>
        <v>a) Educación Inicial</v>
      </c>
      <c r="E264" s="89" t="str">
        <f>Registro!E264</f>
        <v>a) Masculino</v>
      </c>
      <c r="F264" s="89" t="str">
        <f>Registro!F264</f>
        <v>a) Católica</v>
      </c>
      <c r="G264" s="89" t="str">
        <f>Registro!G264</f>
        <v>a) Mamá, b) Papá</v>
      </c>
      <c r="H264" s="89" t="str">
        <f>Registro!H264</f>
        <v>c) Apartamento</v>
      </c>
      <c r="I264" s="89" t="str">
        <f>Registro!I264</f>
        <v>a) Sí</v>
      </c>
      <c r="J264" s="89" t="str">
        <f>Registro!J264</f>
        <v>a) Cónsola videojuegos, b) Lavadora, c) Microondas, d) TV pantalla plana, h) Carro, i) Computadora, j) Cámara digital</v>
      </c>
      <c r="K264" s="89" t="str">
        <f>Registro!K264</f>
        <v>b) Una</v>
      </c>
      <c r="L264" s="89" t="str">
        <f>Registro!L264</f>
        <v>a) La familia, b) Los amigos, g) La felicidad</v>
      </c>
      <c r="M264" s="94">
        <f t="shared" si="20"/>
        <v>3</v>
      </c>
      <c r="N264" s="89" t="str">
        <f>Registro!M264</f>
        <v>f) La situación política del país</v>
      </c>
      <c r="O264" s="89" t="str">
        <f>Registro!N264</f>
        <v>a) Mucho</v>
      </c>
      <c r="P264" s="89" t="str">
        <f>Registro!O264</f>
        <v>c) Poco</v>
      </c>
      <c r="Q264" s="89" t="str">
        <f>Registro!P264</f>
        <v>a) Mucho</v>
      </c>
      <c r="R264" s="89" t="str">
        <f>Registro!Q264</f>
        <v>c) Los estudios, d) El cuidado de mi cuerpo, e) Disponer de dinero</v>
      </c>
      <c r="S264" s="94">
        <f t="shared" si="21"/>
        <v>3</v>
      </c>
      <c r="T264" s="89" t="str">
        <f>Registro!R264</f>
        <v>b) Suficiente</v>
      </c>
      <c r="U264" s="89" t="str">
        <f>Registro!S264</f>
        <v>e) Los amigos, g) Mi familia, i) Los necesitados</v>
      </c>
      <c r="V264" s="89" t="str">
        <f>Registro!T264</f>
        <v>b) Rezo por costumbre</v>
      </c>
      <c r="W264" s="89" t="str">
        <f>Registro!U264</f>
        <v>c) Solo en fechas especiales</v>
      </c>
      <c r="X264" s="89" t="str">
        <f>Registro!V264</f>
        <v>c) Suelo ir los domingos y otras fechas especiales a la Iglesia, d) Suelo orar todos los días, f) En alguna ocasión he rezado el rosario, i) Tengo en mi cuarto alguna imagen religiosa</v>
      </c>
      <c r="Y264" s="89" t="str">
        <f>Registro!W264</f>
        <v>d) No pertenezco a ninguno</v>
      </c>
      <c r="Z264" s="89" t="str">
        <f>Registro!X264</f>
        <v>d) No pertenezco a grupos juveniles cristianos</v>
      </c>
      <c r="AA264" s="89" t="str">
        <f>Registro!Y264</f>
        <v>c) Algo</v>
      </c>
      <c r="AB264" s="89" t="str">
        <f>Registro!Z264</f>
        <v>b) No</v>
      </c>
      <c r="AC264" s="89" t="str">
        <f>Registro!AA264</f>
        <v>a) Medicina, h) Ciencias políticas</v>
      </c>
      <c r="AD264" s="94">
        <f t="shared" si="22"/>
        <v>2</v>
      </c>
      <c r="AE264" s="89" t="str">
        <f>Registro!AB264</f>
        <v>e) Servir a los demás</v>
      </c>
      <c r="AF264" s="89" t="str">
        <f>Registro!AC264</f>
        <v>c) Bastante</v>
      </c>
      <c r="AG264" s="89" t="str">
        <f>Registro!AD264</f>
        <v>g) La relación con los docentes, h) Las actividades extraescolares</v>
      </c>
      <c r="AH264" s="94">
        <f t="shared" si="23"/>
        <v>2</v>
      </c>
      <c r="AI264" s="89" t="str">
        <f>Registro!AE264</f>
        <v>c) 5 a 6 horas</v>
      </c>
      <c r="AJ264" s="89" t="str">
        <f>Registro!AF264</f>
        <v>a) Me divierto con juegos para computadoras, i) Leo revistas o libros, l) Escucho música y/o veo videos musicales</v>
      </c>
      <c r="AK264" s="94">
        <f t="shared" si="24"/>
        <v>3</v>
      </c>
      <c r="AL264" s="89" t="str">
        <f>Registro!AG264</f>
        <v>b) Bueno</v>
      </c>
      <c r="AM264" s="89" t="str">
        <f>Registro!AH264</f>
        <v>c) Regular</v>
      </c>
      <c r="AN264" s="89">
        <f>Registro!AI264</f>
        <v>0</v>
      </c>
      <c r="AO264" s="89" t="str">
        <f>Registro!AJ264</f>
        <v>c) Regular</v>
      </c>
      <c r="AP264" s="89" t="str">
        <f>Registro!AK264</f>
        <v>b) Buena</v>
      </c>
      <c r="AQ264" s="89" t="str">
        <f>Registro!AL264</f>
        <v>b) Buena</v>
      </c>
      <c r="AR264" s="89" t="str">
        <f>Registro!AM264</f>
        <v>c) Regular</v>
      </c>
      <c r="AS264" s="89" t="str">
        <f>Registro!AN264</f>
        <v>b) Buena</v>
      </c>
      <c r="AT264" s="89" t="str">
        <f>Registro!AO264</f>
        <v>d) Mala</v>
      </c>
      <c r="AU264" s="89" t="str">
        <f>Registro!AP264</f>
        <v>a) Muy buena</v>
      </c>
      <c r="AV264" s="89" t="str">
        <f>Registro!AQ264</f>
        <v>e) Muy mala</v>
      </c>
      <c r="AW264" s="89" t="str">
        <f>Registro!AR264</f>
        <v>h) La responsabilidad social y el servicio a los demás</v>
      </c>
      <c r="AX264" s="89" t="str">
        <f>Registro!AS264</f>
        <v>c) Que me preocupe de los demás</v>
      </c>
      <c r="AY264" s="89" t="str">
        <f>Registro!AT264</f>
        <v>c) Conveniente</v>
      </c>
      <c r="AZ264" s="89" t="str">
        <f>Registro!AU264</f>
        <v>a) No acostumbro a tomarlo nunca</v>
      </c>
      <c r="BA264" s="89" t="str">
        <f>Registro!AV264</f>
        <v>e) Educadores que se preocupan de nosotros</v>
      </c>
      <c r="BB264" s="89" t="str">
        <f>Registro!AW264</f>
        <v>c) Bastante</v>
      </c>
      <c r="BC264" s="89" t="str">
        <f>Registro!AX264</f>
        <v>d) Hay de todo tipo, pero predomina lo positivo</v>
      </c>
      <c r="BD264" s="89" t="str">
        <f>Registro!AY264</f>
        <v>a) Mi padre, b) Mi madre, g) Un amigo, h) Una amiga</v>
      </c>
    </row>
    <row r="265" spans="1:56" ht="15" customHeight="1" x14ac:dyDescent="0.25">
      <c r="A265" s="101">
        <f>Registro!A265</f>
        <v>42099.351643518516</v>
      </c>
      <c r="B265" s="89" t="str">
        <f>Registro!B265</f>
        <v>a) Calasanz de Caracas</v>
      </c>
      <c r="C265" s="89" t="str">
        <f>Registro!C265</f>
        <v>a) Primer año</v>
      </c>
      <c r="D265" s="89" t="str">
        <f>Registro!D265</f>
        <v>b) Primaria</v>
      </c>
      <c r="E265" s="89" t="str">
        <f>Registro!E265</f>
        <v>a) Masculino</v>
      </c>
      <c r="F265" s="89" t="str">
        <f>Registro!F265</f>
        <v>a) Católica</v>
      </c>
      <c r="G265" s="89" t="str">
        <f>Registro!G265</f>
        <v>a) Mamá, b) Papá, c) Hermanos</v>
      </c>
      <c r="H265" s="89" t="str">
        <f>Registro!H265</f>
        <v>c) Apartamento</v>
      </c>
      <c r="I265" s="89" t="str">
        <f>Registro!I265</f>
        <v>a) Sí</v>
      </c>
      <c r="J265" s="89" t="str">
        <f>Registro!J265</f>
        <v>a) Cónsola videojuegos, b) Lavadora, c) Microondas, d) TV pantalla plana, f) MP3, g) MP4, i) Computadora, j) Cámara digital</v>
      </c>
      <c r="K265" s="89" t="str">
        <f>Registro!K265</f>
        <v>c) Dos</v>
      </c>
      <c r="L265" s="89" t="str">
        <f>Registro!L265</f>
        <v>a) La familia, b) Los amigos, c) Los estudios</v>
      </c>
      <c r="M265" s="94">
        <f t="shared" si="20"/>
        <v>3</v>
      </c>
      <c r="N265" s="89" t="str">
        <f>Registro!M265</f>
        <v>g) Mis estudios</v>
      </c>
      <c r="O265" s="89" t="str">
        <f>Registro!N265</f>
        <v>b) Suficiente</v>
      </c>
      <c r="P265" s="89" t="str">
        <f>Registro!O265</f>
        <v>c) Poco</v>
      </c>
      <c r="Q265" s="89" t="str">
        <f>Registro!P265</f>
        <v>a) Mucho</v>
      </c>
      <c r="R265" s="89" t="str">
        <f>Registro!Q265</f>
        <v>c) Los estudios, d) El cuidado de mi cuerpo, j) El deporte</v>
      </c>
      <c r="S265" s="94">
        <f t="shared" si="21"/>
        <v>3</v>
      </c>
      <c r="T265" s="89" t="str">
        <f>Registro!R265</f>
        <v>a) Mucho</v>
      </c>
      <c r="U265" s="89" t="str">
        <f>Registro!S265</f>
        <v>a) La Iglesia, b) La naturaleza, d) Las convivencias, h) Algunas personas cercanas a Dios, i) Los necesitados, k) La oración, l) Los sacramentos</v>
      </c>
      <c r="V265" s="89" t="str">
        <f>Registro!T265</f>
        <v>b) Rezo por costumbre</v>
      </c>
      <c r="W265" s="89" t="str">
        <f>Registro!U265</f>
        <v>c) Solo en fechas especiales</v>
      </c>
      <c r="X265" s="89" t="str">
        <f>Registro!V265</f>
        <v>c) Suelo ir los domingos y otras fechas especiales a la Iglesia, e) Voy a misa en las fechas de mis familiares difuntos, f) En alguna ocasión he rezado el rosario, h) En Semana Santa asisto a las procesiones, i) Tengo en mi cuarto alguna imagen religiosa</v>
      </c>
      <c r="Y265" s="89" t="str">
        <f>Registro!W265</f>
        <v>a) Deportivo</v>
      </c>
      <c r="Z265" s="89" t="str">
        <f>Registro!X265</f>
        <v>d) No pertenezco a grupos juveniles cristianos</v>
      </c>
      <c r="AA265" s="89" t="str">
        <f>Registro!Y265</f>
        <v>b) No</v>
      </c>
      <c r="AB265" s="89" t="str">
        <f>Registro!Z265</f>
        <v>b) No</v>
      </c>
      <c r="AC265" s="89" t="str">
        <f>Registro!AA265</f>
        <v>a) Medicina, d) Ingeniería</v>
      </c>
      <c r="AD265" s="94">
        <f t="shared" si="22"/>
        <v>2</v>
      </c>
      <c r="AE265" s="89" t="str">
        <f>Registro!AB265</f>
        <v>c) Ser un excelente profesional</v>
      </c>
      <c r="AF265" s="89" t="str">
        <f>Registro!AC265</f>
        <v>b) Poco</v>
      </c>
      <c r="AG265" s="89" t="str">
        <f>Registro!AD265</f>
        <v>a) Los deportes y diversiones, g) La relación con los docentes</v>
      </c>
      <c r="AH265" s="94">
        <f t="shared" si="23"/>
        <v>2</v>
      </c>
      <c r="AI265" s="89" t="str">
        <f>Registro!AE265</f>
        <v>a) 0 a 2 horas</v>
      </c>
      <c r="AJ265" s="89" t="str">
        <f>Registro!AF265</f>
        <v>a) Me divierto con juegos para computadoras, d) Estoy la mayor parte del tiempo en la casa sin hacer nada, k) Practico algún deporte</v>
      </c>
      <c r="AK265" s="94">
        <f t="shared" si="24"/>
        <v>3</v>
      </c>
      <c r="AL265" s="89" t="str">
        <f>Registro!AG265</f>
        <v>c) Regular</v>
      </c>
      <c r="AM265" s="89" t="str">
        <f>Registro!AH265</f>
        <v>c) Regular</v>
      </c>
      <c r="AN265" s="89" t="str">
        <f>Registro!AI265</f>
        <v>f) No aplica</v>
      </c>
      <c r="AO265" s="89" t="str">
        <f>Registro!AJ265</f>
        <v>b) Buena</v>
      </c>
      <c r="AP265" s="89" t="str">
        <f>Registro!AK265</f>
        <v>b) Buena</v>
      </c>
      <c r="AQ265" s="89" t="str">
        <f>Registro!AL265</f>
        <v>b) Buena</v>
      </c>
      <c r="AR265" s="89" t="str">
        <f>Registro!AM265</f>
        <v>a) Muy buena</v>
      </c>
      <c r="AS265" s="89" t="str">
        <f>Registro!AN265</f>
        <v>b) Buena</v>
      </c>
      <c r="AT265" s="89" t="str">
        <f>Registro!AO265</f>
        <v>c) Regular</v>
      </c>
      <c r="AU265" s="89" t="str">
        <f>Registro!AP265</f>
        <v>b) Buena</v>
      </c>
      <c r="AV265" s="89" t="str">
        <f>Registro!AQ265</f>
        <v>b) Buena</v>
      </c>
      <c r="AW265" s="89" t="str">
        <f>Registro!AR265</f>
        <v>e) La disciplina y el orden</v>
      </c>
      <c r="AX265" s="89" t="str">
        <f>Registro!AS265</f>
        <v>a) Que sea un buen profesional</v>
      </c>
      <c r="AY265" s="89" t="str">
        <f>Registro!AT265</f>
        <v>e) Absolutamente necesaria</v>
      </c>
      <c r="AZ265" s="89" t="str">
        <f>Registro!AU265</f>
        <v>a) No acostumbro a tomarlo nunca</v>
      </c>
      <c r="BA265" s="89" t="str">
        <f>Registro!AV265</f>
        <v>e) Educadores que se preocupan de nosotros</v>
      </c>
      <c r="BB265" s="89" t="str">
        <f>Registro!AW265</f>
        <v>c) Bastante</v>
      </c>
      <c r="BC265" s="89" t="str">
        <f>Registro!AX265</f>
        <v>e) Son personas que me gustan y admiro</v>
      </c>
      <c r="BD265" s="89" t="str">
        <f>Registro!AY265</f>
        <v>a) Mi padre, b) Mi madre, e) Un, una docente, g) Un amigo</v>
      </c>
    </row>
    <row r="266" spans="1:56" ht="15" customHeight="1" x14ac:dyDescent="0.25">
      <c r="A266" s="101">
        <f>Registro!A266</f>
        <v>42099.351666666669</v>
      </c>
      <c r="B266" s="89" t="str">
        <f>Registro!B266</f>
        <v>a) Calasanz de Caracas</v>
      </c>
      <c r="C266" s="89" t="str">
        <f>Registro!C266</f>
        <v>a) Primer año</v>
      </c>
      <c r="D266" s="89" t="str">
        <f>Registro!D266</f>
        <v>a) Educación Inicial</v>
      </c>
      <c r="E266" s="89" t="str">
        <f>Registro!E266</f>
        <v>b) Femenino</v>
      </c>
      <c r="F266" s="89" t="str">
        <f>Registro!F266</f>
        <v>a) Católica</v>
      </c>
      <c r="G266" s="89" t="str">
        <f>Registro!G266</f>
        <v>a) Mamá, b) Papá, c) Hermanos, d) Abuelos, e) Otros familiares</v>
      </c>
      <c r="H266" s="89" t="str">
        <f>Registro!H266</f>
        <v>c) Apartamento</v>
      </c>
      <c r="I266" s="89" t="str">
        <f>Registro!I266</f>
        <v>c) Algo</v>
      </c>
      <c r="J266" s="89" t="str">
        <f>Registro!J266</f>
        <v>a) Cónsola videojuegos, b) Lavadora, c) Microondas, d) TV pantalla plana, h) Carro, j) Cámara digital, k) Aire acondicionado</v>
      </c>
      <c r="K266" s="89" t="str">
        <f>Registro!K266</f>
        <v>f) Más de cuatro</v>
      </c>
      <c r="L266" s="89" t="str">
        <f>Registro!L266</f>
        <v>a) La familia, c) Los estudios, k) El internet</v>
      </c>
      <c r="M266" s="94">
        <f t="shared" si="20"/>
        <v>3</v>
      </c>
      <c r="N266" s="89" t="str">
        <f>Registro!M266</f>
        <v>b) El futuro</v>
      </c>
      <c r="O266" s="89" t="str">
        <f>Registro!N266</f>
        <v>b) Suficiente</v>
      </c>
      <c r="P266" s="89" t="str">
        <f>Registro!O266</f>
        <v>b) Suficiente</v>
      </c>
      <c r="Q266" s="89" t="str">
        <f>Registro!P266</f>
        <v>a) Mucho</v>
      </c>
      <c r="R266" s="89" t="str">
        <f>Registro!Q266</f>
        <v>a) La familia, c) Los estudios, f) Mi fe y mi vida cristiana</v>
      </c>
      <c r="S266" s="94">
        <f t="shared" si="21"/>
        <v>3</v>
      </c>
      <c r="T266" s="89" t="str">
        <f>Registro!R266</f>
        <v>a) Mucho</v>
      </c>
      <c r="U266" s="89" t="str">
        <f>Registro!S266</f>
        <v>a) La Iglesia, b) La naturaleza, d) Las convivencias, g) Mi familia, h) Algunas personas cercanas a Dios, i) Los necesitados, k) La oración, l) Los sacramentos</v>
      </c>
      <c r="V266" s="89" t="str">
        <f>Registro!T266</f>
        <v>a) Suelo rezar por convicción o porque me gusta</v>
      </c>
      <c r="W266" s="89" t="str">
        <f>Registro!U266</f>
        <v>b) Algunos domingos</v>
      </c>
      <c r="X266" s="89" t="str">
        <f>Registro!V266</f>
        <v>c) Suelo ir los domingos y otras fechas especiales a la Iglesia, d) Suelo orar todos los días, e) Voy a misa en las fechas de mis familiares difuntos, g) En ocasiones, en mi casa tenemos una oración familiar, h) En Semana Santa asisto a las procesiones, i) Tengo en mi cuarto alguna imagen religiosa</v>
      </c>
      <c r="Y266" s="89" t="str">
        <f>Registro!W266</f>
        <v>d) No pertenezco a ninguno</v>
      </c>
      <c r="Z266" s="89" t="str">
        <f>Registro!X266</f>
        <v>a) Un grupo donde profundizo mi fe</v>
      </c>
      <c r="AA266" s="89" t="str">
        <f>Registro!Y266</f>
        <v>b) No</v>
      </c>
      <c r="AB266" s="89" t="str">
        <f>Registro!Z266</f>
        <v>b) No</v>
      </c>
      <c r="AC266" s="89" t="str">
        <f>Registro!AA266</f>
        <v>b) Docencia, c) Sacerdocio o hermana religiosa</v>
      </c>
      <c r="AD266" s="94">
        <f t="shared" si="22"/>
        <v>2</v>
      </c>
      <c r="AE266" s="89" t="str">
        <f>Registro!AB266</f>
        <v>b) Tener una buena posición social, ser importante</v>
      </c>
      <c r="AF266" s="89" t="str">
        <f>Registro!AC266</f>
        <v>b) Poco</v>
      </c>
      <c r="AG266" s="89" t="str">
        <f>Registro!AD266</f>
        <v>c) Las instalaciones del Colegio</v>
      </c>
      <c r="AH266" s="94">
        <f t="shared" si="23"/>
        <v>1</v>
      </c>
      <c r="AI266" s="89" t="str">
        <f>Registro!AE266</f>
        <v>c) 5 a 6 horas</v>
      </c>
      <c r="AJ266" s="89" t="str">
        <f>Registro!AF266</f>
        <v>b) Navego en Internet, e) Suelo ir a algún parque, m) Veo televisión y/o películas</v>
      </c>
      <c r="AK266" s="94">
        <f t="shared" si="24"/>
        <v>3</v>
      </c>
      <c r="AL266" s="89" t="str">
        <f>Registro!AG266</f>
        <v>b) Bueno</v>
      </c>
      <c r="AM266" s="89" t="str">
        <f>Registro!AH266</f>
        <v>f) No aplica</v>
      </c>
      <c r="AN266" s="89" t="str">
        <f>Registro!AI266</f>
        <v>f) No aplica</v>
      </c>
      <c r="AO266" s="89" t="str">
        <f>Registro!AJ266</f>
        <v>b) Buena</v>
      </c>
      <c r="AP266" s="89" t="str">
        <f>Registro!AK266</f>
        <v>b) Buena</v>
      </c>
      <c r="AQ266" s="89" t="str">
        <f>Registro!AL266</f>
        <v>b) Buena</v>
      </c>
      <c r="AR266" s="89" t="str">
        <f>Registro!AM266</f>
        <v>b) Buena</v>
      </c>
      <c r="AS266" s="89" t="str">
        <f>Registro!AN266</f>
        <v>b) Buena</v>
      </c>
      <c r="AT266" s="89" t="str">
        <f>Registro!AO266</f>
        <v>b) Buena</v>
      </c>
      <c r="AU266" s="89" t="str">
        <f>Registro!AP266</f>
        <v>c) Regular</v>
      </c>
      <c r="AV266" s="89" t="str">
        <f>Registro!AQ266</f>
        <v>b) Buena</v>
      </c>
      <c r="AW266" s="89" t="str">
        <f>Registro!AR266</f>
        <v>h) La responsabilidad social y el servicio a los demás</v>
      </c>
      <c r="AX266" s="89" t="str">
        <f>Registro!AS266</f>
        <v>b) Darme una buena educación</v>
      </c>
      <c r="AY266" s="89" t="str">
        <f>Registro!AT266</f>
        <v>e) Absolutamente necesaria</v>
      </c>
      <c r="AZ266" s="89" t="str">
        <f>Registro!AU266</f>
        <v>a) No acostumbro a tomarlo nunca</v>
      </c>
      <c r="BA266" s="89" t="str">
        <f>Registro!AV266</f>
        <v>b) Profesionales que no se preocupan de nosotros</v>
      </c>
      <c r="BB266" s="89" t="str">
        <f>Registro!AW266</f>
        <v>c) Bastante</v>
      </c>
      <c r="BC266" s="89" t="str">
        <f>Registro!AX266</f>
        <v>e) Son personas que me gustan y admiro</v>
      </c>
      <c r="BD266" s="89" t="str">
        <f>Registro!AY266</f>
        <v>a) Mi padre, b) Mi madre, c) Un hermano/a, h) Una amiga</v>
      </c>
    </row>
    <row r="267" spans="1:56" ht="15" customHeight="1" x14ac:dyDescent="0.25">
      <c r="A267" s="101">
        <f>Registro!A267</f>
        <v>42099.351747685185</v>
      </c>
      <c r="B267" s="89" t="str">
        <f>Registro!B267</f>
        <v>a) Calasanz de Caracas</v>
      </c>
      <c r="C267" s="89" t="str">
        <f>Registro!C267</f>
        <v>a) Primer año</v>
      </c>
      <c r="D267" s="89" t="str">
        <f>Registro!D267</f>
        <v>b) Primaria</v>
      </c>
      <c r="E267" s="89" t="str">
        <f>Registro!E267</f>
        <v>b) Femenino</v>
      </c>
      <c r="F267" s="89" t="str">
        <f>Registro!F267</f>
        <v>a) Católica</v>
      </c>
      <c r="G267" s="89" t="str">
        <f>Registro!G267</f>
        <v>d) Abuelos, e) Otros familiares</v>
      </c>
      <c r="H267" s="89" t="str">
        <f>Registro!H267</f>
        <v>c) Apartamento</v>
      </c>
      <c r="I267" s="89" t="str">
        <f>Registro!I267</f>
        <v>a) Sí</v>
      </c>
      <c r="J267" s="89" t="str">
        <f>Registro!J267</f>
        <v>b) Lavadora, d) TV pantalla plana, g) MP4, h) Carro, i) Computadora, j) Cámara digital</v>
      </c>
      <c r="K267" s="89" t="str">
        <f>Registro!K267</f>
        <v>b) Una</v>
      </c>
      <c r="L267" s="89" t="str">
        <f>Registro!L267</f>
        <v>a) La familia, b) Los amigos, c) Los estudios</v>
      </c>
      <c r="M267" s="94">
        <f t="shared" si="20"/>
        <v>3</v>
      </c>
      <c r="N267" s="89" t="str">
        <f>Registro!M267</f>
        <v>a) Seguridad personal (la violencia y la delincuencia)</v>
      </c>
      <c r="O267" s="89" t="str">
        <f>Registro!N267</f>
        <v>b) Suficiente</v>
      </c>
      <c r="P267" s="89" t="str">
        <f>Registro!O267</f>
        <v>a) Mucho</v>
      </c>
      <c r="Q267" s="89" t="str">
        <f>Registro!P267</f>
        <v>b) Suficiente</v>
      </c>
      <c r="R267" s="89" t="str">
        <f>Registro!Q267</f>
        <v>b) Los amigos, g) La felicidad, k) Internet</v>
      </c>
      <c r="S267" s="94">
        <f t="shared" si="21"/>
        <v>3</v>
      </c>
      <c r="T267" s="89" t="str">
        <f>Registro!R267</f>
        <v>a) Mucho</v>
      </c>
      <c r="U267" s="89" t="str">
        <f>Registro!S267</f>
        <v>a) La Iglesia, b) La naturaleza, c) El salón de clase, d) Las convivencias, g) Mi familia, k) La oración</v>
      </c>
      <c r="V267" s="89" t="str">
        <f>Registro!T267</f>
        <v>c) Rezo solo en situación de dificultad</v>
      </c>
      <c r="W267" s="89" t="str">
        <f>Registro!U267</f>
        <v>c) Solo en fechas especiales</v>
      </c>
      <c r="X267" s="89" t="str">
        <f>Registro!V267</f>
        <v>b) Suelo bendedir los alimentos antes de comer, f) En alguna ocasión he rezado el rosario, g) En ocasiones, en mi casa tenemos una oración familiar, h) En Semana Santa asisto a las procesiones, i) Tengo en mi cuarto alguna imagen religiosa</v>
      </c>
      <c r="Y267" s="89" t="str">
        <f>Registro!W267</f>
        <v>d) No pertenezco a ninguno</v>
      </c>
      <c r="Z267" s="89" t="str">
        <f>Registro!X267</f>
        <v>b) Un lugar donde comparto con mis compañeros</v>
      </c>
      <c r="AA267" s="89" t="str">
        <f>Registro!Y267</f>
        <v>b) No</v>
      </c>
      <c r="AB267" s="89" t="str">
        <f>Registro!Z267</f>
        <v>b) No</v>
      </c>
      <c r="AC267" s="89" t="str">
        <f>Registro!AA267</f>
        <v>a) Medicina, d) Ingeniería</v>
      </c>
      <c r="AD267" s="94">
        <f t="shared" si="22"/>
        <v>2</v>
      </c>
      <c r="AE267" s="89" t="str">
        <f>Registro!AB267</f>
        <v>c) Ser un excelente profesional</v>
      </c>
      <c r="AF267" s="89" t="str">
        <f>Registro!AC267</f>
        <v>b) Poco</v>
      </c>
      <c r="AG267" s="89" t="str">
        <f>Registro!AD267</f>
        <v>a) Los deportes y diversiones, b) El ambiente de estudio y de trabajo</v>
      </c>
      <c r="AH267" s="94">
        <f t="shared" si="23"/>
        <v>2</v>
      </c>
      <c r="AI267" s="89" t="str">
        <f>Registro!AE267</f>
        <v>b) 3 a 4 horas</v>
      </c>
      <c r="AJ267" s="89" t="str">
        <f>Registro!AF267</f>
        <v>b) Navego en Internet, f) Toco un instrumento musical, h) Suelo ir al cine</v>
      </c>
      <c r="AK267" s="94">
        <f t="shared" si="24"/>
        <v>3</v>
      </c>
      <c r="AL267" s="89" t="str">
        <f>Registro!AG267</f>
        <v>b) Bueno</v>
      </c>
      <c r="AM267" s="89" t="str">
        <f>Registro!AH267</f>
        <v>b) Buena</v>
      </c>
      <c r="AN267" s="89" t="str">
        <f>Registro!AI267</f>
        <v>b) Buena</v>
      </c>
      <c r="AO267" s="89" t="str">
        <f>Registro!AJ267</f>
        <v>b) Buena</v>
      </c>
      <c r="AP267" s="89" t="str">
        <f>Registro!AK267</f>
        <v>a) Muy buena</v>
      </c>
      <c r="AQ267" s="89" t="str">
        <f>Registro!AL267</f>
        <v>a) Muy buena</v>
      </c>
      <c r="AR267" s="89" t="str">
        <f>Registro!AM267</f>
        <v>a) Muy buena</v>
      </c>
      <c r="AS267" s="89" t="str">
        <f>Registro!AN267</f>
        <v>b) Buena</v>
      </c>
      <c r="AT267" s="89" t="str">
        <f>Registro!AO267</f>
        <v>b) Buena</v>
      </c>
      <c r="AU267" s="89" t="str">
        <f>Registro!AP267</f>
        <v>b) Buena</v>
      </c>
      <c r="AV267" s="89" t="str">
        <f>Registro!AQ267</f>
        <v>c) Regular</v>
      </c>
      <c r="AW267" s="89" t="str">
        <f>Registro!AR267</f>
        <v>c) El estudio</v>
      </c>
      <c r="AX267" s="89" t="str">
        <f>Registro!AS267</f>
        <v>b) Darme una buena educación</v>
      </c>
      <c r="AY267" s="89" t="str">
        <f>Registro!AT267</f>
        <v>d) Bastante necesaria</v>
      </c>
      <c r="AZ267" s="89" t="str">
        <f>Registro!AU267</f>
        <v>b) Las veces que bebo, es con moderación</v>
      </c>
      <c r="BA267" s="89" t="str">
        <f>Registro!AV267</f>
        <v>e) Educadores que se preocupan de nosotros</v>
      </c>
      <c r="BB267" s="89" t="str">
        <f>Registro!AW267</f>
        <v>c) Bastante</v>
      </c>
      <c r="BC267" s="89" t="str">
        <f>Registro!AX267</f>
        <v>c) Son personas normales y corrientes</v>
      </c>
      <c r="BD267" s="89" t="str">
        <f>Registro!AY267</f>
        <v>a) Mi padre, b) Mi madre, e) Un, una docente, h) Una amiga</v>
      </c>
    </row>
    <row r="268" spans="1:56" ht="15" customHeight="1" x14ac:dyDescent="0.25">
      <c r="A268" s="101">
        <f>Registro!A268</f>
        <v>42099.35193287037</v>
      </c>
      <c r="B268" s="89" t="str">
        <f>Registro!B268</f>
        <v>a) Calasanz de Caracas</v>
      </c>
      <c r="C268" s="89" t="str">
        <f>Registro!C268</f>
        <v>a) Primer año</v>
      </c>
      <c r="D268" s="89" t="str">
        <f>Registro!D268</f>
        <v>a) Educación Inicial</v>
      </c>
      <c r="E268" s="89" t="str">
        <f>Registro!E268</f>
        <v>b) Femenino</v>
      </c>
      <c r="F268" s="89" t="str">
        <f>Registro!F268</f>
        <v>a) Católica</v>
      </c>
      <c r="G268" s="89" t="str">
        <f>Registro!G268</f>
        <v>a) Mamá, b) Papá, c) Hermanos, d) Abuelos, e) Otros familiares</v>
      </c>
      <c r="H268" s="89" t="str">
        <f>Registro!H268</f>
        <v>c) Apartamento</v>
      </c>
      <c r="I268" s="89" t="str">
        <f>Registro!I268</f>
        <v>c) Algo</v>
      </c>
      <c r="J268" s="89" t="str">
        <f>Registro!J268</f>
        <v>a) Cónsola videojuegos, b) Lavadora, c) Microondas, d) TV pantalla plana, h) Carro, j) Cámara digital, k) Aire acondicionado</v>
      </c>
      <c r="K268" s="89" t="str">
        <f>Registro!K268</f>
        <v>f) Más de cuatro</v>
      </c>
      <c r="L268" s="89" t="str">
        <f>Registro!L268</f>
        <v>a) La familia, c) Los estudios, k) El internet</v>
      </c>
      <c r="M268" s="94">
        <f t="shared" si="20"/>
        <v>3</v>
      </c>
      <c r="N268" s="89" t="str">
        <f>Registro!M268</f>
        <v>b) El futuro</v>
      </c>
      <c r="O268" s="89" t="str">
        <f>Registro!N268</f>
        <v>b) Suficiente</v>
      </c>
      <c r="P268" s="89" t="str">
        <f>Registro!O268</f>
        <v>b) Suficiente</v>
      </c>
      <c r="Q268" s="89" t="str">
        <f>Registro!P268</f>
        <v>a) Mucho</v>
      </c>
      <c r="R268" s="89" t="str">
        <f>Registro!Q268</f>
        <v>a) La familia, c) Los estudios, f) Mi fe y mi vida cristiana</v>
      </c>
      <c r="S268" s="94">
        <f t="shared" si="21"/>
        <v>3</v>
      </c>
      <c r="T268" s="89" t="str">
        <f>Registro!R268</f>
        <v>a) Mucho</v>
      </c>
      <c r="U268" s="89" t="str">
        <f>Registro!S268</f>
        <v>a) La Iglesia, b) La naturaleza, d) Las convivencias, g) Mi familia, h) Algunas personas cercanas a Dios, i) Los necesitados, k) La oración, l) Los sacramentos</v>
      </c>
      <c r="V268" s="89" t="str">
        <f>Registro!T268</f>
        <v>a) Suelo rezar por convicción o porque me gusta</v>
      </c>
      <c r="W268" s="89" t="str">
        <f>Registro!U268</f>
        <v>b) Algunos domingos</v>
      </c>
      <c r="X268" s="89" t="str">
        <f>Registro!V268</f>
        <v>c) Suelo ir los domingos y otras fechas especiales a la Iglesia, d) Suelo orar todos los días, e) Voy a misa en las fechas de mis familiares difuntos, g) En ocasiones, en mi casa tenemos una oración familiar, h) En Semana Santa asisto a las procesiones, i) Tengo en mi cuarto alguna imagen religiosa</v>
      </c>
      <c r="Y268" s="89" t="str">
        <f>Registro!W268</f>
        <v>d) No pertenezco a ninguno</v>
      </c>
      <c r="Z268" s="89" t="str">
        <f>Registro!X268</f>
        <v>a) Un grupo donde profundizo mi fe</v>
      </c>
      <c r="AA268" s="89" t="str">
        <f>Registro!Y268</f>
        <v>b) No</v>
      </c>
      <c r="AB268" s="89" t="str">
        <f>Registro!Z268</f>
        <v>b) No</v>
      </c>
      <c r="AC268" s="89" t="str">
        <f>Registro!AA268</f>
        <v>b) Docencia, c) Sacerdocio o hermana religiosa</v>
      </c>
      <c r="AD268" s="94">
        <f t="shared" si="22"/>
        <v>2</v>
      </c>
      <c r="AE268" s="89" t="str">
        <f>Registro!AB268</f>
        <v>b) Tener una buena posición social, ser importante</v>
      </c>
      <c r="AF268" s="89" t="str">
        <f>Registro!AC268</f>
        <v>b) Poco</v>
      </c>
      <c r="AG268" s="89" t="str">
        <f>Registro!AD268</f>
        <v>c) Las instalaciones del Colegio</v>
      </c>
      <c r="AH268" s="94">
        <f t="shared" si="23"/>
        <v>1</v>
      </c>
      <c r="AI268" s="89" t="str">
        <f>Registro!AE268</f>
        <v>c) 5 a 6 horas</v>
      </c>
      <c r="AJ268" s="89" t="str">
        <f>Registro!AF268</f>
        <v>b) Navego en Internet, e) Suelo ir a algún parque, m) Veo televisión y/o películas</v>
      </c>
      <c r="AK268" s="94">
        <f t="shared" si="24"/>
        <v>3</v>
      </c>
      <c r="AL268" s="89" t="str">
        <f>Registro!AG268</f>
        <v>b) Bueno</v>
      </c>
      <c r="AM268" s="89" t="str">
        <f>Registro!AH268</f>
        <v>f) No aplica</v>
      </c>
      <c r="AN268" s="89" t="str">
        <f>Registro!AI268</f>
        <v>f) No aplica</v>
      </c>
      <c r="AO268" s="89" t="str">
        <f>Registro!AJ268</f>
        <v>b) Buena</v>
      </c>
      <c r="AP268" s="89" t="str">
        <f>Registro!AK268</f>
        <v>b) Buena</v>
      </c>
      <c r="AQ268" s="89" t="str">
        <f>Registro!AL268</f>
        <v>b) Buena</v>
      </c>
      <c r="AR268" s="89" t="str">
        <f>Registro!AM268</f>
        <v>b) Buena</v>
      </c>
      <c r="AS268" s="89" t="str">
        <f>Registro!AN268</f>
        <v>b) Buena</v>
      </c>
      <c r="AT268" s="89" t="str">
        <f>Registro!AO268</f>
        <v>b) Buena</v>
      </c>
      <c r="AU268" s="89" t="str">
        <f>Registro!AP268</f>
        <v>c) Regular</v>
      </c>
      <c r="AV268" s="89" t="str">
        <f>Registro!AQ268</f>
        <v>b) Buena</v>
      </c>
      <c r="AW268" s="89" t="str">
        <f>Registro!AR268</f>
        <v>h) La responsabilidad social y el servicio a los demás</v>
      </c>
      <c r="AX268" s="89" t="str">
        <f>Registro!AS268</f>
        <v>b) Darme una buena educación</v>
      </c>
      <c r="AY268" s="89" t="str">
        <f>Registro!AT268</f>
        <v>e) Absolutamente necesaria</v>
      </c>
      <c r="AZ268" s="89" t="str">
        <f>Registro!AU268</f>
        <v>a) No acostumbro a tomarlo nunca</v>
      </c>
      <c r="BA268" s="89" t="str">
        <f>Registro!AV268</f>
        <v>b) Profesionales que no se preocupan de nosotros</v>
      </c>
      <c r="BB268" s="89" t="str">
        <f>Registro!AW268</f>
        <v>c) Bastante</v>
      </c>
      <c r="BC268" s="89" t="str">
        <f>Registro!AX268</f>
        <v>e) Son personas que me gustan y admiro</v>
      </c>
      <c r="BD268" s="89" t="str">
        <f>Registro!AY268</f>
        <v>a) Mi padre, b) Mi madre, c) Un hermano/a, h) Una amiga</v>
      </c>
    </row>
    <row r="269" spans="1:56" ht="15" customHeight="1" x14ac:dyDescent="0.25">
      <c r="A269" s="101">
        <f>Registro!A269</f>
        <v>42099.354513888888</v>
      </c>
      <c r="B269" s="89" t="str">
        <f>Registro!B269</f>
        <v>a) Calasanz de Caracas</v>
      </c>
      <c r="C269" s="89" t="str">
        <f>Registro!C269</f>
        <v>a) Primer año</v>
      </c>
      <c r="D269" s="89" t="str">
        <f>Registro!D269</f>
        <v>a) Educación Inicial</v>
      </c>
      <c r="E269" s="89" t="str">
        <f>Registro!E269</f>
        <v>b) Femenino</v>
      </c>
      <c r="F269" s="89" t="str">
        <f>Registro!F269</f>
        <v>a) Católica</v>
      </c>
      <c r="G269" s="89" t="str">
        <f>Registro!G269</f>
        <v>a) Mamá, b) Papá, c) Hermanos</v>
      </c>
      <c r="H269" s="89" t="str">
        <f>Registro!H269</f>
        <v>d) Casa Rural</v>
      </c>
      <c r="I269" s="89" t="str">
        <f>Registro!I269</f>
        <v>a) Sí</v>
      </c>
      <c r="J269" s="89" t="str">
        <f>Registro!J269</f>
        <v>a) Cónsola videojuegos, b) Lavadora, c) Microondas, d) TV pantalla plana, f) MP3, h) Carro, i) Computadora</v>
      </c>
      <c r="K269" s="89">
        <f>Registro!K269</f>
        <v>0</v>
      </c>
      <c r="L269" s="89" t="str">
        <f>Registro!L269</f>
        <v>a) La familia, b) Los amigos, c) Los estudios</v>
      </c>
      <c r="M269" s="94">
        <f t="shared" si="20"/>
        <v>3</v>
      </c>
      <c r="N269" s="89" t="str">
        <f>Registro!M269</f>
        <v>b) El futuro</v>
      </c>
      <c r="O269" s="89" t="str">
        <f>Registro!N269</f>
        <v>a) Mucho</v>
      </c>
      <c r="P269" s="89" t="str">
        <f>Registro!O269</f>
        <v>b) Suficiente</v>
      </c>
      <c r="Q269" s="89" t="str">
        <f>Registro!P269</f>
        <v>c) Poco</v>
      </c>
      <c r="R269" s="89" t="str">
        <f>Registro!Q269</f>
        <v>a) La familia, c) Los estudios, f) Mi fe y mi vida cristiana</v>
      </c>
      <c r="S269" s="94">
        <f t="shared" si="21"/>
        <v>3</v>
      </c>
      <c r="T269" s="89" t="str">
        <f>Registro!R269</f>
        <v>a) Mucho</v>
      </c>
      <c r="U269" s="89" t="str">
        <f>Registro!S269</f>
        <v>a) La Iglesia, b) La naturaleza, c) El salón de clase, d) Las convivencias, e) Los amigos, f) Todas las personas, g) Mi familia, h) Algunas personas cercanas a Dios, i) Los necesitados, j) Todas partes, k) La oración, l) Los sacramentos</v>
      </c>
      <c r="V269" s="89" t="str">
        <f>Registro!T269</f>
        <v>b) Rezo por costumbre</v>
      </c>
      <c r="W269" s="89" t="str">
        <f>Registro!U269</f>
        <v>c) Solo en fechas especiales</v>
      </c>
      <c r="X269" s="89" t="str">
        <f>Registro!V269</f>
        <v>a) Suelo llevar una cruz o algún objeto religioso, c) Suelo ir los domingos y otras fechas especiales a la Iglesia, e) Voy a misa en las fechas de mis familiares difuntos, h) En Semana Santa asisto a las procesiones, i) Tengo en mi cuarto alguna imagen religiosa</v>
      </c>
      <c r="Y269" s="89" t="str">
        <f>Registro!W269</f>
        <v>c) Religioso o parroquial</v>
      </c>
      <c r="Z269" s="89" t="str">
        <f>Registro!X269</f>
        <v>b) Un lugar donde comparto con mis compañeros</v>
      </c>
      <c r="AA269" s="89" t="str">
        <f>Registro!Y269</f>
        <v>b) No</v>
      </c>
      <c r="AB269" s="89" t="str">
        <f>Registro!Z269</f>
        <v>b) No</v>
      </c>
      <c r="AC269" s="89" t="str">
        <f>Registro!AA269</f>
        <v>a) Medicina, i) Comerciante</v>
      </c>
      <c r="AD269" s="94">
        <f t="shared" si="22"/>
        <v>2</v>
      </c>
      <c r="AE269" s="89" t="str">
        <f>Registro!AB269</f>
        <v>c) Ser un excelente profesional</v>
      </c>
      <c r="AF269" s="89" t="str">
        <f>Registro!AC269</f>
        <v>a) No, en absoluto</v>
      </c>
      <c r="AG269" s="89" t="str">
        <f>Registro!AD269</f>
        <v>b) El ambiente de estudio y de trabajo, h) Las actividades extraescolares</v>
      </c>
      <c r="AH269" s="94">
        <f t="shared" si="23"/>
        <v>2</v>
      </c>
      <c r="AI269" s="89" t="str">
        <f>Registro!AE269</f>
        <v>d) 7 a 8 horas</v>
      </c>
      <c r="AJ269" s="89" t="str">
        <f>Registro!AF269</f>
        <v>b) Navego en Internet, l) Escucho música y/o veo videos musicales, m) Veo televisión y/o películas</v>
      </c>
      <c r="AK269" s="94">
        <f t="shared" si="24"/>
        <v>3</v>
      </c>
      <c r="AL269" s="89" t="str">
        <f>Registro!AG269</f>
        <v>b) Bueno</v>
      </c>
      <c r="AM269" s="89" t="str">
        <f>Registro!AH269</f>
        <v>a) Muy buena</v>
      </c>
      <c r="AN269" s="89" t="str">
        <f>Registro!AI269</f>
        <v>a) Muy buena</v>
      </c>
      <c r="AO269" s="89" t="str">
        <f>Registro!AJ269</f>
        <v>b) Buena</v>
      </c>
      <c r="AP269" s="89" t="str">
        <f>Registro!AK269</f>
        <v>b) Buena</v>
      </c>
      <c r="AQ269" s="89" t="str">
        <f>Registro!AL269</f>
        <v>a) Muy buena</v>
      </c>
      <c r="AR269" s="89" t="str">
        <f>Registro!AM269</f>
        <v>b) Buena</v>
      </c>
      <c r="AS269" s="89" t="str">
        <f>Registro!AN269</f>
        <v>c) Regular</v>
      </c>
      <c r="AT269" s="89" t="str">
        <f>Registro!AO269</f>
        <v>b) Buena</v>
      </c>
      <c r="AU269" s="89" t="str">
        <f>Registro!AP269</f>
        <v>a) Muy buena</v>
      </c>
      <c r="AV269" s="89" t="str">
        <f>Registro!AQ269</f>
        <v>b) Buena</v>
      </c>
      <c r="AW269" s="89" t="str">
        <f>Registro!AR269</f>
        <v>h) La responsabilidad social y el servicio a los demás</v>
      </c>
      <c r="AX269" s="89" t="str">
        <f>Registro!AS269</f>
        <v>a) Que sea un buen profesional</v>
      </c>
      <c r="AY269" s="89" t="str">
        <f>Registro!AT269</f>
        <v>d) Bastante necesaria</v>
      </c>
      <c r="AZ269" s="89" t="str">
        <f>Registro!AU269</f>
        <v>a) No acostumbro a tomarlo nunca</v>
      </c>
      <c r="BA269" s="89" t="str">
        <f>Registro!AV269</f>
        <v>d) Buenos profesionales de la educación</v>
      </c>
      <c r="BB269" s="89" t="str">
        <f>Registro!AW269</f>
        <v>c) Bastante</v>
      </c>
      <c r="BC269" s="89" t="str">
        <f>Registro!AX269</f>
        <v>e) Son personas que me gustan y admiro</v>
      </c>
      <c r="BD269" s="89" t="str">
        <f>Registro!AY269</f>
        <v>a) Mi padre, b) Mi madre, e) Un, una docente, f) La orientadora, h) Una amiga, i) Un, una catequista o responsable de grupo</v>
      </c>
    </row>
    <row r="270" spans="1:56" ht="15" customHeight="1" x14ac:dyDescent="0.25">
      <c r="A270" s="101">
        <f>Registro!A270</f>
        <v>42099.355219907404</v>
      </c>
      <c r="B270" s="89" t="str">
        <f>Registro!B270</f>
        <v>a) Calasanz de Caracas</v>
      </c>
      <c r="C270" s="89" t="str">
        <f>Registro!C270</f>
        <v>a) Primer año</v>
      </c>
      <c r="D270" s="89" t="str">
        <f>Registro!D270</f>
        <v>b) Primaria</v>
      </c>
      <c r="E270" s="89" t="str">
        <f>Registro!E270</f>
        <v>a) Masculino</v>
      </c>
      <c r="F270" s="89" t="str">
        <f>Registro!F270</f>
        <v>a) Católica</v>
      </c>
      <c r="G270" s="89" t="str">
        <f>Registro!G270</f>
        <v>a) Mamá, b) Papá, c) Hermanos</v>
      </c>
      <c r="H270" s="89" t="str">
        <f>Registro!H270</f>
        <v>c) Apartamento</v>
      </c>
      <c r="I270" s="89" t="str">
        <f>Registro!I270</f>
        <v>c) Algo</v>
      </c>
      <c r="J270" s="89" t="str">
        <f>Registro!J270</f>
        <v>a) Cónsola videojuegos, b) Lavadora, c) Microondas, d) TV pantalla plana, f) MP3, g) MP4, h) Carro, i) Computadora, j) Cámara digital, k) Aire acondicionado</v>
      </c>
      <c r="K270" s="89" t="str">
        <f>Registro!K270</f>
        <v>d) Tres</v>
      </c>
      <c r="L270" s="89"/>
      <c r="M270" s="94">
        <f t="shared" si="20"/>
        <v>0</v>
      </c>
      <c r="N270" s="89" t="str">
        <f>Registro!M270</f>
        <v>b) El futuro</v>
      </c>
      <c r="O270" s="89" t="str">
        <f>Registro!N270</f>
        <v>b) Suficiente</v>
      </c>
      <c r="P270" s="89" t="str">
        <f>Registro!O270</f>
        <v>a) Mucho</v>
      </c>
      <c r="Q270" s="89" t="str">
        <f>Registro!P270</f>
        <v>b) Suficiente</v>
      </c>
      <c r="R270" s="89"/>
      <c r="S270" s="94">
        <f t="shared" si="21"/>
        <v>0</v>
      </c>
      <c r="T270" s="89" t="str">
        <f>Registro!R270</f>
        <v>b) Suficiente</v>
      </c>
      <c r="U270" s="89" t="str">
        <f>Registro!S270</f>
        <v>b) La naturaleza</v>
      </c>
      <c r="V270" s="89" t="str">
        <f>Registro!T270</f>
        <v>d) No rezo nunca</v>
      </c>
      <c r="W270" s="89" t="str">
        <f>Registro!U270</f>
        <v>d) Nunca</v>
      </c>
      <c r="X270" s="89" t="str">
        <f>Registro!V270</f>
        <v>g) En ocasiones, en mi casa tenemos una oración familiar</v>
      </c>
      <c r="Y270" s="89" t="str">
        <f>Registro!W270</f>
        <v>c) Religioso o parroquial</v>
      </c>
      <c r="Z270" s="89" t="str">
        <f>Registro!X270</f>
        <v>b) Un lugar donde comparto con mis compañeros</v>
      </c>
      <c r="AA270" s="89" t="str">
        <f>Registro!Y270</f>
        <v>b) No</v>
      </c>
      <c r="AB270" s="89" t="str">
        <f>Registro!Z270</f>
        <v>b) No</v>
      </c>
      <c r="AC270" s="89" t="str">
        <f>Registro!AA270</f>
        <v>a) Medicina, b) Docencia</v>
      </c>
      <c r="AD270" s="94">
        <f t="shared" si="22"/>
        <v>2</v>
      </c>
      <c r="AE270" s="89" t="str">
        <f>Registro!AB270</f>
        <v>b) Tener una buena posición social, ser importante</v>
      </c>
      <c r="AF270" s="89" t="str">
        <f>Registro!AC270</f>
        <v>a) No, en absoluto</v>
      </c>
      <c r="AG270" s="89" t="str">
        <f>Registro!AD270</f>
        <v>b) El ambiente de estudio y de trabajo, d) Los grupos juveniles cristianos</v>
      </c>
      <c r="AH270" s="94">
        <f t="shared" si="23"/>
        <v>2</v>
      </c>
      <c r="AI270" s="89" t="str">
        <f>Registro!AE270</f>
        <v>f) 11 o más horas</v>
      </c>
      <c r="AJ270" s="89" t="str">
        <f>Registro!AF270</f>
        <v>a) Me divierto con juegos para computadoras, b) Navego en Internet, i) Leo revistas o libros</v>
      </c>
      <c r="AK270" s="94">
        <f t="shared" si="24"/>
        <v>3</v>
      </c>
      <c r="AL270" s="89" t="str">
        <f>Registro!AG270</f>
        <v>a) Muy bueno</v>
      </c>
      <c r="AM270" s="89" t="str">
        <f>Registro!AH270</f>
        <v>c) Regular</v>
      </c>
      <c r="AN270" s="89" t="str">
        <f>Registro!AI270</f>
        <v>f) No aplica</v>
      </c>
      <c r="AO270" s="89" t="str">
        <f>Registro!AJ270</f>
        <v>a) Muy buena</v>
      </c>
      <c r="AP270" s="89" t="str">
        <f>Registro!AK270</f>
        <v>b) Buena</v>
      </c>
      <c r="AQ270" s="89" t="str">
        <f>Registro!AL270</f>
        <v>b) Buena</v>
      </c>
      <c r="AR270" s="89" t="str">
        <f>Registro!AM270</f>
        <v>e) Muy mala</v>
      </c>
      <c r="AS270" s="89" t="str">
        <f>Registro!AN270</f>
        <v>a) Muy buena</v>
      </c>
      <c r="AT270" s="89" t="str">
        <f>Registro!AO270</f>
        <v>a) Muy buena</v>
      </c>
      <c r="AU270" s="89" t="str">
        <f>Registro!AP270</f>
        <v>a) Muy buena</v>
      </c>
      <c r="AV270" s="89" t="str">
        <f>Registro!AQ270</f>
        <v>a) Muy buena</v>
      </c>
      <c r="AW270" s="89" t="str">
        <f>Registro!AR270</f>
        <v>g) La orientación profesional futura</v>
      </c>
      <c r="AX270" s="89" t="str">
        <f>Registro!AS270</f>
        <v>a) Que sea un buen profesional</v>
      </c>
      <c r="AY270" s="89" t="str">
        <f>Registro!AT270</f>
        <v>a) Innecesaria</v>
      </c>
      <c r="AZ270" s="89" t="str">
        <f>Registro!AU270</f>
        <v>b) Las veces que bebo, es con moderación</v>
      </c>
      <c r="BA270" s="89" t="str">
        <f>Registro!AV270</f>
        <v>a) Personas a las que tengo que aguantar</v>
      </c>
      <c r="BB270" s="89" t="str">
        <f>Registro!AW270</f>
        <v>a) No, en absoluto</v>
      </c>
      <c r="BC270" s="89" t="str">
        <f>Registro!AX270</f>
        <v>e) Son personas que me gustan y admiro</v>
      </c>
      <c r="BD270" s="89" t="str">
        <f>Registro!AY270</f>
        <v>b) Mi madre, c) Un hermano/a, d) Un escolapio, religioso o religiosa, g) Un amigo, h) Una amiga, i) Un, una catequista o responsable de grupo</v>
      </c>
    </row>
    <row r="271" spans="1:56" ht="15" customHeight="1" x14ac:dyDescent="0.25">
      <c r="A271" s="101">
        <f>Registro!A271</f>
        <v>42099.356180555558</v>
      </c>
      <c r="B271" s="89" t="str">
        <f>Registro!B271</f>
        <v>a) Calasanz de Caracas</v>
      </c>
      <c r="C271" s="89" t="str">
        <f>Registro!C271</f>
        <v>a) Primer año</v>
      </c>
      <c r="D271" s="89" t="str">
        <f>Registro!D271</f>
        <v>a) Educación Inicial</v>
      </c>
      <c r="E271" s="89" t="str">
        <f>Registro!E271</f>
        <v>b) Femenino</v>
      </c>
      <c r="F271" s="89" t="str">
        <f>Registro!F271</f>
        <v>a) Católica</v>
      </c>
      <c r="G271" s="89" t="str">
        <f>Registro!G271</f>
        <v>a) Mamá, b) Papá, c) Hermanos, d) Abuelos</v>
      </c>
      <c r="H271" s="89">
        <f>Registro!H271</f>
        <v>0</v>
      </c>
      <c r="I271" s="89" t="str">
        <f>Registro!I271</f>
        <v>a) Sí</v>
      </c>
      <c r="J271" s="89" t="str">
        <f>Registro!J271</f>
        <v>a) Cónsola videojuegos, b) Lavadora, c) Microondas, d) TV pantalla plana, h) Carro, i) Computadora</v>
      </c>
      <c r="K271" s="89" t="str">
        <f>Registro!K271</f>
        <v>c) Dos</v>
      </c>
      <c r="L271" s="89" t="str">
        <f>Registro!L271</f>
        <v>a) La familia, c) Los estudios, f) Mi fe y vida cristiana</v>
      </c>
      <c r="M271" s="94">
        <f t="shared" si="20"/>
        <v>3</v>
      </c>
      <c r="N271" s="89" t="str">
        <f>Registro!M271</f>
        <v>b) El futuro</v>
      </c>
      <c r="O271" s="89" t="str">
        <f>Registro!N271</f>
        <v>b) Suficiente</v>
      </c>
      <c r="P271" s="89" t="str">
        <f>Registro!O271</f>
        <v>b) Suficiente</v>
      </c>
      <c r="Q271" s="89" t="str">
        <f>Registro!P271</f>
        <v>a) Mucho</v>
      </c>
      <c r="R271" s="89" t="str">
        <f>Registro!Q271</f>
        <v>a) La familia, c) Los estudios, d) El cuidado de mi cuerpo</v>
      </c>
      <c r="S271" s="94">
        <f t="shared" si="21"/>
        <v>3</v>
      </c>
      <c r="T271" s="89" t="str">
        <f>Registro!R271</f>
        <v>a) Mucho</v>
      </c>
      <c r="U271" s="89" t="str">
        <f>Registro!S271</f>
        <v>a) La Iglesia, b) La naturaleza, d) Las convivencias, g) Mi familia, k) La oración, l) Los sacramentos</v>
      </c>
      <c r="V271" s="89" t="str">
        <f>Registro!T271</f>
        <v>a) Suelo rezar por convicción o porque me gusta</v>
      </c>
      <c r="W271" s="89" t="str">
        <f>Registro!U271</f>
        <v>b) Algunos domingos</v>
      </c>
      <c r="X271" s="89" t="str">
        <f>Registro!V271</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271" s="89" t="str">
        <f>Registro!W271</f>
        <v>b) Cultural (folklórico, musicales, danzas, scout, banda marcial,...) , c) Religioso o parroquial</v>
      </c>
      <c r="Z271" s="89" t="str">
        <f>Registro!X271</f>
        <v>d) No pertenezco a grupos juveniles cristianos</v>
      </c>
      <c r="AA271" s="89" t="str">
        <f>Registro!Y271</f>
        <v>b) No</v>
      </c>
      <c r="AB271" s="89" t="str">
        <f>Registro!Z271</f>
        <v>b) No</v>
      </c>
      <c r="AC271" s="89" t="str">
        <f>Registro!AA271</f>
        <v>a) Medicina, g) Artista</v>
      </c>
      <c r="AD271" s="94">
        <f t="shared" si="22"/>
        <v>2</v>
      </c>
      <c r="AE271" s="89" t="str">
        <f>Registro!AB271</f>
        <v>c) Ser un excelente profesional</v>
      </c>
      <c r="AF271" s="89" t="str">
        <f>Registro!AC271</f>
        <v>b) Poco</v>
      </c>
      <c r="AG271" s="89" t="str">
        <f>Registro!AD271</f>
        <v>c) Las instalaciones del Colegio, g) La relación con los docentes</v>
      </c>
      <c r="AH271" s="94">
        <f t="shared" si="23"/>
        <v>2</v>
      </c>
      <c r="AI271" s="89" t="str">
        <f>Registro!AE271</f>
        <v>b) 3 a 4 horas</v>
      </c>
      <c r="AJ271" s="89" t="str">
        <f>Registro!AF271</f>
        <v>b) Navego en Internet, i) Leo revistas o libros, l) Escucho música y/o veo videos musicales</v>
      </c>
      <c r="AK271" s="94">
        <f t="shared" si="24"/>
        <v>3</v>
      </c>
      <c r="AL271" s="89" t="str">
        <f>Registro!AG271</f>
        <v>c) Regular</v>
      </c>
      <c r="AM271" s="89" t="str">
        <f>Registro!AH271</f>
        <v>b) Buena</v>
      </c>
      <c r="AN271" s="89">
        <f>Registro!AI271</f>
        <v>0</v>
      </c>
      <c r="AO271" s="89" t="str">
        <f>Registro!AJ271</f>
        <v>a) Muy buena</v>
      </c>
      <c r="AP271" s="89" t="str">
        <f>Registro!AK271</f>
        <v>b) Buena</v>
      </c>
      <c r="AQ271" s="89" t="str">
        <f>Registro!AL271</f>
        <v>a) Muy buena</v>
      </c>
      <c r="AR271" s="89" t="str">
        <f>Registro!AM271</f>
        <v>d) Mala</v>
      </c>
      <c r="AS271" s="89" t="str">
        <f>Registro!AN271</f>
        <v>b) Buena</v>
      </c>
      <c r="AT271" s="89" t="str">
        <f>Registro!AO271</f>
        <v>c) Regular</v>
      </c>
      <c r="AU271" s="89" t="str">
        <f>Registro!AP271</f>
        <v>b) Buena</v>
      </c>
      <c r="AV271" s="89" t="str">
        <f>Registro!AQ271</f>
        <v>c) Regular</v>
      </c>
      <c r="AW271" s="89" t="str">
        <f>Registro!AR271</f>
        <v>h) La responsabilidad social y el servicio a los demás</v>
      </c>
      <c r="AX271" s="89" t="str">
        <f>Registro!AS271</f>
        <v>a) Que sea un buen profesional</v>
      </c>
      <c r="AY271" s="89" t="str">
        <f>Registro!AT271</f>
        <v>e) Absolutamente necesaria</v>
      </c>
      <c r="AZ271" s="89" t="str">
        <f>Registro!AU271</f>
        <v>a) No acostumbro a tomarlo nunca</v>
      </c>
      <c r="BA271" s="89" t="str">
        <f>Registro!AV271</f>
        <v>e) Educadores que se preocupan de nosotros</v>
      </c>
      <c r="BB271" s="89" t="str">
        <f>Registro!AW271</f>
        <v>b) Poco</v>
      </c>
      <c r="BC271" s="89" t="str">
        <f>Registro!AX271</f>
        <v>c) Son personas normales y corrientes</v>
      </c>
      <c r="BD271" s="89" t="str">
        <f>Registro!AY271</f>
        <v>a) Mi padre, b) Mi madre, c) Un hermano/a, h) Una amiga</v>
      </c>
    </row>
    <row r="272" spans="1:56" ht="15" customHeight="1" x14ac:dyDescent="0.25">
      <c r="A272" s="101">
        <f>Registro!A272</f>
        <v>42099.358275462961</v>
      </c>
      <c r="B272" s="89" t="str">
        <f>Registro!B272</f>
        <v>a) Calasanz de Caracas</v>
      </c>
      <c r="C272" s="89" t="str">
        <f>Registro!C272</f>
        <v>a) Primer año</v>
      </c>
      <c r="D272" s="89" t="str">
        <f>Registro!D272</f>
        <v>a) Educación Inicial</v>
      </c>
      <c r="E272" s="89" t="str">
        <f>Registro!E272</f>
        <v>a) Masculino</v>
      </c>
      <c r="F272" s="89" t="str">
        <f>Registro!F272</f>
        <v>a) Católica</v>
      </c>
      <c r="G272" s="89" t="str">
        <f>Registro!G272</f>
        <v>a) Mamá, b) Papá, c) Hermanos, d) Abuelos, e) Otros familiares</v>
      </c>
      <c r="H272" s="89" t="str">
        <f>Registro!H272</f>
        <v>c) Apartamento</v>
      </c>
      <c r="I272" s="89" t="str">
        <f>Registro!I272</f>
        <v>a) Sí</v>
      </c>
      <c r="J272" s="89" t="str">
        <f>Registro!J272</f>
        <v>a) Cónsola videojuegos, b) Lavadora, c) Microondas, d) TV pantalla plana, g) MP4, h) Carro, i) Computadora, k) Aire acondicionado</v>
      </c>
      <c r="K272" s="89" t="str">
        <f>Registro!K272</f>
        <v>c) Dos</v>
      </c>
      <c r="L272" s="89" t="str">
        <f>Registro!L272</f>
        <v>a) La familia, b) Los amigos, k) El internet</v>
      </c>
      <c r="M272" s="94">
        <f t="shared" si="20"/>
        <v>3</v>
      </c>
      <c r="N272" s="89" t="str">
        <f>Registro!M272</f>
        <v>d) Los problemas familiares</v>
      </c>
      <c r="O272" s="89" t="str">
        <f>Registro!N272</f>
        <v>a) Mucho</v>
      </c>
      <c r="P272" s="89" t="str">
        <f>Registro!O272</f>
        <v>c) Poco</v>
      </c>
      <c r="Q272" s="89" t="str">
        <f>Registro!P272</f>
        <v>c) Poco</v>
      </c>
      <c r="R272" s="89" t="str">
        <f>Registro!Q272</f>
        <v>a) La familia, e) Disponer de dinero, j) El deporte</v>
      </c>
      <c r="S272" s="94">
        <f t="shared" si="21"/>
        <v>3</v>
      </c>
      <c r="T272" s="89" t="str">
        <f>Registro!R272</f>
        <v>a) Mucho</v>
      </c>
      <c r="U272" s="89" t="str">
        <f>Registro!S272</f>
        <v>b) La naturaleza, c) El salón de clase, e) Los amigos, g) Mi familia, j) Todas partes</v>
      </c>
      <c r="V272" s="89" t="str">
        <f>Registro!T272</f>
        <v>b) Rezo por costumbre</v>
      </c>
      <c r="W272" s="89" t="str">
        <f>Registro!U272</f>
        <v>d) Nunca</v>
      </c>
      <c r="X272" s="89">
        <f>Registro!V272</f>
        <v>0</v>
      </c>
      <c r="Y272" s="89" t="str">
        <f>Registro!W272</f>
        <v>a) Deportivo</v>
      </c>
      <c r="Z272" s="89" t="str">
        <f>Registro!X272</f>
        <v>c) Un lugar donde me lo paso bien</v>
      </c>
      <c r="AA272" s="89" t="str">
        <f>Registro!Y272</f>
        <v>b) No</v>
      </c>
      <c r="AB272" s="89" t="str">
        <f>Registro!Z272</f>
        <v>b) No</v>
      </c>
      <c r="AC272" s="89" t="str">
        <f>Registro!AA272</f>
        <v>d) Ingeniería, j) Trabajador calificado</v>
      </c>
      <c r="AD272" s="94">
        <f t="shared" si="22"/>
        <v>2</v>
      </c>
      <c r="AE272" s="89" t="str">
        <f>Registro!AB272</f>
        <v>a) Ganar mucho dinero</v>
      </c>
      <c r="AF272" s="89" t="str">
        <f>Registro!AC272</f>
        <v>c) Bastante</v>
      </c>
      <c r="AG272" s="89" t="str">
        <f>Registro!AD272</f>
        <v>a) Los deportes y diversiones, g) La relación con los docentes</v>
      </c>
      <c r="AH272" s="94">
        <f t="shared" si="23"/>
        <v>2</v>
      </c>
      <c r="AI272" s="89" t="str">
        <f>Registro!AE272</f>
        <v>b) 3 a 4 horas</v>
      </c>
      <c r="AJ272" s="89" t="str">
        <f>Registro!AF272</f>
        <v>a) Me divierto con juegos para computadoras, b) Navego en Internet, k) Practico algún deporte</v>
      </c>
      <c r="AK272" s="94">
        <f t="shared" si="24"/>
        <v>3</v>
      </c>
      <c r="AL272" s="89" t="str">
        <f>Registro!AG272</f>
        <v>c) Regular</v>
      </c>
      <c r="AM272" s="89" t="str">
        <f>Registro!AH272</f>
        <v>b) Buena</v>
      </c>
      <c r="AN272" s="89" t="str">
        <f>Registro!AI272</f>
        <v>f) No aplica</v>
      </c>
      <c r="AO272" s="89" t="str">
        <f>Registro!AJ272</f>
        <v>b) Buena</v>
      </c>
      <c r="AP272" s="89" t="str">
        <f>Registro!AK272</f>
        <v>b) Buena</v>
      </c>
      <c r="AQ272" s="89" t="str">
        <f>Registro!AL272</f>
        <v>a) Muy buena</v>
      </c>
      <c r="AR272" s="89" t="str">
        <f>Registro!AM272</f>
        <v>d) Mala</v>
      </c>
      <c r="AS272" s="89" t="str">
        <f>Registro!AN272</f>
        <v>c) Regular</v>
      </c>
      <c r="AT272" s="89" t="str">
        <f>Registro!AO272</f>
        <v>a) Muy buena</v>
      </c>
      <c r="AU272" s="89" t="str">
        <f>Registro!AP272</f>
        <v>b) Buena</v>
      </c>
      <c r="AV272" s="89" t="str">
        <f>Registro!AQ272</f>
        <v>d) Mala</v>
      </c>
      <c r="AW272" s="89" t="str">
        <f>Registro!AR272</f>
        <v>c) El estudio</v>
      </c>
      <c r="AX272" s="89" t="str">
        <f>Registro!AS272</f>
        <v>h) No sé</v>
      </c>
      <c r="AY272" s="89" t="str">
        <f>Registro!AT272</f>
        <v>c) Conveniente</v>
      </c>
      <c r="AZ272" s="89" t="str">
        <f>Registro!AU272</f>
        <v>a) No acostumbro a tomarlo nunca</v>
      </c>
      <c r="BA272" s="89" t="str">
        <f>Registro!AV272</f>
        <v>b) Profesionales que no se preocupan de nosotros</v>
      </c>
      <c r="BB272" s="89" t="str">
        <f>Registro!AW272</f>
        <v>b) Poco</v>
      </c>
      <c r="BC272" s="89" t="str">
        <f>Registro!AX272</f>
        <v>d) Hay de todo tipo, pero predomina lo positivo</v>
      </c>
      <c r="BD272" s="89" t="str">
        <f>Registro!AY272</f>
        <v>k) No tengo problemas personales</v>
      </c>
    </row>
    <row r="273" spans="1:56" ht="15" customHeight="1" x14ac:dyDescent="0.25">
      <c r="A273" s="101">
        <f>Registro!A273</f>
        <v>42099.360856481479</v>
      </c>
      <c r="B273" s="89" t="str">
        <f>Registro!B273</f>
        <v>a) Calasanz de Caracas</v>
      </c>
      <c r="C273" s="89" t="str">
        <f>Registro!C273</f>
        <v>a) Primer año</v>
      </c>
      <c r="D273" s="89" t="str">
        <f>Registro!D273</f>
        <v>b) Primaria</v>
      </c>
      <c r="E273" s="89" t="str">
        <f>Registro!E273</f>
        <v>a) Masculino</v>
      </c>
      <c r="F273" s="89" t="str">
        <f>Registro!F273</f>
        <v>a) Católica</v>
      </c>
      <c r="G273" s="89" t="str">
        <f>Registro!G273</f>
        <v>a) Mamá, b) Papá, c) Hermanos, d) Abuelos, e) Otros familiares</v>
      </c>
      <c r="H273" s="89" t="str">
        <f>Registro!H273</f>
        <v>b) Casa Urbana</v>
      </c>
      <c r="I273" s="89" t="str">
        <f>Registro!I273</f>
        <v>a) Sí</v>
      </c>
      <c r="J273" s="89" t="str">
        <f>Registro!J273</f>
        <v>a) Cónsola videojuegos, b) Lavadora, c) Microondas, d) TV pantalla plana, e) Moto, h) Carro, j) Cámara digital, k) Aire acondicionado</v>
      </c>
      <c r="K273" s="89" t="str">
        <f>Registro!K273</f>
        <v>c) Dos</v>
      </c>
      <c r="L273" s="89" t="str">
        <f>Registro!L273</f>
        <v>a) La familia, b) Los amigos, g) La felicidad</v>
      </c>
      <c r="M273" s="94">
        <f t="shared" si="20"/>
        <v>3</v>
      </c>
      <c r="N273" s="89" t="str">
        <f>Registro!M273</f>
        <v>d) Los problemas familiares</v>
      </c>
      <c r="O273" s="89">
        <f>Registro!N273</f>
        <v>0</v>
      </c>
      <c r="P273" s="89" t="str">
        <f>Registro!O273</f>
        <v>a) Mucho</v>
      </c>
      <c r="Q273" s="89" t="str">
        <f>Registro!P273</f>
        <v>b) Suficiente</v>
      </c>
      <c r="R273" s="89" t="str">
        <f>Registro!Q273</f>
        <v>c) Los estudios, d) El cuidado de mi cuerpo, g) La felicidad</v>
      </c>
      <c r="S273" s="94">
        <f t="shared" si="21"/>
        <v>3</v>
      </c>
      <c r="T273" s="89" t="str">
        <f>Registro!R273</f>
        <v>a) Mucho</v>
      </c>
      <c r="U273" s="89" t="str">
        <f>Registro!S273</f>
        <v>a) La Iglesia, b) La naturaleza, d) Las convivencias, g) Mi familia, k) La oración</v>
      </c>
      <c r="V273" s="89" t="str">
        <f>Registro!T273</f>
        <v>b) Rezo por costumbre</v>
      </c>
      <c r="W273" s="89" t="str">
        <f>Registro!U273</f>
        <v>c) Solo en fechas especiales</v>
      </c>
      <c r="X273" s="89" t="str">
        <f>Registro!V273</f>
        <v>e) Voy a misa en las fechas de mis familiares difuntos, h) En Semana Santa asisto a las procesiones, i) Tengo en mi cuarto alguna imagen religiosa</v>
      </c>
      <c r="Y273" s="89" t="str">
        <f>Registro!W273</f>
        <v>b) Cultural (folklórico, musicales, danzas, scout, banda marcial,...) , c) Religioso o parroquial</v>
      </c>
      <c r="Z273" s="89" t="str">
        <f>Registro!X273</f>
        <v>b) Un lugar donde comparto con mis compañeros</v>
      </c>
      <c r="AA273" s="89" t="str">
        <f>Registro!Y273</f>
        <v>b) No</v>
      </c>
      <c r="AB273" s="89" t="str">
        <f>Registro!Z273</f>
        <v>b) No</v>
      </c>
      <c r="AC273" s="89" t="str">
        <f>Registro!AA273</f>
        <v>a) Medicina, b) Docencia</v>
      </c>
      <c r="AD273" s="94">
        <f t="shared" si="22"/>
        <v>2</v>
      </c>
      <c r="AE273" s="89" t="str">
        <f>Registro!AB273</f>
        <v>b) Tener una buena posición social, ser importante</v>
      </c>
      <c r="AF273" s="89" t="str">
        <f>Registro!AC273</f>
        <v>b) Poco</v>
      </c>
      <c r="AG273" s="89" t="str">
        <f>Registro!AD273</f>
        <v>a) Los deportes y diversiones, d) Los grupos juveniles cristianos</v>
      </c>
      <c r="AH273" s="94">
        <f t="shared" si="23"/>
        <v>2</v>
      </c>
      <c r="AI273" s="89" t="str">
        <f>Registro!AE273</f>
        <v>b) 3 a 4 horas</v>
      </c>
      <c r="AJ273" s="89" t="str">
        <f>Registro!AF273</f>
        <v>a) Me divierto con juegos para computadoras, j) Estoy en algún grupo juvenil, n) Estoy conversando con los amigos/as</v>
      </c>
      <c r="AK273" s="94">
        <f t="shared" si="24"/>
        <v>3</v>
      </c>
      <c r="AL273" s="89" t="str">
        <f>Registro!AG273</f>
        <v>b) Bueno</v>
      </c>
      <c r="AM273" s="89" t="str">
        <f>Registro!AH273</f>
        <v>b) Buena</v>
      </c>
      <c r="AN273" s="89" t="str">
        <f>Registro!AI273</f>
        <v>b) Buena</v>
      </c>
      <c r="AO273" s="89" t="str">
        <f>Registro!AJ273</f>
        <v>b) Buena</v>
      </c>
      <c r="AP273" s="89" t="str">
        <f>Registro!AK273</f>
        <v>a) Muy buena</v>
      </c>
      <c r="AQ273" s="89" t="str">
        <f>Registro!AL273</f>
        <v>b) Buena</v>
      </c>
      <c r="AR273" s="89" t="str">
        <f>Registro!AM273</f>
        <v>c) Regular</v>
      </c>
      <c r="AS273" s="89" t="str">
        <f>Registro!AN273</f>
        <v>b) Buena</v>
      </c>
      <c r="AT273" s="89" t="str">
        <f>Registro!AO273</f>
        <v>b) Buena</v>
      </c>
      <c r="AU273" s="89" t="str">
        <f>Registro!AP273</f>
        <v>c) Regular</v>
      </c>
      <c r="AV273" s="89" t="str">
        <f>Registro!AQ273</f>
        <v>b) Buena</v>
      </c>
      <c r="AW273" s="89" t="str">
        <f>Registro!AR273</f>
        <v>f) la práctica religiosa</v>
      </c>
      <c r="AX273" s="89" t="str">
        <f>Registro!AS273</f>
        <v>c) Que me preocupe de los demás</v>
      </c>
      <c r="AY273" s="89" t="str">
        <f>Registro!AT273</f>
        <v>c) Conveniente</v>
      </c>
      <c r="AZ273" s="89" t="str">
        <f>Registro!AU273</f>
        <v>b) Las veces que bebo, es con moderación</v>
      </c>
      <c r="BA273" s="89" t="str">
        <f>Registro!AV273</f>
        <v>c) Profesionales que hacen lo que pueden</v>
      </c>
      <c r="BB273" s="89" t="str">
        <f>Registro!AW273</f>
        <v>c) Bastante</v>
      </c>
      <c r="BC273" s="89" t="str">
        <f>Registro!AX273</f>
        <v>c) Son personas normales y corrientes</v>
      </c>
      <c r="BD273" s="89" t="str">
        <f>Registro!AY273</f>
        <v>b) Mi madre, c) Un hermano/a</v>
      </c>
    </row>
    <row r="274" spans="1:56" ht="15" customHeight="1" x14ac:dyDescent="0.25">
      <c r="A274" s="101">
        <f>Registro!A274</f>
        <v>42099.367638888885</v>
      </c>
      <c r="B274" s="89" t="str">
        <f>Registro!B274</f>
        <v>a) Calasanz de Caracas</v>
      </c>
      <c r="C274" s="89" t="str">
        <f>Registro!C274</f>
        <v>a) Primer año</v>
      </c>
      <c r="D274" s="89" t="str">
        <f>Registro!D274</f>
        <v>a) Educación Inicial</v>
      </c>
      <c r="E274" s="89" t="str">
        <f>Registro!E274</f>
        <v>b) Femenino</v>
      </c>
      <c r="F274" s="89" t="str">
        <f>Registro!F274</f>
        <v>a) Católica</v>
      </c>
      <c r="G274" s="89" t="str">
        <f>Registro!G274</f>
        <v>a) Mamá, b) Papá, c) Hermanos, d) Abuelos, e) Otros familiares</v>
      </c>
      <c r="H274" s="89" t="str">
        <f>Registro!H274</f>
        <v>c) Apartamento</v>
      </c>
      <c r="I274" s="89" t="str">
        <f>Registro!I274</f>
        <v>c) Algo</v>
      </c>
      <c r="J274" s="89" t="str">
        <f>Registro!J274</f>
        <v>a) Cónsola videojuegos, b) Lavadora, c) Microondas, d) TV pantalla plana, h) Carro, j) Cámara digital, k) Aire acondicionado</v>
      </c>
      <c r="K274" s="89" t="str">
        <f>Registro!K274</f>
        <v>f) Más de cuatro</v>
      </c>
      <c r="L274" s="89" t="str">
        <f>Registro!L274</f>
        <v>a) La familia, c) Los estudios, k) El internet</v>
      </c>
      <c r="M274" s="94">
        <f t="shared" si="20"/>
        <v>3</v>
      </c>
      <c r="N274" s="89" t="str">
        <f>Registro!M274</f>
        <v>b) El futuro</v>
      </c>
      <c r="O274" s="89" t="str">
        <f>Registro!N274</f>
        <v>b) Suficiente</v>
      </c>
      <c r="P274" s="89" t="str">
        <f>Registro!O274</f>
        <v>b) Suficiente</v>
      </c>
      <c r="Q274" s="89" t="str">
        <f>Registro!P274</f>
        <v>a) Mucho</v>
      </c>
      <c r="R274" s="89" t="str">
        <f>Registro!Q274</f>
        <v>a) La familia, c) Los estudios, f) Mi fe y mi vida cristiana</v>
      </c>
      <c r="S274" s="94">
        <f t="shared" si="21"/>
        <v>3</v>
      </c>
      <c r="T274" s="89" t="str">
        <f>Registro!R274</f>
        <v>a) Mucho</v>
      </c>
      <c r="U274" s="89" t="str">
        <f>Registro!S274</f>
        <v>a) La Iglesia, b) La naturaleza, d) Las convivencias, g) Mi familia, h) Algunas personas cercanas a Dios, i) Los necesitados, k) La oración, l) Los sacramentos</v>
      </c>
      <c r="V274" s="89" t="str">
        <f>Registro!T274</f>
        <v>a) Suelo rezar por convicción o porque me gusta</v>
      </c>
      <c r="W274" s="89" t="str">
        <f>Registro!U274</f>
        <v>b) Algunos domingos</v>
      </c>
      <c r="X274" s="89" t="str">
        <f>Registro!V274</f>
        <v>c) Suelo ir los domingos y otras fechas especiales a la Iglesia, d) Suelo orar todos los días, e) Voy a misa en las fechas de mis familiares difuntos, g) En ocasiones, en mi casa tenemos una oración familiar, h) En Semana Santa asisto a las procesiones, i) Tengo en mi cuarto alguna imagen religiosa</v>
      </c>
      <c r="Y274" s="89" t="str">
        <f>Registro!W274</f>
        <v>d) No pertenezco a ninguno</v>
      </c>
      <c r="Z274" s="89" t="str">
        <f>Registro!X274</f>
        <v>a) Un grupo donde profundizo mi fe</v>
      </c>
      <c r="AA274" s="89" t="str">
        <f>Registro!Y274</f>
        <v>b) No</v>
      </c>
      <c r="AB274" s="89" t="str">
        <f>Registro!Z274</f>
        <v>b) No</v>
      </c>
      <c r="AC274" s="89" t="str">
        <f>Registro!AA274</f>
        <v>b) Docencia, c) Sacerdocio o hermana religiosa</v>
      </c>
      <c r="AD274" s="94">
        <f t="shared" si="22"/>
        <v>2</v>
      </c>
      <c r="AE274" s="89" t="str">
        <f>Registro!AB274</f>
        <v>b) Tener una buena posición social, ser importante</v>
      </c>
      <c r="AF274" s="89" t="str">
        <f>Registro!AC274</f>
        <v>b) Poco</v>
      </c>
      <c r="AG274" s="89" t="str">
        <f>Registro!AD274</f>
        <v>c) Las instalaciones del Colegio</v>
      </c>
      <c r="AH274" s="94">
        <f t="shared" si="23"/>
        <v>1</v>
      </c>
      <c r="AI274" s="89" t="str">
        <f>Registro!AE274</f>
        <v>c) 5 a 6 horas</v>
      </c>
      <c r="AJ274" s="89" t="str">
        <f>Registro!AF274</f>
        <v>b) Navego en Internet, e) Suelo ir a algún parque, m) Veo televisión y/o películas</v>
      </c>
      <c r="AK274" s="94">
        <f t="shared" si="24"/>
        <v>3</v>
      </c>
      <c r="AL274" s="89" t="str">
        <f>Registro!AG274</f>
        <v>b) Bueno</v>
      </c>
      <c r="AM274" s="89" t="str">
        <f>Registro!AH274</f>
        <v>f) No aplica</v>
      </c>
      <c r="AN274" s="89" t="str">
        <f>Registro!AI274</f>
        <v>f) No aplica</v>
      </c>
      <c r="AO274" s="89" t="str">
        <f>Registro!AJ274</f>
        <v>b) Buena</v>
      </c>
      <c r="AP274" s="89" t="str">
        <f>Registro!AK274</f>
        <v>b) Buena</v>
      </c>
      <c r="AQ274" s="89" t="str">
        <f>Registro!AL274</f>
        <v>b) Buena</v>
      </c>
      <c r="AR274" s="89" t="str">
        <f>Registro!AM274</f>
        <v>b) Buena</v>
      </c>
      <c r="AS274" s="89" t="str">
        <f>Registro!AN274</f>
        <v>b) Buena</v>
      </c>
      <c r="AT274" s="89" t="str">
        <f>Registro!AO274</f>
        <v>b) Buena</v>
      </c>
      <c r="AU274" s="89" t="str">
        <f>Registro!AP274</f>
        <v>c) Regular</v>
      </c>
      <c r="AV274" s="89" t="str">
        <f>Registro!AQ274</f>
        <v>b) Buena</v>
      </c>
      <c r="AW274" s="89" t="str">
        <f>Registro!AR274</f>
        <v>h) La responsabilidad social y el servicio a los demás</v>
      </c>
      <c r="AX274" s="89" t="str">
        <f>Registro!AS274</f>
        <v>b) Darme una buena educación</v>
      </c>
      <c r="AY274" s="89" t="str">
        <f>Registro!AT274</f>
        <v>e) Absolutamente necesaria</v>
      </c>
      <c r="AZ274" s="89" t="str">
        <f>Registro!AU274</f>
        <v>a) No acostumbro a tomarlo nunca</v>
      </c>
      <c r="BA274" s="89" t="str">
        <f>Registro!AV274</f>
        <v>b) Profesionales que no se preocupan de nosotros</v>
      </c>
      <c r="BB274" s="89" t="str">
        <f>Registro!AW274</f>
        <v>c) Bastante</v>
      </c>
      <c r="BC274" s="89" t="str">
        <f>Registro!AX274</f>
        <v>e) Son personas que me gustan y admiro</v>
      </c>
      <c r="BD274" s="89" t="str">
        <f>Registro!AY274</f>
        <v>a) Mi padre, b) Mi madre, c) Un hermano/a, h) Una amiga</v>
      </c>
    </row>
    <row r="275" spans="1:56" ht="15" customHeight="1" x14ac:dyDescent="0.25">
      <c r="A275" s="101">
        <f>Registro!A275</f>
        <v>42099.369803240741</v>
      </c>
      <c r="B275" s="89" t="str">
        <f>Registro!B275</f>
        <v>a) Calasanz de Caracas</v>
      </c>
      <c r="C275" s="89" t="str">
        <f>Registro!C275</f>
        <v>a) Primer año</v>
      </c>
      <c r="D275" s="89" t="str">
        <f>Registro!D275</f>
        <v>b) Primaria</v>
      </c>
      <c r="E275" s="89" t="str">
        <f>Registro!E275</f>
        <v>a) Masculino</v>
      </c>
      <c r="F275" s="89" t="str">
        <f>Registro!F275</f>
        <v>a) Católica</v>
      </c>
      <c r="G275" s="89" t="str">
        <f>Registro!G275</f>
        <v>a) Mamá, b) Papá, c) Hermanos, d) Abuelos, e) Otros familiares</v>
      </c>
      <c r="H275" s="89" t="str">
        <f>Registro!H275</f>
        <v>b) Casa Urbana</v>
      </c>
      <c r="I275" s="89" t="str">
        <f>Registro!I275</f>
        <v>a) Sí</v>
      </c>
      <c r="J275" s="89" t="str">
        <f>Registro!J275</f>
        <v>a) Cónsola videojuegos, b) Lavadora, c) Microondas, d) TV pantalla plana, h) Carro, i) Computadora, j) Cámara digital, k) Aire acondicionado</v>
      </c>
      <c r="K275" s="89" t="str">
        <f>Registro!K275</f>
        <v>c) Dos</v>
      </c>
      <c r="L275" s="89" t="str">
        <f>Registro!L275</f>
        <v>a) La familia, c) Los estudios, g) La felicidad</v>
      </c>
      <c r="M275" s="94">
        <f t="shared" si="20"/>
        <v>3</v>
      </c>
      <c r="N275" s="89" t="str">
        <f>Registro!M275</f>
        <v>d) Los problemas familiares</v>
      </c>
      <c r="O275" s="89" t="str">
        <f>Registro!N275</f>
        <v>a) Mucho</v>
      </c>
      <c r="P275" s="89" t="str">
        <f>Registro!O275</f>
        <v>a) Mucho</v>
      </c>
      <c r="Q275" s="89" t="str">
        <f>Registro!P275</f>
        <v>a) Mucho</v>
      </c>
      <c r="R275" s="89" t="str">
        <f>Registro!Q275</f>
        <v>a) La familia, c) Los estudios, g) La felicidad</v>
      </c>
      <c r="S275" s="94">
        <f t="shared" si="21"/>
        <v>3</v>
      </c>
      <c r="T275" s="89" t="str">
        <f>Registro!R275</f>
        <v>a) Mucho</v>
      </c>
      <c r="U275" s="89" t="str">
        <f>Registro!S275</f>
        <v>a) La Iglesia, b) La naturaleza, d) Las convivencias, e) Los amigos</v>
      </c>
      <c r="V275" s="89" t="str">
        <f>Registro!T275</f>
        <v>c) Rezo solo en situación de dificultad</v>
      </c>
      <c r="W275" s="89" t="str">
        <f>Registro!U275</f>
        <v>b) Algunos domingos</v>
      </c>
      <c r="X275" s="89" t="str">
        <f>Registro!V275</f>
        <v>e) Voy a misa en las fechas de mis familiares difuntos, h) En Semana Santa asisto a las procesiones</v>
      </c>
      <c r="Y275" s="89" t="str">
        <f>Registro!W275</f>
        <v xml:space="preserve">b) Cultural (folklórico, musicales, danzas, scout, banda marcial,...) </v>
      </c>
      <c r="Z275" s="89" t="str">
        <f>Registro!X275</f>
        <v>c) Un lugar donde me lo paso bien</v>
      </c>
      <c r="AA275" s="89" t="str">
        <f>Registro!Y275</f>
        <v>b) No</v>
      </c>
      <c r="AB275" s="89" t="str">
        <f>Registro!Z275</f>
        <v>b) No</v>
      </c>
      <c r="AC275" s="89" t="str">
        <f>Registro!AA275</f>
        <v>a) Medicina, b) Docencia</v>
      </c>
      <c r="AD275" s="94">
        <f t="shared" si="22"/>
        <v>2</v>
      </c>
      <c r="AE275" s="89" t="str">
        <f>Registro!AB275</f>
        <v>c) Ser un excelente profesional</v>
      </c>
      <c r="AF275" s="89" t="str">
        <f>Registro!AC275</f>
        <v>b) Poco</v>
      </c>
      <c r="AG275" s="89" t="str">
        <f>Registro!AD275</f>
        <v>a) Los deportes y diversiones, b) El ambiente de estudio y de trabajo</v>
      </c>
      <c r="AH275" s="94">
        <f t="shared" si="23"/>
        <v>2</v>
      </c>
      <c r="AI275" s="89" t="str">
        <f>Registro!AE275</f>
        <v>a) 0 a 2 horas</v>
      </c>
      <c r="AJ275" s="89" t="str">
        <f>Registro!AF275</f>
        <v>a) Me divierto con juegos para computadoras, j) Estoy en algún grupo juvenil, n) Estoy conversando con los amigos/as</v>
      </c>
      <c r="AK275" s="94">
        <f t="shared" si="24"/>
        <v>3</v>
      </c>
      <c r="AL275" s="89" t="str">
        <f>Registro!AG275</f>
        <v>b) Bueno</v>
      </c>
      <c r="AM275" s="89" t="str">
        <f>Registro!AH275</f>
        <v>b) Buena</v>
      </c>
      <c r="AN275" s="89" t="str">
        <f>Registro!AI275</f>
        <v>b) Buena</v>
      </c>
      <c r="AO275" s="89">
        <f>Registro!AJ275</f>
        <v>0</v>
      </c>
      <c r="AP275" s="89" t="str">
        <f>Registro!AK275</f>
        <v>b) Buena</v>
      </c>
      <c r="AQ275" s="89" t="str">
        <f>Registro!AL275</f>
        <v>b) Buena</v>
      </c>
      <c r="AR275" s="89" t="str">
        <f>Registro!AM275</f>
        <v>c) Regular</v>
      </c>
      <c r="AS275" s="89" t="str">
        <f>Registro!AN275</f>
        <v>b) Buena</v>
      </c>
      <c r="AT275" s="89" t="str">
        <f>Registro!AO275</f>
        <v>b) Buena</v>
      </c>
      <c r="AU275" s="89" t="str">
        <f>Registro!AP275</f>
        <v>c) Regular</v>
      </c>
      <c r="AV275" s="89" t="str">
        <f>Registro!AQ275</f>
        <v>a) Muy buena</v>
      </c>
      <c r="AW275" s="89" t="str">
        <f>Registro!AR275</f>
        <v>c) El estudio</v>
      </c>
      <c r="AX275" s="89" t="str">
        <f>Registro!AS275</f>
        <v>b) Darme una buena educación</v>
      </c>
      <c r="AY275" s="89" t="str">
        <f>Registro!AT275</f>
        <v>c) Conveniente</v>
      </c>
      <c r="AZ275" s="89" t="str">
        <f>Registro!AU275</f>
        <v>b) Las veces que bebo, es con moderación</v>
      </c>
      <c r="BA275" s="89" t="str">
        <f>Registro!AV275</f>
        <v>c) Profesionales que hacen lo que pueden</v>
      </c>
      <c r="BB275" s="89" t="str">
        <f>Registro!AW275</f>
        <v>c) Bastante</v>
      </c>
      <c r="BC275" s="89" t="str">
        <f>Registro!AX275</f>
        <v>c) Son personas normales y corrientes</v>
      </c>
      <c r="BD275" s="89" t="str">
        <f>Registro!AY275</f>
        <v>b) Mi madre, c) Un hermano/a</v>
      </c>
    </row>
    <row r="276" spans="1:56" ht="15" customHeight="1" x14ac:dyDescent="0.25">
      <c r="A276" s="101">
        <f>Registro!A276</f>
        <v>42190.348715277774</v>
      </c>
      <c r="B276" s="89" t="str">
        <f>Registro!B276</f>
        <v>a) Calasanz de Caracas</v>
      </c>
      <c r="C276" s="89" t="str">
        <f>Registro!C276</f>
        <v>b) Tercer año</v>
      </c>
      <c r="D276" s="89" t="str">
        <f>Registro!D276</f>
        <v>a) Educación Inicial</v>
      </c>
      <c r="E276" s="89" t="str">
        <f>Registro!E276</f>
        <v>b) Femenino</v>
      </c>
      <c r="F276" s="89" t="str">
        <f>Registro!F276</f>
        <v>a) Católica</v>
      </c>
      <c r="G276" s="89" t="str">
        <f>Registro!G276</f>
        <v>a) Mamá, c) Hermanos</v>
      </c>
      <c r="H276" s="89" t="str">
        <f>Registro!H276</f>
        <v>d) Casa Rural</v>
      </c>
      <c r="I276" s="89" t="str">
        <f>Registro!I276</f>
        <v>a) Sí</v>
      </c>
      <c r="J276" s="89" t="str">
        <f>Registro!J276</f>
        <v>c) Microondas, j) Cámara digital</v>
      </c>
      <c r="K276" s="89">
        <f>Registro!K276</f>
        <v>0</v>
      </c>
      <c r="L276" s="89" t="str">
        <f>Registro!L276</f>
        <v>a) La familia, c) Los estudios, g) La felicidad</v>
      </c>
      <c r="M276" s="94">
        <f t="shared" si="20"/>
        <v>3</v>
      </c>
      <c r="N276" s="89" t="str">
        <f>Registro!M276</f>
        <v>b) El futuro</v>
      </c>
      <c r="O276" s="89" t="str">
        <f>Registro!N276</f>
        <v>b) Suficiente</v>
      </c>
      <c r="P276" s="89">
        <f>Registro!O276</f>
        <v>0</v>
      </c>
      <c r="Q276" s="89">
        <f>Registro!P276</f>
        <v>0</v>
      </c>
      <c r="R276" s="89"/>
      <c r="S276" s="94">
        <f t="shared" si="21"/>
        <v>0</v>
      </c>
      <c r="T276" s="89">
        <f>Registro!R276</f>
        <v>0</v>
      </c>
      <c r="U276" s="89">
        <f>Registro!S276</f>
        <v>0</v>
      </c>
      <c r="V276" s="89">
        <f>Registro!T276</f>
        <v>0</v>
      </c>
      <c r="W276" s="89">
        <f>Registro!U276</f>
        <v>0</v>
      </c>
      <c r="X276" s="89">
        <f>Registro!V276</f>
        <v>0</v>
      </c>
      <c r="Y276" s="89">
        <f>Registro!W276</f>
        <v>0</v>
      </c>
      <c r="Z276" s="89">
        <f>Registro!X276</f>
        <v>0</v>
      </c>
      <c r="AA276" s="89">
        <f>Registro!Y276</f>
        <v>0</v>
      </c>
      <c r="AB276" s="89">
        <f>Registro!Z276</f>
        <v>0</v>
      </c>
      <c r="AC276" s="89">
        <f>Registro!AA276</f>
        <v>0</v>
      </c>
      <c r="AD276" s="94">
        <f t="shared" si="22"/>
        <v>0</v>
      </c>
      <c r="AE276" s="89">
        <f>Registro!AB276</f>
        <v>0</v>
      </c>
      <c r="AF276" s="89">
        <f>Registro!AC276</f>
        <v>0</v>
      </c>
      <c r="AG276" s="89">
        <f>Registro!AD276</f>
        <v>0</v>
      </c>
      <c r="AH276" s="94">
        <f t="shared" si="23"/>
        <v>0</v>
      </c>
      <c r="AI276" s="89">
        <f>Registro!AE276</f>
        <v>0</v>
      </c>
      <c r="AJ276" s="89">
        <f>Registro!AF276</f>
        <v>0</v>
      </c>
      <c r="AK276" s="94">
        <f t="shared" si="24"/>
        <v>0</v>
      </c>
      <c r="AL276" s="89">
        <f>Registro!AG276</f>
        <v>0</v>
      </c>
      <c r="AM276" s="89">
        <f>Registro!AH276</f>
        <v>0</v>
      </c>
      <c r="AN276" s="89" t="str">
        <f>Registro!AI276</f>
        <v>f) No aplica</v>
      </c>
      <c r="AO276" s="89">
        <f>Registro!AJ276</f>
        <v>0</v>
      </c>
      <c r="AP276" s="89">
        <f>Registro!AK276</f>
        <v>0</v>
      </c>
      <c r="AQ276" s="89">
        <f>Registro!AL276</f>
        <v>0</v>
      </c>
      <c r="AR276" s="89">
        <f>Registro!AM276</f>
        <v>0</v>
      </c>
      <c r="AS276" s="89">
        <f>Registro!AN276</f>
        <v>0</v>
      </c>
      <c r="AT276" s="89">
        <f>Registro!AO276</f>
        <v>0</v>
      </c>
      <c r="AU276" s="89">
        <f>Registro!AP276</f>
        <v>0</v>
      </c>
      <c r="AV276" s="89">
        <f>Registro!AQ276</f>
        <v>0</v>
      </c>
      <c r="AW276" s="89">
        <f>Registro!AR276</f>
        <v>0</v>
      </c>
      <c r="AX276" s="89">
        <f>Registro!AS276</f>
        <v>0</v>
      </c>
      <c r="AY276" s="89">
        <f>Registro!AT276</f>
        <v>0</v>
      </c>
      <c r="AZ276" s="89">
        <f>Registro!AU276</f>
        <v>0</v>
      </c>
      <c r="BA276" s="89">
        <f>Registro!AV276</f>
        <v>0</v>
      </c>
      <c r="BB276" s="89">
        <f>Registro!AW276</f>
        <v>0</v>
      </c>
      <c r="BC276" s="89">
        <f>Registro!AX276</f>
        <v>0</v>
      </c>
      <c r="BD276" s="89">
        <f>Registro!AY276</f>
        <v>0</v>
      </c>
    </row>
    <row r="277" spans="1:56" ht="15" customHeight="1" x14ac:dyDescent="0.25">
      <c r="A277" s="101">
        <f>Registro!A277</f>
        <v>42190.352303240739</v>
      </c>
      <c r="B277" s="89" t="str">
        <f>Registro!B277</f>
        <v>a) Calasanz de Caracas</v>
      </c>
      <c r="C277" s="89" t="str">
        <f>Registro!C277</f>
        <v>b) Tercer año</v>
      </c>
      <c r="D277" s="89" t="str">
        <f>Registro!D277</f>
        <v>b) Primaria</v>
      </c>
      <c r="E277" s="89" t="str">
        <f>Registro!E277</f>
        <v>a) Masculino</v>
      </c>
      <c r="F277" s="89" t="str">
        <f>Registro!F277</f>
        <v>a) Católica</v>
      </c>
      <c r="G277" s="89" t="str">
        <f>Registro!G277</f>
        <v>a) Mamá, b) Papá, d) Abuelos</v>
      </c>
      <c r="H277" s="89" t="str">
        <f>Registro!H277</f>
        <v>e) Rancho</v>
      </c>
      <c r="I277" s="89" t="str">
        <f>Registro!I277</f>
        <v>a) Sí</v>
      </c>
      <c r="J277" s="89" t="str">
        <f>Registro!J277</f>
        <v>b) Lavadora</v>
      </c>
      <c r="K277" s="89" t="str">
        <f>Registro!K277</f>
        <v>c) Dos</v>
      </c>
      <c r="L277" s="89" t="str">
        <f>Registro!L277</f>
        <v>a) La familia, b) Los amigos, i) La música</v>
      </c>
      <c r="M277" s="94">
        <f t="shared" si="20"/>
        <v>3</v>
      </c>
      <c r="N277" s="89" t="str">
        <f>Registro!M277</f>
        <v>g) Mis estudios</v>
      </c>
      <c r="O277" s="89">
        <f>Registro!N277</f>
        <v>0</v>
      </c>
      <c r="P277" s="89" t="str">
        <f>Registro!O277</f>
        <v>a) Mucho</v>
      </c>
      <c r="Q277" s="89" t="str">
        <f>Registro!P277</f>
        <v>c) Poco</v>
      </c>
      <c r="R277" s="89" t="str">
        <f>Registro!Q277</f>
        <v>a) La familia, c) Los estudios, g) La felicidad</v>
      </c>
      <c r="S277" s="94">
        <f t="shared" si="21"/>
        <v>3</v>
      </c>
      <c r="T277" s="89" t="str">
        <f>Registro!R277</f>
        <v>b) Suficiente</v>
      </c>
      <c r="U277" s="89" t="str">
        <f>Registro!S277</f>
        <v>a) La Iglesia, g) Mi familia, k) La oración, l) Los sacramentos</v>
      </c>
      <c r="V277" s="89" t="str">
        <f>Registro!T277</f>
        <v>b) Rezo por costumbre</v>
      </c>
      <c r="W277" s="89" t="str">
        <f>Registro!U277</f>
        <v>c) Solo en fechas especiales</v>
      </c>
      <c r="X277" s="89" t="str">
        <f>Registro!V277</f>
        <v>d) Suelo orar todos los días</v>
      </c>
      <c r="Y277" s="89" t="str">
        <f>Registro!W277</f>
        <v>a) Deportivo</v>
      </c>
      <c r="Z277" s="89" t="str">
        <f>Registro!X277</f>
        <v>d) No pertenezco a grupos juveniles cristianos</v>
      </c>
      <c r="AA277" s="89" t="str">
        <f>Registro!Y277</f>
        <v>b) No</v>
      </c>
      <c r="AB277" s="89" t="str">
        <f>Registro!Z277</f>
        <v>b) No</v>
      </c>
      <c r="AC277" s="89" t="str">
        <f>Registro!AA277</f>
        <v>d) Ingeniería, g) Artista</v>
      </c>
      <c r="AD277" s="94">
        <f t="shared" si="22"/>
        <v>2</v>
      </c>
      <c r="AE277" s="89" t="str">
        <f>Registro!AB277</f>
        <v>d) Desarrollarme personalmente</v>
      </c>
      <c r="AF277" s="89" t="str">
        <f>Registro!AC277</f>
        <v>b) Poco</v>
      </c>
      <c r="AG277" s="89" t="str">
        <f>Registro!AD277</f>
        <v>b) El ambiente de estudio y de trabajo, c) Las instalaciones del Colegio</v>
      </c>
      <c r="AH277" s="94">
        <f t="shared" si="23"/>
        <v>2</v>
      </c>
      <c r="AI277" s="89" t="str">
        <f>Registro!AE277</f>
        <v>a) 0 a 2 horas</v>
      </c>
      <c r="AJ277" s="89" t="str">
        <f>Registro!AF277</f>
        <v>f) Toco un instrumento musical, k) Practico algún deporte, l) Escucho música y/o veo videos musicales</v>
      </c>
      <c r="AK277" s="94">
        <f t="shared" si="24"/>
        <v>3</v>
      </c>
      <c r="AL277" s="89" t="str">
        <f>Registro!AG277</f>
        <v>c) Regular</v>
      </c>
      <c r="AM277" s="89" t="str">
        <f>Registro!AH277</f>
        <v>b) Buena</v>
      </c>
      <c r="AN277" s="89" t="str">
        <f>Registro!AI277</f>
        <v>c) Regular</v>
      </c>
      <c r="AO277" s="89" t="str">
        <f>Registro!AJ277</f>
        <v>c) Regular</v>
      </c>
      <c r="AP277" s="89" t="str">
        <f>Registro!AK277</f>
        <v>c) Regular</v>
      </c>
      <c r="AQ277" s="89">
        <f>Registro!AL277</f>
        <v>0</v>
      </c>
      <c r="AR277" s="89" t="str">
        <f>Registro!AM277</f>
        <v>b) Buena</v>
      </c>
      <c r="AS277" s="89" t="str">
        <f>Registro!AN277</f>
        <v>b) Buena</v>
      </c>
      <c r="AT277" s="89" t="str">
        <f>Registro!AO277</f>
        <v>c) Regular</v>
      </c>
      <c r="AU277" s="89" t="str">
        <f>Registro!AP277</f>
        <v>b) Buena</v>
      </c>
      <c r="AV277" s="89" t="str">
        <f>Registro!AQ277</f>
        <v>b) Buena</v>
      </c>
      <c r="AW277" s="89" t="str">
        <f>Registro!AR277</f>
        <v>b) La orientación cristiana</v>
      </c>
      <c r="AX277" s="89" t="str">
        <f>Registro!AS277</f>
        <v>g) No tienen una preocupación especial</v>
      </c>
      <c r="AY277" s="89" t="str">
        <f>Registro!AT277</f>
        <v>c) Conveniente</v>
      </c>
      <c r="AZ277" s="89" t="str">
        <f>Registro!AU277</f>
        <v>b) Las veces que bebo, es con moderación</v>
      </c>
      <c r="BA277" s="89" t="str">
        <f>Registro!AV277</f>
        <v>b) Profesionales que no se preocupan de nosotros</v>
      </c>
      <c r="BB277" s="89" t="str">
        <f>Registro!AW277</f>
        <v>b) Poco</v>
      </c>
      <c r="BC277" s="89" t="str">
        <f>Registro!AX277</f>
        <v>d) Hay de todo tipo, pero predomina lo positivo</v>
      </c>
      <c r="BD277" s="89" t="str">
        <f>Registro!AY277</f>
        <v>a) Mi padre, b) Mi madre, c) Un hermano/a, g) Un amigo, h) Una amiga</v>
      </c>
    </row>
    <row r="278" spans="1:56" ht="15" customHeight="1" x14ac:dyDescent="0.25">
      <c r="A278" s="101">
        <f>Registro!A278</f>
        <v>42190.352824074071</v>
      </c>
      <c r="B278" s="89" t="str">
        <f>Registro!B278</f>
        <v>a) Calasanz de Caracas</v>
      </c>
      <c r="C278" s="89" t="str">
        <f>Registro!C278</f>
        <v>b) Tercer año</v>
      </c>
      <c r="D278" s="89" t="str">
        <f>Registro!D278</f>
        <v>a) Educación Inicial</v>
      </c>
      <c r="E278" s="89" t="str">
        <f>Registro!E278</f>
        <v>a) Masculino</v>
      </c>
      <c r="F278" s="89" t="str">
        <f>Registro!F278</f>
        <v>a) Católica</v>
      </c>
      <c r="G278" s="89" t="str">
        <f>Registro!G278</f>
        <v>a) Mamá</v>
      </c>
      <c r="H278" s="89" t="str">
        <f>Registro!H278</f>
        <v>c) Apartamento</v>
      </c>
      <c r="I278" s="89" t="str">
        <f>Registro!I278</f>
        <v>a) Sí</v>
      </c>
      <c r="J278" s="89" t="str">
        <f>Registro!J278</f>
        <v>a) Cónsola videojuegos, b) Lavadora, c) Microondas, d) TV pantalla plana, g) MP4, h) Carro, i) Computadora, j) Cámara digital</v>
      </c>
      <c r="K278" s="89" t="str">
        <f>Registro!K278</f>
        <v>d) Tres</v>
      </c>
      <c r="L278" s="89" t="str">
        <f>Registro!L278</f>
        <v>a) La familia, b) Los amigos, c) Los estudios</v>
      </c>
      <c r="M278" s="94">
        <f t="shared" ref="M278:M341" si="25">COUNTIF(L278,"*a)*")+COUNTIF(L278,"*b)*")+COUNTIF(L278,"*c)*")+COUNTIF(L278,"*d)*")+COUNTIF(L278,"*e)*")+COUNTIF(L278,"*f)*")+COUNTIF(L278,"*g)*")+COUNTIF(L278,"*h)*")+COUNTIF(L278,"*i)*")+COUNTIF(L278,"*j)*")+COUNTIF(L278,"*k)*")+COUNTIF(L278,"*l)*")+COUNTIF(L278,"*m)*")+COUNTIF(L278,"*n)*")+COUNTIF(L278,"*o)*")+COUNTIF(L278,"*p)*")</f>
        <v>3</v>
      </c>
      <c r="N278" s="89" t="str">
        <f>Registro!M278</f>
        <v>g) Mis estudios</v>
      </c>
      <c r="O278" s="89" t="str">
        <f>Registro!N278</f>
        <v>b) Suficiente</v>
      </c>
      <c r="P278" s="89" t="str">
        <f>Registro!O278</f>
        <v>c) Poco</v>
      </c>
      <c r="Q278" s="89" t="str">
        <f>Registro!P278</f>
        <v>c) Poco</v>
      </c>
      <c r="R278" s="89" t="str">
        <f>Registro!Q278</f>
        <v>a) La familia, c) Los estudios, g) La felicidad</v>
      </c>
      <c r="S278" s="94">
        <f t="shared" ref="S278:S341" si="26">COUNTIF(R278,"*a)*")+COUNTIF(R278,"*b)*")+COUNTIF(R278,"*c)*")+COUNTIF(R278,"*d)*")+COUNTIF(R278,"*e)*")+COUNTIF(R278,"*f)*")+COUNTIF(R278,"*g)*")+COUNTIF(R278,"*h)*")+COUNTIF(R278,"*i)*")+COUNTIF(R278,"*j)*")+COUNTIF(R278,"*k)*")+COUNTIF(R278,"*l)*")+COUNTIF(R278,"*m)*")+COUNTIF(R278,"*n)*")+COUNTIF(R278,"*o)*")+COUNTIF(R278,"*p)*")</f>
        <v>3</v>
      </c>
      <c r="T278" s="89" t="str">
        <f>Registro!R278</f>
        <v>b) Suficiente</v>
      </c>
      <c r="U278" s="89" t="str">
        <f>Registro!S278</f>
        <v>a) La Iglesia, c) El salón de clase, k) La oración, l) Los sacramentos</v>
      </c>
      <c r="V278" s="89" t="str">
        <f>Registro!T278</f>
        <v>d) No rezo nunca</v>
      </c>
      <c r="W278" s="89" t="str">
        <f>Registro!U278</f>
        <v>d) Nunca</v>
      </c>
      <c r="X278" s="89" t="str">
        <f>Registro!V278</f>
        <v>i) Tengo en mi cuarto alguna imagen religiosa</v>
      </c>
      <c r="Y278" s="89" t="str">
        <f>Registro!W278</f>
        <v>a) Deportivo</v>
      </c>
      <c r="Z278" s="89" t="str">
        <f>Registro!X278</f>
        <v>d) No pertenezco a grupos juveniles cristianos</v>
      </c>
      <c r="AA278" s="89" t="str">
        <f>Registro!Y278</f>
        <v>b) No</v>
      </c>
      <c r="AB278" s="89" t="str">
        <f>Registro!Z278</f>
        <v>b) No</v>
      </c>
      <c r="AC278" s="89"/>
      <c r="AD278" s="94">
        <f t="shared" ref="AD278:AD341" si="27">COUNTIF(AC278,"*a)*")+COUNTIF(AC278,"*b)*")+COUNTIF(AC278,"*c)*")+COUNTIF(AC278,"*d)*")+COUNTIF(AC278,"*e)*")+COUNTIF(AC278,"*f)*")+COUNTIF(AC278,"*g)*")+COUNTIF(AC278,"*h)*")+COUNTIF(AC278,"*i)*")+COUNTIF(AC278,"*j)*")+COUNTIF(AC278,"*k)*")+COUNTIF(AC278,"*l)*")+COUNTIF(AC278,"*m)*")+COUNTIF(AC278,"*n)*")+COUNTIF(AC278,"*o)*")+COUNTIF(AC278,"*p)*")</f>
        <v>0</v>
      </c>
      <c r="AE278" s="89" t="str">
        <f>Registro!AB278</f>
        <v>c) Ser un excelente profesional</v>
      </c>
      <c r="AF278" s="89" t="str">
        <f>Registro!AC278</f>
        <v>b) Poco</v>
      </c>
      <c r="AG278" s="89" t="str">
        <f>Registro!AD278</f>
        <v>a) Los deportes y diversiones, c) Las instalaciones del Colegio</v>
      </c>
      <c r="AH278" s="94">
        <f t="shared" si="23"/>
        <v>2</v>
      </c>
      <c r="AI278" s="89" t="str">
        <f>Registro!AE278</f>
        <v>a) 0 a 2 horas</v>
      </c>
      <c r="AJ278" s="89" t="str">
        <f>Registro!AF278</f>
        <v>a) Me divierto con juegos para computadoras, d) Estoy la mayor parte del tiempo en la casa sin hacer nada, l) Escucho música y/o veo videos musicales</v>
      </c>
      <c r="AK278" s="94">
        <f t="shared" si="24"/>
        <v>3</v>
      </c>
      <c r="AL278" s="89" t="str">
        <f>Registro!AG278</f>
        <v>c) Regular</v>
      </c>
      <c r="AM278" s="89" t="str">
        <f>Registro!AH278</f>
        <v>b) Buena</v>
      </c>
      <c r="AN278" s="89" t="str">
        <f>Registro!AI278</f>
        <v>b) Buena</v>
      </c>
      <c r="AO278" s="89" t="str">
        <f>Registro!AJ278</f>
        <v>b) Buena</v>
      </c>
      <c r="AP278" s="89" t="str">
        <f>Registro!AK278</f>
        <v>c) Regular</v>
      </c>
      <c r="AQ278" s="89" t="str">
        <f>Registro!AL278</f>
        <v>b) Buena</v>
      </c>
      <c r="AR278" s="89" t="str">
        <f>Registro!AM278</f>
        <v>c) Regular</v>
      </c>
      <c r="AS278" s="89" t="str">
        <f>Registro!AN278</f>
        <v>b) Buena</v>
      </c>
      <c r="AT278" s="89" t="str">
        <f>Registro!AO278</f>
        <v>c) Regular</v>
      </c>
      <c r="AU278" s="89" t="str">
        <f>Registro!AP278</f>
        <v>c) Regular</v>
      </c>
      <c r="AV278" s="89" t="str">
        <f>Registro!AQ278</f>
        <v>b) Buena</v>
      </c>
      <c r="AW278" s="89" t="str">
        <f>Registro!AR278</f>
        <v>b) La orientación cristiana</v>
      </c>
      <c r="AX278" s="89" t="str">
        <f>Registro!AS278</f>
        <v>a) Que sea un buen profesional</v>
      </c>
      <c r="AY278" s="89" t="str">
        <f>Registro!AT278</f>
        <v>c) Conveniente</v>
      </c>
      <c r="AZ278" s="89" t="str">
        <f>Registro!AU278</f>
        <v>b) Las veces que bebo, es con moderación</v>
      </c>
      <c r="BA278" s="89" t="str">
        <f>Registro!AV278</f>
        <v>c) Profesionales que hacen lo que pueden</v>
      </c>
      <c r="BB278" s="89" t="str">
        <f>Registro!AW278</f>
        <v>c) Bastante</v>
      </c>
      <c r="BC278" s="89" t="str">
        <f>Registro!AX278</f>
        <v>c) Son personas normales y corrientes</v>
      </c>
      <c r="BD278" s="89" t="str">
        <f>Registro!AY278</f>
        <v>k) No tengo problemas personales</v>
      </c>
    </row>
    <row r="279" spans="1:56" ht="15" customHeight="1" x14ac:dyDescent="0.25">
      <c r="A279" s="101">
        <f>Registro!A279</f>
        <v>42190.352835648147</v>
      </c>
      <c r="B279" s="89" t="str">
        <f>Registro!B279</f>
        <v>a) Calasanz de Caracas</v>
      </c>
      <c r="C279" s="89" t="str">
        <f>Registro!C279</f>
        <v>b) Tercer año</v>
      </c>
      <c r="D279" s="89" t="str">
        <f>Registro!D279</f>
        <v>a) Educación Inicial</v>
      </c>
      <c r="E279" s="89" t="str">
        <f>Registro!E279</f>
        <v>b) Femenino</v>
      </c>
      <c r="F279" s="89" t="str">
        <f>Registro!F279</f>
        <v>a) Católica</v>
      </c>
      <c r="G279" s="89" t="str">
        <f>Registro!G279</f>
        <v>a) Mamá, b) Papá, c) Hermanos</v>
      </c>
      <c r="H279" s="89" t="str">
        <f>Registro!H279</f>
        <v>d) Casa Rural</v>
      </c>
      <c r="I279" s="89" t="str">
        <f>Registro!I279</f>
        <v>d) No sé</v>
      </c>
      <c r="J279" s="89" t="str">
        <f>Registro!J279</f>
        <v>a) Cónsola videojuegos, b) Lavadora, c) Microondas, d) TV pantalla plana, e) Moto, g) MP4, h) Carro, i) Computadora, j) Cámara digital</v>
      </c>
      <c r="K279" s="89" t="str">
        <f>Registro!K279</f>
        <v>e) Cuatro</v>
      </c>
      <c r="L279" s="89" t="str">
        <f>Registro!L279</f>
        <v>a) La familia</v>
      </c>
      <c r="M279" s="94">
        <f t="shared" si="25"/>
        <v>1</v>
      </c>
      <c r="N279" s="89" t="str">
        <f>Registro!M279</f>
        <v>b) El futuro</v>
      </c>
      <c r="O279" s="89" t="str">
        <f>Registro!N279</f>
        <v>b) Suficiente</v>
      </c>
      <c r="P279" s="89" t="str">
        <f>Registro!O279</f>
        <v>c) Poco</v>
      </c>
      <c r="Q279" s="89" t="str">
        <f>Registro!P279</f>
        <v>b) Suficiente</v>
      </c>
      <c r="R279" s="89" t="str">
        <f>Registro!Q279</f>
        <v>a) La familia, c) Los estudios, g) La felicidad</v>
      </c>
      <c r="S279" s="94">
        <f t="shared" si="26"/>
        <v>3</v>
      </c>
      <c r="T279" s="89" t="str">
        <f>Registro!R279</f>
        <v>a) Mucho</v>
      </c>
      <c r="U279" s="89" t="str">
        <f>Registro!S279</f>
        <v>g) Mi familia, h) Algunas personas cercanas a Dios, k) La oración</v>
      </c>
      <c r="V279" s="89" t="str">
        <f>Registro!T279</f>
        <v>a) Suelo rezar por convicción o porque me gusta</v>
      </c>
      <c r="W279" s="89" t="str">
        <f>Registro!U279</f>
        <v>d) Nunca</v>
      </c>
      <c r="X279" s="89" t="str">
        <f>Registro!V279</f>
        <v>d) Suelo orar todos los días, g) En ocasiones, en mi casa tenemos una oración familiar</v>
      </c>
      <c r="Y279" s="89" t="str">
        <f>Registro!W279</f>
        <v>d) No pertenezco a ninguno</v>
      </c>
      <c r="Z279" s="89" t="str">
        <f>Registro!X279</f>
        <v>d) No pertenezco a grupos juveniles cristianos</v>
      </c>
      <c r="AA279" s="89" t="str">
        <f>Registro!Y279</f>
        <v>b) No</v>
      </c>
      <c r="AB279" s="89" t="str">
        <f>Registro!Z279</f>
        <v>b) No</v>
      </c>
      <c r="AC279" s="89" t="str">
        <f>Registro!AA279</f>
        <v>a) Medicina, d) Ingeniería</v>
      </c>
      <c r="AD279" s="94">
        <f t="shared" si="27"/>
        <v>2</v>
      </c>
      <c r="AE279" s="89" t="str">
        <f>Registro!AB279</f>
        <v>c) Ser un excelente profesional</v>
      </c>
      <c r="AF279" s="89" t="str">
        <f>Registro!AC279</f>
        <v>a) No, en absoluto</v>
      </c>
      <c r="AG279" s="89" t="str">
        <f>Registro!AD279</f>
        <v>b) El ambiente de estudio y de trabajo, c) Las instalaciones del Colegio</v>
      </c>
      <c r="AH279" s="94">
        <f t="shared" si="23"/>
        <v>2</v>
      </c>
      <c r="AI279" s="89" t="str">
        <f>Registro!AE279</f>
        <v>d) 7 a 8 horas</v>
      </c>
      <c r="AJ279" s="89" t="str">
        <f>Registro!AF279</f>
        <v>b) Navego en Internet, k) Practico algún deporte</v>
      </c>
      <c r="AK279" s="94">
        <f t="shared" si="24"/>
        <v>2</v>
      </c>
      <c r="AL279" s="89" t="str">
        <f>Registro!AG279</f>
        <v>b) Bueno</v>
      </c>
      <c r="AM279" s="89" t="str">
        <f>Registro!AH279</f>
        <v>f) No aplica</v>
      </c>
      <c r="AN279" s="89" t="str">
        <f>Registro!AI279</f>
        <v>f) No aplica</v>
      </c>
      <c r="AO279" s="89" t="str">
        <f>Registro!AJ279</f>
        <v>b) Buena</v>
      </c>
      <c r="AP279" s="89" t="str">
        <f>Registro!AK279</f>
        <v>c) Regular</v>
      </c>
      <c r="AQ279" s="89" t="str">
        <f>Registro!AL279</f>
        <v>a) Muy buena</v>
      </c>
      <c r="AR279" s="89" t="str">
        <f>Registro!AM279</f>
        <v>b) Buena</v>
      </c>
      <c r="AS279" s="89" t="str">
        <f>Registro!AN279</f>
        <v>b) Buena</v>
      </c>
      <c r="AT279" s="89" t="str">
        <f>Registro!AO279</f>
        <v>c) Regular</v>
      </c>
      <c r="AU279" s="89" t="str">
        <f>Registro!AP279</f>
        <v>b) Buena</v>
      </c>
      <c r="AV279" s="89" t="str">
        <f>Registro!AQ279</f>
        <v>b) Buena</v>
      </c>
      <c r="AW279" s="89" t="str">
        <f>Registro!AR279</f>
        <v>b) La orientación cristiana</v>
      </c>
      <c r="AX279" s="89" t="str">
        <f>Registro!AS279</f>
        <v>a) Que sea un buen profesional</v>
      </c>
      <c r="AY279" s="89" t="str">
        <f>Registro!AT279</f>
        <v>c) Conveniente</v>
      </c>
      <c r="AZ279" s="89" t="str">
        <f>Registro!AU279</f>
        <v>c) Alguna vez he bebido más de la cuenta</v>
      </c>
      <c r="BA279" s="89" t="str">
        <f>Registro!AV279</f>
        <v>e) Educadores que se preocupan de nosotros</v>
      </c>
      <c r="BB279" s="89" t="str">
        <f>Registro!AW279</f>
        <v>c) Bastante</v>
      </c>
      <c r="BC279" s="89" t="str">
        <f>Registro!AX279</f>
        <v>d) Hay de todo tipo, pero predomina lo positivo</v>
      </c>
      <c r="BD279" s="89" t="str">
        <f>Registro!AY279</f>
        <v>a) Mi padre, c) Un hermano/a, h) Una amiga</v>
      </c>
    </row>
    <row r="280" spans="1:56" ht="15" customHeight="1" x14ac:dyDescent="0.25">
      <c r="A280" s="101">
        <f>Registro!A280</f>
        <v>42190.353344907409</v>
      </c>
      <c r="B280" s="89" t="str">
        <f>Registro!B280</f>
        <v>a) Calasanz de Caracas</v>
      </c>
      <c r="C280" s="89" t="str">
        <f>Registro!C280</f>
        <v>b) Tercer año</v>
      </c>
      <c r="D280" s="89" t="str">
        <f>Registro!D280</f>
        <v>a) Educación Inicial</v>
      </c>
      <c r="E280" s="89" t="str">
        <f>Registro!E280</f>
        <v>a) Masculino</v>
      </c>
      <c r="F280" s="89" t="str">
        <f>Registro!F280</f>
        <v>a) Católica</v>
      </c>
      <c r="G280" s="89" t="str">
        <f>Registro!G280</f>
        <v>a) Mamá, b) Papá, c) Hermanos, d) Abuelos, e) Otros familiares</v>
      </c>
      <c r="H280" s="89" t="str">
        <f>Registro!H280</f>
        <v>b) Casa Urbana</v>
      </c>
      <c r="I280" s="89" t="str">
        <f>Registro!I280</f>
        <v>c) Algo</v>
      </c>
      <c r="J280" s="89" t="str">
        <f>Registro!J280</f>
        <v>b) Lavadora, c) Microondas, h) Carro, i) Computadora</v>
      </c>
      <c r="K280" s="89" t="str">
        <f>Registro!K280</f>
        <v>e) Cuatro</v>
      </c>
      <c r="L280" s="89"/>
      <c r="M280" s="94">
        <f t="shared" si="25"/>
        <v>0</v>
      </c>
      <c r="N280" s="89" t="str">
        <f>Registro!M280</f>
        <v>d) Los problemas familiares</v>
      </c>
      <c r="O280" s="89" t="str">
        <f>Registro!N280</f>
        <v>b) Suficiente</v>
      </c>
      <c r="P280" s="89" t="str">
        <f>Registro!O280</f>
        <v>a) Mucho</v>
      </c>
      <c r="Q280" s="89" t="str">
        <f>Registro!P280</f>
        <v>c) Poco</v>
      </c>
      <c r="R280" s="89" t="str">
        <f>Registro!Q280</f>
        <v>a) La familia, c) Los estudios, e) Disponer de dinero</v>
      </c>
      <c r="S280" s="94">
        <f t="shared" si="26"/>
        <v>3</v>
      </c>
      <c r="T280" s="89" t="str">
        <f>Registro!R280</f>
        <v>b) Suficiente</v>
      </c>
      <c r="U280" s="89" t="str">
        <f>Registro!S280</f>
        <v>a) La Iglesia, h) Algunas personas cercanas a Dios, l) Los sacramentos</v>
      </c>
      <c r="V280" s="89" t="str">
        <f>Registro!T280</f>
        <v>c) Rezo solo en situación de dificultad</v>
      </c>
      <c r="W280" s="89" t="str">
        <f>Registro!U280</f>
        <v>c) Solo en fechas especiales</v>
      </c>
      <c r="X280" s="89" t="str">
        <f>Registro!V280</f>
        <v>c) Suelo ir los domingos y otras fechas especiales a la Iglesia, d) Suelo orar todos los días</v>
      </c>
      <c r="Y280" s="89" t="str">
        <f>Registro!W280</f>
        <v>a) Deportivo</v>
      </c>
      <c r="Z280" s="89" t="str">
        <f>Registro!X280</f>
        <v>b) Un lugar donde comparto con mis compañeros</v>
      </c>
      <c r="AA280" s="89" t="str">
        <f>Registro!Y280</f>
        <v>b) No</v>
      </c>
      <c r="AB280" s="89" t="str">
        <f>Registro!Z280</f>
        <v>b) No</v>
      </c>
      <c r="AC280" s="89" t="str">
        <f>Registro!AA280</f>
        <v>d) Ingeniería, g) Artista</v>
      </c>
      <c r="AD280" s="94">
        <f t="shared" si="27"/>
        <v>2</v>
      </c>
      <c r="AE280" s="89" t="str">
        <f>Registro!AB280</f>
        <v>e) Servir a los demás</v>
      </c>
      <c r="AF280" s="89" t="str">
        <f>Registro!AC280</f>
        <v>b) Poco</v>
      </c>
      <c r="AG280" s="89"/>
      <c r="AH280" s="94">
        <f t="shared" si="23"/>
        <v>0</v>
      </c>
      <c r="AI280" s="89" t="str">
        <f>Registro!AE280</f>
        <v>a) 0 a 2 horas</v>
      </c>
      <c r="AJ280" s="89"/>
      <c r="AK280" s="94">
        <f t="shared" si="24"/>
        <v>0</v>
      </c>
      <c r="AL280" s="89" t="str">
        <f>Registro!AG280</f>
        <v>b) Bueno</v>
      </c>
      <c r="AM280" s="89" t="str">
        <f>Registro!AH280</f>
        <v>b) Buena</v>
      </c>
      <c r="AN280" s="89" t="str">
        <f>Registro!AI280</f>
        <v>b) Buena</v>
      </c>
      <c r="AO280" s="89" t="str">
        <f>Registro!AJ280</f>
        <v>a) Muy buena</v>
      </c>
      <c r="AP280" s="89" t="str">
        <f>Registro!AK280</f>
        <v>b) Buena</v>
      </c>
      <c r="AQ280" s="89" t="str">
        <f>Registro!AL280</f>
        <v>a) Muy buena</v>
      </c>
      <c r="AR280" s="89" t="str">
        <f>Registro!AM280</f>
        <v>a) Muy buena</v>
      </c>
      <c r="AS280" s="89" t="str">
        <f>Registro!AN280</f>
        <v>c) Regular</v>
      </c>
      <c r="AT280" s="89" t="str">
        <f>Registro!AO280</f>
        <v>a) Muy buena</v>
      </c>
      <c r="AU280" s="89" t="str">
        <f>Registro!AP280</f>
        <v>b) Buena</v>
      </c>
      <c r="AV280" s="89" t="str">
        <f>Registro!AQ280</f>
        <v>a) Muy buena</v>
      </c>
      <c r="AW280" s="89" t="str">
        <f>Registro!AR280</f>
        <v>a) El compañerismo</v>
      </c>
      <c r="AX280" s="89">
        <f>Registro!AS280</f>
        <v>0</v>
      </c>
      <c r="AY280" s="89" t="str">
        <f>Registro!AT280</f>
        <v>d) Bastante necesaria</v>
      </c>
      <c r="AZ280" s="89" t="str">
        <f>Registro!AU280</f>
        <v>b) Las veces que bebo, es con moderación</v>
      </c>
      <c r="BA280" s="89" t="str">
        <f>Registro!AV280</f>
        <v>f) Educadores que, además, me han abierto caminos</v>
      </c>
      <c r="BB280" s="89" t="str">
        <f>Registro!AW280</f>
        <v>c) Bastante</v>
      </c>
      <c r="BC280" s="89" t="str">
        <f>Registro!AX280</f>
        <v>e) Son personas que me gustan y admiro</v>
      </c>
      <c r="BD280" s="89" t="str">
        <f>Registro!AY280</f>
        <v>f) La orientadora, g) Un amigo, h) Una amiga</v>
      </c>
    </row>
    <row r="281" spans="1:56" ht="15" customHeight="1" x14ac:dyDescent="0.25">
      <c r="A281" s="101">
        <f>Registro!A281</f>
        <v>42190.353842592594</v>
      </c>
      <c r="B281" s="89" t="str">
        <f>Registro!B281</f>
        <v>a) Calasanz de Caracas</v>
      </c>
      <c r="C281" s="89" t="str">
        <f>Registro!C281</f>
        <v>b) Tercer año</v>
      </c>
      <c r="D281" s="89" t="str">
        <f>Registro!D281</f>
        <v>a) Educación Inicial</v>
      </c>
      <c r="E281" s="89" t="str">
        <f>Registro!E281</f>
        <v>b) Femenino</v>
      </c>
      <c r="F281" s="89" t="str">
        <f>Registro!F281</f>
        <v>a) Católica</v>
      </c>
      <c r="G281" s="89" t="str">
        <f>Registro!G281</f>
        <v>a) Mamá, b) Papá, c) Hermanos, d) Abuelos, e) Otros familiares</v>
      </c>
      <c r="H281" s="89" t="str">
        <f>Registro!H281</f>
        <v>c) Apartamento</v>
      </c>
      <c r="I281" s="89" t="str">
        <f>Registro!I281</f>
        <v>a) Sí</v>
      </c>
      <c r="J281" s="89" t="str">
        <f>Registro!J281</f>
        <v>a) Cónsola videojuegos, b) Lavadora, c) Microondas, d) TV pantalla plana, g) MP4, h) Carro, i) Computadora, j) Cámara digital</v>
      </c>
      <c r="K281" s="89" t="str">
        <f>Registro!K281</f>
        <v>c) Dos</v>
      </c>
      <c r="L281" s="89" t="str">
        <f>Registro!L281</f>
        <v>a) La familia, b) Los amigos, d) El cuidado de mi cuerpo</v>
      </c>
      <c r="M281" s="94">
        <f t="shared" si="25"/>
        <v>3</v>
      </c>
      <c r="N281" s="89" t="str">
        <f>Registro!M281</f>
        <v>f) La situación política del país</v>
      </c>
      <c r="O281" s="89" t="str">
        <f>Registro!N281</f>
        <v>b) Suficiente</v>
      </c>
      <c r="P281" s="89" t="str">
        <f>Registro!O281</f>
        <v>b) Suficiente</v>
      </c>
      <c r="Q281" s="89" t="str">
        <f>Registro!P281</f>
        <v>b) Suficiente</v>
      </c>
      <c r="R281" s="89" t="str">
        <f>Registro!Q281</f>
        <v>a) La familia, c) Los estudios, e) Disponer de dinero</v>
      </c>
      <c r="S281" s="94">
        <f t="shared" si="26"/>
        <v>3</v>
      </c>
      <c r="T281" s="89" t="str">
        <f>Registro!R281</f>
        <v>a) Mucho</v>
      </c>
      <c r="U281" s="89" t="str">
        <f>Registro!S281</f>
        <v>a) La Iglesia, b) La naturaleza, g) Mi familia, h) Algunas personas cercanas a Dios, k) La oración</v>
      </c>
      <c r="V281" s="89" t="str">
        <f>Registro!T281</f>
        <v>b) Rezo por costumbre</v>
      </c>
      <c r="W281" s="89" t="str">
        <f>Registro!U281</f>
        <v>a) Todos los domingos</v>
      </c>
      <c r="X281" s="89" t="str">
        <f>Registro!V281</f>
        <v>c) Suelo ir los domingos y otras fechas especiales a la Iglesia, e) Voy a misa en las fechas de mis familiares difuntos, g) En ocasiones, en mi casa tenemos una oración familiar, i) Tengo en mi cuarto alguna imagen religiosa</v>
      </c>
      <c r="Y281" s="89" t="str">
        <f>Registro!W281</f>
        <v>d) No pertenezco a ninguno</v>
      </c>
      <c r="Z281" s="89" t="str">
        <f>Registro!X281</f>
        <v>d) No pertenezco a grupos juveniles cristianos</v>
      </c>
      <c r="AA281" s="89" t="str">
        <f>Registro!Y281</f>
        <v>b) No</v>
      </c>
      <c r="AB281" s="89" t="str">
        <f>Registro!Z281</f>
        <v>b) No</v>
      </c>
      <c r="AC281" s="89" t="str">
        <f>Registro!AA281</f>
        <v>a) Medicina, i) Comerciante</v>
      </c>
      <c r="AD281" s="94">
        <f t="shared" si="27"/>
        <v>2</v>
      </c>
      <c r="AE281" s="89" t="str">
        <f>Registro!AB281</f>
        <v>c) Ser un excelente profesional</v>
      </c>
      <c r="AF281" s="89" t="str">
        <f>Registro!AC281</f>
        <v>e) No sé</v>
      </c>
      <c r="AG281" s="89" t="str">
        <f>Registro!AD281</f>
        <v>c) Las instalaciones del Colegio</v>
      </c>
      <c r="AH281" s="94">
        <f t="shared" si="23"/>
        <v>1</v>
      </c>
      <c r="AI281" s="89" t="str">
        <f>Registro!AE281</f>
        <v>a) 0 a 2 horas</v>
      </c>
      <c r="AJ281" s="89"/>
      <c r="AK281" s="94">
        <f t="shared" si="24"/>
        <v>0</v>
      </c>
      <c r="AL281" s="89" t="str">
        <f>Registro!AG281</f>
        <v>c) Regular</v>
      </c>
      <c r="AM281" s="89" t="str">
        <f>Registro!AH281</f>
        <v>c) Regular</v>
      </c>
      <c r="AN281" s="89" t="str">
        <f>Registro!AI281</f>
        <v>f) No aplica</v>
      </c>
      <c r="AO281" s="89" t="str">
        <f>Registro!AJ281</f>
        <v>c) Regular</v>
      </c>
      <c r="AP281" s="89" t="str">
        <f>Registro!AK281</f>
        <v>b) Buena</v>
      </c>
      <c r="AQ281" s="89" t="str">
        <f>Registro!AL281</f>
        <v>c) Regular</v>
      </c>
      <c r="AR281" s="89" t="str">
        <f>Registro!AM281</f>
        <v>d) Mala</v>
      </c>
      <c r="AS281" s="89" t="str">
        <f>Registro!AN281</f>
        <v>c) Regular</v>
      </c>
      <c r="AT281" s="89" t="str">
        <f>Registro!AO281</f>
        <v>c) Regular</v>
      </c>
      <c r="AU281" s="89" t="str">
        <f>Registro!AP281</f>
        <v>b) Buena</v>
      </c>
      <c r="AV281" s="89" t="str">
        <f>Registro!AQ281</f>
        <v>c) Regular</v>
      </c>
      <c r="AW281" s="89" t="str">
        <f>Registro!AR281</f>
        <v>a) El compañerismo</v>
      </c>
      <c r="AX281" s="89" t="str">
        <f>Registro!AS281</f>
        <v>h) No sé</v>
      </c>
      <c r="AY281" s="89" t="str">
        <f>Registro!AT281</f>
        <v>d) Bastante necesaria</v>
      </c>
      <c r="AZ281" s="89" t="str">
        <f>Registro!AU281</f>
        <v>a) No acostumbro a tomarlo nunca</v>
      </c>
      <c r="BA281" s="89" t="str">
        <f>Registro!AV281</f>
        <v>a) Personas a las que tengo que aguantar</v>
      </c>
      <c r="BB281" s="89" t="str">
        <f>Registro!AW281</f>
        <v>b) Poco</v>
      </c>
      <c r="BC281" s="89" t="str">
        <f>Registro!AX281</f>
        <v>c) Son personas normales y corrientes</v>
      </c>
      <c r="BD281" s="89" t="str">
        <f>Registro!AY281</f>
        <v>c) Un hermano/a, g) Un amigo, h) Una amiga</v>
      </c>
    </row>
    <row r="282" spans="1:56" ht="15" customHeight="1" x14ac:dyDescent="0.25">
      <c r="A282" s="101">
        <f>Registro!A282</f>
        <v>42190.354085648149</v>
      </c>
      <c r="B282" s="89" t="str">
        <f>Registro!B282</f>
        <v>a) Calasanz de Caracas</v>
      </c>
      <c r="C282" s="89" t="str">
        <f>Registro!C282</f>
        <v>b) Tercer año</v>
      </c>
      <c r="D282" s="89" t="str">
        <f>Registro!D282</f>
        <v>a) Educación Inicial</v>
      </c>
      <c r="E282" s="89" t="str">
        <f>Registro!E282</f>
        <v>b) Femenino</v>
      </c>
      <c r="F282" s="89" t="str">
        <f>Registro!F282</f>
        <v>a) Católica</v>
      </c>
      <c r="G282" s="89" t="str">
        <f>Registro!G282</f>
        <v>a) Mamá, b) Papá, c) Hermanos, d) Abuelos</v>
      </c>
      <c r="H282" s="89" t="str">
        <f>Registro!H282</f>
        <v>c) Apartamento</v>
      </c>
      <c r="I282" s="89" t="str">
        <f>Registro!I282</f>
        <v>a) Sí</v>
      </c>
      <c r="J282" s="89" t="str">
        <f>Registro!J282</f>
        <v>a) Cónsola videojuegos, b) Lavadora, c) Microondas, d) TV pantalla plana, f) MP3, g) MP4, h) Carro, i) Computadora, j) Cámara digital</v>
      </c>
      <c r="K282" s="89" t="str">
        <f>Registro!K282</f>
        <v>d) Tres</v>
      </c>
      <c r="L282" s="89" t="str">
        <f>Registro!L282</f>
        <v>a) La familia, b) Los amigos, g) La felicidad</v>
      </c>
      <c r="M282" s="94">
        <f t="shared" si="25"/>
        <v>3</v>
      </c>
      <c r="N282" s="89" t="str">
        <f>Registro!M282</f>
        <v>b) El futuro</v>
      </c>
      <c r="O282" s="89" t="str">
        <f>Registro!N282</f>
        <v>a) Mucho</v>
      </c>
      <c r="P282" s="89" t="str">
        <f>Registro!O282</f>
        <v>b) Suficiente</v>
      </c>
      <c r="Q282" s="89" t="str">
        <f>Registro!P282</f>
        <v>c) Poco</v>
      </c>
      <c r="R282" s="89" t="str">
        <f>Registro!Q282</f>
        <v>c) Los estudios, d) El cuidado de mi cuerpo, e) Disponer de dinero</v>
      </c>
      <c r="S282" s="94">
        <f t="shared" si="26"/>
        <v>3</v>
      </c>
      <c r="T282" s="89" t="str">
        <f>Registro!R282</f>
        <v>a) Mucho</v>
      </c>
      <c r="U282" s="89" t="str">
        <f>Registro!S282</f>
        <v>a) La Iglesia, b) La naturaleza, k) La oración</v>
      </c>
      <c r="V282" s="89" t="str">
        <f>Registro!T282</f>
        <v>a) Suelo rezar por convicción o porque me gusta</v>
      </c>
      <c r="W282" s="89" t="str">
        <f>Registro!U282</f>
        <v>c) Solo en fechas especiales</v>
      </c>
      <c r="X282" s="89" t="str">
        <f>Registro!V282</f>
        <v>d) Suelo orar todos los días, e) Voy a misa en las fechas de mis familiares difuntos</v>
      </c>
      <c r="Y282" s="89" t="str">
        <f>Registro!W282</f>
        <v>d) No pertenezco a ninguno</v>
      </c>
      <c r="Z282" s="89" t="str">
        <f>Registro!X282</f>
        <v>d) No pertenezco a grupos juveniles cristianos</v>
      </c>
      <c r="AA282" s="89" t="str">
        <f>Registro!Y282</f>
        <v>b) No</v>
      </c>
      <c r="AB282" s="89" t="str">
        <f>Registro!Z282</f>
        <v>b) No</v>
      </c>
      <c r="AC282" s="89" t="str">
        <f>Registro!AA282</f>
        <v>g) Artista, i) Comerciante</v>
      </c>
      <c r="AD282" s="94">
        <f t="shared" si="27"/>
        <v>2</v>
      </c>
      <c r="AE282" s="89" t="str">
        <f>Registro!AB282</f>
        <v>c) Ser un excelente profesional</v>
      </c>
      <c r="AF282" s="89" t="str">
        <f>Registro!AC282</f>
        <v>b) Poco</v>
      </c>
      <c r="AG282" s="89" t="str">
        <f>Registro!AD282</f>
        <v>a) Los deportes y diversiones, b) El ambiente de estudio y de trabajo</v>
      </c>
      <c r="AH282" s="94">
        <f t="shared" si="23"/>
        <v>2</v>
      </c>
      <c r="AI282" s="89" t="str">
        <f>Registro!AE282</f>
        <v>a) 0 a 2 horas</v>
      </c>
      <c r="AJ282" s="89" t="str">
        <f>Registro!AF282</f>
        <v>b) Navego en Internet, h) Suelo ir al cine, k) Practico algún deporte</v>
      </c>
      <c r="AK282" s="94">
        <f t="shared" si="24"/>
        <v>3</v>
      </c>
      <c r="AL282" s="89" t="str">
        <f>Registro!AG282</f>
        <v>b) Bueno</v>
      </c>
      <c r="AM282" s="89" t="str">
        <f>Registro!AH282</f>
        <v>c) Regular</v>
      </c>
      <c r="AN282" s="89" t="str">
        <f>Registro!AI282</f>
        <v>f) No aplica</v>
      </c>
      <c r="AO282" s="89" t="str">
        <f>Registro!AJ282</f>
        <v>b) Buena</v>
      </c>
      <c r="AP282" s="89" t="str">
        <f>Registro!AK282</f>
        <v>a) Muy buena</v>
      </c>
      <c r="AQ282" s="89" t="str">
        <f>Registro!AL282</f>
        <v>b) Buena</v>
      </c>
      <c r="AR282" s="89" t="str">
        <f>Registro!AM282</f>
        <v>d) Mala</v>
      </c>
      <c r="AS282" s="89" t="str">
        <f>Registro!AN282</f>
        <v>c) Regular</v>
      </c>
      <c r="AT282" s="89" t="str">
        <f>Registro!AO282</f>
        <v>b) Buena</v>
      </c>
      <c r="AU282" s="89" t="str">
        <f>Registro!AP282</f>
        <v>b) Buena</v>
      </c>
      <c r="AV282" s="89" t="str">
        <f>Registro!AQ282</f>
        <v>a) Muy buena</v>
      </c>
      <c r="AW282" s="89" t="str">
        <f>Registro!AR282</f>
        <v>h) La responsabilidad social y el servicio a los demás</v>
      </c>
      <c r="AX282" s="89" t="str">
        <f>Registro!AS282</f>
        <v>a) Que sea un buen profesional</v>
      </c>
      <c r="AY282" s="89" t="str">
        <f>Registro!AT282</f>
        <v>e) Absolutamente necesaria</v>
      </c>
      <c r="AZ282" s="89" t="str">
        <f>Registro!AU282</f>
        <v>b) Las veces que bebo, es con moderación</v>
      </c>
      <c r="BA282" s="89" t="str">
        <f>Registro!AV282</f>
        <v>d) Buenos profesionales de la educación</v>
      </c>
      <c r="BB282" s="89" t="str">
        <f>Registro!AW282</f>
        <v>b) Poco</v>
      </c>
      <c r="BC282" s="89" t="str">
        <f>Registro!AX282</f>
        <v>c) Son personas normales y corrientes</v>
      </c>
      <c r="BD282" s="89" t="str">
        <f>Registro!AY282</f>
        <v>b) Mi madre, h) Una amiga</v>
      </c>
    </row>
    <row r="283" spans="1:56" ht="15" customHeight="1" x14ac:dyDescent="0.25">
      <c r="A283" s="101">
        <f>Registro!A283</f>
        <v>42190.354201388887</v>
      </c>
      <c r="B283" s="89" t="str">
        <f>Registro!B283</f>
        <v>a) Calasanz de Caracas</v>
      </c>
      <c r="C283" s="89" t="str">
        <f>Registro!C283</f>
        <v>b) Tercer año</v>
      </c>
      <c r="D283" s="89" t="str">
        <f>Registro!D283</f>
        <v>a) Educación Inicial</v>
      </c>
      <c r="E283" s="89" t="str">
        <f>Registro!E283</f>
        <v>a) Masculino</v>
      </c>
      <c r="F283" s="89" t="str">
        <f>Registro!F283</f>
        <v>a) Católica</v>
      </c>
      <c r="G283" s="89" t="str">
        <f>Registro!G283</f>
        <v>a) Mamá, b) Papá, c) Hermanos</v>
      </c>
      <c r="H283" s="89" t="str">
        <f>Registro!H283</f>
        <v>c) Apartamento</v>
      </c>
      <c r="I283" s="89" t="str">
        <f>Registro!I283</f>
        <v>c) Algo</v>
      </c>
      <c r="J283" s="89" t="str">
        <f>Registro!J283</f>
        <v>b) Lavadora, d) TV pantalla plana, h) Carro, i) Computadora, j) Cámara digital</v>
      </c>
      <c r="K283" s="89" t="str">
        <f>Registro!K283</f>
        <v>b) Una</v>
      </c>
      <c r="L283" s="89" t="str">
        <f>Registro!L283</f>
        <v>a) La familia, c) Los estudios, i) La música</v>
      </c>
      <c r="M283" s="94">
        <f t="shared" si="25"/>
        <v>3</v>
      </c>
      <c r="N283" s="89" t="str">
        <f>Registro!M283</f>
        <v>b) El futuro</v>
      </c>
      <c r="O283" s="89" t="str">
        <f>Registro!N283</f>
        <v>d) Nada</v>
      </c>
      <c r="P283" s="89" t="str">
        <f>Registro!O283</f>
        <v>c) Poco</v>
      </c>
      <c r="Q283" s="89" t="str">
        <f>Registro!P283</f>
        <v>c) Poco</v>
      </c>
      <c r="R283" s="89" t="str">
        <f>Registro!Q283</f>
        <v>b) Los amigos, c) Los estudios, g) La felicidad</v>
      </c>
      <c r="S283" s="94">
        <f t="shared" si="26"/>
        <v>3</v>
      </c>
      <c r="T283" s="89" t="str">
        <f>Registro!R283</f>
        <v>b) Suficiente</v>
      </c>
      <c r="U283" s="89" t="str">
        <f>Registro!S283</f>
        <v>a) La Iglesia, b) La naturaleza, h) Algunas personas cercanas a Dios, i) Los necesitados, k) La oración, l) Los sacramentos</v>
      </c>
      <c r="V283" s="89" t="str">
        <f>Registro!T283</f>
        <v>b) Rezo por costumbre</v>
      </c>
      <c r="W283" s="89" t="str">
        <f>Registro!U283</f>
        <v>c) Solo en fechas especiales</v>
      </c>
      <c r="X283" s="89" t="str">
        <f>Registro!V283</f>
        <v>a) Suelo llevar una cruz o algún objeto religioso, e) Voy a misa en las fechas de mis familiares difuntos, f) En alguna ocasión he rezado el rosario, h) En Semana Santa asisto a las procesiones, i) Tengo en mi cuarto alguna imagen religiosa</v>
      </c>
      <c r="Y283" s="89" t="str">
        <f>Registro!W283</f>
        <v xml:space="preserve">b) Cultural (folklórico, musicales, danzas, scout, banda marcial,...) </v>
      </c>
      <c r="Z283" s="89" t="str">
        <f>Registro!X283</f>
        <v>d) No pertenezco a grupos juveniles cristianos</v>
      </c>
      <c r="AA283" s="89" t="str">
        <f>Registro!Y283</f>
        <v>a) Sí</v>
      </c>
      <c r="AB283" s="89" t="str">
        <f>Registro!Z283</f>
        <v>c) Algo</v>
      </c>
      <c r="AC283" s="89" t="str">
        <f>Registro!AA283</f>
        <v>a) Medicina, g) Artista</v>
      </c>
      <c r="AD283" s="94">
        <f t="shared" si="27"/>
        <v>2</v>
      </c>
      <c r="AE283" s="89" t="str">
        <f>Registro!AB283</f>
        <v>c) Ser un excelente profesional</v>
      </c>
      <c r="AF283" s="89" t="str">
        <f>Registro!AC283</f>
        <v>c) Bastante</v>
      </c>
      <c r="AG283" s="89" t="str">
        <f>Registro!AD283</f>
        <v>g) La relación con los docentes, i) No me gusta nada</v>
      </c>
      <c r="AH283" s="94">
        <f t="shared" si="23"/>
        <v>2</v>
      </c>
      <c r="AI283" s="89" t="str">
        <f>Registro!AE283</f>
        <v>c) 5 a 6 horas</v>
      </c>
      <c r="AJ283" s="89" t="str">
        <f>Registro!AF283</f>
        <v>f) Toco un instrumento musical, l) Escucho música y/o veo videos musicales, m) Veo televisión y/o películas</v>
      </c>
      <c r="AK283" s="94">
        <f t="shared" si="24"/>
        <v>3</v>
      </c>
      <c r="AL283" s="89" t="str">
        <f>Registro!AG283</f>
        <v>c) Regular</v>
      </c>
      <c r="AM283" s="89" t="str">
        <f>Registro!AH283</f>
        <v>b) Buena</v>
      </c>
      <c r="AN283" s="89" t="str">
        <f>Registro!AI283</f>
        <v>f) No aplica</v>
      </c>
      <c r="AO283" s="89" t="str">
        <f>Registro!AJ283</f>
        <v>c) Regular</v>
      </c>
      <c r="AP283" s="89" t="str">
        <f>Registro!AK283</f>
        <v>c) Regular</v>
      </c>
      <c r="AQ283" s="89" t="str">
        <f>Registro!AL283</f>
        <v>a) Muy buena</v>
      </c>
      <c r="AR283" s="89" t="str">
        <f>Registro!AM283</f>
        <v>c) Regular</v>
      </c>
      <c r="AS283" s="89" t="str">
        <f>Registro!AN283</f>
        <v>a) Muy buena</v>
      </c>
      <c r="AT283" s="89" t="str">
        <f>Registro!AO283</f>
        <v>c) Regular</v>
      </c>
      <c r="AU283" s="89" t="str">
        <f>Registro!AP283</f>
        <v>b) Buena</v>
      </c>
      <c r="AV283" s="89" t="str">
        <f>Registro!AQ283</f>
        <v>c) Regular</v>
      </c>
      <c r="AW283" s="89" t="str">
        <f>Registro!AR283</f>
        <v>a) El compañerismo</v>
      </c>
      <c r="AX283" s="89" t="str">
        <f>Registro!AS283</f>
        <v>b) Darme una buena educación</v>
      </c>
      <c r="AY283" s="89" t="str">
        <f>Registro!AT283</f>
        <v>c) Conveniente</v>
      </c>
      <c r="AZ283" s="89" t="str">
        <f>Registro!AU283</f>
        <v>b) Las veces que bebo, es con moderación</v>
      </c>
      <c r="BA283" s="89" t="str">
        <f>Registro!AV283</f>
        <v>b) Profesionales que no se preocupan de nosotros</v>
      </c>
      <c r="BB283" s="89" t="str">
        <f>Registro!AW283</f>
        <v>b) Poco</v>
      </c>
      <c r="BC283" s="89" t="str">
        <f>Registro!AX283</f>
        <v>c) Son personas normales y corrientes</v>
      </c>
      <c r="BD283" s="89" t="str">
        <f>Registro!AY283</f>
        <v>e) Un, una docente, g) Un amigo, h) Una amiga</v>
      </c>
    </row>
    <row r="284" spans="1:56" ht="15" customHeight="1" x14ac:dyDescent="0.25">
      <c r="A284" s="101">
        <f>Registro!A284</f>
        <v>42190.354201388887</v>
      </c>
      <c r="B284" s="89" t="str">
        <f>Registro!B284</f>
        <v>a) Calasanz de Caracas</v>
      </c>
      <c r="C284" s="89" t="str">
        <f>Registro!C284</f>
        <v>b) Tercer año</v>
      </c>
      <c r="D284" s="89" t="str">
        <f>Registro!D284</f>
        <v>a) Educación Inicial</v>
      </c>
      <c r="E284" s="89" t="str">
        <f>Registro!E284</f>
        <v>b) Femenino</v>
      </c>
      <c r="F284" s="89">
        <f>Registro!F284</f>
        <v>0</v>
      </c>
      <c r="G284" s="89" t="str">
        <f>Registro!G284</f>
        <v>a) Mamá, b) Papá, c) Hermanos</v>
      </c>
      <c r="H284" s="89" t="str">
        <f>Registro!H284</f>
        <v>b) Casa Urbana</v>
      </c>
      <c r="I284" s="89" t="str">
        <f>Registro!I284</f>
        <v>c) Algo</v>
      </c>
      <c r="J284" s="89" t="str">
        <f>Registro!J284</f>
        <v>a) Cónsola videojuegos, b) Lavadora, c) Microondas, d) TV pantalla plana, f) MP3, g) MP4, h) Carro, i) Computadora, j) Cámara digital, k) Aire acondicionado</v>
      </c>
      <c r="K284" s="89" t="str">
        <f>Registro!K284</f>
        <v>c) Dos</v>
      </c>
      <c r="L284" s="89" t="str">
        <f>Registro!L284</f>
        <v>c) Los estudios, d) El cuidado de mi cuerpo, g) La felicidad</v>
      </c>
      <c r="M284" s="94">
        <f t="shared" si="25"/>
        <v>3</v>
      </c>
      <c r="N284" s="89" t="str">
        <f>Registro!M284</f>
        <v>c) Yo mismo</v>
      </c>
      <c r="O284" s="89" t="str">
        <f>Registro!N284</f>
        <v>c) Poco</v>
      </c>
      <c r="P284" s="89" t="str">
        <f>Registro!O284</f>
        <v>b) Suficiente</v>
      </c>
      <c r="Q284" s="89" t="str">
        <f>Registro!P284</f>
        <v>c) Poco</v>
      </c>
      <c r="R284" s="89" t="str">
        <f>Registro!Q284</f>
        <v>b) Los amigos, c) Los estudios, d) El cuidado de mi cuerpo</v>
      </c>
      <c r="S284" s="94">
        <f t="shared" si="26"/>
        <v>3</v>
      </c>
      <c r="T284" s="89" t="str">
        <f>Registro!R284</f>
        <v>b) Suficiente</v>
      </c>
      <c r="U284" s="89" t="str">
        <f>Registro!S284</f>
        <v>a) La Iglesia, h) Algunas personas cercanas a Dios, k) La oración, l) Los sacramentos</v>
      </c>
      <c r="V284" s="89" t="str">
        <f>Registro!T284</f>
        <v>c) Rezo solo en situación de dificultad</v>
      </c>
      <c r="W284" s="89" t="str">
        <f>Registro!U284</f>
        <v>c) Solo en fechas especiales</v>
      </c>
      <c r="X284" s="89">
        <f>Registro!V284</f>
        <v>0</v>
      </c>
      <c r="Y284" s="89" t="str">
        <f>Registro!W284</f>
        <v>d) No pertenezco a ninguno</v>
      </c>
      <c r="Z284" s="89" t="str">
        <f>Registro!X284</f>
        <v>d) No pertenezco a grupos juveniles cristianos</v>
      </c>
      <c r="AA284" s="89" t="str">
        <f>Registro!Y284</f>
        <v>b) No</v>
      </c>
      <c r="AB284" s="89" t="str">
        <f>Registro!Z284</f>
        <v>b) No</v>
      </c>
      <c r="AC284" s="89" t="str">
        <f>Registro!AA284</f>
        <v>a) Medicina, d) Ingeniería</v>
      </c>
      <c r="AD284" s="94">
        <f t="shared" si="27"/>
        <v>2</v>
      </c>
      <c r="AE284" s="89" t="str">
        <f>Registro!AB284</f>
        <v>d) Desarrollarme personalmente</v>
      </c>
      <c r="AF284" s="89" t="str">
        <f>Registro!AC284</f>
        <v>b) Poco</v>
      </c>
      <c r="AG284" s="89" t="str">
        <f>Registro!AD284</f>
        <v>i) No me gusta nada</v>
      </c>
      <c r="AH284" s="94">
        <f t="shared" si="23"/>
        <v>1</v>
      </c>
      <c r="AI284" s="89" t="str">
        <f>Registro!AE284</f>
        <v>c) 5 a 6 horas</v>
      </c>
      <c r="AJ284" s="89" t="str">
        <f>Registro!AF284</f>
        <v>d) Estoy la mayor parte del tiempo en la casa sin hacer nada, l) Escucho música y/o veo videos musicales, n) Estoy conversando con los amigos/as</v>
      </c>
      <c r="AK284" s="94">
        <f t="shared" si="24"/>
        <v>3</v>
      </c>
      <c r="AL284" s="89" t="str">
        <f>Registro!AG284</f>
        <v>c) Regular</v>
      </c>
      <c r="AM284" s="89" t="str">
        <f>Registro!AH284</f>
        <v>b) Buena</v>
      </c>
      <c r="AN284" s="89" t="str">
        <f>Registro!AI284</f>
        <v>f) No aplica</v>
      </c>
      <c r="AO284" s="89" t="str">
        <f>Registro!AJ284</f>
        <v>c) Regular</v>
      </c>
      <c r="AP284" s="89" t="str">
        <f>Registro!AK284</f>
        <v>c) Regular</v>
      </c>
      <c r="AQ284" s="89" t="str">
        <f>Registro!AL284</f>
        <v>b) Buena</v>
      </c>
      <c r="AR284" s="89" t="str">
        <f>Registro!AM284</f>
        <v>c) Regular</v>
      </c>
      <c r="AS284" s="89" t="str">
        <f>Registro!AN284</f>
        <v>b) Buena</v>
      </c>
      <c r="AT284" s="89" t="str">
        <f>Registro!AO284</f>
        <v>b) Buena</v>
      </c>
      <c r="AU284" s="89" t="str">
        <f>Registro!AP284</f>
        <v>b) Buena</v>
      </c>
      <c r="AV284" s="89" t="str">
        <f>Registro!AQ284</f>
        <v>c) Regular</v>
      </c>
      <c r="AW284" s="89" t="str">
        <f>Registro!AR284</f>
        <v>i) En nada</v>
      </c>
      <c r="AX284" s="89" t="str">
        <f>Registro!AS284</f>
        <v>h) No sé</v>
      </c>
      <c r="AY284" s="89" t="str">
        <f>Registro!AT284</f>
        <v>c) Conveniente</v>
      </c>
      <c r="AZ284" s="89" t="str">
        <f>Registro!AU284</f>
        <v>b) Las veces que bebo, es con moderación</v>
      </c>
      <c r="BA284" s="89" t="str">
        <f>Registro!AV284</f>
        <v>c) Profesionales que hacen lo que pueden</v>
      </c>
      <c r="BB284" s="89" t="str">
        <f>Registro!AW284</f>
        <v>b) Poco</v>
      </c>
      <c r="BC284" s="89" t="str">
        <f>Registro!AX284</f>
        <v>c) Son personas normales y corrientes</v>
      </c>
      <c r="BD284" s="89" t="str">
        <f>Registro!AY284</f>
        <v>g) Un amigo, h) Una amiga</v>
      </c>
    </row>
    <row r="285" spans="1:56" ht="15" customHeight="1" x14ac:dyDescent="0.25">
      <c r="A285" s="101">
        <f>Registro!A285</f>
        <v>42190.354837962965</v>
      </c>
      <c r="B285" s="89" t="str">
        <f>Registro!B285</f>
        <v>a) Calasanz de Caracas</v>
      </c>
      <c r="C285" s="89" t="str">
        <f>Registro!C285</f>
        <v>b) Tercer año</v>
      </c>
      <c r="D285" s="89" t="str">
        <f>Registro!D285</f>
        <v>a) Educación Inicial</v>
      </c>
      <c r="E285" s="89" t="str">
        <f>Registro!E285</f>
        <v>b) Femenino</v>
      </c>
      <c r="F285" s="89" t="str">
        <f>Registro!F285</f>
        <v>a) Católica</v>
      </c>
      <c r="G285" s="89" t="str">
        <f>Registro!G285</f>
        <v>a) Mamá, b) Papá, d) Abuelos, e) Otros familiares</v>
      </c>
      <c r="H285" s="89" t="str">
        <f>Registro!H285</f>
        <v>c) Apartamento</v>
      </c>
      <c r="I285" s="89" t="str">
        <f>Registro!I285</f>
        <v>a) Sí</v>
      </c>
      <c r="J285" s="89" t="str">
        <f>Registro!J285</f>
        <v>b) Lavadora, c) Microondas, h) Carro, i) Computadora</v>
      </c>
      <c r="K285" s="89" t="str">
        <f>Registro!K285</f>
        <v>d) Tres</v>
      </c>
      <c r="L285" s="89" t="str">
        <f>Registro!L285</f>
        <v>a) La familia, b) Los amigos, g) La felicidad</v>
      </c>
      <c r="M285" s="94">
        <f t="shared" si="25"/>
        <v>3</v>
      </c>
      <c r="N285" s="89" t="str">
        <f>Registro!M285</f>
        <v>a) Seguridad personal (la violencia y la delincuencia)</v>
      </c>
      <c r="O285" s="89" t="str">
        <f>Registro!N285</f>
        <v>b) Suficiente</v>
      </c>
      <c r="P285" s="89" t="str">
        <f>Registro!O285</f>
        <v>b) Suficiente</v>
      </c>
      <c r="Q285" s="89" t="str">
        <f>Registro!P285</f>
        <v>a) Mucho</v>
      </c>
      <c r="R285" s="89" t="str">
        <f>Registro!Q285</f>
        <v>a) La familia, c) Los estudios, g) La felicidad</v>
      </c>
      <c r="S285" s="94">
        <f t="shared" si="26"/>
        <v>3</v>
      </c>
      <c r="T285" s="89" t="str">
        <f>Registro!R285</f>
        <v>a) Mucho</v>
      </c>
      <c r="U285" s="89" t="str">
        <f>Registro!S285</f>
        <v>a) La Iglesia, d) Las convivencias, e) Los amigos, g) Mi familia</v>
      </c>
      <c r="V285" s="89" t="str">
        <f>Registro!T285</f>
        <v>a) Suelo rezar por convicción o porque me gusta</v>
      </c>
      <c r="W285" s="89" t="str">
        <f>Registro!U285</f>
        <v>c) Solo en fechas especiales</v>
      </c>
      <c r="X285" s="89" t="str">
        <f>Registro!V285</f>
        <v>b) Suelo bendedir los alimentos antes de comer, d) Suelo orar todos los días, e) Voy a misa en las fechas de mis familiares difuntos, h) En Semana Santa asisto a las procesiones, i) Tengo en mi cuarto alguna imagen religiosa</v>
      </c>
      <c r="Y285" s="89" t="str">
        <f>Registro!W285</f>
        <v>d) No pertenezco a ninguno</v>
      </c>
      <c r="Z285" s="89" t="str">
        <f>Registro!X285</f>
        <v>d) No pertenezco a grupos juveniles cristianos</v>
      </c>
      <c r="AA285" s="89" t="str">
        <f>Registro!Y285</f>
        <v>b) No</v>
      </c>
      <c r="AB285" s="89" t="str">
        <f>Registro!Z285</f>
        <v>b) No</v>
      </c>
      <c r="AC285" s="89" t="str">
        <f>Registro!AA285</f>
        <v>a) Medicina, b) Docencia</v>
      </c>
      <c r="AD285" s="94">
        <f t="shared" si="27"/>
        <v>2</v>
      </c>
      <c r="AE285" s="89" t="str">
        <f>Registro!AB285</f>
        <v>d) Desarrollarme personalmente</v>
      </c>
      <c r="AF285" s="89" t="str">
        <f>Registro!AC285</f>
        <v>c) Bastante</v>
      </c>
      <c r="AG285" s="89" t="str">
        <f>Registro!AD285</f>
        <v>c) Las instalaciones del Colegio, e) La mayor posibilidad de vivir mi fe</v>
      </c>
      <c r="AH285" s="94">
        <f t="shared" si="23"/>
        <v>2</v>
      </c>
      <c r="AI285" s="89" t="str">
        <f>Registro!AE285</f>
        <v>e) 9 a 10 horas</v>
      </c>
      <c r="AJ285" s="89" t="str">
        <f>Registro!AF285</f>
        <v>k) Practico algún deporte, m) Veo televisión y/o películas, n) Estoy conversando con los amigos/as</v>
      </c>
      <c r="AK285" s="94">
        <f t="shared" si="24"/>
        <v>3</v>
      </c>
      <c r="AL285" s="89" t="str">
        <f>Registro!AG285</f>
        <v>b) Bueno</v>
      </c>
      <c r="AM285" s="89" t="str">
        <f>Registro!AH285</f>
        <v>c) Regular</v>
      </c>
      <c r="AN285" s="89" t="str">
        <f>Registro!AI285</f>
        <v>f) No aplica</v>
      </c>
      <c r="AO285" s="89" t="str">
        <f>Registro!AJ285</f>
        <v>b) Buena</v>
      </c>
      <c r="AP285" s="89" t="str">
        <f>Registro!AK285</f>
        <v>c) Regular</v>
      </c>
      <c r="AQ285" s="89" t="str">
        <f>Registro!AL285</f>
        <v>a) Muy buena</v>
      </c>
      <c r="AR285" s="89" t="str">
        <f>Registro!AM285</f>
        <v>b) Buena</v>
      </c>
      <c r="AS285" s="89" t="str">
        <f>Registro!AN285</f>
        <v>b) Buena</v>
      </c>
      <c r="AT285" s="89" t="str">
        <f>Registro!AO285</f>
        <v>a) Muy buena</v>
      </c>
      <c r="AU285" s="89" t="str">
        <f>Registro!AP285</f>
        <v>b) Buena</v>
      </c>
      <c r="AV285" s="89" t="str">
        <f>Registro!AQ285</f>
        <v>a) Muy buena</v>
      </c>
      <c r="AW285" s="89" t="str">
        <f>Registro!AR285</f>
        <v>a) El compañerismo</v>
      </c>
      <c r="AX285" s="89" t="str">
        <f>Registro!AS285</f>
        <v>h) No sé</v>
      </c>
      <c r="AY285" s="89" t="str">
        <f>Registro!AT285</f>
        <v>d) Bastante necesaria</v>
      </c>
      <c r="AZ285" s="89" t="str">
        <f>Registro!AU285</f>
        <v>b) Las veces que bebo, es con moderación</v>
      </c>
      <c r="BA285" s="89" t="str">
        <f>Registro!AV285</f>
        <v>e) Educadores que se preocupan de nosotros</v>
      </c>
      <c r="BB285" s="89" t="str">
        <f>Registro!AW285</f>
        <v>c) Bastante</v>
      </c>
      <c r="BC285" s="89" t="str">
        <f>Registro!AX285</f>
        <v>d) Hay de todo tipo, pero predomina lo positivo</v>
      </c>
      <c r="BD285" s="89" t="str">
        <f>Registro!AY285</f>
        <v>c) Un hermano/a, g) Un amigo, h) Una amiga</v>
      </c>
    </row>
    <row r="286" spans="1:56" ht="15" customHeight="1" x14ac:dyDescent="0.25">
      <c r="A286" s="101">
        <f>Registro!A286</f>
        <v>42190.354849537034</v>
      </c>
      <c r="B286" s="89" t="str">
        <f>Registro!B286</f>
        <v>a) Calasanz de Caracas</v>
      </c>
      <c r="C286" s="89" t="str">
        <f>Registro!C286</f>
        <v>b) Tercer año</v>
      </c>
      <c r="D286" s="89" t="str">
        <f>Registro!D286</f>
        <v>a) Educación Inicial</v>
      </c>
      <c r="E286" s="89" t="str">
        <f>Registro!E286</f>
        <v>a) Masculino</v>
      </c>
      <c r="F286" s="89" t="str">
        <f>Registro!F286</f>
        <v>a) Católica</v>
      </c>
      <c r="G286" s="89" t="str">
        <f>Registro!G286</f>
        <v>a) Mamá, c) Hermanos</v>
      </c>
      <c r="H286" s="89" t="str">
        <f>Registro!H286</f>
        <v>c) Apartamento</v>
      </c>
      <c r="I286" s="89" t="str">
        <f>Registro!I286</f>
        <v>a) Sí</v>
      </c>
      <c r="J286" s="89" t="str">
        <f>Registro!J286</f>
        <v>k) Aire acondicionado</v>
      </c>
      <c r="K286" s="89" t="str">
        <f>Registro!K286</f>
        <v>c) Dos</v>
      </c>
      <c r="L286" s="89"/>
      <c r="M286" s="94">
        <f t="shared" si="25"/>
        <v>0</v>
      </c>
      <c r="N286" s="89" t="str">
        <f>Registro!M286</f>
        <v>b) El futuro</v>
      </c>
      <c r="O286" s="89" t="str">
        <f>Registro!N286</f>
        <v>b) Suficiente</v>
      </c>
      <c r="P286" s="89" t="str">
        <f>Registro!O286</f>
        <v>b) Suficiente</v>
      </c>
      <c r="Q286" s="89" t="str">
        <f>Registro!P286</f>
        <v>c) Poco</v>
      </c>
      <c r="R286" s="89" t="str">
        <f>Registro!Q286</f>
        <v>a) La familia, c) Los estudios, g) La felicidad</v>
      </c>
      <c r="S286" s="94">
        <f t="shared" si="26"/>
        <v>3</v>
      </c>
      <c r="T286" s="89" t="str">
        <f>Registro!R286</f>
        <v>c) Poco</v>
      </c>
      <c r="U286" s="89" t="str">
        <f>Registro!S286</f>
        <v>i) Los necesitados</v>
      </c>
      <c r="V286" s="89" t="str">
        <f>Registro!T286</f>
        <v>d) No rezo nunca</v>
      </c>
      <c r="W286" s="89" t="str">
        <f>Registro!U286</f>
        <v>d) Nunca</v>
      </c>
      <c r="X286" s="89" t="str">
        <f>Registro!V286</f>
        <v>f) En alguna ocasión he rezado el rosario</v>
      </c>
      <c r="Y286" s="89">
        <f>Registro!W286</f>
        <v>0</v>
      </c>
      <c r="Z286" s="89" t="str">
        <f>Registro!X286</f>
        <v>d) No pertenezco a grupos juveniles cristianos</v>
      </c>
      <c r="AA286" s="89" t="str">
        <f>Registro!Y286</f>
        <v>b) No</v>
      </c>
      <c r="AB286" s="89" t="str">
        <f>Registro!Z286</f>
        <v>b) No</v>
      </c>
      <c r="AC286" s="89"/>
      <c r="AD286" s="94">
        <f t="shared" si="27"/>
        <v>0</v>
      </c>
      <c r="AE286" s="89" t="str">
        <f>Registro!AB286</f>
        <v>d) Desarrollarme personalmente</v>
      </c>
      <c r="AF286" s="89" t="str">
        <f>Registro!AC286</f>
        <v>c) Bastante</v>
      </c>
      <c r="AG286" s="89" t="str">
        <f>Registro!AD286</f>
        <v>b) El ambiente de estudio y de trabajo, g) La relación con los docentes</v>
      </c>
      <c r="AH286" s="94">
        <f t="shared" si="23"/>
        <v>2</v>
      </c>
      <c r="AI286" s="89" t="str">
        <f>Registro!AE286</f>
        <v>b) 3 a 4 horas</v>
      </c>
      <c r="AJ286" s="89" t="str">
        <f>Registro!AF286</f>
        <v>a) Me divierto con juegos para computadoras, b) Navego en Internet, l) Escucho música y/o veo videos musicales</v>
      </c>
      <c r="AK286" s="94">
        <f t="shared" si="24"/>
        <v>3</v>
      </c>
      <c r="AL286" s="89" t="str">
        <f>Registro!AG286</f>
        <v>b) Bueno</v>
      </c>
      <c r="AM286" s="89" t="str">
        <f>Registro!AH286</f>
        <v>b) Buena</v>
      </c>
      <c r="AN286" s="89" t="str">
        <f>Registro!AI286</f>
        <v>b) Buena</v>
      </c>
      <c r="AO286" s="89" t="str">
        <f>Registro!AJ286</f>
        <v>c) Regular</v>
      </c>
      <c r="AP286" s="89" t="str">
        <f>Registro!AK286</f>
        <v>b) Buena</v>
      </c>
      <c r="AQ286" s="89" t="str">
        <f>Registro!AL286</f>
        <v>b) Buena</v>
      </c>
      <c r="AR286" s="89" t="str">
        <f>Registro!AM286</f>
        <v>b) Buena</v>
      </c>
      <c r="AS286" s="89" t="str">
        <f>Registro!AN286</f>
        <v>b) Buena</v>
      </c>
      <c r="AT286" s="89" t="str">
        <f>Registro!AO286</f>
        <v>b) Buena</v>
      </c>
      <c r="AU286" s="89" t="str">
        <f>Registro!AP286</f>
        <v>b) Buena</v>
      </c>
      <c r="AV286" s="89" t="str">
        <f>Registro!AQ286</f>
        <v>b) Buena</v>
      </c>
      <c r="AW286" s="89" t="str">
        <f>Registro!AR286</f>
        <v>f) la práctica religiosa</v>
      </c>
      <c r="AX286" s="89" t="str">
        <f>Registro!AS286</f>
        <v>a) Que sea un buen profesional</v>
      </c>
      <c r="AY286" s="89" t="str">
        <f>Registro!AT286</f>
        <v>c) Conveniente</v>
      </c>
      <c r="AZ286" s="89" t="str">
        <f>Registro!AU286</f>
        <v>a) No acostumbro a tomarlo nunca</v>
      </c>
      <c r="BA286" s="89" t="str">
        <f>Registro!AV286</f>
        <v>e) Educadores que se preocupan de nosotros</v>
      </c>
      <c r="BB286" s="89" t="str">
        <f>Registro!AW286</f>
        <v>c) Bastante</v>
      </c>
      <c r="BC286" s="89" t="str">
        <f>Registro!AX286</f>
        <v>c) Son personas normales y corrientes</v>
      </c>
      <c r="BD286" s="89" t="str">
        <f>Registro!AY286</f>
        <v>h) Una amiga</v>
      </c>
    </row>
    <row r="287" spans="1:56" ht="15" customHeight="1" x14ac:dyDescent="0.25">
      <c r="A287" s="101">
        <f>Registro!A287</f>
        <v>42190.354849537034</v>
      </c>
      <c r="B287" s="89" t="str">
        <f>Registro!B287</f>
        <v>a) Calasanz de Caracas</v>
      </c>
      <c r="C287" s="89" t="str">
        <f>Registro!C287</f>
        <v>b) Tercer año</v>
      </c>
      <c r="D287" s="89" t="str">
        <f>Registro!D287</f>
        <v>a) Educación Inicial</v>
      </c>
      <c r="E287" s="89" t="str">
        <f>Registro!E287</f>
        <v>b) Femenino</v>
      </c>
      <c r="F287" s="89" t="str">
        <f>Registro!F287</f>
        <v>a) Católica</v>
      </c>
      <c r="G287" s="89" t="str">
        <f>Registro!G287</f>
        <v>a) Mamá, c) Hermanos</v>
      </c>
      <c r="H287" s="89" t="str">
        <f>Registro!H287</f>
        <v>d) Casa Rural</v>
      </c>
      <c r="I287" s="89" t="str">
        <f>Registro!I287</f>
        <v>a) Sí</v>
      </c>
      <c r="J287" s="89" t="str">
        <f>Registro!J287</f>
        <v>c) Microondas, j) Cámara digital</v>
      </c>
      <c r="K287" s="89">
        <f>Registro!K287</f>
        <v>0</v>
      </c>
      <c r="L287" s="89" t="str">
        <f>Registro!L287</f>
        <v>a) La familia, c) Los estudios, g) La felicidad</v>
      </c>
      <c r="M287" s="94">
        <f t="shared" si="25"/>
        <v>3</v>
      </c>
      <c r="N287" s="89" t="str">
        <f>Registro!M287</f>
        <v>b) El futuro</v>
      </c>
      <c r="O287" s="89" t="str">
        <f>Registro!N287</f>
        <v>b) Suficiente</v>
      </c>
      <c r="P287" s="89" t="str">
        <f>Registro!O287</f>
        <v>c) Poco</v>
      </c>
      <c r="Q287" s="89" t="str">
        <f>Registro!P287</f>
        <v>b) Suficiente</v>
      </c>
      <c r="R287" s="89" t="str">
        <f>Registro!Q287</f>
        <v>a) La familia, c) Los estudios, g) La felicidad</v>
      </c>
      <c r="S287" s="94">
        <f t="shared" si="26"/>
        <v>3</v>
      </c>
      <c r="T287" s="89" t="str">
        <f>Registro!R287</f>
        <v>b) Suficiente</v>
      </c>
      <c r="U287" s="89" t="str">
        <f>Registro!S287</f>
        <v>a) La Iglesia, b) La naturaleza, j) Todas partes, k) La oración</v>
      </c>
      <c r="V287" s="89" t="str">
        <f>Registro!T287</f>
        <v>b) Rezo por costumbre</v>
      </c>
      <c r="W287" s="89" t="str">
        <f>Registro!U287</f>
        <v>c) Solo en fechas especiales</v>
      </c>
      <c r="X287" s="89" t="str">
        <f>Registro!V287</f>
        <v>e) Voy a misa en las fechas de mis familiares difuntos</v>
      </c>
      <c r="Y287" s="89" t="str">
        <f>Registro!W287</f>
        <v xml:space="preserve">b) Cultural (folklórico, musicales, danzas, scout, banda marcial,...) </v>
      </c>
      <c r="Z287" s="89" t="str">
        <f>Registro!X287</f>
        <v>d) No pertenezco a grupos juveniles cristianos</v>
      </c>
      <c r="AA287" s="89" t="str">
        <f>Registro!Y287</f>
        <v>b) No</v>
      </c>
      <c r="AB287" s="89" t="str">
        <f>Registro!Z287</f>
        <v>b) No</v>
      </c>
      <c r="AC287" s="89" t="str">
        <f>Registro!AA287</f>
        <v>a) Medicina, b) Docencia</v>
      </c>
      <c r="AD287" s="94">
        <f t="shared" si="27"/>
        <v>2</v>
      </c>
      <c r="AE287" s="89" t="str">
        <f>Registro!AB287</f>
        <v>d) Desarrollarme personalmente</v>
      </c>
      <c r="AF287" s="89" t="str">
        <f>Registro!AC287</f>
        <v>b) Poco</v>
      </c>
      <c r="AG287" s="89" t="str">
        <f>Registro!AD287</f>
        <v>c) Las instalaciones del Colegio, h) Las actividades extraescolares</v>
      </c>
      <c r="AH287" s="94">
        <f t="shared" si="23"/>
        <v>2</v>
      </c>
      <c r="AI287" s="89" t="str">
        <f>Registro!AE287</f>
        <v>b) 3 a 4 horas</v>
      </c>
      <c r="AJ287" s="89" t="str">
        <f>Registro!AF287</f>
        <v>d) Estoy la mayor parte del tiempo en la casa sin hacer nada, i) Leo revistas o libros, n) Estoy conversando con los amigos/as</v>
      </c>
      <c r="AK287" s="94">
        <f t="shared" si="24"/>
        <v>3</v>
      </c>
      <c r="AL287" s="89" t="str">
        <f>Registro!AG287</f>
        <v>c) Regular</v>
      </c>
      <c r="AM287" s="89" t="str">
        <f>Registro!AH287</f>
        <v>b) Buena</v>
      </c>
      <c r="AN287" s="89" t="str">
        <f>Registro!AI287</f>
        <v>f) No aplica</v>
      </c>
      <c r="AO287" s="89" t="str">
        <f>Registro!AJ287</f>
        <v>b) Buena</v>
      </c>
      <c r="AP287" s="89" t="str">
        <f>Registro!AK287</f>
        <v>b) Buena</v>
      </c>
      <c r="AQ287" s="89" t="str">
        <f>Registro!AL287</f>
        <v>b) Buena</v>
      </c>
      <c r="AR287" s="89" t="str">
        <f>Registro!AM287</f>
        <v>b) Buena</v>
      </c>
      <c r="AS287" s="89" t="str">
        <f>Registro!AN287</f>
        <v>b) Buena</v>
      </c>
      <c r="AT287" s="89" t="str">
        <f>Registro!AO287</f>
        <v>d) Mala</v>
      </c>
      <c r="AU287" s="89" t="str">
        <f>Registro!AP287</f>
        <v>c) Regular</v>
      </c>
      <c r="AV287" s="89" t="str">
        <f>Registro!AQ287</f>
        <v>b) Buena</v>
      </c>
      <c r="AW287" s="89" t="str">
        <f>Registro!AR287</f>
        <v>g) La orientación profesional futura</v>
      </c>
      <c r="AX287" s="89" t="str">
        <f>Registro!AS287</f>
        <v>b) Darme una buena educación</v>
      </c>
      <c r="AY287" s="89" t="str">
        <f>Registro!AT287</f>
        <v>c) Conveniente</v>
      </c>
      <c r="AZ287" s="89" t="str">
        <f>Registro!AU287</f>
        <v>a) No acostumbro a tomarlo nunca</v>
      </c>
      <c r="BA287" s="89" t="str">
        <f>Registro!AV287</f>
        <v>c) Profesionales que hacen lo que pueden</v>
      </c>
      <c r="BB287" s="89" t="str">
        <f>Registro!AW287</f>
        <v>c) Bastante</v>
      </c>
      <c r="BC287" s="89" t="str">
        <f>Registro!AX287</f>
        <v>d) Hay de todo tipo, pero predomina lo positivo</v>
      </c>
      <c r="BD287" s="89" t="str">
        <f>Registro!AY287</f>
        <v>b) Mi madre, c) Un hermano/a, h) Una amiga</v>
      </c>
    </row>
    <row r="288" spans="1:56" ht="15" customHeight="1" x14ac:dyDescent="0.25">
      <c r="A288" s="101">
        <f>Registro!A288</f>
        <v>42190.35497685185</v>
      </c>
      <c r="B288" s="89" t="str">
        <f>Registro!B288</f>
        <v>a) Calasanz de Caracas</v>
      </c>
      <c r="C288" s="89" t="str">
        <f>Registro!C288</f>
        <v>b) Tercer año</v>
      </c>
      <c r="D288" s="89" t="str">
        <f>Registro!D288</f>
        <v>a) Educación Inicial</v>
      </c>
      <c r="E288" s="89" t="str">
        <f>Registro!E288</f>
        <v>b) Femenino</v>
      </c>
      <c r="F288" s="89" t="str">
        <f>Registro!F288</f>
        <v>a) Católica</v>
      </c>
      <c r="G288" s="89" t="str">
        <f>Registro!G288</f>
        <v>a) Mamá, b) Papá, c) Hermanos</v>
      </c>
      <c r="H288" s="89" t="str">
        <f>Registro!H288</f>
        <v>c) Apartamento</v>
      </c>
      <c r="I288" s="89" t="str">
        <f>Registro!I288</f>
        <v>a) Sí</v>
      </c>
      <c r="J288" s="89" t="str">
        <f>Registro!J288</f>
        <v>a) Cónsola videojuegos, b) Lavadora, c) Microondas, d) TV pantalla plana, i) Computadora</v>
      </c>
      <c r="K288" s="89" t="str">
        <f>Registro!K288</f>
        <v>c) Dos</v>
      </c>
      <c r="L288" s="89" t="str">
        <f>Registro!L288</f>
        <v>a) La familia, b) Los amigos, g) La felicidad</v>
      </c>
      <c r="M288" s="94">
        <f t="shared" si="25"/>
        <v>3</v>
      </c>
      <c r="N288" s="89" t="str">
        <f>Registro!M288</f>
        <v>b) El futuro</v>
      </c>
      <c r="O288" s="89" t="str">
        <f>Registro!N288</f>
        <v>b) Suficiente</v>
      </c>
      <c r="P288" s="89" t="str">
        <f>Registro!O288</f>
        <v>b) Suficiente</v>
      </c>
      <c r="Q288" s="89" t="str">
        <f>Registro!P288</f>
        <v>c) Poco</v>
      </c>
      <c r="R288" s="89" t="str">
        <f>Registro!Q288</f>
        <v>a) La familia, c) Los estudios, g) La felicidad</v>
      </c>
      <c r="S288" s="94">
        <f t="shared" si="26"/>
        <v>3</v>
      </c>
      <c r="T288" s="89" t="str">
        <f>Registro!R288</f>
        <v>b) Suficiente</v>
      </c>
      <c r="U288" s="89" t="str">
        <f>Registro!S288</f>
        <v>g) Mi familia, h) Algunas personas cercanas a Dios, k) La oración</v>
      </c>
      <c r="V288" s="89" t="str">
        <f>Registro!T288</f>
        <v>c) Rezo solo en situación de dificultad</v>
      </c>
      <c r="W288" s="89" t="str">
        <f>Registro!U288</f>
        <v>d) Nunca</v>
      </c>
      <c r="X288" s="89" t="str">
        <f>Registro!V288</f>
        <v>b) Suelo bendedir los alimentos antes de comer</v>
      </c>
      <c r="Y288" s="89" t="str">
        <f>Registro!W288</f>
        <v>a) Deportivo</v>
      </c>
      <c r="Z288" s="89" t="str">
        <f>Registro!X288</f>
        <v>a) Un grupo donde profundizo mi fe</v>
      </c>
      <c r="AA288" s="89" t="str">
        <f>Registro!Y288</f>
        <v>b) No</v>
      </c>
      <c r="AB288" s="89" t="str">
        <f>Registro!Z288</f>
        <v>b) No</v>
      </c>
      <c r="AC288" s="89" t="str">
        <f>Registro!AA288</f>
        <v>d) Ingeniería, i) Comerciante</v>
      </c>
      <c r="AD288" s="94">
        <f t="shared" si="27"/>
        <v>2</v>
      </c>
      <c r="AE288" s="89" t="str">
        <f>Registro!AB288</f>
        <v>c) Ser un excelente profesional</v>
      </c>
      <c r="AF288" s="89" t="str">
        <f>Registro!AC288</f>
        <v>b) Poco</v>
      </c>
      <c r="AG288" s="89" t="str">
        <f>Registro!AD288</f>
        <v>b) El ambiente de estudio y de trabajo, g) La relación con los docentes</v>
      </c>
      <c r="AH288" s="94">
        <f t="shared" si="23"/>
        <v>2</v>
      </c>
      <c r="AI288" s="89" t="str">
        <f>Registro!AE288</f>
        <v>e) 9 a 10 horas</v>
      </c>
      <c r="AJ288" s="89" t="str">
        <f>Registro!AF288</f>
        <v>a) Me divierto con juegos para computadoras, k) Practico algún deporte, l) Escucho música y/o veo videos musicales</v>
      </c>
      <c r="AK288" s="94">
        <f t="shared" si="24"/>
        <v>3</v>
      </c>
      <c r="AL288" s="89" t="str">
        <f>Registro!AG288</f>
        <v>a) Muy bueno</v>
      </c>
      <c r="AM288" s="89" t="str">
        <f>Registro!AH288</f>
        <v>a) Muy buena</v>
      </c>
      <c r="AN288" s="89">
        <f>Registro!AI288</f>
        <v>0</v>
      </c>
      <c r="AO288" s="89" t="str">
        <f>Registro!AJ288</f>
        <v>a) Muy buena</v>
      </c>
      <c r="AP288" s="89" t="str">
        <f>Registro!AK288</f>
        <v>a) Muy buena</v>
      </c>
      <c r="AQ288" s="89" t="str">
        <f>Registro!AL288</f>
        <v>a) Muy buena</v>
      </c>
      <c r="AR288" s="89" t="str">
        <f>Registro!AM288</f>
        <v>a) Muy buena</v>
      </c>
      <c r="AS288" s="89" t="str">
        <f>Registro!AN288</f>
        <v>b) Buena</v>
      </c>
      <c r="AT288" s="89" t="str">
        <f>Registro!AO288</f>
        <v>a) Muy buena</v>
      </c>
      <c r="AU288" s="89" t="str">
        <f>Registro!AP288</f>
        <v>a) Muy buena</v>
      </c>
      <c r="AV288" s="89" t="str">
        <f>Registro!AQ288</f>
        <v>b) Buena</v>
      </c>
      <c r="AW288" s="89" t="str">
        <f>Registro!AR288</f>
        <v>c) El estudio</v>
      </c>
      <c r="AX288" s="89" t="str">
        <f>Registro!AS288</f>
        <v>b) Darme una buena educación</v>
      </c>
      <c r="AY288" s="89" t="str">
        <f>Registro!AT288</f>
        <v>c) Conveniente</v>
      </c>
      <c r="AZ288" s="89" t="str">
        <f>Registro!AU288</f>
        <v>b) Las veces que bebo, es con moderación</v>
      </c>
      <c r="BA288" s="89" t="str">
        <f>Registro!AV288</f>
        <v>d) Buenos profesionales de la educación</v>
      </c>
      <c r="BB288" s="89" t="str">
        <f>Registro!AW288</f>
        <v>c) Bastante</v>
      </c>
      <c r="BC288" s="89" t="str">
        <f>Registro!AX288</f>
        <v>c) Son personas normales y corrientes</v>
      </c>
      <c r="BD288" s="89" t="str">
        <f>Registro!AY288</f>
        <v>a) Mi padre, g) Un amigo, h) Una amiga</v>
      </c>
    </row>
    <row r="289" spans="1:56" ht="15" customHeight="1" x14ac:dyDescent="0.25">
      <c r="A289" s="101">
        <f>Registro!A289</f>
        <v>42190.355254629627</v>
      </c>
      <c r="B289" s="89" t="str">
        <f>Registro!B289</f>
        <v>a) Calasanz de Caracas</v>
      </c>
      <c r="C289" s="89" t="str">
        <f>Registro!C289</f>
        <v>b) Tercer año</v>
      </c>
      <c r="D289" s="89" t="str">
        <f>Registro!D289</f>
        <v>a) Educación Inicial</v>
      </c>
      <c r="E289" s="89" t="str">
        <f>Registro!E289</f>
        <v>a) Masculino</v>
      </c>
      <c r="F289" s="89" t="str">
        <f>Registro!F289</f>
        <v>d) Otra</v>
      </c>
      <c r="G289" s="89" t="str">
        <f>Registro!G289</f>
        <v>a) Mamá, b) Papá, c) Hermanos, d) Abuelos</v>
      </c>
      <c r="H289" s="89" t="str">
        <f>Registro!H289</f>
        <v>c) Apartamento</v>
      </c>
      <c r="I289" s="89" t="str">
        <f>Registro!I289</f>
        <v>a) Sí</v>
      </c>
      <c r="J289" s="89" t="str">
        <f>Registro!J289</f>
        <v>a) Cónsola videojuegos, b) Lavadora, d) TV pantalla plana, e) Moto, g) MP4, i) Computadora, j) Cámara digital</v>
      </c>
      <c r="K289" s="89" t="str">
        <f>Registro!K289</f>
        <v>e) Cuatro</v>
      </c>
      <c r="L289" s="89" t="str">
        <f>Registro!L289</f>
        <v>a) La familia, b) Los amigos, i) La música</v>
      </c>
      <c r="M289" s="94">
        <f t="shared" si="25"/>
        <v>3</v>
      </c>
      <c r="N289" s="89" t="str">
        <f>Registro!M289</f>
        <v>d) Los problemas familiares</v>
      </c>
      <c r="O289" s="89" t="str">
        <f>Registro!N289</f>
        <v>b) Suficiente</v>
      </c>
      <c r="P289" s="89" t="str">
        <f>Registro!O289</f>
        <v>b) Suficiente</v>
      </c>
      <c r="Q289" s="89" t="str">
        <f>Registro!P289</f>
        <v>b) Suficiente</v>
      </c>
      <c r="R289" s="89" t="str">
        <f>Registro!Q289</f>
        <v>a) La familia, c) Los estudios, i) La música</v>
      </c>
      <c r="S289" s="94">
        <f t="shared" si="26"/>
        <v>3</v>
      </c>
      <c r="T289" s="89" t="str">
        <f>Registro!R289</f>
        <v>a) Mucho</v>
      </c>
      <c r="U289" s="89" t="str">
        <f>Registro!S289</f>
        <v>a) La Iglesia, g) Mi familia, k) La oración</v>
      </c>
      <c r="V289" s="89" t="str">
        <f>Registro!T289</f>
        <v>b) Rezo por costumbre</v>
      </c>
      <c r="W289" s="89" t="str">
        <f>Registro!U289</f>
        <v>c) Solo en fechas especiales</v>
      </c>
      <c r="X289" s="89" t="str">
        <f>Registro!V289</f>
        <v>a) Suelo llevar una cruz o algún objeto religioso, d) Suelo orar todos los días, e) Voy a misa en las fechas de mis familiares difuntos, f) En alguna ocasión he rezado el rosario</v>
      </c>
      <c r="Y289" s="89" t="str">
        <f>Registro!W289</f>
        <v xml:space="preserve">b) Cultural (folklórico, musicales, danzas, scout, banda marcial,...) </v>
      </c>
      <c r="Z289" s="89" t="str">
        <f>Registro!X289</f>
        <v>d) No pertenezco a grupos juveniles cristianos</v>
      </c>
      <c r="AA289" s="89" t="str">
        <f>Registro!Y289</f>
        <v>b) No</v>
      </c>
      <c r="AB289" s="89" t="str">
        <f>Registro!Z289</f>
        <v>b) No</v>
      </c>
      <c r="AC289" s="89" t="str">
        <f>Registro!AA289</f>
        <v>g) Artista, h) Ciencias políticas</v>
      </c>
      <c r="AD289" s="94">
        <f t="shared" si="27"/>
        <v>2</v>
      </c>
      <c r="AE289" s="89" t="str">
        <f>Registro!AB289</f>
        <v>a) Ganar mucho dinero</v>
      </c>
      <c r="AF289" s="89" t="str">
        <f>Registro!AC289</f>
        <v>b) Poco</v>
      </c>
      <c r="AG289" s="89" t="str">
        <f>Registro!AD289</f>
        <v>g) La relación con los docentes</v>
      </c>
      <c r="AH289" s="94">
        <f t="shared" si="23"/>
        <v>1</v>
      </c>
      <c r="AI289" s="89" t="str">
        <f>Registro!AE289</f>
        <v>a) 0 a 2 horas</v>
      </c>
      <c r="AJ289" s="89" t="str">
        <f>Registro!AF289</f>
        <v>f) Toco un instrumento musical, n) Estoy conversando con los amigos/as</v>
      </c>
      <c r="AK289" s="94">
        <f t="shared" si="24"/>
        <v>2</v>
      </c>
      <c r="AL289" s="89" t="str">
        <f>Registro!AG289</f>
        <v>b) Bueno</v>
      </c>
      <c r="AM289" s="89" t="str">
        <f>Registro!AH289</f>
        <v>b) Buena</v>
      </c>
      <c r="AN289" s="89" t="str">
        <f>Registro!AI289</f>
        <v>a) Muy buena</v>
      </c>
      <c r="AO289" s="89" t="str">
        <f>Registro!AJ289</f>
        <v>a) Muy buena</v>
      </c>
      <c r="AP289" s="89" t="str">
        <f>Registro!AK289</f>
        <v>a) Muy buena</v>
      </c>
      <c r="AQ289" s="89" t="str">
        <f>Registro!AL289</f>
        <v>a) Muy buena</v>
      </c>
      <c r="AR289" s="89" t="str">
        <f>Registro!AM289</f>
        <v>a) Muy buena</v>
      </c>
      <c r="AS289" s="89" t="str">
        <f>Registro!AN289</f>
        <v>a) Muy buena</v>
      </c>
      <c r="AT289" s="89" t="str">
        <f>Registro!AO289</f>
        <v>b) Buena</v>
      </c>
      <c r="AU289" s="89" t="str">
        <f>Registro!AP289</f>
        <v>b) Buena</v>
      </c>
      <c r="AV289" s="89" t="str">
        <f>Registro!AQ289</f>
        <v>b) Buena</v>
      </c>
      <c r="AW289" s="89" t="str">
        <f>Registro!AR289</f>
        <v>c) El estudio</v>
      </c>
      <c r="AX289" s="89" t="str">
        <f>Registro!AS289</f>
        <v>a) Que sea un buen profesional</v>
      </c>
      <c r="AY289" s="89" t="str">
        <f>Registro!AT289</f>
        <v>b) Indiferente</v>
      </c>
      <c r="AZ289" s="89" t="str">
        <f>Registro!AU289</f>
        <v>b) Las veces que bebo, es con moderación</v>
      </c>
      <c r="BA289" s="89" t="str">
        <f>Registro!AV289</f>
        <v>a) Personas a las que tengo que aguantar</v>
      </c>
      <c r="BB289" s="89" t="str">
        <f>Registro!AW289</f>
        <v>c) Bastante</v>
      </c>
      <c r="BC289" s="89" t="str">
        <f>Registro!AX289</f>
        <v>c) Son personas normales y corrientes</v>
      </c>
      <c r="BD289" s="89" t="str">
        <f>Registro!AY289</f>
        <v>a) Mi padre, b) Mi madre, c) Un hermano/a, g) Un amigo, h) Una amiga</v>
      </c>
    </row>
    <row r="290" spans="1:56" ht="15" customHeight="1" x14ac:dyDescent="0.25">
      <c r="A290" s="101">
        <f>Registro!A290</f>
        <v>42190.355381944442</v>
      </c>
      <c r="B290" s="89" t="str">
        <f>Registro!B290</f>
        <v>a) Calasanz de Caracas</v>
      </c>
      <c r="C290" s="89" t="str">
        <f>Registro!C290</f>
        <v>b) Tercer año</v>
      </c>
      <c r="D290" s="89" t="str">
        <f>Registro!D290</f>
        <v>a) Educación Inicial</v>
      </c>
      <c r="E290" s="89" t="str">
        <f>Registro!E290</f>
        <v>b) Femenino</v>
      </c>
      <c r="F290" s="89" t="str">
        <f>Registro!F290</f>
        <v>b) Evangélica</v>
      </c>
      <c r="G290" s="89" t="str">
        <f>Registro!G290</f>
        <v>a) Mamá, b) Papá, c) Hermanos</v>
      </c>
      <c r="H290" s="89" t="str">
        <f>Registro!H290</f>
        <v>c) Apartamento</v>
      </c>
      <c r="I290" s="89" t="str">
        <f>Registro!I290</f>
        <v>a) Sí</v>
      </c>
      <c r="J290" s="89" t="str">
        <f>Registro!J290</f>
        <v>i) Computadora</v>
      </c>
      <c r="K290" s="89" t="str">
        <f>Registro!K290</f>
        <v>d) Tres</v>
      </c>
      <c r="L290" s="89"/>
      <c r="M290" s="94">
        <f t="shared" si="25"/>
        <v>0</v>
      </c>
      <c r="N290" s="89" t="str">
        <f>Registro!M290</f>
        <v>e) La situación económica</v>
      </c>
      <c r="O290" s="89" t="str">
        <f>Registro!N290</f>
        <v>a) Mucho</v>
      </c>
      <c r="P290" s="89" t="str">
        <f>Registro!O290</f>
        <v>b) Suficiente</v>
      </c>
      <c r="Q290" s="89" t="str">
        <f>Registro!P290</f>
        <v>b) Suficiente</v>
      </c>
      <c r="R290" s="89" t="str">
        <f>Registro!Q290</f>
        <v>c) Los estudios, h) La sexualidad</v>
      </c>
      <c r="S290" s="94">
        <f t="shared" si="26"/>
        <v>2</v>
      </c>
      <c r="T290" s="89" t="str">
        <f>Registro!R290</f>
        <v>a) Mucho</v>
      </c>
      <c r="U290" s="89" t="str">
        <f>Registro!S290</f>
        <v>a) La Iglesia, b) La naturaleza, g) Mi familia, k) La oración</v>
      </c>
      <c r="V290" s="89" t="str">
        <f>Registro!T290</f>
        <v>d) No rezo nunca</v>
      </c>
      <c r="W290" s="89" t="str">
        <f>Registro!U290</f>
        <v>d) Nunca</v>
      </c>
      <c r="X290" s="89" t="str">
        <f>Registro!V290</f>
        <v>b) Suelo bendedir los alimentos antes de comer, d) Suelo orar todos los días</v>
      </c>
      <c r="Y290" s="89" t="str">
        <f>Registro!W290</f>
        <v>d) No pertenezco a ninguno</v>
      </c>
      <c r="Z290" s="89" t="str">
        <f>Registro!X290</f>
        <v>d) No pertenezco a grupos juveniles cristianos</v>
      </c>
      <c r="AA290" s="89" t="str">
        <f>Registro!Y290</f>
        <v>b) No</v>
      </c>
      <c r="AB290" s="89" t="str">
        <f>Registro!Z290</f>
        <v>b) No</v>
      </c>
      <c r="AC290" s="89" t="str">
        <f>Registro!AA290</f>
        <v>d) Ingeniería, e) Derecho</v>
      </c>
      <c r="AD290" s="94">
        <f t="shared" si="27"/>
        <v>2</v>
      </c>
      <c r="AE290" s="89" t="str">
        <f>Registro!AB290</f>
        <v>b) Tener una buena posición social, ser importante</v>
      </c>
      <c r="AF290" s="89" t="str">
        <f>Registro!AC290</f>
        <v>b) Poco</v>
      </c>
      <c r="AG290" s="89"/>
      <c r="AH290" s="94">
        <f t="shared" si="23"/>
        <v>0</v>
      </c>
      <c r="AI290" s="89" t="str">
        <f>Registro!AE290</f>
        <v>a) 0 a 2 horas</v>
      </c>
      <c r="AJ290" s="89"/>
      <c r="AK290" s="94">
        <f t="shared" si="24"/>
        <v>0</v>
      </c>
      <c r="AL290" s="89" t="str">
        <f>Registro!AG290</f>
        <v>d) Deficiente</v>
      </c>
      <c r="AM290" s="89" t="str">
        <f>Registro!AH290</f>
        <v>c) Regular</v>
      </c>
      <c r="AN290" s="89" t="str">
        <f>Registro!AI290</f>
        <v>f) No aplica</v>
      </c>
      <c r="AO290" s="89" t="str">
        <f>Registro!AJ290</f>
        <v>d) Mala</v>
      </c>
      <c r="AP290" s="89" t="str">
        <f>Registro!AK290</f>
        <v>c) Regular</v>
      </c>
      <c r="AQ290" s="89" t="str">
        <f>Registro!AL290</f>
        <v>c) Regular</v>
      </c>
      <c r="AR290" s="89" t="str">
        <f>Registro!AM290</f>
        <v>c) Regular</v>
      </c>
      <c r="AS290" s="89" t="str">
        <f>Registro!AN290</f>
        <v>c) Regular</v>
      </c>
      <c r="AT290" s="89" t="str">
        <f>Registro!AO290</f>
        <v>d) Mala</v>
      </c>
      <c r="AU290" s="89" t="str">
        <f>Registro!AP290</f>
        <v>d) Mala</v>
      </c>
      <c r="AV290" s="89" t="str">
        <f>Registro!AQ290</f>
        <v>c) Regular</v>
      </c>
      <c r="AW290" s="89" t="str">
        <f>Registro!AR290</f>
        <v>i) En nada</v>
      </c>
      <c r="AX290" s="89" t="str">
        <f>Registro!AS290</f>
        <v>a) Que sea un buen profesional</v>
      </c>
      <c r="AY290" s="89" t="str">
        <f>Registro!AT290</f>
        <v>e) Absolutamente necesaria</v>
      </c>
      <c r="AZ290" s="89" t="str">
        <f>Registro!AU290</f>
        <v>a) No acostumbro a tomarlo nunca</v>
      </c>
      <c r="BA290" s="89" t="str">
        <f>Registro!AV290</f>
        <v>a) Personas a las que tengo que aguantar</v>
      </c>
      <c r="BB290" s="89" t="str">
        <f>Registro!AW290</f>
        <v>c) Bastante</v>
      </c>
      <c r="BC290" s="89" t="str">
        <f>Registro!AX290</f>
        <v>a) No me gustan en absoluto</v>
      </c>
      <c r="BD290" s="89" t="str">
        <f>Registro!AY290</f>
        <v>c) Un hermano/a</v>
      </c>
    </row>
    <row r="291" spans="1:56" ht="15" customHeight="1" x14ac:dyDescent="0.25">
      <c r="A291" s="101">
        <f>Registro!A291</f>
        <v>42190.355405092596</v>
      </c>
      <c r="B291" s="89" t="str">
        <f>Registro!B291</f>
        <v>a) Calasanz de Caracas</v>
      </c>
      <c r="C291" s="89" t="str">
        <f>Registro!C291</f>
        <v>b) Tercer año</v>
      </c>
      <c r="D291" s="89" t="str">
        <f>Registro!D291</f>
        <v>c) Entre Primero y Tercer año</v>
      </c>
      <c r="E291" s="89" t="str">
        <f>Registro!E291</f>
        <v>a) Masculino</v>
      </c>
      <c r="F291" s="89" t="str">
        <f>Registro!F291</f>
        <v>a) Católica</v>
      </c>
      <c r="G291" s="89" t="str">
        <f>Registro!G291</f>
        <v>b) Papá, c) Hermanos, d) Abuelos</v>
      </c>
      <c r="H291" s="89" t="str">
        <f>Registro!H291</f>
        <v>c) Apartamento</v>
      </c>
      <c r="I291" s="89" t="str">
        <f>Registro!I291</f>
        <v>a) Sí</v>
      </c>
      <c r="J291" s="89" t="str">
        <f>Registro!J291</f>
        <v>b) Lavadora, c) Microondas, d) TV pantalla plana, h) Carro, i) Computadora, j) Cámara digital</v>
      </c>
      <c r="K291" s="89" t="str">
        <f>Registro!K291</f>
        <v>c) Dos</v>
      </c>
      <c r="L291" s="89" t="str">
        <f>Registro!L291</f>
        <v>a) La familia, d) El cuidado de mi cuerpo, e) Disponer de dinero</v>
      </c>
      <c r="M291" s="94">
        <f t="shared" si="25"/>
        <v>3</v>
      </c>
      <c r="N291" s="89" t="str">
        <f>Registro!M291</f>
        <v>a) Seguridad personal (la violencia y la delincuencia)</v>
      </c>
      <c r="O291" s="89" t="str">
        <f>Registro!N291</f>
        <v>c) Poco</v>
      </c>
      <c r="P291" s="89" t="str">
        <f>Registro!O291</f>
        <v>c) Poco</v>
      </c>
      <c r="Q291" s="89" t="str">
        <f>Registro!P291</f>
        <v>c) Poco</v>
      </c>
      <c r="R291" s="89" t="str">
        <f>Registro!Q291</f>
        <v>a) La familia, c) Los estudios, d) El cuidado de mi cuerpo</v>
      </c>
      <c r="S291" s="94">
        <f t="shared" si="26"/>
        <v>3</v>
      </c>
      <c r="T291" s="89" t="str">
        <f>Registro!R291</f>
        <v>c) Poco</v>
      </c>
      <c r="U291" s="89" t="str">
        <f>Registro!S291</f>
        <v>a) La Iglesia, b) La naturaleza, g) Mi familia</v>
      </c>
      <c r="V291" s="89" t="str">
        <f>Registro!T291</f>
        <v>d) No rezo nunca</v>
      </c>
      <c r="W291" s="89" t="str">
        <f>Registro!U291</f>
        <v>d) Nunca</v>
      </c>
      <c r="X291" s="89">
        <f>Registro!V291</f>
        <v>0</v>
      </c>
      <c r="Y291" s="89" t="str">
        <f>Registro!W291</f>
        <v>d) No pertenezco a ninguno</v>
      </c>
      <c r="Z291" s="89" t="str">
        <f>Registro!X291</f>
        <v>d) No pertenezco a grupos juveniles cristianos</v>
      </c>
      <c r="AA291" s="89" t="str">
        <f>Registro!Y291</f>
        <v>b) No</v>
      </c>
      <c r="AB291" s="89" t="str">
        <f>Registro!Z291</f>
        <v>b) No</v>
      </c>
      <c r="AC291" s="89" t="str">
        <f>Registro!AA291</f>
        <v>a) Medicina, e) Derecho</v>
      </c>
      <c r="AD291" s="94">
        <f t="shared" si="27"/>
        <v>2</v>
      </c>
      <c r="AE291" s="89" t="str">
        <f>Registro!AB291</f>
        <v>a) Ganar mucho dinero</v>
      </c>
      <c r="AF291" s="89" t="str">
        <f>Registro!AC291</f>
        <v>b) Poco</v>
      </c>
      <c r="AG291" s="89" t="str">
        <f>Registro!AD291</f>
        <v>b) El ambiente de estudio y de trabajo, c) Las instalaciones del Colegio</v>
      </c>
      <c r="AH291" s="94">
        <f t="shared" si="23"/>
        <v>2</v>
      </c>
      <c r="AI291" s="89" t="str">
        <f>Registro!AE291</f>
        <v>a) 0 a 2 horas</v>
      </c>
      <c r="AJ291" s="89" t="str">
        <f>Registro!AF291</f>
        <v>b) Navego en Internet, m) Veo televisión y/o películas, n) Estoy conversando con los amigos/as</v>
      </c>
      <c r="AK291" s="94">
        <f t="shared" si="24"/>
        <v>3</v>
      </c>
      <c r="AL291" s="89" t="str">
        <f>Registro!AG291</f>
        <v>b) Bueno</v>
      </c>
      <c r="AM291" s="89" t="str">
        <f>Registro!AH291</f>
        <v>b) Buena</v>
      </c>
      <c r="AN291" s="89">
        <f>Registro!AI291</f>
        <v>0</v>
      </c>
      <c r="AO291" s="89" t="str">
        <f>Registro!AJ291</f>
        <v>b) Buena</v>
      </c>
      <c r="AP291" s="89" t="str">
        <f>Registro!AK291</f>
        <v>b) Buena</v>
      </c>
      <c r="AQ291" s="89" t="str">
        <f>Registro!AL291</f>
        <v>b) Buena</v>
      </c>
      <c r="AR291" s="89" t="str">
        <f>Registro!AM291</f>
        <v>b) Buena</v>
      </c>
      <c r="AS291" s="89" t="str">
        <f>Registro!AN291</f>
        <v>b) Buena</v>
      </c>
      <c r="AT291" s="89" t="str">
        <f>Registro!AO291</f>
        <v>b) Buena</v>
      </c>
      <c r="AU291" s="89" t="str">
        <f>Registro!AP291</f>
        <v>b) Buena</v>
      </c>
      <c r="AV291" s="89" t="str">
        <f>Registro!AQ291</f>
        <v>a) Muy buena</v>
      </c>
      <c r="AW291" s="89" t="str">
        <f>Registro!AR291</f>
        <v>b) La orientación cristiana</v>
      </c>
      <c r="AX291" s="89" t="str">
        <f>Registro!AS291</f>
        <v>a) Que sea un buen profesional</v>
      </c>
      <c r="AY291" s="89" t="str">
        <f>Registro!AT291</f>
        <v>c) Conveniente</v>
      </c>
      <c r="AZ291" s="89" t="str">
        <f>Registro!AU291</f>
        <v>a) No acostumbro a tomarlo nunca</v>
      </c>
      <c r="BA291" s="89" t="str">
        <f>Registro!AV291</f>
        <v>e) Educadores que se preocupan de nosotros</v>
      </c>
      <c r="BB291" s="89" t="str">
        <f>Registro!AW291</f>
        <v>c) Bastante</v>
      </c>
      <c r="BC291" s="89" t="str">
        <f>Registro!AX291</f>
        <v>a) No me gustan en absoluto</v>
      </c>
      <c r="BD291" s="89" t="str">
        <f>Registro!AY291</f>
        <v>a) Mi padre, b) Mi madre, c) Un hermano/a, g) Un amigo</v>
      </c>
    </row>
    <row r="292" spans="1:56" ht="15" customHeight="1" x14ac:dyDescent="0.25">
      <c r="A292" s="101">
        <f>Registro!A292</f>
        <v>42190.355497685188</v>
      </c>
      <c r="B292" s="89" t="str">
        <f>Registro!B292</f>
        <v>a) Calasanz de Caracas</v>
      </c>
      <c r="C292" s="89" t="str">
        <f>Registro!C292</f>
        <v>b) Tercer año</v>
      </c>
      <c r="D292" s="89" t="str">
        <f>Registro!D292</f>
        <v>b) Primaria</v>
      </c>
      <c r="E292" s="89" t="str">
        <f>Registro!E292</f>
        <v>b) Femenino</v>
      </c>
      <c r="F292" s="89" t="str">
        <f>Registro!F292</f>
        <v>a) Católica</v>
      </c>
      <c r="G292" s="89" t="str">
        <f>Registro!G292</f>
        <v>a) Mamá</v>
      </c>
      <c r="H292" s="89" t="str">
        <f>Registro!H292</f>
        <v>c) Apartamento</v>
      </c>
      <c r="I292" s="89" t="str">
        <f>Registro!I292</f>
        <v>c) Algo</v>
      </c>
      <c r="J292" s="89" t="str">
        <f>Registro!J292</f>
        <v>b) Lavadora, d) TV pantalla plana, g) MP4, i) Computadora, j) Cámara digital</v>
      </c>
      <c r="K292" s="89" t="str">
        <f>Registro!K292</f>
        <v>b) Una</v>
      </c>
      <c r="L292" s="89" t="str">
        <f>Registro!L292</f>
        <v>a) La familia, c) Los estudios, f) Mi fe y vida cristiana</v>
      </c>
      <c r="M292" s="94">
        <f t="shared" si="25"/>
        <v>3</v>
      </c>
      <c r="N292" s="89" t="str">
        <f>Registro!M292</f>
        <v>b) El futuro</v>
      </c>
      <c r="O292" s="89" t="str">
        <f>Registro!N292</f>
        <v>c) Poco</v>
      </c>
      <c r="P292" s="89" t="str">
        <f>Registro!O292</f>
        <v>b) Suficiente</v>
      </c>
      <c r="Q292" s="89" t="str">
        <f>Registro!P292</f>
        <v>a) Mucho</v>
      </c>
      <c r="R292" s="89" t="str">
        <f>Registro!Q292</f>
        <v>a) La familia, c) Los estudios, e) Disponer de dinero</v>
      </c>
      <c r="S292" s="94">
        <f t="shared" si="26"/>
        <v>3</v>
      </c>
      <c r="T292" s="89" t="str">
        <f>Registro!R292</f>
        <v>c) Poco</v>
      </c>
      <c r="U292" s="89" t="str">
        <f>Registro!S292</f>
        <v>b) La naturaleza, g) Mi familia, k) La oración</v>
      </c>
      <c r="V292" s="89" t="str">
        <f>Registro!T292</f>
        <v>c) Rezo solo en situación de dificultad</v>
      </c>
      <c r="W292" s="89" t="str">
        <f>Registro!U292</f>
        <v>d) Nunca</v>
      </c>
      <c r="X292" s="89" t="str">
        <f>Registro!V292</f>
        <v>i) Tengo en mi cuarto alguna imagen religiosa</v>
      </c>
      <c r="Y292" s="89" t="str">
        <f>Registro!W292</f>
        <v>d) No pertenezco a ninguno</v>
      </c>
      <c r="Z292" s="89" t="str">
        <f>Registro!X292</f>
        <v>a) Un grupo donde profundizo mi fe</v>
      </c>
      <c r="AA292" s="89" t="str">
        <f>Registro!Y292</f>
        <v>b) No</v>
      </c>
      <c r="AB292" s="89" t="str">
        <f>Registro!Z292</f>
        <v>b) No</v>
      </c>
      <c r="AC292" s="89"/>
      <c r="AD292" s="94">
        <f t="shared" si="27"/>
        <v>0</v>
      </c>
      <c r="AE292" s="89" t="str">
        <f>Registro!AB292</f>
        <v>c) Ser un excelente profesional</v>
      </c>
      <c r="AF292" s="89" t="str">
        <f>Registro!AC292</f>
        <v>b) Poco</v>
      </c>
      <c r="AG292" s="89" t="str">
        <f>Registro!AD292</f>
        <v>a) Los deportes y diversiones, b) El ambiente de estudio y de trabajo</v>
      </c>
      <c r="AH292" s="94">
        <f t="shared" si="23"/>
        <v>2</v>
      </c>
      <c r="AI292" s="89" t="str">
        <f>Registro!AE292</f>
        <v>d) 7 a 8 horas</v>
      </c>
      <c r="AJ292" s="89" t="str">
        <f>Registro!AF292</f>
        <v>b) Navego en Internet, i) Leo revistas o libros, n) Estoy conversando con los amigos/as</v>
      </c>
      <c r="AK292" s="94">
        <f t="shared" si="24"/>
        <v>3</v>
      </c>
      <c r="AL292" s="89" t="str">
        <f>Registro!AG292</f>
        <v>b) Bueno</v>
      </c>
      <c r="AM292" s="89" t="str">
        <f>Registro!AH292</f>
        <v>b) Buena</v>
      </c>
      <c r="AN292" s="89" t="str">
        <f>Registro!AI292</f>
        <v>f) No aplica</v>
      </c>
      <c r="AO292" s="89" t="str">
        <f>Registro!AJ292</f>
        <v>b) Buena</v>
      </c>
      <c r="AP292" s="89" t="str">
        <f>Registro!AK292</f>
        <v>b) Buena</v>
      </c>
      <c r="AQ292" s="89" t="str">
        <f>Registro!AL292</f>
        <v>b) Buena</v>
      </c>
      <c r="AR292" s="89" t="str">
        <f>Registro!AM292</f>
        <v>b) Buena</v>
      </c>
      <c r="AS292" s="89" t="str">
        <f>Registro!AN292</f>
        <v>b) Buena</v>
      </c>
      <c r="AT292" s="89" t="str">
        <f>Registro!AO292</f>
        <v>a) Muy buena</v>
      </c>
      <c r="AU292" s="89" t="str">
        <f>Registro!AP292</f>
        <v>b) Buena</v>
      </c>
      <c r="AV292" s="89" t="str">
        <f>Registro!AQ292</f>
        <v>b) Buena</v>
      </c>
      <c r="AW292" s="89" t="str">
        <f>Registro!AR292</f>
        <v>b) La orientación cristiana</v>
      </c>
      <c r="AX292" s="89" t="str">
        <f>Registro!AS292</f>
        <v>e) Que sea cristiano responsable</v>
      </c>
      <c r="AY292" s="89" t="str">
        <f>Registro!AT292</f>
        <v>d) Bastante necesaria</v>
      </c>
      <c r="AZ292" s="89" t="str">
        <f>Registro!AU292</f>
        <v>b) Las veces que bebo, es con moderación</v>
      </c>
      <c r="BA292" s="89" t="str">
        <f>Registro!AV292</f>
        <v>e) Educadores que se preocupan de nosotros</v>
      </c>
      <c r="BB292" s="89" t="str">
        <f>Registro!AW292</f>
        <v>c) Bastante</v>
      </c>
      <c r="BC292" s="89" t="str">
        <f>Registro!AX292</f>
        <v>c) Son personas normales y corrientes</v>
      </c>
      <c r="BD292" s="89" t="str">
        <f>Registro!AY292</f>
        <v>b) Mi madre, h) Una amiga</v>
      </c>
    </row>
    <row r="293" spans="1:56" ht="15" customHeight="1" x14ac:dyDescent="0.25">
      <c r="A293" s="101">
        <f>Registro!A293</f>
        <v>42190.356249999997</v>
      </c>
      <c r="B293" s="89" t="str">
        <f>Registro!B293</f>
        <v>a) Calasanz de Caracas</v>
      </c>
      <c r="C293" s="89" t="str">
        <f>Registro!C293</f>
        <v>b) Tercer año</v>
      </c>
      <c r="D293" s="89" t="str">
        <f>Registro!D293</f>
        <v>a) Educación Inicial</v>
      </c>
      <c r="E293" s="89" t="str">
        <f>Registro!E293</f>
        <v>b) Femenino</v>
      </c>
      <c r="F293" s="89" t="str">
        <f>Registro!F293</f>
        <v>d) Otra</v>
      </c>
      <c r="G293" s="89" t="str">
        <f>Registro!G293</f>
        <v>a) Mamá, b) Papá, c) Hermanos</v>
      </c>
      <c r="H293" s="89" t="str">
        <f>Registro!H293</f>
        <v>c) Apartamento</v>
      </c>
      <c r="I293" s="89" t="str">
        <f>Registro!I293</f>
        <v>c) Algo</v>
      </c>
      <c r="J293" s="89" t="str">
        <f>Registro!J293</f>
        <v>a) Cónsola videojuegos, b) Lavadora, c) Microondas, d) TV pantalla plana, e) Moto, g) MP4, h) Carro, i) Computadora, j) Cámara digital, k) Aire acondicionado</v>
      </c>
      <c r="K293" s="89" t="str">
        <f>Registro!K293</f>
        <v>d) Tres</v>
      </c>
      <c r="L293" s="89" t="str">
        <f>Registro!L293</f>
        <v>a) La familia, d) El cuidado de mi cuerpo, g) La felicidad</v>
      </c>
      <c r="M293" s="94">
        <f t="shared" si="25"/>
        <v>3</v>
      </c>
      <c r="N293" s="89" t="str">
        <f>Registro!M293</f>
        <v>e) La situación económica</v>
      </c>
      <c r="O293" s="89" t="str">
        <f>Registro!N293</f>
        <v>b) Suficiente</v>
      </c>
      <c r="P293" s="89" t="str">
        <f>Registro!O293</f>
        <v>b) Suficiente</v>
      </c>
      <c r="Q293" s="89" t="str">
        <f>Registro!P293</f>
        <v>c) Poco</v>
      </c>
      <c r="R293" s="89" t="str">
        <f>Registro!Q293</f>
        <v>a) La familia, c) Los estudios, e) Disponer de dinero</v>
      </c>
      <c r="S293" s="94">
        <f t="shared" si="26"/>
        <v>3</v>
      </c>
      <c r="T293" s="89" t="str">
        <f>Registro!R293</f>
        <v>b) Suficiente</v>
      </c>
      <c r="U293" s="89" t="str">
        <f>Registro!S293</f>
        <v>d) Las convivencias</v>
      </c>
      <c r="V293" s="89" t="str">
        <f>Registro!T293</f>
        <v>b) Rezo por costumbre</v>
      </c>
      <c r="W293" s="89" t="str">
        <f>Registro!U293</f>
        <v>d) Nunca</v>
      </c>
      <c r="X293" s="89" t="str">
        <f>Registro!V293</f>
        <v>d) Suelo orar todos los días</v>
      </c>
      <c r="Y293" s="89" t="str">
        <f>Registro!W293</f>
        <v xml:space="preserve">a) Deportivo, b) Cultural (folklórico, musicales, danzas, scout, banda marcial,...) </v>
      </c>
      <c r="Z293" s="89" t="str">
        <f>Registro!X293</f>
        <v>d) No pertenezco a grupos juveniles cristianos</v>
      </c>
      <c r="AA293" s="89" t="str">
        <f>Registro!Y293</f>
        <v>b) No</v>
      </c>
      <c r="AB293" s="89" t="str">
        <f>Registro!Z293</f>
        <v>b) No</v>
      </c>
      <c r="AC293" s="89" t="str">
        <f>Registro!AA293</f>
        <v>a) Medicina, e) Derecho</v>
      </c>
      <c r="AD293" s="94">
        <f t="shared" si="27"/>
        <v>2</v>
      </c>
      <c r="AE293" s="89" t="str">
        <f>Registro!AB293</f>
        <v>a) Ganar mucho dinero</v>
      </c>
      <c r="AF293" s="89" t="str">
        <f>Registro!AC293</f>
        <v>a) No, en absoluto</v>
      </c>
      <c r="AG293" s="89" t="str">
        <f>Registro!AD293</f>
        <v>a) Los deportes y diversiones, c) Las instalaciones del Colegio</v>
      </c>
      <c r="AH293" s="94">
        <f t="shared" si="23"/>
        <v>2</v>
      </c>
      <c r="AI293" s="89" t="str">
        <f>Registro!AE293</f>
        <v>a) 0 a 2 horas</v>
      </c>
      <c r="AJ293" s="89" t="str">
        <f>Registro!AF293</f>
        <v>g) Suelo ir a discotecas o a fiestas, l) Escucho música y/o veo videos musicales, m) Veo televisión y/o películas</v>
      </c>
      <c r="AK293" s="94">
        <f t="shared" si="24"/>
        <v>3</v>
      </c>
      <c r="AL293" s="89" t="str">
        <f>Registro!AG293</f>
        <v>b) Bueno</v>
      </c>
      <c r="AM293" s="89" t="str">
        <f>Registro!AH293</f>
        <v>c) Regular</v>
      </c>
      <c r="AN293" s="89" t="str">
        <f>Registro!AI293</f>
        <v>f) No aplica</v>
      </c>
      <c r="AO293" s="89" t="str">
        <f>Registro!AJ293</f>
        <v>c) Regular</v>
      </c>
      <c r="AP293" s="89" t="str">
        <f>Registro!AK293</f>
        <v>b) Buena</v>
      </c>
      <c r="AQ293" s="89" t="str">
        <f>Registro!AL293</f>
        <v>b) Buena</v>
      </c>
      <c r="AR293" s="89" t="str">
        <f>Registro!AM293</f>
        <v>b) Buena</v>
      </c>
      <c r="AS293" s="89" t="str">
        <f>Registro!AN293</f>
        <v>d) Mala</v>
      </c>
      <c r="AT293" s="89" t="str">
        <f>Registro!AO293</f>
        <v>c) Regular</v>
      </c>
      <c r="AU293" s="89" t="str">
        <f>Registro!AP293</f>
        <v>c) Regular</v>
      </c>
      <c r="AV293" s="89" t="str">
        <f>Registro!AQ293</f>
        <v>c) Regular</v>
      </c>
      <c r="AW293" s="89" t="str">
        <f>Registro!AR293</f>
        <v>a) El compañerismo</v>
      </c>
      <c r="AX293" s="89" t="str">
        <f>Registro!AS293</f>
        <v>a) Que sea un buen profesional</v>
      </c>
      <c r="AY293" s="89" t="str">
        <f>Registro!AT293</f>
        <v>c) Conveniente</v>
      </c>
      <c r="AZ293" s="89" t="str">
        <f>Registro!AU293</f>
        <v>b) Las veces que bebo, es con moderación</v>
      </c>
      <c r="BA293" s="89" t="str">
        <f>Registro!AV293</f>
        <v>e) Educadores que se preocupan de nosotros</v>
      </c>
      <c r="BB293" s="89" t="str">
        <f>Registro!AW293</f>
        <v>b) Poco</v>
      </c>
      <c r="BC293" s="89" t="str">
        <f>Registro!AX293</f>
        <v>a) No me gustan en absoluto</v>
      </c>
      <c r="BD293" s="89" t="str">
        <f>Registro!AY293</f>
        <v>h) Una amiga</v>
      </c>
    </row>
    <row r="294" spans="1:56" ht="15" customHeight="1" x14ac:dyDescent="0.25">
      <c r="A294" s="101">
        <f>Registro!A294</f>
        <v>42190.356307870374</v>
      </c>
      <c r="B294" s="89" t="str">
        <f>Registro!B294</f>
        <v>a) Calasanz de Caracas</v>
      </c>
      <c r="C294" s="89" t="str">
        <f>Registro!C294</f>
        <v>b) Tercer año</v>
      </c>
      <c r="D294" s="89" t="str">
        <f>Registro!D294</f>
        <v>a) Educación Inicial</v>
      </c>
      <c r="E294" s="89" t="str">
        <f>Registro!E294</f>
        <v>b) Femenino</v>
      </c>
      <c r="F294" s="89" t="str">
        <f>Registro!F294</f>
        <v>a) Católica</v>
      </c>
      <c r="G294" s="89" t="str">
        <f>Registro!G294</f>
        <v>a) Mamá</v>
      </c>
      <c r="H294" s="89" t="str">
        <f>Registro!H294</f>
        <v>b) Casa Urbana</v>
      </c>
      <c r="I294" s="89" t="str">
        <f>Registro!I294</f>
        <v>a) Sí</v>
      </c>
      <c r="J294" s="89" t="str">
        <f>Registro!J294</f>
        <v>b) Lavadora, d) TV pantalla plana, h) Carro, i) Computadora, j) Cámara digital</v>
      </c>
      <c r="K294" s="89" t="str">
        <f>Registro!K294</f>
        <v>c) Dos</v>
      </c>
      <c r="L294" s="89" t="str">
        <f>Registro!L294</f>
        <v>a) La familia, c) Los estudios, g) La felicidad</v>
      </c>
      <c r="M294" s="94">
        <f t="shared" si="25"/>
        <v>3</v>
      </c>
      <c r="N294" s="89" t="str">
        <f>Registro!M294</f>
        <v>f) La situación política del país</v>
      </c>
      <c r="O294" s="89" t="str">
        <f>Registro!N294</f>
        <v>a) Mucho</v>
      </c>
      <c r="P294" s="89" t="str">
        <f>Registro!O294</f>
        <v>b) Suficiente</v>
      </c>
      <c r="Q294" s="89" t="str">
        <f>Registro!P294</f>
        <v>b) Suficiente</v>
      </c>
      <c r="R294" s="89" t="str">
        <f>Registro!Q294</f>
        <v>a) La familia, c) Los estudios, g) La felicidad</v>
      </c>
      <c r="S294" s="94">
        <f t="shared" si="26"/>
        <v>3</v>
      </c>
      <c r="T294" s="89" t="str">
        <f>Registro!R294</f>
        <v>b) Suficiente</v>
      </c>
      <c r="U294" s="89" t="str">
        <f>Registro!S294</f>
        <v>b) La naturaleza, k) La oración</v>
      </c>
      <c r="V294" s="89" t="str">
        <f>Registro!T294</f>
        <v>b) Rezo por costumbre</v>
      </c>
      <c r="W294" s="89" t="str">
        <f>Registro!U294</f>
        <v>d) Nunca</v>
      </c>
      <c r="X294" s="89" t="str">
        <f>Registro!V294</f>
        <v>e) Voy a misa en las fechas de mis familiares difuntos, f) En alguna ocasión he rezado el rosario, i) Tengo en mi cuarto alguna imagen religiosa</v>
      </c>
      <c r="Y294" s="89" t="str">
        <f>Registro!W294</f>
        <v>d) No pertenezco a ninguno</v>
      </c>
      <c r="Z294" s="89" t="str">
        <f>Registro!X294</f>
        <v>d) No pertenezco a grupos juveniles cristianos</v>
      </c>
      <c r="AA294" s="89" t="str">
        <f>Registro!Y294</f>
        <v>b) No</v>
      </c>
      <c r="AB294" s="89" t="str">
        <f>Registro!Z294</f>
        <v>b) No</v>
      </c>
      <c r="AC294" s="89" t="str">
        <f>Registro!AA294</f>
        <v>b) Docencia, g) Artista</v>
      </c>
      <c r="AD294" s="94">
        <f t="shared" si="27"/>
        <v>2</v>
      </c>
      <c r="AE294" s="89" t="str">
        <f>Registro!AB294</f>
        <v>c) Ser un excelente profesional</v>
      </c>
      <c r="AF294" s="89" t="str">
        <f>Registro!AC294</f>
        <v>b) Poco</v>
      </c>
      <c r="AG294" s="89" t="str">
        <f>Registro!AD294</f>
        <v>b) El ambiente de estudio y de trabajo, c) Las instalaciones del Colegio</v>
      </c>
      <c r="AH294" s="94">
        <f t="shared" si="23"/>
        <v>2</v>
      </c>
      <c r="AI294" s="89" t="str">
        <f>Registro!AE294</f>
        <v>d) 7 a 8 horas</v>
      </c>
      <c r="AJ294" s="89" t="str">
        <f>Registro!AF294</f>
        <v>b) Navego en Internet, d) Estoy la mayor parte del tiempo en la casa sin hacer nada, m) Veo televisión y/o películas</v>
      </c>
      <c r="AK294" s="94">
        <f t="shared" si="24"/>
        <v>3</v>
      </c>
      <c r="AL294" s="89" t="str">
        <f>Registro!AG294</f>
        <v>b) Bueno</v>
      </c>
      <c r="AM294" s="89" t="str">
        <f>Registro!AH294</f>
        <v>b) Buena</v>
      </c>
      <c r="AN294" s="89" t="str">
        <f>Registro!AI294</f>
        <v>c) Regular</v>
      </c>
      <c r="AO294" s="89" t="str">
        <f>Registro!AJ294</f>
        <v>b) Buena</v>
      </c>
      <c r="AP294" s="89" t="str">
        <f>Registro!AK294</f>
        <v>a) Muy buena</v>
      </c>
      <c r="AQ294" s="89" t="str">
        <f>Registro!AL294</f>
        <v>b) Buena</v>
      </c>
      <c r="AR294" s="89" t="str">
        <f>Registro!AM294</f>
        <v>b) Buena</v>
      </c>
      <c r="AS294" s="89" t="str">
        <f>Registro!AN294</f>
        <v>b) Buena</v>
      </c>
      <c r="AT294" s="89" t="str">
        <f>Registro!AO294</f>
        <v>b) Buena</v>
      </c>
      <c r="AU294" s="89" t="str">
        <f>Registro!AP294</f>
        <v>a) Muy buena</v>
      </c>
      <c r="AV294" s="89" t="str">
        <f>Registro!AQ294</f>
        <v>c) Regular</v>
      </c>
      <c r="AW294" s="89" t="str">
        <f>Registro!AR294</f>
        <v>c) El estudio</v>
      </c>
      <c r="AX294" s="89" t="str">
        <f>Registro!AS294</f>
        <v>a) Que sea un buen profesional</v>
      </c>
      <c r="AY294" s="89" t="str">
        <f>Registro!AT294</f>
        <v>d) Bastante necesaria</v>
      </c>
      <c r="AZ294" s="89" t="str">
        <f>Registro!AU294</f>
        <v>b) Las veces que bebo, es con moderación</v>
      </c>
      <c r="BA294" s="89" t="str">
        <f>Registro!AV294</f>
        <v>d) Buenos profesionales de la educación</v>
      </c>
      <c r="BB294" s="89" t="str">
        <f>Registro!AW294</f>
        <v>c) Bastante</v>
      </c>
      <c r="BC294" s="89" t="str">
        <f>Registro!AX294</f>
        <v>c) Son personas normales y corrientes</v>
      </c>
      <c r="BD294" s="89" t="str">
        <f>Registro!AY294</f>
        <v>b) Mi madre, h) Una amiga, k) No tengo problemas personales</v>
      </c>
    </row>
    <row r="295" spans="1:56" ht="15" customHeight="1" x14ac:dyDescent="0.25">
      <c r="A295" s="101">
        <f>Registro!A295</f>
        <v>42190.356863425928</v>
      </c>
      <c r="B295" s="89" t="str">
        <f>Registro!B295</f>
        <v>a) Calasanz de Caracas</v>
      </c>
      <c r="C295" s="89" t="str">
        <f>Registro!C295</f>
        <v>b) Tercer año</v>
      </c>
      <c r="D295" s="89" t="str">
        <f>Registro!D295</f>
        <v>a) Educación Inicial</v>
      </c>
      <c r="E295" s="89" t="str">
        <f>Registro!E295</f>
        <v>b) Femenino</v>
      </c>
      <c r="F295" s="89" t="str">
        <f>Registro!F295</f>
        <v>a) Católica</v>
      </c>
      <c r="G295" s="89" t="str">
        <f>Registro!G295</f>
        <v>a) Mamá, d) Abuelos</v>
      </c>
      <c r="H295" s="89" t="str">
        <f>Registro!H295</f>
        <v>c) Apartamento</v>
      </c>
      <c r="I295" s="89" t="str">
        <f>Registro!I295</f>
        <v>a) Sí</v>
      </c>
      <c r="J295" s="89" t="str">
        <f>Registro!J295</f>
        <v>a) Cónsola videojuegos, b) Lavadora, c) Microondas, d) TV pantalla plana, g) MP4, h) Carro, i) Computadora, j) Cámara digital, k) Aire acondicionado</v>
      </c>
      <c r="K295" s="89" t="str">
        <f>Registro!K295</f>
        <v>c) Dos</v>
      </c>
      <c r="L295" s="89" t="str">
        <f>Registro!L295</f>
        <v>a) La familia, d) El cuidado de mi cuerpo, i) La música</v>
      </c>
      <c r="M295" s="94">
        <f t="shared" si="25"/>
        <v>3</v>
      </c>
      <c r="N295" s="89" t="str">
        <f>Registro!M295</f>
        <v>g) Mis estudios</v>
      </c>
      <c r="O295" s="89" t="str">
        <f>Registro!N295</f>
        <v>a) Mucho</v>
      </c>
      <c r="P295" s="89" t="str">
        <f>Registro!O295</f>
        <v>b) Suficiente</v>
      </c>
      <c r="Q295" s="89" t="str">
        <f>Registro!P295</f>
        <v>a) Mucho</v>
      </c>
      <c r="R295" s="89" t="str">
        <f>Registro!Q295</f>
        <v>c) Los estudios, d) El cuidado de mi cuerpo, g) La felicidad</v>
      </c>
      <c r="S295" s="94">
        <f t="shared" si="26"/>
        <v>3</v>
      </c>
      <c r="T295" s="89" t="str">
        <f>Registro!R295</f>
        <v>a) Mucho</v>
      </c>
      <c r="U295" s="89" t="str">
        <f>Registro!S295</f>
        <v>a) La Iglesia, b) La naturaleza, g) Mi familia, j) Todas partes, k) La oración, l) Los sacramentos</v>
      </c>
      <c r="V295" s="89" t="str">
        <f>Registro!T295</f>
        <v>a) Suelo rezar por convicción o porque me gusta</v>
      </c>
      <c r="W295" s="89" t="str">
        <f>Registro!U295</f>
        <v>b) Algunos domingos</v>
      </c>
      <c r="X295" s="89" t="str">
        <f>Registro!V295</f>
        <v>a) Suelo llevar una cruz o algún objeto religioso, c) Suelo ir los domingos y otras fechas especiales a la Iglesia, d) Suelo orar todos los días, f) En alguna ocasión he rezado el rosario, g) En ocasiones, en mi casa tenemos una oración familiar, i) Tengo en mi cuarto alguna imagen religiosa</v>
      </c>
      <c r="Y295" s="89" t="str">
        <f>Registro!W295</f>
        <v>a) Deportivo</v>
      </c>
      <c r="Z295" s="89" t="str">
        <f>Registro!X295</f>
        <v>d) No pertenezco a grupos juveniles cristianos</v>
      </c>
      <c r="AA295" s="89" t="str">
        <f>Registro!Y295</f>
        <v>b) No</v>
      </c>
      <c r="AB295" s="89" t="str">
        <f>Registro!Z295</f>
        <v>b) No</v>
      </c>
      <c r="AC295" s="89" t="str">
        <f>Registro!AA295</f>
        <v>a) Medicina, g) Artista</v>
      </c>
      <c r="AD295" s="94">
        <f t="shared" si="27"/>
        <v>2</v>
      </c>
      <c r="AE295" s="89" t="str">
        <f>Registro!AB295</f>
        <v>c) Ser un excelente profesional</v>
      </c>
      <c r="AF295" s="89" t="str">
        <f>Registro!AC295</f>
        <v>c) Bastante</v>
      </c>
      <c r="AG295" s="89" t="str">
        <f>Registro!AD295</f>
        <v>a) Los deportes y diversiones, c) Las instalaciones del Colegio</v>
      </c>
      <c r="AH295" s="94">
        <f t="shared" si="23"/>
        <v>2</v>
      </c>
      <c r="AI295" s="89" t="str">
        <f>Registro!AE295</f>
        <v>b) 3 a 4 horas</v>
      </c>
      <c r="AJ295" s="89" t="str">
        <f>Registro!AF295</f>
        <v>h) Suelo ir al cine, l) Escucho música y/o veo videos musicales</v>
      </c>
      <c r="AK295" s="94">
        <f t="shared" si="24"/>
        <v>2</v>
      </c>
      <c r="AL295" s="89" t="str">
        <f>Registro!AG295</f>
        <v>c) Regular</v>
      </c>
      <c r="AM295" s="89" t="str">
        <f>Registro!AH295</f>
        <v>c) Regular</v>
      </c>
      <c r="AN295" s="89" t="str">
        <f>Registro!AI295</f>
        <v>f) No aplica</v>
      </c>
      <c r="AO295" s="89" t="str">
        <f>Registro!AJ295</f>
        <v>c) Regular</v>
      </c>
      <c r="AP295" s="89" t="str">
        <f>Registro!AK295</f>
        <v>c) Regular</v>
      </c>
      <c r="AQ295" s="89" t="str">
        <f>Registro!AL295</f>
        <v>c) Regular</v>
      </c>
      <c r="AR295" s="89" t="str">
        <f>Registro!AM295</f>
        <v>d) Mala</v>
      </c>
      <c r="AS295" s="89" t="str">
        <f>Registro!AN295</f>
        <v>c) Regular</v>
      </c>
      <c r="AT295" s="89" t="str">
        <f>Registro!AO295</f>
        <v>c) Regular</v>
      </c>
      <c r="AU295" s="89" t="str">
        <f>Registro!AP295</f>
        <v>c) Regular</v>
      </c>
      <c r="AV295" s="89" t="str">
        <f>Registro!AQ295</f>
        <v>c) Regular</v>
      </c>
      <c r="AW295" s="89" t="str">
        <f>Registro!AR295</f>
        <v>a) El compañerismo</v>
      </c>
      <c r="AX295" s="89" t="str">
        <f>Registro!AS295</f>
        <v>a) Que sea un buen profesional</v>
      </c>
      <c r="AY295" s="89" t="str">
        <f>Registro!AT295</f>
        <v>d) Bastante necesaria</v>
      </c>
      <c r="AZ295" s="89" t="str">
        <f>Registro!AU295</f>
        <v>a) No acostumbro a tomarlo nunca</v>
      </c>
      <c r="BA295" s="89" t="str">
        <f>Registro!AV295</f>
        <v>c) Profesionales que hacen lo que pueden</v>
      </c>
      <c r="BB295" s="89" t="str">
        <f>Registro!AW295</f>
        <v>b) Poco</v>
      </c>
      <c r="BC295" s="89" t="str">
        <f>Registro!AX295</f>
        <v>d) Hay de todo tipo, pero predomina lo positivo</v>
      </c>
      <c r="BD295" s="89" t="str">
        <f>Registro!AY295</f>
        <v>b) Mi madre, h) Una amiga</v>
      </c>
    </row>
    <row r="296" spans="1:56" ht="15" customHeight="1" x14ac:dyDescent="0.25">
      <c r="A296" s="101">
        <f>Registro!A296</f>
        <v>42190.357569444444</v>
      </c>
      <c r="B296" s="89" t="str">
        <f>Registro!B296</f>
        <v>a) Calasanz de Caracas</v>
      </c>
      <c r="C296" s="89" t="str">
        <f>Registro!C296</f>
        <v>b) Tercer año</v>
      </c>
      <c r="D296" s="89" t="str">
        <f>Registro!D296</f>
        <v>a) Educación Inicial</v>
      </c>
      <c r="E296" s="89" t="str">
        <f>Registro!E296</f>
        <v>a) Masculino</v>
      </c>
      <c r="F296" s="89" t="str">
        <f>Registro!F296</f>
        <v>a) Católica</v>
      </c>
      <c r="G296" s="89" t="str">
        <f>Registro!G296</f>
        <v>a) Mamá, b) Papá, d) Abuelos</v>
      </c>
      <c r="H296" s="89" t="str">
        <f>Registro!H296</f>
        <v>c) Apartamento</v>
      </c>
      <c r="I296" s="89" t="str">
        <f>Registro!I296</f>
        <v>a) Sí</v>
      </c>
      <c r="J296" s="89" t="str">
        <f>Registro!J296</f>
        <v>a) Cónsola videojuegos, b) Lavadora, i) Computadora</v>
      </c>
      <c r="K296" s="89" t="str">
        <f>Registro!K296</f>
        <v>f) Más de cuatro</v>
      </c>
      <c r="L296" s="89" t="str">
        <f>Registro!L296</f>
        <v>a) La familia, c) Los estudios, j) El deporte</v>
      </c>
      <c r="M296" s="94">
        <f t="shared" si="25"/>
        <v>3</v>
      </c>
      <c r="N296" s="89" t="str">
        <f>Registro!M296</f>
        <v>g) Mis estudios</v>
      </c>
      <c r="O296" s="89" t="str">
        <f>Registro!N296</f>
        <v>a) Mucho</v>
      </c>
      <c r="P296" s="89" t="str">
        <f>Registro!O296</f>
        <v>a) Mucho</v>
      </c>
      <c r="Q296" s="89" t="str">
        <f>Registro!P296</f>
        <v>c) Poco</v>
      </c>
      <c r="R296" s="89" t="str">
        <f>Registro!Q296</f>
        <v>a) La familia, c) Los estudios, k) Internet</v>
      </c>
      <c r="S296" s="94">
        <f t="shared" si="26"/>
        <v>3</v>
      </c>
      <c r="T296" s="89" t="str">
        <f>Registro!R296</f>
        <v>b) Suficiente</v>
      </c>
      <c r="U296" s="89" t="str">
        <f>Registro!S296</f>
        <v>f) Todas las personas, g) Mi familia, h) Algunas personas cercanas a Dios</v>
      </c>
      <c r="V296" s="89" t="str">
        <f>Registro!T296</f>
        <v>c) Rezo solo en situación de dificultad</v>
      </c>
      <c r="W296" s="89" t="str">
        <f>Registro!U296</f>
        <v>c) Solo en fechas especiales</v>
      </c>
      <c r="X296" s="89" t="str">
        <f>Registro!V296</f>
        <v>b) Suelo bendedir los alimentos antes de comer, c) Suelo ir los domingos y otras fechas especiales a la Iglesia</v>
      </c>
      <c r="Y296" s="89" t="str">
        <f>Registro!W296</f>
        <v>a) Deportivo</v>
      </c>
      <c r="Z296" s="89" t="str">
        <f>Registro!X296</f>
        <v>c) Un lugar donde me lo paso bien</v>
      </c>
      <c r="AA296" s="89" t="str">
        <f>Registro!Y296</f>
        <v>b) No</v>
      </c>
      <c r="AB296" s="89" t="str">
        <f>Registro!Z296</f>
        <v>b) No</v>
      </c>
      <c r="AC296" s="89" t="str">
        <f>Registro!AA296</f>
        <v>a) Medicina</v>
      </c>
      <c r="AD296" s="94">
        <f t="shared" si="27"/>
        <v>1</v>
      </c>
      <c r="AE296" s="89" t="str">
        <f>Registro!AB296</f>
        <v>b) Tener una buena posición social, ser importante</v>
      </c>
      <c r="AF296" s="89" t="str">
        <f>Registro!AC296</f>
        <v>c) Bastante</v>
      </c>
      <c r="AG296" s="89" t="str">
        <f>Registro!AD296</f>
        <v>a) Los deportes y diversiones, c) Las instalaciones del Colegio</v>
      </c>
      <c r="AH296" s="94">
        <f t="shared" si="23"/>
        <v>2</v>
      </c>
      <c r="AI296" s="89" t="str">
        <f>Registro!AE296</f>
        <v>e) 9 a 10 horas</v>
      </c>
      <c r="AJ296" s="89" t="str">
        <f>Registro!AF296</f>
        <v>a) Me divierto con juegos para computadoras, b) Navego en Internet, d) Estoy la mayor parte del tiempo en la casa sin hacer nada</v>
      </c>
      <c r="AK296" s="94">
        <f t="shared" si="24"/>
        <v>3</v>
      </c>
      <c r="AL296" s="89" t="str">
        <f>Registro!AG296</f>
        <v>a) Muy bueno</v>
      </c>
      <c r="AM296" s="89" t="str">
        <f>Registro!AH296</f>
        <v>a) Muy buena</v>
      </c>
      <c r="AN296" s="89">
        <f>Registro!AI296</f>
        <v>0</v>
      </c>
      <c r="AO296" s="89" t="str">
        <f>Registro!AJ296</f>
        <v>a) Muy buena</v>
      </c>
      <c r="AP296" s="89" t="str">
        <f>Registro!AK296</f>
        <v>a) Muy buena</v>
      </c>
      <c r="AQ296" s="89" t="str">
        <f>Registro!AL296</f>
        <v>a) Muy buena</v>
      </c>
      <c r="AR296" s="89" t="str">
        <f>Registro!AM296</f>
        <v>a) Muy buena</v>
      </c>
      <c r="AS296" s="89" t="str">
        <f>Registro!AN296</f>
        <v>a) Muy buena</v>
      </c>
      <c r="AT296" s="89" t="str">
        <f>Registro!AO296</f>
        <v>a) Muy buena</v>
      </c>
      <c r="AU296" s="89" t="str">
        <f>Registro!AP296</f>
        <v>a) Muy buena</v>
      </c>
      <c r="AV296" s="89" t="str">
        <f>Registro!AQ296</f>
        <v>a) Muy buena</v>
      </c>
      <c r="AW296" s="89" t="str">
        <f>Registro!AR296</f>
        <v>a) El compañerismo</v>
      </c>
      <c r="AX296" s="89">
        <f>Registro!AS296</f>
        <v>0</v>
      </c>
      <c r="AY296" s="89" t="str">
        <f>Registro!AT296</f>
        <v>b) Indiferente</v>
      </c>
      <c r="AZ296" s="89" t="str">
        <f>Registro!AU296</f>
        <v>b) Las veces que bebo, es con moderación</v>
      </c>
      <c r="BA296" s="89" t="str">
        <f>Registro!AV296</f>
        <v>b) Profesionales que no se preocupan de nosotros</v>
      </c>
      <c r="BB296" s="89" t="str">
        <f>Registro!AW296</f>
        <v>d) Mucho o muchísimo</v>
      </c>
      <c r="BC296" s="89" t="str">
        <f>Registro!AX296</f>
        <v>d) Hay de todo tipo, pero predomina lo positivo</v>
      </c>
      <c r="BD296" s="89" t="str">
        <f>Registro!AY296</f>
        <v>a) Mi padre, b) Mi madre, c) Un hermano/a, f) La orientadora</v>
      </c>
    </row>
    <row r="297" spans="1:56" ht="15" customHeight="1" x14ac:dyDescent="0.25">
      <c r="A297" s="101">
        <f>Registro!A297</f>
        <v>42283.357210648152</v>
      </c>
      <c r="B297" s="89" t="str">
        <f>Registro!B297</f>
        <v>b) Calasanz de Valencia</v>
      </c>
      <c r="C297" s="89" t="str">
        <f>Registro!C297</f>
        <v>a) Primer año</v>
      </c>
      <c r="D297" s="89" t="str">
        <f>Registro!D297</f>
        <v>a) Educación Inicial</v>
      </c>
      <c r="E297" s="89" t="str">
        <f>Registro!E297</f>
        <v>b) Femenino</v>
      </c>
      <c r="F297" s="89">
        <f>Registro!F297</f>
        <v>0</v>
      </c>
      <c r="G297" s="89">
        <f>Registro!G297</f>
        <v>0</v>
      </c>
      <c r="H297" s="89">
        <f>Registro!H297</f>
        <v>0</v>
      </c>
      <c r="I297" s="89">
        <f>Registro!I297</f>
        <v>0</v>
      </c>
      <c r="J297" s="89">
        <f>Registro!J297</f>
        <v>0</v>
      </c>
      <c r="K297" s="89">
        <f>Registro!K297</f>
        <v>0</v>
      </c>
      <c r="L297" s="89">
        <f>Registro!L297</f>
        <v>0</v>
      </c>
      <c r="M297" s="94">
        <f t="shared" si="25"/>
        <v>0</v>
      </c>
      <c r="N297" s="89">
        <f>Registro!M297</f>
        <v>0</v>
      </c>
      <c r="O297" s="89">
        <f>Registro!N297</f>
        <v>0</v>
      </c>
      <c r="P297" s="89">
        <f>Registro!O297</f>
        <v>0</v>
      </c>
      <c r="Q297" s="89">
        <f>Registro!P297</f>
        <v>0</v>
      </c>
      <c r="R297" s="89">
        <f>Registro!Q297</f>
        <v>0</v>
      </c>
      <c r="S297" s="94">
        <f t="shared" si="26"/>
        <v>0</v>
      </c>
      <c r="T297" s="89">
        <f>Registro!R297</f>
        <v>0</v>
      </c>
      <c r="U297" s="89">
        <f>Registro!S297</f>
        <v>0</v>
      </c>
      <c r="V297" s="89">
        <f>Registro!T297</f>
        <v>0</v>
      </c>
      <c r="W297" s="89">
        <f>Registro!U297</f>
        <v>0</v>
      </c>
      <c r="X297" s="89">
        <f>Registro!V297</f>
        <v>0</v>
      </c>
      <c r="Y297" s="89">
        <f>Registro!W297</f>
        <v>0</v>
      </c>
      <c r="Z297" s="89">
        <f>Registro!X297</f>
        <v>0</v>
      </c>
      <c r="AA297" s="89">
        <f>Registro!Y297</f>
        <v>0</v>
      </c>
      <c r="AB297" s="89">
        <f>Registro!Z297</f>
        <v>0</v>
      </c>
      <c r="AC297" s="89"/>
      <c r="AD297" s="94">
        <f t="shared" si="27"/>
        <v>0</v>
      </c>
      <c r="AE297" s="89">
        <f>Registro!AB297</f>
        <v>0</v>
      </c>
      <c r="AF297" s="89">
        <f>Registro!AC297</f>
        <v>0</v>
      </c>
      <c r="AG297" s="89">
        <f>Registro!AD297</f>
        <v>0</v>
      </c>
      <c r="AH297" s="94">
        <f t="shared" si="23"/>
        <v>0</v>
      </c>
      <c r="AI297" s="89">
        <f>Registro!AE297</f>
        <v>0</v>
      </c>
      <c r="AJ297" s="89">
        <f>Registro!AF297</f>
        <v>0</v>
      </c>
      <c r="AK297" s="94">
        <f t="shared" si="24"/>
        <v>0</v>
      </c>
      <c r="AL297" s="89">
        <f>Registro!AG297</f>
        <v>0</v>
      </c>
      <c r="AM297" s="89">
        <f>Registro!AH297</f>
        <v>0</v>
      </c>
      <c r="AN297" s="89">
        <f>Registro!AI297</f>
        <v>0</v>
      </c>
      <c r="AO297" s="89">
        <f>Registro!AJ297</f>
        <v>0</v>
      </c>
      <c r="AP297" s="89">
        <f>Registro!AK297</f>
        <v>0</v>
      </c>
      <c r="AQ297" s="89">
        <f>Registro!AL297</f>
        <v>0</v>
      </c>
      <c r="AR297" s="89">
        <f>Registro!AM297</f>
        <v>0</v>
      </c>
      <c r="AS297" s="89">
        <f>Registro!AN297</f>
        <v>0</v>
      </c>
      <c r="AT297" s="89">
        <f>Registro!AO297</f>
        <v>0</v>
      </c>
      <c r="AU297" s="89">
        <f>Registro!AP297</f>
        <v>0</v>
      </c>
      <c r="AV297" s="89">
        <f>Registro!AQ297</f>
        <v>0</v>
      </c>
      <c r="AW297" s="89">
        <f>Registro!AR297</f>
        <v>0</v>
      </c>
      <c r="AX297" s="89">
        <f>Registro!AS297</f>
        <v>0</v>
      </c>
      <c r="AY297" s="89">
        <f>Registro!AT297</f>
        <v>0</v>
      </c>
      <c r="AZ297" s="89">
        <f>Registro!AU297</f>
        <v>0</v>
      </c>
      <c r="BA297" s="89">
        <f>Registro!AV297</f>
        <v>0</v>
      </c>
      <c r="BB297" s="89">
        <f>Registro!AW297</f>
        <v>0</v>
      </c>
      <c r="BC297" s="89">
        <f>Registro!AX297</f>
        <v>0</v>
      </c>
      <c r="BD297" s="89">
        <f>Registro!AY297</f>
        <v>0</v>
      </c>
    </row>
    <row r="298" spans="1:56" ht="15" customHeight="1" x14ac:dyDescent="0.25">
      <c r="A298" s="101">
        <f>Registro!A298</f>
        <v>42283.364062499997</v>
      </c>
      <c r="B298" s="89" t="str">
        <f>Registro!B298</f>
        <v>b) Calasanz de Valencia</v>
      </c>
      <c r="C298" s="89" t="str">
        <f>Registro!C298</f>
        <v>a) Primer año</v>
      </c>
      <c r="D298" s="89" t="str">
        <f>Registro!D298</f>
        <v>a) Educación Inicial</v>
      </c>
      <c r="E298" s="89" t="str">
        <f>Registro!E298</f>
        <v>a) Masculino</v>
      </c>
      <c r="F298" s="89" t="str">
        <f>Registro!F298</f>
        <v>a) Católica</v>
      </c>
      <c r="G298" s="89" t="str">
        <f>Registro!G298</f>
        <v>a) Mamá, b) Papá, c) Hermanos</v>
      </c>
      <c r="H298" s="89" t="str">
        <f>Registro!H298</f>
        <v>b) Casa Urbana</v>
      </c>
      <c r="I298" s="89" t="str">
        <f>Registro!I298</f>
        <v>a) Sí</v>
      </c>
      <c r="J298" s="89" t="str">
        <f>Registro!J298</f>
        <v>a) Cónsola videojuegos, b) Lavadora, c) Microondas, f) MP3, h) Carro, i) Computadora, k) Aire acondicionado</v>
      </c>
      <c r="K298" s="89" t="str">
        <f>Registro!K298</f>
        <v>b) Una</v>
      </c>
      <c r="L298" s="89" t="str">
        <f>Registro!L298</f>
        <v>a) La familia, c) Los estudios, f) Mi fe y vida cristiana</v>
      </c>
      <c r="M298" s="94">
        <f t="shared" si="25"/>
        <v>3</v>
      </c>
      <c r="N298" s="89" t="str">
        <f>Registro!M298</f>
        <v>f) La situación política del país</v>
      </c>
      <c r="O298" s="89" t="str">
        <f>Registro!N298</f>
        <v>a) Mucho</v>
      </c>
      <c r="P298" s="89" t="str">
        <f>Registro!O298</f>
        <v>b) Suficiente</v>
      </c>
      <c r="Q298" s="89" t="str">
        <f>Registro!P298</f>
        <v>b) Suficiente</v>
      </c>
      <c r="R298" s="89" t="str">
        <f>Registro!Q298</f>
        <v>c) Los estudios, e) Disponer de dinero, f) Mi fe y mi vida cristiana</v>
      </c>
      <c r="S298" s="94">
        <f t="shared" si="26"/>
        <v>3</v>
      </c>
      <c r="T298" s="89" t="str">
        <f>Registro!R298</f>
        <v>a) Mucho</v>
      </c>
      <c r="U298" s="89" t="str">
        <f>Registro!S298</f>
        <v>a) La Iglesia, b) La naturaleza, c) El salón de clase, d) Las convivencias, e) Los amigos, f) Todas las personas, g) Mi familia, h) Algunas personas cercanas a Dios, i) Los necesitados, j) Todas partes, k) La oración, l) Los sacramentos</v>
      </c>
      <c r="V298" s="89" t="str">
        <f>Registro!T298</f>
        <v>b) Rezo por costumbre</v>
      </c>
      <c r="W298" s="89" t="str">
        <f>Registro!U298</f>
        <v>b) Algunos domingos</v>
      </c>
      <c r="X298" s="89" t="str">
        <f>Registro!V298</f>
        <v>d) Suelo orar todos los días, f) En alguna ocasión he rezado el rosario, g) En ocasiones, en mi casa tenemos una oración familiar</v>
      </c>
      <c r="Y298" s="89" t="str">
        <f>Registro!W298</f>
        <v>b) Cultural (folklórico, musicales, danzas, scout, banda marcial,...) , d) No pertenezco a ninguno</v>
      </c>
      <c r="Z298" s="89" t="str">
        <f>Registro!X298</f>
        <v>a) Un grupo donde profundizo mi fe</v>
      </c>
      <c r="AA298" s="89" t="str">
        <f>Registro!Y298</f>
        <v>c) Algo</v>
      </c>
      <c r="AB298" s="89">
        <f>Registro!Z298</f>
        <v>0</v>
      </c>
      <c r="AC298" s="89" t="str">
        <f>Registro!AA298</f>
        <v>b) Docencia, g) Artista</v>
      </c>
      <c r="AD298" s="94">
        <f t="shared" si="27"/>
        <v>2</v>
      </c>
      <c r="AE298" s="89" t="str">
        <f>Registro!AB298</f>
        <v>f) Ejecutar una tarea conforme a mi fe</v>
      </c>
      <c r="AF298" s="89" t="str">
        <f>Registro!AC298</f>
        <v>c) Bastante</v>
      </c>
      <c r="AG298" s="89" t="str">
        <f>Registro!AD298</f>
        <v>b) El ambiente de estudio y de trabajo, f) La igualdad de trato que se da a todos</v>
      </c>
      <c r="AH298" s="94">
        <f t="shared" si="23"/>
        <v>2</v>
      </c>
      <c r="AI298" s="89" t="str">
        <f>Registro!AE298</f>
        <v>d) 7 a 8 horas</v>
      </c>
      <c r="AJ298" s="89" t="str">
        <f>Registro!AF298</f>
        <v>b) Navego en Internet, i) Leo revistas o libros, m) Veo televisión y/o películas</v>
      </c>
      <c r="AK298" s="94">
        <f t="shared" si="24"/>
        <v>3</v>
      </c>
      <c r="AL298" s="89">
        <f>Registro!AG298</f>
        <v>0</v>
      </c>
      <c r="AM298" s="89" t="str">
        <f>Registro!AH298</f>
        <v>b) Buena</v>
      </c>
      <c r="AN298" s="89" t="str">
        <f>Registro!AI298</f>
        <v>b) Buena</v>
      </c>
      <c r="AO298" s="89" t="str">
        <f>Registro!AJ298</f>
        <v>a) Muy buena</v>
      </c>
      <c r="AP298" s="89">
        <f>Registro!AK298</f>
        <v>0</v>
      </c>
      <c r="AQ298" s="89" t="str">
        <f>Registro!AL298</f>
        <v>a) Muy buena</v>
      </c>
      <c r="AR298" s="89" t="str">
        <f>Registro!AM298</f>
        <v>a) Muy buena</v>
      </c>
      <c r="AS298" s="89" t="str">
        <f>Registro!AN298</f>
        <v>a) Muy buena</v>
      </c>
      <c r="AT298" s="89" t="str">
        <f>Registro!AO298</f>
        <v>a) Muy buena</v>
      </c>
      <c r="AU298" s="89" t="str">
        <f>Registro!AP298</f>
        <v>a) Muy buena</v>
      </c>
      <c r="AV298" s="89" t="str">
        <f>Registro!AQ298</f>
        <v>b) Buena</v>
      </c>
      <c r="AW298" s="89" t="str">
        <f>Registro!AR298</f>
        <v>a) El compañerismo</v>
      </c>
      <c r="AX298" s="89" t="str">
        <f>Registro!AS298</f>
        <v>e) Que sea cristiano responsable</v>
      </c>
      <c r="AY298" s="89" t="str">
        <f>Registro!AT298</f>
        <v>e) Absolutamente necesaria</v>
      </c>
      <c r="AZ298" s="89" t="str">
        <f>Registro!AU298</f>
        <v>a) No acostumbro a tomarlo nunca</v>
      </c>
      <c r="BA298" s="89" t="str">
        <f>Registro!AV298</f>
        <v>e) Educadores que se preocupan de nosotros</v>
      </c>
      <c r="BB298" s="89" t="str">
        <f>Registro!AW298</f>
        <v>d) Mucho o muchísimo</v>
      </c>
      <c r="BC298" s="89" t="str">
        <f>Registro!AX298</f>
        <v>d) Hay de todo tipo, pero predomina lo positivo</v>
      </c>
      <c r="BD298" s="89" t="str">
        <f>Registro!AY298</f>
        <v>a) Mi padre, b) Mi madre, e) Un, una docente, f) La orientadora, g) Un amigo</v>
      </c>
    </row>
    <row r="299" spans="1:56" ht="15" customHeight="1" x14ac:dyDescent="0.25">
      <c r="A299" s="101">
        <f>Registro!A299</f>
        <v>42283.364270833335</v>
      </c>
      <c r="B299" s="89" t="str">
        <f>Registro!B299</f>
        <v>b) Calasanz de Valencia</v>
      </c>
      <c r="C299" s="89" t="str">
        <f>Registro!C299</f>
        <v>a) Primer año</v>
      </c>
      <c r="D299" s="89" t="str">
        <f>Registro!D299</f>
        <v>a) Educación Inicial</v>
      </c>
      <c r="E299" s="89" t="str">
        <f>Registro!E299</f>
        <v>a) Masculino</v>
      </c>
      <c r="F299" s="89" t="str">
        <f>Registro!F299</f>
        <v>a) Católica</v>
      </c>
      <c r="G299" s="89" t="str">
        <f>Registro!G299</f>
        <v>a) Mamá</v>
      </c>
      <c r="H299" s="89" t="str">
        <f>Registro!H299</f>
        <v>c) Apartamento</v>
      </c>
      <c r="I299" s="89" t="str">
        <f>Registro!I299</f>
        <v>a) Sí</v>
      </c>
      <c r="J299" s="89" t="str">
        <f>Registro!J299</f>
        <v>a) Cónsola videojuegos, b) Lavadora, c) Microondas, d) TV pantalla plana, h) Carro, i) Computadora, j) Cámara digital, k) Aire acondicionado</v>
      </c>
      <c r="K299" s="89" t="str">
        <f>Registro!K299</f>
        <v>b) Una</v>
      </c>
      <c r="L299" s="89" t="str">
        <f>Registro!L299</f>
        <v>a) La familia, f) Mi fe y vida cristiana, j) El deporte</v>
      </c>
      <c r="M299" s="94">
        <f t="shared" si="25"/>
        <v>3</v>
      </c>
      <c r="N299" s="89" t="str">
        <f>Registro!M299</f>
        <v>b) El futuro</v>
      </c>
      <c r="O299" s="89" t="str">
        <f>Registro!N299</f>
        <v>b) Suficiente</v>
      </c>
      <c r="P299" s="89" t="str">
        <f>Registro!O299</f>
        <v>b) Suficiente</v>
      </c>
      <c r="Q299" s="89" t="str">
        <f>Registro!P299</f>
        <v>b) Suficiente</v>
      </c>
      <c r="R299" s="89"/>
      <c r="S299" s="94">
        <f t="shared" si="26"/>
        <v>0</v>
      </c>
      <c r="T299" s="89" t="str">
        <f>Registro!R299</f>
        <v>a) Mucho</v>
      </c>
      <c r="U299" s="89" t="str">
        <f>Registro!S299</f>
        <v>a) La Iglesia, f) Todas las personas, j) Todas partes, k) La oración, l) Los sacramentos</v>
      </c>
      <c r="V299" s="89" t="str">
        <f>Registro!T299</f>
        <v>b) Rezo por costumbre</v>
      </c>
      <c r="W299" s="89" t="str">
        <f>Registro!U299</f>
        <v>b) Algunos domingos</v>
      </c>
      <c r="X299" s="89" t="str">
        <f>Registro!V299</f>
        <v>d) Suelo orar todos los días</v>
      </c>
      <c r="Y299" s="89" t="str">
        <f>Registro!W299</f>
        <v>a) Deportivo</v>
      </c>
      <c r="Z299" s="89" t="str">
        <f>Registro!X299</f>
        <v>d) No pertenezco a grupos juveniles cristianos</v>
      </c>
      <c r="AA299" s="89" t="str">
        <f>Registro!Y299</f>
        <v>b) No</v>
      </c>
      <c r="AB299" s="89" t="str">
        <f>Registro!Z299</f>
        <v>b) No</v>
      </c>
      <c r="AC299" s="89" t="str">
        <f>Registro!AA299</f>
        <v>a) Medicina, i) Comerciante</v>
      </c>
      <c r="AD299" s="94">
        <f t="shared" si="27"/>
        <v>2</v>
      </c>
      <c r="AE299" s="89" t="str">
        <f>Registro!AB299</f>
        <v>e) Servir a los demás</v>
      </c>
      <c r="AF299" s="89" t="str">
        <f>Registro!AC299</f>
        <v>e) No sé</v>
      </c>
      <c r="AG299" s="89" t="str">
        <f>Registro!AD299</f>
        <v>a) Los deportes y diversiones</v>
      </c>
      <c r="AH299" s="94">
        <f t="shared" si="23"/>
        <v>1</v>
      </c>
      <c r="AI299" s="89" t="str">
        <f>Registro!AE299</f>
        <v>f) 11 o más horas</v>
      </c>
      <c r="AJ299" s="89" t="str">
        <f>Registro!AF299</f>
        <v>k) Practico algún deporte, l) Escucho música y/o veo videos musicales, n) Estoy conversando con los amigos/as</v>
      </c>
      <c r="AK299" s="94">
        <f t="shared" si="24"/>
        <v>3</v>
      </c>
      <c r="AL299" s="89" t="str">
        <f>Registro!AG299</f>
        <v>c) Regular</v>
      </c>
      <c r="AM299" s="89" t="str">
        <f>Registro!AH299</f>
        <v>b) Buena</v>
      </c>
      <c r="AN299" s="89" t="str">
        <f>Registro!AI299</f>
        <v>a) Muy buena</v>
      </c>
      <c r="AO299" s="89" t="str">
        <f>Registro!AJ299</f>
        <v>f) No aplica</v>
      </c>
      <c r="AP299" s="89" t="str">
        <f>Registro!AK299</f>
        <v>b) Buena</v>
      </c>
      <c r="AQ299" s="89" t="str">
        <f>Registro!AL299</f>
        <v>b) Buena</v>
      </c>
      <c r="AR299" s="89" t="str">
        <f>Registro!AM299</f>
        <v>c) Regular</v>
      </c>
      <c r="AS299" s="89" t="str">
        <f>Registro!AN299</f>
        <v>c) Regular</v>
      </c>
      <c r="AT299" s="89" t="str">
        <f>Registro!AO299</f>
        <v>b) Buena</v>
      </c>
      <c r="AU299" s="89" t="str">
        <f>Registro!AP299</f>
        <v>a) Muy buena</v>
      </c>
      <c r="AV299" s="89" t="str">
        <f>Registro!AQ299</f>
        <v>b) Buena</v>
      </c>
      <c r="AW299" s="89" t="str">
        <f>Registro!AR299</f>
        <v>b) La orientación cristiana</v>
      </c>
      <c r="AX299" s="89" t="str">
        <f>Registro!AS299</f>
        <v>a) Que sea un buen profesional</v>
      </c>
      <c r="AY299" s="89" t="str">
        <f>Registro!AT299</f>
        <v>d) Bastante necesaria</v>
      </c>
      <c r="AZ299" s="89" t="str">
        <f>Registro!AU299</f>
        <v>c) Alguna vez he bebido más de la cuenta</v>
      </c>
      <c r="BA299" s="89" t="str">
        <f>Registro!AV299</f>
        <v>d) Buenos profesionales de la educación</v>
      </c>
      <c r="BB299" s="89">
        <f>Registro!AW299</f>
        <v>0</v>
      </c>
      <c r="BC299" s="89" t="str">
        <f>Registro!AX299</f>
        <v>c) Son personas normales y corrientes</v>
      </c>
      <c r="BD299" s="89" t="str">
        <f>Registro!AY299</f>
        <v>a) Mi padre, b) Mi madre, c) Un hermano/a, d) Un escolapio, religioso o religiosa, e) Un, una docente, f) La orientadora</v>
      </c>
    </row>
    <row r="300" spans="1:56" ht="15" customHeight="1" x14ac:dyDescent="0.25">
      <c r="A300" s="101">
        <f>Registro!A300</f>
        <v>42283.365057870367</v>
      </c>
      <c r="B300" s="89" t="str">
        <f>Registro!B300</f>
        <v>b) Calasanz de Valencia</v>
      </c>
      <c r="C300" s="89" t="str">
        <f>Registro!C300</f>
        <v>a) Primer año</v>
      </c>
      <c r="D300" s="89" t="str">
        <f>Registro!D300</f>
        <v>c) Entre Primero y Tercer año</v>
      </c>
      <c r="E300" s="89" t="str">
        <f>Registro!E300</f>
        <v>b) Femenino</v>
      </c>
      <c r="F300" s="89" t="str">
        <f>Registro!F300</f>
        <v>a) Católica</v>
      </c>
      <c r="G300" s="89" t="str">
        <f>Registro!G300</f>
        <v>a) Mamá, b) Papá, c) Hermanos, d) Abuelos, e) Otros familiares</v>
      </c>
      <c r="H300" s="89" t="str">
        <f>Registro!H300</f>
        <v>c) Apartamento</v>
      </c>
      <c r="I300" s="89" t="str">
        <f>Registro!I300</f>
        <v>a) Sí</v>
      </c>
      <c r="J300" s="89" t="str">
        <f>Registro!J300</f>
        <v>a) Cónsola videojuegos, b) Lavadora, c) Microondas, d) TV pantalla plana, f) MP3, g) MP4, h) Carro, i) Computadora, j) Cámara digital, k) Aire acondicionado</v>
      </c>
      <c r="K300" s="89" t="str">
        <f>Registro!K300</f>
        <v>f) Más de cuatro</v>
      </c>
      <c r="L300" s="89" t="str">
        <f>Registro!L300</f>
        <v>a) La familia, b) Los amigos, g) La felicidad</v>
      </c>
      <c r="M300" s="94">
        <f t="shared" si="25"/>
        <v>3</v>
      </c>
      <c r="N300" s="89" t="str">
        <f>Registro!M300</f>
        <v>d) Los problemas familiares</v>
      </c>
      <c r="O300" s="89" t="str">
        <f>Registro!N300</f>
        <v>c) Poco</v>
      </c>
      <c r="P300" s="89" t="str">
        <f>Registro!O300</f>
        <v>c) Poco</v>
      </c>
      <c r="Q300" s="89" t="str">
        <f>Registro!P300</f>
        <v>a) Mucho</v>
      </c>
      <c r="R300" s="89" t="str">
        <f>Registro!Q300</f>
        <v>b) Los amigos, c) Los estudios, k) Internet</v>
      </c>
      <c r="S300" s="94">
        <f t="shared" si="26"/>
        <v>3</v>
      </c>
      <c r="T300" s="89" t="str">
        <f>Registro!R300</f>
        <v>a) Mucho</v>
      </c>
      <c r="U300" s="89" t="str">
        <f>Registro!S300</f>
        <v>a) La Iglesia, b) La naturaleza, g) Mi familia, j) Todas partes, k) La oración</v>
      </c>
      <c r="V300" s="89" t="str">
        <f>Registro!T300</f>
        <v>b) Rezo por costumbre</v>
      </c>
      <c r="W300" s="89" t="str">
        <f>Registro!U300</f>
        <v>c) Solo en fechas especiales</v>
      </c>
      <c r="X300" s="89" t="str">
        <f>Registro!V300</f>
        <v>d) Suelo orar todos los días, e) Voy a misa en las fechas de mis familiares difuntos</v>
      </c>
      <c r="Y300" s="89" t="str">
        <f>Registro!W300</f>
        <v xml:space="preserve">a) Deportivo, b) Cultural (folklórico, musicales, danzas, scout, banda marcial,...) </v>
      </c>
      <c r="Z300" s="89" t="str">
        <f>Registro!X300</f>
        <v>a) Un grupo donde profundizo mi fe</v>
      </c>
      <c r="AA300" s="89" t="str">
        <f>Registro!Y300</f>
        <v>b) No</v>
      </c>
      <c r="AB300" s="89" t="str">
        <f>Registro!Z300</f>
        <v>b) No</v>
      </c>
      <c r="AC300" s="89" t="str">
        <f>Registro!AA300</f>
        <v>a) Medicina, d) Ingeniería</v>
      </c>
      <c r="AD300" s="94">
        <f t="shared" si="27"/>
        <v>2</v>
      </c>
      <c r="AE300" s="89" t="str">
        <f>Registro!AB300</f>
        <v>b) Tener una buena posición social, ser importante</v>
      </c>
      <c r="AF300" s="89" t="str">
        <f>Registro!AC300</f>
        <v>b) Poco</v>
      </c>
      <c r="AG300" s="89" t="str">
        <f>Registro!AD300</f>
        <v>a) Los deportes y diversiones, c) Las instalaciones del Colegio</v>
      </c>
      <c r="AH300" s="94">
        <f t="shared" si="23"/>
        <v>2</v>
      </c>
      <c r="AI300" s="89" t="str">
        <f>Registro!AE300</f>
        <v>a) 0 a 2 horas</v>
      </c>
      <c r="AJ300" s="89"/>
      <c r="AK300" s="94">
        <f t="shared" si="24"/>
        <v>0</v>
      </c>
      <c r="AL300" s="89" t="str">
        <f>Registro!AG300</f>
        <v>c) Regular</v>
      </c>
      <c r="AM300" s="89" t="str">
        <f>Registro!AH300</f>
        <v>b) Buena</v>
      </c>
      <c r="AN300" s="89" t="str">
        <f>Registro!AI300</f>
        <v>b) Buena</v>
      </c>
      <c r="AO300" s="89" t="str">
        <f>Registro!AJ300</f>
        <v>a) Muy buena</v>
      </c>
      <c r="AP300" s="89" t="str">
        <f>Registro!AK300</f>
        <v>a) Muy buena</v>
      </c>
      <c r="AQ300" s="89" t="str">
        <f>Registro!AL300</f>
        <v>a) Muy buena</v>
      </c>
      <c r="AR300" s="89" t="str">
        <f>Registro!AM300</f>
        <v>b) Buena</v>
      </c>
      <c r="AS300" s="89" t="str">
        <f>Registro!AN300</f>
        <v>a) Muy buena</v>
      </c>
      <c r="AT300" s="89" t="str">
        <f>Registro!AO300</f>
        <v>a) Muy buena</v>
      </c>
      <c r="AU300" s="89" t="str">
        <f>Registro!AP300</f>
        <v>b) Buena</v>
      </c>
      <c r="AV300" s="89" t="str">
        <f>Registro!AQ300</f>
        <v>a) Muy buena</v>
      </c>
      <c r="AW300" s="89" t="str">
        <f>Registro!AR300</f>
        <v>e) La disciplina y el orden</v>
      </c>
      <c r="AX300" s="89" t="str">
        <f>Registro!AS300</f>
        <v>a) Que sea un buen profesional</v>
      </c>
      <c r="AY300" s="89" t="str">
        <f>Registro!AT300</f>
        <v>c) Conveniente</v>
      </c>
      <c r="AZ300" s="89" t="str">
        <f>Registro!AU300</f>
        <v>b) Las veces que bebo, es con moderación</v>
      </c>
      <c r="BA300" s="89" t="str">
        <f>Registro!AV300</f>
        <v>e) Educadores que se preocupan de nosotros</v>
      </c>
      <c r="BB300" s="89" t="str">
        <f>Registro!AW300</f>
        <v>b) Poco</v>
      </c>
      <c r="BC300" s="89" t="str">
        <f>Registro!AX300</f>
        <v>c) Son personas normales y corrientes</v>
      </c>
      <c r="BD300" s="89" t="str">
        <f>Registro!AY300</f>
        <v>g) Un amigo, h) Una amiga</v>
      </c>
    </row>
    <row r="301" spans="1:56" ht="15" customHeight="1" x14ac:dyDescent="0.25">
      <c r="A301" s="101">
        <f>Registro!A301</f>
        <v>42283.365347222221</v>
      </c>
      <c r="B301" s="89" t="str">
        <f>Registro!B301</f>
        <v>b) Calasanz de Valencia</v>
      </c>
      <c r="C301" s="89" t="str">
        <f>Registro!C301</f>
        <v>a) Primer año</v>
      </c>
      <c r="D301" s="89" t="str">
        <f>Registro!D301</f>
        <v>a) Educación Inicial</v>
      </c>
      <c r="E301" s="89" t="str">
        <f>Registro!E301</f>
        <v>b) Femenino</v>
      </c>
      <c r="F301" s="89" t="str">
        <f>Registro!F301</f>
        <v>a) Católica</v>
      </c>
      <c r="G301" s="89" t="str">
        <f>Registro!G301</f>
        <v>a) Mamá, c) Hermanos</v>
      </c>
      <c r="H301" s="89" t="str">
        <f>Registro!H301</f>
        <v>c) Apartamento</v>
      </c>
      <c r="I301" s="89" t="str">
        <f>Registro!I301</f>
        <v>d) No sé</v>
      </c>
      <c r="J301" s="89" t="str">
        <f>Registro!J301</f>
        <v>a) Cónsola videojuegos, b) Lavadora, c) Microondas, d) TV pantalla plana, f) MP3, g) MP4, h) Carro, i) Computadora, j) Cámara digital, k) Aire acondicionado</v>
      </c>
      <c r="K301" s="89" t="str">
        <f>Registro!K301</f>
        <v>b) Una</v>
      </c>
      <c r="L301" s="89" t="str">
        <f>Registro!L301</f>
        <v>a) La familia, d) El cuidado de mi cuerpo, f) Mi fe y vida cristiana</v>
      </c>
      <c r="M301" s="94">
        <f t="shared" si="25"/>
        <v>3</v>
      </c>
      <c r="N301" s="89" t="str">
        <f>Registro!M301</f>
        <v>b) El futuro</v>
      </c>
      <c r="O301" s="89" t="str">
        <f>Registro!N301</f>
        <v>a) Mucho</v>
      </c>
      <c r="P301" s="89" t="str">
        <f>Registro!O301</f>
        <v>b) Suficiente</v>
      </c>
      <c r="Q301" s="89" t="str">
        <f>Registro!P301</f>
        <v>b) Suficiente</v>
      </c>
      <c r="R301" s="89" t="str">
        <f>Registro!Q301</f>
        <v>a) La familia, c) Los estudios, d) El cuidado de mi cuerpo</v>
      </c>
      <c r="S301" s="94">
        <f t="shared" si="26"/>
        <v>3</v>
      </c>
      <c r="T301" s="89" t="str">
        <f>Registro!R301</f>
        <v>b) Suficiente</v>
      </c>
      <c r="U301" s="89" t="str">
        <f>Registro!S301</f>
        <v>a) La Iglesia, d) Las convivencias, g) Mi familia, h) Algunas personas cercanas a Dios, i) Los necesitados, k) La oración, l) Los sacramentos</v>
      </c>
      <c r="V301" s="89" t="str">
        <f>Registro!T301</f>
        <v>b) Rezo por costumbre</v>
      </c>
      <c r="W301" s="89" t="str">
        <f>Registro!U301</f>
        <v>b) Algunos domingos</v>
      </c>
      <c r="X301" s="89" t="str">
        <f>Registro!V301</f>
        <v>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301" s="89" t="str">
        <f>Registro!W301</f>
        <v>a) Deportivo</v>
      </c>
      <c r="Z301" s="89" t="str">
        <f>Registro!X301</f>
        <v>c) Un lugar donde me lo paso bien</v>
      </c>
      <c r="AA301" s="89" t="str">
        <f>Registro!Y301</f>
        <v>b) No</v>
      </c>
      <c r="AB301" s="89" t="str">
        <f>Registro!Z301</f>
        <v>b) No</v>
      </c>
      <c r="AC301" s="89" t="str">
        <f>Registro!AA301</f>
        <v>a) Medicina</v>
      </c>
      <c r="AD301" s="94">
        <f t="shared" si="27"/>
        <v>1</v>
      </c>
      <c r="AE301" s="89" t="str">
        <f>Registro!AB301</f>
        <v>e) Servir a los demás</v>
      </c>
      <c r="AF301" s="89" t="str">
        <f>Registro!AC301</f>
        <v>e) No sé</v>
      </c>
      <c r="AG301" s="89" t="str">
        <f>Registro!AD301</f>
        <v>a) Los deportes y diversiones, f) La igualdad de trato que se da a todos</v>
      </c>
      <c r="AH301" s="94">
        <f t="shared" si="23"/>
        <v>2</v>
      </c>
      <c r="AI301" s="89" t="str">
        <f>Registro!AE301</f>
        <v>b) 3 a 4 horas</v>
      </c>
      <c r="AJ301" s="89" t="str">
        <f>Registro!AF301</f>
        <v>k) Practico algún deporte, m) Veo televisión y/o películas, n) Estoy conversando con los amigos/as</v>
      </c>
      <c r="AK301" s="94">
        <f t="shared" si="24"/>
        <v>3</v>
      </c>
      <c r="AL301" s="89" t="str">
        <f>Registro!AG301</f>
        <v>b) Bueno</v>
      </c>
      <c r="AM301" s="89" t="str">
        <f>Registro!AH301</f>
        <v>b) Buena</v>
      </c>
      <c r="AN301" s="89" t="str">
        <f>Registro!AI301</f>
        <v>b) Buena</v>
      </c>
      <c r="AO301" s="89" t="str">
        <f>Registro!AJ301</f>
        <v>b) Buena</v>
      </c>
      <c r="AP301" s="89" t="str">
        <f>Registro!AK301</f>
        <v>b) Buena</v>
      </c>
      <c r="AQ301" s="89" t="str">
        <f>Registro!AL301</f>
        <v>a) Muy buena</v>
      </c>
      <c r="AR301" s="89" t="str">
        <f>Registro!AM301</f>
        <v>e) Muy mala</v>
      </c>
      <c r="AS301" s="89" t="str">
        <f>Registro!AN301</f>
        <v>a) Muy buena</v>
      </c>
      <c r="AT301" s="89" t="str">
        <f>Registro!AO301</f>
        <v>a) Muy buena</v>
      </c>
      <c r="AU301" s="89" t="str">
        <f>Registro!AP301</f>
        <v>a) Muy buena</v>
      </c>
      <c r="AV301" s="89" t="str">
        <f>Registro!AQ301</f>
        <v>a) Muy buena</v>
      </c>
      <c r="AW301" s="89" t="str">
        <f>Registro!AR301</f>
        <v>h) La responsabilidad social y el servicio a los demás</v>
      </c>
      <c r="AX301" s="89" t="str">
        <f>Registro!AS301</f>
        <v>a) Que sea un buen profesional</v>
      </c>
      <c r="AY301" s="89" t="str">
        <f>Registro!AT301</f>
        <v>e) Absolutamente necesaria</v>
      </c>
      <c r="AZ301" s="89" t="str">
        <f>Registro!AU301</f>
        <v>a) No acostumbro a tomarlo nunca</v>
      </c>
      <c r="BA301" s="89" t="str">
        <f>Registro!AV301</f>
        <v>d) Buenos profesionales de la educación</v>
      </c>
      <c r="BB301" s="89" t="str">
        <f>Registro!AW301</f>
        <v>c) Bastante</v>
      </c>
      <c r="BC301" s="89" t="str">
        <f>Registro!AX301</f>
        <v>b) Hay de todo tipo, pero predomina lo negativo</v>
      </c>
      <c r="BD301" s="89" t="str">
        <f>Registro!AY301</f>
        <v>a) Mi padre, b) Mi madre, c) Un hermano/a, h) Una amiga</v>
      </c>
    </row>
    <row r="302" spans="1:56" ht="15" customHeight="1" x14ac:dyDescent="0.25">
      <c r="A302" s="101">
        <f>Registro!A302</f>
        <v>42283.365671296298</v>
      </c>
      <c r="B302" s="89" t="str">
        <f>Registro!B302</f>
        <v>b) Calasanz de Valencia</v>
      </c>
      <c r="C302" s="89" t="str">
        <f>Registro!C302</f>
        <v>a) Primer año</v>
      </c>
      <c r="D302" s="89" t="str">
        <f>Registro!D302</f>
        <v>a) Educación Inicial</v>
      </c>
      <c r="E302" s="89" t="str">
        <f>Registro!E302</f>
        <v>b) Femenino</v>
      </c>
      <c r="F302" s="89" t="str">
        <f>Registro!F302</f>
        <v>b) Evangélica</v>
      </c>
      <c r="G302" s="89" t="str">
        <f>Registro!G302</f>
        <v>a) Mamá, b) Papá</v>
      </c>
      <c r="H302" s="89" t="str">
        <f>Registro!H302</f>
        <v>a) Quinta</v>
      </c>
      <c r="I302" s="89" t="str">
        <f>Registro!I302</f>
        <v>c) Algo</v>
      </c>
      <c r="J302" s="89" t="str">
        <f>Registro!J302</f>
        <v>a) Cónsola videojuegos, b) Lavadora, c) Microondas, d) TV pantalla plana, f) MP3, h) Carro, i) Computadora, j) Cámara digital, k) Aire acondicionado</v>
      </c>
      <c r="K302" s="89" t="str">
        <f>Registro!K302</f>
        <v>c) Dos</v>
      </c>
      <c r="L302" s="89" t="str">
        <f>Registro!L302</f>
        <v>a) La familia, d) El cuidado de mi cuerpo, j) El deporte</v>
      </c>
      <c r="M302" s="94">
        <f t="shared" si="25"/>
        <v>3</v>
      </c>
      <c r="N302" s="89" t="str">
        <f>Registro!M302</f>
        <v>d) Los problemas familiares</v>
      </c>
      <c r="O302" s="89" t="str">
        <f>Registro!N302</f>
        <v>b) Suficiente</v>
      </c>
      <c r="P302" s="89" t="str">
        <f>Registro!O302</f>
        <v>b) Suficiente</v>
      </c>
      <c r="Q302" s="89" t="str">
        <f>Registro!P302</f>
        <v>a) Mucho</v>
      </c>
      <c r="R302" s="89" t="str">
        <f>Registro!Q302</f>
        <v>a) La familia, c) Los estudios, d) El cuidado de mi cuerpo</v>
      </c>
      <c r="S302" s="94">
        <f t="shared" si="26"/>
        <v>3</v>
      </c>
      <c r="T302" s="89" t="str">
        <f>Registro!R302</f>
        <v>a) Mucho</v>
      </c>
      <c r="U302" s="89" t="str">
        <f>Registro!S302</f>
        <v>a) La Iglesia</v>
      </c>
      <c r="V302" s="89" t="str">
        <f>Registro!T302</f>
        <v>a) Suelo rezar por convicción o porque me gusta</v>
      </c>
      <c r="W302" s="89" t="str">
        <f>Registro!U302</f>
        <v>b) Algunos domingos</v>
      </c>
      <c r="X302" s="89" t="str">
        <f>Registro!V302</f>
        <v>d) Suelo orar todos los días</v>
      </c>
      <c r="Y302" s="89" t="str">
        <f>Registro!W302</f>
        <v>a) Deportivo</v>
      </c>
      <c r="Z302" s="89" t="str">
        <f>Registro!X302</f>
        <v>c) Un lugar donde me lo paso bien</v>
      </c>
      <c r="AA302" s="89" t="str">
        <f>Registro!Y302</f>
        <v>b) No</v>
      </c>
      <c r="AB302" s="89" t="str">
        <f>Registro!Z302</f>
        <v>b) No</v>
      </c>
      <c r="AC302" s="89" t="str">
        <f>Registro!AA302</f>
        <v>a) Medicina, e) Derecho</v>
      </c>
      <c r="AD302" s="94">
        <f t="shared" si="27"/>
        <v>2</v>
      </c>
      <c r="AE302" s="89" t="str">
        <f>Registro!AB302</f>
        <v>c) Ser un excelente profesional</v>
      </c>
      <c r="AF302" s="89" t="str">
        <f>Registro!AC302</f>
        <v>b) Poco</v>
      </c>
      <c r="AG302" s="89" t="str">
        <f>Registro!AD302</f>
        <v>g) La relación con los docentes, i) No me gusta nada</v>
      </c>
      <c r="AH302" s="94">
        <f t="shared" si="23"/>
        <v>2</v>
      </c>
      <c r="AI302" s="89" t="str">
        <f>Registro!AE302</f>
        <v>c) 5 a 6 horas</v>
      </c>
      <c r="AJ302" s="89" t="str">
        <f>Registro!AF302</f>
        <v>a) Me divierto con juegos para computadoras, b) Navego en Internet, k) Practico algún deporte</v>
      </c>
      <c r="AK302" s="94">
        <f t="shared" si="24"/>
        <v>3</v>
      </c>
      <c r="AL302" s="89" t="str">
        <f>Registro!AG302</f>
        <v>d) Deficiente</v>
      </c>
      <c r="AM302" s="89" t="str">
        <f>Registro!AH302</f>
        <v>c) Regular</v>
      </c>
      <c r="AN302" s="89" t="str">
        <f>Registro!AI302</f>
        <v>c) Regular</v>
      </c>
      <c r="AO302" s="89" t="str">
        <f>Registro!AJ302</f>
        <v>c) Regular</v>
      </c>
      <c r="AP302" s="89" t="str">
        <f>Registro!AK302</f>
        <v>f) No aplica</v>
      </c>
      <c r="AQ302" s="89" t="str">
        <f>Registro!AL302</f>
        <v>c) Regular</v>
      </c>
      <c r="AR302" s="89" t="str">
        <f>Registro!AM302</f>
        <v>e) Muy mala</v>
      </c>
      <c r="AS302" s="89" t="str">
        <f>Registro!AN302</f>
        <v>d) Mala</v>
      </c>
      <c r="AT302" s="89" t="str">
        <f>Registro!AO302</f>
        <v>b) Buena</v>
      </c>
      <c r="AU302" s="89" t="str">
        <f>Registro!AP302</f>
        <v>c) Regular</v>
      </c>
      <c r="AV302" s="89" t="str">
        <f>Registro!AQ302</f>
        <v>c) Regular</v>
      </c>
      <c r="AW302" s="89" t="str">
        <f>Registro!AR302</f>
        <v>f) la práctica religiosa</v>
      </c>
      <c r="AX302" s="89" t="str">
        <f>Registro!AS302</f>
        <v>b) Darme una buena educación</v>
      </c>
      <c r="AY302" s="89" t="str">
        <f>Registro!AT302</f>
        <v>d) Bastante necesaria</v>
      </c>
      <c r="AZ302" s="89" t="str">
        <f>Registro!AU302</f>
        <v>a) No acostumbro a tomarlo nunca</v>
      </c>
      <c r="BA302" s="89" t="str">
        <f>Registro!AV302</f>
        <v>a) Personas a las que tengo que aguantar</v>
      </c>
      <c r="BB302" s="89" t="str">
        <f>Registro!AW302</f>
        <v>b) Poco</v>
      </c>
      <c r="BC302" s="89" t="str">
        <f>Registro!AX302</f>
        <v>c) Son personas normales y corrientes</v>
      </c>
      <c r="BD302" s="89" t="str">
        <f>Registro!AY302</f>
        <v>a) Mi padre, b) Mi madre, h) Una amiga</v>
      </c>
    </row>
    <row r="303" spans="1:56" ht="15" customHeight="1" x14ac:dyDescent="0.25">
      <c r="A303" s="101">
        <f>Registro!A303</f>
        <v>42283.365810185183</v>
      </c>
      <c r="B303" s="89" t="str">
        <f>Registro!B303</f>
        <v>b) Calasanz de Valencia</v>
      </c>
      <c r="C303" s="89" t="str">
        <f>Registro!C303</f>
        <v>a) Primer año</v>
      </c>
      <c r="D303" s="89" t="str">
        <f>Registro!D303</f>
        <v>a) Educación Inicial</v>
      </c>
      <c r="E303" s="89" t="str">
        <f>Registro!E303</f>
        <v>a) Masculino</v>
      </c>
      <c r="F303" s="89" t="str">
        <f>Registro!F303</f>
        <v>a) Católica</v>
      </c>
      <c r="G303" s="89" t="str">
        <f>Registro!G303</f>
        <v>a) Mamá, b) Papá, c) Hermanos</v>
      </c>
      <c r="H303" s="89" t="str">
        <f>Registro!H303</f>
        <v>c) Apartamento</v>
      </c>
      <c r="I303" s="89" t="str">
        <f>Registro!I303</f>
        <v>c) Algo</v>
      </c>
      <c r="J303" s="89" t="str">
        <f>Registro!J303</f>
        <v>a) Cónsola videojuegos, b) Lavadora, c) Microondas, d) TV pantalla plana, h) Carro, j) Cámara digital, k) Aire acondicionado</v>
      </c>
      <c r="K303" s="89" t="str">
        <f>Registro!K303</f>
        <v>c) Dos</v>
      </c>
      <c r="L303" s="89" t="str">
        <f>Registro!L303</f>
        <v>a) La familia, b) Los amigos, c) Los estudios</v>
      </c>
      <c r="M303" s="94">
        <f t="shared" si="25"/>
        <v>3</v>
      </c>
      <c r="N303" s="89" t="str">
        <f>Registro!M303</f>
        <v>b) El futuro</v>
      </c>
      <c r="O303" s="89">
        <f>Registro!N303</f>
        <v>0</v>
      </c>
      <c r="P303" s="89" t="str">
        <f>Registro!O303</f>
        <v>b) Suficiente</v>
      </c>
      <c r="Q303" s="89" t="str">
        <f>Registro!P303</f>
        <v>b) Suficiente</v>
      </c>
      <c r="R303" s="89" t="str">
        <f>Registro!Q303</f>
        <v>a) La familia, c) Los estudios, g) La felicidad</v>
      </c>
      <c r="S303" s="94">
        <f t="shared" si="26"/>
        <v>3</v>
      </c>
      <c r="T303" s="89" t="str">
        <f>Registro!R303</f>
        <v>b) Suficiente</v>
      </c>
      <c r="U303" s="89" t="str">
        <f>Registro!S303</f>
        <v>a) La Iglesia, b) La naturaleza, h) Algunas personas cercanas a Dios, k) La oración, l) Los sacramentos</v>
      </c>
      <c r="V303" s="89" t="str">
        <f>Registro!T303</f>
        <v>b) Rezo por costumbre</v>
      </c>
      <c r="W303" s="89" t="str">
        <f>Registro!U303</f>
        <v>b) Algunos domingos</v>
      </c>
      <c r="X303" s="89" t="str">
        <f>Registro!V303</f>
        <v>c) Suelo ir los domingos y otras fechas especiales a la Iglesia, e) Voy a misa en las fechas de mis familiares difuntos, f) En alguna ocasión he rezado el rosario, i) Tengo en mi cuarto alguna imagen religiosa</v>
      </c>
      <c r="Y303" s="89" t="str">
        <f>Registro!W303</f>
        <v>d) No pertenezco a ninguno</v>
      </c>
      <c r="Z303" s="89" t="str">
        <f>Registro!X303</f>
        <v>d) No pertenezco a grupos juveniles cristianos</v>
      </c>
      <c r="AA303" s="89" t="str">
        <f>Registro!Y303</f>
        <v>b) No</v>
      </c>
      <c r="AB303" s="89" t="str">
        <f>Registro!Z303</f>
        <v>b) No</v>
      </c>
      <c r="AC303" s="89"/>
      <c r="AD303" s="94">
        <f t="shared" si="27"/>
        <v>0</v>
      </c>
      <c r="AE303" s="89" t="str">
        <f>Registro!AB303</f>
        <v>c) Ser un excelente profesional</v>
      </c>
      <c r="AF303" s="89" t="str">
        <f>Registro!AC303</f>
        <v>e) No sé</v>
      </c>
      <c r="AG303" s="89" t="str">
        <f>Registro!AD303</f>
        <v>b) El ambiente de estudio y de trabajo</v>
      </c>
      <c r="AH303" s="94">
        <f t="shared" si="23"/>
        <v>1</v>
      </c>
      <c r="AI303" s="89" t="str">
        <f>Registro!AE303</f>
        <v>d) 7 a 8 horas</v>
      </c>
      <c r="AJ303" s="89" t="str">
        <f>Registro!AF303</f>
        <v>d) Estoy la mayor parte del tiempo en la casa sin hacer nada, m) Veo televisión y/o películas, n) Estoy conversando con los amigos/as</v>
      </c>
      <c r="AK303" s="94">
        <f t="shared" si="24"/>
        <v>3</v>
      </c>
      <c r="AL303" s="89" t="str">
        <f>Registro!AG303</f>
        <v>b) Bueno</v>
      </c>
      <c r="AM303" s="89" t="str">
        <f>Registro!AH303</f>
        <v>b) Buena</v>
      </c>
      <c r="AN303" s="89" t="str">
        <f>Registro!AI303</f>
        <v>c) Regular</v>
      </c>
      <c r="AO303" s="89" t="str">
        <f>Registro!AJ303</f>
        <v>c) Regular</v>
      </c>
      <c r="AP303" s="89" t="str">
        <f>Registro!AK303</f>
        <v>c) Regular</v>
      </c>
      <c r="AQ303" s="89" t="str">
        <f>Registro!AL303</f>
        <v>b) Buena</v>
      </c>
      <c r="AR303" s="89" t="str">
        <f>Registro!AM303</f>
        <v>b) Buena</v>
      </c>
      <c r="AS303" s="89" t="str">
        <f>Registro!AN303</f>
        <v>c) Regular</v>
      </c>
      <c r="AT303" s="89" t="str">
        <f>Registro!AO303</f>
        <v>b) Buena</v>
      </c>
      <c r="AU303" s="89" t="str">
        <f>Registro!AP303</f>
        <v>b) Buena</v>
      </c>
      <c r="AV303" s="89" t="str">
        <f>Registro!AQ303</f>
        <v>c) Regular</v>
      </c>
      <c r="AW303" s="89" t="str">
        <f>Registro!AR303</f>
        <v>a) El compañerismo</v>
      </c>
      <c r="AX303" s="89" t="str">
        <f>Registro!AS303</f>
        <v>f) Que tenga honradez en la vida</v>
      </c>
      <c r="AY303" s="89" t="str">
        <f>Registro!AT303</f>
        <v>d) Bastante necesaria</v>
      </c>
      <c r="AZ303" s="89" t="str">
        <f>Registro!AU303</f>
        <v>a) No acostumbro a tomarlo nunca</v>
      </c>
      <c r="BA303" s="89" t="str">
        <f>Registro!AV303</f>
        <v>d) Buenos profesionales de la educación</v>
      </c>
      <c r="BB303" s="89" t="str">
        <f>Registro!AW303</f>
        <v>c) Bastante</v>
      </c>
      <c r="BC303" s="89" t="str">
        <f>Registro!AX303</f>
        <v>c) Son personas normales y corrientes</v>
      </c>
      <c r="BD303" s="89" t="str">
        <f>Registro!AY303</f>
        <v>b) Mi madre, g) Un amigo, h) Una amiga</v>
      </c>
    </row>
    <row r="304" spans="1:56" ht="15" customHeight="1" x14ac:dyDescent="0.25">
      <c r="A304" s="101">
        <f>Registro!A304</f>
        <v>42283.367175925923</v>
      </c>
      <c r="B304" s="89" t="str">
        <f>Registro!B304</f>
        <v>b) Calasanz de Valencia</v>
      </c>
      <c r="C304" s="89" t="str">
        <f>Registro!C304</f>
        <v>a) Primer año</v>
      </c>
      <c r="D304" s="89" t="str">
        <f>Registro!D304</f>
        <v>a) Educación Inicial</v>
      </c>
      <c r="E304" s="89" t="str">
        <f>Registro!E304</f>
        <v>b) Femenino</v>
      </c>
      <c r="F304" s="89" t="str">
        <f>Registro!F304</f>
        <v>a) Católica</v>
      </c>
      <c r="G304" s="89" t="str">
        <f>Registro!G304</f>
        <v>a) Mamá, b) Papá, c) Hermanos</v>
      </c>
      <c r="H304" s="89" t="str">
        <f>Registro!H304</f>
        <v>c) Apartamento</v>
      </c>
      <c r="I304" s="89" t="str">
        <f>Registro!I304</f>
        <v>d) No sé</v>
      </c>
      <c r="J304" s="89" t="str">
        <f>Registro!J304</f>
        <v>a) Cónsola videojuegos, b) Lavadora, c) Microondas, d) TV pantalla plana, f) MP3, h) Carro, i) Computadora, j) Cámara digital</v>
      </c>
      <c r="K304" s="89" t="str">
        <f>Registro!K304</f>
        <v>b) Una</v>
      </c>
      <c r="L304" s="89" t="str">
        <f>Registro!L304</f>
        <v>b) Los amigos, i) La música, j) El deporte</v>
      </c>
      <c r="M304" s="94">
        <f t="shared" si="25"/>
        <v>3</v>
      </c>
      <c r="N304" s="89" t="str">
        <f>Registro!M304</f>
        <v>f) La situación política del país</v>
      </c>
      <c r="O304" s="89" t="str">
        <f>Registro!N304</f>
        <v>c) Poco</v>
      </c>
      <c r="P304" s="89" t="str">
        <f>Registro!O304</f>
        <v>c) Poco</v>
      </c>
      <c r="Q304" s="89" t="str">
        <f>Registro!P304</f>
        <v>d) Nada</v>
      </c>
      <c r="R304" s="89"/>
      <c r="S304" s="94">
        <f t="shared" si="26"/>
        <v>0</v>
      </c>
      <c r="T304" s="89" t="str">
        <f>Registro!R304</f>
        <v>d) Nada</v>
      </c>
      <c r="U304" s="89" t="str">
        <f>Registro!S304</f>
        <v>a) La Iglesia, k) La oración</v>
      </c>
      <c r="V304" s="89" t="str">
        <f>Registro!T304</f>
        <v>d) No rezo nunca</v>
      </c>
      <c r="W304" s="89" t="str">
        <f>Registro!U304</f>
        <v>c) Solo en fechas especiales</v>
      </c>
      <c r="X304" s="89" t="str">
        <f>Registro!V304</f>
        <v>e) Voy a misa en las fechas de mis familiares difuntos, i) Tengo en mi cuarto alguna imagen religiosa</v>
      </c>
      <c r="Y304" s="89" t="str">
        <f>Registro!W304</f>
        <v>a) Deportivo</v>
      </c>
      <c r="Z304" s="89" t="str">
        <f>Registro!X304</f>
        <v>d) No pertenezco a grupos juveniles cristianos</v>
      </c>
      <c r="AA304" s="89" t="str">
        <f>Registro!Y304</f>
        <v>b) No</v>
      </c>
      <c r="AB304" s="89" t="str">
        <f>Registro!Z304</f>
        <v>b) No</v>
      </c>
      <c r="AC304" s="89"/>
      <c r="AD304" s="94">
        <f t="shared" si="27"/>
        <v>0</v>
      </c>
      <c r="AE304" s="89" t="str">
        <f>Registro!AB304</f>
        <v>a) Ganar mucho dinero</v>
      </c>
      <c r="AF304" s="89" t="str">
        <f>Registro!AC304</f>
        <v>b) Poco</v>
      </c>
      <c r="AG304" s="89" t="str">
        <f>Registro!AD304</f>
        <v>a) Los deportes y diversiones, c) Las instalaciones del Colegio</v>
      </c>
      <c r="AH304" s="94">
        <f t="shared" si="23"/>
        <v>2</v>
      </c>
      <c r="AI304" s="89" t="str">
        <f>Registro!AE304</f>
        <v>c) 5 a 6 horas</v>
      </c>
      <c r="AJ304" s="89" t="str">
        <f>Registro!AF304</f>
        <v>d) Estoy la mayor parte del tiempo en la casa sin hacer nada, k) Practico algún deporte, l) Escucho música y/o veo videos musicales</v>
      </c>
      <c r="AK304" s="94">
        <f t="shared" si="24"/>
        <v>3</v>
      </c>
      <c r="AL304" s="89" t="str">
        <f>Registro!AG304</f>
        <v>c) Regular</v>
      </c>
      <c r="AM304" s="89" t="str">
        <f>Registro!AH304</f>
        <v>c) Regular</v>
      </c>
      <c r="AN304" s="89" t="str">
        <f>Registro!AI304</f>
        <v>c) Regular</v>
      </c>
      <c r="AO304" s="89" t="str">
        <f>Registro!AJ304</f>
        <v>b) Buena</v>
      </c>
      <c r="AP304" s="89" t="str">
        <f>Registro!AK304</f>
        <v>c) Regular</v>
      </c>
      <c r="AQ304" s="89" t="str">
        <f>Registro!AL304</f>
        <v>a) Muy buena</v>
      </c>
      <c r="AR304" s="89" t="str">
        <f>Registro!AM304</f>
        <v>a) Muy buena</v>
      </c>
      <c r="AS304" s="89" t="str">
        <f>Registro!AN304</f>
        <v>c) Regular</v>
      </c>
      <c r="AT304" s="89" t="str">
        <f>Registro!AO304</f>
        <v>c) Regular</v>
      </c>
      <c r="AU304" s="89" t="str">
        <f>Registro!AP304</f>
        <v>c) Regular</v>
      </c>
      <c r="AV304" s="89" t="str">
        <f>Registro!AQ304</f>
        <v>b) Buena</v>
      </c>
      <c r="AW304" s="89" t="str">
        <f>Registro!AR304</f>
        <v>e) La disciplina y el orden</v>
      </c>
      <c r="AX304" s="89" t="str">
        <f>Registro!AS304</f>
        <v>b) Darme una buena educación</v>
      </c>
      <c r="AY304" s="89" t="str">
        <f>Registro!AT304</f>
        <v>a) Innecesaria</v>
      </c>
      <c r="AZ304" s="89" t="str">
        <f>Registro!AU304</f>
        <v>b) Las veces que bebo, es con moderación</v>
      </c>
      <c r="BA304" s="89" t="str">
        <f>Registro!AV304</f>
        <v>d) Buenos profesionales de la educación</v>
      </c>
      <c r="BB304" s="89" t="str">
        <f>Registro!AW304</f>
        <v>b) Poco</v>
      </c>
      <c r="BC304" s="89" t="str">
        <f>Registro!AX304</f>
        <v>c) Son personas normales y corrientes</v>
      </c>
      <c r="BD304" s="89" t="str">
        <f>Registro!AY304</f>
        <v>j) Nadie</v>
      </c>
    </row>
    <row r="305" spans="1:56" ht="15" customHeight="1" x14ac:dyDescent="0.25">
      <c r="A305" s="101">
        <f>Registro!A305</f>
        <v>42283.368483796294</v>
      </c>
      <c r="B305" s="89" t="str">
        <f>Registro!B305</f>
        <v>b) Calasanz de Valencia</v>
      </c>
      <c r="C305" s="89" t="str">
        <f>Registro!C305</f>
        <v>a) Primer año</v>
      </c>
      <c r="D305" s="89" t="str">
        <f>Registro!D305</f>
        <v>b) Primaria</v>
      </c>
      <c r="E305" s="89" t="str">
        <f>Registro!E305</f>
        <v>a) Masculino</v>
      </c>
      <c r="F305" s="89" t="str">
        <f>Registro!F305</f>
        <v>a) Católica</v>
      </c>
      <c r="G305" s="89" t="str">
        <f>Registro!G305</f>
        <v>a) Mamá, b) Papá, c) Hermanos, d) Abuelos, e) Otros familiares</v>
      </c>
      <c r="H305" s="89" t="str">
        <f>Registro!H305</f>
        <v>a) Quinta</v>
      </c>
      <c r="I305" s="89" t="str">
        <f>Registro!I305</f>
        <v>a) Sí</v>
      </c>
      <c r="J305" s="89" t="str">
        <f>Registro!J305</f>
        <v>a) Cónsola videojuegos, b) Lavadora, c) Microondas, d) TV pantalla plana, f) MP3, g) MP4, h) Carro, i) Computadora, j) Cámara digital, k) Aire acondicionado</v>
      </c>
      <c r="K305" s="89" t="str">
        <f>Registro!K305</f>
        <v>f) Más de cuatro</v>
      </c>
      <c r="L305" s="89" t="str">
        <f>Registro!L305</f>
        <v>a) La familia, f) Mi fe y vida cristiana, j) El deporte</v>
      </c>
      <c r="M305" s="94">
        <f t="shared" si="25"/>
        <v>3</v>
      </c>
      <c r="N305" s="89" t="str">
        <f>Registro!M305</f>
        <v>b) El futuro</v>
      </c>
      <c r="O305" s="89" t="str">
        <f>Registro!N305</f>
        <v>a) Mucho</v>
      </c>
      <c r="P305" s="89" t="str">
        <f>Registro!O305</f>
        <v>c) Poco</v>
      </c>
      <c r="Q305" s="89" t="str">
        <f>Registro!P305</f>
        <v>a) Mucho</v>
      </c>
      <c r="R305" s="89" t="str">
        <f>Registro!Q305</f>
        <v>a) La familia, c) Los estudios, f) Mi fe y mi vida cristiana</v>
      </c>
      <c r="S305" s="94">
        <f t="shared" si="26"/>
        <v>3</v>
      </c>
      <c r="T305" s="89" t="str">
        <f>Registro!R305</f>
        <v>a) Mucho</v>
      </c>
      <c r="U305" s="89" t="str">
        <f>Registro!S305</f>
        <v>a) La Iglesia, k) La oración, l) Los sacramentos</v>
      </c>
      <c r="V305" s="89" t="str">
        <f>Registro!T305</f>
        <v>b) Rezo por costumbre</v>
      </c>
      <c r="W305" s="89">
        <f>Registro!U305</f>
        <v>0</v>
      </c>
      <c r="X305" s="89" t="str">
        <f>Registro!V305</f>
        <v>b) Suelo bendedir los alimentos antes de comer, d) Suelo orar todos los días</v>
      </c>
      <c r="Y305" s="89" t="str">
        <f>Registro!W305</f>
        <v>a) Deportivo, c) Religioso o parroquial</v>
      </c>
      <c r="Z305" s="89" t="str">
        <f>Registro!X305</f>
        <v>a) Un grupo donde profundizo mi fe</v>
      </c>
      <c r="AA305" s="89" t="str">
        <f>Registro!Y305</f>
        <v>b) No</v>
      </c>
      <c r="AB305" s="89" t="str">
        <f>Registro!Z305</f>
        <v>b) No</v>
      </c>
      <c r="AC305" s="89" t="str">
        <f>Registro!AA305</f>
        <v>a) Medicina, h) Ciencias políticas</v>
      </c>
      <c r="AD305" s="94">
        <f t="shared" si="27"/>
        <v>2</v>
      </c>
      <c r="AE305" s="89" t="str">
        <f>Registro!AB305</f>
        <v>a) Ganar mucho dinero</v>
      </c>
      <c r="AF305" s="89" t="str">
        <f>Registro!AC305</f>
        <v>b) Poco</v>
      </c>
      <c r="AG305" s="89" t="str">
        <f>Registro!AD305</f>
        <v>a) Los deportes y diversiones</v>
      </c>
      <c r="AH305" s="94">
        <f t="shared" si="23"/>
        <v>1</v>
      </c>
      <c r="AI305" s="89" t="str">
        <f>Registro!AE305</f>
        <v>c) 5 a 6 horas</v>
      </c>
      <c r="AJ305" s="89" t="str">
        <f>Registro!AF305</f>
        <v>d) Estoy la mayor parte del tiempo en la casa sin hacer nada, e) Suelo ir a algún parque, i) Leo revistas o libros</v>
      </c>
      <c r="AK305" s="94">
        <f t="shared" si="24"/>
        <v>3</v>
      </c>
      <c r="AL305" s="89" t="str">
        <f>Registro!AG305</f>
        <v>c) Regular</v>
      </c>
      <c r="AM305" s="89" t="str">
        <f>Registro!AH305</f>
        <v>f) No aplica</v>
      </c>
      <c r="AN305" s="89" t="str">
        <f>Registro!AI305</f>
        <v>c) Regular</v>
      </c>
      <c r="AO305" s="89" t="str">
        <f>Registro!AJ305</f>
        <v>e) Muy mala</v>
      </c>
      <c r="AP305" s="89" t="str">
        <f>Registro!AK305</f>
        <v>b) Buena</v>
      </c>
      <c r="AQ305" s="89" t="str">
        <f>Registro!AL305</f>
        <v>e) Muy mala</v>
      </c>
      <c r="AR305" s="89" t="str">
        <f>Registro!AM305</f>
        <v>a) Muy buena</v>
      </c>
      <c r="AS305" s="89">
        <f>Registro!AN305</f>
        <v>0</v>
      </c>
      <c r="AT305" s="89">
        <f>Registro!AO305</f>
        <v>0</v>
      </c>
      <c r="AU305" s="89">
        <f>Registro!AP305</f>
        <v>0</v>
      </c>
      <c r="AV305" s="89" t="str">
        <f>Registro!AQ305</f>
        <v>c) Regular</v>
      </c>
      <c r="AW305" s="89" t="str">
        <f>Registro!AR305</f>
        <v>c) El estudio</v>
      </c>
      <c r="AX305" s="89" t="str">
        <f>Registro!AS305</f>
        <v>f) Que tenga honradez en la vida</v>
      </c>
      <c r="AY305" s="89" t="str">
        <f>Registro!AT305</f>
        <v>c) Conveniente</v>
      </c>
      <c r="AZ305" s="89" t="str">
        <f>Registro!AU305</f>
        <v>c) Alguna vez he bebido más de la cuenta</v>
      </c>
      <c r="BA305" s="89" t="str">
        <f>Registro!AV305</f>
        <v>c) Profesionales que hacen lo que pueden</v>
      </c>
      <c r="BB305" s="89" t="str">
        <f>Registro!AW305</f>
        <v>a) No, en absoluto</v>
      </c>
      <c r="BC305" s="89" t="str">
        <f>Registro!AX305</f>
        <v>d) Hay de todo tipo, pero predomina lo positivo</v>
      </c>
      <c r="BD305" s="89" t="str">
        <f>Registro!AY305</f>
        <v>c) Un hermano/a</v>
      </c>
    </row>
    <row r="306" spans="1:56" ht="15" customHeight="1" x14ac:dyDescent="0.25">
      <c r="A306" s="101">
        <f>Registro!A306</f>
        <v>42283.369212962964</v>
      </c>
      <c r="B306" s="89" t="str">
        <f>Registro!B306</f>
        <v>b) Calasanz de Valencia</v>
      </c>
      <c r="C306" s="89" t="str">
        <f>Registro!C306</f>
        <v>a) Primer año</v>
      </c>
      <c r="D306" s="89" t="str">
        <f>Registro!D306</f>
        <v>c) Entre Primero y Tercer año</v>
      </c>
      <c r="E306" s="89" t="str">
        <f>Registro!E306</f>
        <v>b) Femenino</v>
      </c>
      <c r="F306" s="89" t="str">
        <f>Registro!F306</f>
        <v>a) Católica</v>
      </c>
      <c r="G306" s="89" t="str">
        <f>Registro!G306</f>
        <v>a) Mamá, b) Papá, c) Hermanos, d) Abuelos, e) Otros familiares</v>
      </c>
      <c r="H306" s="89" t="str">
        <f>Registro!H306</f>
        <v>c) Apartamento</v>
      </c>
      <c r="I306" s="89" t="str">
        <f>Registro!I306</f>
        <v>c) Algo</v>
      </c>
      <c r="J306" s="89" t="str">
        <f>Registro!J306</f>
        <v>a) Cónsola videojuegos, b) Lavadora, c) Microondas, d) TV pantalla plana, h) Carro, i) Computadora, j) Cámara digital, k) Aire acondicionado</v>
      </c>
      <c r="K306" s="89" t="str">
        <f>Registro!K306</f>
        <v>f) Más de cuatro</v>
      </c>
      <c r="L306" s="89" t="str">
        <f>Registro!L306</f>
        <v>a) La familia, e) Disponer de dinero, g) La felicidad</v>
      </c>
      <c r="M306" s="94">
        <f t="shared" si="25"/>
        <v>3</v>
      </c>
      <c r="N306" s="89" t="str">
        <f>Registro!M306</f>
        <v>a) Seguridad personal (la violencia y la delincuencia)</v>
      </c>
      <c r="O306" s="89">
        <f>Registro!N306</f>
        <v>0</v>
      </c>
      <c r="P306" s="89" t="str">
        <f>Registro!O306</f>
        <v>b) Suficiente</v>
      </c>
      <c r="Q306" s="89" t="str">
        <f>Registro!P306</f>
        <v>a) Mucho</v>
      </c>
      <c r="R306" s="89" t="str">
        <f>Registro!Q306</f>
        <v>a) La familia, e) Disponer de dinero, g) La felicidad</v>
      </c>
      <c r="S306" s="94">
        <f t="shared" si="26"/>
        <v>3</v>
      </c>
      <c r="T306" s="89" t="str">
        <f>Registro!R306</f>
        <v>a) Mucho</v>
      </c>
      <c r="U306" s="89" t="str">
        <f>Registro!S306</f>
        <v>a) La Iglesia, b) La naturaleza, d) Las convivencias, g) Mi familia, h) Algunas personas cercanas a Dios, k) La oración, l) Los sacramentos</v>
      </c>
      <c r="V306" s="89" t="str">
        <f>Registro!T306</f>
        <v>a) Suelo rezar por convicción o porque me gusta</v>
      </c>
      <c r="W306" s="89" t="str">
        <f>Registro!U306</f>
        <v>b) Algunos domingos</v>
      </c>
      <c r="X306" s="89" t="str">
        <f>Registro!V306</f>
        <v>c) Suelo ir los domingos y otras fechas especiales a la Iglesia, d) Suelo orar todos los días, e) Voy a misa en las fechas de mis familiares difuntos, f) En alguna ocasión he rezado el rosario, h) En Semana Santa asisto a las procesiones, i) Tengo en mi cuarto alguna imagen religiosa</v>
      </c>
      <c r="Y306" s="89" t="str">
        <f>Registro!W306</f>
        <v>a) Deportivo</v>
      </c>
      <c r="Z306" s="89" t="str">
        <f>Registro!X306</f>
        <v>d) No pertenezco a grupos juveniles cristianos</v>
      </c>
      <c r="AA306" s="89" t="str">
        <f>Registro!Y306</f>
        <v>b) No</v>
      </c>
      <c r="AB306" s="89" t="str">
        <f>Registro!Z306</f>
        <v>b) No</v>
      </c>
      <c r="AC306" s="89" t="str">
        <f>Registro!AA306</f>
        <v>a) Medicina, g) Artista</v>
      </c>
      <c r="AD306" s="94">
        <f t="shared" si="27"/>
        <v>2</v>
      </c>
      <c r="AE306" s="89" t="str">
        <f>Registro!AB306</f>
        <v>b) Tener una buena posición social, ser importante</v>
      </c>
      <c r="AF306" s="89" t="str">
        <f>Registro!AC306</f>
        <v>b) Poco</v>
      </c>
      <c r="AG306" s="89" t="str">
        <f>Registro!AD306</f>
        <v>a) Los deportes y diversiones, h) Las actividades extraescolares</v>
      </c>
      <c r="AH306" s="94">
        <f t="shared" si="23"/>
        <v>2</v>
      </c>
      <c r="AI306" s="89" t="str">
        <f>Registro!AE306</f>
        <v>b) 3 a 4 horas</v>
      </c>
      <c r="AJ306" s="89" t="str">
        <f>Registro!AF306</f>
        <v>l) Escucho música y/o veo videos musicales, m) Veo televisión y/o películas, n) Estoy conversando con los amigos/as</v>
      </c>
      <c r="AK306" s="94">
        <f t="shared" si="24"/>
        <v>3</v>
      </c>
      <c r="AL306" s="89" t="str">
        <f>Registro!AG306</f>
        <v>c) Regular</v>
      </c>
      <c r="AM306" s="89" t="str">
        <f>Registro!AH306</f>
        <v>b) Buena</v>
      </c>
      <c r="AN306" s="89" t="str">
        <f>Registro!AI306</f>
        <v>b) Buena</v>
      </c>
      <c r="AO306" s="89" t="str">
        <f>Registro!AJ306</f>
        <v>b) Buena</v>
      </c>
      <c r="AP306" s="89" t="str">
        <f>Registro!AK306</f>
        <v>d) Mala</v>
      </c>
      <c r="AQ306" s="89" t="str">
        <f>Registro!AL306</f>
        <v>a) Muy buena</v>
      </c>
      <c r="AR306" s="89" t="str">
        <f>Registro!AM306</f>
        <v>b) Buena</v>
      </c>
      <c r="AS306" s="89" t="str">
        <f>Registro!AN306</f>
        <v>b) Buena</v>
      </c>
      <c r="AT306" s="89" t="str">
        <f>Registro!AO306</f>
        <v>c) Regular</v>
      </c>
      <c r="AU306" s="89" t="str">
        <f>Registro!AP306</f>
        <v>a) Muy buena</v>
      </c>
      <c r="AV306" s="89" t="str">
        <f>Registro!AQ306</f>
        <v>b) Buena</v>
      </c>
      <c r="AW306" s="89" t="str">
        <f>Registro!AR306</f>
        <v>b) La orientación cristiana</v>
      </c>
      <c r="AX306" s="89" t="str">
        <f>Registro!AS306</f>
        <v>b) Darme una buena educación</v>
      </c>
      <c r="AY306" s="89" t="str">
        <f>Registro!AT306</f>
        <v>e) Absolutamente necesaria</v>
      </c>
      <c r="AZ306" s="89" t="str">
        <f>Registro!AU306</f>
        <v>a) No acostumbro a tomarlo nunca</v>
      </c>
      <c r="BA306" s="89">
        <f>Registro!AV306</f>
        <v>0</v>
      </c>
      <c r="BB306" s="89" t="str">
        <f>Registro!AW306</f>
        <v>c) Bastante</v>
      </c>
      <c r="BC306" s="89" t="str">
        <f>Registro!AX306</f>
        <v>e) Son personas que me gustan y admiro</v>
      </c>
      <c r="BD306" s="89" t="str">
        <f>Registro!AY306</f>
        <v>a) Mi padre, b) Mi madre, g) Un amigo, h) Una amiga</v>
      </c>
    </row>
    <row r="307" spans="1:56" ht="15" customHeight="1" x14ac:dyDescent="0.25">
      <c r="A307" s="101">
        <f>Registro!A307</f>
        <v>42283.369340277779</v>
      </c>
      <c r="B307" s="89" t="str">
        <f>Registro!B307</f>
        <v>b) Calasanz de Valencia</v>
      </c>
      <c r="C307" s="89" t="str">
        <f>Registro!C307</f>
        <v>a) Primer año</v>
      </c>
      <c r="D307" s="89" t="str">
        <f>Registro!D307</f>
        <v>a) Educación Inicial</v>
      </c>
      <c r="E307" s="89" t="str">
        <f>Registro!E307</f>
        <v>a) Masculino</v>
      </c>
      <c r="F307" s="89" t="str">
        <f>Registro!F307</f>
        <v>a) Católica</v>
      </c>
      <c r="G307" s="89" t="str">
        <f>Registro!G307</f>
        <v>a) Mamá, c) Hermanos</v>
      </c>
      <c r="H307" s="89" t="str">
        <f>Registro!H307</f>
        <v>b) Casa Urbana</v>
      </c>
      <c r="I307" s="89" t="str">
        <f>Registro!I307</f>
        <v>a) Sí</v>
      </c>
      <c r="J307" s="89" t="str">
        <f>Registro!J307</f>
        <v>a) Cónsola videojuegos, b) Lavadora, c) Microondas, d) TV pantalla plana, i) Computadora, j) Cámara digital, k) Aire acondicionado</v>
      </c>
      <c r="K307" s="89" t="str">
        <f>Registro!K307</f>
        <v>b) Una</v>
      </c>
      <c r="L307" s="89" t="str">
        <f>Registro!L307</f>
        <v>a) La familia, e) Disponer de dinero, j) El deporte</v>
      </c>
      <c r="M307" s="94">
        <f t="shared" si="25"/>
        <v>3</v>
      </c>
      <c r="N307" s="89" t="str">
        <f>Registro!M307</f>
        <v>b) El futuro</v>
      </c>
      <c r="O307" s="89" t="str">
        <f>Registro!N307</f>
        <v>b) Suficiente</v>
      </c>
      <c r="P307" s="89" t="str">
        <f>Registro!O307</f>
        <v>b) Suficiente</v>
      </c>
      <c r="Q307" s="89" t="str">
        <f>Registro!P307</f>
        <v>c) Poco</v>
      </c>
      <c r="R307" s="89" t="str">
        <f>Registro!Q307</f>
        <v>c) Los estudios, d) El cuidado de mi cuerpo, g) La felicidad</v>
      </c>
      <c r="S307" s="94">
        <f t="shared" si="26"/>
        <v>3</v>
      </c>
      <c r="T307" s="89" t="str">
        <f>Registro!R307</f>
        <v>a) Mucho</v>
      </c>
      <c r="U307" s="89" t="str">
        <f>Registro!S307</f>
        <v>a) La Iglesia, d) Las convivencias, g) Mi familia, h) Algunas personas cercanas a Dios, k) La oración</v>
      </c>
      <c r="V307" s="89" t="str">
        <f>Registro!T307</f>
        <v>b) Rezo por costumbre</v>
      </c>
      <c r="W307" s="89" t="str">
        <f>Registro!U307</f>
        <v>b) Algunos domingos</v>
      </c>
      <c r="X307" s="89" t="str">
        <f>Registro!V307</f>
        <v>d) Suelo orar todos los días, h) En Semana Santa asisto a las procesiones</v>
      </c>
      <c r="Y307" s="89" t="str">
        <f>Registro!W307</f>
        <v>a) Deportivo</v>
      </c>
      <c r="Z307" s="89" t="str">
        <f>Registro!X307</f>
        <v>c) Un lugar donde me lo paso bien</v>
      </c>
      <c r="AA307" s="89" t="str">
        <f>Registro!Y307</f>
        <v>b) No</v>
      </c>
      <c r="AB307" s="89" t="str">
        <f>Registro!Z307</f>
        <v>b) No</v>
      </c>
      <c r="AC307" s="89" t="str">
        <f>Registro!AA307</f>
        <v>a) Medicina, g) Artista</v>
      </c>
      <c r="AD307" s="94">
        <f t="shared" si="27"/>
        <v>2</v>
      </c>
      <c r="AE307" s="89" t="str">
        <f>Registro!AB307</f>
        <v>a) Ganar mucho dinero</v>
      </c>
      <c r="AF307" s="89" t="str">
        <f>Registro!AC307</f>
        <v>b) Poco</v>
      </c>
      <c r="AG307" s="89" t="str">
        <f>Registro!AD307</f>
        <v>a) Los deportes y diversiones, h) Las actividades extraescolares</v>
      </c>
      <c r="AH307" s="94">
        <f t="shared" si="23"/>
        <v>2</v>
      </c>
      <c r="AI307" s="89" t="str">
        <f>Registro!AE307</f>
        <v>e) 9 a 10 horas</v>
      </c>
      <c r="AJ307" s="89"/>
      <c r="AK307" s="94">
        <f t="shared" si="24"/>
        <v>0</v>
      </c>
      <c r="AL307" s="89" t="str">
        <f>Registro!AG307</f>
        <v>a) Muy bueno</v>
      </c>
      <c r="AM307" s="89" t="str">
        <f>Registro!AH307</f>
        <v>b) Buena</v>
      </c>
      <c r="AN307" s="89" t="str">
        <f>Registro!AI307</f>
        <v>c) Regular</v>
      </c>
      <c r="AO307" s="89" t="str">
        <f>Registro!AJ307</f>
        <v>b) Buena</v>
      </c>
      <c r="AP307" s="89" t="str">
        <f>Registro!AK307</f>
        <v>c) Regular</v>
      </c>
      <c r="AQ307" s="89" t="str">
        <f>Registro!AL307</f>
        <v>b) Buena</v>
      </c>
      <c r="AR307" s="89" t="str">
        <f>Registro!AM307</f>
        <v>b) Buena</v>
      </c>
      <c r="AS307" s="89" t="str">
        <f>Registro!AN307</f>
        <v>c) Regular</v>
      </c>
      <c r="AT307" s="89" t="str">
        <f>Registro!AO307</f>
        <v>a) Muy buena</v>
      </c>
      <c r="AU307" s="89" t="str">
        <f>Registro!AP307</f>
        <v>b) Buena</v>
      </c>
      <c r="AV307" s="89" t="str">
        <f>Registro!AQ307</f>
        <v>a) Muy buena</v>
      </c>
      <c r="AW307" s="89" t="str">
        <f>Registro!AR307</f>
        <v>g) La orientación profesional futura</v>
      </c>
      <c r="AX307" s="89" t="str">
        <f>Registro!AS307</f>
        <v>a) Que sea un buen profesional</v>
      </c>
      <c r="AY307" s="89" t="str">
        <f>Registro!AT307</f>
        <v>c) Conveniente</v>
      </c>
      <c r="AZ307" s="89" t="str">
        <f>Registro!AU307</f>
        <v>a) No acostumbro a tomarlo nunca</v>
      </c>
      <c r="BA307" s="89" t="str">
        <f>Registro!AV307</f>
        <v>c) Profesionales que hacen lo que pueden</v>
      </c>
      <c r="BB307" s="89" t="str">
        <f>Registro!AW307</f>
        <v>b) Poco</v>
      </c>
      <c r="BC307" s="89" t="str">
        <f>Registro!AX307</f>
        <v>d) Hay de todo tipo, pero predomina lo positivo</v>
      </c>
      <c r="BD307" s="89" t="str">
        <f>Registro!AY307</f>
        <v>a) Mi padre, b) Mi madre</v>
      </c>
    </row>
    <row r="308" spans="1:56" ht="15" customHeight="1" x14ac:dyDescent="0.25">
      <c r="A308" s="101">
        <f>Registro!A308</f>
        <v>42283.369375000002</v>
      </c>
      <c r="B308" s="89" t="str">
        <f>Registro!B308</f>
        <v>b) Calasanz de Valencia</v>
      </c>
      <c r="C308" s="89" t="str">
        <f>Registro!C308</f>
        <v>a) Primer año</v>
      </c>
      <c r="D308" s="89" t="str">
        <f>Registro!D308</f>
        <v>c) Entre Primero y Tercer año</v>
      </c>
      <c r="E308" s="89" t="str">
        <f>Registro!E308</f>
        <v>b) Femenino</v>
      </c>
      <c r="F308" s="89" t="str">
        <f>Registro!F308</f>
        <v>a) Católica</v>
      </c>
      <c r="G308" s="89" t="str">
        <f>Registro!G308</f>
        <v>a) Mamá, b) Papá, c) Hermanos</v>
      </c>
      <c r="H308" s="89" t="str">
        <f>Registro!H308</f>
        <v>c) Apartamento</v>
      </c>
      <c r="I308" s="89" t="str">
        <f>Registro!I308</f>
        <v>c) Algo</v>
      </c>
      <c r="J308" s="89" t="str">
        <f>Registro!J308</f>
        <v>a) Cónsola videojuegos, b) Lavadora, c) Microondas, d) TV pantalla plana, g) MP4, h) Carro, i) Computadora, j) Cámara digital</v>
      </c>
      <c r="K308" s="89" t="str">
        <f>Registro!K308</f>
        <v>c) Dos</v>
      </c>
      <c r="L308" s="89" t="str">
        <f>Registro!L308</f>
        <v>b) Los amigos, i) La música, j) El deporte</v>
      </c>
      <c r="M308" s="94">
        <f t="shared" si="25"/>
        <v>3</v>
      </c>
      <c r="N308" s="89" t="str">
        <f>Registro!M308</f>
        <v>a) Seguridad personal (la violencia y la delincuencia)</v>
      </c>
      <c r="O308" s="89" t="str">
        <f>Registro!N308</f>
        <v>c) Poco</v>
      </c>
      <c r="P308" s="89" t="str">
        <f>Registro!O308</f>
        <v>d) Nada</v>
      </c>
      <c r="Q308" s="89" t="str">
        <f>Registro!P308</f>
        <v>c) Poco</v>
      </c>
      <c r="R308" s="89" t="str">
        <f>Registro!Q308</f>
        <v>b) Los amigos, c) Los estudios, d) El cuidado de mi cuerpo</v>
      </c>
      <c r="S308" s="94">
        <f t="shared" si="26"/>
        <v>3</v>
      </c>
      <c r="T308" s="89" t="str">
        <f>Registro!R308</f>
        <v>b) Suficiente</v>
      </c>
      <c r="U308" s="89" t="str">
        <f>Registro!S308</f>
        <v>a) La Iglesia, c) El salón de clase, k) La oración</v>
      </c>
      <c r="V308" s="89" t="str">
        <f>Registro!T308</f>
        <v>c) Rezo solo en situación de dificultad</v>
      </c>
      <c r="W308" s="89" t="str">
        <f>Registro!U308</f>
        <v>b) Algunos domingos</v>
      </c>
      <c r="X308" s="89" t="str">
        <f>Registro!V308</f>
        <v>d) Suelo orar todos los días</v>
      </c>
      <c r="Y308" s="89" t="str">
        <f>Registro!W308</f>
        <v>a) Deportivo</v>
      </c>
      <c r="Z308" s="89" t="str">
        <f>Registro!X308</f>
        <v>c) Un lugar donde me lo paso bien</v>
      </c>
      <c r="AA308" s="89" t="str">
        <f>Registro!Y308</f>
        <v>b) No</v>
      </c>
      <c r="AB308" s="89" t="str">
        <f>Registro!Z308</f>
        <v>b) No</v>
      </c>
      <c r="AC308" s="89" t="str">
        <f>Registro!AA308</f>
        <v>d) Ingeniería, g) Artista</v>
      </c>
      <c r="AD308" s="94">
        <f t="shared" si="27"/>
        <v>2</v>
      </c>
      <c r="AE308" s="89" t="str">
        <f>Registro!AB308</f>
        <v>c) Ser un excelente profesional</v>
      </c>
      <c r="AF308" s="89" t="str">
        <f>Registro!AC308</f>
        <v>e) No sé</v>
      </c>
      <c r="AG308" s="89" t="str">
        <f>Registro!AD308</f>
        <v>a) Los deportes y diversiones, b) El ambiente de estudio y de trabajo</v>
      </c>
      <c r="AH308" s="94">
        <f t="shared" si="23"/>
        <v>2</v>
      </c>
      <c r="AI308" s="89" t="str">
        <f>Registro!AE308</f>
        <v>b) 3 a 4 horas</v>
      </c>
      <c r="AJ308" s="89" t="str">
        <f>Registro!AF308</f>
        <v>k) Practico algún deporte, l) Escucho música y/o veo videos musicales, m) Veo televisión y/o películas</v>
      </c>
      <c r="AK308" s="94">
        <f t="shared" si="24"/>
        <v>3</v>
      </c>
      <c r="AL308" s="89" t="str">
        <f>Registro!AG308</f>
        <v>c) Regular</v>
      </c>
      <c r="AM308" s="89" t="str">
        <f>Registro!AH308</f>
        <v>b) Buena</v>
      </c>
      <c r="AN308" s="89" t="str">
        <f>Registro!AI308</f>
        <v>b) Buena</v>
      </c>
      <c r="AO308" s="89" t="str">
        <f>Registro!AJ308</f>
        <v>b) Buena</v>
      </c>
      <c r="AP308" s="89" t="str">
        <f>Registro!AK308</f>
        <v>a) Muy buena</v>
      </c>
      <c r="AQ308" s="89" t="str">
        <f>Registro!AL308</f>
        <v>b) Buena</v>
      </c>
      <c r="AR308" s="89" t="str">
        <f>Registro!AM308</f>
        <v>a) Muy buena</v>
      </c>
      <c r="AS308" s="89" t="str">
        <f>Registro!AN308</f>
        <v>c) Regular</v>
      </c>
      <c r="AT308" s="89" t="str">
        <f>Registro!AO308</f>
        <v>c) Regular</v>
      </c>
      <c r="AU308" s="89" t="str">
        <f>Registro!AP308</f>
        <v>a) Muy buena</v>
      </c>
      <c r="AV308" s="89" t="str">
        <f>Registro!AQ308</f>
        <v>b) Buena</v>
      </c>
      <c r="AW308" s="89" t="str">
        <f>Registro!AR308</f>
        <v>a) El compañerismo</v>
      </c>
      <c r="AX308" s="89" t="str">
        <f>Registro!AS308</f>
        <v>b) Darme una buena educación</v>
      </c>
      <c r="AY308" s="89" t="str">
        <f>Registro!AT308</f>
        <v>d) Bastante necesaria</v>
      </c>
      <c r="AZ308" s="89" t="str">
        <f>Registro!AU308</f>
        <v>a) No acostumbro a tomarlo nunca</v>
      </c>
      <c r="BA308" s="89" t="str">
        <f>Registro!AV308</f>
        <v>b) Profesionales que no se preocupan de nosotros</v>
      </c>
      <c r="BB308" s="89" t="str">
        <f>Registro!AW308</f>
        <v>b) Poco</v>
      </c>
      <c r="BC308" s="89" t="str">
        <f>Registro!AX308</f>
        <v>c) Son personas normales y corrientes</v>
      </c>
      <c r="BD308" s="89" t="str">
        <f>Registro!AY308</f>
        <v>c) Un hermano/a, h) Una amiga</v>
      </c>
    </row>
    <row r="309" spans="1:56" ht="15" customHeight="1" x14ac:dyDescent="0.25">
      <c r="A309" s="101">
        <f>Registro!A309</f>
        <v>42283.369872685187</v>
      </c>
      <c r="B309" s="89" t="str">
        <f>Registro!B309</f>
        <v>b) Calasanz de Valencia</v>
      </c>
      <c r="C309" s="89" t="str">
        <f>Registro!C309</f>
        <v>a) Primer año</v>
      </c>
      <c r="D309" s="89" t="str">
        <f>Registro!D309</f>
        <v>b) Primaria</v>
      </c>
      <c r="E309" s="89" t="str">
        <f>Registro!E309</f>
        <v>a) Masculino</v>
      </c>
      <c r="F309" s="89" t="str">
        <f>Registro!F309</f>
        <v>a) Católica</v>
      </c>
      <c r="G309" s="89" t="str">
        <f>Registro!G309</f>
        <v>a) Mamá, b) Papá, c) Hermanos</v>
      </c>
      <c r="H309" s="89" t="str">
        <f>Registro!H309</f>
        <v>b) Casa Urbana</v>
      </c>
      <c r="I309" s="89" t="str">
        <f>Registro!I309</f>
        <v>a) Sí</v>
      </c>
      <c r="J309" s="89" t="str">
        <f>Registro!J309</f>
        <v>a) Cónsola videojuegos, b) Lavadora, c) Microondas, d) TV pantalla plana, f) MP3, g) MP4, h) Carro, i) Computadora, j) Cámara digital, k) Aire acondicionado</v>
      </c>
      <c r="K309" s="89" t="str">
        <f>Registro!K309</f>
        <v>e) Cuatro</v>
      </c>
      <c r="L309" s="89" t="str">
        <f>Registro!L309</f>
        <v>a) La familia, c) Los estudios, j) El deporte</v>
      </c>
      <c r="M309" s="94">
        <f t="shared" si="25"/>
        <v>3</v>
      </c>
      <c r="N309" s="89" t="str">
        <f>Registro!M309</f>
        <v>b) El futuro</v>
      </c>
      <c r="O309" s="89" t="str">
        <f>Registro!N309</f>
        <v>a) Mucho</v>
      </c>
      <c r="P309" s="89" t="str">
        <f>Registro!O309</f>
        <v>c) Poco</v>
      </c>
      <c r="Q309" s="89" t="str">
        <f>Registro!P309</f>
        <v>b) Suficiente</v>
      </c>
      <c r="R309" s="89"/>
      <c r="S309" s="94">
        <f t="shared" si="26"/>
        <v>0</v>
      </c>
      <c r="T309" s="89" t="str">
        <f>Registro!R309</f>
        <v>a) Mucho</v>
      </c>
      <c r="U309" s="89" t="str">
        <f>Registro!S309</f>
        <v>a) La Iglesia, b) La naturaleza, d) Las convivencias, g) Mi familia, h) Algunas personas cercanas a Dios, i) Los necesitados, k) La oración</v>
      </c>
      <c r="V309" s="89" t="str">
        <f>Registro!T309</f>
        <v>b) Rezo por costumbre</v>
      </c>
      <c r="W309" s="89" t="str">
        <f>Registro!U309</f>
        <v>c) Solo en fechas especiales</v>
      </c>
      <c r="X309" s="89" t="str">
        <f>Registro!V309</f>
        <v>b) Suelo bendedir los alimentos antes de comer, d) Suelo orar todos los días, e) Voy a misa en las fechas de mis familiares difuntos, f) En alguna ocasión he rezado el rosario, h) En Semana Santa asisto a las procesiones</v>
      </c>
      <c r="Y309" s="89" t="str">
        <f>Registro!W309</f>
        <v>d) No pertenezco a ninguno</v>
      </c>
      <c r="Z309" s="89" t="str">
        <f>Registro!X309</f>
        <v>b) Un lugar donde comparto con mis compañeros</v>
      </c>
      <c r="AA309" s="89" t="str">
        <f>Registro!Y309</f>
        <v>b) No</v>
      </c>
      <c r="AB309" s="89" t="str">
        <f>Registro!Z309</f>
        <v>b) No</v>
      </c>
      <c r="AC309" s="89" t="str">
        <f>Registro!AA309</f>
        <v>e) Derecho, j) Trabajador calificado</v>
      </c>
      <c r="AD309" s="94">
        <f t="shared" si="27"/>
        <v>2</v>
      </c>
      <c r="AE309" s="89" t="str">
        <f>Registro!AB309</f>
        <v>c) Ser un excelente profesional</v>
      </c>
      <c r="AF309" s="89" t="str">
        <f>Registro!AC309</f>
        <v>d) Mucho o muchísimo</v>
      </c>
      <c r="AG309" s="89" t="str">
        <f>Registro!AD309</f>
        <v>a) Los deportes y diversiones, b) El ambiente de estudio y de trabajo</v>
      </c>
      <c r="AH309" s="94">
        <f t="shared" si="23"/>
        <v>2</v>
      </c>
      <c r="AI309" s="89" t="str">
        <f>Registro!AE309</f>
        <v>b) 3 a 4 horas</v>
      </c>
      <c r="AJ309" s="89" t="str">
        <f>Registro!AF309</f>
        <v>a) Me divierto con juegos para computadoras, b) Navego en Internet, m) Veo televisión y/o películas</v>
      </c>
      <c r="AK309" s="94">
        <f t="shared" si="24"/>
        <v>3</v>
      </c>
      <c r="AL309" s="89" t="str">
        <f>Registro!AG309</f>
        <v>a) Muy bueno</v>
      </c>
      <c r="AM309" s="89" t="str">
        <f>Registro!AH309</f>
        <v>b) Buena</v>
      </c>
      <c r="AN309" s="89" t="str">
        <f>Registro!AI309</f>
        <v>b) Buena</v>
      </c>
      <c r="AO309" s="89" t="str">
        <f>Registro!AJ309</f>
        <v>a) Muy buena</v>
      </c>
      <c r="AP309" s="89" t="str">
        <f>Registro!AK309</f>
        <v>b) Buena</v>
      </c>
      <c r="AQ309" s="89" t="str">
        <f>Registro!AL309</f>
        <v>a) Muy buena</v>
      </c>
      <c r="AR309" s="89" t="str">
        <f>Registro!AM309</f>
        <v>a) Muy buena</v>
      </c>
      <c r="AS309" s="89" t="str">
        <f>Registro!AN309</f>
        <v>b) Buena</v>
      </c>
      <c r="AT309" s="89" t="str">
        <f>Registro!AO309</f>
        <v>b) Buena</v>
      </c>
      <c r="AU309" s="89" t="str">
        <f>Registro!AP309</f>
        <v>a) Muy buena</v>
      </c>
      <c r="AV309" s="89" t="str">
        <f>Registro!AQ309</f>
        <v>a) Muy buena</v>
      </c>
      <c r="AW309" s="89" t="str">
        <f>Registro!AR309</f>
        <v>c) El estudio</v>
      </c>
      <c r="AX309" s="89" t="str">
        <f>Registro!AS309</f>
        <v>b) Darme una buena educación</v>
      </c>
      <c r="AY309" s="89" t="str">
        <f>Registro!AT309</f>
        <v>e) Absolutamente necesaria</v>
      </c>
      <c r="AZ309" s="89" t="str">
        <f>Registro!AU309</f>
        <v>a) No acostumbro a tomarlo nunca</v>
      </c>
      <c r="BA309" s="89" t="str">
        <f>Registro!AV309</f>
        <v>d) Buenos profesionales de la educación</v>
      </c>
      <c r="BB309" s="89" t="str">
        <f>Registro!AW309</f>
        <v>d) Mucho o muchísimo</v>
      </c>
      <c r="BC309" s="89" t="str">
        <f>Registro!AX309</f>
        <v>e) Son personas que me gustan y admiro</v>
      </c>
      <c r="BD309" s="89" t="str">
        <f>Registro!AY309</f>
        <v>a) Mi padre, b) Mi madre</v>
      </c>
    </row>
    <row r="310" spans="1:56" ht="15" customHeight="1" x14ac:dyDescent="0.25">
      <c r="A310" s="101">
        <f>Registro!A310</f>
        <v>42283.370127314818</v>
      </c>
      <c r="B310" s="89" t="str">
        <f>Registro!B310</f>
        <v>b) Calasanz de Valencia</v>
      </c>
      <c r="C310" s="89" t="str">
        <f>Registro!C310</f>
        <v>a) Primer año</v>
      </c>
      <c r="D310" s="89" t="str">
        <f>Registro!D310</f>
        <v>b) Primaria</v>
      </c>
      <c r="E310" s="89" t="str">
        <f>Registro!E310</f>
        <v>b) Femenino</v>
      </c>
      <c r="F310" s="89" t="str">
        <f>Registro!F310</f>
        <v>a) Católica</v>
      </c>
      <c r="G310" s="89" t="str">
        <f>Registro!G310</f>
        <v>a) Mamá</v>
      </c>
      <c r="H310" s="89" t="str">
        <f>Registro!H310</f>
        <v>a) Quinta</v>
      </c>
      <c r="I310" s="89" t="str">
        <f>Registro!I310</f>
        <v>c) Algo</v>
      </c>
      <c r="J310" s="89" t="str">
        <f>Registro!J310</f>
        <v>b) Lavadora, c) Microondas, d) TV pantalla plana, h) Carro, i) Computadora</v>
      </c>
      <c r="K310" s="89" t="str">
        <f>Registro!K310</f>
        <v>c) Dos</v>
      </c>
      <c r="L310" s="89" t="str">
        <f>Registro!L310</f>
        <v>b) Los amigos, i) La música</v>
      </c>
      <c r="M310" s="94">
        <f t="shared" si="25"/>
        <v>2</v>
      </c>
      <c r="N310" s="89" t="str">
        <f>Registro!M310</f>
        <v>b) El futuro</v>
      </c>
      <c r="O310" s="89" t="str">
        <f>Registro!N310</f>
        <v>c) Poco</v>
      </c>
      <c r="P310" s="89">
        <f>Registro!O310</f>
        <v>0</v>
      </c>
      <c r="Q310" s="89" t="str">
        <f>Registro!P310</f>
        <v>b) Suficiente</v>
      </c>
      <c r="R310" s="89"/>
      <c r="S310" s="94">
        <f t="shared" si="26"/>
        <v>0</v>
      </c>
      <c r="T310" s="89" t="str">
        <f>Registro!R310</f>
        <v>b) Suficiente</v>
      </c>
      <c r="U310" s="89" t="str">
        <f>Registro!S310</f>
        <v>a) La Iglesia, b) La naturaleza</v>
      </c>
      <c r="V310" s="89">
        <f>Registro!T310</f>
        <v>0</v>
      </c>
      <c r="W310" s="89">
        <f>Registro!U310</f>
        <v>0</v>
      </c>
      <c r="X310" s="89" t="str">
        <f>Registro!V310</f>
        <v>i) Tengo en mi cuarto alguna imagen religiosa</v>
      </c>
      <c r="Y310" s="89" t="str">
        <f>Registro!W310</f>
        <v>d) No pertenezco a ninguno</v>
      </c>
      <c r="Z310" s="89" t="str">
        <f>Registro!X310</f>
        <v>c) Un lugar donde me lo paso bien</v>
      </c>
      <c r="AA310" s="89" t="str">
        <f>Registro!Y310</f>
        <v>b) No</v>
      </c>
      <c r="AB310" s="89" t="str">
        <f>Registro!Z310</f>
        <v>b) No</v>
      </c>
      <c r="AC310" s="89"/>
      <c r="AD310" s="94">
        <f t="shared" si="27"/>
        <v>0</v>
      </c>
      <c r="AE310" s="89" t="str">
        <f>Registro!AB310</f>
        <v>f) Ejecutar una tarea conforme a mi fe</v>
      </c>
      <c r="AF310" s="89" t="str">
        <f>Registro!AC310</f>
        <v>b) Poco</v>
      </c>
      <c r="AG310" s="89" t="str">
        <f>Registro!AD310</f>
        <v>b) El ambiente de estudio y de trabajo</v>
      </c>
      <c r="AH310" s="94">
        <f t="shared" si="23"/>
        <v>1</v>
      </c>
      <c r="AI310" s="89" t="str">
        <f>Registro!AE310</f>
        <v>a) 0 a 2 horas</v>
      </c>
      <c r="AJ310" s="89" t="str">
        <f>Registro!AF310</f>
        <v>b) Navego en Internet, l) Escucho música y/o veo videos musicales</v>
      </c>
      <c r="AK310" s="94">
        <f t="shared" si="24"/>
        <v>2</v>
      </c>
      <c r="AL310" s="89" t="str">
        <f>Registro!AG310</f>
        <v>e) Muy deficiente</v>
      </c>
      <c r="AM310" s="89" t="str">
        <f>Registro!AH310</f>
        <v>f) No aplica</v>
      </c>
      <c r="AN310" s="89" t="str">
        <f>Registro!AI310</f>
        <v>f) No aplica</v>
      </c>
      <c r="AO310" s="89" t="str">
        <f>Registro!AJ310</f>
        <v>d) Mala</v>
      </c>
      <c r="AP310" s="89" t="str">
        <f>Registro!AK310</f>
        <v>f) No aplica</v>
      </c>
      <c r="AQ310" s="89" t="str">
        <f>Registro!AL310</f>
        <v>b) Buena</v>
      </c>
      <c r="AR310" s="89" t="str">
        <f>Registro!AM310</f>
        <v>c) Regular</v>
      </c>
      <c r="AS310" s="89" t="str">
        <f>Registro!AN310</f>
        <v>c) Regular</v>
      </c>
      <c r="AT310" s="89" t="str">
        <f>Registro!AO310</f>
        <v>a) Muy buena</v>
      </c>
      <c r="AU310" s="89" t="str">
        <f>Registro!AP310</f>
        <v>b) Buena</v>
      </c>
      <c r="AV310" s="89" t="str">
        <f>Registro!AQ310</f>
        <v>a) Muy buena</v>
      </c>
      <c r="AW310" s="89" t="str">
        <f>Registro!AR310</f>
        <v>a) El compañerismo</v>
      </c>
      <c r="AX310" s="89" t="str">
        <f>Registro!AS310</f>
        <v>a) Que sea un buen profesional</v>
      </c>
      <c r="AY310" s="89">
        <f>Registro!AT310</f>
        <v>0</v>
      </c>
      <c r="AZ310" s="89" t="str">
        <f>Registro!AU310</f>
        <v>c) Alguna vez he bebido más de la cuenta</v>
      </c>
      <c r="BA310" s="89" t="str">
        <f>Registro!AV310</f>
        <v>b) Profesionales que no se preocupan de nosotros</v>
      </c>
      <c r="BB310" s="89" t="str">
        <f>Registro!AW310</f>
        <v>c) Bastante</v>
      </c>
      <c r="BC310" s="89" t="str">
        <f>Registro!AX310</f>
        <v>a) No me gustan en absoluto</v>
      </c>
      <c r="BD310" s="89" t="str">
        <f>Registro!AY310</f>
        <v>g) Un amigo, h) Una amiga, j) Nadie</v>
      </c>
    </row>
    <row r="311" spans="1:56" ht="15" customHeight="1" x14ac:dyDescent="0.25">
      <c r="A311" s="101">
        <f>Registro!A311</f>
        <v>42283.370752314811</v>
      </c>
      <c r="B311" s="89" t="str">
        <f>Registro!B311</f>
        <v>b) Calasanz de Valencia</v>
      </c>
      <c r="C311" s="89" t="str">
        <f>Registro!C311</f>
        <v>a) Primer año</v>
      </c>
      <c r="D311" s="89" t="str">
        <f>Registro!D311</f>
        <v>a) Educación Inicial</v>
      </c>
      <c r="E311" s="89" t="str">
        <f>Registro!E311</f>
        <v>a) Masculino</v>
      </c>
      <c r="F311" s="89" t="str">
        <f>Registro!F311</f>
        <v>a) Católica</v>
      </c>
      <c r="G311" s="89" t="str">
        <f>Registro!G311</f>
        <v>a) Mamá, b) Papá, d) Abuelos</v>
      </c>
      <c r="H311" s="89" t="str">
        <f>Registro!H311</f>
        <v>c) Apartamento</v>
      </c>
      <c r="I311" s="89" t="str">
        <f>Registro!I311</f>
        <v>d) No sé</v>
      </c>
      <c r="J311" s="89" t="str">
        <f>Registro!J311</f>
        <v>a) Cónsola videojuegos, b) Lavadora, c) Microondas, h) Carro, i) Computadora, j) Cámara digital, k) Aire acondicionado</v>
      </c>
      <c r="K311" s="89" t="str">
        <f>Registro!K311</f>
        <v>c) Dos</v>
      </c>
      <c r="L311" s="89" t="str">
        <f>Registro!L311</f>
        <v>i) La música, j) El deporte, k) El internet</v>
      </c>
      <c r="M311" s="94">
        <f t="shared" si="25"/>
        <v>3</v>
      </c>
      <c r="N311" s="89" t="str">
        <f>Registro!M311</f>
        <v>g) Mis estudios</v>
      </c>
      <c r="O311" s="89" t="str">
        <f>Registro!N311</f>
        <v>b) Suficiente</v>
      </c>
      <c r="P311" s="89" t="str">
        <f>Registro!O311</f>
        <v>b) Suficiente</v>
      </c>
      <c r="Q311" s="89" t="str">
        <f>Registro!P311</f>
        <v>c) Poco</v>
      </c>
      <c r="R311" s="89" t="str">
        <f>Registro!Q311</f>
        <v>a) La familia, c) Los estudios, g) La felicidad</v>
      </c>
      <c r="S311" s="94">
        <f t="shared" si="26"/>
        <v>3</v>
      </c>
      <c r="T311" s="89" t="str">
        <f>Registro!R311</f>
        <v>c) Poco</v>
      </c>
      <c r="U311" s="89" t="str">
        <f>Registro!S311</f>
        <v>b) La naturaleza, i) Los necesitados</v>
      </c>
      <c r="V311" s="89" t="str">
        <f>Registro!T311</f>
        <v>c) Rezo solo en situación de dificultad</v>
      </c>
      <c r="W311" s="89" t="str">
        <f>Registro!U311</f>
        <v>b) Algunos domingos</v>
      </c>
      <c r="X311" s="89" t="str">
        <f>Registro!V311</f>
        <v>c) Suelo ir los domingos y otras fechas especiales a la Iglesia</v>
      </c>
      <c r="Y311" s="89" t="str">
        <f>Registro!W311</f>
        <v>d) No pertenezco a ninguno</v>
      </c>
      <c r="Z311" s="89" t="str">
        <f>Registro!X311</f>
        <v>d) No pertenezco a grupos juveniles cristianos</v>
      </c>
      <c r="AA311" s="89" t="str">
        <f>Registro!Y311</f>
        <v>b) No</v>
      </c>
      <c r="AB311" s="89" t="str">
        <f>Registro!Z311</f>
        <v>b) No</v>
      </c>
      <c r="AC311" s="89" t="str">
        <f>Registro!AA311</f>
        <v>a) Medicina, g) Artista</v>
      </c>
      <c r="AD311" s="94">
        <f t="shared" si="27"/>
        <v>2</v>
      </c>
      <c r="AE311" s="89" t="str">
        <f>Registro!AB311</f>
        <v>c) Ser un excelente profesional</v>
      </c>
      <c r="AF311" s="89" t="str">
        <f>Registro!AC311</f>
        <v>b) Poco</v>
      </c>
      <c r="AG311" s="89" t="str">
        <f>Registro!AD311</f>
        <v>a) Los deportes y diversiones, i) No me gusta nada</v>
      </c>
      <c r="AH311" s="94">
        <f t="shared" si="23"/>
        <v>2</v>
      </c>
      <c r="AI311" s="89" t="str">
        <f>Registro!AE311</f>
        <v>c) 5 a 6 horas</v>
      </c>
      <c r="AJ311" s="89" t="str">
        <f>Registro!AF311</f>
        <v>a) Me divierto con juegos para computadoras, b) Navego en Internet, m) Veo televisión y/o películas</v>
      </c>
      <c r="AK311" s="94">
        <f t="shared" si="24"/>
        <v>3</v>
      </c>
      <c r="AL311" s="89" t="str">
        <f>Registro!AG311</f>
        <v>b) Bueno</v>
      </c>
      <c r="AM311" s="89" t="str">
        <f>Registro!AH311</f>
        <v>b) Buena</v>
      </c>
      <c r="AN311" s="89" t="str">
        <f>Registro!AI311</f>
        <v>b) Buena</v>
      </c>
      <c r="AO311" s="89" t="str">
        <f>Registro!AJ311</f>
        <v>c) Regular</v>
      </c>
      <c r="AP311" s="89" t="str">
        <f>Registro!AK311</f>
        <v>d) Mala</v>
      </c>
      <c r="AQ311" s="89" t="str">
        <f>Registro!AL311</f>
        <v>c) Regular</v>
      </c>
      <c r="AR311" s="89" t="str">
        <f>Registro!AM311</f>
        <v>b) Buena</v>
      </c>
      <c r="AS311" s="89" t="str">
        <f>Registro!AN311</f>
        <v>c) Regular</v>
      </c>
      <c r="AT311" s="89" t="str">
        <f>Registro!AO311</f>
        <v>b) Buena</v>
      </c>
      <c r="AU311" s="89" t="str">
        <f>Registro!AP311</f>
        <v>b) Buena</v>
      </c>
      <c r="AV311" s="89" t="str">
        <f>Registro!AQ311</f>
        <v>b) Buena</v>
      </c>
      <c r="AW311" s="89" t="str">
        <f>Registro!AR311</f>
        <v>f) la práctica religiosa</v>
      </c>
      <c r="AX311" s="89" t="str">
        <f>Registro!AS311</f>
        <v>e) Que sea cristiano responsable</v>
      </c>
      <c r="AY311" s="89" t="str">
        <f>Registro!AT311</f>
        <v>c) Conveniente</v>
      </c>
      <c r="AZ311" s="89" t="str">
        <f>Registro!AU311</f>
        <v>a) No acostumbro a tomarlo nunca</v>
      </c>
      <c r="BA311" s="89" t="str">
        <f>Registro!AV311</f>
        <v>c) Profesionales que hacen lo que pueden</v>
      </c>
      <c r="BB311" s="89" t="str">
        <f>Registro!AW311</f>
        <v>b) Poco</v>
      </c>
      <c r="BC311" s="89" t="str">
        <f>Registro!AX311</f>
        <v>c) Son personas normales y corrientes</v>
      </c>
      <c r="BD311" s="89" t="str">
        <f>Registro!AY311</f>
        <v>j) Nadie</v>
      </c>
    </row>
    <row r="312" spans="1:56" ht="15" customHeight="1" x14ac:dyDescent="0.25">
      <c r="A312" s="101">
        <f>Registro!A312</f>
        <v>42283.370775462965</v>
      </c>
      <c r="B312" s="89" t="str">
        <f>Registro!B312</f>
        <v>b) Calasanz de Valencia</v>
      </c>
      <c r="C312" s="89" t="str">
        <f>Registro!C312</f>
        <v>a) Primer año</v>
      </c>
      <c r="D312" s="89" t="str">
        <f>Registro!D312</f>
        <v>b) Primaria</v>
      </c>
      <c r="E312" s="89" t="str">
        <f>Registro!E312</f>
        <v>a) Masculino</v>
      </c>
      <c r="F312" s="89" t="str">
        <f>Registro!F312</f>
        <v>a) Católica</v>
      </c>
      <c r="G312" s="89" t="str">
        <f>Registro!G312</f>
        <v>a) Mamá, b) Papá, c) Hermanos, e) Otros familiares</v>
      </c>
      <c r="H312" s="89" t="str">
        <f>Registro!H312</f>
        <v>b) Casa Urbana</v>
      </c>
      <c r="I312" s="89" t="str">
        <f>Registro!I312</f>
        <v>a) Sí</v>
      </c>
      <c r="J312" s="89" t="str">
        <f>Registro!J312</f>
        <v>a) Cónsola videojuegos, b) Lavadora, c) Microondas, d) TV pantalla plana, e) Moto, f) MP3, g) MP4, h) Carro, i) Computadora, j) Cámara digital, k) Aire acondicionado</v>
      </c>
      <c r="K312" s="89" t="str">
        <f>Registro!K312</f>
        <v>a) Ninguna</v>
      </c>
      <c r="L312" s="89" t="str">
        <f>Registro!L312</f>
        <v>a) La familia, g) La felicidad, j) El deporte</v>
      </c>
      <c r="M312" s="94">
        <f t="shared" si="25"/>
        <v>3</v>
      </c>
      <c r="N312" s="89" t="str">
        <f>Registro!M312</f>
        <v>f) La situación política del país</v>
      </c>
      <c r="O312" s="89" t="str">
        <f>Registro!N312</f>
        <v>b) Suficiente</v>
      </c>
      <c r="P312" s="89" t="str">
        <f>Registro!O312</f>
        <v>c) Poco</v>
      </c>
      <c r="Q312" s="89">
        <f>Registro!P312</f>
        <v>0</v>
      </c>
      <c r="R312" s="89">
        <f>Registro!Q312</f>
        <v>0</v>
      </c>
      <c r="S312" s="94">
        <f t="shared" si="26"/>
        <v>0</v>
      </c>
      <c r="T312" s="89">
        <f>Registro!R312</f>
        <v>0</v>
      </c>
      <c r="U312" s="89">
        <f>Registro!S312</f>
        <v>0</v>
      </c>
      <c r="V312" s="89">
        <f>Registro!T312</f>
        <v>0</v>
      </c>
      <c r="W312" s="89">
        <f>Registro!U312</f>
        <v>0</v>
      </c>
      <c r="X312" s="89">
        <f>Registro!V312</f>
        <v>0</v>
      </c>
      <c r="Y312" s="89">
        <f>Registro!W312</f>
        <v>0</v>
      </c>
      <c r="Z312" s="89">
        <f>Registro!X312</f>
        <v>0</v>
      </c>
      <c r="AA312" s="89">
        <f>Registro!Y312</f>
        <v>0</v>
      </c>
      <c r="AB312" s="89">
        <f>Registro!Z312</f>
        <v>0</v>
      </c>
      <c r="AC312" s="89">
        <f>Registro!AA312</f>
        <v>0</v>
      </c>
      <c r="AD312" s="94">
        <f t="shared" si="27"/>
        <v>0</v>
      </c>
      <c r="AE312" s="89">
        <f>Registro!AB312</f>
        <v>0</v>
      </c>
      <c r="AF312" s="89">
        <f>Registro!AC312</f>
        <v>0</v>
      </c>
      <c r="AG312" s="89">
        <f>Registro!AD312</f>
        <v>0</v>
      </c>
      <c r="AH312" s="94">
        <f t="shared" si="23"/>
        <v>0</v>
      </c>
      <c r="AI312" s="89">
        <f>Registro!AE312</f>
        <v>0</v>
      </c>
      <c r="AJ312" s="89">
        <f>Registro!AF312</f>
        <v>0</v>
      </c>
      <c r="AK312" s="94">
        <f t="shared" si="24"/>
        <v>0</v>
      </c>
      <c r="AL312" s="89">
        <f>Registro!AG312</f>
        <v>0</v>
      </c>
      <c r="AM312" s="89">
        <f>Registro!AH312</f>
        <v>0</v>
      </c>
      <c r="AN312" s="89">
        <f>Registro!AI312</f>
        <v>0</v>
      </c>
      <c r="AO312" s="89">
        <f>Registro!AJ312</f>
        <v>0</v>
      </c>
      <c r="AP312" s="89">
        <f>Registro!AK312</f>
        <v>0</v>
      </c>
      <c r="AQ312" s="89">
        <f>Registro!AL312</f>
        <v>0</v>
      </c>
      <c r="AR312" s="89">
        <f>Registro!AM312</f>
        <v>0</v>
      </c>
      <c r="AS312" s="89">
        <f>Registro!AN312</f>
        <v>0</v>
      </c>
      <c r="AT312" s="89" t="str">
        <f>Registro!AO312</f>
        <v>a) Muy buena</v>
      </c>
      <c r="AU312" s="89" t="str">
        <f>Registro!AP312</f>
        <v>a) Muy buena</v>
      </c>
      <c r="AV312" s="89" t="str">
        <f>Registro!AQ312</f>
        <v>a) Muy buena</v>
      </c>
      <c r="AW312" s="89" t="str">
        <f>Registro!AR312</f>
        <v>e) La disciplina y el orden</v>
      </c>
      <c r="AX312" s="89" t="str">
        <f>Registro!AS312</f>
        <v>b) Darme una buena educación</v>
      </c>
      <c r="AY312" s="89" t="str">
        <f>Registro!AT312</f>
        <v>e) Absolutamente necesaria</v>
      </c>
      <c r="AZ312" s="89" t="str">
        <f>Registro!AU312</f>
        <v>c) Alguna vez he bebido más de la cuenta</v>
      </c>
      <c r="BA312" s="89" t="str">
        <f>Registro!AV312</f>
        <v>d) Buenos profesionales de la educación</v>
      </c>
      <c r="BB312" s="89" t="str">
        <f>Registro!AW312</f>
        <v>a) No, en absoluto</v>
      </c>
      <c r="BC312" s="89">
        <f>Registro!AX312</f>
        <v>0</v>
      </c>
      <c r="BD312" s="89" t="str">
        <f>Registro!AY312</f>
        <v>a) Mi padre, b) Mi madre, j) Nadie</v>
      </c>
    </row>
    <row r="313" spans="1:56" ht="15" customHeight="1" x14ac:dyDescent="0.25">
      <c r="A313" s="101">
        <f>Registro!A313</f>
        <v>42283.37290509259</v>
      </c>
      <c r="B313" s="89" t="str">
        <f>Registro!B313</f>
        <v>b) Calasanz de Valencia</v>
      </c>
      <c r="C313" s="89" t="str">
        <f>Registro!C313</f>
        <v>a) Primer año</v>
      </c>
      <c r="D313" s="89" t="str">
        <f>Registro!D313</f>
        <v>b) Primaria</v>
      </c>
      <c r="E313" s="89" t="str">
        <f>Registro!E313</f>
        <v>b) Femenino</v>
      </c>
      <c r="F313" s="89" t="str">
        <f>Registro!F313</f>
        <v>a) Católica</v>
      </c>
      <c r="G313" s="89" t="str">
        <f>Registro!G313</f>
        <v>a) Mamá, b) Papá, c) Hermanos</v>
      </c>
      <c r="H313" s="89" t="str">
        <f>Registro!H313</f>
        <v>d) Casa Rural</v>
      </c>
      <c r="I313" s="89" t="str">
        <f>Registro!I313</f>
        <v>a) Sí</v>
      </c>
      <c r="J313" s="89" t="str">
        <f>Registro!J313</f>
        <v>a) Cónsola videojuegos, b) Lavadora, c) Microondas, d) TV pantalla plana, g) MP4, h) Carro, i) Computadora, j) Cámara digital, k) Aire acondicionado</v>
      </c>
      <c r="K313" s="89" t="str">
        <f>Registro!K313</f>
        <v>f) Más de cuatro</v>
      </c>
      <c r="L313" s="89" t="str">
        <f>Registro!L313</f>
        <v>a) La familia, b) Los amigos, e) Disponer de dinero</v>
      </c>
      <c r="M313" s="94">
        <f t="shared" si="25"/>
        <v>3</v>
      </c>
      <c r="N313" s="89" t="str">
        <f>Registro!M313</f>
        <v>a) Seguridad personal (la violencia y la delincuencia)</v>
      </c>
      <c r="O313" s="89" t="str">
        <f>Registro!N313</f>
        <v>b) Suficiente</v>
      </c>
      <c r="P313" s="89" t="str">
        <f>Registro!O313</f>
        <v>c) Poco</v>
      </c>
      <c r="Q313" s="89" t="str">
        <f>Registro!P313</f>
        <v>c) Poco</v>
      </c>
      <c r="R313" s="89" t="str">
        <f>Registro!Q313</f>
        <v>b) Los amigos, c) Los estudios, d) El cuidado de mi cuerpo</v>
      </c>
      <c r="S313" s="94">
        <f t="shared" si="26"/>
        <v>3</v>
      </c>
      <c r="T313" s="89" t="str">
        <f>Registro!R313</f>
        <v>b) Suficiente</v>
      </c>
      <c r="U313" s="89" t="str">
        <f>Registro!S313</f>
        <v>a) La Iglesia, b) La naturaleza, d) Las convivencias</v>
      </c>
      <c r="V313" s="89" t="str">
        <f>Registro!T313</f>
        <v>b) Rezo por costumbre</v>
      </c>
      <c r="W313" s="89" t="str">
        <f>Registro!U313</f>
        <v>c) Solo en fechas especiales</v>
      </c>
      <c r="X313" s="89" t="str">
        <f>Registro!V313</f>
        <v>a) Suelo llevar una cruz o algún objeto religioso, i) Tengo en mi cuarto alguna imagen religiosa</v>
      </c>
      <c r="Y313" s="89" t="str">
        <f>Registro!W313</f>
        <v>a) Deportivo</v>
      </c>
      <c r="Z313" s="89" t="str">
        <f>Registro!X313</f>
        <v>d) No pertenezco a grupos juveniles cristianos</v>
      </c>
      <c r="AA313" s="89" t="str">
        <f>Registro!Y313</f>
        <v>b) No</v>
      </c>
      <c r="AB313" s="89" t="str">
        <f>Registro!Z313</f>
        <v>b) No</v>
      </c>
      <c r="AC313" s="89"/>
      <c r="AD313" s="94">
        <f t="shared" si="27"/>
        <v>0</v>
      </c>
      <c r="AE313" s="89" t="str">
        <f>Registro!AB313</f>
        <v>a) Ganar mucho dinero</v>
      </c>
      <c r="AF313" s="89" t="str">
        <f>Registro!AC313</f>
        <v>e) No sé</v>
      </c>
      <c r="AG313" s="89" t="str">
        <f>Registro!AD313</f>
        <v>a) Los deportes y diversiones, h) Las actividades extraescolares</v>
      </c>
      <c r="AH313" s="94">
        <f t="shared" si="23"/>
        <v>2</v>
      </c>
      <c r="AI313" s="89" t="str">
        <f>Registro!AE313</f>
        <v>a) 0 a 2 horas</v>
      </c>
      <c r="AJ313" s="89" t="str">
        <f>Registro!AF313</f>
        <v>i) Leo revistas o libros, k) Practico algún deporte, l) Escucho música y/o veo videos musicales</v>
      </c>
      <c r="AK313" s="94">
        <f t="shared" si="24"/>
        <v>3</v>
      </c>
      <c r="AL313" s="89" t="str">
        <f>Registro!AG313</f>
        <v>c) Regular</v>
      </c>
      <c r="AM313" s="89" t="str">
        <f>Registro!AH313</f>
        <v>c) Regular</v>
      </c>
      <c r="AN313" s="89" t="str">
        <f>Registro!AI313</f>
        <v>c) Regular</v>
      </c>
      <c r="AO313" s="89" t="str">
        <f>Registro!AJ313</f>
        <v>c) Regular</v>
      </c>
      <c r="AP313" s="89" t="str">
        <f>Registro!AK313</f>
        <v>b) Buena</v>
      </c>
      <c r="AQ313" s="89" t="str">
        <f>Registro!AL313</f>
        <v>b) Buena</v>
      </c>
      <c r="AR313" s="89" t="str">
        <f>Registro!AM313</f>
        <v>c) Regular</v>
      </c>
      <c r="AS313" s="89" t="str">
        <f>Registro!AN313</f>
        <v>c) Regular</v>
      </c>
      <c r="AT313" s="89" t="str">
        <f>Registro!AO313</f>
        <v>d) Mala</v>
      </c>
      <c r="AU313" s="89" t="str">
        <f>Registro!AP313</f>
        <v>b) Buena</v>
      </c>
      <c r="AV313" s="89" t="str">
        <f>Registro!AQ313</f>
        <v>a) Muy buena</v>
      </c>
      <c r="AW313" s="89">
        <f>Registro!AR313</f>
        <v>0</v>
      </c>
      <c r="AX313" s="89">
        <f>Registro!AS313</f>
        <v>0</v>
      </c>
      <c r="AY313" s="89" t="str">
        <f>Registro!AT313</f>
        <v>d) Bastante necesaria</v>
      </c>
      <c r="AZ313" s="89" t="str">
        <f>Registro!AU313</f>
        <v>a) No acostumbro a tomarlo nunca</v>
      </c>
      <c r="BA313" s="89" t="str">
        <f>Registro!AV313</f>
        <v>d) Buenos profesionales de la educación</v>
      </c>
      <c r="BB313" s="89" t="str">
        <f>Registro!AW313</f>
        <v>b) Poco</v>
      </c>
      <c r="BC313" s="89" t="str">
        <f>Registro!AX313</f>
        <v>c) Son personas normales y corrientes</v>
      </c>
      <c r="BD313" s="89" t="str">
        <f>Registro!AY313</f>
        <v>c) Un hermano/a</v>
      </c>
    </row>
    <row r="314" spans="1:56" ht="15" customHeight="1" x14ac:dyDescent="0.25">
      <c r="A314" s="101">
        <f>Registro!A314</f>
        <v>42283.373796296299</v>
      </c>
      <c r="B314" s="89" t="str">
        <f>Registro!B314</f>
        <v>b) Calasanz de Valencia</v>
      </c>
      <c r="C314" s="89" t="str">
        <f>Registro!C314</f>
        <v>a) Primer año</v>
      </c>
      <c r="D314" s="89" t="str">
        <f>Registro!D314</f>
        <v>a) Educación Inicial</v>
      </c>
      <c r="E314" s="89" t="str">
        <f>Registro!E314</f>
        <v>b) Femenino</v>
      </c>
      <c r="F314" s="89" t="str">
        <f>Registro!F314</f>
        <v>a) Católica</v>
      </c>
      <c r="G314" s="89" t="str">
        <f>Registro!G314</f>
        <v>a) Mamá, b) Papá, c) Hermanos</v>
      </c>
      <c r="H314" s="89" t="str">
        <f>Registro!H314</f>
        <v>c) Apartamento</v>
      </c>
      <c r="I314" s="89">
        <f>Registro!I314</f>
        <v>0</v>
      </c>
      <c r="J314" s="89" t="str">
        <f>Registro!J314</f>
        <v>a) Cónsola videojuegos, b) Lavadora, c) Microondas, d) TV pantalla plana, e) Moto, f) MP3, h) Carro, i) Computadora, j) Cámara digital, k) Aire acondicionado</v>
      </c>
      <c r="K314" s="89" t="str">
        <f>Registro!K314</f>
        <v>d) Tres</v>
      </c>
      <c r="L314" s="89" t="str">
        <f>Registro!L314</f>
        <v>a) La familia, c) Los estudios, d) El cuidado de mi cuerpo</v>
      </c>
      <c r="M314" s="94">
        <f t="shared" si="25"/>
        <v>3</v>
      </c>
      <c r="N314" s="89" t="str">
        <f>Registro!M314</f>
        <v>f) La situación política del país</v>
      </c>
      <c r="O314" s="89" t="str">
        <f>Registro!N314</f>
        <v>a) Mucho</v>
      </c>
      <c r="P314" s="89" t="str">
        <f>Registro!O314</f>
        <v>b) Suficiente</v>
      </c>
      <c r="Q314" s="89" t="str">
        <f>Registro!P314</f>
        <v>b) Suficiente</v>
      </c>
      <c r="R314" s="89" t="str">
        <f>Registro!Q314</f>
        <v>a) La familia, c) Los estudios, d) El cuidado de mi cuerpo</v>
      </c>
      <c r="S314" s="94">
        <f t="shared" si="26"/>
        <v>3</v>
      </c>
      <c r="T314" s="89" t="str">
        <f>Registro!R314</f>
        <v>a) Mucho</v>
      </c>
      <c r="U314" s="89" t="str">
        <f>Registro!S314</f>
        <v>a) La Iglesia, b) La naturaleza, j) Todas partes</v>
      </c>
      <c r="V314" s="89" t="str">
        <f>Registro!T314</f>
        <v>a) Suelo rezar por convicción o porque me gusta</v>
      </c>
      <c r="W314" s="89" t="str">
        <f>Registro!U314</f>
        <v>b) Algunos domingos</v>
      </c>
      <c r="X314" s="89" t="str">
        <f>Registro!V314</f>
        <v>c) Suelo ir los domingos y otras fechas especiales a la Iglesia, f) En alguna ocasión he rezado el rosario, i) Tengo en mi cuarto alguna imagen religiosa</v>
      </c>
      <c r="Y314" s="89" t="str">
        <f>Registro!W314</f>
        <v>a) Deportivo</v>
      </c>
      <c r="Z314" s="89" t="str">
        <f>Registro!X314</f>
        <v>d) No pertenezco a grupos juveniles cristianos</v>
      </c>
      <c r="AA314" s="89" t="str">
        <f>Registro!Y314</f>
        <v>b) No</v>
      </c>
      <c r="AB314" s="89" t="str">
        <f>Registro!Z314</f>
        <v>b) No</v>
      </c>
      <c r="AC314" s="89" t="str">
        <f>Registro!AA314</f>
        <v>a) Medicina</v>
      </c>
      <c r="AD314" s="94">
        <f t="shared" si="27"/>
        <v>1</v>
      </c>
      <c r="AE314" s="89" t="str">
        <f>Registro!AB314</f>
        <v>c) Ser un excelente profesional</v>
      </c>
      <c r="AF314" s="89" t="str">
        <f>Registro!AC314</f>
        <v>c) Bastante</v>
      </c>
      <c r="AG314" s="89" t="str">
        <f>Registro!AD314</f>
        <v>b) El ambiente de estudio y de trabajo, c) Las instalaciones del Colegio</v>
      </c>
      <c r="AH314" s="94">
        <f t="shared" si="23"/>
        <v>2</v>
      </c>
      <c r="AI314" s="89" t="str">
        <f>Registro!AE314</f>
        <v>b) 3 a 4 horas</v>
      </c>
      <c r="AJ314" s="89" t="str">
        <f>Registro!AF314</f>
        <v>b) Navego en Internet, d) Estoy la mayor parte del tiempo en la casa sin hacer nada, k) Practico algún deporte</v>
      </c>
      <c r="AK314" s="94">
        <f t="shared" si="24"/>
        <v>3</v>
      </c>
      <c r="AL314" s="89" t="str">
        <f>Registro!AG314</f>
        <v>b) Bueno</v>
      </c>
      <c r="AM314" s="89" t="str">
        <f>Registro!AH314</f>
        <v>b) Buena</v>
      </c>
      <c r="AN314" s="89" t="str">
        <f>Registro!AI314</f>
        <v>b) Buena</v>
      </c>
      <c r="AO314" s="89" t="str">
        <f>Registro!AJ314</f>
        <v>a) Muy buena</v>
      </c>
      <c r="AP314" s="89" t="str">
        <f>Registro!AK314</f>
        <v>b) Buena</v>
      </c>
      <c r="AQ314" s="89" t="str">
        <f>Registro!AL314</f>
        <v>a) Muy buena</v>
      </c>
      <c r="AR314" s="89" t="str">
        <f>Registro!AM314</f>
        <v>a) Muy buena</v>
      </c>
      <c r="AS314" s="89" t="str">
        <f>Registro!AN314</f>
        <v>a) Muy buena</v>
      </c>
      <c r="AT314" s="89" t="str">
        <f>Registro!AO314</f>
        <v>b) Buena</v>
      </c>
      <c r="AU314" s="89" t="str">
        <f>Registro!AP314</f>
        <v>b) Buena</v>
      </c>
      <c r="AV314" s="89" t="str">
        <f>Registro!AQ314</f>
        <v>b) Buena</v>
      </c>
      <c r="AW314" s="89" t="str">
        <f>Registro!AR314</f>
        <v>a) El compañerismo</v>
      </c>
      <c r="AX314" s="89" t="str">
        <f>Registro!AS314</f>
        <v>b) Darme una buena educación</v>
      </c>
      <c r="AY314" s="89" t="str">
        <f>Registro!AT314</f>
        <v>d) Bastante necesaria</v>
      </c>
      <c r="AZ314" s="89" t="str">
        <f>Registro!AU314</f>
        <v>a) No acostumbro a tomarlo nunca</v>
      </c>
      <c r="BA314" s="89" t="str">
        <f>Registro!AV314</f>
        <v>d) Buenos profesionales de la educación</v>
      </c>
      <c r="BB314" s="89" t="str">
        <f>Registro!AW314</f>
        <v>d) Mucho o muchísimo</v>
      </c>
      <c r="BC314" s="89" t="str">
        <f>Registro!AX314</f>
        <v>c) Son personas normales y corrientes</v>
      </c>
      <c r="BD314" s="89" t="str">
        <f>Registro!AY314</f>
        <v>a) Mi padre, b) Mi madre, c) Un hermano/a, g) Un amigo, h) Una amiga</v>
      </c>
    </row>
    <row r="315" spans="1:56" ht="15" customHeight="1" x14ac:dyDescent="0.25">
      <c r="A315" s="101">
        <f>Registro!A315</f>
        <v>42283.374756944446</v>
      </c>
      <c r="B315" s="89" t="str">
        <f>Registro!B315</f>
        <v>b) Calasanz de Valencia</v>
      </c>
      <c r="C315" s="89" t="str">
        <f>Registro!C315</f>
        <v>a) Primer año</v>
      </c>
      <c r="D315" s="89" t="str">
        <f>Registro!D315</f>
        <v>b) Primaria</v>
      </c>
      <c r="E315" s="89" t="str">
        <f>Registro!E315</f>
        <v>a) Masculino</v>
      </c>
      <c r="F315" s="89" t="str">
        <f>Registro!F315</f>
        <v>a) Católica</v>
      </c>
      <c r="G315" s="89" t="str">
        <f>Registro!G315</f>
        <v>a) Mamá, c) Hermanos</v>
      </c>
      <c r="H315" s="89" t="str">
        <f>Registro!H315</f>
        <v>c) Apartamento</v>
      </c>
      <c r="I315" s="89" t="str">
        <f>Registro!I315</f>
        <v>c) Algo</v>
      </c>
      <c r="J315" s="89" t="str">
        <f>Registro!J315</f>
        <v>a) Cónsola videojuegos, b) Lavadora, c) Microondas, d) TV pantalla plana, f) MP3, g) MP4, j) Cámara digital, k) Aire acondicionado</v>
      </c>
      <c r="K315" s="89" t="str">
        <f>Registro!K315</f>
        <v>c) Dos</v>
      </c>
      <c r="L315" s="89" t="str">
        <f>Registro!L315</f>
        <v>a) La familia, g) La felicidad, j) El deporte</v>
      </c>
      <c r="M315" s="94">
        <f t="shared" si="25"/>
        <v>3</v>
      </c>
      <c r="N315" s="89" t="str">
        <f>Registro!M315</f>
        <v>b) El futuro</v>
      </c>
      <c r="O315" s="89" t="str">
        <f>Registro!N315</f>
        <v>a) Mucho</v>
      </c>
      <c r="P315" s="89" t="str">
        <f>Registro!O315</f>
        <v>b) Suficiente</v>
      </c>
      <c r="Q315" s="89" t="str">
        <f>Registro!P315</f>
        <v>c) Poco</v>
      </c>
      <c r="R315" s="89" t="str">
        <f>Registro!Q315</f>
        <v>c) Los estudios, e) Disponer de dinero, g) La felicidad</v>
      </c>
      <c r="S315" s="94">
        <f t="shared" si="26"/>
        <v>3</v>
      </c>
      <c r="T315" s="89" t="str">
        <f>Registro!R315</f>
        <v>a) Mucho</v>
      </c>
      <c r="U315" s="89" t="str">
        <f>Registro!S315</f>
        <v>a) La Iglesia</v>
      </c>
      <c r="V315" s="89" t="str">
        <f>Registro!T315</f>
        <v>b) Rezo por costumbre</v>
      </c>
      <c r="W315" s="89" t="str">
        <f>Registro!U315</f>
        <v>c) Solo en fechas especiales</v>
      </c>
      <c r="X315" s="89" t="str">
        <f>Registro!V315</f>
        <v>d) Suelo orar todos los días, i) Tengo en mi cuarto alguna imagen religiosa</v>
      </c>
      <c r="Y315" s="89" t="str">
        <f>Registro!W315</f>
        <v>a) Deportivo</v>
      </c>
      <c r="Z315" s="89" t="str">
        <f>Registro!X315</f>
        <v>d) No pertenezco a grupos juveniles cristianos</v>
      </c>
      <c r="AA315" s="89" t="str">
        <f>Registro!Y315</f>
        <v>b) No</v>
      </c>
      <c r="AB315" s="89" t="str">
        <f>Registro!Z315</f>
        <v>b) No</v>
      </c>
      <c r="AC315" s="89" t="str">
        <f>Registro!AA315</f>
        <v>i) Comerciante</v>
      </c>
      <c r="AD315" s="94">
        <f t="shared" si="27"/>
        <v>1</v>
      </c>
      <c r="AE315" s="89" t="str">
        <f>Registro!AB315</f>
        <v>a) Ganar mucho dinero</v>
      </c>
      <c r="AF315" s="89" t="str">
        <f>Registro!AC315</f>
        <v>c) Bastante</v>
      </c>
      <c r="AG315" s="89" t="str">
        <f>Registro!AD315</f>
        <v>a) Los deportes y diversiones</v>
      </c>
      <c r="AH315" s="94">
        <f t="shared" si="23"/>
        <v>1</v>
      </c>
      <c r="AI315" s="89" t="str">
        <f>Registro!AE315</f>
        <v>b) 3 a 4 horas</v>
      </c>
      <c r="AJ315" s="89" t="str">
        <f>Registro!AF315</f>
        <v>b) Navego en Internet, k) Practico algún deporte, l) Escucho música y/o veo videos musicales</v>
      </c>
      <c r="AK315" s="94">
        <f t="shared" si="24"/>
        <v>3</v>
      </c>
      <c r="AL315" s="89" t="str">
        <f>Registro!AG315</f>
        <v>b) Bueno</v>
      </c>
      <c r="AM315" s="89" t="str">
        <f>Registro!AH315</f>
        <v>f) No aplica</v>
      </c>
      <c r="AN315" s="89" t="str">
        <f>Registro!AI315</f>
        <v>f) No aplica</v>
      </c>
      <c r="AO315" s="89" t="str">
        <f>Registro!AJ315</f>
        <v>a) Muy buena</v>
      </c>
      <c r="AP315" s="89" t="str">
        <f>Registro!AK315</f>
        <v>f) No aplica</v>
      </c>
      <c r="AQ315" s="89" t="str">
        <f>Registro!AL315</f>
        <v>a) Muy buena</v>
      </c>
      <c r="AR315" s="89" t="str">
        <f>Registro!AM315</f>
        <v>a) Muy buena</v>
      </c>
      <c r="AS315" s="89" t="str">
        <f>Registro!AN315</f>
        <v>b) Buena</v>
      </c>
      <c r="AT315" s="89" t="str">
        <f>Registro!AO315</f>
        <v>b) Buena</v>
      </c>
      <c r="AU315" s="89" t="str">
        <f>Registro!AP315</f>
        <v>a) Muy buena</v>
      </c>
      <c r="AV315" s="89" t="str">
        <f>Registro!AQ315</f>
        <v>b) Buena</v>
      </c>
      <c r="AW315" s="89" t="str">
        <f>Registro!AR315</f>
        <v>h) La responsabilidad social y el servicio a los demás</v>
      </c>
      <c r="AX315" s="89" t="str">
        <f>Registro!AS315</f>
        <v>b) Darme una buena educación</v>
      </c>
      <c r="AY315" s="89" t="str">
        <f>Registro!AT315</f>
        <v>d) Bastante necesaria</v>
      </c>
      <c r="AZ315" s="89" t="str">
        <f>Registro!AU315</f>
        <v>a) No acostumbro a tomarlo nunca</v>
      </c>
      <c r="BA315" s="89" t="str">
        <f>Registro!AV315</f>
        <v>c) Profesionales que hacen lo que pueden</v>
      </c>
      <c r="BB315" s="89" t="str">
        <f>Registro!AW315</f>
        <v>b) Poco</v>
      </c>
      <c r="BC315" s="89" t="str">
        <f>Registro!AX315</f>
        <v>b) Hay de todo tipo, pero predomina lo negativo</v>
      </c>
      <c r="BD315" s="89" t="str">
        <f>Registro!AY315</f>
        <v>a) Mi padre, b) Mi madre, c) Un hermano/a, g) Un amigo, h) Una amiga</v>
      </c>
    </row>
    <row r="316" spans="1:56" ht="15" customHeight="1" x14ac:dyDescent="0.25">
      <c r="A316" s="101">
        <f>Registro!A316</f>
        <v>42283.414988425924</v>
      </c>
      <c r="B316" s="89" t="str">
        <f>Registro!B316</f>
        <v>b) Calasanz de Valencia</v>
      </c>
      <c r="C316" s="89" t="str">
        <f>Registro!C316</f>
        <v>b) Tercer año</v>
      </c>
      <c r="D316" s="89" t="str">
        <f>Registro!D316</f>
        <v>a) Educación Inicial</v>
      </c>
      <c r="E316" s="89" t="str">
        <f>Registro!E316</f>
        <v>a) Masculino</v>
      </c>
      <c r="F316" s="89" t="str">
        <f>Registro!F316</f>
        <v>a) Católica</v>
      </c>
      <c r="G316" s="89" t="str">
        <f>Registro!G316</f>
        <v>a) Mamá, b) Papá, c) Hermanos, d) Abuelos</v>
      </c>
      <c r="H316" s="89" t="str">
        <f>Registro!H316</f>
        <v>c) Apartamento</v>
      </c>
      <c r="I316" s="89" t="str">
        <f>Registro!I316</f>
        <v>a) Sí</v>
      </c>
      <c r="J316" s="89" t="str">
        <f>Registro!J316</f>
        <v>a) Cónsola videojuegos, b) Lavadora, c) Microondas, d) TV pantalla plana, h) Carro, i) Computadora, j) Cámara digital, k) Aire acondicionado</v>
      </c>
      <c r="K316" s="89" t="str">
        <f>Registro!K316</f>
        <v>c) Dos</v>
      </c>
      <c r="L316" s="89" t="str">
        <f>Registro!L316</f>
        <v>a) La familia, b) Los amigos, c) Los estudios</v>
      </c>
      <c r="M316" s="94">
        <f t="shared" si="25"/>
        <v>3</v>
      </c>
      <c r="N316" s="89" t="str">
        <f>Registro!M316</f>
        <v>b) El futuro</v>
      </c>
      <c r="O316" s="89" t="str">
        <f>Registro!N316</f>
        <v>a) Mucho</v>
      </c>
      <c r="P316" s="89" t="str">
        <f>Registro!O316</f>
        <v>b) Suficiente</v>
      </c>
      <c r="Q316" s="89" t="str">
        <f>Registro!P316</f>
        <v>b) Suficiente</v>
      </c>
      <c r="R316" s="89" t="str">
        <f>Registro!Q316</f>
        <v>a) La familia, c) Los estudios, g) La felicidad</v>
      </c>
      <c r="S316" s="94">
        <f t="shared" si="26"/>
        <v>3</v>
      </c>
      <c r="T316" s="89">
        <f>Registro!R316</f>
        <v>0</v>
      </c>
      <c r="U316" s="89" t="str">
        <f>Registro!S316</f>
        <v>a) La Iglesia, c) El salón de clase, d) Las convivencias, e) Los amigos, g) Mi familia, i) Los necesitados, k) La oración, l) Los sacramentos</v>
      </c>
      <c r="V316" s="89" t="str">
        <f>Registro!T316</f>
        <v>a) Suelo rezar por convicción o porque me gusta</v>
      </c>
      <c r="W316" s="89" t="str">
        <f>Registro!U316</f>
        <v>c) Solo en fechas especiales</v>
      </c>
      <c r="X316" s="89" t="str">
        <f>Registro!V316</f>
        <v>e) Voy a misa en las fechas de mis familiares difuntos, f) En alguna ocasión he rezado el rosario</v>
      </c>
      <c r="Y316" s="89" t="str">
        <f>Registro!W316</f>
        <v>d) No pertenezco a ninguno</v>
      </c>
      <c r="Z316" s="89" t="str">
        <f>Registro!X316</f>
        <v>a) Un grupo donde profundizo mi fe</v>
      </c>
      <c r="AA316" s="89" t="str">
        <f>Registro!Y316</f>
        <v>b) No</v>
      </c>
      <c r="AB316" s="89" t="str">
        <f>Registro!Z316</f>
        <v>b) No</v>
      </c>
      <c r="AC316" s="89" t="str">
        <f>Registro!AA316</f>
        <v>a) Medicina, i) Comerciante</v>
      </c>
      <c r="AD316" s="94">
        <f t="shared" si="27"/>
        <v>2</v>
      </c>
      <c r="AE316" s="89" t="str">
        <f>Registro!AB316</f>
        <v>e) Servir a los demás</v>
      </c>
      <c r="AF316" s="89" t="str">
        <f>Registro!AC316</f>
        <v>d) Mucho o muchísimo</v>
      </c>
      <c r="AG316" s="89" t="str">
        <f>Registro!AD316</f>
        <v>b) El ambiente de estudio y de trabajo, c) Las instalaciones del Colegio</v>
      </c>
      <c r="AH316" s="94">
        <f t="shared" si="23"/>
        <v>2</v>
      </c>
      <c r="AI316" s="89" t="str">
        <f>Registro!AE316</f>
        <v>d) 7 a 8 horas</v>
      </c>
      <c r="AJ316" s="89" t="str">
        <f>Registro!AF316</f>
        <v>b) Navego en Internet, l) Escucho música y/o veo videos musicales, n) Estoy conversando con los amigos/as</v>
      </c>
      <c r="AK316" s="94">
        <f t="shared" si="24"/>
        <v>3</v>
      </c>
      <c r="AL316" s="89" t="str">
        <f>Registro!AG316</f>
        <v>a) Muy bueno</v>
      </c>
      <c r="AM316" s="89" t="str">
        <f>Registro!AH316</f>
        <v>c) Regular</v>
      </c>
      <c r="AN316" s="89">
        <f>Registro!AI316</f>
        <v>0</v>
      </c>
      <c r="AO316" s="89" t="str">
        <f>Registro!AJ316</f>
        <v>a) Muy buena</v>
      </c>
      <c r="AP316" s="89" t="str">
        <f>Registro!AK316</f>
        <v>b) Buena</v>
      </c>
      <c r="AQ316" s="89" t="str">
        <f>Registro!AL316</f>
        <v>a) Muy buena</v>
      </c>
      <c r="AR316" s="89" t="str">
        <f>Registro!AM316</f>
        <v>a) Muy buena</v>
      </c>
      <c r="AS316" s="89" t="str">
        <f>Registro!AN316</f>
        <v>b) Buena</v>
      </c>
      <c r="AT316" s="89" t="str">
        <f>Registro!AO316</f>
        <v>a) Muy buena</v>
      </c>
      <c r="AU316" s="89">
        <f>Registro!AP316</f>
        <v>0</v>
      </c>
      <c r="AV316" s="89">
        <f>Registro!AQ316</f>
        <v>0</v>
      </c>
      <c r="AW316" s="89" t="str">
        <f>Registro!AR316</f>
        <v>b) La orientación cristiana</v>
      </c>
      <c r="AX316" s="89" t="str">
        <f>Registro!AS316</f>
        <v>a) Que sea un buen profesional</v>
      </c>
      <c r="AY316" s="89" t="str">
        <f>Registro!AT316</f>
        <v>e) Absolutamente necesaria</v>
      </c>
      <c r="AZ316" s="89" t="str">
        <f>Registro!AU316</f>
        <v>b) Las veces que bebo, es con moderación</v>
      </c>
      <c r="BA316" s="89" t="str">
        <f>Registro!AV316</f>
        <v>f) Educadores que, además, me han abierto caminos</v>
      </c>
      <c r="BB316" s="89" t="str">
        <f>Registro!AW316</f>
        <v>d) Mucho o muchísimo</v>
      </c>
      <c r="BC316" s="89" t="str">
        <f>Registro!AX316</f>
        <v>c) Son personas normales y corrientes</v>
      </c>
      <c r="BD316" s="89" t="str">
        <f>Registro!AY316</f>
        <v>g) Un amigo, h) Una amiga</v>
      </c>
    </row>
    <row r="317" spans="1:56" ht="15" customHeight="1" x14ac:dyDescent="0.25">
      <c r="A317" s="101">
        <f>Registro!A317</f>
        <v>42283.41615740741</v>
      </c>
      <c r="B317" s="89" t="str">
        <f>Registro!B317</f>
        <v>b) Calasanz de Valencia</v>
      </c>
      <c r="C317" s="89" t="str">
        <f>Registro!C317</f>
        <v>b) Tercer año</v>
      </c>
      <c r="D317" s="89" t="str">
        <f>Registro!D317</f>
        <v>a) Educación Inicial</v>
      </c>
      <c r="E317" s="89" t="str">
        <f>Registro!E317</f>
        <v>b) Femenino</v>
      </c>
      <c r="F317" s="89" t="str">
        <f>Registro!F317</f>
        <v>a) Católica</v>
      </c>
      <c r="G317" s="89" t="str">
        <f>Registro!G317</f>
        <v>a) Mamá, b) Papá, d) Abuelos</v>
      </c>
      <c r="H317" s="89" t="str">
        <f>Registro!H317</f>
        <v>a) Quinta</v>
      </c>
      <c r="I317" s="89" t="str">
        <f>Registro!I317</f>
        <v>a) Sí</v>
      </c>
      <c r="J317" s="89" t="str">
        <f>Registro!J317</f>
        <v>a) Cónsola videojuegos, b) Lavadora, d) TV pantalla plana, f) MP3, g) MP4, h) Carro, i) Computadora, j) Cámara digital, k) Aire acondicionado</v>
      </c>
      <c r="K317" s="89" t="str">
        <f>Registro!K317</f>
        <v>d) Tres</v>
      </c>
      <c r="L317" s="89" t="str">
        <f>Registro!L317</f>
        <v>a) La familia, b) Los amigos, f) Mi fe y vida cristiana</v>
      </c>
      <c r="M317" s="94">
        <f t="shared" si="25"/>
        <v>3</v>
      </c>
      <c r="N317" s="89" t="str">
        <f>Registro!M317</f>
        <v>f) La situación política del país</v>
      </c>
      <c r="O317" s="89" t="str">
        <f>Registro!N317</f>
        <v>a) Mucho</v>
      </c>
      <c r="P317" s="89" t="str">
        <f>Registro!O317</f>
        <v>c) Poco</v>
      </c>
      <c r="Q317" s="89" t="str">
        <f>Registro!P317</f>
        <v>a) Mucho</v>
      </c>
      <c r="R317" s="89" t="str">
        <f>Registro!Q317</f>
        <v>a) La familia, c) Los estudios, f) Mi fe y mi vida cristiana</v>
      </c>
      <c r="S317" s="94">
        <f t="shared" si="26"/>
        <v>3</v>
      </c>
      <c r="T317" s="89" t="str">
        <f>Registro!R317</f>
        <v>a) Mucho</v>
      </c>
      <c r="U317" s="89" t="str">
        <f>Registro!S317</f>
        <v>a) La Iglesia, d) Las convivencias, g) Mi familia, h) Algunas personas cercanas a Dios, k) La oración, l) Los sacramentos</v>
      </c>
      <c r="V317" s="89" t="str">
        <f>Registro!T317</f>
        <v>a) Suelo rezar por convicción o porque me gusta</v>
      </c>
      <c r="W317" s="89" t="str">
        <f>Registro!U317</f>
        <v>a) Todos los domingos</v>
      </c>
      <c r="X317" s="89" t="str">
        <f>Registro!V317</f>
        <v>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317" s="89" t="str">
        <f>Registro!W317</f>
        <v>b) Cultural (folklórico, musicales, danzas, scout, banda marcial,...) , c) Religioso o parroquial</v>
      </c>
      <c r="Z317" s="89" t="str">
        <f>Registro!X317</f>
        <v>a) Un grupo donde profundizo mi fe</v>
      </c>
      <c r="AA317" s="89" t="str">
        <f>Registro!Y317</f>
        <v>b) No</v>
      </c>
      <c r="AB317" s="89" t="str">
        <f>Registro!Z317</f>
        <v>b) No</v>
      </c>
      <c r="AC317" s="89" t="str">
        <f>Registro!AA317</f>
        <v>e) Derecho, g) Artista</v>
      </c>
      <c r="AD317" s="94">
        <f t="shared" si="27"/>
        <v>2</v>
      </c>
      <c r="AE317" s="89" t="str">
        <f>Registro!AB317</f>
        <v>c) Ser un excelente profesional</v>
      </c>
      <c r="AF317" s="89" t="str">
        <f>Registro!AC317</f>
        <v>e) No sé</v>
      </c>
      <c r="AG317" s="89" t="str">
        <f>Registro!AD317</f>
        <v>b) El ambiente de estudio y de trabajo, c) Las instalaciones del Colegio</v>
      </c>
      <c r="AH317" s="94">
        <f t="shared" si="23"/>
        <v>2</v>
      </c>
      <c r="AI317" s="89" t="str">
        <f>Registro!AE317</f>
        <v>c) 5 a 6 horas</v>
      </c>
      <c r="AJ317" s="89" t="str">
        <f>Registro!AF317</f>
        <v>g) Suelo ir a discotecas o a fiestas, j) Estoy en algún grupo juvenil, n) Estoy conversando con los amigos/as</v>
      </c>
      <c r="AK317" s="94">
        <f t="shared" si="24"/>
        <v>3</v>
      </c>
      <c r="AL317" s="89" t="str">
        <f>Registro!AG317</f>
        <v>b) Bueno</v>
      </c>
      <c r="AM317" s="89" t="str">
        <f>Registro!AH317</f>
        <v>c) Regular</v>
      </c>
      <c r="AN317" s="89" t="str">
        <f>Registro!AI317</f>
        <v>b) Buena</v>
      </c>
      <c r="AO317" s="89" t="str">
        <f>Registro!AJ317</f>
        <v>b) Buena</v>
      </c>
      <c r="AP317" s="89" t="str">
        <f>Registro!AK317</f>
        <v>f) No aplica</v>
      </c>
      <c r="AQ317" s="89" t="str">
        <f>Registro!AL317</f>
        <v>a) Muy buena</v>
      </c>
      <c r="AR317" s="89" t="str">
        <f>Registro!AM317</f>
        <v>a) Muy buena</v>
      </c>
      <c r="AS317" s="89" t="str">
        <f>Registro!AN317</f>
        <v>b) Buena</v>
      </c>
      <c r="AT317" s="89" t="str">
        <f>Registro!AO317</f>
        <v>a) Muy buena</v>
      </c>
      <c r="AU317" s="89" t="str">
        <f>Registro!AP317</f>
        <v>a) Muy buena</v>
      </c>
      <c r="AV317" s="89" t="str">
        <f>Registro!AQ317</f>
        <v>b) Buena</v>
      </c>
      <c r="AW317" s="89" t="str">
        <f>Registro!AR317</f>
        <v>a) El compañerismo</v>
      </c>
      <c r="AX317" s="89" t="str">
        <f>Registro!AS317</f>
        <v>b) Darme una buena educación</v>
      </c>
      <c r="AY317" s="89" t="str">
        <f>Registro!AT317</f>
        <v>e) Absolutamente necesaria</v>
      </c>
      <c r="AZ317" s="89" t="str">
        <f>Registro!AU317</f>
        <v>c) Alguna vez he bebido más de la cuenta</v>
      </c>
      <c r="BA317" s="89" t="str">
        <f>Registro!AV317</f>
        <v>c) Profesionales que hacen lo que pueden</v>
      </c>
      <c r="BB317" s="89" t="str">
        <f>Registro!AW317</f>
        <v>c) Bastante</v>
      </c>
      <c r="BC317" s="89" t="str">
        <f>Registro!AX317</f>
        <v>d) Hay de todo tipo, pero predomina lo positivo</v>
      </c>
      <c r="BD317" s="89" t="str">
        <f>Registro!AY317</f>
        <v>a) Mi padre, b) Mi madre, g) Un amigo, h) Una amiga</v>
      </c>
    </row>
    <row r="318" spans="1:56" ht="15" customHeight="1" x14ac:dyDescent="0.25">
      <c r="A318" s="101">
        <f>Registro!A318</f>
        <v>42283.416168981479</v>
      </c>
      <c r="B318" s="89" t="str">
        <f>Registro!B318</f>
        <v>b) Calasanz de Valencia</v>
      </c>
      <c r="C318" s="89" t="str">
        <f>Registro!C318</f>
        <v>b) Tercer año</v>
      </c>
      <c r="D318" s="89" t="str">
        <f>Registro!D318</f>
        <v>a) Educación Inicial</v>
      </c>
      <c r="E318" s="89" t="str">
        <f>Registro!E318</f>
        <v>b) Femenino</v>
      </c>
      <c r="F318" s="89" t="str">
        <f>Registro!F318</f>
        <v>a) Católica</v>
      </c>
      <c r="G318" s="89" t="str">
        <f>Registro!G318</f>
        <v>a) Mamá, b) Papá, c) Hermanos</v>
      </c>
      <c r="H318" s="89" t="str">
        <f>Registro!H318</f>
        <v>a) Quinta</v>
      </c>
      <c r="I318" s="89" t="str">
        <f>Registro!I318</f>
        <v>a) Sí</v>
      </c>
      <c r="J318" s="89" t="str">
        <f>Registro!J318</f>
        <v>a) Cónsola videojuegos, b) Lavadora, c) Microondas, d) TV pantalla plana, e) Moto, f) MP3, g) MP4, h) Carro, i) Computadora, j) Cámara digital, k) Aire acondicionado</v>
      </c>
      <c r="K318" s="89" t="str">
        <f>Registro!K318</f>
        <v>b) Una</v>
      </c>
      <c r="L318" s="89" t="str">
        <f>Registro!L318</f>
        <v>a) La familia, c) Los estudios, g) La felicidad</v>
      </c>
      <c r="M318" s="94">
        <f t="shared" si="25"/>
        <v>3</v>
      </c>
      <c r="N318" s="89" t="str">
        <f>Registro!M318</f>
        <v>b) El futuro</v>
      </c>
      <c r="O318" s="89" t="str">
        <f>Registro!N318</f>
        <v>a) Mucho</v>
      </c>
      <c r="P318" s="89" t="str">
        <f>Registro!O318</f>
        <v>b) Suficiente</v>
      </c>
      <c r="Q318" s="89" t="str">
        <f>Registro!P318</f>
        <v>c) Poco</v>
      </c>
      <c r="R318" s="89" t="str">
        <f>Registro!Q318</f>
        <v>a) La familia, c) Los estudios, g) La felicidad</v>
      </c>
      <c r="S318" s="94">
        <f t="shared" si="26"/>
        <v>3</v>
      </c>
      <c r="T318" s="89" t="str">
        <f>Registro!R318</f>
        <v>a) Mucho</v>
      </c>
      <c r="U318" s="89" t="str">
        <f>Registro!S318</f>
        <v>j) Todas partes</v>
      </c>
      <c r="V318" s="89" t="str">
        <f>Registro!T318</f>
        <v>c) Rezo solo en situación de dificultad</v>
      </c>
      <c r="W318" s="89" t="str">
        <f>Registro!U318</f>
        <v>c) Solo en fechas especiales</v>
      </c>
      <c r="X318" s="89" t="str">
        <f>Registro!V318</f>
        <v>i) Tengo en mi cuarto alguna imagen religiosa</v>
      </c>
      <c r="Y318" s="89" t="str">
        <f>Registro!W318</f>
        <v xml:space="preserve">b) Cultural (folklórico, musicales, danzas, scout, banda marcial,...) </v>
      </c>
      <c r="Z318" s="89" t="str">
        <f>Registro!X318</f>
        <v>d) No pertenezco a grupos juveniles cristianos</v>
      </c>
      <c r="AA318" s="89" t="str">
        <f>Registro!Y318</f>
        <v>b) No</v>
      </c>
      <c r="AB318" s="89" t="str">
        <f>Registro!Z318</f>
        <v>b) No</v>
      </c>
      <c r="AC318" s="89" t="str">
        <f>Registro!AA318</f>
        <v>a) Medicina, i) Comerciante</v>
      </c>
      <c r="AD318" s="94">
        <f t="shared" si="27"/>
        <v>2</v>
      </c>
      <c r="AE318" s="89" t="str">
        <f>Registro!AB318</f>
        <v>e) Servir a los demás</v>
      </c>
      <c r="AF318" s="89" t="str">
        <f>Registro!AC318</f>
        <v>e) No sé</v>
      </c>
      <c r="AG318" s="89" t="str">
        <f>Registro!AD318</f>
        <v>b) El ambiente de estudio y de trabajo</v>
      </c>
      <c r="AH318" s="94">
        <f t="shared" si="23"/>
        <v>1</v>
      </c>
      <c r="AI318" s="89" t="str">
        <f>Registro!AE318</f>
        <v>c) 5 a 6 horas</v>
      </c>
      <c r="AJ318" s="89" t="str">
        <f>Registro!AF318</f>
        <v>k) Practico algún deporte, n) Estoy conversando con los amigos/as</v>
      </c>
      <c r="AK318" s="94">
        <f t="shared" si="24"/>
        <v>2</v>
      </c>
      <c r="AL318" s="89" t="str">
        <f>Registro!AG318</f>
        <v>e) Muy deficiente</v>
      </c>
      <c r="AM318" s="89" t="str">
        <f>Registro!AH318</f>
        <v>f) No aplica</v>
      </c>
      <c r="AN318" s="89" t="str">
        <f>Registro!AI318</f>
        <v>f) No aplica</v>
      </c>
      <c r="AO318" s="89" t="str">
        <f>Registro!AJ318</f>
        <v>c) Regular</v>
      </c>
      <c r="AP318" s="89" t="str">
        <f>Registro!AK318</f>
        <v>f) No aplica</v>
      </c>
      <c r="AQ318" s="89" t="str">
        <f>Registro!AL318</f>
        <v>b) Buena</v>
      </c>
      <c r="AR318" s="89" t="str">
        <f>Registro!AM318</f>
        <v>d) Mala</v>
      </c>
      <c r="AS318" s="89" t="str">
        <f>Registro!AN318</f>
        <v>c) Regular</v>
      </c>
      <c r="AT318" s="89" t="str">
        <f>Registro!AO318</f>
        <v>b) Buena</v>
      </c>
      <c r="AU318" s="89" t="str">
        <f>Registro!AP318</f>
        <v>c) Regular</v>
      </c>
      <c r="AV318" s="89" t="str">
        <f>Registro!AQ318</f>
        <v>c) Regular</v>
      </c>
      <c r="AW318" s="89" t="str">
        <f>Registro!AR318</f>
        <v>b) La orientación cristiana</v>
      </c>
      <c r="AX318" s="89" t="str">
        <f>Registro!AS318</f>
        <v>a) Que sea un buen profesional</v>
      </c>
      <c r="AY318" s="89" t="str">
        <f>Registro!AT318</f>
        <v>c) Conveniente</v>
      </c>
      <c r="AZ318" s="89" t="str">
        <f>Registro!AU318</f>
        <v>a) No acostumbro a tomarlo nunca</v>
      </c>
      <c r="BA318" s="89" t="str">
        <f>Registro!AV318</f>
        <v>d) Buenos profesionales de la educación</v>
      </c>
      <c r="BB318" s="89" t="str">
        <f>Registro!AW318</f>
        <v>b) Poco</v>
      </c>
      <c r="BC318" s="89" t="str">
        <f>Registro!AX318</f>
        <v>c) Son personas normales y corrientes</v>
      </c>
      <c r="BD318" s="89" t="str">
        <f>Registro!AY318</f>
        <v>a) Mi padre, b) Mi madre, c) Un hermano/a, h) Una amiga</v>
      </c>
    </row>
    <row r="319" spans="1:56" ht="15" customHeight="1" x14ac:dyDescent="0.25">
      <c r="A319" s="101">
        <f>Registro!A319</f>
        <v>42283.416550925926</v>
      </c>
      <c r="B319" s="89" t="str">
        <f>Registro!B319</f>
        <v>b) Calasanz de Valencia</v>
      </c>
      <c r="C319" s="89" t="str">
        <f>Registro!C319</f>
        <v>b) Tercer año</v>
      </c>
      <c r="D319" s="89" t="str">
        <f>Registro!D319</f>
        <v>b) Primaria</v>
      </c>
      <c r="E319" s="89" t="str">
        <f>Registro!E319</f>
        <v>a) Masculino</v>
      </c>
      <c r="F319" s="89" t="str">
        <f>Registro!F319</f>
        <v>a) Católica</v>
      </c>
      <c r="G319" s="89" t="str">
        <f>Registro!G319</f>
        <v>a) Mamá, b) Papá, c) Hermanos, d) Abuelos, e) Otros familiares</v>
      </c>
      <c r="H319" s="89" t="str">
        <f>Registro!H319</f>
        <v>c) Apartamento</v>
      </c>
      <c r="I319" s="89" t="str">
        <f>Registro!I319</f>
        <v>a) Sí</v>
      </c>
      <c r="J319" s="89" t="str">
        <f>Registro!J319</f>
        <v>a) Cónsola videojuegos, b) Lavadora, c) Microondas, d) TV pantalla plana, h) Carro, i) Computadora, k) Aire acondicionado</v>
      </c>
      <c r="K319" s="89" t="str">
        <f>Registro!K319</f>
        <v>b) Una</v>
      </c>
      <c r="L319" s="89" t="str">
        <f>Registro!L319</f>
        <v>a) La familia, c) Los estudios, j) El deporte</v>
      </c>
      <c r="M319" s="94">
        <f t="shared" si="25"/>
        <v>3</v>
      </c>
      <c r="N319" s="89" t="str">
        <f>Registro!M319</f>
        <v>b) El futuro</v>
      </c>
      <c r="O319" s="89" t="str">
        <f>Registro!N319</f>
        <v>b) Suficiente</v>
      </c>
      <c r="P319" s="89" t="str">
        <f>Registro!O319</f>
        <v>c) Poco</v>
      </c>
      <c r="Q319" s="89" t="str">
        <f>Registro!P319</f>
        <v>b) Suficiente</v>
      </c>
      <c r="R319" s="89" t="str">
        <f>Registro!Q319</f>
        <v>a) La familia, c) Los estudios, j) El deporte</v>
      </c>
      <c r="S319" s="94">
        <f t="shared" si="26"/>
        <v>3</v>
      </c>
      <c r="T319" s="89" t="str">
        <f>Registro!R319</f>
        <v>a) Mucho</v>
      </c>
      <c r="U319" s="89" t="str">
        <f>Registro!S319</f>
        <v>a) La Iglesia, e) Los amigos, g) Mi familia</v>
      </c>
      <c r="V319" s="89" t="str">
        <f>Registro!T319</f>
        <v>b) Rezo por costumbre</v>
      </c>
      <c r="W319" s="89" t="str">
        <f>Registro!U319</f>
        <v>b) Algunos domingos</v>
      </c>
      <c r="X319" s="89" t="str">
        <f>Registro!V319</f>
        <v>a) Suelo llevar una cruz o algún objeto religioso, c) Suelo ir los domingos y otras fechas especiales a la Iglesia, i) Tengo en mi cuarto alguna imagen religiosa</v>
      </c>
      <c r="Y319" s="89" t="str">
        <f>Registro!W319</f>
        <v>a) Deportivo</v>
      </c>
      <c r="Z319" s="89">
        <f>Registro!X319</f>
        <v>0</v>
      </c>
      <c r="AA319" s="89" t="str">
        <f>Registro!Y319</f>
        <v>b) No</v>
      </c>
      <c r="AB319" s="89" t="str">
        <f>Registro!Z319</f>
        <v>b) No</v>
      </c>
      <c r="AC319" s="89" t="str">
        <f>Registro!AA319</f>
        <v>d) Ingeniería, e) Derecho</v>
      </c>
      <c r="AD319" s="94">
        <f t="shared" si="27"/>
        <v>2</v>
      </c>
      <c r="AE319" s="89" t="str">
        <f>Registro!AB319</f>
        <v>e) Servir a los demás</v>
      </c>
      <c r="AF319" s="89" t="str">
        <f>Registro!AC319</f>
        <v>c) Bastante</v>
      </c>
      <c r="AG319" s="89" t="str">
        <f>Registro!AD319</f>
        <v>a) Los deportes y diversiones, h) Las actividades extraescolares</v>
      </c>
      <c r="AH319" s="94">
        <f t="shared" si="23"/>
        <v>2</v>
      </c>
      <c r="AI319" s="89" t="str">
        <f>Registro!AE319</f>
        <v>b) 3 a 4 horas</v>
      </c>
      <c r="AJ319" s="89" t="str">
        <f>Registro!AF319</f>
        <v>d) Estoy la mayor parte del tiempo en la casa sin hacer nada, g) Suelo ir a discotecas o a fiestas, k) Practico algún deporte</v>
      </c>
      <c r="AK319" s="94">
        <f t="shared" si="24"/>
        <v>3</v>
      </c>
      <c r="AL319" s="89" t="str">
        <f>Registro!AG319</f>
        <v>c) Regular</v>
      </c>
      <c r="AM319" s="89" t="str">
        <f>Registro!AH319</f>
        <v>c) Regular</v>
      </c>
      <c r="AN319" s="89" t="str">
        <f>Registro!AI319</f>
        <v>c) Regular</v>
      </c>
      <c r="AO319" s="89" t="str">
        <f>Registro!AJ319</f>
        <v>b) Buena</v>
      </c>
      <c r="AP319" s="89" t="str">
        <f>Registro!AK319</f>
        <v>b) Buena</v>
      </c>
      <c r="AQ319" s="89" t="str">
        <f>Registro!AL319</f>
        <v>b) Buena</v>
      </c>
      <c r="AR319" s="89" t="str">
        <f>Registro!AM319</f>
        <v>a) Muy buena</v>
      </c>
      <c r="AS319" s="89" t="str">
        <f>Registro!AN319</f>
        <v>b) Buena</v>
      </c>
      <c r="AT319" s="89" t="str">
        <f>Registro!AO319</f>
        <v>b) Buena</v>
      </c>
      <c r="AU319" s="89" t="str">
        <f>Registro!AP319</f>
        <v>b) Buena</v>
      </c>
      <c r="AV319" s="89" t="str">
        <f>Registro!AQ319</f>
        <v>b) Buena</v>
      </c>
      <c r="AW319" s="89" t="str">
        <f>Registro!AR319</f>
        <v>h) La responsabilidad social y el servicio a los demás</v>
      </c>
      <c r="AX319" s="89">
        <f>Registro!AS319</f>
        <v>0</v>
      </c>
      <c r="AY319" s="89" t="str">
        <f>Registro!AT319</f>
        <v>d) Bastante necesaria</v>
      </c>
      <c r="AZ319" s="89" t="str">
        <f>Registro!AU319</f>
        <v>a) No acostumbro a tomarlo nunca</v>
      </c>
      <c r="BA319" s="89" t="str">
        <f>Registro!AV319</f>
        <v>c) Profesionales que hacen lo que pueden</v>
      </c>
      <c r="BB319" s="89" t="str">
        <f>Registro!AW319</f>
        <v>b) Poco</v>
      </c>
      <c r="BC319" s="89" t="str">
        <f>Registro!AX319</f>
        <v>d) Hay de todo tipo, pero predomina lo positivo</v>
      </c>
      <c r="BD319" s="89" t="str">
        <f>Registro!AY319</f>
        <v>a) Mi padre, b) Mi madre, c) Un hermano/a, g) Un amigo, h) Una amiga</v>
      </c>
    </row>
    <row r="320" spans="1:56" ht="15" customHeight="1" x14ac:dyDescent="0.25">
      <c r="A320" s="101">
        <f>Registro!A320</f>
        <v>42283.416898148149</v>
      </c>
      <c r="B320" s="89" t="str">
        <f>Registro!B320</f>
        <v>b) Calasanz de Valencia</v>
      </c>
      <c r="C320" s="89" t="str">
        <f>Registro!C320</f>
        <v>b) Tercer año</v>
      </c>
      <c r="D320" s="89" t="str">
        <f>Registro!D320</f>
        <v>b) Primaria</v>
      </c>
      <c r="E320" s="89" t="str">
        <f>Registro!E320</f>
        <v>b) Femenino</v>
      </c>
      <c r="F320" s="89" t="str">
        <f>Registro!F320</f>
        <v>a) Católica</v>
      </c>
      <c r="G320" s="89" t="str">
        <f>Registro!G320</f>
        <v>a) Mamá, b) Papá, c) Hermanos</v>
      </c>
      <c r="H320" s="89" t="str">
        <f>Registro!H320</f>
        <v>c) Apartamento</v>
      </c>
      <c r="I320" s="89" t="str">
        <f>Registro!I320</f>
        <v>a) Sí</v>
      </c>
      <c r="J320" s="89" t="str">
        <f>Registro!J320</f>
        <v>a) Cónsola videojuegos, b) Lavadora, c) Microondas, d) TV pantalla plana, h) Carro, i) Computadora, k) Aire acondicionado</v>
      </c>
      <c r="K320" s="89" t="str">
        <f>Registro!K320</f>
        <v>f) Más de cuatro</v>
      </c>
      <c r="L320" s="89"/>
      <c r="M320" s="94">
        <f t="shared" si="25"/>
        <v>0</v>
      </c>
      <c r="N320" s="89" t="str">
        <f>Registro!M320</f>
        <v>f) La situación política del país</v>
      </c>
      <c r="O320" s="89" t="str">
        <f>Registro!N320</f>
        <v>a) Mucho</v>
      </c>
      <c r="P320" s="89" t="str">
        <f>Registro!O320</f>
        <v>b) Suficiente</v>
      </c>
      <c r="Q320" s="89" t="str">
        <f>Registro!P320</f>
        <v>b) Suficiente</v>
      </c>
      <c r="R320" s="89" t="str">
        <f>Registro!Q320</f>
        <v>a) La familia, c) Los estudios, g) La felicidad</v>
      </c>
      <c r="S320" s="94">
        <f t="shared" si="26"/>
        <v>3</v>
      </c>
      <c r="T320" s="89" t="str">
        <f>Registro!R320</f>
        <v>a) Mucho</v>
      </c>
      <c r="U320" s="89" t="str">
        <f>Registro!S320</f>
        <v>a) La Iglesia, b) La naturaleza, d) Las convivencias, g) Mi familia, h) Algunas personas cercanas a Dios, i) Los necesitados, k) La oración</v>
      </c>
      <c r="V320" s="89" t="str">
        <f>Registro!T320</f>
        <v>b) Rezo por costumbre</v>
      </c>
      <c r="W320" s="89" t="str">
        <f>Registro!U320</f>
        <v>b) Algunos domingos</v>
      </c>
      <c r="X320" s="89" t="str">
        <f>Registro!V320</f>
        <v>c) Suelo ir los domingos y otras fechas especiales a la Iglesia, d) Suelo orar todos los días, e) Voy a misa en las fechas de mis familiares difuntos, g) En ocasiones, en mi casa tenemos una oración familiar, i) Tengo en mi cuarto alguna imagen religiosa</v>
      </c>
      <c r="Y320" s="89" t="str">
        <f>Registro!W320</f>
        <v>a) Deportivo</v>
      </c>
      <c r="Z320" s="89" t="str">
        <f>Registro!X320</f>
        <v>d) No pertenezco a grupos juveniles cristianos</v>
      </c>
      <c r="AA320" s="89" t="str">
        <f>Registro!Y320</f>
        <v>c) Algo</v>
      </c>
      <c r="AB320" s="89" t="str">
        <f>Registro!Z320</f>
        <v>b) No</v>
      </c>
      <c r="AC320" s="89" t="str">
        <f>Registro!AA320</f>
        <v>b) Docencia, g) Artista</v>
      </c>
      <c r="AD320" s="94">
        <f t="shared" si="27"/>
        <v>2</v>
      </c>
      <c r="AE320" s="89" t="str">
        <f>Registro!AB320</f>
        <v>b) Tener una buena posición social, ser importante</v>
      </c>
      <c r="AF320" s="89" t="str">
        <f>Registro!AC320</f>
        <v>c) Bastante</v>
      </c>
      <c r="AG320" s="89"/>
      <c r="AH320" s="94">
        <f t="shared" si="23"/>
        <v>0</v>
      </c>
      <c r="AI320" s="89" t="str">
        <f>Registro!AE320</f>
        <v>d) 7 a 8 horas</v>
      </c>
      <c r="AJ320" s="89" t="str">
        <f>Registro!AF320</f>
        <v>k) Practico algún deporte, l) Escucho música y/o veo videos musicales, m) Veo televisión y/o películas</v>
      </c>
      <c r="AK320" s="94">
        <f t="shared" si="24"/>
        <v>3</v>
      </c>
      <c r="AL320" s="89" t="str">
        <f>Registro!AG320</f>
        <v>b) Bueno</v>
      </c>
      <c r="AM320" s="89" t="str">
        <f>Registro!AH320</f>
        <v>c) Regular</v>
      </c>
      <c r="AN320" s="89" t="str">
        <f>Registro!AI320</f>
        <v>c) Regular</v>
      </c>
      <c r="AO320" s="89" t="str">
        <f>Registro!AJ320</f>
        <v>c) Regular</v>
      </c>
      <c r="AP320" s="89" t="str">
        <f>Registro!AK320</f>
        <v>b) Buena</v>
      </c>
      <c r="AQ320" s="89" t="str">
        <f>Registro!AL320</f>
        <v>b) Buena</v>
      </c>
      <c r="AR320" s="89" t="str">
        <f>Registro!AM320</f>
        <v>b) Buena</v>
      </c>
      <c r="AS320" s="89" t="str">
        <f>Registro!AN320</f>
        <v>b) Buena</v>
      </c>
      <c r="AT320" s="89" t="str">
        <f>Registro!AO320</f>
        <v>a) Muy buena</v>
      </c>
      <c r="AU320" s="89" t="str">
        <f>Registro!AP320</f>
        <v>b) Buena</v>
      </c>
      <c r="AV320" s="89" t="str">
        <f>Registro!AQ320</f>
        <v>b) Buena</v>
      </c>
      <c r="AW320" s="89" t="str">
        <f>Registro!AR320</f>
        <v>a) El compañerismo</v>
      </c>
      <c r="AX320" s="89" t="str">
        <f>Registro!AS320</f>
        <v>b) Darme una buena educación</v>
      </c>
      <c r="AY320" s="89" t="str">
        <f>Registro!AT320</f>
        <v>d) Bastante necesaria</v>
      </c>
      <c r="AZ320" s="89" t="str">
        <f>Registro!AU320</f>
        <v>a) No acostumbro a tomarlo nunca</v>
      </c>
      <c r="BA320" s="89" t="str">
        <f>Registro!AV320</f>
        <v>e) Educadores que se preocupan de nosotros</v>
      </c>
      <c r="BB320" s="89" t="str">
        <f>Registro!AW320</f>
        <v>c) Bastante</v>
      </c>
      <c r="BC320" s="89" t="str">
        <f>Registro!AX320</f>
        <v>d) Hay de todo tipo, pero predomina lo positivo</v>
      </c>
      <c r="BD320" s="89" t="str">
        <f>Registro!AY320</f>
        <v>b) Mi madre, c) Un hermano/a, g) Un amigo, h) Una amiga</v>
      </c>
    </row>
    <row r="321" spans="1:56" ht="15" customHeight="1" x14ac:dyDescent="0.25">
      <c r="A321" s="101">
        <f>Registro!A321</f>
        <v>42283.417314814818</v>
      </c>
      <c r="B321" s="89" t="str">
        <f>Registro!B321</f>
        <v>b) Calasanz de Valencia</v>
      </c>
      <c r="C321" s="89" t="str">
        <f>Registro!C321</f>
        <v>b) Tercer año</v>
      </c>
      <c r="D321" s="89" t="str">
        <f>Registro!D321</f>
        <v>a) Educación Inicial</v>
      </c>
      <c r="E321" s="89" t="str">
        <f>Registro!E321</f>
        <v>a) Masculino</v>
      </c>
      <c r="F321" s="89" t="str">
        <f>Registro!F321</f>
        <v>a) Católica</v>
      </c>
      <c r="G321" s="89" t="str">
        <f>Registro!G321</f>
        <v>b) Papá, c) Hermanos, d) Abuelos, e) Otros familiares</v>
      </c>
      <c r="H321" s="89" t="str">
        <f>Registro!H321</f>
        <v>b) Casa Urbana</v>
      </c>
      <c r="I321" s="89" t="str">
        <f>Registro!I321</f>
        <v>a) Sí</v>
      </c>
      <c r="J321" s="89" t="str">
        <f>Registro!J321</f>
        <v>a) Cónsola videojuegos, b) Lavadora, c) Microondas, d) TV pantalla plana, f) MP3, g) MP4, h) Carro, i) Computadora, j) Cámara digital, k) Aire acondicionado</v>
      </c>
      <c r="K321" s="89" t="str">
        <f>Registro!K321</f>
        <v>b) Una</v>
      </c>
      <c r="L321" s="89" t="str">
        <f>Registro!L321</f>
        <v>a) La familia, b) Los amigos, j) El deporte</v>
      </c>
      <c r="M321" s="94">
        <f t="shared" si="25"/>
        <v>3</v>
      </c>
      <c r="N321" s="89" t="str">
        <f>Registro!M321</f>
        <v>b) El futuro</v>
      </c>
      <c r="O321" s="89" t="str">
        <f>Registro!N321</f>
        <v>b) Suficiente</v>
      </c>
      <c r="P321" s="89" t="str">
        <f>Registro!O321</f>
        <v>a) Mucho</v>
      </c>
      <c r="Q321" s="89" t="str">
        <f>Registro!P321</f>
        <v>a) Mucho</v>
      </c>
      <c r="R321" s="89" t="str">
        <f>Registro!Q321</f>
        <v>a) La familia, b) Los amigos, c) Los estudios</v>
      </c>
      <c r="S321" s="94">
        <f t="shared" si="26"/>
        <v>3</v>
      </c>
      <c r="T321" s="89" t="str">
        <f>Registro!R321</f>
        <v>a) Mucho</v>
      </c>
      <c r="U321" s="89" t="str">
        <f>Registro!S321</f>
        <v>a) La Iglesia, c) El salón de clase, d) Las convivencias, g) Mi familia, k) La oración, l) Los sacramentos</v>
      </c>
      <c r="V321" s="89" t="str">
        <f>Registro!T321</f>
        <v>a) Suelo rezar por convicción o porque me gusta</v>
      </c>
      <c r="W321" s="89" t="str">
        <f>Registro!U321</f>
        <v>b) Algunos domingos</v>
      </c>
      <c r="X321" s="89" t="str">
        <f>Registro!V321</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321" s="89" t="str">
        <f>Registro!W321</f>
        <v>a) Deportivo</v>
      </c>
      <c r="Z321" s="89" t="str">
        <f>Registro!X321</f>
        <v>a) Un grupo donde profundizo mi fe</v>
      </c>
      <c r="AA321" s="89" t="str">
        <f>Registro!Y321</f>
        <v>b) No</v>
      </c>
      <c r="AB321" s="89" t="str">
        <f>Registro!Z321</f>
        <v>b) No</v>
      </c>
      <c r="AC321" s="89" t="str">
        <f>Registro!AA321</f>
        <v>a) Medicina, e) Derecho</v>
      </c>
      <c r="AD321" s="94">
        <f t="shared" si="27"/>
        <v>2</v>
      </c>
      <c r="AE321" s="89" t="str">
        <f>Registro!AB321</f>
        <v>e) Servir a los demás</v>
      </c>
      <c r="AF321" s="89" t="str">
        <f>Registro!AC321</f>
        <v>c) Bastante</v>
      </c>
      <c r="AG321" s="89" t="str">
        <f>Registro!AD321</f>
        <v>a) Los deportes y diversiones, c) Las instalaciones del Colegio</v>
      </c>
      <c r="AH321" s="94">
        <f t="shared" si="23"/>
        <v>2</v>
      </c>
      <c r="AI321" s="89" t="str">
        <f>Registro!AE321</f>
        <v>d) 7 a 8 horas</v>
      </c>
      <c r="AJ321" s="89" t="str">
        <f>Registro!AF321</f>
        <v>k) Practico algún deporte, m) Veo televisión y/o películas, n) Estoy conversando con los amigos/as</v>
      </c>
      <c r="AK321" s="94">
        <f t="shared" si="24"/>
        <v>3</v>
      </c>
      <c r="AL321" s="89" t="str">
        <f>Registro!AG321</f>
        <v>b) Bueno</v>
      </c>
      <c r="AM321" s="89" t="str">
        <f>Registro!AH321</f>
        <v>e) Muy mala</v>
      </c>
      <c r="AN321" s="89" t="str">
        <f>Registro!AI321</f>
        <v>e) Muy mala</v>
      </c>
      <c r="AO321" s="89" t="str">
        <f>Registro!AJ321</f>
        <v>b) Buena</v>
      </c>
      <c r="AP321" s="89" t="str">
        <f>Registro!AK321</f>
        <v>c) Regular</v>
      </c>
      <c r="AQ321" s="89" t="str">
        <f>Registro!AL321</f>
        <v>a) Muy buena</v>
      </c>
      <c r="AR321" s="89" t="str">
        <f>Registro!AM321</f>
        <v>a) Muy buena</v>
      </c>
      <c r="AS321" s="89" t="str">
        <f>Registro!AN321</f>
        <v>a) Muy buena</v>
      </c>
      <c r="AT321" s="89" t="str">
        <f>Registro!AO321</f>
        <v>b) Buena</v>
      </c>
      <c r="AU321" s="89" t="str">
        <f>Registro!AP321</f>
        <v>a) Muy buena</v>
      </c>
      <c r="AV321" s="89" t="str">
        <f>Registro!AQ321</f>
        <v>a) Muy buena</v>
      </c>
      <c r="AW321" s="89" t="str">
        <f>Registro!AR321</f>
        <v>d) La formación del carácter</v>
      </c>
      <c r="AX321" s="89" t="str">
        <f>Registro!AS321</f>
        <v>a) Que sea un buen profesional</v>
      </c>
      <c r="AY321" s="89" t="str">
        <f>Registro!AT321</f>
        <v>e) Absolutamente necesaria</v>
      </c>
      <c r="AZ321" s="89" t="str">
        <f>Registro!AU321</f>
        <v>c) Alguna vez he bebido más de la cuenta</v>
      </c>
      <c r="BA321" s="89" t="str">
        <f>Registro!AV321</f>
        <v>f) Educadores que, además, me han abierto caminos</v>
      </c>
      <c r="BB321" s="89" t="str">
        <f>Registro!AW321</f>
        <v>c) Bastante</v>
      </c>
      <c r="BC321" s="89" t="str">
        <f>Registro!AX321</f>
        <v>d) Hay de todo tipo, pero predomina lo positivo</v>
      </c>
      <c r="BD321" s="89" t="str">
        <f>Registro!AY321</f>
        <v>a) Mi padre, b) Mi madre, c) Un hermano/a, g) Un amigo, h) Una amiga</v>
      </c>
    </row>
    <row r="322" spans="1:56" ht="15" customHeight="1" x14ac:dyDescent="0.25">
      <c r="A322" s="101">
        <f>Registro!A322</f>
        <v>42283.417407407411</v>
      </c>
      <c r="B322" s="89" t="str">
        <f>Registro!B322</f>
        <v>b) Calasanz de Valencia</v>
      </c>
      <c r="C322" s="89" t="str">
        <f>Registro!C322</f>
        <v>b) Tercer año</v>
      </c>
      <c r="D322" s="89" t="str">
        <f>Registro!D322</f>
        <v>c) Entre Primero y Tercer año</v>
      </c>
      <c r="E322" s="89" t="str">
        <f>Registro!E322</f>
        <v>b) Femenino</v>
      </c>
      <c r="F322" s="89" t="str">
        <f>Registro!F322</f>
        <v>a) Católica</v>
      </c>
      <c r="G322" s="89" t="str">
        <f>Registro!G322</f>
        <v>a) Mamá, b) Papá</v>
      </c>
      <c r="H322" s="89" t="str">
        <f>Registro!H322</f>
        <v>c) Apartamento</v>
      </c>
      <c r="I322" s="89" t="str">
        <f>Registro!I322</f>
        <v>a) Sí</v>
      </c>
      <c r="J322" s="89" t="str">
        <f>Registro!J322</f>
        <v>b) Lavadora, c) Microondas, d) TV pantalla plana, f) MP3, i) Computadora, j) Cámara digital, k) Aire acondicionado</v>
      </c>
      <c r="K322" s="89" t="str">
        <f>Registro!K322</f>
        <v>c) Dos</v>
      </c>
      <c r="L322" s="89" t="str">
        <f>Registro!L322</f>
        <v>a) La familia, c) Los estudios, g) La felicidad</v>
      </c>
      <c r="M322" s="94">
        <f t="shared" si="25"/>
        <v>3</v>
      </c>
      <c r="N322" s="89" t="str">
        <f>Registro!M322</f>
        <v>a) Seguridad personal (la violencia y la delincuencia)</v>
      </c>
      <c r="O322" s="89" t="str">
        <f>Registro!N322</f>
        <v>a) Mucho</v>
      </c>
      <c r="P322" s="89" t="str">
        <f>Registro!O322</f>
        <v>b) Suficiente</v>
      </c>
      <c r="Q322" s="89" t="str">
        <f>Registro!P322</f>
        <v>b) Suficiente</v>
      </c>
      <c r="R322" s="89" t="str">
        <f>Registro!Q322</f>
        <v>c) Los estudios, d) El cuidado de mi cuerpo, g) La felicidad</v>
      </c>
      <c r="S322" s="94">
        <f t="shared" si="26"/>
        <v>3</v>
      </c>
      <c r="T322" s="89" t="str">
        <f>Registro!R322</f>
        <v>a) Mucho</v>
      </c>
      <c r="U322" s="89" t="str">
        <f>Registro!S322</f>
        <v>a) La Iglesia, b) La naturaleza, k) La oración</v>
      </c>
      <c r="V322" s="89" t="str">
        <f>Registro!T322</f>
        <v>b) Rezo por costumbre</v>
      </c>
      <c r="W322" s="89" t="str">
        <f>Registro!U322</f>
        <v>c) Solo en fechas especiales</v>
      </c>
      <c r="X322" s="89" t="str">
        <f>Registro!V322</f>
        <v>a) Suelo llevar una cruz o algún objeto religioso, d) Suelo orar todos los días, h) En Semana Santa asisto a las procesiones, i) Tengo en mi cuarto alguna imagen religiosa</v>
      </c>
      <c r="Y322" s="89" t="str">
        <f>Registro!W322</f>
        <v>d) No pertenezco a ninguno</v>
      </c>
      <c r="Z322" s="89" t="str">
        <f>Registro!X322</f>
        <v>d) No pertenezco a grupos juveniles cristianos</v>
      </c>
      <c r="AA322" s="89" t="str">
        <f>Registro!Y322</f>
        <v>b) No</v>
      </c>
      <c r="AB322" s="89" t="str">
        <f>Registro!Z322</f>
        <v>b) No</v>
      </c>
      <c r="AC322" s="89" t="str">
        <f>Registro!AA322</f>
        <v>a) Medicina, b) Docencia</v>
      </c>
      <c r="AD322" s="94">
        <f t="shared" si="27"/>
        <v>2</v>
      </c>
      <c r="AE322" s="89" t="str">
        <f>Registro!AB322</f>
        <v>e) Servir a los demás</v>
      </c>
      <c r="AF322" s="89" t="str">
        <f>Registro!AC322</f>
        <v>c) Bastante</v>
      </c>
      <c r="AG322" s="89" t="str">
        <f>Registro!AD322</f>
        <v>b) El ambiente de estudio y de trabajo, c) Las instalaciones del Colegio</v>
      </c>
      <c r="AH322" s="94">
        <f t="shared" si="23"/>
        <v>2</v>
      </c>
      <c r="AI322" s="89" t="str">
        <f>Registro!AE322</f>
        <v>b) 3 a 4 horas</v>
      </c>
      <c r="AJ322" s="89" t="str">
        <f>Registro!AF322</f>
        <v>e) Suelo ir a algún parque, l) Escucho música y/o veo videos musicales, n) Estoy conversando con los amigos/as</v>
      </c>
      <c r="AK322" s="94">
        <f t="shared" si="24"/>
        <v>3</v>
      </c>
      <c r="AL322" s="89" t="str">
        <f>Registro!AG322</f>
        <v>b) Bueno</v>
      </c>
      <c r="AM322" s="89" t="str">
        <f>Registro!AH322</f>
        <v>b) Buena</v>
      </c>
      <c r="AN322" s="89" t="str">
        <f>Registro!AI322</f>
        <v>b) Buena</v>
      </c>
      <c r="AO322" s="89" t="str">
        <f>Registro!AJ322</f>
        <v>a) Muy buena</v>
      </c>
      <c r="AP322" s="89" t="str">
        <f>Registro!AK322</f>
        <v>b) Buena</v>
      </c>
      <c r="AQ322" s="89" t="str">
        <f>Registro!AL322</f>
        <v>a) Muy buena</v>
      </c>
      <c r="AR322" s="89" t="str">
        <f>Registro!AM322</f>
        <v>b) Buena</v>
      </c>
      <c r="AS322" s="89" t="str">
        <f>Registro!AN322</f>
        <v>b) Buena</v>
      </c>
      <c r="AT322" s="89" t="str">
        <f>Registro!AO322</f>
        <v>b) Buena</v>
      </c>
      <c r="AU322" s="89" t="str">
        <f>Registro!AP322</f>
        <v>b) Buena</v>
      </c>
      <c r="AV322" s="89" t="str">
        <f>Registro!AQ322</f>
        <v>a) Muy buena</v>
      </c>
      <c r="AW322" s="89" t="str">
        <f>Registro!AR322</f>
        <v>a) El compañerismo</v>
      </c>
      <c r="AX322" s="89" t="str">
        <f>Registro!AS322</f>
        <v>b) Darme una buena educación</v>
      </c>
      <c r="AY322" s="89" t="str">
        <f>Registro!AT322</f>
        <v>d) Bastante necesaria</v>
      </c>
      <c r="AZ322" s="89" t="str">
        <f>Registro!AU322</f>
        <v>b) Las veces que bebo, es con moderación</v>
      </c>
      <c r="BA322" s="89" t="str">
        <f>Registro!AV322</f>
        <v>e) Educadores que se preocupan de nosotros</v>
      </c>
      <c r="BB322" s="89" t="str">
        <f>Registro!AW322</f>
        <v>c) Bastante</v>
      </c>
      <c r="BC322" s="89" t="str">
        <f>Registro!AX322</f>
        <v>d) Hay de todo tipo, pero predomina lo positivo</v>
      </c>
      <c r="BD322" s="89" t="str">
        <f>Registro!AY322</f>
        <v>b) Mi madre, e) Un, una docente, g) Un amigo, h) Una amiga</v>
      </c>
    </row>
    <row r="323" spans="1:56" ht="15" customHeight="1" x14ac:dyDescent="0.25">
      <c r="A323" s="101">
        <f>Registro!A323</f>
        <v>42283.417673611111</v>
      </c>
      <c r="B323" s="89" t="str">
        <f>Registro!B323</f>
        <v>b) Calasanz de Valencia</v>
      </c>
      <c r="C323" s="89" t="str">
        <f>Registro!C323</f>
        <v>b) Tercer año</v>
      </c>
      <c r="D323" s="89" t="str">
        <f>Registro!D323</f>
        <v>a) Educación Inicial</v>
      </c>
      <c r="E323" s="89" t="str">
        <f>Registro!E323</f>
        <v>a) Masculino</v>
      </c>
      <c r="F323" s="89" t="str">
        <f>Registro!F323</f>
        <v>a) Católica</v>
      </c>
      <c r="G323" s="89" t="str">
        <f>Registro!G323</f>
        <v>a) Mamá, b) Papá, c) Hermanos</v>
      </c>
      <c r="H323" s="89" t="str">
        <f>Registro!H323</f>
        <v>c) Apartamento</v>
      </c>
      <c r="I323" s="89" t="str">
        <f>Registro!I323</f>
        <v>a) Sí</v>
      </c>
      <c r="J323" s="89" t="str">
        <f>Registro!J323</f>
        <v>a) Cónsola videojuegos, b) Lavadora, c) Microondas, d) TV pantalla plana, e) Moto, g) MP4, h) Carro, i) Computadora, j) Cámara digital, k) Aire acondicionado</v>
      </c>
      <c r="K323" s="89" t="str">
        <f>Registro!K323</f>
        <v>c) Dos</v>
      </c>
      <c r="L323" s="89" t="str">
        <f>Registro!L323</f>
        <v>a) La familia, b) Los amigos, c) Los estudios</v>
      </c>
      <c r="M323" s="94">
        <f t="shared" si="25"/>
        <v>3</v>
      </c>
      <c r="N323" s="89" t="str">
        <f>Registro!M323</f>
        <v>b) El futuro</v>
      </c>
      <c r="O323" s="89" t="str">
        <f>Registro!N323</f>
        <v>b) Suficiente</v>
      </c>
      <c r="P323" s="89" t="str">
        <f>Registro!O323</f>
        <v>b) Suficiente</v>
      </c>
      <c r="Q323" s="89" t="str">
        <f>Registro!P323</f>
        <v>b) Suficiente</v>
      </c>
      <c r="R323" s="89" t="str">
        <f>Registro!Q323</f>
        <v>a) La familia, c) Los estudios, f) Mi fe y mi vida cristiana</v>
      </c>
      <c r="S323" s="94">
        <f t="shared" si="26"/>
        <v>3</v>
      </c>
      <c r="T323" s="89" t="str">
        <f>Registro!R323</f>
        <v>a) Mucho</v>
      </c>
      <c r="U323" s="89" t="str">
        <f>Registro!S323</f>
        <v>a) La Iglesia, b) La naturaleza, d) Las convivencias, h) Algunas personas cercanas a Dios, i) Los necesitados, k) La oración, l) Los sacramentos</v>
      </c>
      <c r="V323" s="89" t="str">
        <f>Registro!T323</f>
        <v>b) Rezo por costumbre</v>
      </c>
      <c r="W323" s="89" t="str">
        <f>Registro!U323</f>
        <v>b) Algunos domingos</v>
      </c>
      <c r="X323" s="89" t="str">
        <f>Registro!V323</f>
        <v>b) Suelo bendedir los alimentos antes de comer, c) Suelo ir los domingos y otras fechas especiales a la Iglesia, e) Voy a misa en las fechas de mis familiares difuntos, g) En ocasiones, en mi casa tenemos una oración familiar, h) En Semana Santa asisto a las procesiones, i) Tengo en mi cuarto alguna imagen religiosa</v>
      </c>
      <c r="Y323" s="89" t="str">
        <f>Registro!W323</f>
        <v xml:space="preserve">a) Deportivo, b) Cultural (folklórico, musicales, danzas, scout, banda marcial,...) </v>
      </c>
      <c r="Z323" s="89" t="str">
        <f>Registro!X323</f>
        <v>d) No pertenezco a grupos juveniles cristianos</v>
      </c>
      <c r="AA323" s="89" t="str">
        <f>Registro!Y323</f>
        <v>a) Sí</v>
      </c>
      <c r="AB323" s="89" t="str">
        <f>Registro!Z323</f>
        <v>b) No</v>
      </c>
      <c r="AC323" s="89" t="str">
        <f>Registro!AA323</f>
        <v>c) Sacerdocio o hermana religiosa</v>
      </c>
      <c r="AD323" s="94">
        <f t="shared" si="27"/>
        <v>1</v>
      </c>
      <c r="AE323" s="89" t="str">
        <f>Registro!AB323</f>
        <v>b) Tener una buena posición social, ser importante</v>
      </c>
      <c r="AF323" s="89" t="str">
        <f>Registro!AC323</f>
        <v>c) Bastante</v>
      </c>
      <c r="AG323" s="89" t="str">
        <f>Registro!AD323</f>
        <v>b) El ambiente de estudio y de trabajo, h) Las actividades extraescolares</v>
      </c>
      <c r="AH323" s="94">
        <f t="shared" ref="AH323:AH386" si="28">COUNTIF(AG323,"*a)*")+COUNTIF(AG323,"*b)*")+COUNTIF(AG323,"*c)*")+COUNTIF(AG323,"*d)*")+COUNTIF(AG323,"*e)*")+COUNTIF(AG323,"*f)*")+COUNTIF(AG323,"*g)*")+COUNTIF(AG323,"*h)*")+COUNTIF(AG323,"*i)*")+COUNTIF(AG323,"*j)*")+COUNTIF(AG323,"*k)*")+COUNTIF(AG323,"*l)*")+COUNTIF(AG323,"*m)*")+COUNTIF(AG323,"*n)*")+COUNTIF(AG323,"*o)*")+COUNTIF(AG323,"*p)*")</f>
        <v>2</v>
      </c>
      <c r="AI323" s="89" t="str">
        <f>Registro!AE323</f>
        <v>d) 7 a 8 horas</v>
      </c>
      <c r="AJ323" s="89" t="str">
        <f>Registro!AF323</f>
        <v>g) Suelo ir a discotecas o a fiestas, k) Practico algún deporte, n) Estoy conversando con los amigos/as</v>
      </c>
      <c r="AK323" s="94">
        <f t="shared" ref="AK323:AK386" si="29">COUNTIF(AJ323,"*a)*")+COUNTIF(AJ323,"*b)*")+COUNTIF(AJ323,"*c)*")+COUNTIF(AJ323,"*d)*")+COUNTIF(AJ323,"*e)*")+COUNTIF(AJ323,"*f)*")+COUNTIF(AJ323,"*g)*")+COUNTIF(AJ323,"*h)*")+COUNTIF(AJ323,"*i)*")+COUNTIF(AJ323,"*j)*")+COUNTIF(AJ323,"*k)*")+COUNTIF(AJ323,"*l)*")+COUNTIF(AJ323,"*m)*")+COUNTIF(AJ323,"*n)*")+COUNTIF(AJ323,"*o)*")+COUNTIF(AJ323,"*p)*")</f>
        <v>3</v>
      </c>
      <c r="AL323" s="89" t="str">
        <f>Registro!AG323</f>
        <v>b) Bueno</v>
      </c>
      <c r="AM323" s="89" t="str">
        <f>Registro!AH323</f>
        <v>e) Muy mala</v>
      </c>
      <c r="AN323" s="89" t="str">
        <f>Registro!AI323</f>
        <v>d) Mala</v>
      </c>
      <c r="AO323" s="89" t="str">
        <f>Registro!AJ323</f>
        <v>b) Buena</v>
      </c>
      <c r="AP323" s="89" t="str">
        <f>Registro!AK323</f>
        <v>c) Regular</v>
      </c>
      <c r="AQ323" s="89" t="str">
        <f>Registro!AL323</f>
        <v>b) Buena</v>
      </c>
      <c r="AR323" s="89" t="str">
        <f>Registro!AM323</f>
        <v>c) Regular</v>
      </c>
      <c r="AS323" s="89" t="str">
        <f>Registro!AN323</f>
        <v>a) Muy buena</v>
      </c>
      <c r="AT323" s="89" t="str">
        <f>Registro!AO323</f>
        <v>a) Muy buena</v>
      </c>
      <c r="AU323" s="89" t="str">
        <f>Registro!AP323</f>
        <v>a) Muy buena</v>
      </c>
      <c r="AV323" s="89" t="str">
        <f>Registro!AQ323</f>
        <v>c) Regular</v>
      </c>
      <c r="AW323" s="89" t="str">
        <f>Registro!AR323</f>
        <v>d) La formación del carácter</v>
      </c>
      <c r="AX323" s="89" t="str">
        <f>Registro!AS323</f>
        <v>b) Darme una buena educación</v>
      </c>
      <c r="AY323" s="89" t="str">
        <f>Registro!AT323</f>
        <v>e) Absolutamente necesaria</v>
      </c>
      <c r="AZ323" s="89" t="str">
        <f>Registro!AU323</f>
        <v>c) Alguna vez he bebido más de la cuenta</v>
      </c>
      <c r="BA323" s="89" t="str">
        <f>Registro!AV323</f>
        <v>c) Profesionales que hacen lo que pueden</v>
      </c>
      <c r="BB323" s="89" t="str">
        <f>Registro!AW323</f>
        <v>d) Mucho o muchísimo</v>
      </c>
      <c r="BC323" s="89" t="str">
        <f>Registro!AX323</f>
        <v>d) Hay de todo tipo, pero predomina lo positivo</v>
      </c>
      <c r="BD323" s="89" t="str">
        <f>Registro!AY323</f>
        <v>a) Mi padre, b) Mi madre, d) Un escolapio, religioso o religiosa, e) Un, una docente, g) Un amigo, h) Una amiga</v>
      </c>
    </row>
    <row r="324" spans="1:56" ht="15" customHeight="1" x14ac:dyDescent="0.25">
      <c r="A324" s="101">
        <f>Registro!A324</f>
        <v>42283.417962962965</v>
      </c>
      <c r="B324" s="89" t="str">
        <f>Registro!B324</f>
        <v>b) Calasanz de Valencia</v>
      </c>
      <c r="C324" s="89" t="str">
        <f>Registro!C324</f>
        <v>b) Tercer año</v>
      </c>
      <c r="D324" s="89" t="str">
        <f>Registro!D324</f>
        <v>a) Educación Inicial</v>
      </c>
      <c r="E324" s="89" t="str">
        <f>Registro!E324</f>
        <v>a) Masculino</v>
      </c>
      <c r="F324" s="89" t="str">
        <f>Registro!F324</f>
        <v>a) Católica</v>
      </c>
      <c r="G324" s="89" t="str">
        <f>Registro!G324</f>
        <v>c) Hermanos</v>
      </c>
      <c r="H324" s="89" t="str">
        <f>Registro!H324</f>
        <v>b) Casa Urbana</v>
      </c>
      <c r="I324" s="89" t="str">
        <f>Registro!I324</f>
        <v>c) Algo</v>
      </c>
      <c r="J324" s="89" t="str">
        <f>Registro!J324</f>
        <v>a) Cónsola videojuegos, b) Lavadora, c) Microondas, d) TV pantalla plana, e) Moto</v>
      </c>
      <c r="K324" s="89" t="str">
        <f>Registro!K324</f>
        <v>c) Dos</v>
      </c>
      <c r="L324" s="89" t="str">
        <f>Registro!L324</f>
        <v>a) La familia, b) Los amigos, c) Los estudios</v>
      </c>
      <c r="M324" s="94">
        <f t="shared" si="25"/>
        <v>3</v>
      </c>
      <c r="N324" s="89" t="str">
        <f>Registro!M324</f>
        <v>b) El futuro</v>
      </c>
      <c r="O324" s="89" t="str">
        <f>Registro!N324</f>
        <v>c) Poco</v>
      </c>
      <c r="P324" s="89" t="str">
        <f>Registro!O324</f>
        <v>a) Mucho</v>
      </c>
      <c r="Q324" s="89" t="str">
        <f>Registro!P324</f>
        <v>b) Suficiente</v>
      </c>
      <c r="R324" s="89" t="str">
        <f>Registro!Q324</f>
        <v>c) Los estudios, d) El cuidado de mi cuerpo, g) La felicidad</v>
      </c>
      <c r="S324" s="94">
        <f t="shared" si="26"/>
        <v>3</v>
      </c>
      <c r="T324" s="89" t="str">
        <f>Registro!R324</f>
        <v>b) Suficiente</v>
      </c>
      <c r="U324" s="89" t="str">
        <f>Registro!S324</f>
        <v>a) La Iglesia, b) La naturaleza, d) Las convivencias, e) Los amigos, g) Mi familia, k) La oración</v>
      </c>
      <c r="V324" s="89" t="str">
        <f>Registro!T324</f>
        <v>b) Rezo por costumbre</v>
      </c>
      <c r="W324" s="89" t="str">
        <f>Registro!U324</f>
        <v>d) Nunca</v>
      </c>
      <c r="X324" s="89" t="str">
        <f>Registro!V324</f>
        <v>f) En alguna ocasión he rezado el rosario, g) En ocasiones, en mi casa tenemos una oración familiar, i) Tengo en mi cuarto alguna imagen religiosa</v>
      </c>
      <c r="Y324" s="89" t="str">
        <f>Registro!W324</f>
        <v>a) Deportivo</v>
      </c>
      <c r="Z324" s="89" t="str">
        <f>Registro!X324</f>
        <v>a) Un grupo donde profundizo mi fe</v>
      </c>
      <c r="AA324" s="89" t="str">
        <f>Registro!Y324</f>
        <v>b) No</v>
      </c>
      <c r="AB324" s="89" t="str">
        <f>Registro!Z324</f>
        <v>b) No</v>
      </c>
      <c r="AC324" s="89" t="str">
        <f>Registro!AA324</f>
        <v>d) Ingeniería</v>
      </c>
      <c r="AD324" s="94">
        <f t="shared" si="27"/>
        <v>1</v>
      </c>
      <c r="AE324" s="89" t="str">
        <f>Registro!AB324</f>
        <v>b) Tener una buena posición social, ser importante</v>
      </c>
      <c r="AF324" s="89" t="str">
        <f>Registro!AC324</f>
        <v>b) Poco</v>
      </c>
      <c r="AG324" s="89" t="str">
        <f>Registro!AD324</f>
        <v>a) Los deportes y diversiones, h) Las actividades extraescolares</v>
      </c>
      <c r="AH324" s="94">
        <f t="shared" si="28"/>
        <v>2</v>
      </c>
      <c r="AI324" s="89" t="str">
        <f>Registro!AE324</f>
        <v>a) 0 a 2 horas</v>
      </c>
      <c r="AJ324" s="89" t="str">
        <f>Registro!AF324</f>
        <v>a) Me divierto con juegos para computadoras, b) Navego en Internet, m) Veo televisión y/o películas</v>
      </c>
      <c r="AK324" s="94">
        <f t="shared" si="29"/>
        <v>3</v>
      </c>
      <c r="AL324" s="89" t="str">
        <f>Registro!AG324</f>
        <v>c) Regular</v>
      </c>
      <c r="AM324" s="89" t="str">
        <f>Registro!AH324</f>
        <v>b) Buena</v>
      </c>
      <c r="AN324" s="89" t="str">
        <f>Registro!AI324</f>
        <v>b) Buena</v>
      </c>
      <c r="AO324" s="89" t="str">
        <f>Registro!AJ324</f>
        <v>b) Buena</v>
      </c>
      <c r="AP324" s="89" t="str">
        <f>Registro!AK324</f>
        <v>c) Regular</v>
      </c>
      <c r="AQ324" s="89" t="str">
        <f>Registro!AL324</f>
        <v>c) Regular</v>
      </c>
      <c r="AR324" s="89" t="str">
        <f>Registro!AM324</f>
        <v>b) Buena</v>
      </c>
      <c r="AS324" s="89" t="str">
        <f>Registro!AN324</f>
        <v>b) Buena</v>
      </c>
      <c r="AT324" s="89" t="str">
        <f>Registro!AO324</f>
        <v>c) Regular</v>
      </c>
      <c r="AU324" s="89" t="str">
        <f>Registro!AP324</f>
        <v>b) Buena</v>
      </c>
      <c r="AV324" s="89" t="str">
        <f>Registro!AQ324</f>
        <v>b) Buena</v>
      </c>
      <c r="AW324" s="89" t="str">
        <f>Registro!AR324</f>
        <v>c) El estudio</v>
      </c>
      <c r="AX324" s="89" t="str">
        <f>Registro!AS324</f>
        <v>a) Que sea un buen profesional</v>
      </c>
      <c r="AY324" s="89" t="str">
        <f>Registro!AT324</f>
        <v>c) Conveniente</v>
      </c>
      <c r="AZ324" s="89" t="str">
        <f>Registro!AU324</f>
        <v>a) No acostumbro a tomarlo nunca</v>
      </c>
      <c r="BA324" s="89" t="str">
        <f>Registro!AV324</f>
        <v>c) Profesionales que hacen lo que pueden</v>
      </c>
      <c r="BB324" s="89" t="str">
        <f>Registro!AW324</f>
        <v>c) Bastante</v>
      </c>
      <c r="BC324" s="89" t="str">
        <f>Registro!AX324</f>
        <v>d) Hay de todo tipo, pero predomina lo positivo</v>
      </c>
      <c r="BD324" s="89" t="str">
        <f>Registro!AY324</f>
        <v>a) Mi padre, b) Mi madre, c) Un hermano/a, f) La orientadora, g) Un amigo, h) Una amiga</v>
      </c>
    </row>
    <row r="325" spans="1:56" ht="15" customHeight="1" x14ac:dyDescent="0.25">
      <c r="A325" s="101">
        <f>Registro!A325</f>
        <v>42283.418344907404</v>
      </c>
      <c r="B325" s="89" t="str">
        <f>Registro!B325</f>
        <v>b) Calasanz de Valencia</v>
      </c>
      <c r="C325" s="89" t="str">
        <f>Registro!C325</f>
        <v>b) Tercer año</v>
      </c>
      <c r="D325" s="89" t="str">
        <f>Registro!D325</f>
        <v>b) Primaria</v>
      </c>
      <c r="E325" s="89" t="str">
        <f>Registro!E325</f>
        <v>b) Femenino</v>
      </c>
      <c r="F325" s="89" t="str">
        <f>Registro!F325</f>
        <v>a) Católica</v>
      </c>
      <c r="G325" s="89" t="str">
        <f>Registro!G325</f>
        <v>a) Mamá, b) Papá, c) Hermanos</v>
      </c>
      <c r="H325" s="89" t="str">
        <f>Registro!H325</f>
        <v>c) Apartamento</v>
      </c>
      <c r="I325" s="89" t="str">
        <f>Registro!I325</f>
        <v>a) Sí</v>
      </c>
      <c r="J325" s="89" t="str">
        <f>Registro!J325</f>
        <v>a) Cónsola videojuegos, d) TV pantalla plana, j) Cámara digital, k) Aire acondicionado</v>
      </c>
      <c r="K325" s="89">
        <f>Registro!K325</f>
        <v>0</v>
      </c>
      <c r="L325" s="89" t="str">
        <f>Registro!L325</f>
        <v>a) La familia, b) Los amigos, c) Los estudios</v>
      </c>
      <c r="M325" s="94">
        <f t="shared" si="25"/>
        <v>3</v>
      </c>
      <c r="N325" s="89" t="str">
        <f>Registro!M325</f>
        <v>b) El futuro</v>
      </c>
      <c r="O325" s="89" t="str">
        <f>Registro!N325</f>
        <v>a) Mucho</v>
      </c>
      <c r="P325" s="89" t="str">
        <f>Registro!O325</f>
        <v>c) Poco</v>
      </c>
      <c r="Q325" s="89" t="str">
        <f>Registro!P325</f>
        <v>c) Poco</v>
      </c>
      <c r="R325" s="89" t="str">
        <f>Registro!Q325</f>
        <v>a) La familia, c) Los estudios, d) El cuidado de mi cuerpo</v>
      </c>
      <c r="S325" s="94">
        <f t="shared" si="26"/>
        <v>3</v>
      </c>
      <c r="T325" s="89" t="str">
        <f>Registro!R325</f>
        <v>a) Mucho</v>
      </c>
      <c r="U325" s="89" t="str">
        <f>Registro!S325</f>
        <v>a) La Iglesia, b) La naturaleza, c) El salón de clase, d) Las convivencias, e) Los amigos, f) Todas las personas, g) Mi familia, h) Algunas personas cercanas a Dios, i) Los necesitados, j) Todas partes, k) La oración, l) Los sacramentos</v>
      </c>
      <c r="V325" s="89" t="str">
        <f>Registro!T325</f>
        <v>a) Suelo rezar por convicción o porque me gusta</v>
      </c>
      <c r="W325" s="89" t="str">
        <f>Registro!U325</f>
        <v>d) Nunca</v>
      </c>
      <c r="X325" s="89" t="str">
        <f>Registro!V325</f>
        <v>d) Suelo orar todos los días, f) En alguna ocasión he rezado el rosario, i) Tengo en mi cuarto alguna imagen religiosa</v>
      </c>
      <c r="Y325" s="89" t="str">
        <f>Registro!W325</f>
        <v>d) No pertenezco a ninguno</v>
      </c>
      <c r="Z325" s="89" t="str">
        <f>Registro!X325</f>
        <v>a) Un grupo donde profundizo mi fe</v>
      </c>
      <c r="AA325" s="89" t="str">
        <f>Registro!Y325</f>
        <v>c) Algo</v>
      </c>
      <c r="AB325" s="89" t="str">
        <f>Registro!Z325</f>
        <v>c) Algo</v>
      </c>
      <c r="AC325" s="89" t="str">
        <f>Registro!AA325</f>
        <v>a) Medicina, g) Artista</v>
      </c>
      <c r="AD325" s="94">
        <f t="shared" si="27"/>
        <v>2</v>
      </c>
      <c r="AE325" s="89" t="str">
        <f>Registro!AB325</f>
        <v>f) Ejecutar una tarea conforme a mi fe</v>
      </c>
      <c r="AF325" s="89" t="str">
        <f>Registro!AC325</f>
        <v>c) Bastante</v>
      </c>
      <c r="AG325" s="89" t="str">
        <f>Registro!AD325</f>
        <v>b) El ambiente de estudio y de trabajo, e) La mayor posibilidad de vivir mi fe</v>
      </c>
      <c r="AH325" s="94">
        <f t="shared" si="28"/>
        <v>2</v>
      </c>
      <c r="AI325" s="89" t="str">
        <f>Registro!AE325</f>
        <v>f) 11 o más horas</v>
      </c>
      <c r="AJ325" s="89" t="str">
        <f>Registro!AF325</f>
        <v>i) Leo revistas o libros, l) Escucho música y/o veo videos musicales, n) Estoy conversando con los amigos/as</v>
      </c>
      <c r="AK325" s="94">
        <f t="shared" si="29"/>
        <v>3</v>
      </c>
      <c r="AL325" s="89" t="str">
        <f>Registro!AG325</f>
        <v>c) Regular</v>
      </c>
      <c r="AM325" s="89" t="str">
        <f>Registro!AH325</f>
        <v>f) No aplica</v>
      </c>
      <c r="AN325" s="89" t="str">
        <f>Registro!AI325</f>
        <v>c) Regular</v>
      </c>
      <c r="AO325" s="89" t="str">
        <f>Registro!AJ325</f>
        <v>b) Buena</v>
      </c>
      <c r="AP325" s="89" t="str">
        <f>Registro!AK325</f>
        <v>f) No aplica</v>
      </c>
      <c r="AQ325" s="89" t="str">
        <f>Registro!AL325</f>
        <v>a) Muy buena</v>
      </c>
      <c r="AR325" s="89" t="str">
        <f>Registro!AM325</f>
        <v>b) Buena</v>
      </c>
      <c r="AS325" s="89" t="str">
        <f>Registro!AN325</f>
        <v>b) Buena</v>
      </c>
      <c r="AT325" s="89" t="str">
        <f>Registro!AO325</f>
        <v>a) Muy buena</v>
      </c>
      <c r="AU325" s="89" t="str">
        <f>Registro!AP325</f>
        <v>b) Buena</v>
      </c>
      <c r="AV325" s="89" t="str">
        <f>Registro!AQ325</f>
        <v>c) Regular</v>
      </c>
      <c r="AW325" s="89" t="str">
        <f>Registro!AR325</f>
        <v>d) La formación del carácter</v>
      </c>
      <c r="AX325" s="89" t="str">
        <f>Registro!AS325</f>
        <v>e) Que sea cristiano responsable</v>
      </c>
      <c r="AY325" s="89" t="str">
        <f>Registro!AT325</f>
        <v>d) Bastante necesaria</v>
      </c>
      <c r="AZ325" s="89" t="str">
        <f>Registro!AU325</f>
        <v>a) No acostumbro a tomarlo nunca</v>
      </c>
      <c r="BA325" s="89" t="str">
        <f>Registro!AV325</f>
        <v>e) Educadores que se preocupan de nosotros</v>
      </c>
      <c r="BB325" s="89" t="str">
        <f>Registro!AW325</f>
        <v>c) Bastante</v>
      </c>
      <c r="BC325" s="89" t="str">
        <f>Registro!AX325</f>
        <v>e) Son personas que me gustan y admiro</v>
      </c>
      <c r="BD325" s="89" t="str">
        <f>Registro!AY325</f>
        <v>b) Mi madre, c) Un hermano/a, h) Una amiga</v>
      </c>
    </row>
    <row r="326" spans="1:56" ht="15" customHeight="1" x14ac:dyDescent="0.25">
      <c r="A326" s="101">
        <f>Registro!A326</f>
        <v>42283.418437499997</v>
      </c>
      <c r="B326" s="89" t="str">
        <f>Registro!B326</f>
        <v>b) Calasanz de Valencia</v>
      </c>
      <c r="C326" s="89" t="str">
        <f>Registro!C326</f>
        <v>b) Tercer año</v>
      </c>
      <c r="D326" s="89" t="str">
        <f>Registro!D326</f>
        <v>a) Educación Inicial</v>
      </c>
      <c r="E326" s="89" t="str">
        <f>Registro!E326</f>
        <v>a) Masculino</v>
      </c>
      <c r="F326" s="89" t="str">
        <f>Registro!F326</f>
        <v>a) Católica</v>
      </c>
      <c r="G326" s="89" t="str">
        <f>Registro!G326</f>
        <v>a) Mamá, b) Papá, c) Hermanos</v>
      </c>
      <c r="H326" s="89" t="str">
        <f>Registro!H326</f>
        <v>c) Apartamento</v>
      </c>
      <c r="I326" s="89" t="str">
        <f>Registro!I326</f>
        <v>a) Sí</v>
      </c>
      <c r="J326" s="89" t="str">
        <f>Registro!J326</f>
        <v>a) Cónsola videojuegos, b) Lavadora, c) Microondas, d) TV pantalla plana, f) MP3, h) Carro, i) Computadora</v>
      </c>
      <c r="K326" s="89" t="str">
        <f>Registro!K326</f>
        <v>c) Dos</v>
      </c>
      <c r="L326" s="89" t="str">
        <f>Registro!L326</f>
        <v>a) La familia, f) Mi fe y vida cristiana, g) La felicidad</v>
      </c>
      <c r="M326" s="94">
        <f t="shared" si="25"/>
        <v>3</v>
      </c>
      <c r="N326" s="89" t="str">
        <f>Registro!M326</f>
        <v>b) El futuro</v>
      </c>
      <c r="O326" s="89" t="str">
        <f>Registro!N326</f>
        <v>b) Suficiente</v>
      </c>
      <c r="P326" s="89" t="str">
        <f>Registro!O326</f>
        <v>a) Mucho</v>
      </c>
      <c r="Q326" s="89" t="str">
        <f>Registro!P326</f>
        <v>b) Suficiente</v>
      </c>
      <c r="R326" s="89" t="str">
        <f>Registro!Q326</f>
        <v>a) La familia, c) Los estudios, g) La felicidad</v>
      </c>
      <c r="S326" s="94">
        <f t="shared" si="26"/>
        <v>3</v>
      </c>
      <c r="T326" s="89" t="str">
        <f>Registro!R326</f>
        <v>a) Mucho</v>
      </c>
      <c r="U326" s="89" t="str">
        <f>Registro!S326</f>
        <v>a) La Iglesia, c) El salón de clase, d) Las convivencias, k) La oración, l) Los sacramentos</v>
      </c>
      <c r="V326" s="89" t="str">
        <f>Registro!T326</f>
        <v>b) Rezo por costumbre</v>
      </c>
      <c r="W326" s="89" t="str">
        <f>Registro!U326</f>
        <v>c) Solo en fechas especiales</v>
      </c>
      <c r="X326" s="89" t="str">
        <f>Registro!V326</f>
        <v>a) Suelo llevar una cruz o algún objeto religioso, e) Voy a misa en las fechas de mis familiares difuntos, f) En alguna ocasión he rezado el rosario, i) Tengo en mi cuarto alguna imagen religiosa</v>
      </c>
      <c r="Y326" s="89" t="str">
        <f>Registro!W326</f>
        <v>a) Deportivo</v>
      </c>
      <c r="Z326" s="89" t="str">
        <f>Registro!X326</f>
        <v>d) No pertenezco a grupos juveniles cristianos</v>
      </c>
      <c r="AA326" s="89" t="str">
        <f>Registro!Y326</f>
        <v>b) No</v>
      </c>
      <c r="AB326" s="89" t="str">
        <f>Registro!Z326</f>
        <v>b) No</v>
      </c>
      <c r="AC326" s="89" t="str">
        <f>Registro!AA326</f>
        <v>e) Derecho, h) Ciencias políticas</v>
      </c>
      <c r="AD326" s="94">
        <f t="shared" si="27"/>
        <v>2</v>
      </c>
      <c r="AE326" s="89" t="str">
        <f>Registro!AB326</f>
        <v>e) Servir a los demás</v>
      </c>
      <c r="AF326" s="89" t="str">
        <f>Registro!AC326</f>
        <v>d) Mucho o muchísimo</v>
      </c>
      <c r="AG326" s="89" t="str">
        <f>Registro!AD326</f>
        <v>b) El ambiente de estudio y de trabajo, f) La igualdad de trato que se da a todos</v>
      </c>
      <c r="AH326" s="94">
        <f t="shared" si="28"/>
        <v>2</v>
      </c>
      <c r="AI326" s="89" t="str">
        <f>Registro!AE326</f>
        <v>d) 7 a 8 horas</v>
      </c>
      <c r="AJ326" s="89" t="str">
        <f>Registro!AF326</f>
        <v>k) Practico algún deporte, m) Veo televisión y/o películas, n) Estoy conversando con los amigos/as</v>
      </c>
      <c r="AK326" s="94">
        <f t="shared" si="29"/>
        <v>3</v>
      </c>
      <c r="AL326" s="89" t="str">
        <f>Registro!AG326</f>
        <v>b) Bueno</v>
      </c>
      <c r="AM326" s="89" t="str">
        <f>Registro!AH326</f>
        <v>b) Buena</v>
      </c>
      <c r="AN326" s="89" t="str">
        <f>Registro!AI326</f>
        <v>b) Buena</v>
      </c>
      <c r="AO326" s="89" t="str">
        <f>Registro!AJ326</f>
        <v>b) Buena</v>
      </c>
      <c r="AP326" s="89" t="str">
        <f>Registro!AK326</f>
        <v>a) Muy buena</v>
      </c>
      <c r="AQ326" s="89" t="str">
        <f>Registro!AL326</f>
        <v>c) Regular</v>
      </c>
      <c r="AR326" s="89" t="str">
        <f>Registro!AM326</f>
        <v>b) Buena</v>
      </c>
      <c r="AS326" s="89" t="str">
        <f>Registro!AN326</f>
        <v>b) Buena</v>
      </c>
      <c r="AT326" s="89" t="str">
        <f>Registro!AO326</f>
        <v>a) Muy buena</v>
      </c>
      <c r="AU326" s="89">
        <f>Registro!AP326</f>
        <v>0</v>
      </c>
      <c r="AV326" s="89" t="str">
        <f>Registro!AQ326</f>
        <v>a) Muy buena</v>
      </c>
      <c r="AW326" s="89" t="str">
        <f>Registro!AR326</f>
        <v>b) La orientación cristiana</v>
      </c>
      <c r="AX326" s="89" t="str">
        <f>Registro!AS326</f>
        <v>e) Que sea cristiano responsable</v>
      </c>
      <c r="AY326" s="89" t="str">
        <f>Registro!AT326</f>
        <v>e) Absolutamente necesaria</v>
      </c>
      <c r="AZ326" s="89" t="str">
        <f>Registro!AU326</f>
        <v>a) No acostumbro a tomarlo nunca</v>
      </c>
      <c r="BA326" s="89" t="str">
        <f>Registro!AV326</f>
        <v>e) Educadores que se preocupan de nosotros</v>
      </c>
      <c r="BB326" s="89" t="str">
        <f>Registro!AW326</f>
        <v>c) Bastante</v>
      </c>
      <c r="BC326" s="89" t="str">
        <f>Registro!AX326</f>
        <v>e) Son personas que me gustan y admiro</v>
      </c>
      <c r="BD326" s="89" t="str">
        <f>Registro!AY326</f>
        <v>a) Mi padre, b) Mi madre, g) Un amigo</v>
      </c>
    </row>
    <row r="327" spans="1:56" ht="15" customHeight="1" x14ac:dyDescent="0.25">
      <c r="A327" s="101">
        <f>Registro!A327</f>
        <v>42283.418449074074</v>
      </c>
      <c r="B327" s="89" t="str">
        <f>Registro!B327</f>
        <v>b) Calasanz de Valencia</v>
      </c>
      <c r="C327" s="89" t="str">
        <f>Registro!C327</f>
        <v>b) Tercer año</v>
      </c>
      <c r="D327" s="89" t="str">
        <f>Registro!D327</f>
        <v>a) Educación Inicial</v>
      </c>
      <c r="E327" s="89" t="str">
        <f>Registro!E327</f>
        <v>a) Masculino</v>
      </c>
      <c r="F327" s="89" t="str">
        <f>Registro!F327</f>
        <v>a) Católica</v>
      </c>
      <c r="G327" s="89" t="str">
        <f>Registro!G327</f>
        <v>a) Mamá, b) Papá, c) Hermanos, d) Abuelos, e) Otros familiares</v>
      </c>
      <c r="H327" s="89" t="str">
        <f>Registro!H327</f>
        <v>c) Apartamento</v>
      </c>
      <c r="I327" s="89" t="str">
        <f>Registro!I327</f>
        <v>a) Sí</v>
      </c>
      <c r="J327" s="89" t="str">
        <f>Registro!J327</f>
        <v>a) Cónsola videojuegos, b) Lavadora, c) Microondas, d) TV pantalla plana, h) Carro, i) Computadora, j) Cámara digital, k) Aire acondicionado</v>
      </c>
      <c r="K327" s="89" t="str">
        <f>Registro!K327</f>
        <v>b) Una</v>
      </c>
      <c r="L327" s="89" t="str">
        <f>Registro!L327</f>
        <v>a) La familia, b) Los amigos, g) La felicidad</v>
      </c>
      <c r="M327" s="94">
        <f t="shared" si="25"/>
        <v>3</v>
      </c>
      <c r="N327" s="89" t="str">
        <f>Registro!M327</f>
        <v>b) El futuro</v>
      </c>
      <c r="O327" s="89" t="str">
        <f>Registro!N327</f>
        <v>b) Suficiente</v>
      </c>
      <c r="P327" s="89" t="str">
        <f>Registro!O327</f>
        <v>b) Suficiente</v>
      </c>
      <c r="Q327" s="89" t="str">
        <f>Registro!P327</f>
        <v>b) Suficiente</v>
      </c>
      <c r="R327" s="89"/>
      <c r="S327" s="94">
        <f t="shared" si="26"/>
        <v>0</v>
      </c>
      <c r="T327" s="89" t="str">
        <f>Registro!R327</f>
        <v>a) Mucho</v>
      </c>
      <c r="U327" s="89" t="str">
        <f>Registro!S327</f>
        <v>a) La Iglesia, b) La naturaleza, g) Mi familia, i) Los necesitados</v>
      </c>
      <c r="V327" s="89" t="str">
        <f>Registro!T327</f>
        <v>a) Suelo rezar por convicción o porque me gusta</v>
      </c>
      <c r="W327" s="89" t="str">
        <f>Registro!U327</f>
        <v>b) Algunos domingos</v>
      </c>
      <c r="X327" s="89" t="str">
        <f>Registro!V327</f>
        <v>a) Suelo llevar una cruz o algún objeto religioso, c) Suelo ir los domingos y otras fechas especiales a la Iglesia, e) Voy a misa en las fechas de mis familiares difuntos, g) En ocasiones, en mi casa tenemos una oración familiar, h) En Semana Santa asisto a las procesiones, i) Tengo en mi cuarto alguna imagen religiosa</v>
      </c>
      <c r="Y327" s="89" t="str">
        <f>Registro!W327</f>
        <v>a) Deportivo</v>
      </c>
      <c r="Z327" s="89" t="str">
        <f>Registro!X327</f>
        <v>a) Un grupo donde profundizo mi fe</v>
      </c>
      <c r="AA327" s="89" t="str">
        <f>Registro!Y327</f>
        <v>c) Algo</v>
      </c>
      <c r="AB327" s="89" t="str">
        <f>Registro!Z327</f>
        <v>b) No</v>
      </c>
      <c r="AC327" s="89"/>
      <c r="AD327" s="94">
        <f t="shared" si="27"/>
        <v>0</v>
      </c>
      <c r="AE327" s="89" t="str">
        <f>Registro!AB327</f>
        <v>d) Desarrollarme personalmente</v>
      </c>
      <c r="AF327" s="89" t="str">
        <f>Registro!AC327</f>
        <v>c) Bastante</v>
      </c>
      <c r="AG327" s="89" t="str">
        <f>Registro!AD327</f>
        <v>a) Los deportes y diversiones, f) La igualdad de trato que se da a todos</v>
      </c>
      <c r="AH327" s="94">
        <f t="shared" si="28"/>
        <v>2</v>
      </c>
      <c r="AI327" s="89" t="str">
        <f>Registro!AE327</f>
        <v>b) 3 a 4 horas</v>
      </c>
      <c r="AJ327" s="89" t="str">
        <f>Registro!AF327</f>
        <v>h) Suelo ir al cine, k) Practico algún deporte, n) Estoy conversando con los amigos/as</v>
      </c>
      <c r="AK327" s="94">
        <f t="shared" si="29"/>
        <v>3</v>
      </c>
      <c r="AL327" s="89" t="str">
        <f>Registro!AG327</f>
        <v>b) Bueno</v>
      </c>
      <c r="AM327" s="89" t="str">
        <f>Registro!AH327</f>
        <v>c) Regular</v>
      </c>
      <c r="AN327" s="89" t="str">
        <f>Registro!AI327</f>
        <v>c) Regular</v>
      </c>
      <c r="AO327" s="89" t="str">
        <f>Registro!AJ327</f>
        <v>b) Buena</v>
      </c>
      <c r="AP327" s="89" t="str">
        <f>Registro!AK327</f>
        <v>c) Regular</v>
      </c>
      <c r="AQ327" s="89" t="str">
        <f>Registro!AL327</f>
        <v>b) Buena</v>
      </c>
      <c r="AR327" s="89" t="str">
        <f>Registro!AM327</f>
        <v>b) Buena</v>
      </c>
      <c r="AS327" s="89" t="str">
        <f>Registro!AN327</f>
        <v>c) Regular</v>
      </c>
      <c r="AT327" s="89" t="str">
        <f>Registro!AO327</f>
        <v>b) Buena</v>
      </c>
      <c r="AU327" s="89" t="str">
        <f>Registro!AP327</f>
        <v>c) Regular</v>
      </c>
      <c r="AV327" s="89" t="str">
        <f>Registro!AQ327</f>
        <v>c) Regular</v>
      </c>
      <c r="AW327" s="89" t="str">
        <f>Registro!AR327</f>
        <v>d) La formación del carácter</v>
      </c>
      <c r="AX327" s="89" t="str">
        <f>Registro!AS327</f>
        <v>a) Que sea un buen profesional</v>
      </c>
      <c r="AY327" s="89" t="str">
        <f>Registro!AT327</f>
        <v>d) Bastante necesaria</v>
      </c>
      <c r="AZ327" s="89" t="str">
        <f>Registro!AU327</f>
        <v>b) Las veces que bebo, es con moderación</v>
      </c>
      <c r="BA327" s="89" t="str">
        <f>Registro!AV327</f>
        <v>e) Educadores que se preocupan de nosotros</v>
      </c>
      <c r="BB327" s="89" t="str">
        <f>Registro!AW327</f>
        <v>c) Bastante</v>
      </c>
      <c r="BC327" s="89" t="str">
        <f>Registro!AX327</f>
        <v>e) Son personas que me gustan y admiro</v>
      </c>
      <c r="BD327" s="89" t="str">
        <f>Registro!AY327</f>
        <v>a) Mi padre, b) Mi madre, c) Un hermano/a, e) Un, una docente, g) Un amigo</v>
      </c>
    </row>
    <row r="328" spans="1:56" ht="15" customHeight="1" x14ac:dyDescent="0.25">
      <c r="A328" s="101">
        <f>Registro!A328</f>
        <v>42283.41851851852</v>
      </c>
      <c r="B328" s="89" t="str">
        <f>Registro!B328</f>
        <v>b) Calasanz de Valencia</v>
      </c>
      <c r="C328" s="89" t="str">
        <f>Registro!C328</f>
        <v>b) Tercer año</v>
      </c>
      <c r="D328" s="89" t="str">
        <f>Registro!D328</f>
        <v>a) Educación Inicial</v>
      </c>
      <c r="E328" s="89" t="str">
        <f>Registro!E328</f>
        <v>a) Masculino</v>
      </c>
      <c r="F328" s="89" t="str">
        <f>Registro!F328</f>
        <v>a) Católica</v>
      </c>
      <c r="G328" s="89" t="str">
        <f>Registro!G328</f>
        <v>a) Mamá, b) Papá, c) Hermanos</v>
      </c>
      <c r="H328" s="89" t="str">
        <f>Registro!H328</f>
        <v>c) Apartamento</v>
      </c>
      <c r="I328" s="89" t="str">
        <f>Registro!I328</f>
        <v>c) Algo</v>
      </c>
      <c r="J328" s="89" t="str">
        <f>Registro!J328</f>
        <v>a) Cónsola videojuegos, b) Lavadora, c) Microondas, d) TV pantalla plana, e) Moto, f) MP3, h) Carro, i) Computadora, j) Cámara digital, k) Aire acondicionado</v>
      </c>
      <c r="K328" s="89" t="str">
        <f>Registro!K328</f>
        <v>c) Dos</v>
      </c>
      <c r="L328" s="89" t="str">
        <f>Registro!L328</f>
        <v>a) La familia, g) La felicidad, j) El deporte</v>
      </c>
      <c r="M328" s="94">
        <f t="shared" si="25"/>
        <v>3</v>
      </c>
      <c r="N328" s="89" t="str">
        <f>Registro!M328</f>
        <v>b) El futuro</v>
      </c>
      <c r="O328" s="89" t="str">
        <f>Registro!N328</f>
        <v>b) Suficiente</v>
      </c>
      <c r="P328" s="89" t="str">
        <f>Registro!O328</f>
        <v>c) Poco</v>
      </c>
      <c r="Q328" s="89" t="str">
        <f>Registro!P328</f>
        <v>a) Mucho</v>
      </c>
      <c r="R328" s="89" t="str">
        <f>Registro!Q328</f>
        <v>c) Los estudios, g) La felicidad, j) El deporte</v>
      </c>
      <c r="S328" s="94">
        <f t="shared" si="26"/>
        <v>3</v>
      </c>
      <c r="T328" s="89" t="str">
        <f>Registro!R328</f>
        <v>a) Mucho</v>
      </c>
      <c r="U328" s="89" t="str">
        <f>Registro!S328</f>
        <v>e) Los amigos, g) Mi familia, h) Algunas personas cercanas a Dios, i) Los necesitados, k) La oración</v>
      </c>
      <c r="V328" s="89" t="str">
        <f>Registro!T328</f>
        <v>c) Rezo solo en situación de dificultad</v>
      </c>
      <c r="W328" s="89" t="str">
        <f>Registro!U328</f>
        <v>b) Algunos domingos</v>
      </c>
      <c r="X328" s="89" t="str">
        <f>Registro!V328</f>
        <v>a) Suelo llevar una cruz o algún objeto religioso, d) Suelo orar todos los días, e) Voy a misa en las fechas de mis familiares difuntos, i) Tengo en mi cuarto alguna imagen religiosa</v>
      </c>
      <c r="Y328" s="89" t="str">
        <f>Registro!W328</f>
        <v>a) Deportivo</v>
      </c>
      <c r="Z328" s="89" t="str">
        <f>Registro!X328</f>
        <v>d) No pertenezco a grupos juveniles cristianos</v>
      </c>
      <c r="AA328" s="89" t="str">
        <f>Registro!Y328</f>
        <v>a) Sí</v>
      </c>
      <c r="AB328" s="89" t="str">
        <f>Registro!Z328</f>
        <v>b) No</v>
      </c>
      <c r="AC328" s="89" t="str">
        <f>Registro!AA328</f>
        <v>d) Ingeniería, i) Comerciante</v>
      </c>
      <c r="AD328" s="94">
        <f t="shared" si="27"/>
        <v>2</v>
      </c>
      <c r="AE328" s="89" t="str">
        <f>Registro!AB328</f>
        <v>c) Ser un excelente profesional</v>
      </c>
      <c r="AF328" s="89" t="str">
        <f>Registro!AC328</f>
        <v>c) Bastante</v>
      </c>
      <c r="AG328" s="89" t="str">
        <f>Registro!AD328</f>
        <v>a) Los deportes y diversiones, b) El ambiente de estudio y de trabajo</v>
      </c>
      <c r="AH328" s="94">
        <f t="shared" si="28"/>
        <v>2</v>
      </c>
      <c r="AI328" s="89" t="str">
        <f>Registro!AE328</f>
        <v>b) 3 a 4 horas</v>
      </c>
      <c r="AJ328" s="89"/>
      <c r="AK328" s="94">
        <f t="shared" si="29"/>
        <v>0</v>
      </c>
      <c r="AL328" s="89" t="str">
        <f>Registro!AG328</f>
        <v>c) Regular</v>
      </c>
      <c r="AM328" s="89" t="str">
        <f>Registro!AH328</f>
        <v>b) Buena</v>
      </c>
      <c r="AN328" s="89" t="str">
        <f>Registro!AI328</f>
        <v>b) Buena</v>
      </c>
      <c r="AO328" s="89" t="str">
        <f>Registro!AJ328</f>
        <v>b) Buena</v>
      </c>
      <c r="AP328" s="89" t="str">
        <f>Registro!AK328</f>
        <v>c) Regular</v>
      </c>
      <c r="AQ328" s="89" t="str">
        <f>Registro!AL328</f>
        <v>a) Muy buena</v>
      </c>
      <c r="AR328" s="89" t="str">
        <f>Registro!AM328</f>
        <v>b) Buena</v>
      </c>
      <c r="AS328" s="89" t="str">
        <f>Registro!AN328</f>
        <v>a) Muy buena</v>
      </c>
      <c r="AT328" s="89" t="str">
        <f>Registro!AO328</f>
        <v>c) Regular</v>
      </c>
      <c r="AU328" s="89" t="str">
        <f>Registro!AP328</f>
        <v>b) Buena</v>
      </c>
      <c r="AV328" s="89" t="str">
        <f>Registro!AQ328</f>
        <v>b) Buena</v>
      </c>
      <c r="AW328" s="89" t="str">
        <f>Registro!AR328</f>
        <v>g) La orientación profesional futura</v>
      </c>
      <c r="AX328" s="89" t="str">
        <f>Registro!AS328</f>
        <v>c) Que me preocupe de los demás</v>
      </c>
      <c r="AY328" s="89" t="str">
        <f>Registro!AT328</f>
        <v>e) Absolutamente necesaria</v>
      </c>
      <c r="AZ328" s="89" t="str">
        <f>Registro!AU328</f>
        <v>b) Las veces que bebo, es con moderación</v>
      </c>
      <c r="BA328" s="89" t="str">
        <f>Registro!AV328</f>
        <v>d) Buenos profesionales de la educación</v>
      </c>
      <c r="BB328" s="89" t="str">
        <f>Registro!AW328</f>
        <v>c) Bastante</v>
      </c>
      <c r="BC328" s="89" t="str">
        <f>Registro!AX328</f>
        <v>c) Son personas normales y corrientes</v>
      </c>
      <c r="BD328" s="89" t="str">
        <f>Registro!AY328</f>
        <v>c) Un hermano/a</v>
      </c>
    </row>
    <row r="329" spans="1:56" ht="15" customHeight="1" x14ac:dyDescent="0.25">
      <c r="A329" s="101">
        <f>Registro!A329</f>
        <v>42283.420277777775</v>
      </c>
      <c r="B329" s="89" t="str">
        <f>Registro!B329</f>
        <v>b) Calasanz de Valencia</v>
      </c>
      <c r="C329" s="89" t="str">
        <f>Registro!C329</f>
        <v>b) Tercer año</v>
      </c>
      <c r="D329" s="89" t="str">
        <f>Registro!D329</f>
        <v>a) Educación Inicial</v>
      </c>
      <c r="E329" s="89" t="str">
        <f>Registro!E329</f>
        <v>b) Femenino</v>
      </c>
      <c r="F329" s="89" t="str">
        <f>Registro!F329</f>
        <v>a) Católica</v>
      </c>
      <c r="G329" s="89" t="str">
        <f>Registro!G329</f>
        <v>a) Mamá, b) Papá, c) Hermanos, d) Abuelos</v>
      </c>
      <c r="H329" s="89" t="str">
        <f>Registro!H329</f>
        <v>c) Apartamento</v>
      </c>
      <c r="I329" s="89" t="str">
        <f>Registro!I329</f>
        <v>a) Sí</v>
      </c>
      <c r="J329" s="89" t="str">
        <f>Registro!J329</f>
        <v>a) Cónsola videojuegos, b) Lavadora, c) Microondas, d) TV pantalla plana, h) Carro, i) Computadora, k) Aire acondicionado</v>
      </c>
      <c r="K329" s="89" t="str">
        <f>Registro!K329</f>
        <v>c) Dos</v>
      </c>
      <c r="L329" s="89" t="str">
        <f>Registro!L329</f>
        <v>a) La familia, b) Los amigos, g) La felicidad</v>
      </c>
      <c r="M329" s="94">
        <f t="shared" si="25"/>
        <v>3</v>
      </c>
      <c r="N329" s="89" t="str">
        <f>Registro!M329</f>
        <v>d) Los problemas familiares</v>
      </c>
      <c r="O329" s="89" t="str">
        <f>Registro!N329</f>
        <v>a) Mucho</v>
      </c>
      <c r="P329" s="89" t="str">
        <f>Registro!O329</f>
        <v>b) Suficiente</v>
      </c>
      <c r="Q329" s="89" t="str">
        <f>Registro!P329</f>
        <v>b) Suficiente</v>
      </c>
      <c r="R329" s="89" t="str">
        <f>Registro!Q329</f>
        <v>a) La familia, c) Los estudios, g) La felicidad</v>
      </c>
      <c r="S329" s="94">
        <f t="shared" si="26"/>
        <v>3</v>
      </c>
      <c r="T329" s="89" t="str">
        <f>Registro!R329</f>
        <v>a) Mucho</v>
      </c>
      <c r="U329" s="89" t="str">
        <f>Registro!S329</f>
        <v>a) La Iglesia, c) El salón de clase, d) Las convivencias, g) Mi familia</v>
      </c>
      <c r="V329" s="89" t="str">
        <f>Registro!T329</f>
        <v>a) Suelo rezar por convicción o porque me gusta</v>
      </c>
      <c r="W329" s="89" t="str">
        <f>Registro!U329</f>
        <v>b) Algunos domingos</v>
      </c>
      <c r="X329" s="89" t="str">
        <f>Registro!V329</f>
        <v>c) Suelo ir los domingos y otras fechas especiales a la Iglesia, d) Suelo orar todos los días</v>
      </c>
      <c r="Y329" s="89" t="str">
        <f>Registro!W329</f>
        <v xml:space="preserve">a) Deportivo, b) Cultural (folklórico, musicales, danzas, scout, banda marcial,...) </v>
      </c>
      <c r="Z329" s="89" t="str">
        <f>Registro!X329</f>
        <v>b) Un lugar donde comparto con mis compañeros</v>
      </c>
      <c r="AA329" s="89" t="str">
        <f>Registro!Y329</f>
        <v>b) No</v>
      </c>
      <c r="AB329" s="89" t="str">
        <f>Registro!Z329</f>
        <v>b) No</v>
      </c>
      <c r="AC329" s="89" t="str">
        <f>Registro!AA329</f>
        <v>a) Medicina, i) Comerciante</v>
      </c>
      <c r="AD329" s="94">
        <f t="shared" si="27"/>
        <v>2</v>
      </c>
      <c r="AE329" s="89" t="str">
        <f>Registro!AB329</f>
        <v>c) Ser un excelente profesional</v>
      </c>
      <c r="AF329" s="89" t="str">
        <f>Registro!AC329</f>
        <v>c) Bastante</v>
      </c>
      <c r="AG329" s="89" t="str">
        <f>Registro!AD329</f>
        <v>a) Los deportes y diversiones, e) La mayor posibilidad de vivir mi fe</v>
      </c>
      <c r="AH329" s="94">
        <f t="shared" si="28"/>
        <v>2</v>
      </c>
      <c r="AI329" s="89" t="str">
        <f>Registro!AE329</f>
        <v>b) 3 a 4 horas</v>
      </c>
      <c r="AJ329" s="89" t="str">
        <f>Registro!AF329</f>
        <v>a) Me divierto con juegos para computadoras, h) Suelo ir al cine, i) Leo revistas o libros</v>
      </c>
      <c r="AK329" s="94">
        <f t="shared" si="29"/>
        <v>3</v>
      </c>
      <c r="AL329" s="89" t="str">
        <f>Registro!AG329</f>
        <v>b) Bueno</v>
      </c>
      <c r="AM329" s="89" t="str">
        <f>Registro!AH329</f>
        <v>b) Buena</v>
      </c>
      <c r="AN329" s="89" t="str">
        <f>Registro!AI329</f>
        <v>c) Regular</v>
      </c>
      <c r="AO329" s="89" t="str">
        <f>Registro!AJ329</f>
        <v>b) Buena</v>
      </c>
      <c r="AP329" s="89" t="str">
        <f>Registro!AK329</f>
        <v>b) Buena</v>
      </c>
      <c r="AQ329" s="89">
        <f>Registro!AL329</f>
        <v>0</v>
      </c>
      <c r="AR329" s="89">
        <f>Registro!AM329</f>
        <v>0</v>
      </c>
      <c r="AS329" s="89">
        <f>Registro!AN329</f>
        <v>0</v>
      </c>
      <c r="AT329" s="89">
        <f>Registro!AO329</f>
        <v>0</v>
      </c>
      <c r="AU329" s="89" t="str">
        <f>Registro!AP329</f>
        <v>b) Buena</v>
      </c>
      <c r="AV329" s="89" t="str">
        <f>Registro!AQ329</f>
        <v>a) Muy buena</v>
      </c>
      <c r="AW329" s="89" t="str">
        <f>Registro!AR329</f>
        <v>a) El compañerismo</v>
      </c>
      <c r="AX329" s="89" t="str">
        <f>Registro!AS329</f>
        <v>b) Darme una buena educación</v>
      </c>
      <c r="AY329" s="89" t="str">
        <f>Registro!AT329</f>
        <v>e) Absolutamente necesaria</v>
      </c>
      <c r="AZ329" s="89" t="str">
        <f>Registro!AU329</f>
        <v>a) No acostumbro a tomarlo nunca</v>
      </c>
      <c r="BA329" s="89" t="str">
        <f>Registro!AV329</f>
        <v>d) Buenos profesionales de la educación</v>
      </c>
      <c r="BB329" s="89" t="str">
        <f>Registro!AW329</f>
        <v>b) Poco</v>
      </c>
      <c r="BC329" s="89" t="str">
        <f>Registro!AX329</f>
        <v>d) Hay de todo tipo, pero predomina lo positivo</v>
      </c>
      <c r="BD329" s="89" t="str">
        <f>Registro!AY329</f>
        <v>b) Mi madre, c) Un hermano/a, g) Un amigo, h) Una amiga</v>
      </c>
    </row>
    <row r="330" spans="1:56" ht="15" customHeight="1" x14ac:dyDescent="0.25">
      <c r="A330" s="101">
        <f>Registro!A330</f>
        <v>42283.420717592591</v>
      </c>
      <c r="B330" s="89" t="str">
        <f>Registro!B330</f>
        <v>b) Calasanz de Valencia</v>
      </c>
      <c r="C330" s="89" t="str">
        <f>Registro!C330</f>
        <v>b) Tercer año</v>
      </c>
      <c r="D330" s="89" t="str">
        <f>Registro!D330</f>
        <v>b) Primaria</v>
      </c>
      <c r="E330" s="89" t="str">
        <f>Registro!E330</f>
        <v>b) Femenino</v>
      </c>
      <c r="F330" s="89" t="str">
        <f>Registro!F330</f>
        <v>a) Católica</v>
      </c>
      <c r="G330" s="89" t="str">
        <f>Registro!G330</f>
        <v>a) Mamá, b) Papá, c) Hermanos</v>
      </c>
      <c r="H330" s="89" t="str">
        <f>Registro!H330</f>
        <v>c) Apartamento</v>
      </c>
      <c r="I330" s="89" t="str">
        <f>Registro!I330</f>
        <v>c) Algo</v>
      </c>
      <c r="J330" s="89" t="str">
        <f>Registro!J330</f>
        <v>d) TV pantalla plana, h) Carro, i) Computadora, k) Aire acondicionado</v>
      </c>
      <c r="K330" s="89" t="str">
        <f>Registro!K330</f>
        <v>c) Dos</v>
      </c>
      <c r="L330" s="89" t="str">
        <f>Registro!L330</f>
        <v>f) Mi fe y vida cristiana, i) La música, k) El internet</v>
      </c>
      <c r="M330" s="94">
        <f t="shared" si="25"/>
        <v>3</v>
      </c>
      <c r="N330" s="89" t="str">
        <f>Registro!M330</f>
        <v>f) La situación política del país</v>
      </c>
      <c r="O330" s="89" t="str">
        <f>Registro!N330</f>
        <v>c) Poco</v>
      </c>
      <c r="P330" s="89" t="str">
        <f>Registro!O330</f>
        <v>d) Nada</v>
      </c>
      <c r="Q330" s="89" t="str">
        <f>Registro!P330</f>
        <v>c) Poco</v>
      </c>
      <c r="R330" s="89" t="str">
        <f>Registro!Q330</f>
        <v>c) Los estudios, d) El cuidado de mi cuerpo, j) El deporte</v>
      </c>
      <c r="S330" s="94">
        <f t="shared" si="26"/>
        <v>3</v>
      </c>
      <c r="T330" s="89" t="str">
        <f>Registro!R330</f>
        <v>b) Suficiente</v>
      </c>
      <c r="U330" s="89" t="str">
        <f>Registro!S330</f>
        <v>a) La Iglesia, k) La oración, l) Los sacramentos</v>
      </c>
      <c r="V330" s="89" t="str">
        <f>Registro!T330</f>
        <v>c) Rezo solo en situación de dificultad</v>
      </c>
      <c r="W330" s="89" t="str">
        <f>Registro!U330</f>
        <v>c) Solo en fechas especiales</v>
      </c>
      <c r="X330" s="89" t="str">
        <f>Registro!V330</f>
        <v>e) Voy a misa en las fechas de mis familiares difuntos</v>
      </c>
      <c r="Y330" s="89" t="str">
        <f>Registro!W330</f>
        <v>d) No pertenezco a ninguno</v>
      </c>
      <c r="Z330" s="89" t="str">
        <f>Registro!X330</f>
        <v>d) No pertenezco a grupos juveniles cristianos</v>
      </c>
      <c r="AA330" s="89" t="str">
        <f>Registro!Y330</f>
        <v>b) No</v>
      </c>
      <c r="AB330" s="89" t="str">
        <f>Registro!Z330</f>
        <v>b) No</v>
      </c>
      <c r="AC330" s="89" t="str">
        <f>Registro!AA330</f>
        <v>g) Artista</v>
      </c>
      <c r="AD330" s="94">
        <f t="shared" si="27"/>
        <v>1</v>
      </c>
      <c r="AE330" s="89" t="str">
        <f>Registro!AB330</f>
        <v>d) Desarrollarme personalmente</v>
      </c>
      <c r="AF330" s="89" t="str">
        <f>Registro!AC330</f>
        <v>b) Poco</v>
      </c>
      <c r="AG330" s="89" t="str">
        <f>Registro!AD330</f>
        <v>e) La mayor posibilidad de vivir mi fe</v>
      </c>
      <c r="AH330" s="94">
        <f t="shared" si="28"/>
        <v>1</v>
      </c>
      <c r="AI330" s="89" t="str">
        <f>Registro!AE330</f>
        <v>a) 0 a 2 horas</v>
      </c>
      <c r="AJ330" s="89" t="str">
        <f>Registro!AF330</f>
        <v>b) Navego en Internet, d) Estoy la mayor parte del tiempo en la casa sin hacer nada, l) Escucho música y/o veo videos musicales</v>
      </c>
      <c r="AK330" s="94">
        <f t="shared" si="29"/>
        <v>3</v>
      </c>
      <c r="AL330" s="89" t="str">
        <f>Registro!AG330</f>
        <v>b) Bueno</v>
      </c>
      <c r="AM330" s="89" t="str">
        <f>Registro!AH330</f>
        <v>c) Regular</v>
      </c>
      <c r="AN330" s="89" t="str">
        <f>Registro!AI330</f>
        <v>c) Regular</v>
      </c>
      <c r="AO330" s="89" t="str">
        <f>Registro!AJ330</f>
        <v>c) Regular</v>
      </c>
      <c r="AP330" s="89" t="str">
        <f>Registro!AK330</f>
        <v>c) Regular</v>
      </c>
      <c r="AQ330" s="89" t="str">
        <f>Registro!AL330</f>
        <v>b) Buena</v>
      </c>
      <c r="AR330" s="89" t="str">
        <f>Registro!AM330</f>
        <v>e) Muy mala</v>
      </c>
      <c r="AS330" s="89" t="str">
        <f>Registro!AN330</f>
        <v>c) Regular</v>
      </c>
      <c r="AT330" s="89" t="str">
        <f>Registro!AO330</f>
        <v>c) Regular</v>
      </c>
      <c r="AU330" s="89" t="str">
        <f>Registro!AP330</f>
        <v>b) Buena</v>
      </c>
      <c r="AV330" s="89" t="str">
        <f>Registro!AQ330</f>
        <v>c) Regular</v>
      </c>
      <c r="AW330" s="89" t="str">
        <f>Registro!AR330</f>
        <v>e) La disciplina y el orden</v>
      </c>
      <c r="AX330" s="89" t="str">
        <f>Registro!AS330</f>
        <v>b) Darme una buena educación</v>
      </c>
      <c r="AY330" s="89" t="str">
        <f>Registro!AT330</f>
        <v>c) Conveniente</v>
      </c>
      <c r="AZ330" s="89" t="str">
        <f>Registro!AU330</f>
        <v>a) No acostumbro a tomarlo nunca</v>
      </c>
      <c r="BA330" s="89" t="str">
        <f>Registro!AV330</f>
        <v>a) Personas a las que tengo que aguantar</v>
      </c>
      <c r="BB330" s="89" t="str">
        <f>Registro!AW330</f>
        <v>a) No, en absoluto</v>
      </c>
      <c r="BC330" s="89" t="str">
        <f>Registro!AX330</f>
        <v>c) Son personas normales y corrientes</v>
      </c>
      <c r="BD330" s="89" t="str">
        <f>Registro!AY330</f>
        <v>a) Mi padre, b) Mi madre, c) Un hermano/a, f) La orientadora, h) Una amiga</v>
      </c>
    </row>
    <row r="331" spans="1:56" ht="15" customHeight="1" x14ac:dyDescent="0.25">
      <c r="A331" s="101">
        <f>Registro!A331</f>
        <v>42283.421909722223</v>
      </c>
      <c r="B331" s="89" t="str">
        <f>Registro!B331</f>
        <v>b) Calasanz de Valencia</v>
      </c>
      <c r="C331" s="89" t="str">
        <f>Registro!C331</f>
        <v>b) Tercer año</v>
      </c>
      <c r="D331" s="89" t="str">
        <f>Registro!D331</f>
        <v>b) Primaria</v>
      </c>
      <c r="E331" s="89" t="str">
        <f>Registro!E331</f>
        <v>a) Masculino</v>
      </c>
      <c r="F331" s="89" t="str">
        <f>Registro!F331</f>
        <v>a) Católica</v>
      </c>
      <c r="G331" s="89" t="str">
        <f>Registro!G331</f>
        <v>a) Mamá, b) Papá, c) Hermanos</v>
      </c>
      <c r="H331" s="89" t="str">
        <f>Registro!H331</f>
        <v>c) Apartamento</v>
      </c>
      <c r="I331" s="89" t="str">
        <f>Registro!I331</f>
        <v>c) Algo</v>
      </c>
      <c r="J331" s="89" t="str">
        <f>Registro!J331</f>
        <v>a) Cónsola videojuegos, b) Lavadora, c) Microondas, d) TV pantalla plana, h) Carro, i) Computadora, j) Cámara digital, k) Aire acondicionado</v>
      </c>
      <c r="K331" s="89" t="str">
        <f>Registro!K331</f>
        <v>c) Dos</v>
      </c>
      <c r="L331" s="89" t="str">
        <f>Registro!L331</f>
        <v>a) La familia, b) Los amigos, g) La felicidad</v>
      </c>
      <c r="M331" s="94">
        <f t="shared" si="25"/>
        <v>3</v>
      </c>
      <c r="N331" s="89" t="str">
        <f>Registro!M331</f>
        <v>h) Los amigos</v>
      </c>
      <c r="O331" s="89" t="str">
        <f>Registro!N331</f>
        <v>d) Nada</v>
      </c>
      <c r="P331" s="89" t="str">
        <f>Registro!O331</f>
        <v>c) Poco</v>
      </c>
      <c r="Q331" s="89" t="str">
        <f>Registro!P331</f>
        <v>c) Poco</v>
      </c>
      <c r="R331" s="89" t="str">
        <f>Registro!Q331</f>
        <v>a) La familia, b) Los amigos, c) Los estudios</v>
      </c>
      <c r="S331" s="94">
        <f t="shared" si="26"/>
        <v>3</v>
      </c>
      <c r="T331" s="89" t="str">
        <f>Registro!R331</f>
        <v>b) Suficiente</v>
      </c>
      <c r="U331" s="89" t="str">
        <f>Registro!S331</f>
        <v>a) La Iglesia, b) La naturaleza, c) El salón de clase, d) Las convivencias, e) Los amigos, f) Todas las personas, g) Mi familia, h) Algunas personas cercanas a Dios, i) Los necesitados, j) Todas partes, k) La oración, l) Los sacramentos</v>
      </c>
      <c r="V331" s="89" t="str">
        <f>Registro!T331</f>
        <v>c) Rezo solo en situación de dificultad</v>
      </c>
      <c r="W331" s="89" t="str">
        <f>Registro!U331</f>
        <v>c) Solo en fechas especiales</v>
      </c>
      <c r="X331" s="89" t="str">
        <f>Registro!V331</f>
        <v>e) Voy a misa en las fechas de mis familiares difuntos, f) En alguna ocasión he rezado el rosario, h) En Semana Santa asisto a las procesiones, i) Tengo en mi cuarto alguna imagen religiosa</v>
      </c>
      <c r="Y331" s="89" t="str">
        <f>Registro!W331</f>
        <v xml:space="preserve">a) Deportivo, b) Cultural (folklórico, musicales, danzas, scout, banda marcial,...) </v>
      </c>
      <c r="Z331" s="89" t="str">
        <f>Registro!X331</f>
        <v>a) Un grupo donde profundizo mi fe</v>
      </c>
      <c r="AA331" s="89" t="str">
        <f>Registro!Y331</f>
        <v>a) Sí</v>
      </c>
      <c r="AB331" s="89" t="str">
        <f>Registro!Z331</f>
        <v>b) No</v>
      </c>
      <c r="AC331" s="89" t="str">
        <f>Registro!AA331</f>
        <v>d) Ingeniería, g) Artista</v>
      </c>
      <c r="AD331" s="94">
        <f t="shared" si="27"/>
        <v>2</v>
      </c>
      <c r="AE331" s="89" t="str">
        <f>Registro!AB331</f>
        <v>d) Desarrollarme personalmente</v>
      </c>
      <c r="AF331" s="89" t="str">
        <f>Registro!AC331</f>
        <v>d) Mucho o muchísimo</v>
      </c>
      <c r="AG331" s="89" t="str">
        <f>Registro!AD331</f>
        <v>a) Los deportes y diversiones, g) La relación con los docentes</v>
      </c>
      <c r="AH331" s="94">
        <f t="shared" si="28"/>
        <v>2</v>
      </c>
      <c r="AI331" s="89" t="str">
        <f>Registro!AE331</f>
        <v>d) 7 a 8 horas</v>
      </c>
      <c r="AJ331" s="89" t="str">
        <f>Registro!AF331</f>
        <v>e) Suelo ir a algún parque, f) Toco un instrumento musical, n) Estoy conversando con los amigos/as</v>
      </c>
      <c r="AK331" s="94">
        <f t="shared" si="29"/>
        <v>3</v>
      </c>
      <c r="AL331" s="89" t="str">
        <f>Registro!AG331</f>
        <v>c) Regular</v>
      </c>
      <c r="AM331" s="89" t="str">
        <f>Registro!AH331</f>
        <v>c) Regular</v>
      </c>
      <c r="AN331" s="89" t="str">
        <f>Registro!AI331</f>
        <v>c) Regular</v>
      </c>
      <c r="AO331" s="89" t="str">
        <f>Registro!AJ331</f>
        <v>c) Regular</v>
      </c>
      <c r="AP331" s="89" t="str">
        <f>Registro!AK331</f>
        <v>c) Regular</v>
      </c>
      <c r="AQ331" s="89" t="str">
        <f>Registro!AL331</f>
        <v>c) Regular</v>
      </c>
      <c r="AR331" s="89" t="str">
        <f>Registro!AM331</f>
        <v>b) Buena</v>
      </c>
      <c r="AS331" s="89" t="str">
        <f>Registro!AN331</f>
        <v>b) Buena</v>
      </c>
      <c r="AT331" s="89" t="str">
        <f>Registro!AO331</f>
        <v>a) Muy buena</v>
      </c>
      <c r="AU331" s="89" t="str">
        <f>Registro!AP331</f>
        <v>a) Muy buena</v>
      </c>
      <c r="AV331" s="89" t="str">
        <f>Registro!AQ331</f>
        <v>c) Regular</v>
      </c>
      <c r="AW331" s="89" t="str">
        <f>Registro!AR331</f>
        <v>i) En nada</v>
      </c>
      <c r="AX331" s="89" t="str">
        <f>Registro!AS331</f>
        <v>h) No sé</v>
      </c>
      <c r="AY331" s="89" t="str">
        <f>Registro!AT331</f>
        <v>d) Bastante necesaria</v>
      </c>
      <c r="AZ331" s="89" t="str">
        <f>Registro!AU331</f>
        <v>b) Las veces que bebo, es con moderación</v>
      </c>
      <c r="BA331" s="89" t="str">
        <f>Registro!AV331</f>
        <v>c) Profesionales que hacen lo que pueden</v>
      </c>
      <c r="BB331" s="89" t="str">
        <f>Registro!AW331</f>
        <v>b) Poco</v>
      </c>
      <c r="BC331" s="89" t="str">
        <f>Registro!AX331</f>
        <v>d) Hay de todo tipo, pero predomina lo positivo</v>
      </c>
      <c r="BD331" s="89" t="str">
        <f>Registro!AY331</f>
        <v>e) Un, una docente, g) Un amigo, h) Una amiga</v>
      </c>
    </row>
    <row r="332" spans="1:56" ht="15" customHeight="1" x14ac:dyDescent="0.25">
      <c r="A332" s="101">
        <f>Registro!A332</f>
        <v>42314.290949074071</v>
      </c>
      <c r="B332" s="89" t="str">
        <f>Registro!B332</f>
        <v>b) Calasanz de Valencia</v>
      </c>
      <c r="C332" s="89" t="str">
        <f>Registro!C332</f>
        <v>a) Primer año</v>
      </c>
      <c r="D332" s="89" t="str">
        <f>Registro!D332</f>
        <v>a) Educación Inicial</v>
      </c>
      <c r="E332" s="89" t="str">
        <f>Registro!E332</f>
        <v>a) Masculino</v>
      </c>
      <c r="F332" s="89" t="str">
        <f>Registro!F332</f>
        <v>a) Católica</v>
      </c>
      <c r="G332" s="89" t="str">
        <f>Registro!G332</f>
        <v>a) Mamá, b) Papá, c) Hermanos, e) Otros familiares</v>
      </c>
      <c r="H332" s="89" t="str">
        <f>Registro!H332</f>
        <v>c) Apartamento</v>
      </c>
      <c r="I332" s="89" t="str">
        <f>Registro!I332</f>
        <v>c) Algo</v>
      </c>
      <c r="J332" s="89" t="str">
        <f>Registro!J332</f>
        <v>a) Cónsola videojuegos, b) Lavadora, c) Microondas, d) TV pantalla plana, e) Moto, f) MP3, g) MP4, h) Carro, i) Computadora, j) Cámara digital, k) Aire acondicionado</v>
      </c>
      <c r="K332" s="89" t="str">
        <f>Registro!K332</f>
        <v>f) Más de cuatro</v>
      </c>
      <c r="L332" s="89" t="str">
        <f>Registro!L332</f>
        <v>a) La familia, b) Los amigos, j) El deporte</v>
      </c>
      <c r="M332" s="94">
        <f t="shared" si="25"/>
        <v>3</v>
      </c>
      <c r="N332" s="89" t="str">
        <f>Registro!M332</f>
        <v>f) La situación política del país</v>
      </c>
      <c r="O332" s="89" t="str">
        <f>Registro!N332</f>
        <v>a) Mucho</v>
      </c>
      <c r="P332" s="89">
        <f>Registro!O332</f>
        <v>0</v>
      </c>
      <c r="Q332" s="89">
        <f>Registro!P332</f>
        <v>0</v>
      </c>
      <c r="R332" s="89">
        <f>Registro!Q332</f>
        <v>0</v>
      </c>
      <c r="S332" s="94">
        <f t="shared" si="26"/>
        <v>0</v>
      </c>
      <c r="T332" s="89">
        <f>Registro!R332</f>
        <v>0</v>
      </c>
      <c r="U332" s="89">
        <f>Registro!S332</f>
        <v>0</v>
      </c>
      <c r="V332" s="89">
        <f>Registro!T332</f>
        <v>0</v>
      </c>
      <c r="W332" s="89">
        <f>Registro!U332</f>
        <v>0</v>
      </c>
      <c r="X332" s="89">
        <f>Registro!V332</f>
        <v>0</v>
      </c>
      <c r="Y332" s="89">
        <f>Registro!W332</f>
        <v>0</v>
      </c>
      <c r="Z332" s="89">
        <f>Registro!X332</f>
        <v>0</v>
      </c>
      <c r="AA332" s="89">
        <f>Registro!Y332</f>
        <v>0</v>
      </c>
      <c r="AB332" s="89">
        <f>Registro!Z332</f>
        <v>0</v>
      </c>
      <c r="AC332" s="89">
        <f>Registro!AA332</f>
        <v>0</v>
      </c>
      <c r="AD332" s="94">
        <f t="shared" si="27"/>
        <v>0</v>
      </c>
      <c r="AE332" s="89">
        <f>Registro!AB332</f>
        <v>0</v>
      </c>
      <c r="AF332" s="89">
        <f>Registro!AC332</f>
        <v>0</v>
      </c>
      <c r="AG332" s="89">
        <f>Registro!AD332</f>
        <v>0</v>
      </c>
      <c r="AH332" s="94">
        <f t="shared" si="28"/>
        <v>0</v>
      </c>
      <c r="AI332" s="89">
        <f>Registro!AE332</f>
        <v>0</v>
      </c>
      <c r="AJ332" s="89">
        <f>Registro!AF332</f>
        <v>0</v>
      </c>
      <c r="AK332" s="94">
        <f t="shared" si="29"/>
        <v>0</v>
      </c>
      <c r="AL332" s="89">
        <f>Registro!AG332</f>
        <v>0</v>
      </c>
      <c r="AM332" s="89">
        <f>Registro!AH332</f>
        <v>0</v>
      </c>
      <c r="AN332" s="89">
        <f>Registro!AI332</f>
        <v>0</v>
      </c>
      <c r="AO332" s="89">
        <f>Registro!AJ332</f>
        <v>0</v>
      </c>
      <c r="AP332" s="89">
        <f>Registro!AK332</f>
        <v>0</v>
      </c>
      <c r="AQ332" s="89">
        <f>Registro!AL332</f>
        <v>0</v>
      </c>
      <c r="AR332" s="89">
        <f>Registro!AM332</f>
        <v>0</v>
      </c>
      <c r="AS332" s="89">
        <f>Registro!AN332</f>
        <v>0</v>
      </c>
      <c r="AT332" s="89">
        <f>Registro!AO332</f>
        <v>0</v>
      </c>
      <c r="AU332" s="89">
        <f>Registro!AP332</f>
        <v>0</v>
      </c>
      <c r="AV332" s="89">
        <f>Registro!AQ332</f>
        <v>0</v>
      </c>
      <c r="AW332" s="89">
        <f>Registro!AR332</f>
        <v>0</v>
      </c>
      <c r="AX332" s="89">
        <f>Registro!AS332</f>
        <v>0</v>
      </c>
      <c r="AY332" s="89">
        <f>Registro!AT332</f>
        <v>0</v>
      </c>
      <c r="AZ332" s="89">
        <f>Registro!AU332</f>
        <v>0</v>
      </c>
      <c r="BA332" s="89">
        <f>Registro!AV332</f>
        <v>0</v>
      </c>
      <c r="BB332" s="89">
        <f>Registro!AW332</f>
        <v>0</v>
      </c>
      <c r="BC332" s="89">
        <f>Registro!AX332</f>
        <v>0</v>
      </c>
      <c r="BD332" s="89">
        <f>Registro!AY332</f>
        <v>0</v>
      </c>
    </row>
    <row r="333" spans="1:56" ht="15" customHeight="1" x14ac:dyDescent="0.25">
      <c r="A333" s="101">
        <f>Registro!A333</f>
        <v>42314.293807870374</v>
      </c>
      <c r="B333" s="89" t="str">
        <f>Registro!B333</f>
        <v>b) Calasanz de Valencia</v>
      </c>
      <c r="C333" s="89" t="str">
        <f>Registro!C333</f>
        <v>a) Primer año</v>
      </c>
      <c r="D333" s="89" t="str">
        <f>Registro!D333</f>
        <v>b) Primaria</v>
      </c>
      <c r="E333" s="89" t="str">
        <f>Registro!E333</f>
        <v>a) Masculino</v>
      </c>
      <c r="F333" s="89" t="str">
        <f>Registro!F333</f>
        <v>a) Católica</v>
      </c>
      <c r="G333" s="89" t="str">
        <f>Registro!G333</f>
        <v>a) Mamá, b) Papá, c) Hermanos, d) Abuelos, e) Otros familiares</v>
      </c>
      <c r="H333" s="89" t="str">
        <f>Registro!H333</f>
        <v>d) Casa Rural</v>
      </c>
      <c r="I333" s="89" t="str">
        <f>Registro!I333</f>
        <v>a) Sí</v>
      </c>
      <c r="J333" s="89" t="str">
        <f>Registro!J333</f>
        <v>a) Cónsola videojuegos, b) Lavadora, c) Microondas, d) TV pantalla plana, e) Moto</v>
      </c>
      <c r="K333" s="89" t="str">
        <f>Registro!K333</f>
        <v>e) Cuatro</v>
      </c>
      <c r="L333" s="89"/>
      <c r="M333" s="94">
        <f t="shared" si="25"/>
        <v>0</v>
      </c>
      <c r="N333" s="89" t="str">
        <f>Registro!M333</f>
        <v>b) El futuro</v>
      </c>
      <c r="O333" s="89" t="str">
        <f>Registro!N333</f>
        <v>b) Suficiente</v>
      </c>
      <c r="P333" s="89" t="str">
        <f>Registro!O333</f>
        <v>c) Poco</v>
      </c>
      <c r="Q333" s="89" t="str">
        <f>Registro!P333</f>
        <v>c) Poco</v>
      </c>
      <c r="R333" s="89"/>
      <c r="S333" s="94">
        <f t="shared" si="26"/>
        <v>0</v>
      </c>
      <c r="T333" s="89" t="str">
        <f>Registro!R333</f>
        <v>a) Mucho</v>
      </c>
      <c r="U333" s="89" t="str">
        <f>Registro!S333</f>
        <v>a) La Iglesia, b) La naturaleza, c) El salón de clase, d) Las convivencias, e) Los amigos, f) Todas las personas, g) Mi familia, h) Algunas personas cercanas a Dios, i) Los necesitados, j) Todas partes, k) La oración, l) Los sacramentos</v>
      </c>
      <c r="V333" s="89" t="str">
        <f>Registro!T333</f>
        <v>b) Rezo por costumbre</v>
      </c>
      <c r="W333" s="89" t="str">
        <f>Registro!U333</f>
        <v>c) Solo en fechas especiales</v>
      </c>
      <c r="X333" s="89" t="str">
        <f>Registro!V333</f>
        <v>a) Suelo llevar una cruz o algún objeto religioso, c) Suelo ir los domingos y otras fechas especiales a la Iglesia, d) Suelo orar todos los días, e) Voy a misa en las fechas de mis familiares difuntos, f) En alguna ocasión he rezado el rosario, i) Tengo en mi cuarto alguna imagen religiosa</v>
      </c>
      <c r="Y333" s="89" t="str">
        <f>Registro!W333</f>
        <v>d) No pertenezco a ninguno</v>
      </c>
      <c r="Z333" s="89" t="str">
        <f>Registro!X333</f>
        <v>a) Un grupo donde profundizo mi fe</v>
      </c>
      <c r="AA333" s="89" t="str">
        <f>Registro!Y333</f>
        <v>a) Sí</v>
      </c>
      <c r="AB333" s="89" t="str">
        <f>Registro!Z333</f>
        <v>a) Sí</v>
      </c>
      <c r="AC333" s="89"/>
      <c r="AD333" s="94">
        <f t="shared" si="27"/>
        <v>0</v>
      </c>
      <c r="AE333" s="89" t="str">
        <f>Registro!AB333</f>
        <v>b) Tener una buena posición social, ser importante</v>
      </c>
      <c r="AF333" s="89" t="str">
        <f>Registro!AC333</f>
        <v>d) Mucho o muchísimo</v>
      </c>
      <c r="AG333" s="89"/>
      <c r="AH333" s="94">
        <f t="shared" si="28"/>
        <v>0</v>
      </c>
      <c r="AI333" s="89" t="str">
        <f>Registro!AE333</f>
        <v>a) 0 a 2 horas</v>
      </c>
      <c r="AJ333" s="89" t="str">
        <f>Registro!AF333</f>
        <v>d) Estoy la mayor parte del tiempo en la casa sin hacer nada, i) Leo revistas o libros, m) Veo televisión y/o películas</v>
      </c>
      <c r="AK333" s="94">
        <f t="shared" si="29"/>
        <v>3</v>
      </c>
      <c r="AL333" s="89" t="str">
        <f>Registro!AG333</f>
        <v>b) Bueno</v>
      </c>
      <c r="AM333" s="89" t="str">
        <f>Registro!AH333</f>
        <v>a) Muy buena</v>
      </c>
      <c r="AN333" s="89" t="str">
        <f>Registro!AI333</f>
        <v>a) Muy buena</v>
      </c>
      <c r="AO333" s="89" t="str">
        <f>Registro!AJ333</f>
        <v>a) Muy buena</v>
      </c>
      <c r="AP333" s="89" t="str">
        <f>Registro!AK333</f>
        <v>b) Buena</v>
      </c>
      <c r="AQ333" s="89" t="str">
        <f>Registro!AL333</f>
        <v>a) Muy buena</v>
      </c>
      <c r="AR333" s="89" t="str">
        <f>Registro!AM333</f>
        <v>a) Muy buena</v>
      </c>
      <c r="AS333" s="89" t="str">
        <f>Registro!AN333</f>
        <v>a) Muy buena</v>
      </c>
      <c r="AT333" s="89" t="str">
        <f>Registro!AO333</f>
        <v>a) Muy buena</v>
      </c>
      <c r="AU333" s="89" t="str">
        <f>Registro!AP333</f>
        <v>a) Muy buena</v>
      </c>
      <c r="AV333" s="89" t="str">
        <f>Registro!AQ333</f>
        <v>b) Buena</v>
      </c>
      <c r="AW333" s="89" t="str">
        <f>Registro!AR333</f>
        <v>c) El estudio</v>
      </c>
      <c r="AX333" s="89" t="str">
        <f>Registro!AS333</f>
        <v>b) Darme una buena educación</v>
      </c>
      <c r="AY333" s="89" t="str">
        <f>Registro!AT333</f>
        <v>d) Bastante necesaria</v>
      </c>
      <c r="AZ333" s="89" t="str">
        <f>Registro!AU333</f>
        <v>a) No acostumbro a tomarlo nunca</v>
      </c>
      <c r="BA333" s="89" t="str">
        <f>Registro!AV333</f>
        <v>f) Educadores que, además, me han abierto caminos</v>
      </c>
      <c r="BB333" s="89" t="str">
        <f>Registro!AW333</f>
        <v>c) Bastante</v>
      </c>
      <c r="BC333" s="89" t="str">
        <f>Registro!AX333</f>
        <v>d) Hay de todo tipo, pero predomina lo positivo</v>
      </c>
      <c r="BD333" s="89" t="str">
        <f>Registro!AY333</f>
        <v>a) Mi padre, b) Mi madre, d) Un escolapio, religioso o religiosa, e) Un, una docente, f) La orientadora, g) Un amigo, i) Un, una catequista o responsable de grupo</v>
      </c>
    </row>
    <row r="334" spans="1:56" ht="15" customHeight="1" x14ac:dyDescent="0.25">
      <c r="A334" s="101">
        <f>Registro!A334</f>
        <v>42314.294236111113</v>
      </c>
      <c r="B334" s="89" t="str">
        <f>Registro!B334</f>
        <v>b) Calasanz de Valencia</v>
      </c>
      <c r="C334" s="89" t="str">
        <f>Registro!C334</f>
        <v>a) Primer año</v>
      </c>
      <c r="D334" s="89" t="str">
        <f>Registro!D334</f>
        <v>c) Entre Primero y Tercer año</v>
      </c>
      <c r="E334" s="89" t="str">
        <f>Registro!E334</f>
        <v>b) Femenino</v>
      </c>
      <c r="F334" s="89" t="str">
        <f>Registro!F334</f>
        <v>a) Católica</v>
      </c>
      <c r="G334" s="89" t="str">
        <f>Registro!G334</f>
        <v>a) Mamá, b) Papá, e) Otros familiares</v>
      </c>
      <c r="H334" s="89" t="str">
        <f>Registro!H334</f>
        <v>b) Casa Urbana</v>
      </c>
      <c r="I334" s="89" t="str">
        <f>Registro!I334</f>
        <v>a) Sí</v>
      </c>
      <c r="J334" s="89" t="str">
        <f>Registro!J334</f>
        <v>a) Cónsola videojuegos, b) Lavadora, c) Microondas, d) TV pantalla plana, f) MP3, g) MP4, h) Carro, i) Computadora, j) Cámara digital, k) Aire acondicionado</v>
      </c>
      <c r="K334" s="89" t="str">
        <f>Registro!K334</f>
        <v>d) Tres</v>
      </c>
      <c r="L334" s="89" t="str">
        <f>Registro!L334</f>
        <v>a) La familia, b) Los amigos, f) Mi fe y vida cristiana</v>
      </c>
      <c r="M334" s="94">
        <f t="shared" si="25"/>
        <v>3</v>
      </c>
      <c r="N334" s="89" t="str">
        <f>Registro!M334</f>
        <v>b) El futuro</v>
      </c>
      <c r="O334" s="89" t="str">
        <f>Registro!N334</f>
        <v>a) Mucho</v>
      </c>
      <c r="P334" s="89" t="str">
        <f>Registro!O334</f>
        <v>c) Poco</v>
      </c>
      <c r="Q334" s="89" t="str">
        <f>Registro!P334</f>
        <v>a) Mucho</v>
      </c>
      <c r="R334" s="89" t="str">
        <f>Registro!Q334</f>
        <v>a) La familia, c) Los estudios, f) Mi fe y mi vida cristiana</v>
      </c>
      <c r="S334" s="94">
        <f t="shared" si="26"/>
        <v>3</v>
      </c>
      <c r="T334" s="89" t="str">
        <f>Registro!R334</f>
        <v>a) Mucho</v>
      </c>
      <c r="U334" s="89" t="str">
        <f>Registro!S334</f>
        <v>a) La Iglesia, b) La naturaleza, e) Los amigos, g) Mi familia, k) La oración</v>
      </c>
      <c r="V334" s="89" t="str">
        <f>Registro!T334</f>
        <v>a) Suelo rezar por convicción o porque me gusta</v>
      </c>
      <c r="W334" s="89" t="str">
        <f>Registro!U334</f>
        <v>b) Algunos domingos</v>
      </c>
      <c r="X334" s="89" t="str">
        <f>Registro!V334</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334" s="89" t="str">
        <f>Registro!W334</f>
        <v>a) Deportivo</v>
      </c>
      <c r="Z334" s="89" t="str">
        <f>Registro!X334</f>
        <v>a) Un grupo donde profundizo mi fe</v>
      </c>
      <c r="AA334" s="89" t="str">
        <f>Registro!Y334</f>
        <v>b) No</v>
      </c>
      <c r="AB334" s="89" t="str">
        <f>Registro!Z334</f>
        <v>b) No</v>
      </c>
      <c r="AC334" s="89" t="str">
        <f>Registro!AA334</f>
        <v>a) Medicina, d) Ingeniería</v>
      </c>
      <c r="AD334" s="94">
        <f t="shared" si="27"/>
        <v>2</v>
      </c>
      <c r="AE334" s="89" t="str">
        <f>Registro!AB334</f>
        <v>d) Desarrollarme personalmente</v>
      </c>
      <c r="AF334" s="89" t="str">
        <f>Registro!AC334</f>
        <v>b) Poco</v>
      </c>
      <c r="AG334" s="89" t="str">
        <f>Registro!AD334</f>
        <v>a) Los deportes y diversiones, b) El ambiente de estudio y de trabajo</v>
      </c>
      <c r="AH334" s="94">
        <f t="shared" si="28"/>
        <v>2</v>
      </c>
      <c r="AI334" s="89" t="str">
        <f>Registro!AE334</f>
        <v>b) 3 a 4 horas</v>
      </c>
      <c r="AJ334" s="89" t="str">
        <f>Registro!AF334</f>
        <v>k) Practico algún deporte, n) Estoy conversando con los amigos/as</v>
      </c>
      <c r="AK334" s="94">
        <f t="shared" si="29"/>
        <v>2</v>
      </c>
      <c r="AL334" s="89" t="str">
        <f>Registro!AG334</f>
        <v>b) Bueno</v>
      </c>
      <c r="AM334" s="89" t="str">
        <f>Registro!AH334</f>
        <v>b) Buena</v>
      </c>
      <c r="AN334" s="89" t="str">
        <f>Registro!AI334</f>
        <v>a) Muy buena</v>
      </c>
      <c r="AO334" s="89" t="str">
        <f>Registro!AJ334</f>
        <v>c) Regular</v>
      </c>
      <c r="AP334" s="89" t="str">
        <f>Registro!AK334</f>
        <v>b) Buena</v>
      </c>
      <c r="AQ334" s="89" t="str">
        <f>Registro!AL334</f>
        <v>a) Muy buena</v>
      </c>
      <c r="AR334" s="89" t="str">
        <f>Registro!AM334</f>
        <v>b) Buena</v>
      </c>
      <c r="AS334" s="89" t="str">
        <f>Registro!AN334</f>
        <v>c) Regular</v>
      </c>
      <c r="AT334" s="89" t="str">
        <f>Registro!AO334</f>
        <v>c) Regular</v>
      </c>
      <c r="AU334" s="89" t="str">
        <f>Registro!AP334</f>
        <v>b) Buena</v>
      </c>
      <c r="AV334" s="89" t="str">
        <f>Registro!AQ334</f>
        <v>a) Muy buena</v>
      </c>
      <c r="AW334" s="89" t="str">
        <f>Registro!AR334</f>
        <v>e) La disciplina y el orden</v>
      </c>
      <c r="AX334" s="89" t="str">
        <f>Registro!AS334</f>
        <v>e) Que sea cristiano responsable</v>
      </c>
      <c r="AY334" s="89" t="str">
        <f>Registro!AT334</f>
        <v>e) Absolutamente necesaria</v>
      </c>
      <c r="AZ334" s="89" t="str">
        <f>Registro!AU334</f>
        <v>a) No acostumbro a tomarlo nunca</v>
      </c>
      <c r="BA334" s="89" t="str">
        <f>Registro!AV334</f>
        <v>e) Educadores que se preocupan de nosotros</v>
      </c>
      <c r="BB334" s="89" t="str">
        <f>Registro!AW334</f>
        <v>b) Poco</v>
      </c>
      <c r="BC334" s="89" t="str">
        <f>Registro!AX334</f>
        <v>e) Son personas que me gustan y admiro</v>
      </c>
      <c r="BD334" s="89" t="str">
        <f>Registro!AY334</f>
        <v>a) Mi padre, b) Mi madre, g) Un amigo, h) Una amiga</v>
      </c>
    </row>
    <row r="335" spans="1:56" ht="15" customHeight="1" x14ac:dyDescent="0.25">
      <c r="A335" s="101">
        <f>Registro!A335</f>
        <v>42314.294224537036</v>
      </c>
      <c r="B335" s="89" t="str">
        <f>Registro!B335</f>
        <v>b) Calasanz de Valencia</v>
      </c>
      <c r="C335" s="89" t="str">
        <f>Registro!C335</f>
        <v>a) Primer año</v>
      </c>
      <c r="D335" s="89" t="str">
        <f>Registro!D335</f>
        <v>a) Educación Inicial</v>
      </c>
      <c r="E335" s="89" t="str">
        <f>Registro!E335</f>
        <v>b) Femenino</v>
      </c>
      <c r="F335" s="89" t="str">
        <f>Registro!F335</f>
        <v>a) Católica</v>
      </c>
      <c r="G335" s="89" t="str">
        <f>Registro!G335</f>
        <v>a) Mamá, c) Hermanos, d) Abuelos</v>
      </c>
      <c r="H335" s="89" t="str">
        <f>Registro!H335</f>
        <v>c) Apartamento</v>
      </c>
      <c r="I335" s="89" t="str">
        <f>Registro!I335</f>
        <v>a) Sí</v>
      </c>
      <c r="J335" s="89" t="str">
        <f>Registro!J335</f>
        <v>a) Cónsola videojuegos, b) Lavadora, c) Microondas, d) TV pantalla plana, f) MP3, g) MP4, h) Carro, i) Computadora, j) Cámara digital, k) Aire acondicionado</v>
      </c>
      <c r="K335" s="89" t="str">
        <f>Registro!K335</f>
        <v>e) Cuatro</v>
      </c>
      <c r="L335" s="89"/>
      <c r="M335" s="94">
        <f t="shared" si="25"/>
        <v>0</v>
      </c>
      <c r="N335" s="89" t="str">
        <f>Registro!M335</f>
        <v>b) El futuro</v>
      </c>
      <c r="O335" s="89" t="str">
        <f>Registro!N335</f>
        <v>a) Mucho</v>
      </c>
      <c r="P335" s="89" t="str">
        <f>Registro!O335</f>
        <v>b) Suficiente</v>
      </c>
      <c r="Q335" s="89">
        <f>Registro!P335</f>
        <v>0</v>
      </c>
      <c r="R335" s="89"/>
      <c r="S335" s="94">
        <f t="shared" si="26"/>
        <v>0</v>
      </c>
      <c r="T335" s="89" t="str">
        <f>Registro!R335</f>
        <v>a) Mucho</v>
      </c>
      <c r="U335" s="89" t="str">
        <f>Registro!S335</f>
        <v>a) La Iglesia, b) La naturaleza, c) El salón de clase, d) Las convivencias, e) Los amigos, f) Todas las personas, g) Mi familia, j) Todas partes, k) La oración, l) Los sacramentos</v>
      </c>
      <c r="V335" s="89" t="str">
        <f>Registro!T335</f>
        <v>b) Rezo por costumbre</v>
      </c>
      <c r="W335" s="89" t="str">
        <f>Registro!U335</f>
        <v>c) Solo en fechas especiales</v>
      </c>
      <c r="X335" s="89" t="str">
        <f>Registro!V335</f>
        <v>b) Suelo bendedir los alimentos antes de comer</v>
      </c>
      <c r="Y335" s="89" t="str">
        <f>Registro!W335</f>
        <v>a) Deportivo</v>
      </c>
      <c r="Z335" s="89" t="str">
        <f>Registro!X335</f>
        <v>a) Un grupo donde profundizo mi fe</v>
      </c>
      <c r="AA335" s="89" t="str">
        <f>Registro!Y335</f>
        <v>b) No</v>
      </c>
      <c r="AB335" s="89" t="str">
        <f>Registro!Z335</f>
        <v>b) No</v>
      </c>
      <c r="AC335" s="89"/>
      <c r="AD335" s="94">
        <f t="shared" si="27"/>
        <v>0</v>
      </c>
      <c r="AE335" s="89" t="str">
        <f>Registro!AB335</f>
        <v>b) Tener una buena posición social, ser importante</v>
      </c>
      <c r="AF335" s="89" t="str">
        <f>Registro!AC335</f>
        <v>c) Bastante</v>
      </c>
      <c r="AG335" s="89"/>
      <c r="AH335" s="94">
        <f t="shared" si="28"/>
        <v>0</v>
      </c>
      <c r="AI335" s="89" t="str">
        <f>Registro!AE335</f>
        <v>a) 0 a 2 horas</v>
      </c>
      <c r="AJ335" s="89"/>
      <c r="AK335" s="94">
        <f t="shared" si="29"/>
        <v>0</v>
      </c>
      <c r="AL335" s="89" t="str">
        <f>Registro!AG335</f>
        <v>a) Muy bueno</v>
      </c>
      <c r="AM335" s="89" t="str">
        <f>Registro!AH335</f>
        <v>c) Regular</v>
      </c>
      <c r="AN335" s="89" t="str">
        <f>Registro!AI335</f>
        <v>b) Buena</v>
      </c>
      <c r="AO335" s="89">
        <f>Registro!AJ335</f>
        <v>0</v>
      </c>
      <c r="AP335" s="89" t="str">
        <f>Registro!AK335</f>
        <v>d) Mala</v>
      </c>
      <c r="AQ335" s="89" t="str">
        <f>Registro!AL335</f>
        <v>a) Muy buena</v>
      </c>
      <c r="AR335" s="89" t="str">
        <f>Registro!AM335</f>
        <v>b) Buena</v>
      </c>
      <c r="AS335" s="89" t="str">
        <f>Registro!AN335</f>
        <v>d) Mala</v>
      </c>
      <c r="AT335" s="89" t="str">
        <f>Registro!AO335</f>
        <v>a) Muy buena</v>
      </c>
      <c r="AU335" s="89" t="str">
        <f>Registro!AP335</f>
        <v>b) Buena</v>
      </c>
      <c r="AV335" s="89" t="str">
        <f>Registro!AQ335</f>
        <v>b) Buena</v>
      </c>
      <c r="AW335" s="89" t="str">
        <f>Registro!AR335</f>
        <v>e) La disciplina y el orden</v>
      </c>
      <c r="AX335" s="89" t="str">
        <f>Registro!AS335</f>
        <v>a) Que sea un buen profesional</v>
      </c>
      <c r="AY335" s="89" t="str">
        <f>Registro!AT335</f>
        <v>d) Bastante necesaria</v>
      </c>
      <c r="AZ335" s="89" t="str">
        <f>Registro!AU335</f>
        <v>b) Las veces que bebo, es con moderación</v>
      </c>
      <c r="BA335" s="89" t="str">
        <f>Registro!AV335</f>
        <v>f) Educadores que, además, me han abierto caminos</v>
      </c>
      <c r="BB335" s="89" t="str">
        <f>Registro!AW335</f>
        <v>e) No sé</v>
      </c>
      <c r="BC335" s="89" t="str">
        <f>Registro!AX335</f>
        <v>e) Son personas que me gustan y admiro</v>
      </c>
      <c r="BD335" s="89" t="str">
        <f>Registro!AY335</f>
        <v>a) Mi padre, b) Mi madre, g) Un amigo, h) Una amiga</v>
      </c>
    </row>
    <row r="336" spans="1:56" ht="15" customHeight="1" x14ac:dyDescent="0.25">
      <c r="A336" s="101">
        <f>Registro!A336</f>
        <v>42314.2971412037</v>
      </c>
      <c r="B336" s="89" t="str">
        <f>Registro!B336</f>
        <v>b) Calasanz de Valencia</v>
      </c>
      <c r="C336" s="89" t="str">
        <f>Registro!C336</f>
        <v>a) Primer año</v>
      </c>
      <c r="D336" s="89" t="str">
        <f>Registro!D336</f>
        <v>a) Educación Inicial</v>
      </c>
      <c r="E336" s="89" t="str">
        <f>Registro!E336</f>
        <v>a) Masculino</v>
      </c>
      <c r="F336" s="89" t="str">
        <f>Registro!F336</f>
        <v>a) Católica</v>
      </c>
      <c r="G336" s="89" t="str">
        <f>Registro!G336</f>
        <v>a) Mamá, b) Papá, d) Abuelos</v>
      </c>
      <c r="H336" s="89" t="str">
        <f>Registro!H336</f>
        <v>b) Casa Urbana</v>
      </c>
      <c r="I336" s="89" t="str">
        <f>Registro!I336</f>
        <v>a) Sí</v>
      </c>
      <c r="J336" s="89" t="str">
        <f>Registro!J336</f>
        <v>b) Lavadora, i) Computadora</v>
      </c>
      <c r="K336" s="89" t="str">
        <f>Registro!K336</f>
        <v>b) Una</v>
      </c>
      <c r="L336" s="89" t="str">
        <f>Registro!L336</f>
        <v>a) La familia</v>
      </c>
      <c r="M336" s="94">
        <f t="shared" si="25"/>
        <v>1</v>
      </c>
      <c r="N336" s="89" t="str">
        <f>Registro!M336</f>
        <v>b) El futuro</v>
      </c>
      <c r="O336" s="89" t="str">
        <f>Registro!N336</f>
        <v>a) Mucho</v>
      </c>
      <c r="P336" s="89" t="str">
        <f>Registro!O336</f>
        <v>c) Poco</v>
      </c>
      <c r="Q336" s="89" t="str">
        <f>Registro!P336</f>
        <v>a) Mucho</v>
      </c>
      <c r="R336" s="89" t="str">
        <f>Registro!Q336</f>
        <v>a) La familia, c) Los estudios</v>
      </c>
      <c r="S336" s="94">
        <f t="shared" si="26"/>
        <v>2</v>
      </c>
      <c r="T336" s="89" t="str">
        <f>Registro!R336</f>
        <v>a) Mucho</v>
      </c>
      <c r="U336" s="89" t="str">
        <f>Registro!S336</f>
        <v>a) La Iglesia, g) Mi familia, k) La oración</v>
      </c>
      <c r="V336" s="89" t="str">
        <f>Registro!T336</f>
        <v>a) Suelo rezar por convicción o porque me gusta</v>
      </c>
      <c r="W336" s="89" t="str">
        <f>Registro!U336</f>
        <v>b) Algunos domingos</v>
      </c>
      <c r="X336" s="89" t="str">
        <f>Registro!V336</f>
        <v>b) Suelo bendedir los alimentos antes de comer, d) Suelo orar todos los días, i) Tengo en mi cuarto alguna imagen religiosa</v>
      </c>
      <c r="Y336" s="89" t="str">
        <f>Registro!W336</f>
        <v>d) No pertenezco a ninguno</v>
      </c>
      <c r="Z336" s="89" t="str">
        <f>Registro!X336</f>
        <v>b) Un lugar donde comparto con mis compañeros</v>
      </c>
      <c r="AA336" s="89" t="str">
        <f>Registro!Y336</f>
        <v>b) No</v>
      </c>
      <c r="AB336" s="89" t="str">
        <f>Registro!Z336</f>
        <v>b) No</v>
      </c>
      <c r="AC336" s="89" t="str">
        <f>Registro!AA336</f>
        <v>a) Medicina, d) Ingeniería</v>
      </c>
      <c r="AD336" s="94">
        <f t="shared" si="27"/>
        <v>2</v>
      </c>
      <c r="AE336" s="89" t="str">
        <f>Registro!AB336</f>
        <v>d) Desarrollarme personalmente</v>
      </c>
      <c r="AF336" s="89" t="str">
        <f>Registro!AC336</f>
        <v>c) Bastante</v>
      </c>
      <c r="AG336" s="89" t="str">
        <f>Registro!AD336</f>
        <v>a) Los deportes y diversiones, b) El ambiente de estudio y de trabajo</v>
      </c>
      <c r="AH336" s="94">
        <f t="shared" si="28"/>
        <v>2</v>
      </c>
      <c r="AI336" s="89" t="str">
        <f>Registro!AE336</f>
        <v>c) 5 a 6 horas</v>
      </c>
      <c r="AJ336" s="89" t="str">
        <f>Registro!AF336</f>
        <v>i) Leo revistas o libros</v>
      </c>
      <c r="AK336" s="94">
        <f t="shared" si="29"/>
        <v>1</v>
      </c>
      <c r="AL336" s="89" t="str">
        <f>Registro!AG336</f>
        <v>b) Bueno</v>
      </c>
      <c r="AM336" s="89" t="str">
        <f>Registro!AH336</f>
        <v>b) Buena</v>
      </c>
      <c r="AN336" s="89" t="str">
        <f>Registro!AI336</f>
        <v>b) Buena</v>
      </c>
      <c r="AO336" s="89" t="str">
        <f>Registro!AJ336</f>
        <v>b) Buena</v>
      </c>
      <c r="AP336" s="89" t="str">
        <f>Registro!AK336</f>
        <v>c) Regular</v>
      </c>
      <c r="AQ336" s="89" t="str">
        <f>Registro!AL336</f>
        <v>b) Buena</v>
      </c>
      <c r="AR336" s="89" t="str">
        <f>Registro!AM336</f>
        <v>b) Buena</v>
      </c>
      <c r="AS336" s="89" t="str">
        <f>Registro!AN336</f>
        <v>a) Muy buena</v>
      </c>
      <c r="AT336" s="89" t="str">
        <f>Registro!AO336</f>
        <v>b) Buena</v>
      </c>
      <c r="AU336" s="89" t="str">
        <f>Registro!AP336</f>
        <v>b) Buena</v>
      </c>
      <c r="AV336" s="89" t="str">
        <f>Registro!AQ336</f>
        <v>a) Muy buena</v>
      </c>
      <c r="AW336" s="89" t="str">
        <f>Registro!AR336</f>
        <v>a) El compañerismo</v>
      </c>
      <c r="AX336" s="89" t="str">
        <f>Registro!AS336</f>
        <v>a) Que sea un buen profesional</v>
      </c>
      <c r="AY336" s="89" t="str">
        <f>Registro!AT336</f>
        <v>e) Absolutamente necesaria</v>
      </c>
      <c r="AZ336" s="89" t="str">
        <f>Registro!AU336</f>
        <v>a) No acostumbro a tomarlo nunca</v>
      </c>
      <c r="BA336" s="89" t="str">
        <f>Registro!AV336</f>
        <v>c) Profesionales que hacen lo que pueden</v>
      </c>
      <c r="BB336" s="89" t="str">
        <f>Registro!AW336</f>
        <v>c) Bastante</v>
      </c>
      <c r="BC336" s="89" t="str">
        <f>Registro!AX336</f>
        <v>c) Son personas normales y corrientes</v>
      </c>
      <c r="BD336" s="89">
        <f>Registro!AY336</f>
        <v>0</v>
      </c>
    </row>
    <row r="337" spans="1:56" ht="15" customHeight="1" x14ac:dyDescent="0.25">
      <c r="A337" s="101">
        <f>Registro!A337</f>
        <v>42314.297592592593</v>
      </c>
      <c r="B337" s="89" t="str">
        <f>Registro!B337</f>
        <v>b) Calasanz de Valencia</v>
      </c>
      <c r="C337" s="89" t="str">
        <f>Registro!C337</f>
        <v>a) Primer año</v>
      </c>
      <c r="D337" s="89" t="str">
        <f>Registro!D337</f>
        <v>c) Entre Primero y Tercer año</v>
      </c>
      <c r="E337" s="89" t="str">
        <f>Registro!E337</f>
        <v>a) Masculino</v>
      </c>
      <c r="F337" s="89" t="str">
        <f>Registro!F337</f>
        <v>a) Católica</v>
      </c>
      <c r="G337" s="89" t="str">
        <f>Registro!G337</f>
        <v>a) Mamá, b) Papá, c) Hermanos</v>
      </c>
      <c r="H337" s="89" t="str">
        <f>Registro!H337</f>
        <v>c) Apartamento</v>
      </c>
      <c r="I337" s="89" t="str">
        <f>Registro!I337</f>
        <v>b) No</v>
      </c>
      <c r="J337" s="89" t="str">
        <f>Registro!J337</f>
        <v>a) Cónsola videojuegos, b) Lavadora, c) Microondas, d) TV pantalla plana, f) MP3, g) MP4, h) Carro, i) Computadora, j) Cámara digital, k) Aire acondicionado</v>
      </c>
      <c r="K337" s="89" t="str">
        <f>Registro!K337</f>
        <v>c) Dos</v>
      </c>
      <c r="L337" s="89" t="str">
        <f>Registro!L337</f>
        <v>h) La sexualidad, j) El deporte, k) El internet</v>
      </c>
      <c r="M337" s="94">
        <f t="shared" si="25"/>
        <v>3</v>
      </c>
      <c r="N337" s="89" t="str">
        <f>Registro!M337</f>
        <v>e) La situación económica</v>
      </c>
      <c r="O337" s="89" t="str">
        <f>Registro!N337</f>
        <v>b) Suficiente</v>
      </c>
      <c r="P337" s="89" t="str">
        <f>Registro!O337</f>
        <v>c) Poco</v>
      </c>
      <c r="Q337" s="89" t="str">
        <f>Registro!P337</f>
        <v>a) Mucho</v>
      </c>
      <c r="R337" s="89"/>
      <c r="S337" s="94">
        <f t="shared" si="26"/>
        <v>0</v>
      </c>
      <c r="T337" s="89" t="str">
        <f>Registro!R337</f>
        <v>a) Mucho</v>
      </c>
      <c r="U337" s="89" t="str">
        <f>Registro!S337</f>
        <v>a) La Iglesia, b) La naturaleza, e) Los amigos, h) Algunas personas cercanas a Dios</v>
      </c>
      <c r="V337" s="89" t="str">
        <f>Registro!T337</f>
        <v>b) Rezo por costumbre</v>
      </c>
      <c r="W337" s="89" t="str">
        <f>Registro!U337</f>
        <v>b) Algunos domingos</v>
      </c>
      <c r="X337" s="89" t="str">
        <f>Registro!V337</f>
        <v>a) Suelo llevar una cruz o algún objeto religioso, 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337" s="89" t="str">
        <f>Registro!W337</f>
        <v>a) Deportivo</v>
      </c>
      <c r="Z337" s="89" t="str">
        <f>Registro!X337</f>
        <v>a) Un grupo donde profundizo mi fe</v>
      </c>
      <c r="AA337" s="89" t="str">
        <f>Registro!Y337</f>
        <v>a) Sí</v>
      </c>
      <c r="AB337" s="89" t="str">
        <f>Registro!Z337</f>
        <v>b) No</v>
      </c>
      <c r="AC337" s="89" t="str">
        <f>Registro!AA337</f>
        <v>b) Docencia, f) Ciencias policiales o artes militares</v>
      </c>
      <c r="AD337" s="94">
        <f t="shared" si="27"/>
        <v>2</v>
      </c>
      <c r="AE337" s="89" t="str">
        <f>Registro!AB337</f>
        <v>a) Ganar mucho dinero</v>
      </c>
      <c r="AF337" s="89" t="str">
        <f>Registro!AC337</f>
        <v>c) Bastante</v>
      </c>
      <c r="AG337" s="89" t="str">
        <f>Registro!AD337</f>
        <v>c) Las instalaciones del Colegio, i) No me gusta nada</v>
      </c>
      <c r="AH337" s="94">
        <f t="shared" si="28"/>
        <v>2</v>
      </c>
      <c r="AI337" s="89" t="str">
        <f>Registro!AE337</f>
        <v>c) 5 a 6 horas</v>
      </c>
      <c r="AJ337" s="89" t="str">
        <f>Registro!AF337</f>
        <v>b) Navego en Internet, k) Practico algún deporte</v>
      </c>
      <c r="AK337" s="94">
        <f t="shared" si="29"/>
        <v>2</v>
      </c>
      <c r="AL337" s="89" t="str">
        <f>Registro!AG337</f>
        <v>e) Muy deficiente</v>
      </c>
      <c r="AM337" s="89" t="str">
        <f>Registro!AH337</f>
        <v>e) Muy mala</v>
      </c>
      <c r="AN337" s="89" t="str">
        <f>Registro!AI337</f>
        <v>e) Muy mala</v>
      </c>
      <c r="AO337" s="89" t="str">
        <f>Registro!AJ337</f>
        <v>e) Muy mala</v>
      </c>
      <c r="AP337" s="89" t="str">
        <f>Registro!AK337</f>
        <v>e) Muy mala</v>
      </c>
      <c r="AQ337" s="89" t="str">
        <f>Registro!AL337</f>
        <v>e) Muy mala</v>
      </c>
      <c r="AR337" s="89" t="str">
        <f>Registro!AM337</f>
        <v>e) Muy mala</v>
      </c>
      <c r="AS337" s="89" t="str">
        <f>Registro!AN337</f>
        <v>e) Muy mala</v>
      </c>
      <c r="AT337" s="89" t="str">
        <f>Registro!AO337</f>
        <v>e) Muy mala</v>
      </c>
      <c r="AU337" s="89" t="str">
        <f>Registro!AP337</f>
        <v>e) Muy mala</v>
      </c>
      <c r="AV337" s="89" t="str">
        <f>Registro!AQ337</f>
        <v>e) Muy mala</v>
      </c>
      <c r="AW337" s="89" t="str">
        <f>Registro!AR337</f>
        <v>i) En nada</v>
      </c>
      <c r="AX337" s="89" t="str">
        <f>Registro!AS337</f>
        <v>h) No sé</v>
      </c>
      <c r="AY337" s="89" t="str">
        <f>Registro!AT337</f>
        <v>e) Absolutamente necesaria</v>
      </c>
      <c r="AZ337" s="89" t="str">
        <f>Registro!AU337</f>
        <v>d) Con frecuencia (fines de semana u otros momentos) suelo beber más de la cuenta</v>
      </c>
      <c r="BA337" s="89" t="str">
        <f>Registro!AV337</f>
        <v>a) Personas a las que tengo que aguantar</v>
      </c>
      <c r="BB337" s="89" t="str">
        <f>Registro!AW337</f>
        <v>b) Poco</v>
      </c>
      <c r="BC337" s="89" t="str">
        <f>Registro!AX337</f>
        <v>c) Son personas normales y corrientes</v>
      </c>
      <c r="BD337" s="89" t="str">
        <f>Registro!AY337</f>
        <v>j) Nadie</v>
      </c>
    </row>
    <row r="338" spans="1:56" ht="15" customHeight="1" x14ac:dyDescent="0.25">
      <c r="A338" s="101">
        <f>Registro!A338</f>
        <v>42314.298437500001</v>
      </c>
      <c r="B338" s="89" t="str">
        <f>Registro!B338</f>
        <v>b) Calasanz de Valencia</v>
      </c>
      <c r="C338" s="89" t="str">
        <f>Registro!C338</f>
        <v>a) Primer año</v>
      </c>
      <c r="D338" s="89" t="str">
        <f>Registro!D338</f>
        <v>a) Educación Inicial</v>
      </c>
      <c r="E338" s="89" t="str">
        <f>Registro!E338</f>
        <v>a) Masculino</v>
      </c>
      <c r="F338" s="89" t="str">
        <f>Registro!F338</f>
        <v>a) Católica</v>
      </c>
      <c r="G338" s="89" t="str">
        <f>Registro!G338</f>
        <v>a) Mamá, b) Papá, c) Hermanos, e) Otros familiares</v>
      </c>
      <c r="H338" s="89" t="str">
        <f>Registro!H338</f>
        <v>c) Apartamento</v>
      </c>
      <c r="I338" s="89" t="str">
        <f>Registro!I338</f>
        <v>c) Algo</v>
      </c>
      <c r="J338" s="89" t="str">
        <f>Registro!J338</f>
        <v>a) Cónsola videojuegos, b) Lavadora, c) Microondas, d) TV pantalla plana, e) Moto, f) MP3, g) MP4, h) Carro, i) Computadora, j) Cámara digital, k) Aire acondicionado</v>
      </c>
      <c r="K338" s="89" t="str">
        <f>Registro!K338</f>
        <v>f) Más de cuatro</v>
      </c>
      <c r="L338" s="89" t="str">
        <f>Registro!L338</f>
        <v>a) La familia, b) Los amigos, j) El deporte</v>
      </c>
      <c r="M338" s="94">
        <f t="shared" si="25"/>
        <v>3</v>
      </c>
      <c r="N338" s="89" t="str">
        <f>Registro!M338</f>
        <v>f) La situación política del país</v>
      </c>
      <c r="O338" s="89" t="str">
        <f>Registro!N338</f>
        <v>a) Mucho</v>
      </c>
      <c r="P338" s="89" t="str">
        <f>Registro!O338</f>
        <v>a) Mucho</v>
      </c>
      <c r="Q338" s="89" t="str">
        <f>Registro!P338</f>
        <v>c) Poco</v>
      </c>
      <c r="R338" s="89" t="str">
        <f>Registro!Q338</f>
        <v>a) La familia, c) Los estudios, j) El deporte</v>
      </c>
      <c r="S338" s="94">
        <f t="shared" si="26"/>
        <v>3</v>
      </c>
      <c r="T338" s="89" t="str">
        <f>Registro!R338</f>
        <v>b) Suficiente</v>
      </c>
      <c r="U338" s="89" t="str">
        <f>Registro!S338</f>
        <v>a) La Iglesia, b) La naturaleza, c) El salón de clase, d) Las convivencias, e) Los amigos, g) Mi familia, h) Algunas personas cercanas a Dios, i) Los necesitados, k) La oración, l) Los sacramentos</v>
      </c>
      <c r="V338" s="89" t="str">
        <f>Registro!T338</f>
        <v>c) Rezo solo en situación de dificultad</v>
      </c>
      <c r="W338" s="89" t="str">
        <f>Registro!U338</f>
        <v>c) Solo en fechas especiales</v>
      </c>
      <c r="X338" s="89" t="str">
        <f>Registro!V338</f>
        <v>g) En ocasiones, en mi casa tenemos una oración familiar</v>
      </c>
      <c r="Y338" s="89" t="str">
        <f>Registro!W338</f>
        <v>a) Deportivo</v>
      </c>
      <c r="Z338" s="89" t="str">
        <f>Registro!X338</f>
        <v>d) No pertenezco a grupos juveniles cristianos</v>
      </c>
      <c r="AA338" s="89" t="str">
        <f>Registro!Y338</f>
        <v>b) No</v>
      </c>
      <c r="AB338" s="89" t="str">
        <f>Registro!Z338</f>
        <v>b) No</v>
      </c>
      <c r="AC338" s="89" t="str">
        <f>Registro!AA338</f>
        <v>d) Ingeniería, g) Artista</v>
      </c>
      <c r="AD338" s="94">
        <f t="shared" si="27"/>
        <v>2</v>
      </c>
      <c r="AE338" s="89" t="str">
        <f>Registro!AB338</f>
        <v>a) Ganar mucho dinero</v>
      </c>
      <c r="AF338" s="89" t="str">
        <f>Registro!AC338</f>
        <v>b) Poco</v>
      </c>
      <c r="AG338" s="89" t="str">
        <f>Registro!AD338</f>
        <v>i) No me gusta nada</v>
      </c>
      <c r="AH338" s="94">
        <f t="shared" si="28"/>
        <v>1</v>
      </c>
      <c r="AI338" s="89" t="str">
        <f>Registro!AE338</f>
        <v>b) 3 a 4 horas</v>
      </c>
      <c r="AJ338" s="89" t="str">
        <f>Registro!AF338</f>
        <v>b) Navego en Internet, k) Practico algún deporte, n) Estoy conversando con los amigos/as</v>
      </c>
      <c r="AK338" s="94">
        <f t="shared" si="29"/>
        <v>3</v>
      </c>
      <c r="AL338" s="89" t="str">
        <f>Registro!AG338</f>
        <v>c) Regular</v>
      </c>
      <c r="AM338" s="89" t="str">
        <f>Registro!AH338</f>
        <v>c) Regular</v>
      </c>
      <c r="AN338" s="89" t="str">
        <f>Registro!AI338</f>
        <v>c) Regular</v>
      </c>
      <c r="AO338" s="89" t="str">
        <f>Registro!AJ338</f>
        <v>c) Regular</v>
      </c>
      <c r="AP338" s="89" t="str">
        <f>Registro!AK338</f>
        <v>e) Muy mala</v>
      </c>
      <c r="AQ338" s="89" t="str">
        <f>Registro!AL338</f>
        <v>c) Regular</v>
      </c>
      <c r="AR338" s="89" t="str">
        <f>Registro!AM338</f>
        <v>c) Regular</v>
      </c>
      <c r="AS338" s="89" t="str">
        <f>Registro!AN338</f>
        <v>c) Regular</v>
      </c>
      <c r="AT338" s="89" t="str">
        <f>Registro!AO338</f>
        <v>c) Regular</v>
      </c>
      <c r="AU338" s="89" t="str">
        <f>Registro!AP338</f>
        <v>c) Regular</v>
      </c>
      <c r="AV338" s="89" t="str">
        <f>Registro!AQ338</f>
        <v>c) Regular</v>
      </c>
      <c r="AW338" s="89" t="str">
        <f>Registro!AR338</f>
        <v>i) En nada</v>
      </c>
      <c r="AX338" s="89" t="str">
        <f>Registro!AS338</f>
        <v>f) Que tenga honradez en la vida</v>
      </c>
      <c r="AY338" s="89" t="str">
        <f>Registro!AT338</f>
        <v>c) Conveniente</v>
      </c>
      <c r="AZ338" s="89" t="str">
        <f>Registro!AU338</f>
        <v>a) No acostumbro a tomarlo nunca</v>
      </c>
      <c r="BA338" s="89" t="str">
        <f>Registro!AV338</f>
        <v>a) Personas a las que tengo que aguantar</v>
      </c>
      <c r="BB338" s="89" t="str">
        <f>Registro!AW338</f>
        <v>e) No sé</v>
      </c>
      <c r="BC338" s="89" t="str">
        <f>Registro!AX338</f>
        <v>a) No me gustan en absoluto</v>
      </c>
      <c r="BD338" s="89" t="str">
        <f>Registro!AY338</f>
        <v>a) Mi padre, b) Mi madre, g) Un amigo</v>
      </c>
    </row>
    <row r="339" spans="1:56" ht="15" customHeight="1" x14ac:dyDescent="0.25">
      <c r="A339" s="101">
        <f>Registro!A339</f>
        <v>42314.298541666663</v>
      </c>
      <c r="B339" s="89" t="str">
        <f>Registro!B339</f>
        <v>b) Calasanz de Valencia</v>
      </c>
      <c r="C339" s="89" t="str">
        <f>Registro!C339</f>
        <v>a) Primer año</v>
      </c>
      <c r="D339" s="89" t="str">
        <f>Registro!D339</f>
        <v>a) Educación Inicial</v>
      </c>
      <c r="E339" s="89" t="str">
        <f>Registro!E339</f>
        <v>b) Femenino</v>
      </c>
      <c r="F339" s="89" t="str">
        <f>Registro!F339</f>
        <v>a) Católica</v>
      </c>
      <c r="G339" s="89" t="str">
        <f>Registro!G339</f>
        <v>a) Mamá, b) Papá, c) Hermanos</v>
      </c>
      <c r="H339" s="89" t="str">
        <f>Registro!H339</f>
        <v>c) Apartamento</v>
      </c>
      <c r="I339" s="89" t="str">
        <f>Registro!I339</f>
        <v>d) No sé</v>
      </c>
      <c r="J339" s="89" t="str">
        <f>Registro!J339</f>
        <v>a) Cónsola videojuegos, b) Lavadora, c) Microondas, d) TV pantalla plana, h) Carro, i) Computadora, j) Cámara digital, k) Aire acondicionado</v>
      </c>
      <c r="K339" s="89" t="str">
        <f>Registro!K339</f>
        <v>e) Cuatro</v>
      </c>
      <c r="L339" s="89"/>
      <c r="M339" s="94">
        <f t="shared" si="25"/>
        <v>0</v>
      </c>
      <c r="N339" s="89" t="str">
        <f>Registro!M339</f>
        <v>a) Seguridad personal (la violencia y la delincuencia)</v>
      </c>
      <c r="O339" s="89" t="str">
        <f>Registro!N339</f>
        <v>a) Mucho</v>
      </c>
      <c r="P339" s="89" t="str">
        <f>Registro!O339</f>
        <v>a) Mucho</v>
      </c>
      <c r="Q339" s="89">
        <f>Registro!P339</f>
        <v>0</v>
      </c>
      <c r="R339" s="89"/>
      <c r="S339" s="94">
        <f t="shared" si="26"/>
        <v>0</v>
      </c>
      <c r="T339" s="89" t="str">
        <f>Registro!R339</f>
        <v>a) Mucho</v>
      </c>
      <c r="U339" s="89" t="str">
        <f>Registro!S339</f>
        <v>a) La Iglesia, c) El salón de clase, d) Las convivencias, f) Todas las personas, g) Mi familia, j) Todas partes, k) La oración, l) Los sacramentos</v>
      </c>
      <c r="V339" s="89" t="str">
        <f>Registro!T339</f>
        <v>b) Rezo por costumbre</v>
      </c>
      <c r="W339" s="89" t="str">
        <f>Registro!U339</f>
        <v>c) Solo en fechas especiales</v>
      </c>
      <c r="X339" s="89" t="str">
        <f>Registro!V339</f>
        <v>a) Suelo llevar una cruz o algún objeto religioso, d) Suelo orar todos los días, e) Voy a misa en las fechas de mis familiares difuntos</v>
      </c>
      <c r="Y339" s="89" t="str">
        <f>Registro!W339</f>
        <v>a) Deportivo</v>
      </c>
      <c r="Z339" s="89" t="str">
        <f>Registro!X339</f>
        <v>a) Un grupo donde profundizo mi fe</v>
      </c>
      <c r="AA339" s="89" t="str">
        <f>Registro!Y339</f>
        <v>b) No</v>
      </c>
      <c r="AB339" s="89" t="str">
        <f>Registro!Z339</f>
        <v>b) No</v>
      </c>
      <c r="AC339" s="89" t="str">
        <f>Registro!AA339</f>
        <v>a) Medicina</v>
      </c>
      <c r="AD339" s="94">
        <f t="shared" si="27"/>
        <v>1</v>
      </c>
      <c r="AE339" s="89" t="str">
        <f>Registro!AB339</f>
        <v>a) Ganar mucho dinero</v>
      </c>
      <c r="AF339" s="89" t="str">
        <f>Registro!AC339</f>
        <v>a) No, en absoluto</v>
      </c>
      <c r="AG339" s="89" t="str">
        <f>Registro!AD339</f>
        <v>c) Las instalaciones del Colegio</v>
      </c>
      <c r="AH339" s="94">
        <f t="shared" si="28"/>
        <v>1</v>
      </c>
      <c r="AI339" s="89" t="str">
        <f>Registro!AE339</f>
        <v>a) 0 a 2 horas</v>
      </c>
      <c r="AJ339" s="89" t="str">
        <f>Registro!AF339</f>
        <v>k) Practico algún deporte</v>
      </c>
      <c r="AK339" s="94">
        <f t="shared" si="29"/>
        <v>1</v>
      </c>
      <c r="AL339" s="89" t="str">
        <f>Registro!AG339</f>
        <v>e) Muy deficiente</v>
      </c>
      <c r="AM339" s="89" t="str">
        <f>Registro!AH339</f>
        <v>e) Muy mala</v>
      </c>
      <c r="AN339" s="89" t="str">
        <f>Registro!AI339</f>
        <v>e) Muy mala</v>
      </c>
      <c r="AO339" s="89" t="str">
        <f>Registro!AJ339</f>
        <v>e) Muy mala</v>
      </c>
      <c r="AP339" s="89" t="str">
        <f>Registro!AK339</f>
        <v>e) Muy mala</v>
      </c>
      <c r="AQ339" s="89" t="str">
        <f>Registro!AL339</f>
        <v>e) Muy mala</v>
      </c>
      <c r="AR339" s="89" t="str">
        <f>Registro!AM339</f>
        <v>e) Muy mala</v>
      </c>
      <c r="AS339" s="89" t="str">
        <f>Registro!AN339</f>
        <v>e) Muy mala</v>
      </c>
      <c r="AT339" s="89" t="str">
        <f>Registro!AO339</f>
        <v>e) Muy mala</v>
      </c>
      <c r="AU339" s="89" t="str">
        <f>Registro!AP339</f>
        <v>e) Muy mala</v>
      </c>
      <c r="AV339" s="89" t="str">
        <f>Registro!AQ339</f>
        <v>e) Muy mala</v>
      </c>
      <c r="AW339" s="89" t="str">
        <f>Registro!AR339</f>
        <v>a) El compañerismo</v>
      </c>
      <c r="AX339" s="89" t="str">
        <f>Registro!AS339</f>
        <v>a) Que sea un buen profesional</v>
      </c>
      <c r="AY339" s="89" t="str">
        <f>Registro!AT339</f>
        <v>a) Innecesaria</v>
      </c>
      <c r="AZ339" s="89" t="str">
        <f>Registro!AU339</f>
        <v>d) Con frecuencia (fines de semana u otros momentos) suelo beber más de la cuenta</v>
      </c>
      <c r="BA339" s="89" t="str">
        <f>Registro!AV339</f>
        <v>b) Profesionales que no se preocupan de nosotros</v>
      </c>
      <c r="BB339" s="89" t="str">
        <f>Registro!AW339</f>
        <v>a) No, en absoluto</v>
      </c>
      <c r="BC339" s="89" t="str">
        <f>Registro!AX339</f>
        <v>c) Son personas normales y corrientes</v>
      </c>
      <c r="BD339" s="89" t="str">
        <f>Registro!AY339</f>
        <v>g) Un amigo, h) Una amiga, j) Nadie</v>
      </c>
    </row>
    <row r="340" spans="1:56" ht="15" customHeight="1" x14ac:dyDescent="0.25">
      <c r="A340" s="101">
        <f>Registro!A340</f>
        <v>42314.298692129632</v>
      </c>
      <c r="B340" s="89" t="str">
        <f>Registro!B340</f>
        <v>b) Calasanz de Valencia</v>
      </c>
      <c r="C340" s="89" t="str">
        <f>Registro!C340</f>
        <v>a) Primer año</v>
      </c>
      <c r="D340" s="89" t="str">
        <f>Registro!D340</f>
        <v>a) Educación Inicial</v>
      </c>
      <c r="E340" s="89" t="str">
        <f>Registro!E340</f>
        <v>b) Femenino</v>
      </c>
      <c r="F340" s="89" t="str">
        <f>Registro!F340</f>
        <v>a) Católica</v>
      </c>
      <c r="G340" s="89" t="str">
        <f>Registro!G340</f>
        <v>a) Mamá, b) Papá, c) Hermanos, d) Abuelos, e) Otros familiares</v>
      </c>
      <c r="H340" s="89" t="str">
        <f>Registro!H340</f>
        <v>c) Apartamento</v>
      </c>
      <c r="I340" s="89" t="str">
        <f>Registro!I340</f>
        <v>a) Sí</v>
      </c>
      <c r="J340" s="89" t="str">
        <f>Registro!J340</f>
        <v>a) Cónsola videojuegos, b) Lavadora, c) Microondas, d) TV pantalla plana, e) Moto, f) MP3, g) MP4, h) Carro, i) Computadora, j) Cámara digital, k) Aire acondicionado</v>
      </c>
      <c r="K340" s="89" t="str">
        <f>Registro!K340</f>
        <v>c) Dos</v>
      </c>
      <c r="L340" s="89"/>
      <c r="M340" s="94">
        <f t="shared" si="25"/>
        <v>0</v>
      </c>
      <c r="N340" s="89" t="str">
        <f>Registro!M340</f>
        <v>a) Seguridad personal (la violencia y la delincuencia)</v>
      </c>
      <c r="O340" s="89" t="str">
        <f>Registro!N340</f>
        <v>a) Mucho</v>
      </c>
      <c r="P340" s="89" t="str">
        <f>Registro!O340</f>
        <v>b) Suficiente</v>
      </c>
      <c r="Q340" s="89" t="str">
        <f>Registro!P340</f>
        <v>b) Suficiente</v>
      </c>
      <c r="R340" s="89"/>
      <c r="S340" s="94">
        <f t="shared" si="26"/>
        <v>0</v>
      </c>
      <c r="T340" s="89" t="str">
        <f>Registro!R340</f>
        <v>a) Mucho</v>
      </c>
      <c r="U340" s="89" t="str">
        <f>Registro!S340</f>
        <v>a) La Iglesia, g) Mi familia, j) Todas partes, k) La oración, l) Los sacramentos</v>
      </c>
      <c r="V340" s="89" t="str">
        <f>Registro!T340</f>
        <v>a) Suelo rezar por convicción o porque me gusta</v>
      </c>
      <c r="W340" s="89" t="str">
        <f>Registro!U340</f>
        <v>c) Solo en fechas especiales</v>
      </c>
      <c r="X340" s="89" t="str">
        <f>Registro!V340</f>
        <v>d) Suelo orar todos los días, e) Voy a misa en las fechas de mis familiares difuntos, f) En alguna ocasión he rezado el rosario, h) En Semana Santa asisto a las procesiones, i) Tengo en mi cuarto alguna imagen religiosa</v>
      </c>
      <c r="Y340" s="89" t="str">
        <f>Registro!W340</f>
        <v xml:space="preserve">b) Cultural (folklórico, musicales, danzas, scout, banda marcial,...) </v>
      </c>
      <c r="Z340" s="89" t="str">
        <f>Registro!X340</f>
        <v>d) No pertenezco a grupos juveniles cristianos</v>
      </c>
      <c r="AA340" s="89" t="str">
        <f>Registro!Y340</f>
        <v>b) No</v>
      </c>
      <c r="AB340" s="89" t="str">
        <f>Registro!Z340</f>
        <v>b) No</v>
      </c>
      <c r="AC340" s="89" t="str">
        <f>Registro!AA340</f>
        <v>g) Artista, j) Trabajador calificado</v>
      </c>
      <c r="AD340" s="94">
        <f t="shared" si="27"/>
        <v>2</v>
      </c>
      <c r="AE340" s="89" t="str">
        <f>Registro!AB340</f>
        <v>c) Ser un excelente profesional</v>
      </c>
      <c r="AF340" s="89" t="str">
        <f>Registro!AC340</f>
        <v>b) Poco</v>
      </c>
      <c r="AG340" s="89" t="str">
        <f>Registro!AD340</f>
        <v>c) Las instalaciones del Colegio, i) No me gusta nada</v>
      </c>
      <c r="AH340" s="94">
        <f t="shared" si="28"/>
        <v>2</v>
      </c>
      <c r="AI340" s="89" t="str">
        <f>Registro!AE340</f>
        <v>f) 11 o más horas</v>
      </c>
      <c r="AJ340" s="89" t="str">
        <f>Registro!AF340</f>
        <v>g) Suelo ir a discotecas o a fiestas, h) Suelo ir al cine, n) Estoy conversando con los amigos/as</v>
      </c>
      <c r="AK340" s="94">
        <f t="shared" si="29"/>
        <v>3</v>
      </c>
      <c r="AL340" s="89" t="str">
        <f>Registro!AG340</f>
        <v>e) Muy deficiente</v>
      </c>
      <c r="AM340" s="89" t="str">
        <f>Registro!AH340</f>
        <v>e) Muy mala</v>
      </c>
      <c r="AN340" s="89" t="str">
        <f>Registro!AI340</f>
        <v>e) Muy mala</v>
      </c>
      <c r="AO340" s="89" t="str">
        <f>Registro!AJ340</f>
        <v>c) Regular</v>
      </c>
      <c r="AP340" s="89" t="str">
        <f>Registro!AK340</f>
        <v>c) Regular</v>
      </c>
      <c r="AQ340" s="89" t="str">
        <f>Registro!AL340</f>
        <v>b) Buena</v>
      </c>
      <c r="AR340" s="89" t="str">
        <f>Registro!AM340</f>
        <v>b) Buena</v>
      </c>
      <c r="AS340" s="89" t="str">
        <f>Registro!AN340</f>
        <v>b) Buena</v>
      </c>
      <c r="AT340" s="89" t="str">
        <f>Registro!AO340</f>
        <v>c) Regular</v>
      </c>
      <c r="AU340" s="89" t="str">
        <f>Registro!AP340</f>
        <v>b) Buena</v>
      </c>
      <c r="AV340" s="89" t="str">
        <f>Registro!AQ340</f>
        <v>d) Mala</v>
      </c>
      <c r="AW340" s="89" t="str">
        <f>Registro!AR340</f>
        <v>d) La formación del carácter</v>
      </c>
      <c r="AX340" s="89" t="str">
        <f>Registro!AS340</f>
        <v>b) Darme una buena educación</v>
      </c>
      <c r="AY340" s="89" t="str">
        <f>Registro!AT340</f>
        <v>e) Absolutamente necesaria</v>
      </c>
      <c r="AZ340" s="89" t="str">
        <f>Registro!AU340</f>
        <v>b) Las veces que bebo, es con moderación</v>
      </c>
      <c r="BA340" s="89" t="str">
        <f>Registro!AV340</f>
        <v>a) Personas a las que tengo que aguantar</v>
      </c>
      <c r="BB340" s="89" t="str">
        <f>Registro!AW340</f>
        <v>a) No, en absoluto</v>
      </c>
      <c r="BC340" s="89" t="str">
        <f>Registro!AX340</f>
        <v>c) Son personas normales y corrientes</v>
      </c>
      <c r="BD340" s="89" t="str">
        <f>Registro!AY340</f>
        <v>b) Mi madre, h) Una amiga</v>
      </c>
    </row>
    <row r="341" spans="1:56" ht="15" customHeight="1" x14ac:dyDescent="0.25">
      <c r="A341" s="101">
        <f>Registro!A341</f>
        <v>42314.298692129632</v>
      </c>
      <c r="B341" s="89" t="str">
        <f>Registro!B341</f>
        <v>b) Calasanz de Valencia</v>
      </c>
      <c r="C341" s="89" t="str">
        <f>Registro!C341</f>
        <v>a) Primer año</v>
      </c>
      <c r="D341" s="89" t="str">
        <f>Registro!D341</f>
        <v>a) Educación Inicial</v>
      </c>
      <c r="E341" s="89" t="str">
        <f>Registro!E341</f>
        <v>b) Femenino</v>
      </c>
      <c r="F341" s="89" t="str">
        <f>Registro!F341</f>
        <v>a) Católica</v>
      </c>
      <c r="G341" s="89" t="str">
        <f>Registro!G341</f>
        <v>a) Mamá, b) Papá, c) Hermanos</v>
      </c>
      <c r="H341" s="89" t="str">
        <f>Registro!H341</f>
        <v>a) Quinta</v>
      </c>
      <c r="I341" s="89" t="str">
        <f>Registro!I341</f>
        <v>d) No sé</v>
      </c>
      <c r="J341" s="89" t="str">
        <f>Registro!J341</f>
        <v>a) Cónsola videojuegos, b) Lavadora, c) Microondas, d) TV pantalla plana, h) Carro, i) Computadora, j) Cámara digital, k) Aire acondicionado</v>
      </c>
      <c r="K341" s="89" t="str">
        <f>Registro!K341</f>
        <v>c) Dos</v>
      </c>
      <c r="L341" s="89" t="str">
        <f>Registro!L341</f>
        <v>a) La familia</v>
      </c>
      <c r="M341" s="94">
        <f t="shared" si="25"/>
        <v>1</v>
      </c>
      <c r="N341" s="89" t="str">
        <f>Registro!M341</f>
        <v>a) Seguridad personal (la violencia y la delincuencia)</v>
      </c>
      <c r="O341" s="89" t="str">
        <f>Registro!N341</f>
        <v>b) Suficiente</v>
      </c>
      <c r="P341" s="89" t="str">
        <f>Registro!O341</f>
        <v>b) Suficiente</v>
      </c>
      <c r="Q341" s="89" t="str">
        <f>Registro!P341</f>
        <v>b) Suficiente</v>
      </c>
      <c r="R341" s="89"/>
      <c r="S341" s="94">
        <f t="shared" si="26"/>
        <v>0</v>
      </c>
      <c r="T341" s="89" t="str">
        <f>Registro!R341</f>
        <v>a) Mucho</v>
      </c>
      <c r="U341" s="89" t="str">
        <f>Registro!S341</f>
        <v>j) Todas partes</v>
      </c>
      <c r="V341" s="89" t="str">
        <f>Registro!T341</f>
        <v>c) Rezo solo en situación de dificultad</v>
      </c>
      <c r="W341" s="89" t="str">
        <f>Registro!U341</f>
        <v>c) Solo en fechas especiales</v>
      </c>
      <c r="X341" s="89" t="str">
        <f>Registro!V341</f>
        <v>c) Suelo ir los domingos y otras fechas especiales a la Iglesia, f) En alguna ocasión he rezado el rosario, h) En Semana Santa asisto a las procesiones, i) Tengo en mi cuarto alguna imagen religiosa</v>
      </c>
      <c r="Y341" s="89" t="str">
        <f>Registro!W341</f>
        <v>d) No pertenezco a ninguno</v>
      </c>
      <c r="Z341" s="89" t="str">
        <f>Registro!X341</f>
        <v>d) No pertenezco a grupos juveniles cristianos</v>
      </c>
      <c r="AA341" s="89" t="str">
        <f>Registro!Y341</f>
        <v>b) No</v>
      </c>
      <c r="AB341" s="89" t="str">
        <f>Registro!Z341</f>
        <v>b) No</v>
      </c>
      <c r="AC341" s="89"/>
      <c r="AD341" s="94">
        <f t="shared" si="27"/>
        <v>0</v>
      </c>
      <c r="AE341" s="89" t="str">
        <f>Registro!AB341</f>
        <v>c) Ser un excelente profesional</v>
      </c>
      <c r="AF341" s="89" t="str">
        <f>Registro!AC341</f>
        <v>e) No sé</v>
      </c>
      <c r="AG341" s="89" t="str">
        <f>Registro!AD341</f>
        <v>a) Los deportes y diversiones, i) No me gusta nada</v>
      </c>
      <c r="AH341" s="94">
        <f t="shared" si="28"/>
        <v>2</v>
      </c>
      <c r="AI341" s="89" t="str">
        <f>Registro!AE341</f>
        <v>f) 11 o más horas</v>
      </c>
      <c r="AJ341" s="89"/>
      <c r="AK341" s="94">
        <f t="shared" si="29"/>
        <v>0</v>
      </c>
      <c r="AL341" s="89" t="str">
        <f>Registro!AG341</f>
        <v>d) Deficiente</v>
      </c>
      <c r="AM341" s="89" t="str">
        <f>Registro!AH341</f>
        <v>e) Muy mala</v>
      </c>
      <c r="AN341" s="89" t="str">
        <f>Registro!AI341</f>
        <v>e) Muy mala</v>
      </c>
      <c r="AO341" s="89" t="str">
        <f>Registro!AJ341</f>
        <v>c) Regular</v>
      </c>
      <c r="AP341" s="89" t="str">
        <f>Registro!AK341</f>
        <v>c) Regular</v>
      </c>
      <c r="AQ341" s="89" t="str">
        <f>Registro!AL341</f>
        <v>b) Buena</v>
      </c>
      <c r="AR341" s="89" t="str">
        <f>Registro!AM341</f>
        <v>b) Buena</v>
      </c>
      <c r="AS341" s="89" t="str">
        <f>Registro!AN341</f>
        <v>b) Buena</v>
      </c>
      <c r="AT341" s="89" t="str">
        <f>Registro!AO341</f>
        <v>c) Regular</v>
      </c>
      <c r="AU341" s="89" t="str">
        <f>Registro!AP341</f>
        <v>b) Buena</v>
      </c>
      <c r="AV341" s="89" t="str">
        <f>Registro!AQ341</f>
        <v>b) Buena</v>
      </c>
      <c r="AW341" s="89" t="str">
        <f>Registro!AR341</f>
        <v>d) La formación del carácter</v>
      </c>
      <c r="AX341" s="89" t="str">
        <f>Registro!AS341</f>
        <v>b) Darme una buena educación</v>
      </c>
      <c r="AY341" s="89" t="str">
        <f>Registro!AT341</f>
        <v>e) Absolutamente necesaria</v>
      </c>
      <c r="AZ341" s="89" t="str">
        <f>Registro!AU341</f>
        <v>a) No acostumbro a tomarlo nunca</v>
      </c>
      <c r="BA341" s="89" t="str">
        <f>Registro!AV341</f>
        <v>a) Personas a las que tengo que aguantar</v>
      </c>
      <c r="BB341" s="89" t="str">
        <f>Registro!AW341</f>
        <v>b) Poco</v>
      </c>
      <c r="BC341" s="89" t="str">
        <f>Registro!AX341</f>
        <v>c) Son personas normales y corrientes</v>
      </c>
      <c r="BD341" s="89" t="str">
        <f>Registro!AY341</f>
        <v>b) Mi madre, h) Una amiga</v>
      </c>
    </row>
    <row r="342" spans="1:56" ht="15" customHeight="1" x14ac:dyDescent="0.25">
      <c r="A342" s="101">
        <f>Registro!A342</f>
        <v>42314.298761574071</v>
      </c>
      <c r="B342" s="89" t="str">
        <f>Registro!B342</f>
        <v>b) Calasanz de Valencia</v>
      </c>
      <c r="C342" s="89" t="str">
        <f>Registro!C342</f>
        <v>a) Primer año</v>
      </c>
      <c r="D342" s="89" t="str">
        <f>Registro!D342</f>
        <v>a) Educación Inicial</v>
      </c>
      <c r="E342" s="89" t="str">
        <f>Registro!E342</f>
        <v>a) Masculino</v>
      </c>
      <c r="F342" s="89" t="str">
        <f>Registro!F342</f>
        <v>a) Católica</v>
      </c>
      <c r="G342" s="89" t="str">
        <f>Registro!G342</f>
        <v>a) Mamá, b) Papá, c) Hermanos, d) Abuelos, e) Otros familiares</v>
      </c>
      <c r="H342" s="89" t="str">
        <f>Registro!H342</f>
        <v>c) Apartamento</v>
      </c>
      <c r="I342" s="89" t="str">
        <f>Registro!I342</f>
        <v>a) Sí</v>
      </c>
      <c r="J342" s="89" t="str">
        <f>Registro!J342</f>
        <v>a) Cónsola videojuegos, b) Lavadora, c) Microondas, d) TV pantalla plana, e) Moto, f) MP3, i) Computadora, j) Cámara digital, k) Aire acondicionado</v>
      </c>
      <c r="K342" s="89" t="str">
        <f>Registro!K342</f>
        <v>c) Dos</v>
      </c>
      <c r="L342" s="89" t="str">
        <f>Registro!L342</f>
        <v>a) La familia, i) La música, j) El deporte</v>
      </c>
      <c r="M342" s="94">
        <f t="shared" ref="M342:M370" si="30">COUNTIF(L342,"*a)*")+COUNTIF(L342,"*b)*")+COUNTIF(L342,"*c)*")+COUNTIF(L342,"*d)*")+COUNTIF(L342,"*e)*")+COUNTIF(L342,"*f)*")+COUNTIF(L342,"*g)*")+COUNTIF(L342,"*h)*")+COUNTIF(L342,"*i)*")+COUNTIF(L342,"*j)*")+COUNTIF(L342,"*k)*")+COUNTIF(L342,"*l)*")+COUNTIF(L342,"*m)*")+COUNTIF(L342,"*n)*")+COUNTIF(L342,"*o)*")+COUNTIF(L342,"*p)*")</f>
        <v>3</v>
      </c>
      <c r="N342" s="89" t="str">
        <f>Registro!M342</f>
        <v>b) El futuro</v>
      </c>
      <c r="O342" s="89">
        <f>Registro!N342</f>
        <v>0</v>
      </c>
      <c r="P342" s="89">
        <f>Registro!O342</f>
        <v>0</v>
      </c>
      <c r="Q342" s="89">
        <f>Registro!P342</f>
        <v>0</v>
      </c>
      <c r="R342" s="89" t="str">
        <f>Registro!Q342</f>
        <v>c) Los estudios, d) El cuidado de mi cuerpo, j) El deporte</v>
      </c>
      <c r="S342" s="94">
        <f t="shared" ref="S342:S370" si="31">COUNTIF(R342,"*a)*")+COUNTIF(R342,"*b)*")+COUNTIF(R342,"*c)*")+COUNTIF(R342,"*d)*")+COUNTIF(R342,"*e)*")+COUNTIF(R342,"*f)*")+COUNTIF(R342,"*g)*")+COUNTIF(R342,"*h)*")+COUNTIF(R342,"*i)*")+COUNTIF(R342,"*j)*")+COUNTIF(R342,"*k)*")+COUNTIF(R342,"*l)*")+COUNTIF(R342,"*m)*")+COUNTIF(R342,"*n)*")+COUNTIF(R342,"*o)*")+COUNTIF(R342,"*p)*")</f>
        <v>3</v>
      </c>
      <c r="T342" s="89" t="str">
        <f>Registro!R342</f>
        <v>a) Mucho</v>
      </c>
      <c r="U342" s="89" t="str">
        <f>Registro!S342</f>
        <v>a) La Iglesia, b) La naturaleza, d) Las convivencias, e) Los amigos</v>
      </c>
      <c r="V342" s="89" t="str">
        <f>Registro!T342</f>
        <v>b) Rezo por costumbre</v>
      </c>
      <c r="W342" s="89" t="str">
        <f>Registro!U342</f>
        <v>c) Solo en fechas especiales</v>
      </c>
      <c r="X342" s="89" t="str">
        <f>Registro!V342</f>
        <v>e) Voy a misa en las fechas de mis familiares difuntos, f) En alguna ocasión he rezado el rosario, h) En Semana Santa asisto a las procesiones</v>
      </c>
      <c r="Y342" s="89" t="str">
        <f>Registro!W342</f>
        <v>a) Deportivo</v>
      </c>
      <c r="Z342" s="89" t="str">
        <f>Registro!X342</f>
        <v>d) No pertenezco a grupos juveniles cristianos</v>
      </c>
      <c r="AA342" s="89" t="str">
        <f>Registro!Y342</f>
        <v>b) No</v>
      </c>
      <c r="AB342" s="89">
        <f>Registro!Z342</f>
        <v>0</v>
      </c>
      <c r="AC342" s="89" t="str">
        <f>Registro!AA342</f>
        <v>a) Medicina, d) Ingeniería</v>
      </c>
      <c r="AD342" s="94">
        <f t="shared" ref="AD342:AD370" si="32">COUNTIF(AC342,"*a)*")+COUNTIF(AC342,"*b)*")+COUNTIF(AC342,"*c)*")+COUNTIF(AC342,"*d)*")+COUNTIF(AC342,"*e)*")+COUNTIF(AC342,"*f)*")+COUNTIF(AC342,"*g)*")+COUNTIF(AC342,"*h)*")+COUNTIF(AC342,"*i)*")+COUNTIF(AC342,"*j)*")+COUNTIF(AC342,"*k)*")+COUNTIF(AC342,"*l)*")+COUNTIF(AC342,"*m)*")+COUNTIF(AC342,"*n)*")+COUNTIF(AC342,"*o)*")+COUNTIF(AC342,"*p)*")</f>
        <v>2</v>
      </c>
      <c r="AE342" s="89" t="str">
        <f>Registro!AB342</f>
        <v>c) Ser un excelente profesional</v>
      </c>
      <c r="AF342" s="89" t="str">
        <f>Registro!AC342</f>
        <v>d) Mucho o muchísimo</v>
      </c>
      <c r="AG342" s="89" t="str">
        <f>Registro!AD342</f>
        <v>a) Los deportes y diversiones</v>
      </c>
      <c r="AH342" s="94">
        <f t="shared" si="28"/>
        <v>1</v>
      </c>
      <c r="AI342" s="89" t="str">
        <f>Registro!AE342</f>
        <v>b) 3 a 4 horas</v>
      </c>
      <c r="AJ342" s="89" t="str">
        <f>Registro!AF342</f>
        <v>d) Estoy la mayor parte del tiempo en la casa sin hacer nada, k) Practico algún deporte, l) Escucho música y/o veo videos musicales</v>
      </c>
      <c r="AK342" s="94">
        <f t="shared" si="29"/>
        <v>3</v>
      </c>
      <c r="AL342" s="89" t="str">
        <f>Registro!AG342</f>
        <v>a) Muy bueno</v>
      </c>
      <c r="AM342" s="89" t="str">
        <f>Registro!AH342</f>
        <v>b) Buena</v>
      </c>
      <c r="AN342" s="89" t="str">
        <f>Registro!AI342</f>
        <v>b) Buena</v>
      </c>
      <c r="AO342" s="89" t="str">
        <f>Registro!AJ342</f>
        <v>a) Muy buena</v>
      </c>
      <c r="AP342" s="89" t="str">
        <f>Registro!AK342</f>
        <v>a) Muy buena</v>
      </c>
      <c r="AQ342" s="89" t="str">
        <f>Registro!AL342</f>
        <v>a) Muy buena</v>
      </c>
      <c r="AR342" s="89" t="str">
        <f>Registro!AM342</f>
        <v>a) Muy buena</v>
      </c>
      <c r="AS342" s="89" t="str">
        <f>Registro!AN342</f>
        <v>a) Muy buena</v>
      </c>
      <c r="AT342" s="89" t="str">
        <f>Registro!AO342</f>
        <v>a) Muy buena</v>
      </c>
      <c r="AU342" s="89" t="str">
        <f>Registro!AP342</f>
        <v>a) Muy buena</v>
      </c>
      <c r="AV342" s="89" t="str">
        <f>Registro!AQ342</f>
        <v>a) Muy buena</v>
      </c>
      <c r="AW342" s="89" t="str">
        <f>Registro!AR342</f>
        <v>i) En nada</v>
      </c>
      <c r="AX342" s="89" t="str">
        <f>Registro!AS342</f>
        <v>a) Que sea un buen profesional</v>
      </c>
      <c r="AY342" s="89" t="str">
        <f>Registro!AT342</f>
        <v>e) Absolutamente necesaria</v>
      </c>
      <c r="AZ342" s="89" t="str">
        <f>Registro!AU342</f>
        <v>a) No acostumbro a tomarlo nunca</v>
      </c>
      <c r="BA342" s="89" t="str">
        <f>Registro!AV342</f>
        <v>c) Profesionales que hacen lo que pueden</v>
      </c>
      <c r="BB342" s="89" t="str">
        <f>Registro!AW342</f>
        <v>e) No sé</v>
      </c>
      <c r="BC342" s="89" t="str">
        <f>Registro!AX342</f>
        <v>c) Son personas normales y corrientes</v>
      </c>
      <c r="BD342" s="89" t="str">
        <f>Registro!AY342</f>
        <v>a) Mi padre, b) Mi madre, c) Un hermano/a, e) Un, una docente, g) Un amigo, h) Una amiga</v>
      </c>
    </row>
    <row r="343" spans="1:56" ht="15" customHeight="1" x14ac:dyDescent="0.25">
      <c r="A343" s="101">
        <f>Registro!A343</f>
        <v>42314.300983796296</v>
      </c>
      <c r="B343" s="89" t="str">
        <f>Registro!B343</f>
        <v>b) Calasanz de Valencia</v>
      </c>
      <c r="C343" s="89" t="str">
        <f>Registro!C343</f>
        <v>a) Primer año</v>
      </c>
      <c r="D343" s="89" t="str">
        <f>Registro!D343</f>
        <v>a) Educación Inicial</v>
      </c>
      <c r="E343" s="89" t="str">
        <f>Registro!E343</f>
        <v>b) Femenino</v>
      </c>
      <c r="F343" s="89" t="str">
        <f>Registro!F343</f>
        <v>a) Católica</v>
      </c>
      <c r="G343" s="89" t="str">
        <f>Registro!G343</f>
        <v>a) Mamá, b) Papá, c) Hermanos, d) Abuelos, e) Otros familiares</v>
      </c>
      <c r="H343" s="89" t="str">
        <f>Registro!H343</f>
        <v>c) Apartamento</v>
      </c>
      <c r="I343" s="89" t="str">
        <f>Registro!I343</f>
        <v>a) Sí</v>
      </c>
      <c r="J343" s="89" t="str">
        <f>Registro!J343</f>
        <v>a) Cónsola videojuegos, b) Lavadora, c) Microondas, d) TV pantalla plana, h) Carro, i) Computadora, j) Cámara digital, k) Aire acondicionado</v>
      </c>
      <c r="K343" s="89" t="str">
        <f>Registro!K343</f>
        <v>b) Una</v>
      </c>
      <c r="L343" s="89" t="str">
        <f>Registro!L343</f>
        <v>a) La familia, b) Los amigos, g) La felicidad</v>
      </c>
      <c r="M343" s="94">
        <f t="shared" si="30"/>
        <v>3</v>
      </c>
      <c r="N343" s="89" t="str">
        <f>Registro!M343</f>
        <v>b) El futuro</v>
      </c>
      <c r="O343" s="89" t="str">
        <f>Registro!N343</f>
        <v>a) Mucho</v>
      </c>
      <c r="P343" s="89" t="str">
        <f>Registro!O343</f>
        <v>b) Suficiente</v>
      </c>
      <c r="Q343" s="89" t="str">
        <f>Registro!P343</f>
        <v>b) Suficiente</v>
      </c>
      <c r="R343" s="89" t="str">
        <f>Registro!Q343</f>
        <v>a) La familia, b) Los amigos, c) Los estudios</v>
      </c>
      <c r="S343" s="94">
        <f t="shared" si="31"/>
        <v>3</v>
      </c>
      <c r="T343" s="89" t="str">
        <f>Registro!R343</f>
        <v>a) Mucho</v>
      </c>
      <c r="U343" s="89" t="str">
        <f>Registro!S343</f>
        <v>a) La Iglesia, d) Las convivencias, e) Los amigos, g) Mi familia, i) Los necesitados, k) La oración, l) Los sacramentos</v>
      </c>
      <c r="V343" s="89" t="str">
        <f>Registro!T343</f>
        <v>a) Suelo rezar por convicción o porque me gusta</v>
      </c>
      <c r="W343" s="89" t="str">
        <f>Registro!U343</f>
        <v>c) Solo en fechas especiales</v>
      </c>
      <c r="X343" s="89" t="str">
        <f>Registro!V343</f>
        <v>c) Suelo ir los domingos y otras fechas especiales a la Iglesia, d) Suelo orar todos los días, f) En alguna ocasión he rezado el rosario, h) En Semana Santa asisto a las procesiones, i) Tengo en mi cuarto alguna imagen religiosa</v>
      </c>
      <c r="Y343" s="89" t="str">
        <f>Registro!W343</f>
        <v>d) No pertenezco a ninguno</v>
      </c>
      <c r="Z343" s="89" t="str">
        <f>Registro!X343</f>
        <v>d) No pertenezco a grupos juveniles cristianos</v>
      </c>
      <c r="AA343" s="89" t="str">
        <f>Registro!Y343</f>
        <v>b) No</v>
      </c>
      <c r="AB343" s="89" t="str">
        <f>Registro!Z343</f>
        <v>b) No</v>
      </c>
      <c r="AC343" s="89" t="str">
        <f>Registro!AA343</f>
        <v>g) Artista</v>
      </c>
      <c r="AD343" s="94">
        <f t="shared" si="32"/>
        <v>1</v>
      </c>
      <c r="AE343" s="89" t="str">
        <f>Registro!AB343</f>
        <v>e) Servir a los demás</v>
      </c>
      <c r="AF343" s="89" t="str">
        <f>Registro!AC343</f>
        <v>c) Bastante</v>
      </c>
      <c r="AG343" s="89" t="str">
        <f>Registro!AD343</f>
        <v>a) Los deportes y diversiones, b) El ambiente de estudio y de trabajo</v>
      </c>
      <c r="AH343" s="94">
        <f t="shared" si="28"/>
        <v>2</v>
      </c>
      <c r="AI343" s="89" t="str">
        <f>Registro!AE343</f>
        <v>b) 3 a 4 horas</v>
      </c>
      <c r="AJ343" s="89" t="str">
        <f>Registro!AF343</f>
        <v>b) Navego en Internet, h) Suelo ir al cine, m) Veo televisión y/o películas</v>
      </c>
      <c r="AK343" s="94">
        <f t="shared" si="29"/>
        <v>3</v>
      </c>
      <c r="AL343" s="89" t="str">
        <f>Registro!AG343</f>
        <v>b) Bueno</v>
      </c>
      <c r="AM343" s="89" t="str">
        <f>Registro!AH343</f>
        <v>b) Buena</v>
      </c>
      <c r="AN343" s="89" t="str">
        <f>Registro!AI343</f>
        <v>b) Buena</v>
      </c>
      <c r="AO343" s="89" t="str">
        <f>Registro!AJ343</f>
        <v>c) Regular</v>
      </c>
      <c r="AP343" s="89" t="str">
        <f>Registro!AK343</f>
        <v>c) Regular</v>
      </c>
      <c r="AQ343" s="89" t="str">
        <f>Registro!AL343</f>
        <v>b) Buena</v>
      </c>
      <c r="AR343" s="89" t="str">
        <f>Registro!AM343</f>
        <v>b) Buena</v>
      </c>
      <c r="AS343" s="89" t="str">
        <f>Registro!AN343</f>
        <v>b) Buena</v>
      </c>
      <c r="AT343" s="89" t="str">
        <f>Registro!AO343</f>
        <v>a) Muy buena</v>
      </c>
      <c r="AU343" s="89" t="str">
        <f>Registro!AP343</f>
        <v>b) Buena</v>
      </c>
      <c r="AV343" s="89" t="str">
        <f>Registro!AQ343</f>
        <v>c) Regular</v>
      </c>
      <c r="AW343" s="89" t="str">
        <f>Registro!AR343</f>
        <v>c) El estudio</v>
      </c>
      <c r="AX343" s="89" t="str">
        <f>Registro!AS343</f>
        <v>b) Darme una buena educación</v>
      </c>
      <c r="AY343" s="89" t="str">
        <f>Registro!AT343</f>
        <v>d) Bastante necesaria</v>
      </c>
      <c r="AZ343" s="89" t="str">
        <f>Registro!AU343</f>
        <v>a) No acostumbro a tomarlo nunca</v>
      </c>
      <c r="BA343" s="89" t="str">
        <f>Registro!AV343</f>
        <v>e) Educadores que se preocupan de nosotros</v>
      </c>
      <c r="BB343" s="89" t="str">
        <f>Registro!AW343</f>
        <v>c) Bastante</v>
      </c>
      <c r="BC343" s="89" t="str">
        <f>Registro!AX343</f>
        <v>e) Son personas que me gustan y admiro</v>
      </c>
      <c r="BD343" s="89" t="str">
        <f>Registro!AY343</f>
        <v>a) Mi padre, b) Mi madre, c) Un hermano/a, e) Un, una docente, g) Un amigo, h) Una amiga</v>
      </c>
    </row>
    <row r="344" spans="1:56" ht="15" customHeight="1" x14ac:dyDescent="0.25">
      <c r="A344" s="101">
        <f>Registro!A344</f>
        <v>42314.301203703704</v>
      </c>
      <c r="B344" s="89" t="str">
        <f>Registro!B344</f>
        <v>a) Calasanz de Caracas</v>
      </c>
      <c r="C344" s="89" t="str">
        <f>Registro!C344</f>
        <v>a) Primer año</v>
      </c>
      <c r="D344" s="89" t="str">
        <f>Registro!D344</f>
        <v>c) Entre Primero y Tercer año</v>
      </c>
      <c r="E344" s="89" t="str">
        <f>Registro!E344</f>
        <v>a) Masculino</v>
      </c>
      <c r="F344" s="89" t="str">
        <f>Registro!F344</f>
        <v>d) Otra</v>
      </c>
      <c r="G344" s="89" t="str">
        <f>Registro!G344</f>
        <v>a) Mamá, d) Abuelos</v>
      </c>
      <c r="H344" s="89" t="str">
        <f>Registro!H344</f>
        <v>c) Apartamento</v>
      </c>
      <c r="I344" s="89" t="str">
        <f>Registro!I344</f>
        <v>a) Sí</v>
      </c>
      <c r="J344" s="89" t="str">
        <f>Registro!J344</f>
        <v>b) Lavadora, c) Microondas, d) TV pantalla plana, f) MP3, g) MP4, h) Carro, i) Computadora, j) Cámara digital, k) Aire acondicionado</v>
      </c>
      <c r="K344" s="89" t="str">
        <f>Registro!K344</f>
        <v>b) Una</v>
      </c>
      <c r="L344" s="89" t="str">
        <f>Registro!L344</f>
        <v>g) La felicidad, i) La música, k) El internet</v>
      </c>
      <c r="M344" s="94">
        <f t="shared" si="30"/>
        <v>3</v>
      </c>
      <c r="N344" s="89" t="str">
        <f>Registro!M344</f>
        <v>f) La situación política del país</v>
      </c>
      <c r="O344" s="89" t="str">
        <f>Registro!N344</f>
        <v>a) Mucho</v>
      </c>
      <c r="P344" s="89" t="str">
        <f>Registro!O344</f>
        <v>c) Poco</v>
      </c>
      <c r="Q344" s="89" t="str">
        <f>Registro!P344</f>
        <v>a) Mucho</v>
      </c>
      <c r="R344" s="89" t="str">
        <f>Registro!Q344</f>
        <v>a) La familia, d) El cuidado de mi cuerpo, e) Disponer de dinero</v>
      </c>
      <c r="S344" s="94">
        <f t="shared" si="31"/>
        <v>3</v>
      </c>
      <c r="T344" s="89" t="str">
        <f>Registro!R344</f>
        <v>d) Nada</v>
      </c>
      <c r="U344" s="89" t="str">
        <f>Registro!S344</f>
        <v>b) La naturaleza, c) El salón de clase</v>
      </c>
      <c r="V344" s="89" t="str">
        <f>Registro!T344</f>
        <v>d) No rezo nunca</v>
      </c>
      <c r="W344" s="89" t="str">
        <f>Registro!U344</f>
        <v>d) Nunca</v>
      </c>
      <c r="X344" s="89" t="str">
        <f>Registro!V344</f>
        <v>i) Tengo en mi cuarto alguna imagen religiosa</v>
      </c>
      <c r="Y344" s="89" t="str">
        <f>Registro!W344</f>
        <v>d) No pertenezco a ninguno</v>
      </c>
      <c r="Z344" s="89" t="str">
        <f>Registro!X344</f>
        <v>d) No pertenezco a grupos juveniles cristianos</v>
      </c>
      <c r="AA344" s="89" t="str">
        <f>Registro!Y344</f>
        <v>b) No</v>
      </c>
      <c r="AB344" s="89" t="str">
        <f>Registro!Z344</f>
        <v>b) No</v>
      </c>
      <c r="AC344" s="89"/>
      <c r="AD344" s="94">
        <f t="shared" si="32"/>
        <v>0</v>
      </c>
      <c r="AE344" s="89" t="str">
        <f>Registro!AB344</f>
        <v>e) Servir a los demás</v>
      </c>
      <c r="AF344" s="89" t="str">
        <f>Registro!AC344</f>
        <v>a) No, en absoluto</v>
      </c>
      <c r="AG344" s="89" t="str">
        <f>Registro!AD344</f>
        <v>c) Las instalaciones del Colegio, h) Las actividades extraescolares</v>
      </c>
      <c r="AH344" s="94">
        <f t="shared" si="28"/>
        <v>2</v>
      </c>
      <c r="AI344" s="89" t="str">
        <f>Registro!AE344</f>
        <v>b) 3 a 4 horas</v>
      </c>
      <c r="AJ344" s="89" t="str">
        <f>Registro!AF344</f>
        <v>b) Navego en Internet, d) Estoy la mayor parte del tiempo en la casa sin hacer nada, l) Escucho música y/o veo videos musicales</v>
      </c>
      <c r="AK344" s="94">
        <f t="shared" si="29"/>
        <v>3</v>
      </c>
      <c r="AL344" s="89" t="str">
        <f>Registro!AG344</f>
        <v>a) Muy bueno</v>
      </c>
      <c r="AM344" s="89" t="str">
        <f>Registro!AH344</f>
        <v>b) Buena</v>
      </c>
      <c r="AN344" s="89" t="str">
        <f>Registro!AI344</f>
        <v>b) Buena</v>
      </c>
      <c r="AO344" s="89" t="str">
        <f>Registro!AJ344</f>
        <v>b) Buena</v>
      </c>
      <c r="AP344" s="89" t="str">
        <f>Registro!AK344</f>
        <v>b) Buena</v>
      </c>
      <c r="AQ344" s="89" t="str">
        <f>Registro!AL344</f>
        <v>b) Buena</v>
      </c>
      <c r="AR344" s="89" t="str">
        <f>Registro!AM344</f>
        <v>a) Muy buena</v>
      </c>
      <c r="AS344" s="89" t="str">
        <f>Registro!AN344</f>
        <v>b) Buena</v>
      </c>
      <c r="AT344" s="89" t="str">
        <f>Registro!AO344</f>
        <v>a) Muy buena</v>
      </c>
      <c r="AU344" s="89" t="str">
        <f>Registro!AP344</f>
        <v>a) Muy buena</v>
      </c>
      <c r="AV344" s="89" t="str">
        <f>Registro!AQ344</f>
        <v>c) Regular</v>
      </c>
      <c r="AW344" s="89" t="str">
        <f>Registro!AR344</f>
        <v>i) En nada</v>
      </c>
      <c r="AX344" s="89" t="str">
        <f>Registro!AS344</f>
        <v>b) Darme una buena educación</v>
      </c>
      <c r="AY344" s="89" t="str">
        <f>Registro!AT344</f>
        <v>a) Innecesaria</v>
      </c>
      <c r="AZ344" s="89" t="str">
        <f>Registro!AU344</f>
        <v>b) Las veces que bebo, es con moderación</v>
      </c>
      <c r="BA344" s="89" t="str">
        <f>Registro!AV344</f>
        <v>d) Buenos profesionales de la educación</v>
      </c>
      <c r="BB344" s="89" t="str">
        <f>Registro!AW344</f>
        <v>c) Bastante</v>
      </c>
      <c r="BC344" s="89" t="str">
        <f>Registro!AX344</f>
        <v>d) Hay de todo tipo, pero predomina lo positivo</v>
      </c>
      <c r="BD344" s="89" t="str">
        <f>Registro!AY344</f>
        <v>b) Mi madre, g) Un amigo, h) Una amiga</v>
      </c>
    </row>
    <row r="345" spans="1:56" ht="15" customHeight="1" x14ac:dyDescent="0.25">
      <c r="A345" s="101">
        <f>Registro!A345</f>
        <v>42314.303124999999</v>
      </c>
      <c r="B345" s="89" t="str">
        <f>Registro!B345</f>
        <v>b) Calasanz de Valencia</v>
      </c>
      <c r="C345" s="89" t="str">
        <f>Registro!C345</f>
        <v>a) Primer año</v>
      </c>
      <c r="D345" s="89" t="str">
        <f>Registro!D345</f>
        <v>a) Educación Inicial</v>
      </c>
      <c r="E345" s="89" t="str">
        <f>Registro!E345</f>
        <v>a) Masculino</v>
      </c>
      <c r="F345" s="89" t="str">
        <f>Registro!F345</f>
        <v>a) Católica</v>
      </c>
      <c r="G345" s="89" t="str">
        <f>Registro!G345</f>
        <v>a) Mamá, b) Papá, c) Hermanos</v>
      </c>
      <c r="H345" s="89" t="str">
        <f>Registro!H345</f>
        <v>c) Apartamento</v>
      </c>
      <c r="I345" s="89" t="str">
        <f>Registro!I345</f>
        <v>a) Sí</v>
      </c>
      <c r="J345" s="89" t="str">
        <f>Registro!J345</f>
        <v>a) Cónsola videojuegos, b) Lavadora, c) Microondas, d) TV pantalla plana, f) MP3, g) MP4, h) Carro, i) Computadora, j) Cámara digital, k) Aire acondicionado</v>
      </c>
      <c r="K345" s="89" t="str">
        <f>Registro!K345</f>
        <v>b) Una</v>
      </c>
      <c r="L345" s="89"/>
      <c r="M345" s="94">
        <f t="shared" si="30"/>
        <v>0</v>
      </c>
      <c r="N345" s="89" t="str">
        <f>Registro!M345</f>
        <v>c) Yo mismo</v>
      </c>
      <c r="O345" s="89" t="str">
        <f>Registro!N345</f>
        <v>b) Suficiente</v>
      </c>
      <c r="P345" s="89" t="str">
        <f>Registro!O345</f>
        <v>b) Suficiente</v>
      </c>
      <c r="Q345" s="89" t="str">
        <f>Registro!P345</f>
        <v>b) Suficiente</v>
      </c>
      <c r="R345" s="89"/>
      <c r="S345" s="94">
        <f t="shared" si="31"/>
        <v>0</v>
      </c>
      <c r="T345" s="89" t="str">
        <f>Registro!R345</f>
        <v>b) Suficiente</v>
      </c>
      <c r="U345" s="89" t="str">
        <f>Registro!S345</f>
        <v>a) La Iglesia, b) La naturaleza, c) El salón de clase, d) Las convivencias, e) Los amigos, f) Todas las personas, g) Mi familia, h) Algunas personas cercanas a Dios, i) Los necesitados, j) Todas partes, k) La oración, l) Los sacramentos</v>
      </c>
      <c r="V345" s="89" t="str">
        <f>Registro!T345</f>
        <v>c) Rezo solo en situación de dificultad</v>
      </c>
      <c r="W345" s="89" t="str">
        <f>Registro!U345</f>
        <v>c) Solo en fechas especiales</v>
      </c>
      <c r="X345" s="89" t="str">
        <f>Registro!V345</f>
        <v>a) Suelo llevar una cruz o algún objeto religioso, e) Voy a misa en las fechas de mis familiares difuntos, f) En alguna ocasión he rezado el rosario, h) En Semana Santa asisto a las procesiones, i) Tengo en mi cuarto alguna imagen religiosa</v>
      </c>
      <c r="Y345" s="89" t="str">
        <f>Registro!W345</f>
        <v>a) Deportivo</v>
      </c>
      <c r="Z345" s="89" t="str">
        <f>Registro!X345</f>
        <v>a) Un grupo donde profundizo mi fe</v>
      </c>
      <c r="AA345" s="89" t="str">
        <f>Registro!Y345</f>
        <v>b) No</v>
      </c>
      <c r="AB345" s="89" t="str">
        <f>Registro!Z345</f>
        <v>b) No</v>
      </c>
      <c r="AC345" s="89" t="str">
        <f>Registro!AA345</f>
        <v>d) Ingeniería</v>
      </c>
      <c r="AD345" s="94">
        <f t="shared" si="32"/>
        <v>1</v>
      </c>
      <c r="AE345" s="89" t="str">
        <f>Registro!AB345</f>
        <v>c) Ser un excelente profesional</v>
      </c>
      <c r="AF345" s="89" t="str">
        <f>Registro!AC345</f>
        <v>b) Poco</v>
      </c>
      <c r="AG345" s="89" t="str">
        <f>Registro!AD345</f>
        <v>a) Los deportes y diversiones, b) El ambiente de estudio y de trabajo</v>
      </c>
      <c r="AH345" s="94">
        <f t="shared" si="28"/>
        <v>2</v>
      </c>
      <c r="AI345" s="89" t="str">
        <f>Registro!AE345</f>
        <v>f) 11 o más horas</v>
      </c>
      <c r="AJ345" s="89"/>
      <c r="AK345" s="94">
        <f t="shared" si="29"/>
        <v>0</v>
      </c>
      <c r="AL345" s="89" t="str">
        <f>Registro!AG345</f>
        <v>c) Regular</v>
      </c>
      <c r="AM345" s="89" t="str">
        <f>Registro!AH345</f>
        <v>c) Regular</v>
      </c>
      <c r="AN345" s="89" t="str">
        <f>Registro!AI345</f>
        <v>c) Regular</v>
      </c>
      <c r="AO345" s="89" t="str">
        <f>Registro!AJ345</f>
        <v>b) Buena</v>
      </c>
      <c r="AP345" s="89" t="str">
        <f>Registro!AK345</f>
        <v>c) Regular</v>
      </c>
      <c r="AQ345" s="89" t="str">
        <f>Registro!AL345</f>
        <v>b) Buena</v>
      </c>
      <c r="AR345" s="89" t="str">
        <f>Registro!AM345</f>
        <v>b) Buena</v>
      </c>
      <c r="AS345" s="89" t="str">
        <f>Registro!AN345</f>
        <v>c) Regular</v>
      </c>
      <c r="AT345" s="89" t="str">
        <f>Registro!AO345</f>
        <v>b) Buena</v>
      </c>
      <c r="AU345" s="89" t="str">
        <f>Registro!AP345</f>
        <v>b) Buena</v>
      </c>
      <c r="AV345" s="89" t="str">
        <f>Registro!AQ345</f>
        <v>c) Regular</v>
      </c>
      <c r="AW345" s="89" t="str">
        <f>Registro!AR345</f>
        <v>c) El estudio</v>
      </c>
      <c r="AX345" s="89" t="str">
        <f>Registro!AS345</f>
        <v>b) Darme una buena educación</v>
      </c>
      <c r="AY345" s="89" t="str">
        <f>Registro!AT345</f>
        <v>e) Absolutamente necesaria</v>
      </c>
      <c r="AZ345" s="89" t="str">
        <f>Registro!AU345</f>
        <v>c) Alguna vez he bebido más de la cuenta</v>
      </c>
      <c r="BA345" s="89" t="str">
        <f>Registro!AV345</f>
        <v>c) Profesionales que hacen lo que pueden</v>
      </c>
      <c r="BB345" s="89" t="str">
        <f>Registro!AW345</f>
        <v>c) Bastante</v>
      </c>
      <c r="BC345" s="89" t="str">
        <f>Registro!AX345</f>
        <v>d) Hay de todo tipo, pero predomina lo positivo</v>
      </c>
      <c r="BD345" s="89" t="str">
        <f>Registro!AY345</f>
        <v>b) Mi madre, g) Un amigo</v>
      </c>
    </row>
    <row r="346" spans="1:56" ht="15" customHeight="1" x14ac:dyDescent="0.25">
      <c r="A346" s="101">
        <f>Registro!A346</f>
        <v>42314.303402777776</v>
      </c>
      <c r="B346" s="89" t="str">
        <f>Registro!B346</f>
        <v>b) Calasanz de Valencia</v>
      </c>
      <c r="C346" s="89" t="str">
        <f>Registro!C346</f>
        <v>a) Primer año</v>
      </c>
      <c r="D346" s="89" t="str">
        <f>Registro!D346</f>
        <v>a) Educación Inicial</v>
      </c>
      <c r="E346" s="89" t="str">
        <f>Registro!E346</f>
        <v>a) Masculino</v>
      </c>
      <c r="F346" s="89" t="str">
        <f>Registro!F346</f>
        <v>a) Católica</v>
      </c>
      <c r="G346" s="89" t="str">
        <f>Registro!G346</f>
        <v>a) Mamá, b) Papá, c) Hermanos, d) Abuelos</v>
      </c>
      <c r="H346" s="89" t="str">
        <f>Registro!H346</f>
        <v>c) Apartamento</v>
      </c>
      <c r="I346" s="89" t="str">
        <f>Registro!I346</f>
        <v>a) Sí</v>
      </c>
      <c r="J346" s="89" t="str">
        <f>Registro!J346</f>
        <v>a) Cónsola videojuegos, b) Lavadora, c) Microondas, d) TV pantalla plana, e) Moto, f) MP3, g) MP4, h) Carro, i) Computadora, j) Cámara digital, k) Aire acondicionado</v>
      </c>
      <c r="K346" s="89" t="str">
        <f>Registro!K346</f>
        <v>c) Dos</v>
      </c>
      <c r="L346" s="89" t="str">
        <f>Registro!L346</f>
        <v>a) La familia, b) Los amigos, j) El deporte</v>
      </c>
      <c r="M346" s="94">
        <f t="shared" si="30"/>
        <v>3</v>
      </c>
      <c r="N346" s="89" t="str">
        <f>Registro!M346</f>
        <v>a) Seguridad personal (la violencia y la delincuencia)</v>
      </c>
      <c r="O346" s="89" t="str">
        <f>Registro!N346</f>
        <v>a) Mucho</v>
      </c>
      <c r="P346" s="89" t="str">
        <f>Registro!O346</f>
        <v>b) Suficiente</v>
      </c>
      <c r="Q346" s="89" t="str">
        <f>Registro!P346</f>
        <v>b) Suficiente</v>
      </c>
      <c r="R346" s="89"/>
      <c r="S346" s="94">
        <f t="shared" si="31"/>
        <v>0</v>
      </c>
      <c r="T346" s="89" t="str">
        <f>Registro!R346</f>
        <v>a) Mucho</v>
      </c>
      <c r="U346" s="89" t="str">
        <f>Registro!S346</f>
        <v>g) Mi familia, h) Algunas personas cercanas a Dios</v>
      </c>
      <c r="V346" s="89" t="str">
        <f>Registro!T346</f>
        <v>a) Suelo rezar por convicción o porque me gusta</v>
      </c>
      <c r="W346" s="89" t="str">
        <f>Registro!U346</f>
        <v>c) Solo en fechas especiales</v>
      </c>
      <c r="X346" s="89" t="str">
        <f>Registro!V346</f>
        <v>a) Suelo llevar una cruz o algún objeto religioso, b) Suelo bendedir los alimentos antes de comer, d) Suelo orar todos los días</v>
      </c>
      <c r="Y346" s="89" t="str">
        <f>Registro!W346</f>
        <v>a) Deportivo</v>
      </c>
      <c r="Z346" s="89" t="str">
        <f>Registro!X346</f>
        <v>d) No pertenezco a grupos juveniles cristianos</v>
      </c>
      <c r="AA346" s="89" t="str">
        <f>Registro!Y346</f>
        <v>b) No</v>
      </c>
      <c r="AB346" s="89">
        <f>Registro!Z346</f>
        <v>0</v>
      </c>
      <c r="AC346" s="89" t="str">
        <f>Registro!AA346</f>
        <v>a) Medicina, b) Docencia</v>
      </c>
      <c r="AD346" s="94">
        <f t="shared" si="32"/>
        <v>2</v>
      </c>
      <c r="AE346" s="89" t="str">
        <f>Registro!AB346</f>
        <v>a) Ganar mucho dinero</v>
      </c>
      <c r="AF346" s="89" t="str">
        <f>Registro!AC346</f>
        <v>b) Poco</v>
      </c>
      <c r="AG346" s="89" t="str">
        <f>Registro!AD346</f>
        <v>a) Los deportes y diversiones, c) Las instalaciones del Colegio</v>
      </c>
      <c r="AH346" s="94">
        <f t="shared" si="28"/>
        <v>2</v>
      </c>
      <c r="AI346" s="89" t="str">
        <f>Registro!AE346</f>
        <v>b) 3 a 4 horas</v>
      </c>
      <c r="AJ346" s="89" t="str">
        <f>Registro!AF346</f>
        <v>k) Practico algún deporte</v>
      </c>
      <c r="AK346" s="94">
        <f t="shared" si="29"/>
        <v>1</v>
      </c>
      <c r="AL346" s="89" t="str">
        <f>Registro!AG346</f>
        <v>c) Regular</v>
      </c>
      <c r="AM346" s="89" t="str">
        <f>Registro!AH346</f>
        <v>d) Mala</v>
      </c>
      <c r="AN346" s="89" t="str">
        <f>Registro!AI346</f>
        <v>e) Muy mala</v>
      </c>
      <c r="AO346" s="89" t="str">
        <f>Registro!AJ346</f>
        <v>d) Mala</v>
      </c>
      <c r="AP346" s="89" t="str">
        <f>Registro!AK346</f>
        <v>e) Muy mala</v>
      </c>
      <c r="AQ346" s="89" t="str">
        <f>Registro!AL346</f>
        <v>d) Mala</v>
      </c>
      <c r="AR346" s="89" t="str">
        <f>Registro!AM346</f>
        <v>d) Mala</v>
      </c>
      <c r="AS346" s="89" t="str">
        <f>Registro!AN346</f>
        <v>e) Muy mala</v>
      </c>
      <c r="AT346" s="89" t="str">
        <f>Registro!AO346</f>
        <v>e) Muy mala</v>
      </c>
      <c r="AU346" s="89" t="str">
        <f>Registro!AP346</f>
        <v>b) Buena</v>
      </c>
      <c r="AV346" s="89" t="str">
        <f>Registro!AQ346</f>
        <v>b) Buena</v>
      </c>
      <c r="AW346" s="89" t="str">
        <f>Registro!AR346</f>
        <v>g) La orientación profesional futura</v>
      </c>
      <c r="AX346" s="89" t="str">
        <f>Registro!AS346</f>
        <v>a) Que sea un buen profesional</v>
      </c>
      <c r="AY346" s="89" t="str">
        <f>Registro!AT346</f>
        <v>e) Absolutamente necesaria</v>
      </c>
      <c r="AZ346" s="89" t="str">
        <f>Registro!AU346</f>
        <v>a) No acostumbro a tomarlo nunca</v>
      </c>
      <c r="BA346" s="89" t="str">
        <f>Registro!AV346</f>
        <v>e) Educadores que se preocupan de nosotros</v>
      </c>
      <c r="BB346" s="89" t="str">
        <f>Registro!AW346</f>
        <v>b) Poco</v>
      </c>
      <c r="BC346" s="89" t="str">
        <f>Registro!AX346</f>
        <v>a) No me gustan en absoluto</v>
      </c>
      <c r="BD346" s="89" t="str">
        <f>Registro!AY346</f>
        <v>a) Mi padre, b) Mi madre, c) Un hermano/a, g) Un amigo, h) Una amiga</v>
      </c>
    </row>
    <row r="347" spans="1:56" ht="15" customHeight="1" x14ac:dyDescent="0.25">
      <c r="A347" s="101">
        <f>Registro!A347</f>
        <v>42314.30369212963</v>
      </c>
      <c r="B347" s="89" t="str">
        <f>Registro!B347</f>
        <v>b) Calasanz de Valencia</v>
      </c>
      <c r="C347" s="89" t="str">
        <f>Registro!C347</f>
        <v>a) Primer año</v>
      </c>
      <c r="D347" s="89" t="str">
        <f>Registro!D347</f>
        <v>a) Educación Inicial</v>
      </c>
      <c r="E347" s="89" t="str">
        <f>Registro!E347</f>
        <v>a) Masculino</v>
      </c>
      <c r="F347" s="89" t="str">
        <f>Registro!F347</f>
        <v>a) Católica</v>
      </c>
      <c r="G347" s="89" t="str">
        <f>Registro!G347</f>
        <v>a) Mamá, b) Papá, c) Hermanos</v>
      </c>
      <c r="H347" s="89" t="str">
        <f>Registro!H347</f>
        <v>b) Casa Urbana</v>
      </c>
      <c r="I347" s="89" t="str">
        <f>Registro!I347</f>
        <v>a) Sí</v>
      </c>
      <c r="J347" s="89" t="str">
        <f>Registro!J347</f>
        <v>a) Cónsola videojuegos, b) Lavadora, c) Microondas, d) TV pantalla plana, h) Carro, i) Computadora, j) Cámara digital, k) Aire acondicionado</v>
      </c>
      <c r="K347" s="89" t="str">
        <f>Registro!K347</f>
        <v>b) Una</v>
      </c>
      <c r="L347" s="89" t="str">
        <f>Registro!L347</f>
        <v>a) La familia, b) Los amigos, j) El deporte</v>
      </c>
      <c r="M347" s="94">
        <f t="shared" si="30"/>
        <v>3</v>
      </c>
      <c r="N347" s="89" t="str">
        <f>Registro!M347</f>
        <v>b) El futuro</v>
      </c>
      <c r="O347" s="89" t="str">
        <f>Registro!N347</f>
        <v>b) Suficiente</v>
      </c>
      <c r="P347" s="89" t="str">
        <f>Registro!O347</f>
        <v>b) Suficiente</v>
      </c>
      <c r="Q347" s="89" t="str">
        <f>Registro!P347</f>
        <v>b) Suficiente</v>
      </c>
      <c r="R347" s="89" t="str">
        <f>Registro!Q347</f>
        <v>a) La familia, c) Los estudios, g) La felicidad</v>
      </c>
      <c r="S347" s="94">
        <f t="shared" si="31"/>
        <v>3</v>
      </c>
      <c r="T347" s="89" t="str">
        <f>Registro!R347</f>
        <v>b) Suficiente</v>
      </c>
      <c r="U347" s="89" t="str">
        <f>Registro!S347</f>
        <v>a) La Iglesia</v>
      </c>
      <c r="V347" s="89" t="str">
        <f>Registro!T347</f>
        <v>b) Rezo por costumbre</v>
      </c>
      <c r="W347" s="89" t="str">
        <f>Registro!U347</f>
        <v>b) Algunos domingos</v>
      </c>
      <c r="X347" s="89" t="str">
        <f>Registro!V347</f>
        <v>e) Voy a misa en las fechas de mis familiares difuntos</v>
      </c>
      <c r="Y347" s="89" t="str">
        <f>Registro!W347</f>
        <v>a) Deportivo</v>
      </c>
      <c r="Z347" s="89" t="str">
        <f>Registro!X347</f>
        <v>b) Un lugar donde comparto con mis compañeros</v>
      </c>
      <c r="AA347" s="89" t="str">
        <f>Registro!Y347</f>
        <v>b) No</v>
      </c>
      <c r="AB347" s="89" t="str">
        <f>Registro!Z347</f>
        <v>b) No</v>
      </c>
      <c r="AC347" s="89" t="str">
        <f>Registro!AA347</f>
        <v>d) Ingeniería, e) Derecho</v>
      </c>
      <c r="AD347" s="94">
        <f t="shared" si="32"/>
        <v>2</v>
      </c>
      <c r="AE347" s="89">
        <f>Registro!AB347</f>
        <v>0</v>
      </c>
      <c r="AF347" s="89" t="str">
        <f>Registro!AC347</f>
        <v>e) No sé</v>
      </c>
      <c r="AG347" s="89" t="str">
        <f>Registro!AD347</f>
        <v>a) Los deportes y diversiones, g) La relación con los docentes</v>
      </c>
      <c r="AH347" s="94">
        <f t="shared" si="28"/>
        <v>2</v>
      </c>
      <c r="AI347" s="89" t="str">
        <f>Registro!AE347</f>
        <v>e) 9 a 10 horas</v>
      </c>
      <c r="AJ347" s="89" t="str">
        <f>Registro!AF347</f>
        <v>b) Navego en Internet, l) Escucho música y/o veo videos musicales, m) Veo televisión y/o películas</v>
      </c>
      <c r="AK347" s="94">
        <f t="shared" si="29"/>
        <v>3</v>
      </c>
      <c r="AL347" s="89" t="str">
        <f>Registro!AG347</f>
        <v>b) Bueno</v>
      </c>
      <c r="AM347" s="89" t="str">
        <f>Registro!AH347</f>
        <v>b) Buena</v>
      </c>
      <c r="AN347" s="89" t="str">
        <f>Registro!AI347</f>
        <v>b) Buena</v>
      </c>
      <c r="AO347" s="89" t="str">
        <f>Registro!AJ347</f>
        <v>c) Regular</v>
      </c>
      <c r="AP347" s="89" t="str">
        <f>Registro!AK347</f>
        <v>c) Regular</v>
      </c>
      <c r="AQ347" s="89" t="str">
        <f>Registro!AL347</f>
        <v>b) Buena</v>
      </c>
      <c r="AR347" s="89" t="str">
        <f>Registro!AM347</f>
        <v>a) Muy buena</v>
      </c>
      <c r="AS347" s="89" t="str">
        <f>Registro!AN347</f>
        <v>c) Regular</v>
      </c>
      <c r="AT347" s="89" t="str">
        <f>Registro!AO347</f>
        <v>b) Buena</v>
      </c>
      <c r="AU347" s="89" t="str">
        <f>Registro!AP347</f>
        <v>c) Regular</v>
      </c>
      <c r="AV347" s="89" t="str">
        <f>Registro!AQ347</f>
        <v>c) Regular</v>
      </c>
      <c r="AW347" s="89" t="str">
        <f>Registro!AR347</f>
        <v>f) la práctica religiosa</v>
      </c>
      <c r="AX347" s="89" t="str">
        <f>Registro!AS347</f>
        <v>a) Que sea un buen profesional</v>
      </c>
      <c r="AY347" s="89" t="str">
        <f>Registro!AT347</f>
        <v>c) Conveniente</v>
      </c>
      <c r="AZ347" s="89" t="str">
        <f>Registro!AU347</f>
        <v>a) No acostumbro a tomarlo nunca</v>
      </c>
      <c r="BA347" s="89" t="str">
        <f>Registro!AV347</f>
        <v>f) Educadores que, además, me han abierto caminos</v>
      </c>
      <c r="BB347" s="89" t="str">
        <f>Registro!AW347</f>
        <v>c) Bastante</v>
      </c>
      <c r="BC347" s="89" t="str">
        <f>Registro!AX347</f>
        <v>c) Son personas normales y corrientes</v>
      </c>
      <c r="BD347" s="89" t="str">
        <f>Registro!AY347</f>
        <v>k) No tengo problemas personales</v>
      </c>
    </row>
    <row r="348" spans="1:56" ht="15" customHeight="1" x14ac:dyDescent="0.25">
      <c r="A348" s="101">
        <f>Registro!A348</f>
        <v>42314.303761574076</v>
      </c>
      <c r="B348" s="89" t="str">
        <f>Registro!B348</f>
        <v>b) Calasanz de Valencia</v>
      </c>
      <c r="C348" s="89" t="str">
        <f>Registro!C348</f>
        <v>a) Primer año</v>
      </c>
      <c r="D348" s="89" t="str">
        <f>Registro!D348</f>
        <v>a) Educación Inicial</v>
      </c>
      <c r="E348" s="89" t="str">
        <f>Registro!E348</f>
        <v>a) Masculino</v>
      </c>
      <c r="F348" s="89" t="str">
        <f>Registro!F348</f>
        <v>a) Católica</v>
      </c>
      <c r="G348" s="89" t="str">
        <f>Registro!G348</f>
        <v>a) Mamá, b) Papá, c) Hermanos</v>
      </c>
      <c r="H348" s="89" t="str">
        <f>Registro!H348</f>
        <v>b) Casa Urbana</v>
      </c>
      <c r="I348" s="89" t="str">
        <f>Registro!I348</f>
        <v>a) Sí</v>
      </c>
      <c r="J348" s="89" t="str">
        <f>Registro!J348</f>
        <v>a) Cónsola videojuegos, b) Lavadora, c) Microondas, d) TV pantalla plana, h) Carro, i) Computadora, j) Cámara digital, k) Aire acondicionado</v>
      </c>
      <c r="K348" s="89" t="str">
        <f>Registro!K348</f>
        <v>b) Una</v>
      </c>
      <c r="L348" s="89" t="str">
        <f>Registro!L348</f>
        <v>a) La familia, b) Los amigos, j) El deporte</v>
      </c>
      <c r="M348" s="94">
        <f t="shared" si="30"/>
        <v>3</v>
      </c>
      <c r="N348" s="89" t="str">
        <f>Registro!M348</f>
        <v>b) El futuro</v>
      </c>
      <c r="O348" s="89" t="str">
        <f>Registro!N348</f>
        <v>b) Suficiente</v>
      </c>
      <c r="P348" s="89" t="str">
        <f>Registro!O348</f>
        <v>b) Suficiente</v>
      </c>
      <c r="Q348" s="89" t="str">
        <f>Registro!P348</f>
        <v>b) Suficiente</v>
      </c>
      <c r="R348" s="89" t="str">
        <f>Registro!Q348</f>
        <v>a) La familia, c) Los estudios, g) La felicidad</v>
      </c>
      <c r="S348" s="94">
        <f t="shared" si="31"/>
        <v>3</v>
      </c>
      <c r="T348" s="89" t="str">
        <f>Registro!R348</f>
        <v>b) Suficiente</v>
      </c>
      <c r="U348" s="89" t="str">
        <f>Registro!S348</f>
        <v>a) La Iglesia</v>
      </c>
      <c r="V348" s="89" t="str">
        <f>Registro!T348</f>
        <v>b) Rezo por costumbre</v>
      </c>
      <c r="W348" s="89" t="str">
        <f>Registro!U348</f>
        <v>b) Algunos domingos</v>
      </c>
      <c r="X348" s="89" t="str">
        <f>Registro!V348</f>
        <v>e) Voy a misa en las fechas de mis familiares difuntos</v>
      </c>
      <c r="Y348" s="89" t="str">
        <f>Registro!W348</f>
        <v>a) Deportivo</v>
      </c>
      <c r="Z348" s="89" t="str">
        <f>Registro!X348</f>
        <v>b) Un lugar donde comparto con mis compañeros</v>
      </c>
      <c r="AA348" s="89" t="str">
        <f>Registro!Y348</f>
        <v>b) No</v>
      </c>
      <c r="AB348" s="89" t="str">
        <f>Registro!Z348</f>
        <v>b) No</v>
      </c>
      <c r="AC348" s="89" t="str">
        <f>Registro!AA348</f>
        <v>d) Ingeniería, e) Derecho</v>
      </c>
      <c r="AD348" s="94">
        <f t="shared" si="32"/>
        <v>2</v>
      </c>
      <c r="AE348" s="89">
        <f>Registro!AB348</f>
        <v>0</v>
      </c>
      <c r="AF348" s="89" t="str">
        <f>Registro!AC348</f>
        <v>e) No sé</v>
      </c>
      <c r="AG348" s="89" t="str">
        <f>Registro!AD348</f>
        <v>a) Los deportes y diversiones, g) La relación con los docentes</v>
      </c>
      <c r="AH348" s="94">
        <f t="shared" si="28"/>
        <v>2</v>
      </c>
      <c r="AI348" s="89" t="str">
        <f>Registro!AE348</f>
        <v>e) 9 a 10 horas</v>
      </c>
      <c r="AJ348" s="89" t="str">
        <f>Registro!AF348</f>
        <v>b) Navego en Internet, l) Escucho música y/o veo videos musicales, m) Veo televisión y/o películas</v>
      </c>
      <c r="AK348" s="94">
        <f t="shared" si="29"/>
        <v>3</v>
      </c>
      <c r="AL348" s="89" t="str">
        <f>Registro!AG348</f>
        <v>b) Bueno</v>
      </c>
      <c r="AM348" s="89" t="str">
        <f>Registro!AH348</f>
        <v>b) Buena</v>
      </c>
      <c r="AN348" s="89" t="str">
        <f>Registro!AI348</f>
        <v>b) Buena</v>
      </c>
      <c r="AO348" s="89" t="str">
        <f>Registro!AJ348</f>
        <v>c) Regular</v>
      </c>
      <c r="AP348" s="89" t="str">
        <f>Registro!AK348</f>
        <v>c) Regular</v>
      </c>
      <c r="AQ348" s="89" t="str">
        <f>Registro!AL348</f>
        <v>b) Buena</v>
      </c>
      <c r="AR348" s="89" t="str">
        <f>Registro!AM348</f>
        <v>a) Muy buena</v>
      </c>
      <c r="AS348" s="89" t="str">
        <f>Registro!AN348</f>
        <v>c) Regular</v>
      </c>
      <c r="AT348" s="89" t="str">
        <f>Registro!AO348</f>
        <v>b) Buena</v>
      </c>
      <c r="AU348" s="89" t="str">
        <f>Registro!AP348</f>
        <v>c) Regular</v>
      </c>
      <c r="AV348" s="89" t="str">
        <f>Registro!AQ348</f>
        <v>c) Regular</v>
      </c>
      <c r="AW348" s="89" t="str">
        <f>Registro!AR348</f>
        <v>f) la práctica religiosa</v>
      </c>
      <c r="AX348" s="89" t="str">
        <f>Registro!AS348</f>
        <v>a) Que sea un buen profesional</v>
      </c>
      <c r="AY348" s="89" t="str">
        <f>Registro!AT348</f>
        <v>c) Conveniente</v>
      </c>
      <c r="AZ348" s="89" t="str">
        <f>Registro!AU348</f>
        <v>a) No acostumbro a tomarlo nunca</v>
      </c>
      <c r="BA348" s="89" t="str">
        <f>Registro!AV348</f>
        <v>f) Educadores que, además, me han abierto caminos</v>
      </c>
      <c r="BB348" s="89" t="str">
        <f>Registro!AW348</f>
        <v>c) Bastante</v>
      </c>
      <c r="BC348" s="89" t="str">
        <f>Registro!AX348</f>
        <v>c) Son personas normales y corrientes</v>
      </c>
      <c r="BD348" s="89" t="str">
        <f>Registro!AY348</f>
        <v>k) No tengo problemas personales</v>
      </c>
    </row>
    <row r="349" spans="1:56" ht="15" customHeight="1" x14ac:dyDescent="0.25">
      <c r="A349" s="101">
        <f>Registro!A349</f>
        <v>42314.303946759261</v>
      </c>
      <c r="B349" s="89" t="str">
        <f>Registro!B349</f>
        <v>b) Calasanz de Valencia</v>
      </c>
      <c r="C349" s="89" t="str">
        <f>Registro!C349</f>
        <v>a) Primer año</v>
      </c>
      <c r="D349" s="89" t="str">
        <f>Registro!D349</f>
        <v>a) Educación Inicial</v>
      </c>
      <c r="E349" s="89" t="str">
        <f>Registro!E349</f>
        <v>b) Femenino</v>
      </c>
      <c r="F349" s="89" t="str">
        <f>Registro!F349</f>
        <v>a) Católica</v>
      </c>
      <c r="G349" s="89" t="str">
        <f>Registro!G349</f>
        <v>a) Mamá, b) Papá, c) Hermanos</v>
      </c>
      <c r="H349" s="89" t="str">
        <f>Registro!H349</f>
        <v>a) Quinta</v>
      </c>
      <c r="I349" s="89" t="str">
        <f>Registro!I349</f>
        <v>a) Sí</v>
      </c>
      <c r="J349" s="89" t="str">
        <f>Registro!J349</f>
        <v>a) Cónsola videojuegos, b) Lavadora, c) Microondas, d) TV pantalla plana, f) MP3, g) MP4, h) Carro, i) Computadora, j) Cámara digital, k) Aire acondicionado</v>
      </c>
      <c r="K349" s="89" t="str">
        <f>Registro!K349</f>
        <v>c) Dos</v>
      </c>
      <c r="L349" s="89"/>
      <c r="M349" s="94">
        <f t="shared" si="30"/>
        <v>0</v>
      </c>
      <c r="N349" s="89" t="str">
        <f>Registro!M349</f>
        <v>a) Seguridad personal (la violencia y la delincuencia)</v>
      </c>
      <c r="O349" s="89">
        <f>Registro!N349</f>
        <v>0</v>
      </c>
      <c r="P349" s="89">
        <f>Registro!O349</f>
        <v>0</v>
      </c>
      <c r="Q349" s="89" t="str">
        <f>Registro!P349</f>
        <v>a) Mucho</v>
      </c>
      <c r="R349" s="89"/>
      <c r="S349" s="94">
        <f t="shared" si="31"/>
        <v>0</v>
      </c>
      <c r="T349" s="89" t="str">
        <f>Registro!R349</f>
        <v>a) Mucho</v>
      </c>
      <c r="U349" s="89" t="str">
        <f>Registro!S349</f>
        <v>a) La Iglesia, b) La naturaleza, c) El salón de clase, d) Las convivencias, e) Los amigos, f) Todas las personas, g) Mi familia, h) Algunas personas cercanas a Dios, i) Los necesitados, j) Todas partes, k) La oración, l) Los sacramentos</v>
      </c>
      <c r="V349" s="89" t="str">
        <f>Registro!T349</f>
        <v>a) Suelo rezar por convicción o porque me gusta</v>
      </c>
      <c r="W349" s="89" t="str">
        <f>Registro!U349</f>
        <v>b) Algunos domingos</v>
      </c>
      <c r="X349" s="89" t="str">
        <f>Registro!V349</f>
        <v>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349" s="89" t="str">
        <f>Registro!W349</f>
        <v>a) Deportivo, b) Cultural (folklórico, musicales, danzas, scout, banda marcial,...) , c) Religioso o parroquial</v>
      </c>
      <c r="Z349" s="89" t="str">
        <f>Registro!X349</f>
        <v>a) Un grupo donde profundizo mi fe</v>
      </c>
      <c r="AA349" s="89" t="str">
        <f>Registro!Y349</f>
        <v>b) No</v>
      </c>
      <c r="AB349" s="89" t="str">
        <f>Registro!Z349</f>
        <v>b) No</v>
      </c>
      <c r="AC349" s="89" t="str">
        <f>Registro!AA349</f>
        <v>a) Medicina, b) Docencia</v>
      </c>
      <c r="AD349" s="94">
        <f t="shared" si="32"/>
        <v>2</v>
      </c>
      <c r="AE349" s="89" t="str">
        <f>Registro!AB349</f>
        <v>c) Ser un excelente profesional</v>
      </c>
      <c r="AF349" s="89" t="str">
        <f>Registro!AC349</f>
        <v>d) Mucho o muchísimo</v>
      </c>
      <c r="AG349" s="89" t="str">
        <f>Registro!AD349</f>
        <v>b) El ambiente de estudio y de trabajo, g) La relación con los docentes</v>
      </c>
      <c r="AH349" s="94">
        <f t="shared" si="28"/>
        <v>2</v>
      </c>
      <c r="AI349" s="89" t="str">
        <f>Registro!AE349</f>
        <v>f) 11 o más horas</v>
      </c>
      <c r="AJ349" s="89" t="str">
        <f>Registro!AF349</f>
        <v>i) Leo revistas o libros, k) Practico algún deporte, m) Veo televisión y/o películas</v>
      </c>
      <c r="AK349" s="94">
        <f t="shared" si="29"/>
        <v>3</v>
      </c>
      <c r="AL349" s="89" t="str">
        <f>Registro!AG349</f>
        <v>a) Muy bueno</v>
      </c>
      <c r="AM349" s="89" t="str">
        <f>Registro!AH349</f>
        <v>c) Regular</v>
      </c>
      <c r="AN349" s="89" t="str">
        <f>Registro!AI349</f>
        <v>c) Regular</v>
      </c>
      <c r="AO349" s="89" t="str">
        <f>Registro!AJ349</f>
        <v>b) Buena</v>
      </c>
      <c r="AP349" s="89" t="str">
        <f>Registro!AK349</f>
        <v>c) Regular</v>
      </c>
      <c r="AQ349" s="89" t="str">
        <f>Registro!AL349</f>
        <v>b) Buena</v>
      </c>
      <c r="AR349" s="89" t="str">
        <f>Registro!AM349</f>
        <v>a) Muy buena</v>
      </c>
      <c r="AS349" s="89" t="str">
        <f>Registro!AN349</f>
        <v>a) Muy buena</v>
      </c>
      <c r="AT349" s="89" t="str">
        <f>Registro!AO349</f>
        <v>b) Buena</v>
      </c>
      <c r="AU349" s="89" t="str">
        <f>Registro!AP349</f>
        <v>a) Muy buena</v>
      </c>
      <c r="AV349" s="89" t="str">
        <f>Registro!AQ349</f>
        <v>a) Muy buena</v>
      </c>
      <c r="AW349" s="89" t="str">
        <f>Registro!AR349</f>
        <v>c) El estudio</v>
      </c>
      <c r="AX349" s="89" t="str">
        <f>Registro!AS349</f>
        <v>b) Darme una buena educación</v>
      </c>
      <c r="AY349" s="89" t="str">
        <f>Registro!AT349</f>
        <v>e) Absolutamente necesaria</v>
      </c>
      <c r="AZ349" s="89" t="str">
        <f>Registro!AU349</f>
        <v>a) No acostumbro a tomarlo nunca</v>
      </c>
      <c r="BA349" s="89" t="str">
        <f>Registro!AV349</f>
        <v>f) Educadores que, además, me han abierto caminos</v>
      </c>
      <c r="BB349" s="89" t="str">
        <f>Registro!AW349</f>
        <v>d) Mucho o muchísimo</v>
      </c>
      <c r="BC349" s="89" t="str">
        <f>Registro!AX349</f>
        <v>e) Son personas que me gustan y admiro</v>
      </c>
      <c r="BD349" s="89" t="str">
        <f>Registro!AY349</f>
        <v>a) Mi padre, b) Mi madre, c) Un hermano/a, e) Un, una docente, f) La orientadora, h) Una amiga</v>
      </c>
    </row>
    <row r="350" spans="1:56" ht="15" customHeight="1" x14ac:dyDescent="0.25">
      <c r="A350" s="101">
        <f>Registro!A350</f>
        <v>42314.313981481479</v>
      </c>
      <c r="B350" s="89" t="str">
        <f>Registro!B350</f>
        <v>b) Calasanz de Valencia</v>
      </c>
      <c r="C350" s="89" t="str">
        <f>Registro!C350</f>
        <v>a) Primer año</v>
      </c>
      <c r="D350" s="89" t="str">
        <f>Registro!D350</f>
        <v>c) Entre Primero y Tercer año</v>
      </c>
      <c r="E350" s="89" t="str">
        <f>Registro!E350</f>
        <v>a) Masculino</v>
      </c>
      <c r="F350" s="89" t="str">
        <f>Registro!F350</f>
        <v>a) Católica</v>
      </c>
      <c r="G350" s="89" t="str">
        <f>Registro!G350</f>
        <v>a) Mamá, b) Papá</v>
      </c>
      <c r="H350" s="89" t="str">
        <f>Registro!H350</f>
        <v>c) Apartamento</v>
      </c>
      <c r="I350" s="89" t="str">
        <f>Registro!I350</f>
        <v>a) Sí</v>
      </c>
      <c r="J350" s="89" t="str">
        <f>Registro!J350</f>
        <v>a) Cónsola videojuegos, b) Lavadora, c) Microondas, d) TV pantalla plana, h) Carro, i) Computadora</v>
      </c>
      <c r="K350" s="89" t="str">
        <f>Registro!K350</f>
        <v>b) Una</v>
      </c>
      <c r="L350" s="89" t="str">
        <f>Registro!L350</f>
        <v>a) La familia, b) Los amigos, c) Los estudios</v>
      </c>
      <c r="M350" s="94">
        <f t="shared" si="30"/>
        <v>3</v>
      </c>
      <c r="N350" s="89" t="str">
        <f>Registro!M350</f>
        <v>b) El futuro</v>
      </c>
      <c r="O350" s="89" t="str">
        <f>Registro!N350</f>
        <v>c) Poco</v>
      </c>
      <c r="P350" s="89" t="str">
        <f>Registro!O350</f>
        <v>c) Poco</v>
      </c>
      <c r="Q350" s="89" t="str">
        <f>Registro!P350</f>
        <v>a) Mucho</v>
      </c>
      <c r="R350" s="89" t="str">
        <f>Registro!Q350</f>
        <v>c) Los estudios, d) El cuidado de mi cuerpo, f) Mi fe y mi vida cristiana</v>
      </c>
      <c r="S350" s="94">
        <f t="shared" si="31"/>
        <v>3</v>
      </c>
      <c r="T350" s="89" t="str">
        <f>Registro!R350</f>
        <v>a) Mucho</v>
      </c>
      <c r="U350" s="89" t="str">
        <f>Registro!S350</f>
        <v>a) La Iglesia, c) El salón de clase, g) Mi familia</v>
      </c>
      <c r="V350" s="89" t="str">
        <f>Registro!T350</f>
        <v>b) Rezo por costumbre</v>
      </c>
      <c r="W350" s="89" t="str">
        <f>Registro!U350</f>
        <v>b) Algunos domingos</v>
      </c>
      <c r="X350" s="89" t="str">
        <f>Registro!V350</f>
        <v>a) Suelo llevar una cruz o algún objeto religioso, d) Suelo orar todos los días</v>
      </c>
      <c r="Y350" s="89" t="str">
        <f>Registro!W350</f>
        <v>d) No pertenezco a ninguno</v>
      </c>
      <c r="Z350" s="89" t="str">
        <f>Registro!X350</f>
        <v>a) Un grupo donde profundizo mi fe</v>
      </c>
      <c r="AA350" s="89">
        <f>Registro!Y350</f>
        <v>0</v>
      </c>
      <c r="AB350" s="89" t="str">
        <f>Registro!Z350</f>
        <v>b) No</v>
      </c>
      <c r="AC350" s="89" t="str">
        <f>Registro!AA350</f>
        <v>b) Docencia, e) Derecho</v>
      </c>
      <c r="AD350" s="94">
        <f t="shared" si="32"/>
        <v>2</v>
      </c>
      <c r="AE350" s="89" t="str">
        <f>Registro!AB350</f>
        <v>c) Ser un excelente profesional</v>
      </c>
      <c r="AF350" s="89" t="str">
        <f>Registro!AC350</f>
        <v>b) Poco</v>
      </c>
      <c r="AG350" s="89" t="str">
        <f>Registro!AD350</f>
        <v>a) Los deportes y diversiones, b) El ambiente de estudio y de trabajo</v>
      </c>
      <c r="AH350" s="94">
        <f t="shared" si="28"/>
        <v>2</v>
      </c>
      <c r="AI350" s="89" t="str">
        <f>Registro!AE350</f>
        <v>c) 5 a 6 horas</v>
      </c>
      <c r="AJ350" s="89" t="str">
        <f>Registro!AF350</f>
        <v>b) Navego en Internet, f) Toco un instrumento musical, m) Veo televisión y/o películas</v>
      </c>
      <c r="AK350" s="94">
        <f t="shared" si="29"/>
        <v>3</v>
      </c>
      <c r="AL350" s="89" t="str">
        <f>Registro!AG350</f>
        <v>a) Muy bueno</v>
      </c>
      <c r="AM350" s="89" t="str">
        <f>Registro!AH350</f>
        <v>b) Buena</v>
      </c>
      <c r="AN350" s="89" t="str">
        <f>Registro!AI350</f>
        <v>b) Buena</v>
      </c>
      <c r="AO350" s="89" t="str">
        <f>Registro!AJ350</f>
        <v>a) Muy buena</v>
      </c>
      <c r="AP350" s="89" t="str">
        <f>Registro!AK350</f>
        <v>b) Buena</v>
      </c>
      <c r="AQ350" s="89" t="str">
        <f>Registro!AL350</f>
        <v>a) Muy buena</v>
      </c>
      <c r="AR350" s="89" t="str">
        <f>Registro!AM350</f>
        <v>a) Muy buena</v>
      </c>
      <c r="AS350" s="89" t="str">
        <f>Registro!AN350</f>
        <v>b) Buena</v>
      </c>
      <c r="AT350" s="89" t="str">
        <f>Registro!AO350</f>
        <v>a) Muy buena</v>
      </c>
      <c r="AU350" s="89" t="str">
        <f>Registro!AP350</f>
        <v>a) Muy buena</v>
      </c>
      <c r="AV350" s="89" t="str">
        <f>Registro!AQ350</f>
        <v>a) Muy buena</v>
      </c>
      <c r="AW350" s="89" t="str">
        <f>Registro!AR350</f>
        <v>a) El compañerismo</v>
      </c>
      <c r="AX350" s="89" t="str">
        <f>Registro!AS350</f>
        <v>b) Darme una buena educación</v>
      </c>
      <c r="AY350" s="89" t="str">
        <f>Registro!AT350</f>
        <v>c) Conveniente</v>
      </c>
      <c r="AZ350" s="89" t="str">
        <f>Registro!AU350</f>
        <v>a) No acostumbro a tomarlo nunca</v>
      </c>
      <c r="BA350" s="89" t="str">
        <f>Registro!AV350</f>
        <v>d) Buenos profesionales de la educación</v>
      </c>
      <c r="BB350" s="89" t="str">
        <f>Registro!AW350</f>
        <v>d) Mucho o muchísimo</v>
      </c>
      <c r="BC350" s="89" t="str">
        <f>Registro!AX350</f>
        <v>c) Son personas normales y corrientes</v>
      </c>
      <c r="BD350" s="89" t="str">
        <f>Registro!AY350</f>
        <v>a) Mi padre, b) Mi madre</v>
      </c>
    </row>
    <row r="351" spans="1:56" ht="15" customHeight="1" x14ac:dyDescent="0.25">
      <c r="A351" s="101">
        <f>Registro!A351</f>
        <v>42314.384675925925</v>
      </c>
      <c r="B351" s="89" t="str">
        <f>Registro!B351</f>
        <v>b) Calasanz de Valencia</v>
      </c>
      <c r="C351" s="89" t="str">
        <f>Registro!C351</f>
        <v>b) Tercer año</v>
      </c>
      <c r="D351" s="89" t="str">
        <f>Registro!D351</f>
        <v>a) Educación Inicial</v>
      </c>
      <c r="E351" s="89" t="str">
        <f>Registro!E351</f>
        <v>b) Femenino</v>
      </c>
      <c r="F351" s="89" t="str">
        <f>Registro!F351</f>
        <v>a) Católica</v>
      </c>
      <c r="G351" s="89" t="str">
        <f>Registro!G351</f>
        <v>a) Mamá, b) Papá, c) Hermanos</v>
      </c>
      <c r="H351" s="89" t="str">
        <f>Registro!H351</f>
        <v>d) Casa Rural</v>
      </c>
      <c r="I351" s="89" t="str">
        <f>Registro!I351</f>
        <v>a) Sí</v>
      </c>
      <c r="J351" s="89" t="str">
        <f>Registro!J351</f>
        <v>b) Lavadora, c) Microondas, d) TV pantalla plana, g) MP4, h) Carro, i) Computadora, j) Cámara digital, k) Aire acondicionado</v>
      </c>
      <c r="K351" s="89" t="str">
        <f>Registro!K351</f>
        <v>c) Dos</v>
      </c>
      <c r="L351" s="89" t="str">
        <f>Registro!L351</f>
        <v>a) La familia, b) Los amigos, f) Mi fe y vida cristiana</v>
      </c>
      <c r="M351" s="94">
        <f t="shared" si="30"/>
        <v>3</v>
      </c>
      <c r="N351" s="89" t="str">
        <f>Registro!M351</f>
        <v>a) Seguridad personal (la violencia y la delincuencia)</v>
      </c>
      <c r="O351" s="89" t="str">
        <f>Registro!N351</f>
        <v>a) Mucho</v>
      </c>
      <c r="P351" s="89" t="str">
        <f>Registro!O351</f>
        <v>a) Mucho</v>
      </c>
      <c r="Q351" s="89" t="str">
        <f>Registro!P351</f>
        <v>a) Mucho</v>
      </c>
      <c r="R351" s="89" t="str">
        <f>Registro!Q351</f>
        <v>a) La familia, b) Los amigos, f) Mi fe y mi vida cristiana</v>
      </c>
      <c r="S351" s="94">
        <f t="shared" si="31"/>
        <v>3</v>
      </c>
      <c r="T351" s="89" t="str">
        <f>Registro!R351</f>
        <v>a) Mucho</v>
      </c>
      <c r="U351" s="89" t="str">
        <f>Registro!S351</f>
        <v>a) La Iglesia, b) La naturaleza, c) El salón de clase, d) Las convivencias, f) Todas las personas, h) Algunas personas cercanas a Dios, k) La oración, l) Los sacramentos</v>
      </c>
      <c r="V351" s="89" t="str">
        <f>Registro!T351</f>
        <v>b) Rezo por costumbre</v>
      </c>
      <c r="W351" s="89" t="str">
        <f>Registro!U351</f>
        <v>b) Algunos domingos</v>
      </c>
      <c r="X351" s="89" t="str">
        <f>Registro!V351</f>
        <v>d) Suelo orar todos los días, e) Voy a misa en las fechas de mis familiares difuntos</v>
      </c>
      <c r="Y351" s="89" t="str">
        <f>Registro!W351</f>
        <v>d) No pertenezco a ninguno</v>
      </c>
      <c r="Z351" s="89" t="str">
        <f>Registro!X351</f>
        <v>d) No pertenezco a grupos juveniles cristianos</v>
      </c>
      <c r="AA351" s="89" t="str">
        <f>Registro!Y351</f>
        <v>b) No</v>
      </c>
      <c r="AB351" s="89" t="str">
        <f>Registro!Z351</f>
        <v>b) No</v>
      </c>
      <c r="AC351" s="89"/>
      <c r="AD351" s="94">
        <f t="shared" si="32"/>
        <v>0</v>
      </c>
      <c r="AE351" s="89" t="str">
        <f>Registro!AB351</f>
        <v>e) Servir a los demás</v>
      </c>
      <c r="AF351" s="89" t="str">
        <f>Registro!AC351</f>
        <v>c) Bastante</v>
      </c>
      <c r="AG351" s="89" t="str">
        <f>Registro!AD351</f>
        <v>e) La mayor posibilidad de vivir mi fe, f) La igualdad de trato que se da a todos</v>
      </c>
      <c r="AH351" s="94">
        <f t="shared" si="28"/>
        <v>2</v>
      </c>
      <c r="AI351" s="89" t="str">
        <f>Registro!AE351</f>
        <v>f) 11 o más horas</v>
      </c>
      <c r="AJ351" s="89"/>
      <c r="AK351" s="94">
        <f t="shared" si="29"/>
        <v>0</v>
      </c>
      <c r="AL351" s="89" t="str">
        <f>Registro!AG351</f>
        <v>c) Regular</v>
      </c>
      <c r="AM351" s="89" t="str">
        <f>Registro!AH351</f>
        <v>c) Regular</v>
      </c>
      <c r="AN351" s="89" t="str">
        <f>Registro!AI351</f>
        <v>c) Regular</v>
      </c>
      <c r="AO351" s="89" t="str">
        <f>Registro!AJ351</f>
        <v>a) Muy buena</v>
      </c>
      <c r="AP351" s="89" t="str">
        <f>Registro!AK351</f>
        <v>f) No aplica</v>
      </c>
      <c r="AQ351" s="89" t="str">
        <f>Registro!AL351</f>
        <v>b) Buena</v>
      </c>
      <c r="AR351" s="89" t="str">
        <f>Registro!AM351</f>
        <v>b) Buena</v>
      </c>
      <c r="AS351" s="89" t="str">
        <f>Registro!AN351</f>
        <v>b) Buena</v>
      </c>
      <c r="AT351" s="89">
        <f>Registro!AO351</f>
        <v>0</v>
      </c>
      <c r="AU351" s="89" t="str">
        <f>Registro!AP351</f>
        <v>b) Buena</v>
      </c>
      <c r="AV351" s="89" t="str">
        <f>Registro!AQ351</f>
        <v>a) Muy buena</v>
      </c>
      <c r="AW351" s="89">
        <f>Registro!AR351</f>
        <v>0</v>
      </c>
      <c r="AX351" s="89" t="str">
        <f>Registro!AS351</f>
        <v>f) Que tenga honradez en la vida</v>
      </c>
      <c r="AY351" s="89" t="str">
        <f>Registro!AT351</f>
        <v>e) Absolutamente necesaria</v>
      </c>
      <c r="AZ351" s="89" t="str">
        <f>Registro!AU351</f>
        <v>b) Las veces que bebo, es con moderación</v>
      </c>
      <c r="BA351" s="89" t="str">
        <f>Registro!AV351</f>
        <v>d) Buenos profesionales de la educación</v>
      </c>
      <c r="BB351" s="89" t="str">
        <f>Registro!AW351</f>
        <v>b) Poco</v>
      </c>
      <c r="BC351" s="89" t="str">
        <f>Registro!AX351</f>
        <v>d) Hay de todo tipo, pero predomina lo positivo</v>
      </c>
      <c r="BD351" s="89" t="str">
        <f>Registro!AY351</f>
        <v>a) Mi padre, b) Mi madre, e) Un, una docente, h) Una amiga</v>
      </c>
    </row>
    <row r="352" spans="1:56" ht="15" customHeight="1" x14ac:dyDescent="0.25">
      <c r="A352" s="101">
        <f>Registro!A352</f>
        <v>42314.386597222219</v>
      </c>
      <c r="B352" s="89" t="str">
        <f>Registro!B352</f>
        <v>b) Calasanz de Valencia</v>
      </c>
      <c r="C352" s="89" t="str">
        <f>Registro!C352</f>
        <v>b) Tercer año</v>
      </c>
      <c r="D352" s="89" t="str">
        <f>Registro!D352</f>
        <v>a) Educación Inicial</v>
      </c>
      <c r="E352" s="89" t="str">
        <f>Registro!E352</f>
        <v>b) Femenino</v>
      </c>
      <c r="F352" s="89" t="str">
        <f>Registro!F352</f>
        <v>a) Católica</v>
      </c>
      <c r="G352" s="89" t="str">
        <f>Registro!G352</f>
        <v>a) Mamá, b) Papá, c) Hermanos, d) Abuelos</v>
      </c>
      <c r="H352" s="89" t="str">
        <f>Registro!H352</f>
        <v>b) Casa Urbana</v>
      </c>
      <c r="I352" s="89" t="str">
        <f>Registro!I352</f>
        <v>c) Algo</v>
      </c>
      <c r="J352" s="89" t="str">
        <f>Registro!J352</f>
        <v>a) Cónsola videojuegos, b) Lavadora, c) Microondas, d) TV pantalla plana, i) Computadora, k) Aire acondicionado</v>
      </c>
      <c r="K352" s="89" t="str">
        <f>Registro!K352</f>
        <v>c) Dos</v>
      </c>
      <c r="L352" s="89" t="str">
        <f>Registro!L352</f>
        <v>a) La familia, b) Los amigos, g) La felicidad</v>
      </c>
      <c r="M352" s="94">
        <f t="shared" si="30"/>
        <v>3</v>
      </c>
      <c r="N352" s="89" t="str">
        <f>Registro!M352</f>
        <v>b) El futuro</v>
      </c>
      <c r="O352" s="89" t="str">
        <f>Registro!N352</f>
        <v>b) Suficiente</v>
      </c>
      <c r="P352" s="89" t="str">
        <f>Registro!O352</f>
        <v>b) Suficiente</v>
      </c>
      <c r="Q352" s="89" t="str">
        <f>Registro!P352</f>
        <v>b) Suficiente</v>
      </c>
      <c r="R352" s="89" t="str">
        <f>Registro!Q352</f>
        <v>c) Los estudios, d) El cuidado de mi cuerpo, f) Mi fe y mi vida cristiana</v>
      </c>
      <c r="S352" s="94">
        <f t="shared" si="31"/>
        <v>3</v>
      </c>
      <c r="T352" s="89" t="str">
        <f>Registro!R352</f>
        <v>a) Mucho</v>
      </c>
      <c r="U352" s="89" t="str">
        <f>Registro!S352</f>
        <v>a) La Iglesia, g) Mi familia, j) Todas partes, k) La oración</v>
      </c>
      <c r="V352" s="89" t="str">
        <f>Registro!T352</f>
        <v>b) Rezo por costumbre</v>
      </c>
      <c r="W352" s="89" t="str">
        <f>Registro!U352</f>
        <v>b) Algunos domingos</v>
      </c>
      <c r="X352" s="89" t="str">
        <f>Registro!V352</f>
        <v>a) Suelo llevar una cruz o algún objeto religioso, d) Suelo orar todos los días, f) En alguna ocasión he rezado el rosario, i) Tengo en mi cuarto alguna imagen religiosa</v>
      </c>
      <c r="Y352" s="89" t="str">
        <f>Registro!W352</f>
        <v>d) No pertenezco a ninguno</v>
      </c>
      <c r="Z352" s="89" t="str">
        <f>Registro!X352</f>
        <v>d) No pertenezco a grupos juveniles cristianos</v>
      </c>
      <c r="AA352" s="89" t="str">
        <f>Registro!Y352</f>
        <v>b) No</v>
      </c>
      <c r="AB352" s="89" t="str">
        <f>Registro!Z352</f>
        <v>b) No</v>
      </c>
      <c r="AC352" s="89" t="str">
        <f>Registro!AA352</f>
        <v>a) Medicina, b) Docencia</v>
      </c>
      <c r="AD352" s="94">
        <f t="shared" si="32"/>
        <v>2</v>
      </c>
      <c r="AE352" s="89" t="str">
        <f>Registro!AB352</f>
        <v>d) Desarrollarme personalmente</v>
      </c>
      <c r="AF352" s="89" t="str">
        <f>Registro!AC352</f>
        <v>c) Bastante</v>
      </c>
      <c r="AG352" s="89" t="str">
        <f>Registro!AD352</f>
        <v>b) El ambiente de estudio y de trabajo, f) La igualdad de trato que se da a todos</v>
      </c>
      <c r="AH352" s="94">
        <f t="shared" si="28"/>
        <v>2</v>
      </c>
      <c r="AI352" s="89" t="str">
        <f>Registro!AE352</f>
        <v>d) 7 a 8 horas</v>
      </c>
      <c r="AJ352" s="89" t="str">
        <f>Registro!AF352</f>
        <v>h) Suelo ir al cine, l) Escucho música y/o veo videos musicales, n) Estoy conversando con los amigos/as</v>
      </c>
      <c r="AK352" s="94">
        <f t="shared" si="29"/>
        <v>3</v>
      </c>
      <c r="AL352" s="89" t="str">
        <f>Registro!AG352</f>
        <v>a) Muy bueno</v>
      </c>
      <c r="AM352" s="89" t="str">
        <f>Registro!AH352</f>
        <v>c) Regular</v>
      </c>
      <c r="AN352" s="89" t="str">
        <f>Registro!AI352</f>
        <v>c) Regular</v>
      </c>
      <c r="AO352" s="89" t="str">
        <f>Registro!AJ352</f>
        <v>a) Muy buena</v>
      </c>
      <c r="AP352" s="89" t="str">
        <f>Registro!AK352</f>
        <v>c) Regular</v>
      </c>
      <c r="AQ352" s="89" t="str">
        <f>Registro!AL352</f>
        <v>b) Buena</v>
      </c>
      <c r="AR352" s="89" t="str">
        <f>Registro!AM352</f>
        <v>b) Buena</v>
      </c>
      <c r="AS352" s="89" t="str">
        <f>Registro!AN352</f>
        <v>b) Buena</v>
      </c>
      <c r="AT352" s="89" t="str">
        <f>Registro!AO352</f>
        <v>c) Regular</v>
      </c>
      <c r="AU352" s="89" t="str">
        <f>Registro!AP352</f>
        <v>c) Regular</v>
      </c>
      <c r="AV352" s="89" t="str">
        <f>Registro!AQ352</f>
        <v>b) Buena</v>
      </c>
      <c r="AW352" s="89" t="str">
        <f>Registro!AR352</f>
        <v>a) El compañerismo</v>
      </c>
      <c r="AX352" s="89" t="str">
        <f>Registro!AS352</f>
        <v>b) Darme una buena educación</v>
      </c>
      <c r="AY352" s="89" t="str">
        <f>Registro!AT352</f>
        <v>e) Absolutamente necesaria</v>
      </c>
      <c r="AZ352" s="89" t="str">
        <f>Registro!AU352</f>
        <v>a) No acostumbro a tomarlo nunca</v>
      </c>
      <c r="BA352" s="89" t="str">
        <f>Registro!AV352</f>
        <v>f) Educadores que, además, me han abierto caminos</v>
      </c>
      <c r="BB352" s="89" t="str">
        <f>Registro!AW352</f>
        <v>c) Bastante</v>
      </c>
      <c r="BC352" s="89" t="str">
        <f>Registro!AX352</f>
        <v>c) Son personas normales y corrientes</v>
      </c>
      <c r="BD352" s="89" t="str">
        <f>Registro!AY352</f>
        <v>b) Mi madre, h) Una amiga</v>
      </c>
    </row>
    <row r="353" spans="1:56" ht="15" customHeight="1" x14ac:dyDescent="0.25">
      <c r="A353" s="101">
        <f>Registro!A353</f>
        <v>42314.386724537035</v>
      </c>
      <c r="B353" s="89" t="str">
        <f>Registro!B353</f>
        <v>b) Calasanz de Valencia</v>
      </c>
      <c r="C353" s="89" t="str">
        <f>Registro!C353</f>
        <v>b) Tercer año</v>
      </c>
      <c r="D353" s="89" t="str">
        <f>Registro!D353</f>
        <v>a) Educación Inicial</v>
      </c>
      <c r="E353" s="89" t="str">
        <f>Registro!E353</f>
        <v>a) Masculino</v>
      </c>
      <c r="F353" s="89" t="str">
        <f>Registro!F353</f>
        <v>a) Católica</v>
      </c>
      <c r="G353" s="89" t="str">
        <f>Registro!G353</f>
        <v>a) Mamá, b) Papá, c) Hermanos, d) Abuelos, e) Otros familiares</v>
      </c>
      <c r="H353" s="89" t="str">
        <f>Registro!H353</f>
        <v>c) Apartamento</v>
      </c>
      <c r="I353" s="89" t="str">
        <f>Registro!I353</f>
        <v>c) Algo</v>
      </c>
      <c r="J353" s="89" t="str">
        <f>Registro!J353</f>
        <v>a) Cónsola videojuegos, b) Lavadora, d) TV pantalla plana, e) Moto, h) Carro, i) Computadora, j) Cámara digital, k) Aire acondicionado</v>
      </c>
      <c r="K353" s="89" t="str">
        <f>Registro!K353</f>
        <v>f) Más de cuatro</v>
      </c>
      <c r="L353" s="89"/>
      <c r="M353" s="94">
        <f t="shared" si="30"/>
        <v>0</v>
      </c>
      <c r="N353" s="89">
        <f>Registro!M353</f>
        <v>0</v>
      </c>
      <c r="O353" s="89" t="str">
        <f>Registro!N353</f>
        <v>a) Mucho</v>
      </c>
      <c r="P353" s="89" t="str">
        <f>Registro!O353</f>
        <v>a) Mucho</v>
      </c>
      <c r="Q353" s="89" t="str">
        <f>Registro!P353</f>
        <v>a) Mucho</v>
      </c>
      <c r="R353" s="89">
        <f>Registro!Q353</f>
        <v>0</v>
      </c>
      <c r="S353" s="94">
        <f t="shared" si="31"/>
        <v>0</v>
      </c>
      <c r="T353" s="89" t="str">
        <f>Registro!R353</f>
        <v>a) Mucho</v>
      </c>
      <c r="U353" s="89" t="str">
        <f>Registro!S353</f>
        <v>g) Mi familia</v>
      </c>
      <c r="V353" s="89" t="str">
        <f>Registro!T353</f>
        <v>c) Rezo solo en situación de dificultad</v>
      </c>
      <c r="W353" s="89" t="str">
        <f>Registro!U353</f>
        <v>b) Algunos domingos</v>
      </c>
      <c r="X353" s="89" t="str">
        <f>Registro!V353</f>
        <v>c) Suelo ir los domingos y otras fechas especiales a la Iglesia, e) Voy a misa en las fechas de mis familiares difuntos</v>
      </c>
      <c r="Y353" s="89">
        <f>Registro!W353</f>
        <v>0</v>
      </c>
      <c r="Z353" s="89">
        <f>Registro!X353</f>
        <v>0</v>
      </c>
      <c r="AA353" s="89">
        <f>Registro!Y353</f>
        <v>0</v>
      </c>
      <c r="AB353" s="89">
        <f>Registro!Z353</f>
        <v>0</v>
      </c>
      <c r="AC353" s="89">
        <f>Registro!AA353</f>
        <v>0</v>
      </c>
      <c r="AD353" s="94">
        <f t="shared" si="32"/>
        <v>0</v>
      </c>
      <c r="AE353" s="89">
        <f>Registro!AB353</f>
        <v>0</v>
      </c>
      <c r="AF353" s="89">
        <f>Registro!AC353</f>
        <v>0</v>
      </c>
      <c r="AG353" s="89">
        <f>Registro!AD353</f>
        <v>0</v>
      </c>
      <c r="AH353" s="94">
        <f t="shared" si="28"/>
        <v>0</v>
      </c>
      <c r="AI353" s="89">
        <f>Registro!AE353</f>
        <v>0</v>
      </c>
      <c r="AJ353" s="89">
        <f>Registro!AF353</f>
        <v>0</v>
      </c>
      <c r="AK353" s="94">
        <f t="shared" si="29"/>
        <v>0</v>
      </c>
      <c r="AL353" s="89">
        <f>Registro!AG353</f>
        <v>0</v>
      </c>
      <c r="AM353" s="89">
        <f>Registro!AH353</f>
        <v>0</v>
      </c>
      <c r="AN353" s="89">
        <f>Registro!AI353</f>
        <v>0</v>
      </c>
      <c r="AO353" s="89">
        <f>Registro!AJ353</f>
        <v>0</v>
      </c>
      <c r="AP353" s="89">
        <f>Registro!AK353</f>
        <v>0</v>
      </c>
      <c r="AQ353" s="89">
        <f>Registro!AL353</f>
        <v>0</v>
      </c>
      <c r="AR353" s="89">
        <f>Registro!AM353</f>
        <v>0</v>
      </c>
      <c r="AS353" s="89">
        <f>Registro!AN353</f>
        <v>0</v>
      </c>
      <c r="AT353" s="89">
        <f>Registro!AO353</f>
        <v>0</v>
      </c>
      <c r="AU353" s="89">
        <f>Registro!AP353</f>
        <v>0</v>
      </c>
      <c r="AV353" s="89">
        <f>Registro!AQ353</f>
        <v>0</v>
      </c>
      <c r="AW353" s="89">
        <f>Registro!AR353</f>
        <v>0</v>
      </c>
      <c r="AX353" s="89">
        <f>Registro!AS353</f>
        <v>0</v>
      </c>
      <c r="AY353" s="89">
        <f>Registro!AT353</f>
        <v>0</v>
      </c>
      <c r="AZ353" s="89">
        <f>Registro!AU353</f>
        <v>0</v>
      </c>
      <c r="BA353" s="89">
        <f>Registro!AV353</f>
        <v>0</v>
      </c>
      <c r="BB353" s="89">
        <f>Registro!AW353</f>
        <v>0</v>
      </c>
      <c r="BC353" s="89">
        <f>Registro!AX353</f>
        <v>0</v>
      </c>
      <c r="BD353" s="89">
        <f>Registro!AY353</f>
        <v>0</v>
      </c>
    </row>
    <row r="354" spans="1:56" ht="15" customHeight="1" x14ac:dyDescent="0.25">
      <c r="A354" s="101">
        <f>Registro!A354</f>
        <v>42314.386840277781</v>
      </c>
      <c r="B354" s="89" t="str">
        <f>Registro!B354</f>
        <v>b) Calasanz de Valencia</v>
      </c>
      <c r="C354" s="89" t="str">
        <f>Registro!C354</f>
        <v>b) Tercer año</v>
      </c>
      <c r="D354" s="89" t="str">
        <f>Registro!D354</f>
        <v>c) Entre Primero y Tercer año</v>
      </c>
      <c r="E354" s="89" t="str">
        <f>Registro!E354</f>
        <v>b) Femenino</v>
      </c>
      <c r="F354" s="89" t="str">
        <f>Registro!F354</f>
        <v>a) Católica</v>
      </c>
      <c r="G354" s="89" t="str">
        <f>Registro!G354</f>
        <v>a) Mamá, b) Papá, c) Hermanos</v>
      </c>
      <c r="H354" s="89" t="str">
        <f>Registro!H354</f>
        <v>a) Quinta</v>
      </c>
      <c r="I354" s="89" t="str">
        <f>Registro!I354</f>
        <v>a) Sí</v>
      </c>
      <c r="J354" s="89" t="str">
        <f>Registro!J354</f>
        <v>a) Cónsola videojuegos, b) Lavadora, c) Microondas, d) TV pantalla plana, h) Carro, i) Computadora, j) Cámara digital, k) Aire acondicionado</v>
      </c>
      <c r="K354" s="89" t="str">
        <f>Registro!K354</f>
        <v>c) Dos</v>
      </c>
      <c r="L354" s="89" t="str">
        <f>Registro!L354</f>
        <v>a) La familia, c) Los estudios, f) Mi fe y vida cristiana</v>
      </c>
      <c r="M354" s="94">
        <f t="shared" si="30"/>
        <v>3</v>
      </c>
      <c r="N354" s="89" t="str">
        <f>Registro!M354</f>
        <v>g) Mis estudios</v>
      </c>
      <c r="O354" s="89" t="str">
        <f>Registro!N354</f>
        <v>a) Mucho</v>
      </c>
      <c r="P354" s="89" t="str">
        <f>Registro!O354</f>
        <v>c) Poco</v>
      </c>
      <c r="Q354" s="89" t="str">
        <f>Registro!P354</f>
        <v>b) Suficiente</v>
      </c>
      <c r="R354" s="89" t="str">
        <f>Registro!Q354</f>
        <v>a) La familia, c) Los estudios, g) La felicidad</v>
      </c>
      <c r="S354" s="94">
        <f t="shared" si="31"/>
        <v>3</v>
      </c>
      <c r="T354" s="89" t="str">
        <f>Registro!R354</f>
        <v>a) Mucho</v>
      </c>
      <c r="U354" s="89" t="str">
        <f>Registro!S354</f>
        <v>a) La Iglesia, g) Mi familia, k) La oración</v>
      </c>
      <c r="V354" s="89" t="str">
        <f>Registro!T354</f>
        <v>a) Suelo rezar por convicción o porque me gusta</v>
      </c>
      <c r="W354" s="89" t="str">
        <f>Registro!U354</f>
        <v>c) Solo en fechas especiales</v>
      </c>
      <c r="X354" s="89" t="str">
        <f>Registro!V354</f>
        <v>a) Suelo llevar una cruz o algún objeto religioso, d) Suelo orar todos los días, i) Tengo en mi cuarto alguna imagen religiosa</v>
      </c>
      <c r="Y354" s="89" t="str">
        <f>Registro!W354</f>
        <v>d) No pertenezco a ninguno</v>
      </c>
      <c r="Z354" s="89" t="str">
        <f>Registro!X354</f>
        <v>d) No pertenezco a grupos juveniles cristianos</v>
      </c>
      <c r="AA354" s="89" t="str">
        <f>Registro!Y354</f>
        <v>b) No</v>
      </c>
      <c r="AB354" s="89" t="str">
        <f>Registro!Z354</f>
        <v>b) No</v>
      </c>
      <c r="AC354" s="89" t="str">
        <f>Registro!AA354</f>
        <v>a) Medicina, b) Docencia</v>
      </c>
      <c r="AD354" s="94">
        <f t="shared" si="32"/>
        <v>2</v>
      </c>
      <c r="AE354" s="89" t="str">
        <f>Registro!AB354</f>
        <v>b) Tener una buena posición social, ser importante</v>
      </c>
      <c r="AF354" s="89" t="str">
        <f>Registro!AC354</f>
        <v>b) Poco</v>
      </c>
      <c r="AG354" s="89" t="str">
        <f>Registro!AD354</f>
        <v>b) El ambiente de estudio y de trabajo, g) La relación con los docentes</v>
      </c>
      <c r="AH354" s="94">
        <f t="shared" si="28"/>
        <v>2</v>
      </c>
      <c r="AI354" s="89" t="str">
        <f>Registro!AE354</f>
        <v>a) 0 a 2 horas</v>
      </c>
      <c r="AJ354" s="89" t="str">
        <f>Registro!AF354</f>
        <v>d) Estoy la mayor parte del tiempo en la casa sin hacer nada, m) Veo televisión y/o películas, n) Estoy conversando con los amigos/as</v>
      </c>
      <c r="AK354" s="94">
        <f t="shared" si="29"/>
        <v>3</v>
      </c>
      <c r="AL354" s="89" t="str">
        <f>Registro!AG354</f>
        <v>c) Regular</v>
      </c>
      <c r="AM354" s="89" t="str">
        <f>Registro!AH354</f>
        <v>c) Regular</v>
      </c>
      <c r="AN354" s="89" t="str">
        <f>Registro!AI354</f>
        <v>c) Regular</v>
      </c>
      <c r="AO354" s="89" t="str">
        <f>Registro!AJ354</f>
        <v>b) Buena</v>
      </c>
      <c r="AP354" s="89" t="str">
        <f>Registro!AK354</f>
        <v>d) Mala</v>
      </c>
      <c r="AQ354" s="89" t="str">
        <f>Registro!AL354</f>
        <v>b) Buena</v>
      </c>
      <c r="AR354" s="89" t="str">
        <f>Registro!AM354</f>
        <v>b) Buena</v>
      </c>
      <c r="AS354" s="89" t="str">
        <f>Registro!AN354</f>
        <v>b) Buena</v>
      </c>
      <c r="AT354" s="89" t="str">
        <f>Registro!AO354</f>
        <v>b) Buena</v>
      </c>
      <c r="AU354" s="89" t="str">
        <f>Registro!AP354</f>
        <v>b) Buena</v>
      </c>
      <c r="AV354" s="89" t="str">
        <f>Registro!AQ354</f>
        <v>b) Buena</v>
      </c>
      <c r="AW354" s="89" t="str">
        <f>Registro!AR354</f>
        <v>a) El compañerismo</v>
      </c>
      <c r="AX354" s="89" t="str">
        <f>Registro!AS354</f>
        <v>b) Darme una buena educación</v>
      </c>
      <c r="AY354" s="89" t="str">
        <f>Registro!AT354</f>
        <v>e) Absolutamente necesaria</v>
      </c>
      <c r="AZ354" s="89" t="str">
        <f>Registro!AU354</f>
        <v>b) Las veces que bebo, es con moderación</v>
      </c>
      <c r="BA354" s="89" t="str">
        <f>Registro!AV354</f>
        <v>c) Profesionales que hacen lo que pueden</v>
      </c>
      <c r="BB354" s="89" t="str">
        <f>Registro!AW354</f>
        <v>c) Bastante</v>
      </c>
      <c r="BC354" s="89" t="str">
        <f>Registro!AX354</f>
        <v>c) Son personas normales y corrientes</v>
      </c>
      <c r="BD354" s="89" t="str">
        <f>Registro!AY354</f>
        <v>g) Un amigo</v>
      </c>
    </row>
    <row r="355" spans="1:56" ht="15" customHeight="1" x14ac:dyDescent="0.25">
      <c r="A355" s="101">
        <f>Registro!A355</f>
        <v>42314.386944444443</v>
      </c>
      <c r="B355" s="89" t="str">
        <f>Registro!B355</f>
        <v>b) Calasanz de Valencia</v>
      </c>
      <c r="C355" s="89" t="str">
        <f>Registro!C355</f>
        <v>b) Tercer año</v>
      </c>
      <c r="D355" s="89" t="str">
        <f>Registro!D355</f>
        <v>b) Primaria</v>
      </c>
      <c r="E355" s="89" t="str">
        <f>Registro!E355</f>
        <v>a) Masculino</v>
      </c>
      <c r="F355" s="89" t="str">
        <f>Registro!F355</f>
        <v>a) Católica</v>
      </c>
      <c r="G355" s="89" t="str">
        <f>Registro!G355</f>
        <v>a) Mamá</v>
      </c>
      <c r="H355" s="89" t="str">
        <f>Registro!H355</f>
        <v>c) Apartamento</v>
      </c>
      <c r="I355" s="89" t="str">
        <f>Registro!I355</f>
        <v>c) Algo</v>
      </c>
      <c r="J355" s="89" t="str">
        <f>Registro!J355</f>
        <v>a) Cónsola videojuegos, b) Lavadora, c) Microondas, d) TV pantalla plana, e) Moto, f) MP3, g) MP4, h) Carro, i) Computadora, j) Cámara digital, k) Aire acondicionado</v>
      </c>
      <c r="K355" s="89" t="str">
        <f>Registro!K355</f>
        <v>c) Dos</v>
      </c>
      <c r="L355" s="89" t="str">
        <f>Registro!L355</f>
        <v>a) La familia, b) Los amigos, c) Los estudios</v>
      </c>
      <c r="M355" s="94">
        <f t="shared" si="30"/>
        <v>3</v>
      </c>
      <c r="N355" s="89" t="str">
        <f>Registro!M355</f>
        <v>b) El futuro</v>
      </c>
      <c r="O355" s="89" t="str">
        <f>Registro!N355</f>
        <v>b) Suficiente</v>
      </c>
      <c r="P355" s="89" t="str">
        <f>Registro!O355</f>
        <v>b) Suficiente</v>
      </c>
      <c r="Q355" s="89" t="str">
        <f>Registro!P355</f>
        <v>c) Poco</v>
      </c>
      <c r="R355" s="89" t="str">
        <f>Registro!Q355</f>
        <v>b) Los amigos, c) Los estudios, g) La felicidad</v>
      </c>
      <c r="S355" s="94">
        <f t="shared" si="31"/>
        <v>3</v>
      </c>
      <c r="T355" s="89" t="str">
        <f>Registro!R355</f>
        <v>c) Poco</v>
      </c>
      <c r="U355" s="89" t="str">
        <f>Registro!S355</f>
        <v>a) La Iglesia, b) La naturaleza, j) Todas partes</v>
      </c>
      <c r="V355" s="89" t="str">
        <f>Registro!T355</f>
        <v>b) Rezo por costumbre</v>
      </c>
      <c r="W355" s="89" t="str">
        <f>Registro!U355</f>
        <v>c) Solo en fechas especiales</v>
      </c>
      <c r="X355" s="89" t="str">
        <f>Registro!V355</f>
        <v>e) Voy a misa en las fechas de mis familiares difuntos</v>
      </c>
      <c r="Y355" s="89">
        <f>Registro!W355</f>
        <v>0</v>
      </c>
      <c r="Z355" s="89">
        <f>Registro!X355</f>
        <v>0</v>
      </c>
      <c r="AA355" s="89">
        <f>Registro!Y355</f>
        <v>0</v>
      </c>
      <c r="AB355" s="89">
        <f>Registro!Z355</f>
        <v>0</v>
      </c>
      <c r="AC355" s="89"/>
      <c r="AD355" s="94">
        <f t="shared" si="32"/>
        <v>0</v>
      </c>
      <c r="AE355" s="89">
        <f>Registro!AB355</f>
        <v>0</v>
      </c>
      <c r="AF355" s="89">
        <f>Registro!AC355</f>
        <v>0</v>
      </c>
      <c r="AG355" s="89">
        <f>Registro!AD355</f>
        <v>0</v>
      </c>
      <c r="AH355" s="94">
        <f t="shared" si="28"/>
        <v>0</v>
      </c>
      <c r="AI355" s="89">
        <f>Registro!AE355</f>
        <v>0</v>
      </c>
      <c r="AJ355" s="89">
        <f>Registro!AF355</f>
        <v>0</v>
      </c>
      <c r="AK355" s="94">
        <f t="shared" si="29"/>
        <v>0</v>
      </c>
      <c r="AL355" s="89">
        <f>Registro!AG355</f>
        <v>0</v>
      </c>
      <c r="AM355" s="89">
        <f>Registro!AH355</f>
        <v>0</v>
      </c>
      <c r="AN355" s="89">
        <f>Registro!AI355</f>
        <v>0</v>
      </c>
      <c r="AO355" s="89">
        <f>Registro!AJ355</f>
        <v>0</v>
      </c>
      <c r="AP355" s="89">
        <f>Registro!AK355</f>
        <v>0</v>
      </c>
      <c r="AQ355" s="89">
        <f>Registro!AL355</f>
        <v>0</v>
      </c>
      <c r="AR355" s="89">
        <f>Registro!AM355</f>
        <v>0</v>
      </c>
      <c r="AS355" s="89">
        <f>Registro!AN355</f>
        <v>0</v>
      </c>
      <c r="AT355" s="89">
        <f>Registro!AO355</f>
        <v>0</v>
      </c>
      <c r="AU355" s="89">
        <f>Registro!AP355</f>
        <v>0</v>
      </c>
      <c r="AV355" s="89">
        <f>Registro!AQ355</f>
        <v>0</v>
      </c>
      <c r="AW355" s="89">
        <f>Registro!AR355</f>
        <v>0</v>
      </c>
      <c r="AX355" s="89">
        <f>Registro!AS355</f>
        <v>0</v>
      </c>
      <c r="AY355" s="89">
        <f>Registro!AT355</f>
        <v>0</v>
      </c>
      <c r="AZ355" s="89">
        <f>Registro!AU355</f>
        <v>0</v>
      </c>
      <c r="BA355" s="89">
        <f>Registro!AV355</f>
        <v>0</v>
      </c>
      <c r="BB355" s="89">
        <f>Registro!AW355</f>
        <v>0</v>
      </c>
      <c r="BC355" s="89">
        <f>Registro!AX355</f>
        <v>0</v>
      </c>
      <c r="BD355" s="89">
        <f>Registro!AY355</f>
        <v>0</v>
      </c>
    </row>
    <row r="356" spans="1:56" ht="15" customHeight="1" x14ac:dyDescent="0.25">
      <c r="A356" s="101">
        <f>Registro!A356</f>
        <v>42314.387060185189</v>
      </c>
      <c r="B356" s="89" t="str">
        <f>Registro!B356</f>
        <v>b) Calasanz de Valencia</v>
      </c>
      <c r="C356" s="89" t="str">
        <f>Registro!C356</f>
        <v>b) Tercer año</v>
      </c>
      <c r="D356" s="89" t="str">
        <f>Registro!D356</f>
        <v>c) Entre Primero y Tercer año</v>
      </c>
      <c r="E356" s="89" t="str">
        <f>Registro!E356</f>
        <v>a) Masculino</v>
      </c>
      <c r="F356" s="89" t="str">
        <f>Registro!F356</f>
        <v>a) Católica</v>
      </c>
      <c r="G356" s="89" t="str">
        <f>Registro!G356</f>
        <v>a) Mamá, b) Papá, c) Hermanos, d) Abuelos, e) Otros familiares</v>
      </c>
      <c r="H356" s="89" t="str">
        <f>Registro!H356</f>
        <v>c) Apartamento</v>
      </c>
      <c r="I356" s="89" t="str">
        <f>Registro!I356</f>
        <v>a) Sí</v>
      </c>
      <c r="J356" s="89" t="str">
        <f>Registro!J356</f>
        <v>b) Lavadora, c) Microondas, d) TV pantalla plana, h) Carro, k) Aire acondicionado</v>
      </c>
      <c r="K356" s="89" t="str">
        <f>Registro!K356</f>
        <v>f) Más de cuatro</v>
      </c>
      <c r="L356" s="89" t="str">
        <f>Registro!L356</f>
        <v>a) La familia, b) Los amigos, j) El deporte</v>
      </c>
      <c r="M356" s="94">
        <f t="shared" si="30"/>
        <v>3</v>
      </c>
      <c r="N356" s="89" t="str">
        <f>Registro!M356</f>
        <v>e) La situación económica</v>
      </c>
      <c r="O356" s="89" t="str">
        <f>Registro!N356</f>
        <v>b) Suficiente</v>
      </c>
      <c r="P356" s="89" t="str">
        <f>Registro!O356</f>
        <v>c) Poco</v>
      </c>
      <c r="Q356" s="89" t="str">
        <f>Registro!P356</f>
        <v>b) Suficiente</v>
      </c>
      <c r="R356" s="89" t="str">
        <f>Registro!Q356</f>
        <v>a) La familia, c) Los estudios, g) La felicidad</v>
      </c>
      <c r="S356" s="94">
        <f t="shared" si="31"/>
        <v>3</v>
      </c>
      <c r="T356" s="89" t="str">
        <f>Registro!R356</f>
        <v>a) Mucho</v>
      </c>
      <c r="U356" s="89" t="str">
        <f>Registro!S356</f>
        <v>a) La Iglesia, b) La naturaleza, g) Mi familia, k) La oración</v>
      </c>
      <c r="V356" s="89" t="str">
        <f>Registro!T356</f>
        <v>c) Rezo solo en situación de dificultad</v>
      </c>
      <c r="W356" s="89" t="str">
        <f>Registro!U356</f>
        <v>d) Nunca</v>
      </c>
      <c r="X356" s="89" t="str">
        <f>Registro!V356</f>
        <v>c) Suelo ir los domingos y otras fechas especiales a la Iglesia</v>
      </c>
      <c r="Y356" s="89" t="str">
        <f>Registro!W356</f>
        <v>a) Deportivo</v>
      </c>
      <c r="Z356" s="89" t="str">
        <f>Registro!X356</f>
        <v>d) No pertenezco a grupos juveniles cristianos</v>
      </c>
      <c r="AA356" s="89" t="str">
        <f>Registro!Y356</f>
        <v>b) No</v>
      </c>
      <c r="AB356" s="89" t="str">
        <f>Registro!Z356</f>
        <v>b) No</v>
      </c>
      <c r="AC356" s="89" t="str">
        <f>Registro!AA356</f>
        <v>a) Medicina, i) Comerciante</v>
      </c>
      <c r="AD356" s="94">
        <f t="shared" si="32"/>
        <v>2</v>
      </c>
      <c r="AE356" s="89" t="str">
        <f>Registro!AB356</f>
        <v>b) Tener una buena posición social, ser importante</v>
      </c>
      <c r="AF356" s="89" t="str">
        <f>Registro!AC356</f>
        <v>b) Poco</v>
      </c>
      <c r="AG356" s="89" t="str">
        <f>Registro!AD356</f>
        <v>a) Los deportes y diversiones, h) Las actividades extraescolares</v>
      </c>
      <c r="AH356" s="94">
        <f t="shared" si="28"/>
        <v>2</v>
      </c>
      <c r="AI356" s="89" t="str">
        <f>Registro!AE356</f>
        <v>b) 3 a 4 horas</v>
      </c>
      <c r="AJ356" s="89" t="str">
        <f>Registro!AF356</f>
        <v>g) Suelo ir a discotecas o a fiestas, l) Escucho música y/o veo videos musicales</v>
      </c>
      <c r="AK356" s="94">
        <f t="shared" si="29"/>
        <v>2</v>
      </c>
      <c r="AL356" s="89" t="str">
        <f>Registro!AG356</f>
        <v>b) Bueno</v>
      </c>
      <c r="AM356" s="89" t="str">
        <f>Registro!AH356</f>
        <v>c) Regular</v>
      </c>
      <c r="AN356" s="89" t="str">
        <f>Registro!AI356</f>
        <v>b) Buena</v>
      </c>
      <c r="AO356" s="89" t="str">
        <f>Registro!AJ356</f>
        <v>a) Muy buena</v>
      </c>
      <c r="AP356" s="89" t="str">
        <f>Registro!AK356</f>
        <v>c) Regular</v>
      </c>
      <c r="AQ356" s="89" t="str">
        <f>Registro!AL356</f>
        <v>a) Muy buena</v>
      </c>
      <c r="AR356" s="89" t="str">
        <f>Registro!AM356</f>
        <v>b) Buena</v>
      </c>
      <c r="AS356" s="89" t="str">
        <f>Registro!AN356</f>
        <v>c) Regular</v>
      </c>
      <c r="AT356" s="89" t="str">
        <f>Registro!AO356</f>
        <v>b) Buena</v>
      </c>
      <c r="AU356" s="89" t="str">
        <f>Registro!AP356</f>
        <v>b) Buena</v>
      </c>
      <c r="AV356" s="89" t="str">
        <f>Registro!AQ356</f>
        <v>b) Buena</v>
      </c>
      <c r="AW356" s="89" t="str">
        <f>Registro!AR356</f>
        <v>a) El compañerismo</v>
      </c>
      <c r="AX356" s="89" t="str">
        <f>Registro!AS356</f>
        <v>b) Darme una buena educación</v>
      </c>
      <c r="AY356" s="89" t="str">
        <f>Registro!AT356</f>
        <v>e) Absolutamente necesaria</v>
      </c>
      <c r="AZ356" s="89" t="str">
        <f>Registro!AU356</f>
        <v>a) No acostumbro a tomarlo nunca</v>
      </c>
      <c r="BA356" s="89" t="str">
        <f>Registro!AV356</f>
        <v>e) Educadores que se preocupan de nosotros</v>
      </c>
      <c r="BB356" s="89" t="str">
        <f>Registro!AW356</f>
        <v>b) Poco</v>
      </c>
      <c r="BC356" s="89" t="str">
        <f>Registro!AX356</f>
        <v>c) Son personas normales y corrientes</v>
      </c>
      <c r="BD356" s="89" t="str">
        <f>Registro!AY356</f>
        <v>a) Mi padre, b) Mi madre, g) Un amigo, h) Una amiga</v>
      </c>
    </row>
    <row r="357" spans="1:56" ht="15" customHeight="1" x14ac:dyDescent="0.25">
      <c r="A357" s="101">
        <f>Registro!A357</f>
        <v>42314.387743055559</v>
      </c>
      <c r="B357" s="89" t="str">
        <f>Registro!B357</f>
        <v>b) Calasanz de Valencia</v>
      </c>
      <c r="C357" s="89" t="str">
        <f>Registro!C357</f>
        <v>b) Tercer año</v>
      </c>
      <c r="D357" s="89" t="str">
        <f>Registro!D357</f>
        <v>a) Educación Inicial</v>
      </c>
      <c r="E357" s="89" t="str">
        <f>Registro!E357</f>
        <v>a) Masculino</v>
      </c>
      <c r="F357" s="89" t="str">
        <f>Registro!F357</f>
        <v>a) Católica</v>
      </c>
      <c r="G357" s="89" t="str">
        <f>Registro!G357</f>
        <v>a) Mamá, b) Papá, c) Hermanos, d) Abuelos, e) Otros familiares</v>
      </c>
      <c r="H357" s="89" t="str">
        <f>Registro!H357</f>
        <v>c) Apartamento</v>
      </c>
      <c r="I357" s="89" t="str">
        <f>Registro!I357</f>
        <v>a) Sí</v>
      </c>
      <c r="J357" s="89" t="str">
        <f>Registro!J357</f>
        <v>a) Cónsola videojuegos, b) Lavadora, c) Microondas, d) TV pantalla plana, e) Moto, f) MP3, h) Carro, i) Computadora, j) Cámara digital, k) Aire acondicionado</v>
      </c>
      <c r="K357" s="89" t="str">
        <f>Registro!K357</f>
        <v>c) Dos</v>
      </c>
      <c r="L357" s="89" t="str">
        <f>Registro!L357</f>
        <v>a) La familia, b) Los amigos, i) La música</v>
      </c>
      <c r="M357" s="94">
        <f t="shared" si="30"/>
        <v>3</v>
      </c>
      <c r="N357" s="89" t="str">
        <f>Registro!M357</f>
        <v>b) El futuro</v>
      </c>
      <c r="O357" s="89" t="str">
        <f>Registro!N357</f>
        <v>a) Mucho</v>
      </c>
      <c r="P357" s="89" t="str">
        <f>Registro!O357</f>
        <v>b) Suficiente</v>
      </c>
      <c r="Q357" s="89" t="str">
        <f>Registro!P357</f>
        <v>b) Suficiente</v>
      </c>
      <c r="R357" s="89" t="str">
        <f>Registro!Q357</f>
        <v>c) Los estudios, d) El cuidado de mi cuerpo</v>
      </c>
      <c r="S357" s="94">
        <f t="shared" si="31"/>
        <v>2</v>
      </c>
      <c r="T357" s="89" t="str">
        <f>Registro!R357</f>
        <v>b) Suficiente</v>
      </c>
      <c r="U357" s="89" t="str">
        <f>Registro!S357</f>
        <v>a) La Iglesia, c) El salón de clase</v>
      </c>
      <c r="V357" s="89" t="str">
        <f>Registro!T357</f>
        <v>b) Rezo por costumbre</v>
      </c>
      <c r="W357" s="89" t="str">
        <f>Registro!U357</f>
        <v>b) Algunos domingos</v>
      </c>
      <c r="X357" s="89" t="str">
        <f>Registro!V357</f>
        <v>c) Suelo ir los domingos y otras fechas especiales a la Iglesia</v>
      </c>
      <c r="Y357" s="89" t="str">
        <f>Registro!W357</f>
        <v>a) Deportivo</v>
      </c>
      <c r="Z357" s="89" t="str">
        <f>Registro!X357</f>
        <v>b) Un lugar donde comparto con mis compañeros</v>
      </c>
      <c r="AA357" s="89" t="str">
        <f>Registro!Y357</f>
        <v>b) No</v>
      </c>
      <c r="AB357" s="89" t="str">
        <f>Registro!Z357</f>
        <v>b) No</v>
      </c>
      <c r="AC357" s="89" t="str">
        <f>Registro!AA357</f>
        <v>d) Ingeniería, e) Derecho</v>
      </c>
      <c r="AD357" s="94">
        <f t="shared" si="32"/>
        <v>2</v>
      </c>
      <c r="AE357" s="89" t="str">
        <f>Registro!AB357</f>
        <v>a) Ganar mucho dinero</v>
      </c>
      <c r="AF357" s="89" t="str">
        <f>Registro!AC357</f>
        <v>c) Bastante</v>
      </c>
      <c r="AG357" s="89">
        <f>Registro!AD357</f>
        <v>0</v>
      </c>
      <c r="AH357" s="94">
        <f t="shared" si="28"/>
        <v>0</v>
      </c>
      <c r="AI357" s="89">
        <f>Registro!AE357</f>
        <v>0</v>
      </c>
      <c r="AJ357" s="89">
        <f>Registro!AF357</f>
        <v>0</v>
      </c>
      <c r="AK357" s="94">
        <f t="shared" si="29"/>
        <v>0</v>
      </c>
      <c r="AL357" s="89">
        <f>Registro!AG357</f>
        <v>0</v>
      </c>
      <c r="AM357" s="89">
        <f>Registro!AH357</f>
        <v>0</v>
      </c>
      <c r="AN357" s="89">
        <f>Registro!AI357</f>
        <v>0</v>
      </c>
      <c r="AO357" s="89">
        <f>Registro!AJ357</f>
        <v>0</v>
      </c>
      <c r="AP357" s="89">
        <f>Registro!AK357</f>
        <v>0</v>
      </c>
      <c r="AQ357" s="89">
        <f>Registro!AL357</f>
        <v>0</v>
      </c>
      <c r="AR357" s="89">
        <f>Registro!AM357</f>
        <v>0</v>
      </c>
      <c r="AS357" s="89">
        <f>Registro!AN357</f>
        <v>0</v>
      </c>
      <c r="AT357" s="89">
        <f>Registro!AO357</f>
        <v>0</v>
      </c>
      <c r="AU357" s="89">
        <f>Registro!AP357</f>
        <v>0</v>
      </c>
      <c r="AV357" s="89">
        <f>Registro!AQ357</f>
        <v>0</v>
      </c>
      <c r="AW357" s="89">
        <f>Registro!AR357</f>
        <v>0</v>
      </c>
      <c r="AX357" s="89">
        <f>Registro!AS357</f>
        <v>0</v>
      </c>
      <c r="AY357" s="89">
        <f>Registro!AT357</f>
        <v>0</v>
      </c>
      <c r="AZ357" s="89">
        <f>Registro!AU357</f>
        <v>0</v>
      </c>
      <c r="BA357" s="89">
        <f>Registro!AV357</f>
        <v>0</v>
      </c>
      <c r="BB357" s="89">
        <f>Registro!AW357</f>
        <v>0</v>
      </c>
      <c r="BC357" s="89">
        <f>Registro!AX357</f>
        <v>0</v>
      </c>
      <c r="BD357" s="89">
        <f>Registro!AY357</f>
        <v>0</v>
      </c>
    </row>
    <row r="358" spans="1:56" ht="15" customHeight="1" x14ac:dyDescent="0.25">
      <c r="A358" s="101">
        <f>Registro!A358</f>
        <v>42314.387962962966</v>
      </c>
      <c r="B358" s="89" t="str">
        <f>Registro!B358</f>
        <v>b) Calasanz de Valencia</v>
      </c>
      <c r="C358" s="89" t="str">
        <f>Registro!C358</f>
        <v>b) Tercer año</v>
      </c>
      <c r="D358" s="89" t="str">
        <f>Registro!D358</f>
        <v>b) Primaria</v>
      </c>
      <c r="E358" s="89" t="str">
        <f>Registro!E358</f>
        <v>b) Femenino</v>
      </c>
      <c r="F358" s="89" t="str">
        <f>Registro!F358</f>
        <v>a) Católica</v>
      </c>
      <c r="G358" s="89" t="str">
        <f>Registro!G358</f>
        <v>c) Hermanos</v>
      </c>
      <c r="H358" s="89" t="str">
        <f>Registro!H358</f>
        <v>c) Apartamento</v>
      </c>
      <c r="I358" s="89" t="str">
        <f>Registro!I358</f>
        <v>a) Sí</v>
      </c>
      <c r="J358" s="89" t="str">
        <f>Registro!J358</f>
        <v>a) Cónsola videojuegos, b) Lavadora, c) Microondas, d) TV pantalla plana, i) Computadora</v>
      </c>
      <c r="K358" s="89" t="str">
        <f>Registro!K358</f>
        <v>e) Cuatro</v>
      </c>
      <c r="L358" s="89"/>
      <c r="M358" s="94">
        <f t="shared" si="30"/>
        <v>0</v>
      </c>
      <c r="N358" s="89" t="str">
        <f>Registro!M358</f>
        <v>b) El futuro</v>
      </c>
      <c r="O358" s="89" t="str">
        <f>Registro!N358</f>
        <v>b) Suficiente</v>
      </c>
      <c r="P358" s="89" t="str">
        <f>Registro!O358</f>
        <v>c) Poco</v>
      </c>
      <c r="Q358" s="89" t="str">
        <f>Registro!P358</f>
        <v>b) Suficiente</v>
      </c>
      <c r="R358" s="89" t="str">
        <f>Registro!Q358</f>
        <v>c) Los estudios, f) Mi fe y mi vida cristiana, j) El deporte</v>
      </c>
      <c r="S358" s="94">
        <f t="shared" si="31"/>
        <v>3</v>
      </c>
      <c r="T358" s="89" t="str">
        <f>Registro!R358</f>
        <v>a) Mucho</v>
      </c>
      <c r="U358" s="89" t="str">
        <f>Registro!S358</f>
        <v>e) Los amigos, g) Mi familia, j) Todas partes</v>
      </c>
      <c r="V358" s="89" t="str">
        <f>Registro!T358</f>
        <v>a) Suelo rezar por convicción o porque me gusta</v>
      </c>
      <c r="W358" s="89" t="str">
        <f>Registro!U358</f>
        <v>b) Algunos domingos</v>
      </c>
      <c r="X358" s="89" t="str">
        <f>Registro!V358</f>
        <v>d) Suelo orar todos los días, f) En alguna ocasión he rezado el rosario, g) En ocasiones, en mi casa tenemos una oración familiar</v>
      </c>
      <c r="Y358" s="89" t="str">
        <f>Registro!W358</f>
        <v>a) Deportivo</v>
      </c>
      <c r="Z358" s="89" t="str">
        <f>Registro!X358</f>
        <v>d) No pertenezco a grupos juveniles cristianos</v>
      </c>
      <c r="AA358" s="89" t="str">
        <f>Registro!Y358</f>
        <v>c) Algo</v>
      </c>
      <c r="AB358" s="89" t="str">
        <f>Registro!Z358</f>
        <v>b) No</v>
      </c>
      <c r="AC358" s="89" t="str">
        <f>Registro!AA358</f>
        <v>a) Medicina, c) Sacerdocio o hermana religiosa</v>
      </c>
      <c r="AD358" s="94">
        <f t="shared" si="32"/>
        <v>2</v>
      </c>
      <c r="AE358" s="89" t="str">
        <f>Registro!AB358</f>
        <v>d) Desarrollarme personalmente</v>
      </c>
      <c r="AF358" s="89" t="str">
        <f>Registro!AC358</f>
        <v>c) Bastante</v>
      </c>
      <c r="AG358" s="89" t="str">
        <f>Registro!AD358</f>
        <v>e) La mayor posibilidad de vivir mi fe, g) La relación con los docentes</v>
      </c>
      <c r="AH358" s="94">
        <f t="shared" si="28"/>
        <v>2</v>
      </c>
      <c r="AI358" s="89" t="str">
        <f>Registro!AE358</f>
        <v>c) 5 a 6 horas</v>
      </c>
      <c r="AJ358" s="89" t="str">
        <f>Registro!AF358</f>
        <v>h) Suelo ir al cine, k) Practico algún deporte, l) Escucho música y/o veo videos musicales</v>
      </c>
      <c r="AK358" s="94">
        <f t="shared" si="29"/>
        <v>3</v>
      </c>
      <c r="AL358" s="89" t="str">
        <f>Registro!AG358</f>
        <v>b) Bueno</v>
      </c>
      <c r="AM358" s="89" t="str">
        <f>Registro!AH358</f>
        <v>c) Regular</v>
      </c>
      <c r="AN358" s="89" t="str">
        <f>Registro!AI358</f>
        <v>d) Mala</v>
      </c>
      <c r="AO358" s="89" t="str">
        <f>Registro!AJ358</f>
        <v>b) Buena</v>
      </c>
      <c r="AP358" s="89" t="str">
        <f>Registro!AK358</f>
        <v>d) Mala</v>
      </c>
      <c r="AQ358" s="89" t="str">
        <f>Registro!AL358</f>
        <v>b) Buena</v>
      </c>
      <c r="AR358" s="89" t="str">
        <f>Registro!AM358</f>
        <v>b) Buena</v>
      </c>
      <c r="AS358" s="89" t="str">
        <f>Registro!AN358</f>
        <v>c) Regular</v>
      </c>
      <c r="AT358" s="89" t="str">
        <f>Registro!AO358</f>
        <v>a) Muy buena</v>
      </c>
      <c r="AU358" s="89" t="str">
        <f>Registro!AP358</f>
        <v>a) Muy buena</v>
      </c>
      <c r="AV358" s="89" t="str">
        <f>Registro!AQ358</f>
        <v>b) Buena</v>
      </c>
      <c r="AW358" s="89" t="str">
        <f>Registro!AR358</f>
        <v>f) la práctica religiosa</v>
      </c>
      <c r="AX358" s="89" t="str">
        <f>Registro!AS358</f>
        <v>f) Que tenga honradez en la vida</v>
      </c>
      <c r="AY358" s="89" t="str">
        <f>Registro!AT358</f>
        <v>d) Bastante necesaria</v>
      </c>
      <c r="AZ358" s="89" t="str">
        <f>Registro!AU358</f>
        <v>b) Las veces que bebo, es con moderación</v>
      </c>
      <c r="BA358" s="89" t="str">
        <f>Registro!AV358</f>
        <v>d) Buenos profesionales de la educación</v>
      </c>
      <c r="BB358" s="89" t="str">
        <f>Registro!AW358</f>
        <v>c) Bastante</v>
      </c>
      <c r="BC358" s="89" t="str">
        <f>Registro!AX358</f>
        <v>d) Hay de todo tipo, pero predomina lo positivo</v>
      </c>
      <c r="BD358" s="89" t="str">
        <f>Registro!AY358</f>
        <v>c) Un hermano/a, h) Una amiga</v>
      </c>
    </row>
    <row r="359" spans="1:56" ht="15" customHeight="1" x14ac:dyDescent="0.25">
      <c r="A359" s="101">
        <f>Registro!A359</f>
        <v>42314.388124999998</v>
      </c>
      <c r="B359" s="89" t="str">
        <f>Registro!B359</f>
        <v>b) Calasanz de Valencia</v>
      </c>
      <c r="C359" s="89" t="str">
        <f>Registro!C359</f>
        <v>b) Tercer año</v>
      </c>
      <c r="D359" s="89" t="str">
        <f>Registro!D359</f>
        <v>a) Educación Inicial</v>
      </c>
      <c r="E359" s="89" t="str">
        <f>Registro!E359</f>
        <v>a) Masculino</v>
      </c>
      <c r="F359" s="89" t="str">
        <f>Registro!F359</f>
        <v>a) Católica</v>
      </c>
      <c r="G359" s="89" t="str">
        <f>Registro!G359</f>
        <v>a) Mamá, b) Papá</v>
      </c>
      <c r="H359" s="89" t="str">
        <f>Registro!H359</f>
        <v>c) Apartamento</v>
      </c>
      <c r="I359" s="89" t="str">
        <f>Registro!I359</f>
        <v>c) Algo</v>
      </c>
      <c r="J359" s="89" t="str">
        <f>Registro!J359</f>
        <v>a) Cónsola videojuegos, b) Lavadora, c) Microondas, d) TV pantalla plana, h) Carro, i) Computadora, k) Aire acondicionado</v>
      </c>
      <c r="K359" s="89" t="str">
        <f>Registro!K359</f>
        <v>c) Dos</v>
      </c>
      <c r="L359" s="89" t="str">
        <f>Registro!L359</f>
        <v>a) La familia, i) La música, j) El deporte</v>
      </c>
      <c r="M359" s="94">
        <f t="shared" si="30"/>
        <v>3</v>
      </c>
      <c r="N359" s="89" t="str">
        <f>Registro!M359</f>
        <v>b) El futuro</v>
      </c>
      <c r="O359" s="89" t="str">
        <f>Registro!N359</f>
        <v>b) Suficiente</v>
      </c>
      <c r="P359" s="89" t="str">
        <f>Registro!O359</f>
        <v>c) Poco</v>
      </c>
      <c r="Q359" s="89" t="str">
        <f>Registro!P359</f>
        <v>b) Suficiente</v>
      </c>
      <c r="R359" s="89" t="str">
        <f>Registro!Q359</f>
        <v>c) Los estudios, f) Mi fe y mi vida cristiana, j) El deporte</v>
      </c>
      <c r="S359" s="94">
        <f t="shared" si="31"/>
        <v>3</v>
      </c>
      <c r="T359" s="89" t="str">
        <f>Registro!R359</f>
        <v>a) Mucho</v>
      </c>
      <c r="U359" s="89" t="str">
        <f>Registro!S359</f>
        <v>a) La Iglesia, i) Los necesitados, k) La oración</v>
      </c>
      <c r="V359" s="89" t="str">
        <f>Registro!T359</f>
        <v>b) Rezo por costumbre</v>
      </c>
      <c r="W359" s="89" t="str">
        <f>Registro!U359</f>
        <v>b) Algunos domingos</v>
      </c>
      <c r="X359" s="89" t="str">
        <f>Registro!V359</f>
        <v>a) Suelo llevar una cruz o algún objeto religioso, b) Suelo bendedir los alimentos antes de comer, c) Suelo ir los domingos y otras fechas especiales a la Iglesia, h) En Semana Santa asisto a las procesiones</v>
      </c>
      <c r="Y359" s="89" t="str">
        <f>Registro!W359</f>
        <v>a) Deportivo</v>
      </c>
      <c r="Z359" s="89" t="str">
        <f>Registro!X359</f>
        <v>d) No pertenezco a grupos juveniles cristianos</v>
      </c>
      <c r="AA359" s="89" t="str">
        <f>Registro!Y359</f>
        <v>b) No</v>
      </c>
      <c r="AB359" s="89" t="str">
        <f>Registro!Z359</f>
        <v>b) No</v>
      </c>
      <c r="AC359" s="89" t="str">
        <f>Registro!AA359</f>
        <v>a) Medicina, i) Comerciante</v>
      </c>
      <c r="AD359" s="94">
        <f t="shared" si="32"/>
        <v>2</v>
      </c>
      <c r="AE359" s="89" t="str">
        <f>Registro!AB359</f>
        <v>b) Tener una buena posición social, ser importante</v>
      </c>
      <c r="AF359" s="89" t="str">
        <f>Registro!AC359</f>
        <v>d) Mucho o muchísimo</v>
      </c>
      <c r="AG359" s="89" t="str">
        <f>Registro!AD359</f>
        <v>a) Los deportes y diversiones, i) No me gusta nada</v>
      </c>
      <c r="AH359" s="94">
        <f t="shared" si="28"/>
        <v>2</v>
      </c>
      <c r="AI359" s="89" t="str">
        <f>Registro!AE359</f>
        <v>a) 0 a 2 horas</v>
      </c>
      <c r="AJ359" s="89" t="str">
        <f>Registro!AF359</f>
        <v>k) Practico algún deporte, l) Escucho música y/o veo videos musicales, n) Estoy conversando con los amigos/as</v>
      </c>
      <c r="AK359" s="94">
        <f t="shared" si="29"/>
        <v>3</v>
      </c>
      <c r="AL359" s="89" t="str">
        <f>Registro!AG359</f>
        <v>b) Bueno</v>
      </c>
      <c r="AM359" s="89" t="str">
        <f>Registro!AH359</f>
        <v>c) Regular</v>
      </c>
      <c r="AN359" s="89" t="str">
        <f>Registro!AI359</f>
        <v>c) Regular</v>
      </c>
      <c r="AO359" s="89" t="str">
        <f>Registro!AJ359</f>
        <v>a) Muy buena</v>
      </c>
      <c r="AP359" s="89" t="str">
        <f>Registro!AK359</f>
        <v>b) Buena</v>
      </c>
      <c r="AQ359" s="89" t="str">
        <f>Registro!AL359</f>
        <v>a) Muy buena</v>
      </c>
      <c r="AR359" s="89" t="str">
        <f>Registro!AM359</f>
        <v>a) Muy buena</v>
      </c>
      <c r="AS359" s="89" t="str">
        <f>Registro!AN359</f>
        <v>b) Buena</v>
      </c>
      <c r="AT359" s="89" t="str">
        <f>Registro!AO359</f>
        <v>b) Buena</v>
      </c>
      <c r="AU359" s="89" t="str">
        <f>Registro!AP359</f>
        <v>a) Muy buena</v>
      </c>
      <c r="AV359" s="89" t="str">
        <f>Registro!AQ359</f>
        <v>c) Regular</v>
      </c>
      <c r="AW359" s="89" t="str">
        <f>Registro!AR359</f>
        <v>a) El compañerismo</v>
      </c>
      <c r="AX359" s="89" t="str">
        <f>Registro!AS359</f>
        <v>g) No tienen una preocupación especial</v>
      </c>
      <c r="AY359" s="89" t="str">
        <f>Registro!AT359</f>
        <v>e) Absolutamente necesaria</v>
      </c>
      <c r="AZ359" s="89" t="str">
        <f>Registro!AU359</f>
        <v>a) No acostumbro a tomarlo nunca</v>
      </c>
      <c r="BA359" s="89" t="str">
        <f>Registro!AV359</f>
        <v>a) Personas a las que tengo que aguantar</v>
      </c>
      <c r="BB359" s="89" t="str">
        <f>Registro!AW359</f>
        <v>b) Poco</v>
      </c>
      <c r="BC359" s="89" t="str">
        <f>Registro!AX359</f>
        <v>b) Hay de todo tipo, pero predomina lo negativo</v>
      </c>
      <c r="BD359" s="89" t="str">
        <f>Registro!AY359</f>
        <v>c) Un hermano/a, g) Un amigo, h) Una amiga, j) Nadie</v>
      </c>
    </row>
    <row r="360" spans="1:56" ht="15" customHeight="1" x14ac:dyDescent="0.25">
      <c r="A360" s="101">
        <f>Registro!A360</f>
        <v>42314.388391203705</v>
      </c>
      <c r="B360" s="89" t="str">
        <f>Registro!B360</f>
        <v>b) Calasanz de Valencia</v>
      </c>
      <c r="C360" s="89" t="str">
        <f>Registro!C360</f>
        <v>b) Tercer año</v>
      </c>
      <c r="D360" s="89" t="str">
        <f>Registro!D360</f>
        <v>c) Entre Primero y Tercer año</v>
      </c>
      <c r="E360" s="89" t="str">
        <f>Registro!E360</f>
        <v>a) Masculino</v>
      </c>
      <c r="F360" s="89" t="str">
        <f>Registro!F360</f>
        <v>a) Católica</v>
      </c>
      <c r="G360" s="89" t="str">
        <f>Registro!G360</f>
        <v>a) Mamá, b) Papá, c) Hermanos</v>
      </c>
      <c r="H360" s="89" t="str">
        <f>Registro!H360</f>
        <v>c) Apartamento</v>
      </c>
      <c r="I360" s="89" t="str">
        <f>Registro!I360</f>
        <v>a) Sí</v>
      </c>
      <c r="J360" s="89" t="str">
        <f>Registro!J360</f>
        <v>a) Cónsola videojuegos, b) Lavadora, c) Microondas, d) TV pantalla plana, f) MP3, g) MP4, h) Carro, i) Computadora, j) Cámara digital, k) Aire acondicionado</v>
      </c>
      <c r="K360" s="89" t="str">
        <f>Registro!K360</f>
        <v>c) Dos</v>
      </c>
      <c r="L360" s="89" t="str">
        <f>Registro!L360</f>
        <v>a) La familia, b) Los amigos, g) La felicidad</v>
      </c>
      <c r="M360" s="94">
        <f t="shared" si="30"/>
        <v>3</v>
      </c>
      <c r="N360" s="89" t="str">
        <f>Registro!M360</f>
        <v>b) El futuro</v>
      </c>
      <c r="O360" s="89" t="str">
        <f>Registro!N360</f>
        <v>b) Suficiente</v>
      </c>
      <c r="P360" s="89" t="str">
        <f>Registro!O360</f>
        <v>b) Suficiente</v>
      </c>
      <c r="Q360" s="89" t="str">
        <f>Registro!P360</f>
        <v>a) Mucho</v>
      </c>
      <c r="R360" s="89" t="str">
        <f>Registro!Q360</f>
        <v>a) La familia, b) Los amigos, c) Los estudios</v>
      </c>
      <c r="S360" s="94">
        <f t="shared" si="31"/>
        <v>3</v>
      </c>
      <c r="T360" s="89" t="str">
        <f>Registro!R360</f>
        <v>a) Mucho</v>
      </c>
      <c r="U360" s="89" t="str">
        <f>Registro!S360</f>
        <v>a) La Iglesia, b) La naturaleza, c) El salón de clase, d) Las convivencias, e) Los amigos, f) Todas las personas, g) Mi familia, h) Algunas personas cercanas a Dios, i) Los necesitados, j) Todas partes, k) La oración, l) Los sacramentos</v>
      </c>
      <c r="V360" s="89" t="str">
        <f>Registro!T360</f>
        <v>b) Rezo por costumbre</v>
      </c>
      <c r="W360" s="89" t="str">
        <f>Registro!U360</f>
        <v>b) Algunos domingos</v>
      </c>
      <c r="X360" s="89" t="str">
        <f>Registro!V360</f>
        <v>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360" s="89" t="str">
        <f>Registro!W360</f>
        <v>d) No pertenezco a ninguno</v>
      </c>
      <c r="Z360" s="89" t="str">
        <f>Registro!X360</f>
        <v>d) No pertenezco a grupos juveniles cristianos</v>
      </c>
      <c r="AA360" s="89" t="str">
        <f>Registro!Y360</f>
        <v>b) No</v>
      </c>
      <c r="AB360" s="89" t="str">
        <f>Registro!Z360</f>
        <v>b) No</v>
      </c>
      <c r="AC360" s="89" t="str">
        <f>Registro!AA360</f>
        <v>d) Ingeniería</v>
      </c>
      <c r="AD360" s="94">
        <f t="shared" si="32"/>
        <v>1</v>
      </c>
      <c r="AE360" s="89" t="str">
        <f>Registro!AB360</f>
        <v>b) Tener una buena posición social, ser importante</v>
      </c>
      <c r="AF360" s="89" t="str">
        <f>Registro!AC360</f>
        <v>c) Bastante</v>
      </c>
      <c r="AG360" s="89" t="str">
        <f>Registro!AD360</f>
        <v>g) La relación con los docentes, i) No me gusta nada</v>
      </c>
      <c r="AH360" s="94">
        <f t="shared" si="28"/>
        <v>2</v>
      </c>
      <c r="AI360" s="89" t="str">
        <f>Registro!AE360</f>
        <v>b) 3 a 4 horas</v>
      </c>
      <c r="AJ360" s="89" t="str">
        <f>Registro!AF360</f>
        <v>d) Estoy la mayor parte del tiempo en la casa sin hacer nada</v>
      </c>
      <c r="AK360" s="94">
        <f t="shared" si="29"/>
        <v>1</v>
      </c>
      <c r="AL360" s="89">
        <f>Registro!AG360</f>
        <v>0</v>
      </c>
      <c r="AM360" s="89">
        <f>Registro!AH360</f>
        <v>0</v>
      </c>
      <c r="AN360" s="89">
        <f>Registro!AI360</f>
        <v>0</v>
      </c>
      <c r="AO360" s="89">
        <f>Registro!AJ360</f>
        <v>0</v>
      </c>
      <c r="AP360" s="89">
        <f>Registro!AK360</f>
        <v>0</v>
      </c>
      <c r="AQ360" s="89">
        <f>Registro!AL360</f>
        <v>0</v>
      </c>
      <c r="AR360" s="89">
        <f>Registro!AM360</f>
        <v>0</v>
      </c>
      <c r="AS360" s="89">
        <f>Registro!AN360</f>
        <v>0</v>
      </c>
      <c r="AT360" s="89">
        <f>Registro!AO360</f>
        <v>0</v>
      </c>
      <c r="AU360" s="89">
        <f>Registro!AP360</f>
        <v>0</v>
      </c>
      <c r="AV360" s="89">
        <f>Registro!AQ360</f>
        <v>0</v>
      </c>
      <c r="AW360" s="89">
        <f>Registro!AR360</f>
        <v>0</v>
      </c>
      <c r="AX360" s="89">
        <f>Registro!AS360</f>
        <v>0</v>
      </c>
      <c r="AY360" s="89">
        <f>Registro!AT360</f>
        <v>0</v>
      </c>
      <c r="AZ360" s="89">
        <f>Registro!AU360</f>
        <v>0</v>
      </c>
      <c r="BA360" s="89">
        <f>Registro!AV360</f>
        <v>0</v>
      </c>
      <c r="BB360" s="89">
        <f>Registro!AW360</f>
        <v>0</v>
      </c>
      <c r="BC360" s="89">
        <f>Registro!AX360</f>
        <v>0</v>
      </c>
      <c r="BD360" s="89">
        <f>Registro!AY360</f>
        <v>0</v>
      </c>
    </row>
    <row r="361" spans="1:56" ht="15" customHeight="1" x14ac:dyDescent="0.25">
      <c r="A361" s="101">
        <f>Registro!A361</f>
        <v>42314.388402777775</v>
      </c>
      <c r="B361" s="89" t="str">
        <f>Registro!B361</f>
        <v>b) Calasanz de Valencia</v>
      </c>
      <c r="C361" s="89" t="str">
        <f>Registro!C361</f>
        <v>b) Tercer año</v>
      </c>
      <c r="D361" s="89" t="str">
        <f>Registro!D361</f>
        <v>a) Educación Inicial</v>
      </c>
      <c r="E361" s="89" t="str">
        <f>Registro!E361</f>
        <v>a) Masculino</v>
      </c>
      <c r="F361" s="89" t="str">
        <f>Registro!F361</f>
        <v>a) Católica</v>
      </c>
      <c r="G361" s="89" t="str">
        <f>Registro!G361</f>
        <v>a) Mamá, b) Papá, c) Hermanos, d) Abuelos, e) Otros familiares</v>
      </c>
      <c r="H361" s="89" t="str">
        <f>Registro!H361</f>
        <v>c) Apartamento</v>
      </c>
      <c r="I361" s="89" t="str">
        <f>Registro!I361</f>
        <v>a) Sí</v>
      </c>
      <c r="J361" s="89" t="str">
        <f>Registro!J361</f>
        <v>a) Cónsola videojuegos, b) Lavadora, c) Microondas, d) TV pantalla plana, g) MP4, h) Carro, i) Computadora, j) Cámara digital, k) Aire acondicionado</v>
      </c>
      <c r="K361" s="89" t="str">
        <f>Registro!K361</f>
        <v>f) Más de cuatro</v>
      </c>
      <c r="L361" s="89" t="str">
        <f>Registro!L361</f>
        <v>a) La familia, b) Los amigos, d) El cuidado de mi cuerpo</v>
      </c>
      <c r="M361" s="94">
        <f t="shared" si="30"/>
        <v>3</v>
      </c>
      <c r="N361" s="89" t="str">
        <f>Registro!M361</f>
        <v>b) El futuro</v>
      </c>
      <c r="O361" s="89" t="str">
        <f>Registro!N361</f>
        <v>b) Suficiente</v>
      </c>
      <c r="P361" s="89" t="str">
        <f>Registro!O361</f>
        <v>c) Poco</v>
      </c>
      <c r="Q361" s="89" t="str">
        <f>Registro!P361</f>
        <v>b) Suficiente</v>
      </c>
      <c r="R361" s="89" t="str">
        <f>Registro!Q361</f>
        <v>a) La familia, c) Los estudios, g) La felicidad</v>
      </c>
      <c r="S361" s="94">
        <f t="shared" si="31"/>
        <v>3</v>
      </c>
      <c r="T361" s="89" t="str">
        <f>Registro!R361</f>
        <v>b) Suficiente</v>
      </c>
      <c r="U361" s="89" t="str">
        <f>Registro!S361</f>
        <v>a) La Iglesia</v>
      </c>
      <c r="V361" s="89" t="str">
        <f>Registro!T361</f>
        <v>d) No rezo nunca</v>
      </c>
      <c r="W361" s="89" t="str">
        <f>Registro!U361</f>
        <v>c) Solo en fechas especiales</v>
      </c>
      <c r="X361" s="89" t="str">
        <f>Registro!V361</f>
        <v>e) Voy a misa en las fechas de mis familiares difuntos</v>
      </c>
      <c r="Y361" s="89" t="str">
        <f>Registro!W361</f>
        <v>a) Deportivo</v>
      </c>
      <c r="Z361" s="89" t="str">
        <f>Registro!X361</f>
        <v>d) No pertenezco a grupos juveniles cristianos</v>
      </c>
      <c r="AA361" s="89" t="str">
        <f>Registro!Y361</f>
        <v>b) No</v>
      </c>
      <c r="AB361" s="89" t="str">
        <f>Registro!Z361</f>
        <v>b) No</v>
      </c>
      <c r="AC361" s="89"/>
      <c r="AD361" s="94">
        <f t="shared" si="32"/>
        <v>0</v>
      </c>
      <c r="AE361" s="89" t="str">
        <f>Registro!AB361</f>
        <v>c) Ser un excelente profesional</v>
      </c>
      <c r="AF361" s="89" t="str">
        <f>Registro!AC361</f>
        <v>b) Poco</v>
      </c>
      <c r="AG361" s="89" t="str">
        <f>Registro!AD361</f>
        <v>a) Los deportes y diversiones, c) Las instalaciones del Colegio</v>
      </c>
      <c r="AH361" s="94">
        <f t="shared" si="28"/>
        <v>2</v>
      </c>
      <c r="AI361" s="89" t="str">
        <f>Registro!AE361</f>
        <v>a) 0 a 2 horas</v>
      </c>
      <c r="AJ361" s="89" t="str">
        <f>Registro!AF361</f>
        <v>h) Suelo ir al cine, k) Practico algún deporte, n) Estoy conversando con los amigos/as</v>
      </c>
      <c r="AK361" s="94">
        <f t="shared" si="29"/>
        <v>3</v>
      </c>
      <c r="AL361" s="89" t="str">
        <f>Registro!AG361</f>
        <v>b) Bueno</v>
      </c>
      <c r="AM361" s="89" t="str">
        <f>Registro!AH361</f>
        <v>d) Mala</v>
      </c>
      <c r="AN361" s="89" t="str">
        <f>Registro!AI361</f>
        <v>d) Mala</v>
      </c>
      <c r="AO361" s="89" t="str">
        <f>Registro!AJ361</f>
        <v>b) Buena</v>
      </c>
      <c r="AP361" s="89" t="str">
        <f>Registro!AK361</f>
        <v>f) No aplica</v>
      </c>
      <c r="AQ361" s="89" t="str">
        <f>Registro!AL361</f>
        <v>b) Buena</v>
      </c>
      <c r="AR361" s="89" t="str">
        <f>Registro!AM361</f>
        <v>c) Regular</v>
      </c>
      <c r="AS361" s="89" t="str">
        <f>Registro!AN361</f>
        <v>c) Regular</v>
      </c>
      <c r="AT361" s="89" t="str">
        <f>Registro!AO361</f>
        <v>c) Regular</v>
      </c>
      <c r="AU361" s="89" t="str">
        <f>Registro!AP361</f>
        <v>c) Regular</v>
      </c>
      <c r="AV361" s="89" t="str">
        <f>Registro!AQ361</f>
        <v>c) Regular</v>
      </c>
      <c r="AW361" s="89" t="str">
        <f>Registro!AR361</f>
        <v>e) La disciplina y el orden</v>
      </c>
      <c r="AX361" s="89" t="str">
        <f>Registro!AS361</f>
        <v>a) Que sea un buen profesional</v>
      </c>
      <c r="AY361" s="89" t="str">
        <f>Registro!AT361</f>
        <v>c) Conveniente</v>
      </c>
      <c r="AZ361" s="89" t="str">
        <f>Registro!AU361</f>
        <v>c) Alguna vez he bebido más de la cuenta</v>
      </c>
      <c r="BA361" s="89" t="str">
        <f>Registro!AV361</f>
        <v>a) Personas a las que tengo que aguantar</v>
      </c>
      <c r="BB361" s="89" t="str">
        <f>Registro!AW361</f>
        <v>b) Poco</v>
      </c>
      <c r="BC361" s="89" t="str">
        <f>Registro!AX361</f>
        <v>a) No me gustan en absoluto</v>
      </c>
      <c r="BD361" s="89" t="str">
        <f>Registro!AY361</f>
        <v>c) Un hermano/a, g) Un amigo, h) Una amiga</v>
      </c>
    </row>
    <row r="362" spans="1:56" ht="15" customHeight="1" x14ac:dyDescent="0.25">
      <c r="A362" s="101">
        <f>Registro!A362</f>
        <v>42314.389201388891</v>
      </c>
      <c r="B362" s="89" t="str">
        <f>Registro!B362</f>
        <v>b) Calasanz de Valencia</v>
      </c>
      <c r="C362" s="89" t="str">
        <f>Registro!C362</f>
        <v>b) Tercer año</v>
      </c>
      <c r="D362" s="89" t="str">
        <f>Registro!D362</f>
        <v>b) Primaria</v>
      </c>
      <c r="E362" s="89" t="str">
        <f>Registro!E362</f>
        <v>a) Masculino</v>
      </c>
      <c r="F362" s="89" t="str">
        <f>Registro!F362</f>
        <v>a) Católica</v>
      </c>
      <c r="G362" s="89" t="str">
        <f>Registro!G362</f>
        <v>a) Mamá, b) Papá</v>
      </c>
      <c r="H362" s="89" t="str">
        <f>Registro!H362</f>
        <v>c) Apartamento</v>
      </c>
      <c r="I362" s="89" t="str">
        <f>Registro!I362</f>
        <v>c) Algo</v>
      </c>
      <c r="J362" s="89" t="str">
        <f>Registro!J362</f>
        <v>a) Cónsola videojuegos, b) Lavadora, d) TV pantalla plana, f) MP3, h) Carro, i) Computadora, j) Cámara digital, k) Aire acondicionado</v>
      </c>
      <c r="K362" s="89" t="str">
        <f>Registro!K362</f>
        <v>a) Ninguna</v>
      </c>
      <c r="L362" s="89" t="str">
        <f>Registro!L362</f>
        <v>a) La familia, c) Los estudios, h) La sexualidad</v>
      </c>
      <c r="M362" s="94">
        <f t="shared" si="30"/>
        <v>3</v>
      </c>
      <c r="N362" s="89" t="str">
        <f>Registro!M362</f>
        <v>h) Los amigos</v>
      </c>
      <c r="O362" s="89" t="str">
        <f>Registro!N362</f>
        <v>b) Suficiente</v>
      </c>
      <c r="P362" s="89" t="str">
        <f>Registro!O362</f>
        <v>b) Suficiente</v>
      </c>
      <c r="Q362" s="89" t="str">
        <f>Registro!P362</f>
        <v>c) Poco</v>
      </c>
      <c r="R362" s="89" t="str">
        <f>Registro!Q362</f>
        <v>a) La familia, c) Los estudios, g) La felicidad</v>
      </c>
      <c r="S362" s="94">
        <f t="shared" si="31"/>
        <v>3</v>
      </c>
      <c r="T362" s="89" t="str">
        <f>Registro!R362</f>
        <v>a) Mucho</v>
      </c>
      <c r="U362" s="89" t="str">
        <f>Registro!S362</f>
        <v>a) La Iglesia, b) La naturaleza, c) El salón de clase, e) Los amigos, g) Mi familia, h) Algunas personas cercanas a Dios, i) Los necesitados, k) La oración</v>
      </c>
      <c r="V362" s="89" t="str">
        <f>Registro!T362</f>
        <v>b) Rezo por costumbre</v>
      </c>
      <c r="W362" s="89" t="str">
        <f>Registro!U362</f>
        <v>b) Algunos domingos</v>
      </c>
      <c r="X362" s="89" t="str">
        <f>Registro!V362</f>
        <v>b) Suelo bendedir los alimentos antes de comer, c) Suelo ir los domingos y otras fechas especiales a la Iglesia, d) Suelo orar todos los días, e) Voy a misa en las fechas de mis familiares difuntos, g) En ocasiones, en mi casa tenemos una oración familiar, i) Tengo en mi cuarto alguna imagen religiosa</v>
      </c>
      <c r="Y362" s="89" t="str">
        <f>Registro!W362</f>
        <v>a) Deportivo</v>
      </c>
      <c r="Z362" s="89" t="str">
        <f>Registro!X362</f>
        <v>d) No pertenezco a grupos juveniles cristianos</v>
      </c>
      <c r="AA362" s="89" t="str">
        <f>Registro!Y362</f>
        <v>b) No</v>
      </c>
      <c r="AB362" s="89" t="str">
        <f>Registro!Z362</f>
        <v>b) No</v>
      </c>
      <c r="AC362" s="89" t="str">
        <f>Registro!AA362</f>
        <v>d) Ingeniería, j) Trabajador calificado</v>
      </c>
      <c r="AD362" s="94">
        <f t="shared" si="32"/>
        <v>2</v>
      </c>
      <c r="AE362" s="89" t="str">
        <f>Registro!AB362</f>
        <v>c) Ser un excelente profesional</v>
      </c>
      <c r="AF362" s="89" t="str">
        <f>Registro!AC362</f>
        <v>c) Bastante</v>
      </c>
      <c r="AG362" s="89">
        <f>Registro!AD362</f>
        <v>0</v>
      </c>
      <c r="AH362" s="94">
        <f t="shared" si="28"/>
        <v>0</v>
      </c>
      <c r="AI362" s="89" t="str">
        <f>Registro!AE362</f>
        <v>b) 3 a 4 horas</v>
      </c>
      <c r="AJ362" s="89" t="str">
        <f>Registro!AF362</f>
        <v>c) Suelo ir a centros de video (máquinas de juegos), e) Suelo ir a algún parque, n) Estoy conversando con los amigos/as</v>
      </c>
      <c r="AK362" s="94">
        <f t="shared" si="29"/>
        <v>3</v>
      </c>
      <c r="AL362" s="89" t="str">
        <f>Registro!AG362</f>
        <v>b) Bueno</v>
      </c>
      <c r="AM362" s="89" t="str">
        <f>Registro!AH362</f>
        <v>b) Buena</v>
      </c>
      <c r="AN362" s="89" t="str">
        <f>Registro!AI362</f>
        <v>c) Regular</v>
      </c>
      <c r="AO362" s="89" t="str">
        <f>Registro!AJ362</f>
        <v>a) Muy buena</v>
      </c>
      <c r="AP362" s="89" t="str">
        <f>Registro!AK362</f>
        <v>d) Mala</v>
      </c>
      <c r="AQ362" s="89" t="str">
        <f>Registro!AL362</f>
        <v>b) Buena</v>
      </c>
      <c r="AR362" s="89" t="str">
        <f>Registro!AM362</f>
        <v>b) Buena</v>
      </c>
      <c r="AS362" s="89" t="str">
        <f>Registro!AN362</f>
        <v>b) Buena</v>
      </c>
      <c r="AT362" s="89" t="str">
        <f>Registro!AO362</f>
        <v>b) Buena</v>
      </c>
      <c r="AU362" s="89" t="str">
        <f>Registro!AP362</f>
        <v>c) Regular</v>
      </c>
      <c r="AV362" s="89" t="str">
        <f>Registro!AQ362</f>
        <v>a) Muy buena</v>
      </c>
      <c r="AW362" s="89" t="str">
        <f>Registro!AR362</f>
        <v>g) La orientación profesional futura</v>
      </c>
      <c r="AX362" s="89" t="str">
        <f>Registro!AS362</f>
        <v>b) Darme una buena educación</v>
      </c>
      <c r="AY362" s="89" t="str">
        <f>Registro!AT362</f>
        <v>e) Absolutamente necesaria</v>
      </c>
      <c r="AZ362" s="89" t="str">
        <f>Registro!AU362</f>
        <v>a) No acostumbro a tomarlo nunca</v>
      </c>
      <c r="BA362" s="89" t="str">
        <f>Registro!AV362</f>
        <v>e) Educadores que se preocupan de nosotros</v>
      </c>
      <c r="BB362" s="89" t="str">
        <f>Registro!AW362</f>
        <v>d) Mucho o muchísimo</v>
      </c>
      <c r="BC362" s="89" t="str">
        <f>Registro!AX362</f>
        <v>d) Hay de todo tipo, pero predomina lo positivo</v>
      </c>
      <c r="BD362" s="89" t="str">
        <f>Registro!AY362</f>
        <v>g) Un amigo</v>
      </c>
    </row>
    <row r="363" spans="1:56" ht="15" customHeight="1" x14ac:dyDescent="0.25">
      <c r="A363" s="101">
        <f>Registro!A363</f>
        <v>42314.390208333331</v>
      </c>
      <c r="B363" s="89" t="str">
        <f>Registro!B363</f>
        <v>b) Calasanz de Valencia</v>
      </c>
      <c r="C363" s="89" t="str">
        <f>Registro!C363</f>
        <v>b) Tercer año</v>
      </c>
      <c r="D363" s="89" t="str">
        <f>Registro!D363</f>
        <v>a) Educación Inicial</v>
      </c>
      <c r="E363" s="89" t="str">
        <f>Registro!E363</f>
        <v>b) Femenino</v>
      </c>
      <c r="F363" s="89" t="str">
        <f>Registro!F363</f>
        <v>a) Católica</v>
      </c>
      <c r="G363" s="89" t="str">
        <f>Registro!G363</f>
        <v>a) Mamá, b) Papá, c) Hermanos</v>
      </c>
      <c r="H363" s="89" t="str">
        <f>Registro!H363</f>
        <v>c) Apartamento</v>
      </c>
      <c r="I363" s="89" t="str">
        <f>Registro!I363</f>
        <v>a) Sí</v>
      </c>
      <c r="J363" s="89" t="str">
        <f>Registro!J363</f>
        <v>b) Lavadora, c) Microondas, d) TV pantalla plana, g) MP4, h) Carro, i) Computadora, j) Cámara digital, k) Aire acondicionado</v>
      </c>
      <c r="K363" s="89" t="str">
        <f>Registro!K363</f>
        <v>b) Una</v>
      </c>
      <c r="L363" s="89"/>
      <c r="M363" s="94">
        <f t="shared" si="30"/>
        <v>0</v>
      </c>
      <c r="N363" s="89" t="str">
        <f>Registro!M363</f>
        <v>b) El futuro</v>
      </c>
      <c r="O363" s="89" t="str">
        <f>Registro!N363</f>
        <v>b) Suficiente</v>
      </c>
      <c r="P363" s="89" t="str">
        <f>Registro!O363</f>
        <v>b) Suficiente</v>
      </c>
      <c r="Q363" s="89" t="str">
        <f>Registro!P363</f>
        <v>b) Suficiente</v>
      </c>
      <c r="R363" s="89"/>
      <c r="S363" s="94">
        <f t="shared" si="31"/>
        <v>0</v>
      </c>
      <c r="T363" s="89" t="str">
        <f>Registro!R363</f>
        <v>a) Mucho</v>
      </c>
      <c r="U363" s="89" t="str">
        <f>Registro!S363</f>
        <v>a) La Iglesia, d) Las convivencias, k) La oración</v>
      </c>
      <c r="V363" s="89" t="str">
        <f>Registro!T363</f>
        <v>a) Suelo rezar por convicción o porque me gusta</v>
      </c>
      <c r="W363" s="89" t="str">
        <f>Registro!U363</f>
        <v>c) Solo en fechas especiales</v>
      </c>
      <c r="X363" s="89" t="str">
        <f>Registro!V363</f>
        <v>c) Suelo ir los domingos y otras fechas especiales a la Iglesia, d) Suelo orar todos los días, i) Tengo en mi cuarto alguna imagen religiosa</v>
      </c>
      <c r="Y363" s="89" t="str">
        <f>Registro!W363</f>
        <v>a) Deportivo</v>
      </c>
      <c r="Z363" s="89" t="str">
        <f>Registro!X363</f>
        <v>d) No pertenezco a grupos juveniles cristianos</v>
      </c>
      <c r="AA363" s="89" t="str">
        <f>Registro!Y363</f>
        <v>a) Sí</v>
      </c>
      <c r="AB363" s="89" t="str">
        <f>Registro!Z363</f>
        <v>b) No</v>
      </c>
      <c r="AC363" s="89" t="str">
        <f>Registro!AA363</f>
        <v>a) Medicina, b) Docencia</v>
      </c>
      <c r="AD363" s="94">
        <f t="shared" si="32"/>
        <v>2</v>
      </c>
      <c r="AE363" s="89" t="str">
        <f>Registro!AB363</f>
        <v>c) Ser un excelente profesional</v>
      </c>
      <c r="AF363" s="89" t="str">
        <f>Registro!AC363</f>
        <v>c) Bastante</v>
      </c>
      <c r="AG363" s="89" t="str">
        <f>Registro!AD363</f>
        <v>b) El ambiente de estudio y de trabajo, c) Las instalaciones del Colegio</v>
      </c>
      <c r="AH363" s="94">
        <f t="shared" si="28"/>
        <v>2</v>
      </c>
      <c r="AI363" s="89" t="str">
        <f>Registro!AE363</f>
        <v>c) 5 a 6 horas</v>
      </c>
      <c r="AJ363" s="89"/>
      <c r="AK363" s="94">
        <f t="shared" si="29"/>
        <v>0</v>
      </c>
      <c r="AL363" s="89" t="str">
        <f>Registro!AG363</f>
        <v>b) Bueno</v>
      </c>
      <c r="AM363" s="89" t="str">
        <f>Registro!AH363</f>
        <v>c) Regular</v>
      </c>
      <c r="AN363" s="89" t="str">
        <f>Registro!AI363</f>
        <v>f) No aplica</v>
      </c>
      <c r="AO363" s="89" t="str">
        <f>Registro!AJ363</f>
        <v>c) Regular</v>
      </c>
      <c r="AP363" s="89" t="str">
        <f>Registro!AK363</f>
        <v>c) Regular</v>
      </c>
      <c r="AQ363" s="89" t="str">
        <f>Registro!AL363</f>
        <v>b) Buena</v>
      </c>
      <c r="AR363" s="89" t="str">
        <f>Registro!AM363</f>
        <v>b) Buena</v>
      </c>
      <c r="AS363" s="89" t="str">
        <f>Registro!AN363</f>
        <v>b) Buena</v>
      </c>
      <c r="AT363" s="89" t="str">
        <f>Registro!AO363</f>
        <v>b) Buena</v>
      </c>
      <c r="AU363" s="89" t="str">
        <f>Registro!AP363</f>
        <v>b) Buena</v>
      </c>
      <c r="AV363" s="89" t="str">
        <f>Registro!AQ363</f>
        <v>b) Buena</v>
      </c>
      <c r="AW363" s="89" t="str">
        <f>Registro!AR363</f>
        <v>d) La formación del carácter</v>
      </c>
      <c r="AX363" s="89" t="str">
        <f>Registro!AS363</f>
        <v>g) No tienen una preocupación especial</v>
      </c>
      <c r="AY363" s="89" t="str">
        <f>Registro!AT363</f>
        <v>e) Absolutamente necesaria</v>
      </c>
      <c r="AZ363" s="89" t="str">
        <f>Registro!AU363</f>
        <v>b) Las veces que bebo, es con moderación</v>
      </c>
      <c r="BA363" s="89" t="str">
        <f>Registro!AV363</f>
        <v>c) Profesionales que hacen lo que pueden</v>
      </c>
      <c r="BB363" s="89" t="str">
        <f>Registro!AW363</f>
        <v>b) Poco</v>
      </c>
      <c r="BC363" s="89" t="str">
        <f>Registro!AX363</f>
        <v>d) Hay de todo tipo, pero predomina lo positivo</v>
      </c>
      <c r="BD363" s="89" t="str">
        <f>Registro!AY363</f>
        <v>b) Mi madre, c) Un hermano/a, g) Un amigo, h) Una amiga</v>
      </c>
    </row>
    <row r="364" spans="1:56" ht="15" customHeight="1" x14ac:dyDescent="0.25">
      <c r="A364" s="101">
        <f>Registro!A364</f>
        <v>42314.390972222223</v>
      </c>
      <c r="B364" s="89" t="str">
        <f>Registro!B364</f>
        <v>b) Calasanz de Valencia</v>
      </c>
      <c r="C364" s="89" t="str">
        <f>Registro!C364</f>
        <v>b) Tercer año</v>
      </c>
      <c r="D364" s="89" t="str">
        <f>Registro!D364</f>
        <v>a) Educación Inicial</v>
      </c>
      <c r="E364" s="89" t="str">
        <f>Registro!E364</f>
        <v>b) Femenino</v>
      </c>
      <c r="F364" s="89" t="str">
        <f>Registro!F364</f>
        <v>a) Católica</v>
      </c>
      <c r="G364" s="89" t="str">
        <f>Registro!G364</f>
        <v>a) Mamá, b) Papá, c) Hermanos</v>
      </c>
      <c r="H364" s="89" t="str">
        <f>Registro!H364</f>
        <v>c) Apartamento</v>
      </c>
      <c r="I364" s="89" t="str">
        <f>Registro!I364</f>
        <v>c) Algo</v>
      </c>
      <c r="J364" s="89" t="str">
        <f>Registro!J364</f>
        <v>a) Cónsola videojuegos, b) Lavadora, c) Microondas, d) TV pantalla plana, f) MP3, g) MP4, h) Carro, i) Computadora, j) Cámara digital, k) Aire acondicionado</v>
      </c>
      <c r="K364" s="89" t="str">
        <f>Registro!K364</f>
        <v>c) Dos</v>
      </c>
      <c r="L364" s="89" t="str">
        <f>Registro!L364</f>
        <v>a) La familia, b) Los amigos, c) Los estudios</v>
      </c>
      <c r="M364" s="94">
        <f t="shared" si="30"/>
        <v>3</v>
      </c>
      <c r="N364" s="89" t="str">
        <f>Registro!M364</f>
        <v>b) El futuro</v>
      </c>
      <c r="O364" s="89" t="str">
        <f>Registro!N364</f>
        <v>a) Mucho</v>
      </c>
      <c r="P364" s="89" t="str">
        <f>Registro!O364</f>
        <v>b) Suficiente</v>
      </c>
      <c r="Q364" s="89" t="str">
        <f>Registro!P364</f>
        <v>b) Suficiente</v>
      </c>
      <c r="R364" s="89" t="str">
        <f>Registro!Q364</f>
        <v>a) La familia, f) Mi fe y mi vida cristiana, g) La felicidad</v>
      </c>
      <c r="S364" s="94">
        <f t="shared" si="31"/>
        <v>3</v>
      </c>
      <c r="T364" s="89" t="str">
        <f>Registro!R364</f>
        <v>a) Mucho</v>
      </c>
      <c r="U364" s="89" t="str">
        <f>Registro!S364</f>
        <v>a) La Iglesia, d) Las convivencias, h) Algunas personas cercanas a Dios, k) La oración, l) Los sacramentos</v>
      </c>
      <c r="V364" s="89" t="str">
        <f>Registro!T364</f>
        <v>b) Rezo por costumbre</v>
      </c>
      <c r="W364" s="89" t="str">
        <f>Registro!U364</f>
        <v>b) Algunos domingos</v>
      </c>
      <c r="X364" s="89" t="str">
        <f>Registro!V364</f>
        <v>f) En alguna ocasión he rezado el rosario, h) En Semana Santa asisto a las procesiones, i) Tengo en mi cuarto alguna imagen religiosa</v>
      </c>
      <c r="Y364" s="89" t="str">
        <f>Registro!W364</f>
        <v>d) No pertenezco a ninguno</v>
      </c>
      <c r="Z364" s="89" t="str">
        <f>Registro!X364</f>
        <v>d) No pertenezco a grupos juveniles cristianos</v>
      </c>
      <c r="AA364" s="89" t="str">
        <f>Registro!Y364</f>
        <v>b) No</v>
      </c>
      <c r="AB364" s="89" t="str">
        <f>Registro!Z364</f>
        <v>b) No</v>
      </c>
      <c r="AC364" s="89" t="str">
        <f>Registro!AA364</f>
        <v>a) Medicina, i) Comerciante</v>
      </c>
      <c r="AD364" s="94">
        <f t="shared" si="32"/>
        <v>2</v>
      </c>
      <c r="AE364" s="89" t="str">
        <f>Registro!AB364</f>
        <v>c) Ser un excelente profesional</v>
      </c>
      <c r="AF364" s="89" t="str">
        <f>Registro!AC364</f>
        <v>b) Poco</v>
      </c>
      <c r="AG364" s="89" t="str">
        <f>Registro!AD364</f>
        <v>i) No me gusta nada</v>
      </c>
      <c r="AH364" s="94">
        <f t="shared" si="28"/>
        <v>1</v>
      </c>
      <c r="AI364" s="89" t="str">
        <f>Registro!AE364</f>
        <v>c) 5 a 6 horas</v>
      </c>
      <c r="AJ364" s="89" t="str">
        <f>Registro!AF364</f>
        <v>l) Escucho música y/o veo videos musicales, m) Veo televisión y/o películas</v>
      </c>
      <c r="AK364" s="94">
        <f t="shared" si="29"/>
        <v>2</v>
      </c>
      <c r="AL364" s="89" t="str">
        <f>Registro!AG364</f>
        <v>c) Regular</v>
      </c>
      <c r="AM364" s="89" t="str">
        <f>Registro!AH364</f>
        <v>f) No aplica</v>
      </c>
      <c r="AN364" s="89" t="str">
        <f>Registro!AI364</f>
        <v>f) No aplica</v>
      </c>
      <c r="AO364" s="89" t="str">
        <f>Registro!AJ364</f>
        <v>c) Regular</v>
      </c>
      <c r="AP364" s="89" t="str">
        <f>Registro!AK364</f>
        <v>c) Regular</v>
      </c>
      <c r="AQ364" s="89" t="str">
        <f>Registro!AL364</f>
        <v>b) Buena</v>
      </c>
      <c r="AR364" s="89" t="str">
        <f>Registro!AM364</f>
        <v>c) Regular</v>
      </c>
      <c r="AS364" s="89" t="str">
        <f>Registro!AN364</f>
        <v>b) Buena</v>
      </c>
      <c r="AT364" s="89" t="str">
        <f>Registro!AO364</f>
        <v>b) Buena</v>
      </c>
      <c r="AU364" s="89" t="str">
        <f>Registro!AP364</f>
        <v>b) Buena</v>
      </c>
      <c r="AV364" s="89" t="str">
        <f>Registro!AQ364</f>
        <v>b) Buena</v>
      </c>
      <c r="AW364" s="89" t="str">
        <f>Registro!AR364</f>
        <v>e) La disciplina y el orden</v>
      </c>
      <c r="AX364" s="89" t="str">
        <f>Registro!AS364</f>
        <v>b) Darme una buena educación</v>
      </c>
      <c r="AY364" s="89" t="str">
        <f>Registro!AT364</f>
        <v>c) Conveniente</v>
      </c>
      <c r="AZ364" s="89" t="str">
        <f>Registro!AU364</f>
        <v>b) Las veces que bebo, es con moderación</v>
      </c>
      <c r="BA364" s="89" t="str">
        <f>Registro!AV364</f>
        <v>e) Educadores que se preocupan de nosotros</v>
      </c>
      <c r="BB364" s="89" t="str">
        <f>Registro!AW364</f>
        <v>c) Bastante</v>
      </c>
      <c r="BC364" s="89" t="str">
        <f>Registro!AX364</f>
        <v>c) Son personas normales y corrientes</v>
      </c>
      <c r="BD364" s="89" t="str">
        <f>Registro!AY364</f>
        <v>b) Mi madre, c) Un hermano/a, e) Un, una docente, h) Una amiga</v>
      </c>
    </row>
    <row r="365" spans="1:56" ht="15" customHeight="1" x14ac:dyDescent="0.25">
      <c r="A365" s="101">
        <f>Registro!A365</f>
        <v>42314.391018518516</v>
      </c>
      <c r="B365" s="89" t="str">
        <f>Registro!B365</f>
        <v>b) Calasanz de Valencia</v>
      </c>
      <c r="C365" s="89" t="str">
        <f>Registro!C365</f>
        <v>b) Tercer año</v>
      </c>
      <c r="D365" s="89" t="str">
        <f>Registro!D365</f>
        <v>b) Primaria</v>
      </c>
      <c r="E365" s="89" t="str">
        <f>Registro!E365</f>
        <v>b) Femenino</v>
      </c>
      <c r="F365" s="89" t="str">
        <f>Registro!F365</f>
        <v>a) Católica</v>
      </c>
      <c r="G365" s="89" t="str">
        <f>Registro!G365</f>
        <v>a) Mamá, b) Papá, c) Hermanos</v>
      </c>
      <c r="H365" s="89" t="str">
        <f>Registro!H365</f>
        <v>c) Apartamento</v>
      </c>
      <c r="I365" s="89" t="str">
        <f>Registro!I365</f>
        <v>a) Sí</v>
      </c>
      <c r="J365" s="89" t="str">
        <f>Registro!J365</f>
        <v>b) Lavadora, c) Microondas, d) TV pantalla plana, h) Carro, i) Computadora, j) Cámara digital, k) Aire acondicionado</v>
      </c>
      <c r="K365" s="89" t="str">
        <f>Registro!K365</f>
        <v>c) Dos</v>
      </c>
      <c r="L365" s="89" t="str">
        <f>Registro!L365</f>
        <v>a) La familia, b) Los amigos, g) La felicidad</v>
      </c>
      <c r="M365" s="94">
        <f t="shared" si="30"/>
        <v>3</v>
      </c>
      <c r="N365" s="89" t="str">
        <f>Registro!M365</f>
        <v>a) Seguridad personal (la violencia y la delincuencia)</v>
      </c>
      <c r="O365" s="89" t="str">
        <f>Registro!N365</f>
        <v>a) Mucho</v>
      </c>
      <c r="P365" s="89" t="str">
        <f>Registro!O365</f>
        <v>b) Suficiente</v>
      </c>
      <c r="Q365" s="89" t="str">
        <f>Registro!P365</f>
        <v>b) Suficiente</v>
      </c>
      <c r="R365" s="89" t="str">
        <f>Registro!Q365</f>
        <v>a) La familia, c) Los estudios, g) La felicidad</v>
      </c>
      <c r="S365" s="94">
        <f t="shared" si="31"/>
        <v>3</v>
      </c>
      <c r="T365" s="89" t="str">
        <f>Registro!R365</f>
        <v>a) Mucho</v>
      </c>
      <c r="U365" s="89" t="str">
        <f>Registro!S365</f>
        <v>j) Todas partes</v>
      </c>
      <c r="V365" s="89" t="str">
        <f>Registro!T365</f>
        <v>b) Rezo por costumbre</v>
      </c>
      <c r="W365" s="89" t="str">
        <f>Registro!U365</f>
        <v>c) Solo en fechas especiales</v>
      </c>
      <c r="X365" s="89" t="str">
        <f>Registro!V365</f>
        <v>a) Suelo llevar una cruz o algún objeto religioso, i) Tengo en mi cuarto alguna imagen religiosa</v>
      </c>
      <c r="Y365" s="89" t="str">
        <f>Registro!W365</f>
        <v>d) No pertenezco a ninguno</v>
      </c>
      <c r="Z365" s="89" t="str">
        <f>Registro!X365</f>
        <v>d) No pertenezco a grupos juveniles cristianos</v>
      </c>
      <c r="AA365" s="89" t="str">
        <f>Registro!Y365</f>
        <v>b) No</v>
      </c>
      <c r="AB365" s="89" t="str">
        <f>Registro!Z365</f>
        <v>b) No</v>
      </c>
      <c r="AC365" s="89"/>
      <c r="AD365" s="94">
        <f t="shared" si="32"/>
        <v>0</v>
      </c>
      <c r="AE365" s="89" t="str">
        <f>Registro!AB365</f>
        <v>d) Desarrollarme personalmente</v>
      </c>
      <c r="AF365" s="89" t="str">
        <f>Registro!AC365</f>
        <v>c) Bastante</v>
      </c>
      <c r="AG365" s="89" t="str">
        <f>Registro!AD365</f>
        <v>b) El ambiente de estudio y de trabajo</v>
      </c>
      <c r="AH365" s="94">
        <f t="shared" si="28"/>
        <v>1</v>
      </c>
      <c r="AI365" s="89" t="str">
        <f>Registro!AE365</f>
        <v>b) 3 a 4 horas</v>
      </c>
      <c r="AJ365" s="89" t="str">
        <f>Registro!AF365</f>
        <v>l) Escucho música y/o veo videos musicales, m) Veo televisión y/o películas, n) Estoy conversando con los amigos/as</v>
      </c>
      <c r="AK365" s="94">
        <f t="shared" si="29"/>
        <v>3</v>
      </c>
      <c r="AL365" s="89" t="str">
        <f>Registro!AG365</f>
        <v>c) Regular</v>
      </c>
      <c r="AM365" s="89" t="str">
        <f>Registro!AH365</f>
        <v>c) Regular</v>
      </c>
      <c r="AN365" s="89" t="str">
        <f>Registro!AI365</f>
        <v>c) Regular</v>
      </c>
      <c r="AO365" s="89">
        <f>Registro!AJ365</f>
        <v>0</v>
      </c>
      <c r="AP365" s="89" t="str">
        <f>Registro!AK365</f>
        <v>f) No aplica</v>
      </c>
      <c r="AQ365" s="89" t="str">
        <f>Registro!AL365</f>
        <v>c) Regular</v>
      </c>
      <c r="AR365" s="89" t="str">
        <f>Registro!AM365</f>
        <v>c) Regular</v>
      </c>
      <c r="AS365" s="89" t="str">
        <f>Registro!AN365</f>
        <v>d) Mala</v>
      </c>
      <c r="AT365" s="89" t="str">
        <f>Registro!AO365</f>
        <v>c) Regular</v>
      </c>
      <c r="AU365" s="89" t="str">
        <f>Registro!AP365</f>
        <v>b) Buena</v>
      </c>
      <c r="AV365" s="89" t="str">
        <f>Registro!AQ365</f>
        <v>b) Buena</v>
      </c>
      <c r="AW365" s="89" t="str">
        <f>Registro!AR365</f>
        <v>a) El compañerismo</v>
      </c>
      <c r="AX365" s="89" t="str">
        <f>Registro!AS365</f>
        <v>b) Darme una buena educación</v>
      </c>
      <c r="AY365" s="89" t="str">
        <f>Registro!AT365</f>
        <v>d) Bastante necesaria</v>
      </c>
      <c r="AZ365" s="89" t="str">
        <f>Registro!AU365</f>
        <v>b) Las veces que bebo, es con moderación</v>
      </c>
      <c r="BA365" s="89" t="str">
        <f>Registro!AV365</f>
        <v>b) Profesionales que no se preocupan de nosotros</v>
      </c>
      <c r="BB365" s="89">
        <f>Registro!AW365</f>
        <v>0</v>
      </c>
      <c r="BC365" s="89" t="str">
        <f>Registro!AX365</f>
        <v>d) Hay de todo tipo, pero predomina lo positivo</v>
      </c>
      <c r="BD365" s="89" t="str">
        <f>Registro!AY365</f>
        <v>a) Mi padre, b) Mi madre, c) Un hermano/a, h) Una amiga</v>
      </c>
    </row>
    <row r="366" spans="1:56" ht="15" customHeight="1" x14ac:dyDescent="0.25">
      <c r="A366" s="101">
        <f>Registro!A366</f>
        <v>42314.395127314812</v>
      </c>
      <c r="B366" s="89" t="str">
        <f>Registro!B366</f>
        <v>b) Calasanz de Valencia</v>
      </c>
      <c r="C366" s="89" t="str">
        <f>Registro!C366</f>
        <v>b) Tercer año</v>
      </c>
      <c r="D366" s="89" t="str">
        <f>Registro!D366</f>
        <v>a) Educación Inicial</v>
      </c>
      <c r="E366" s="89" t="str">
        <f>Registro!E366</f>
        <v>b) Femenino</v>
      </c>
      <c r="F366" s="89" t="str">
        <f>Registro!F366</f>
        <v>a) Católica</v>
      </c>
      <c r="G366" s="89" t="str">
        <f>Registro!G366</f>
        <v>a) Mamá, b) Papá, c) Hermanos</v>
      </c>
      <c r="H366" s="89" t="str">
        <f>Registro!H366</f>
        <v>c) Apartamento</v>
      </c>
      <c r="I366" s="89" t="str">
        <f>Registro!I366</f>
        <v>c) Algo</v>
      </c>
      <c r="J366" s="89" t="str">
        <f>Registro!J366</f>
        <v>a) Cónsola videojuegos, b) Lavadora, c) Microondas, d) TV pantalla plana, h) Carro, i) Computadora, j) Cámara digital, k) Aire acondicionado</v>
      </c>
      <c r="K366" s="89" t="str">
        <f>Registro!K366</f>
        <v>b) Una</v>
      </c>
      <c r="L366" s="89" t="str">
        <f>Registro!L366</f>
        <v>a) La familia, b) Los amigos, g) La felicidad</v>
      </c>
      <c r="M366" s="94">
        <f t="shared" si="30"/>
        <v>3</v>
      </c>
      <c r="N366" s="89" t="str">
        <f>Registro!M366</f>
        <v>b) El futuro</v>
      </c>
      <c r="O366" s="89" t="str">
        <f>Registro!N366</f>
        <v>a) Mucho</v>
      </c>
      <c r="P366" s="89" t="str">
        <f>Registro!O366</f>
        <v>c) Poco</v>
      </c>
      <c r="Q366" s="89" t="str">
        <f>Registro!P366</f>
        <v>b) Suficiente</v>
      </c>
      <c r="R366" s="89" t="str">
        <f>Registro!Q366</f>
        <v>a) La familia, c) Los estudios, g) La felicidad</v>
      </c>
      <c r="S366" s="94">
        <f t="shared" si="31"/>
        <v>3</v>
      </c>
      <c r="T366" s="89" t="str">
        <f>Registro!R366</f>
        <v>a) Mucho</v>
      </c>
      <c r="U366" s="89" t="str">
        <f>Registro!S366</f>
        <v>a) La Iglesia, b) La naturaleza, d) Las convivencias, f) Todas las personas, g) Mi familia, h) Algunas personas cercanas a Dios, i) Los necesitados, j) Todas partes, k) La oración, l) Los sacramentos</v>
      </c>
      <c r="V366" s="89" t="str">
        <f>Registro!T366</f>
        <v>b) Rezo por costumbre</v>
      </c>
      <c r="W366" s="89" t="str">
        <f>Registro!U366</f>
        <v>d) Nunca</v>
      </c>
      <c r="X366" s="89" t="str">
        <f>Registro!V366</f>
        <v>d) Suelo orar todos los días, h) En Semana Santa asisto a las procesiones, i) Tengo en mi cuarto alguna imagen religiosa</v>
      </c>
      <c r="Y366" s="89" t="str">
        <f>Registro!W366</f>
        <v>d) No pertenezco a ninguno</v>
      </c>
      <c r="Z366" s="89" t="str">
        <f>Registro!X366</f>
        <v>d) No pertenezco a grupos juveniles cristianos</v>
      </c>
      <c r="AA366" s="89" t="str">
        <f>Registro!Y366</f>
        <v>b) No</v>
      </c>
      <c r="AB366" s="89" t="str">
        <f>Registro!Z366</f>
        <v>b) No</v>
      </c>
      <c r="AC366" s="89" t="str">
        <f>Registro!AA366</f>
        <v>a) Medicina, c) Sacerdocio o hermana religiosa</v>
      </c>
      <c r="AD366" s="94">
        <f t="shared" si="32"/>
        <v>2</v>
      </c>
      <c r="AE366" s="89" t="str">
        <f>Registro!AB366</f>
        <v>d) Desarrollarme personalmente</v>
      </c>
      <c r="AF366" s="89" t="str">
        <f>Registro!AC366</f>
        <v>d) Mucho o muchísimo</v>
      </c>
      <c r="AG366" s="89" t="str">
        <f>Registro!AD366</f>
        <v>a) Los deportes y diversiones, e) La mayor posibilidad de vivir mi fe</v>
      </c>
      <c r="AH366" s="94">
        <f t="shared" si="28"/>
        <v>2</v>
      </c>
      <c r="AI366" s="89" t="str">
        <f>Registro!AE366</f>
        <v>b) 3 a 4 horas</v>
      </c>
      <c r="AJ366" s="89"/>
      <c r="AK366" s="94">
        <f t="shared" si="29"/>
        <v>0</v>
      </c>
      <c r="AL366" s="89" t="str">
        <f>Registro!AG366</f>
        <v>d) Deficiente</v>
      </c>
      <c r="AM366" s="89" t="str">
        <f>Registro!AH366</f>
        <v>e) Muy mala</v>
      </c>
      <c r="AN366" s="89" t="str">
        <f>Registro!AI366</f>
        <v>e) Muy mala</v>
      </c>
      <c r="AO366" s="89" t="str">
        <f>Registro!AJ366</f>
        <v>c) Regular</v>
      </c>
      <c r="AP366" s="89" t="str">
        <f>Registro!AK366</f>
        <v>f) No aplica</v>
      </c>
      <c r="AQ366" s="89" t="str">
        <f>Registro!AL366</f>
        <v>c) Regular</v>
      </c>
      <c r="AR366" s="89" t="str">
        <f>Registro!AM366</f>
        <v>c) Regular</v>
      </c>
      <c r="AS366" s="89" t="str">
        <f>Registro!AN366</f>
        <v>b) Buena</v>
      </c>
      <c r="AT366" s="89" t="str">
        <f>Registro!AO366</f>
        <v>d) Mala</v>
      </c>
      <c r="AU366" s="89" t="str">
        <f>Registro!AP366</f>
        <v>b) Buena</v>
      </c>
      <c r="AV366" s="89" t="str">
        <f>Registro!AQ366</f>
        <v>c) Regular</v>
      </c>
      <c r="AW366" s="89" t="str">
        <f>Registro!AR366</f>
        <v>h) La responsabilidad social y el servicio a los demás</v>
      </c>
      <c r="AX366" s="89" t="str">
        <f>Registro!AS366</f>
        <v>f) Que tenga honradez en la vida</v>
      </c>
      <c r="AY366" s="89" t="str">
        <f>Registro!AT366</f>
        <v>e) Absolutamente necesaria</v>
      </c>
      <c r="AZ366" s="89" t="str">
        <f>Registro!AU366</f>
        <v>b) Las veces que bebo, es con moderación</v>
      </c>
      <c r="BA366" s="89" t="str">
        <f>Registro!AV366</f>
        <v>f) Educadores que, además, me han abierto caminos</v>
      </c>
      <c r="BB366" s="89" t="str">
        <f>Registro!AW366</f>
        <v>b) Poco</v>
      </c>
      <c r="BC366" s="89" t="str">
        <f>Registro!AX366</f>
        <v>d) Hay de todo tipo, pero predomina lo positivo</v>
      </c>
      <c r="BD366" s="89" t="str">
        <f>Registro!AY366</f>
        <v>b) Mi madre, h) Una amiga</v>
      </c>
    </row>
    <row r="367" spans="1:56" ht="15" customHeight="1" x14ac:dyDescent="0.25">
      <c r="A367" s="101" t="str">
        <f>Registro!A367</f>
        <v>6/16/2015 9:17:54</v>
      </c>
      <c r="B367" s="89" t="str">
        <f>Registro!B367</f>
        <v>b) Calasanz de Valencia</v>
      </c>
      <c r="C367" s="89" t="str">
        <f>Registro!C367</f>
        <v>c) Cuarto año</v>
      </c>
      <c r="D367" s="89" t="str">
        <f>Registro!D367</f>
        <v>a) Educación Inicial</v>
      </c>
      <c r="E367" s="89" t="str">
        <f>Registro!E367</f>
        <v>a) Masculino</v>
      </c>
      <c r="F367" s="89" t="str">
        <f>Registro!F367</f>
        <v>d) Otra</v>
      </c>
      <c r="G367" s="89" t="str">
        <f>Registro!G367</f>
        <v>a) Mamá</v>
      </c>
      <c r="H367" s="89" t="str">
        <f>Registro!H367</f>
        <v>b) Casa Urbana</v>
      </c>
      <c r="I367" s="89" t="str">
        <f>Registro!I367</f>
        <v>a) Sí</v>
      </c>
      <c r="J367" s="89" t="str">
        <f>Registro!J367</f>
        <v>a) Cónsola videojuegos, b) Lavadora, c) Microondas, d) TV pantalla plana, f) MP3, g) MP4, h) Carro, i) Computadora, j) Cámara digital, k) Aire acondicionado</v>
      </c>
      <c r="K367" s="89" t="str">
        <f>Registro!K367</f>
        <v>c) Dos</v>
      </c>
      <c r="L367" s="89" t="str">
        <f>Registro!L367</f>
        <v>a) La familia, e) Disponer de dinero, g) La felicidad</v>
      </c>
      <c r="M367" s="94">
        <f t="shared" si="30"/>
        <v>3</v>
      </c>
      <c r="N367" s="89" t="str">
        <f>Registro!M367</f>
        <v>a) Seguridad personal (la violencia y la delincuencia)</v>
      </c>
      <c r="O367" s="89" t="str">
        <f>Registro!N367</f>
        <v>a) Mucho</v>
      </c>
      <c r="P367" s="89" t="str">
        <f>Registro!O367</f>
        <v>b) Suficiente</v>
      </c>
      <c r="Q367" s="89" t="str">
        <f>Registro!P367</f>
        <v>d) Nada</v>
      </c>
      <c r="R367" s="89"/>
      <c r="S367" s="94">
        <f t="shared" si="31"/>
        <v>0</v>
      </c>
      <c r="T367" s="89" t="str">
        <f>Registro!R367</f>
        <v>d) Nada</v>
      </c>
      <c r="U367" s="89" t="str">
        <f>Registro!S367</f>
        <v>a) La Iglesia, b) La naturaleza, l) Los sacramentos</v>
      </c>
      <c r="V367" s="89" t="str">
        <f>Registro!T367</f>
        <v>d) No rezo nunca</v>
      </c>
      <c r="W367" s="89" t="str">
        <f>Registro!U367</f>
        <v>d) Nunca</v>
      </c>
      <c r="X367" s="89" t="str">
        <f>Registro!V367</f>
        <v>c) Suelo ir los domingos y otras fechas especiales a la Iglesia</v>
      </c>
      <c r="Y367" s="89" t="str">
        <f>Registro!W367</f>
        <v>d) No pertenezco a ninguno</v>
      </c>
      <c r="Z367" s="89" t="str">
        <f>Registro!X367</f>
        <v>d) No pertenezco a grupos juveniles cristianos</v>
      </c>
      <c r="AA367" s="89" t="str">
        <f>Registro!Y367</f>
        <v>b) No</v>
      </c>
      <c r="AB367" s="89" t="str">
        <f>Registro!Z367</f>
        <v>b) No</v>
      </c>
      <c r="AC367" s="89" t="str">
        <f>Registro!AA367</f>
        <v>a) Medicina, d) Ingeniería</v>
      </c>
      <c r="AD367" s="94">
        <f t="shared" si="32"/>
        <v>2</v>
      </c>
      <c r="AE367" s="89" t="str">
        <f>Registro!AB367</f>
        <v>a) Ganar mucho dinero</v>
      </c>
      <c r="AF367" s="89" t="str">
        <f>Registro!AC367</f>
        <v>a) No, en absoluto</v>
      </c>
      <c r="AG367" s="89" t="str">
        <f>Registro!AD367</f>
        <v>i) No me gusta nada</v>
      </c>
      <c r="AH367" s="94">
        <f t="shared" si="28"/>
        <v>1</v>
      </c>
      <c r="AI367" s="89" t="str">
        <f>Registro!AE367</f>
        <v>b) 3 a 4 horas</v>
      </c>
      <c r="AJ367" s="89" t="str">
        <f>Registro!AF367</f>
        <v>g) Suelo ir a discotecas o a fiestas, n) Estoy conversando con los amigos/as</v>
      </c>
      <c r="AK367" s="94">
        <f t="shared" si="29"/>
        <v>2</v>
      </c>
      <c r="AL367" s="89" t="str">
        <f>Registro!AG367</f>
        <v>e) Muy deficiente</v>
      </c>
      <c r="AM367" s="89" t="str">
        <f>Registro!AH367</f>
        <v>e) Muy mala</v>
      </c>
      <c r="AN367" s="89" t="str">
        <f>Registro!AI367</f>
        <v>e) Muy mala</v>
      </c>
      <c r="AO367" s="89" t="str">
        <f>Registro!AJ367</f>
        <v>e) Muy mala</v>
      </c>
      <c r="AP367" s="89" t="str">
        <f>Registro!AK367</f>
        <v>e) Muy mala</v>
      </c>
      <c r="AQ367" s="89" t="str">
        <f>Registro!AL367</f>
        <v>e) Muy mala</v>
      </c>
      <c r="AR367" s="89" t="str">
        <f>Registro!AM367</f>
        <v>c) Regular</v>
      </c>
      <c r="AS367" s="89" t="str">
        <f>Registro!AN367</f>
        <v>e) Muy mala</v>
      </c>
      <c r="AT367" s="89" t="str">
        <f>Registro!AO367</f>
        <v>e) Muy mala</v>
      </c>
      <c r="AU367" s="89" t="str">
        <f>Registro!AP367</f>
        <v>e) Muy mala</v>
      </c>
      <c r="AV367" s="89" t="str">
        <f>Registro!AQ367</f>
        <v>e) Muy mala</v>
      </c>
      <c r="AW367" s="89" t="str">
        <f>Registro!AR367</f>
        <v>i) En nada</v>
      </c>
      <c r="AX367" s="89" t="str">
        <f>Registro!AS367</f>
        <v>g) No tienen una preocupación especial</v>
      </c>
      <c r="AY367" s="89" t="str">
        <f>Registro!AT367</f>
        <v>a) Innecesaria</v>
      </c>
      <c r="AZ367" s="89" t="str">
        <f>Registro!AU367</f>
        <v>a) No acostumbro a tomarlo nunca</v>
      </c>
      <c r="BA367" s="89" t="str">
        <f>Registro!AV367</f>
        <v>a) Personas a las que tengo que aguantar</v>
      </c>
      <c r="BB367" s="89" t="str">
        <f>Registro!AW367</f>
        <v>a) No, en absoluto</v>
      </c>
      <c r="BC367" s="89" t="str">
        <f>Registro!AX367</f>
        <v>b) Hay de todo tipo, pero predomina lo negativo</v>
      </c>
      <c r="BD367" s="89" t="str">
        <f>Registro!AY367</f>
        <v>a) Mi padre, b) Mi madre, h) Una amiga</v>
      </c>
    </row>
    <row r="368" spans="1:56" ht="15" customHeight="1" x14ac:dyDescent="0.25">
      <c r="A368" s="101" t="str">
        <f>Registro!A368</f>
        <v>6/16/2015 9:18:40</v>
      </c>
      <c r="B368" s="89" t="str">
        <f>Registro!B368</f>
        <v>b) Calasanz de Valencia</v>
      </c>
      <c r="C368" s="89" t="str">
        <f>Registro!C368</f>
        <v>c) Cuarto año</v>
      </c>
      <c r="D368" s="89" t="str">
        <f>Registro!D368</f>
        <v>d) En Cuarto año o posterior</v>
      </c>
      <c r="E368" s="89" t="str">
        <f>Registro!E368</f>
        <v>b) Femenino</v>
      </c>
      <c r="F368" s="89" t="str">
        <f>Registro!F368</f>
        <v>d) Otra</v>
      </c>
      <c r="G368" s="89" t="str">
        <f>Registro!G368</f>
        <v>b) Papá, c) Hermanos</v>
      </c>
      <c r="H368" s="89" t="str">
        <f>Registro!H368</f>
        <v>c) Apartamento</v>
      </c>
      <c r="I368" s="89" t="str">
        <f>Registro!I368</f>
        <v>a) Sí</v>
      </c>
      <c r="J368" s="89" t="str">
        <f>Registro!J368</f>
        <v>b) Lavadora, c) Microondas, d) TV pantalla plana, h) Carro, i) Computadora, j) Cámara digital, k) Aire acondicionado</v>
      </c>
      <c r="K368" s="89" t="str">
        <f>Registro!K368</f>
        <v>e) Cuatro</v>
      </c>
      <c r="L368" s="89" t="str">
        <f>Registro!L368</f>
        <v>b) Los amigos, d) El cuidado de mi cuerpo, k) El internet</v>
      </c>
      <c r="M368" s="94">
        <f t="shared" si="30"/>
        <v>3</v>
      </c>
      <c r="N368" s="89" t="str">
        <f>Registro!M368</f>
        <v>f) La situación política del país</v>
      </c>
      <c r="O368" s="89" t="str">
        <f>Registro!N368</f>
        <v>b) Suficiente</v>
      </c>
      <c r="P368" s="89" t="str">
        <f>Registro!O368</f>
        <v>d) Nada</v>
      </c>
      <c r="Q368" s="89" t="str">
        <f>Registro!P368</f>
        <v>d) Nada</v>
      </c>
      <c r="R368" s="89" t="str">
        <f>Registro!Q368</f>
        <v>a) La familia, c) Los estudios, g) La felicidad</v>
      </c>
      <c r="S368" s="94">
        <f t="shared" si="31"/>
        <v>3</v>
      </c>
      <c r="T368" s="89" t="str">
        <f>Registro!R368</f>
        <v>a) Mucho</v>
      </c>
      <c r="U368" s="89" t="str">
        <f>Registro!S368</f>
        <v>f) Todas las personas</v>
      </c>
      <c r="V368" s="89" t="str">
        <f>Registro!T368</f>
        <v>d) No rezo nunca</v>
      </c>
      <c r="W368" s="89" t="str">
        <f>Registro!U368</f>
        <v>d) Nunca</v>
      </c>
      <c r="X368" s="89" t="str">
        <f>Registro!V368</f>
        <v>e) Voy a misa en las fechas de mis familiares difuntos</v>
      </c>
      <c r="Y368" s="89" t="str">
        <f>Registro!W368</f>
        <v>d) No pertenezco a ninguno</v>
      </c>
      <c r="Z368" s="89" t="str">
        <f>Registro!X368</f>
        <v>d) No pertenezco a grupos juveniles cristianos</v>
      </c>
      <c r="AA368" s="89" t="str">
        <f>Registro!Y368</f>
        <v>b) No</v>
      </c>
      <c r="AB368" s="89" t="str">
        <f>Registro!Z368</f>
        <v>b) No</v>
      </c>
      <c r="AC368" s="89" t="str">
        <f>Registro!AA368</f>
        <v>a) Medicina, e) Derecho</v>
      </c>
      <c r="AD368" s="94">
        <f t="shared" si="32"/>
        <v>2</v>
      </c>
      <c r="AE368" s="89" t="str">
        <f>Registro!AB368</f>
        <v>e) Servir a los demás</v>
      </c>
      <c r="AF368" s="89" t="str">
        <f>Registro!AC368</f>
        <v>c) Bastante</v>
      </c>
      <c r="AG368" s="89" t="str">
        <f>Registro!AD368</f>
        <v>b) El ambiente de estudio y de trabajo, h) Las actividades extraescolares</v>
      </c>
      <c r="AH368" s="94">
        <f t="shared" si="28"/>
        <v>2</v>
      </c>
      <c r="AI368" s="89" t="str">
        <f>Registro!AE368</f>
        <v>e) 9 a 10 horas</v>
      </c>
      <c r="AJ368" s="89" t="str">
        <f>Registro!AF368</f>
        <v>b) Navego en Internet, g) Suelo ir a discotecas o a fiestas, n) Estoy conversando con los amigos/as</v>
      </c>
      <c r="AK368" s="94">
        <f t="shared" si="29"/>
        <v>3</v>
      </c>
      <c r="AL368" s="89" t="str">
        <f>Registro!AG368</f>
        <v>c) Regular</v>
      </c>
      <c r="AM368" s="89" t="str">
        <f>Registro!AH368</f>
        <v>e) Muy mala</v>
      </c>
      <c r="AN368" s="89" t="str">
        <f>Registro!AI368</f>
        <v>f) No aplica</v>
      </c>
      <c r="AO368" s="89" t="str">
        <f>Registro!AJ368</f>
        <v>c) Regular</v>
      </c>
      <c r="AP368" s="89" t="str">
        <f>Registro!AK368</f>
        <v>b) Buena</v>
      </c>
      <c r="AQ368" s="89" t="str">
        <f>Registro!AL368</f>
        <v>a) Muy buena</v>
      </c>
      <c r="AR368" s="89" t="str">
        <f>Registro!AM368</f>
        <v>b) Buena</v>
      </c>
      <c r="AS368" s="89" t="str">
        <f>Registro!AN368</f>
        <v>b) Buena</v>
      </c>
      <c r="AT368" s="89" t="str">
        <f>Registro!AO368</f>
        <v>a) Muy buena</v>
      </c>
      <c r="AU368" s="89" t="str">
        <f>Registro!AP368</f>
        <v>a) Muy buena</v>
      </c>
      <c r="AV368" s="89" t="str">
        <f>Registro!AQ368</f>
        <v>a) Muy buena</v>
      </c>
      <c r="AW368" s="89" t="str">
        <f>Registro!AR368</f>
        <v>g) La orientación profesional futura</v>
      </c>
      <c r="AX368" s="89" t="str">
        <f>Registro!AS368</f>
        <v>a) Que sea un buen profesional</v>
      </c>
      <c r="AY368" s="89" t="str">
        <f>Registro!AT368</f>
        <v>d) Bastante necesaria</v>
      </c>
      <c r="AZ368" s="89" t="str">
        <f>Registro!AU368</f>
        <v>d) Con frecuencia (fines de semana u otros momentos) suelo beber más de la cuenta</v>
      </c>
      <c r="BA368" s="89" t="str">
        <f>Registro!AV368</f>
        <v>e) Educadores que se preocupan de nosotros</v>
      </c>
      <c r="BB368" s="89" t="str">
        <f>Registro!AW368</f>
        <v>c) Bastante</v>
      </c>
      <c r="BC368" s="89" t="str">
        <f>Registro!AX368</f>
        <v>c) Son personas normales y corrientes</v>
      </c>
      <c r="BD368" s="89" t="str">
        <f>Registro!AY368</f>
        <v>h) Una amiga, j) Nadie</v>
      </c>
    </row>
    <row r="369" spans="1:56" ht="15" customHeight="1" x14ac:dyDescent="0.25">
      <c r="A369" s="101" t="str">
        <f>Registro!A369</f>
        <v>6/16/2015 9:19:55</v>
      </c>
      <c r="B369" s="89" t="str">
        <f>Registro!B369</f>
        <v>b) Calasanz de Valencia</v>
      </c>
      <c r="C369" s="89" t="str">
        <f>Registro!C369</f>
        <v>c) Cuarto año</v>
      </c>
      <c r="D369" s="89" t="str">
        <f>Registro!D369</f>
        <v>a) Educación Inicial</v>
      </c>
      <c r="E369" s="89" t="str">
        <f>Registro!E369</f>
        <v>b) Femenino</v>
      </c>
      <c r="F369" s="89">
        <f>Registro!F369</f>
        <v>0</v>
      </c>
      <c r="G369" s="89" t="str">
        <f>Registro!G369</f>
        <v>a) Mamá, b) Papá</v>
      </c>
      <c r="H369" s="89" t="str">
        <f>Registro!H369</f>
        <v>b) Casa Urbana</v>
      </c>
      <c r="I369" s="89" t="str">
        <f>Registro!I369</f>
        <v>a) Sí</v>
      </c>
      <c r="J369" s="89" t="str">
        <f>Registro!J369</f>
        <v>a) Cónsola videojuegos, c) Microondas, i) Computadora</v>
      </c>
      <c r="K369" s="89" t="str">
        <f>Registro!K369</f>
        <v>c) Dos</v>
      </c>
      <c r="L369" s="89" t="str">
        <f>Registro!L369</f>
        <v>a) La familia, b) Los amigos, d) El cuidado de mi cuerpo</v>
      </c>
      <c r="M369" s="94">
        <f t="shared" si="30"/>
        <v>3</v>
      </c>
      <c r="N369" s="89" t="str">
        <f>Registro!M369</f>
        <v>b) El futuro</v>
      </c>
      <c r="O369" s="89" t="str">
        <f>Registro!N369</f>
        <v>b) Suficiente</v>
      </c>
      <c r="P369" s="89" t="str">
        <f>Registro!O369</f>
        <v>b) Suficiente</v>
      </c>
      <c r="Q369" s="89" t="str">
        <f>Registro!P369</f>
        <v>c) Poco</v>
      </c>
      <c r="R369" s="89" t="str">
        <f>Registro!Q369</f>
        <v>c) Los estudios, d) El cuidado de mi cuerpo, j) El deporte</v>
      </c>
      <c r="S369" s="94">
        <f t="shared" si="31"/>
        <v>3</v>
      </c>
      <c r="T369" s="89">
        <f>Registro!R369</f>
        <v>0</v>
      </c>
      <c r="U369" s="89">
        <f>Registro!S369</f>
        <v>0</v>
      </c>
      <c r="V369" s="89" t="str">
        <f>Registro!T369</f>
        <v>d) No rezo nunca</v>
      </c>
      <c r="W369" s="89" t="str">
        <f>Registro!U369</f>
        <v>d) Nunca</v>
      </c>
      <c r="X369" s="89">
        <f>Registro!V369</f>
        <v>0</v>
      </c>
      <c r="Y369" s="89" t="str">
        <f>Registro!W369</f>
        <v>a) Deportivo</v>
      </c>
      <c r="Z369" s="89" t="str">
        <f>Registro!X369</f>
        <v>d) No pertenezco a grupos juveniles cristianos</v>
      </c>
      <c r="AA369" s="89" t="str">
        <f>Registro!Y369</f>
        <v>b) No</v>
      </c>
      <c r="AB369" s="89" t="str">
        <f>Registro!Z369</f>
        <v>b) No</v>
      </c>
      <c r="AC369" s="89" t="str">
        <f>Registro!AA369</f>
        <v>a) Medicina, g) Artista</v>
      </c>
      <c r="AD369" s="94">
        <f t="shared" si="32"/>
        <v>2</v>
      </c>
      <c r="AE369" s="89" t="str">
        <f>Registro!AB369</f>
        <v>e) Servir a los demás</v>
      </c>
      <c r="AF369" s="89" t="str">
        <f>Registro!AC369</f>
        <v>a) No, en absoluto</v>
      </c>
      <c r="AG369" s="89" t="str">
        <f>Registro!AD369</f>
        <v>i) No me gusta nada</v>
      </c>
      <c r="AH369" s="94">
        <f t="shared" si="28"/>
        <v>1</v>
      </c>
      <c r="AI369" s="89" t="str">
        <f>Registro!AE369</f>
        <v>d) 7 a 8 horas</v>
      </c>
      <c r="AJ369" s="89" t="str">
        <f>Registro!AF369</f>
        <v>a) Me divierto con juegos para computadoras, b) Navego en Internet, k) Practico algún deporte</v>
      </c>
      <c r="AK369" s="94">
        <f t="shared" si="29"/>
        <v>3</v>
      </c>
      <c r="AL369" s="89" t="str">
        <f>Registro!AG369</f>
        <v>d) Deficiente</v>
      </c>
      <c r="AM369" s="89" t="str">
        <f>Registro!AH369</f>
        <v>f) No aplica</v>
      </c>
      <c r="AN369" s="89" t="str">
        <f>Registro!AI369</f>
        <v>f) No aplica</v>
      </c>
      <c r="AO369" s="89" t="str">
        <f>Registro!AJ369</f>
        <v>d) Mala</v>
      </c>
      <c r="AP369" s="89" t="str">
        <f>Registro!AK369</f>
        <v>f) No aplica</v>
      </c>
      <c r="AQ369" s="89" t="str">
        <f>Registro!AL369</f>
        <v>f) No aplica</v>
      </c>
      <c r="AR369" s="89" t="str">
        <f>Registro!AM369</f>
        <v>d) Mala</v>
      </c>
      <c r="AS369" s="89" t="str">
        <f>Registro!AN369</f>
        <v>c) Regular</v>
      </c>
      <c r="AT369" s="89" t="str">
        <f>Registro!AO369</f>
        <v>c) Regular</v>
      </c>
      <c r="AU369" s="89" t="str">
        <f>Registro!AP369</f>
        <v>c) Regular</v>
      </c>
      <c r="AV369" s="89" t="str">
        <f>Registro!AQ369</f>
        <v>d) Mala</v>
      </c>
      <c r="AW369" s="89" t="str">
        <f>Registro!AR369</f>
        <v>c) El estudio</v>
      </c>
      <c r="AX369" s="89" t="str">
        <f>Registro!AS369</f>
        <v>g) No tienen una preocupación especial</v>
      </c>
      <c r="AY369" s="89" t="str">
        <f>Registro!AT369</f>
        <v>b) Indiferente</v>
      </c>
      <c r="AZ369" s="89" t="str">
        <f>Registro!AU369</f>
        <v>a) No acostumbro a tomarlo nunca</v>
      </c>
      <c r="BA369" s="89" t="str">
        <f>Registro!AV369</f>
        <v>a) Personas a las que tengo que aguantar</v>
      </c>
      <c r="BB369" s="89" t="str">
        <f>Registro!AW369</f>
        <v>b) Poco</v>
      </c>
      <c r="BC369" s="89" t="str">
        <f>Registro!AX369</f>
        <v>c) Son personas normales y corrientes</v>
      </c>
      <c r="BD369" s="89" t="str">
        <f>Registro!AY369</f>
        <v>a) Mi padre, b) Mi madre, c) Un hermano/a, g) Un amigo, h) Una amiga</v>
      </c>
    </row>
    <row r="370" spans="1:56" ht="15" customHeight="1" x14ac:dyDescent="0.25">
      <c r="A370" s="101" t="str">
        <f>Registro!A370</f>
        <v>6/16/2015 9:19:56</v>
      </c>
      <c r="B370" s="89" t="str">
        <f>Registro!B370</f>
        <v>b) Calasanz de Valencia</v>
      </c>
      <c r="C370" s="89" t="str">
        <f>Registro!C370</f>
        <v>c) Cuarto año</v>
      </c>
      <c r="D370" s="89" t="str">
        <f>Registro!D370</f>
        <v>a) Educación Inicial</v>
      </c>
      <c r="E370" s="89" t="str">
        <f>Registro!E370</f>
        <v>b) Femenino</v>
      </c>
      <c r="F370" s="89" t="str">
        <f>Registro!F370</f>
        <v>a) Católica</v>
      </c>
      <c r="G370" s="89" t="str">
        <f>Registro!G370</f>
        <v>a) Mamá, c) Hermanos, d) Abuelos</v>
      </c>
      <c r="H370" s="89" t="str">
        <f>Registro!H370</f>
        <v>b) Casa Urbana</v>
      </c>
      <c r="I370" s="89" t="str">
        <f>Registro!I370</f>
        <v>a) Sí</v>
      </c>
      <c r="J370" s="89" t="str">
        <f>Registro!J370</f>
        <v>b) Lavadora, c) Microondas, d) TV pantalla plana, f) MP3, i) Computadora, k) Aire acondicionado</v>
      </c>
      <c r="K370" s="89" t="str">
        <f>Registro!K370</f>
        <v>b) Una</v>
      </c>
      <c r="L370" s="89" t="str">
        <f>Registro!L370</f>
        <v>a) La familia, c) Los estudios, e) Disponer de dinero</v>
      </c>
      <c r="M370" s="94">
        <f t="shared" si="30"/>
        <v>3</v>
      </c>
      <c r="N370" s="89" t="str">
        <f>Registro!M370</f>
        <v>g) Mis estudios</v>
      </c>
      <c r="O370" s="89" t="str">
        <f>Registro!N370</f>
        <v>b) Suficiente</v>
      </c>
      <c r="P370" s="89" t="str">
        <f>Registro!O370</f>
        <v>b) Suficiente</v>
      </c>
      <c r="Q370" s="89" t="str">
        <f>Registro!P370</f>
        <v>a) Mucho</v>
      </c>
      <c r="R370" s="89" t="str">
        <f>Registro!Q370</f>
        <v>c) Los estudios, e) Disponer de dinero, g) La felicidad</v>
      </c>
      <c r="S370" s="94">
        <f t="shared" si="31"/>
        <v>3</v>
      </c>
      <c r="T370" s="89" t="str">
        <f>Registro!R370</f>
        <v>b) Suficiente</v>
      </c>
      <c r="U370" s="89" t="str">
        <f>Registro!S370</f>
        <v>a) La Iglesia, g) Mi familia, k) La oración</v>
      </c>
      <c r="V370" s="89" t="str">
        <f>Registro!T370</f>
        <v>c) Rezo solo en situación de dificultad</v>
      </c>
      <c r="W370" s="89" t="str">
        <f>Registro!U370</f>
        <v>c) Solo en fechas especiales</v>
      </c>
      <c r="X370" s="89" t="str">
        <f>Registro!V370</f>
        <v>f) En alguna ocasión he rezado el rosario, h) En Semana Santa asisto a las procesiones, i) Tengo en mi cuarto alguna imagen religiosa</v>
      </c>
      <c r="Y370" s="89" t="str">
        <f>Registro!W370</f>
        <v>d) No pertenezco a ninguno</v>
      </c>
      <c r="Z370" s="89" t="str">
        <f>Registro!X370</f>
        <v>d) No pertenezco a grupos juveniles cristianos</v>
      </c>
      <c r="AA370" s="89" t="str">
        <f>Registro!Y370</f>
        <v>b) No</v>
      </c>
      <c r="AB370" s="89" t="str">
        <f>Registro!Z370</f>
        <v>b) No</v>
      </c>
      <c r="AC370" s="89" t="str">
        <f>Registro!AA370</f>
        <v>a) Medicina, b) Docencia</v>
      </c>
      <c r="AD370" s="94">
        <f t="shared" si="32"/>
        <v>2</v>
      </c>
      <c r="AE370" s="89" t="str">
        <f>Registro!AB370</f>
        <v>c) Ser un excelente profesional</v>
      </c>
      <c r="AF370" s="89" t="str">
        <f>Registro!AC370</f>
        <v>a) No, en absoluto</v>
      </c>
      <c r="AG370" s="89" t="str">
        <f>Registro!AD370</f>
        <v>i) No me gusta nada</v>
      </c>
      <c r="AH370" s="94">
        <f t="shared" si="28"/>
        <v>1</v>
      </c>
      <c r="AI370" s="89" t="str">
        <f>Registro!AE370</f>
        <v>a) 0 a 2 horas</v>
      </c>
      <c r="AJ370" s="89" t="str">
        <f>Registro!AF370</f>
        <v>b) Navego en Internet, d) Estoy la mayor parte del tiempo en la casa sin hacer nada, l) Escucho música y/o veo videos musicales</v>
      </c>
      <c r="AK370" s="94">
        <f t="shared" si="29"/>
        <v>3</v>
      </c>
      <c r="AL370" s="89" t="str">
        <f>Registro!AG370</f>
        <v>b) Bueno</v>
      </c>
      <c r="AM370" s="89" t="str">
        <f>Registro!AH370</f>
        <v>d) Mala</v>
      </c>
      <c r="AN370" s="89">
        <f>Registro!AI370</f>
        <v>0</v>
      </c>
      <c r="AO370" s="89" t="str">
        <f>Registro!AJ370</f>
        <v>b) Buena</v>
      </c>
      <c r="AP370" s="89" t="str">
        <f>Registro!AK370</f>
        <v>f) No aplica</v>
      </c>
      <c r="AQ370" s="89" t="str">
        <f>Registro!AL370</f>
        <v>b) Buena</v>
      </c>
      <c r="AR370" s="89" t="str">
        <f>Registro!AM370</f>
        <v>b) Buena</v>
      </c>
      <c r="AS370" s="89" t="str">
        <f>Registro!AN370</f>
        <v>f) No aplica</v>
      </c>
      <c r="AT370" s="89" t="str">
        <f>Registro!AO370</f>
        <v>b) Buena</v>
      </c>
      <c r="AU370" s="89" t="str">
        <f>Registro!AP370</f>
        <v>b) Buena</v>
      </c>
      <c r="AV370" s="89" t="str">
        <f>Registro!AQ370</f>
        <v>c) Regular</v>
      </c>
      <c r="AW370" s="89" t="str">
        <f>Registro!AR370</f>
        <v>b) La orientación cristiana</v>
      </c>
      <c r="AX370" s="89" t="str">
        <f>Registro!AS370</f>
        <v>b) Darme una buena educación</v>
      </c>
      <c r="AY370" s="89" t="str">
        <f>Registro!AT370</f>
        <v>c) Conveniente</v>
      </c>
      <c r="AZ370" s="89" t="str">
        <f>Registro!AU370</f>
        <v>a) No acostumbro a tomarlo nunca</v>
      </c>
      <c r="BA370" s="89" t="str">
        <f>Registro!AV370</f>
        <v>d) Buenos profesionales de la educación</v>
      </c>
      <c r="BB370" s="89" t="str">
        <f>Registro!AW370</f>
        <v>b) Poco</v>
      </c>
      <c r="BC370" s="89" t="str">
        <f>Registro!AX370</f>
        <v>a) No me gustan en absoluto</v>
      </c>
      <c r="BD370" s="89" t="str">
        <f>Registro!AY370</f>
        <v>b) Mi madre, g) Un amigo, h) Una amiga</v>
      </c>
    </row>
    <row r="371" spans="1:56" ht="15" customHeight="1" x14ac:dyDescent="0.25">
      <c r="A371" s="101" t="str">
        <f>Registro!A371</f>
        <v>6/16/2015 9:20:08</v>
      </c>
      <c r="B371" s="89" t="str">
        <f>Registro!B371</f>
        <v>b) Calasanz de Valencia</v>
      </c>
      <c r="C371" s="89" t="str">
        <f>Registro!C371</f>
        <v>c) Cuarto año</v>
      </c>
      <c r="D371" s="89" t="str">
        <f>Registro!D371</f>
        <v>a) Educación Inicial</v>
      </c>
      <c r="E371" s="89" t="str">
        <f>Registro!E371</f>
        <v>b) Femenino</v>
      </c>
      <c r="F371" s="89" t="str">
        <f>Registro!F371</f>
        <v>a) Católica</v>
      </c>
      <c r="G371" s="89" t="str">
        <f>Registro!G371</f>
        <v>a) Mamá, c) Hermanos</v>
      </c>
      <c r="H371" s="89" t="str">
        <f>Registro!H371</f>
        <v>c) Apartamento</v>
      </c>
      <c r="I371" s="89" t="str">
        <f>Registro!I371</f>
        <v>c) Algo</v>
      </c>
      <c r="J371" s="89" t="str">
        <f>Registro!J371</f>
        <v>b) Lavadora, c) Microondas, d) TV pantalla plana, h) Carro, i) Computadora, j) Cámara digital, k) Aire acondicionado</v>
      </c>
      <c r="K371" s="89" t="str">
        <f>Registro!K371</f>
        <v>b) Una</v>
      </c>
      <c r="L371" s="89" t="str">
        <f>Registro!L371</f>
        <v>a) La familia, c) Los estudios, g) La felicidad</v>
      </c>
      <c r="M371" s="94">
        <f t="shared" ref="M371:M434" si="33">COUNTIF(L371,"*a)*")+COUNTIF(L371,"*b)*")+COUNTIF(L371,"*c)*")+COUNTIF(L371,"*d)*")+COUNTIF(L371,"*e)*")+COUNTIF(L371,"*f)*")+COUNTIF(L371,"*g)*")+COUNTIF(L371,"*h)*")+COUNTIF(L371,"*i)*")+COUNTIF(L371,"*j)*")+COUNTIF(L371,"*k)*")+COUNTIF(L371,"*l)*")+COUNTIF(L371,"*m)*")+COUNTIF(L371,"*n)*")+COUNTIF(L371,"*o)*")+COUNTIF(L371,"*p)*")</f>
        <v>3</v>
      </c>
      <c r="N371" s="89" t="str">
        <f>Registro!M371</f>
        <v>b) El futuro</v>
      </c>
      <c r="O371" s="89" t="str">
        <f>Registro!N371</f>
        <v>b) Suficiente</v>
      </c>
      <c r="P371" s="89" t="str">
        <f>Registro!O371</f>
        <v>b) Suficiente</v>
      </c>
      <c r="Q371" s="89" t="str">
        <f>Registro!P371</f>
        <v>c) Poco</v>
      </c>
      <c r="R371" s="89" t="str">
        <f>Registro!Q371</f>
        <v>a) La familia, c) Los estudios, g) La felicidad</v>
      </c>
      <c r="S371" s="94">
        <f t="shared" ref="S371:S434" si="34">COUNTIF(R371,"*a)*")+COUNTIF(R371,"*b)*")+COUNTIF(R371,"*c)*")+COUNTIF(R371,"*d)*")+COUNTIF(R371,"*e)*")+COUNTIF(R371,"*f)*")+COUNTIF(R371,"*g)*")+COUNTIF(R371,"*h)*")+COUNTIF(R371,"*i)*")+COUNTIF(R371,"*j)*")+COUNTIF(R371,"*k)*")+COUNTIF(R371,"*l)*")+COUNTIF(R371,"*m)*")+COUNTIF(R371,"*n)*")+COUNTIF(R371,"*o)*")+COUNTIF(R371,"*p)*")</f>
        <v>3</v>
      </c>
      <c r="T371" s="89" t="str">
        <f>Registro!R371</f>
        <v>a) Mucho</v>
      </c>
      <c r="U371" s="89" t="str">
        <f>Registro!S371</f>
        <v>a) La Iglesia, b) La naturaleza, g) Mi familia, i) Los necesitados</v>
      </c>
      <c r="V371" s="89" t="str">
        <f>Registro!T371</f>
        <v>c) Rezo solo en situación de dificultad</v>
      </c>
      <c r="W371" s="89" t="str">
        <f>Registro!U371</f>
        <v>d) Nunca</v>
      </c>
      <c r="X371" s="89" t="str">
        <f>Registro!V371</f>
        <v>a) Suelo llevar una cruz o algún objeto religioso, e) Voy a misa en las fechas de mis familiares difuntos, f) En alguna ocasión he rezado el rosario, i) Tengo en mi cuarto alguna imagen religiosa</v>
      </c>
      <c r="Y371" s="89">
        <f>Registro!W371</f>
        <v>0</v>
      </c>
      <c r="Z371" s="89" t="str">
        <f>Registro!X371</f>
        <v>a) Un grupo donde profundizo mi fe</v>
      </c>
      <c r="AA371" s="89" t="str">
        <f>Registro!Y371</f>
        <v>b) No</v>
      </c>
      <c r="AB371" s="89" t="str">
        <f>Registro!Z371</f>
        <v>b) No</v>
      </c>
      <c r="AC371" s="89" t="str">
        <f>Registro!AA371</f>
        <v>a) Medicina, g) Artista</v>
      </c>
      <c r="AD371" s="94">
        <f t="shared" ref="AD371:AD434" si="35">COUNTIF(AC371,"*a)*")+COUNTIF(AC371,"*b)*")+COUNTIF(AC371,"*c)*")+COUNTIF(AC371,"*d)*")+COUNTIF(AC371,"*e)*")+COUNTIF(AC371,"*f)*")+COUNTIF(AC371,"*g)*")+COUNTIF(AC371,"*h)*")+COUNTIF(AC371,"*i)*")+COUNTIF(AC371,"*j)*")+COUNTIF(AC371,"*k)*")+COUNTIF(AC371,"*l)*")+COUNTIF(AC371,"*m)*")+COUNTIF(AC371,"*n)*")+COUNTIF(AC371,"*o)*")+COUNTIF(AC371,"*p)*")</f>
        <v>2</v>
      </c>
      <c r="AE371" s="89" t="str">
        <f>Registro!AB371</f>
        <v>b) Tener una buena posición social, ser importante</v>
      </c>
      <c r="AF371" s="89" t="str">
        <f>Registro!AC371</f>
        <v>b) Poco</v>
      </c>
      <c r="AG371" s="89" t="str">
        <f>Registro!AD371</f>
        <v>a) Los deportes y diversiones, b) El ambiente de estudio y de trabajo</v>
      </c>
      <c r="AH371" s="94">
        <f t="shared" si="28"/>
        <v>2</v>
      </c>
      <c r="AI371" s="89" t="str">
        <f>Registro!AE371</f>
        <v>c) 5 a 6 horas</v>
      </c>
      <c r="AJ371" s="89"/>
      <c r="AK371" s="94">
        <f t="shared" si="29"/>
        <v>0</v>
      </c>
      <c r="AL371" s="89" t="str">
        <f>Registro!AG371</f>
        <v>c) Regular</v>
      </c>
      <c r="AM371" s="89" t="str">
        <f>Registro!AH371</f>
        <v>c) Regular</v>
      </c>
      <c r="AN371" s="89" t="str">
        <f>Registro!AI371</f>
        <v>c) Regular</v>
      </c>
      <c r="AO371" s="89" t="str">
        <f>Registro!AJ371</f>
        <v>b) Buena</v>
      </c>
      <c r="AP371" s="89" t="str">
        <f>Registro!AK371</f>
        <v>c) Regular</v>
      </c>
      <c r="AQ371" s="89" t="str">
        <f>Registro!AL371</f>
        <v>b) Buena</v>
      </c>
      <c r="AR371" s="89" t="str">
        <f>Registro!AM371</f>
        <v>b) Buena</v>
      </c>
      <c r="AS371" s="89" t="str">
        <f>Registro!AN371</f>
        <v>c) Regular</v>
      </c>
      <c r="AT371" s="89" t="str">
        <f>Registro!AO371</f>
        <v>a) Muy buena</v>
      </c>
      <c r="AU371" s="89" t="str">
        <f>Registro!AP371</f>
        <v>a) Muy buena</v>
      </c>
      <c r="AV371" s="89" t="str">
        <f>Registro!AQ371</f>
        <v>b) Buena</v>
      </c>
      <c r="AW371" s="89" t="str">
        <f>Registro!AR371</f>
        <v>f) la práctica religiosa</v>
      </c>
      <c r="AX371" s="89" t="str">
        <f>Registro!AS371</f>
        <v>b) Darme una buena educación</v>
      </c>
      <c r="AY371" s="89" t="str">
        <f>Registro!AT371</f>
        <v>e) Absolutamente necesaria</v>
      </c>
      <c r="AZ371" s="89" t="str">
        <f>Registro!AU371</f>
        <v>b) Las veces que bebo, es con moderación</v>
      </c>
      <c r="BA371" s="89" t="str">
        <f>Registro!AV371</f>
        <v>d) Buenos profesionales de la educación</v>
      </c>
      <c r="BB371" s="89" t="str">
        <f>Registro!AW371</f>
        <v>b) Poco</v>
      </c>
      <c r="BC371" s="89" t="str">
        <f>Registro!AX371</f>
        <v>d) Hay de todo tipo, pero predomina lo positivo</v>
      </c>
      <c r="BD371" s="89" t="str">
        <f>Registro!AY371</f>
        <v>a) Mi padre, b) Mi madre, c) Un hermano/a, g) Un amigo, h) Una amiga</v>
      </c>
    </row>
    <row r="372" spans="1:56" ht="15" customHeight="1" x14ac:dyDescent="0.25">
      <c r="A372" s="101" t="str">
        <f>Registro!A372</f>
        <v>6/16/2015 9:20:28</v>
      </c>
      <c r="B372" s="89" t="str">
        <f>Registro!B372</f>
        <v>b) Calasanz de Valencia</v>
      </c>
      <c r="C372" s="89" t="str">
        <f>Registro!C372</f>
        <v>c) Cuarto año</v>
      </c>
      <c r="D372" s="89" t="str">
        <f>Registro!D372</f>
        <v>a) Educación Inicial</v>
      </c>
      <c r="E372" s="89" t="str">
        <f>Registro!E372</f>
        <v>b) Femenino</v>
      </c>
      <c r="F372" s="89" t="str">
        <f>Registro!F372</f>
        <v>a) Católica</v>
      </c>
      <c r="G372" s="89" t="str">
        <f>Registro!G372</f>
        <v>a) Mamá, b) Papá</v>
      </c>
      <c r="H372" s="89" t="str">
        <f>Registro!H372</f>
        <v>b) Casa Urbana</v>
      </c>
      <c r="I372" s="89" t="str">
        <f>Registro!I372</f>
        <v>c) Algo</v>
      </c>
      <c r="J372" s="89" t="str">
        <f>Registro!J372</f>
        <v>a) Cónsola videojuegos, b) Lavadora, c) Microondas, d) TV pantalla plana, f) MP3, g) MP4, h) Carro, i) Computadora, j) Cámara digital, k) Aire acondicionado</v>
      </c>
      <c r="K372" s="89" t="str">
        <f>Registro!K372</f>
        <v>c) Dos</v>
      </c>
      <c r="L372" s="89" t="str">
        <f>Registro!L372</f>
        <v>a) La familia, c) Los estudios, g) La felicidad</v>
      </c>
      <c r="M372" s="94">
        <f t="shared" si="33"/>
        <v>3</v>
      </c>
      <c r="N372" s="89" t="str">
        <f>Registro!M372</f>
        <v>b) El futuro</v>
      </c>
      <c r="O372" s="89" t="str">
        <f>Registro!N372</f>
        <v>a) Mucho</v>
      </c>
      <c r="P372" s="89" t="str">
        <f>Registro!O372</f>
        <v>c) Poco</v>
      </c>
      <c r="Q372" s="89" t="str">
        <f>Registro!P372</f>
        <v>b) Suficiente</v>
      </c>
      <c r="R372" s="89" t="str">
        <f>Registro!Q372</f>
        <v>a) La familia, c) Los estudios, g) La felicidad</v>
      </c>
      <c r="S372" s="94">
        <f t="shared" si="34"/>
        <v>3</v>
      </c>
      <c r="T372" s="89" t="str">
        <f>Registro!R372</f>
        <v>b) Suficiente</v>
      </c>
      <c r="U372" s="89" t="str">
        <f>Registro!S372</f>
        <v>a) La Iglesia, b) La naturaleza, c) El salón de clase, d) Las convivencias, h) Algunas personas cercanas a Dios, k) La oración, l) Los sacramentos</v>
      </c>
      <c r="V372" s="89" t="str">
        <f>Registro!T372</f>
        <v>b) Rezo por costumbre</v>
      </c>
      <c r="W372" s="89" t="str">
        <f>Registro!U372</f>
        <v>c) Solo en fechas especiales</v>
      </c>
      <c r="X372" s="89" t="str">
        <f>Registro!V372</f>
        <v>a) Suelo llevar una cruz o algún objeto religioso, d) Suelo orar todos los días, e) Voy a misa en las fechas de mis familiares difuntos, f) En alguna ocasión he rezado el rosario, g) En ocasiones, en mi casa tenemos una oración familiar, h) En Semana Santa asisto a las procesiones, i) Tengo en mi cuarto alguna imagen religiosa</v>
      </c>
      <c r="Y372" s="89" t="str">
        <f>Registro!W372</f>
        <v>d) No pertenezco a ninguno</v>
      </c>
      <c r="Z372" s="89" t="str">
        <f>Registro!X372</f>
        <v>d) No pertenezco a grupos juveniles cristianos</v>
      </c>
      <c r="AA372" s="89" t="str">
        <f>Registro!Y372</f>
        <v>c) Algo</v>
      </c>
      <c r="AB372" s="89" t="str">
        <f>Registro!Z372</f>
        <v>b) No</v>
      </c>
      <c r="AC372" s="89" t="str">
        <f>Registro!AA372</f>
        <v>a) Medicina, d) Ingeniería</v>
      </c>
      <c r="AD372" s="94">
        <f t="shared" si="35"/>
        <v>2</v>
      </c>
      <c r="AE372" s="89" t="str">
        <f>Registro!AB372</f>
        <v>d) Desarrollarme personalmente</v>
      </c>
      <c r="AF372" s="89" t="str">
        <f>Registro!AC372</f>
        <v>b) Poco</v>
      </c>
      <c r="AG372" s="89" t="str">
        <f>Registro!AD372</f>
        <v>b) El ambiente de estudio y de trabajo, g) La relación con los docentes</v>
      </c>
      <c r="AH372" s="94">
        <f t="shared" si="28"/>
        <v>2</v>
      </c>
      <c r="AI372" s="89" t="str">
        <f>Registro!AE372</f>
        <v>f) 11 o más horas</v>
      </c>
      <c r="AJ372" s="89" t="str">
        <f>Registro!AF372</f>
        <v>b) Navego en Internet, i) Leo revistas o libros, l) Escucho música y/o veo videos musicales</v>
      </c>
      <c r="AK372" s="94">
        <f t="shared" si="29"/>
        <v>3</v>
      </c>
      <c r="AL372" s="89" t="str">
        <f>Registro!AG372</f>
        <v>b) Bueno</v>
      </c>
      <c r="AM372" s="89" t="str">
        <f>Registro!AH372</f>
        <v>c) Regular</v>
      </c>
      <c r="AN372" s="89" t="str">
        <f>Registro!AI372</f>
        <v>c) Regular</v>
      </c>
      <c r="AO372" s="89" t="str">
        <f>Registro!AJ372</f>
        <v>b) Buena</v>
      </c>
      <c r="AP372" s="89" t="str">
        <f>Registro!AK372</f>
        <v>e) Muy mala</v>
      </c>
      <c r="AQ372" s="89" t="str">
        <f>Registro!AL372</f>
        <v>b) Buena</v>
      </c>
      <c r="AR372" s="89" t="str">
        <f>Registro!AM372</f>
        <v>c) Regular</v>
      </c>
      <c r="AS372" s="89" t="str">
        <f>Registro!AN372</f>
        <v>c) Regular</v>
      </c>
      <c r="AT372" s="89" t="str">
        <f>Registro!AO372</f>
        <v>b) Buena</v>
      </c>
      <c r="AU372" s="89" t="str">
        <f>Registro!AP372</f>
        <v>b) Buena</v>
      </c>
      <c r="AV372" s="89" t="str">
        <f>Registro!AQ372</f>
        <v>d) Mala</v>
      </c>
      <c r="AW372" s="89" t="str">
        <f>Registro!AR372</f>
        <v>e) La disciplina y el orden</v>
      </c>
      <c r="AX372" s="89" t="str">
        <f>Registro!AS372</f>
        <v>f) Que tenga honradez en la vida</v>
      </c>
      <c r="AY372" s="89" t="str">
        <f>Registro!AT372</f>
        <v>e) Absolutamente necesaria</v>
      </c>
      <c r="AZ372" s="89" t="str">
        <f>Registro!AU372</f>
        <v>b) Las veces que bebo, es con moderación</v>
      </c>
      <c r="BA372" s="89" t="str">
        <f>Registro!AV372</f>
        <v>d) Buenos profesionales de la educación</v>
      </c>
      <c r="BB372" s="89" t="str">
        <f>Registro!AW372</f>
        <v>c) Bastante</v>
      </c>
      <c r="BC372" s="89" t="str">
        <f>Registro!AX372</f>
        <v>d) Hay de todo tipo, pero predomina lo positivo</v>
      </c>
      <c r="BD372" s="89" t="str">
        <f>Registro!AY372</f>
        <v>b) Mi madre, e) Un, una docente, g) Un amigo</v>
      </c>
    </row>
    <row r="373" spans="1:56" ht="15" customHeight="1" x14ac:dyDescent="0.25">
      <c r="A373" s="101" t="str">
        <f>Registro!A373</f>
        <v>6/16/2015 9:21:18</v>
      </c>
      <c r="B373" s="89" t="str">
        <f>Registro!B373</f>
        <v>b) Calasanz de Valencia</v>
      </c>
      <c r="C373" s="89" t="str">
        <f>Registro!C373</f>
        <v>c) Cuarto año</v>
      </c>
      <c r="D373" s="89" t="str">
        <f>Registro!D373</f>
        <v>a) Educación Inicial</v>
      </c>
      <c r="E373" s="89" t="str">
        <f>Registro!E373</f>
        <v>a) Masculino</v>
      </c>
      <c r="F373" s="89" t="str">
        <f>Registro!F373</f>
        <v>a) Católica</v>
      </c>
      <c r="G373" s="89" t="str">
        <f>Registro!G373</f>
        <v>a) Mamá, b) Papá, c) Hermanos</v>
      </c>
      <c r="H373" s="89" t="str">
        <f>Registro!H373</f>
        <v>a) Quinta</v>
      </c>
      <c r="I373" s="89" t="str">
        <f>Registro!I373</f>
        <v>a) Sí</v>
      </c>
      <c r="J373" s="89" t="str">
        <f>Registro!J373</f>
        <v>a) Cónsola videojuegos, b) Lavadora, c) Microondas, d) TV pantalla plana, h) Carro, i) Computadora, j) Cámara digital, k) Aire acondicionado</v>
      </c>
      <c r="K373" s="89" t="str">
        <f>Registro!K373</f>
        <v>c) Dos</v>
      </c>
      <c r="L373" s="89" t="str">
        <f>Registro!L373</f>
        <v>a) La familia, b) Los amigos, j) El deporte</v>
      </c>
      <c r="M373" s="94">
        <f t="shared" si="33"/>
        <v>3</v>
      </c>
      <c r="N373" s="89" t="str">
        <f>Registro!M373</f>
        <v>b) El futuro</v>
      </c>
      <c r="O373" s="89" t="str">
        <f>Registro!N373</f>
        <v>b) Suficiente</v>
      </c>
      <c r="P373" s="89" t="str">
        <f>Registro!O373</f>
        <v>b) Suficiente</v>
      </c>
      <c r="Q373" s="89" t="str">
        <f>Registro!P373</f>
        <v>c) Poco</v>
      </c>
      <c r="R373" s="89" t="str">
        <f>Registro!Q373</f>
        <v>a) La familia, c) Los estudios, d) El cuidado de mi cuerpo</v>
      </c>
      <c r="S373" s="94">
        <f t="shared" si="34"/>
        <v>3</v>
      </c>
      <c r="T373" s="89" t="str">
        <f>Registro!R373</f>
        <v>b) Suficiente</v>
      </c>
      <c r="U373" s="89" t="str">
        <f>Registro!S373</f>
        <v>a) La Iglesia, b) La naturaleza, e) Los amigos, g) Mi familia, k) La oración</v>
      </c>
      <c r="V373" s="89" t="str">
        <f>Registro!T373</f>
        <v>c) Rezo solo en situación de dificultad</v>
      </c>
      <c r="W373" s="89" t="str">
        <f>Registro!U373</f>
        <v>c) Solo en fechas especiales</v>
      </c>
      <c r="X373" s="89" t="str">
        <f>Registro!V373</f>
        <v>h) En Semana Santa asisto a las procesiones, i) Tengo en mi cuarto alguna imagen religiosa</v>
      </c>
      <c r="Y373" s="89" t="str">
        <f>Registro!W373</f>
        <v>a) Deportivo</v>
      </c>
      <c r="Z373" s="89" t="str">
        <f>Registro!X373</f>
        <v>c) Un lugar donde me lo paso bien</v>
      </c>
      <c r="AA373" s="89" t="str">
        <f>Registro!Y373</f>
        <v>b) No</v>
      </c>
      <c r="AB373" s="89" t="str">
        <f>Registro!Z373</f>
        <v>b) No</v>
      </c>
      <c r="AC373" s="89"/>
      <c r="AD373" s="94">
        <f t="shared" si="35"/>
        <v>0</v>
      </c>
      <c r="AE373" s="89" t="str">
        <f>Registro!AB373</f>
        <v>a) Ganar mucho dinero</v>
      </c>
      <c r="AF373" s="89" t="str">
        <f>Registro!AC373</f>
        <v>c) Bastante</v>
      </c>
      <c r="AG373" s="89" t="str">
        <f>Registro!AD373</f>
        <v>a) Los deportes y diversiones, h) Las actividades extraescolares</v>
      </c>
      <c r="AH373" s="94">
        <f t="shared" si="28"/>
        <v>2</v>
      </c>
      <c r="AI373" s="89" t="str">
        <f>Registro!AE373</f>
        <v>a) 0 a 2 horas</v>
      </c>
      <c r="AJ373" s="89" t="str">
        <f>Registro!AF373</f>
        <v>k) Practico algún deporte, l) Escucho música y/o veo videos musicales, n) Estoy conversando con los amigos/as</v>
      </c>
      <c r="AK373" s="94">
        <f t="shared" si="29"/>
        <v>3</v>
      </c>
      <c r="AL373" s="89" t="str">
        <f>Registro!AG373</f>
        <v>b) Bueno</v>
      </c>
      <c r="AM373" s="89" t="str">
        <f>Registro!AH373</f>
        <v>e) Muy mala</v>
      </c>
      <c r="AN373" s="89" t="str">
        <f>Registro!AI373</f>
        <v>e) Muy mala</v>
      </c>
      <c r="AO373" s="89" t="str">
        <f>Registro!AJ373</f>
        <v>c) Regular</v>
      </c>
      <c r="AP373" s="89">
        <f>Registro!AK373</f>
        <v>0</v>
      </c>
      <c r="AQ373" s="89" t="str">
        <f>Registro!AL373</f>
        <v>c) Regular</v>
      </c>
      <c r="AR373" s="89" t="str">
        <f>Registro!AM373</f>
        <v>b) Buena</v>
      </c>
      <c r="AS373" s="89" t="str">
        <f>Registro!AN373</f>
        <v>c) Regular</v>
      </c>
      <c r="AT373" s="89" t="str">
        <f>Registro!AO373</f>
        <v>b) Buena</v>
      </c>
      <c r="AU373" s="89" t="str">
        <f>Registro!AP373</f>
        <v>b) Buena</v>
      </c>
      <c r="AV373" s="89" t="str">
        <f>Registro!AQ373</f>
        <v>b) Buena</v>
      </c>
      <c r="AW373" s="89" t="str">
        <f>Registro!AR373</f>
        <v>a) El compañerismo</v>
      </c>
      <c r="AX373" s="89" t="str">
        <f>Registro!AS373</f>
        <v>b) Darme una buena educación</v>
      </c>
      <c r="AY373" s="89" t="str">
        <f>Registro!AT373</f>
        <v>c) Conveniente</v>
      </c>
      <c r="AZ373" s="89" t="str">
        <f>Registro!AU373</f>
        <v>b) Las veces que bebo, es con moderación</v>
      </c>
      <c r="BA373" s="89" t="str">
        <f>Registro!AV373</f>
        <v>c) Profesionales que hacen lo que pueden</v>
      </c>
      <c r="BB373" s="89" t="str">
        <f>Registro!AW373</f>
        <v>b) Poco</v>
      </c>
      <c r="BC373" s="89" t="str">
        <f>Registro!AX373</f>
        <v>c) Son personas normales y corrientes</v>
      </c>
      <c r="BD373" s="89" t="str">
        <f>Registro!AY373</f>
        <v>a) Mi padre, b) Mi madre, c) Un hermano/a, g) Un amigo</v>
      </c>
    </row>
    <row r="374" spans="1:56" ht="15" customHeight="1" x14ac:dyDescent="0.25">
      <c r="A374" s="101" t="str">
        <f>Registro!A374</f>
        <v>6/16/2015 9:21:23</v>
      </c>
      <c r="B374" s="89" t="str">
        <f>Registro!B374</f>
        <v>b) Calasanz de Valencia</v>
      </c>
      <c r="C374" s="89" t="str">
        <f>Registro!C374</f>
        <v>c) Cuarto año</v>
      </c>
      <c r="D374" s="89" t="str">
        <f>Registro!D374</f>
        <v>b) Primaria</v>
      </c>
      <c r="E374" s="89" t="str">
        <f>Registro!E374</f>
        <v>b) Femenino</v>
      </c>
      <c r="F374" s="89" t="str">
        <f>Registro!F374</f>
        <v>b) Evangélica</v>
      </c>
      <c r="G374" s="89" t="str">
        <f>Registro!G374</f>
        <v>a) Mamá, c) Hermanos, d) Abuelos, e) Otros familiares</v>
      </c>
      <c r="H374" s="89" t="str">
        <f>Registro!H374</f>
        <v>c) Apartamento</v>
      </c>
      <c r="I374" s="89" t="str">
        <f>Registro!I374</f>
        <v>d) No sé</v>
      </c>
      <c r="J374" s="89" t="str">
        <f>Registro!J374</f>
        <v>b) Lavadora, c) Microondas, j) Cámara digital</v>
      </c>
      <c r="K374" s="89" t="str">
        <f>Registro!K374</f>
        <v>b) Una</v>
      </c>
      <c r="L374" s="89" t="str">
        <f>Registro!L374</f>
        <v>a) La familia, b) Los amigos, c) Los estudios</v>
      </c>
      <c r="M374" s="94">
        <f t="shared" si="33"/>
        <v>3</v>
      </c>
      <c r="N374" s="89" t="str">
        <f>Registro!M374</f>
        <v>b) El futuro</v>
      </c>
      <c r="O374" s="89" t="str">
        <f>Registro!N374</f>
        <v>a) Mucho</v>
      </c>
      <c r="P374" s="89" t="str">
        <f>Registro!O374</f>
        <v>c) Poco</v>
      </c>
      <c r="Q374" s="89" t="str">
        <f>Registro!P374</f>
        <v>c) Poco</v>
      </c>
      <c r="R374" s="89" t="str">
        <f>Registro!Q374</f>
        <v>a) La familia, c) Los estudios, d) El cuidado de mi cuerpo</v>
      </c>
      <c r="S374" s="94">
        <f t="shared" si="34"/>
        <v>3</v>
      </c>
      <c r="T374" s="89" t="str">
        <f>Registro!R374</f>
        <v>a) Mucho</v>
      </c>
      <c r="U374" s="89" t="str">
        <f>Registro!S374</f>
        <v>h) Algunas personas cercanas a Dios</v>
      </c>
      <c r="V374" s="89" t="str">
        <f>Registro!T374</f>
        <v>a) Suelo rezar por convicción o porque me gusta</v>
      </c>
      <c r="W374" s="89" t="str">
        <f>Registro!U374</f>
        <v>c) Solo en fechas especiales</v>
      </c>
      <c r="X374" s="89" t="str">
        <f>Registro!V374</f>
        <v>d) Suelo orar todos los días, i) Tengo en mi cuarto alguna imagen religiosa</v>
      </c>
      <c r="Y374" s="89" t="str">
        <f>Registro!W374</f>
        <v>d) No pertenezco a ninguno</v>
      </c>
      <c r="Z374" s="89" t="str">
        <f>Registro!X374</f>
        <v>d) No pertenezco a grupos juveniles cristianos</v>
      </c>
      <c r="AA374" s="89" t="str">
        <f>Registro!Y374</f>
        <v>a) Sí</v>
      </c>
      <c r="AB374" s="89" t="str">
        <f>Registro!Z374</f>
        <v>b) No</v>
      </c>
      <c r="AC374" s="89" t="str">
        <f>Registro!AA374</f>
        <v>a) Medicina, g) Artista</v>
      </c>
      <c r="AD374" s="94">
        <f t="shared" si="35"/>
        <v>2</v>
      </c>
      <c r="AE374" s="89" t="str">
        <f>Registro!AB374</f>
        <v>d) Desarrollarme personalmente</v>
      </c>
      <c r="AF374" s="89">
        <f>Registro!AC374</f>
        <v>0</v>
      </c>
      <c r="AG374" s="89" t="str">
        <f>Registro!AD374</f>
        <v>c) Las instalaciones del Colegio, g) La relación con los docentes</v>
      </c>
      <c r="AH374" s="94">
        <f t="shared" si="28"/>
        <v>2</v>
      </c>
      <c r="AI374" s="89" t="str">
        <f>Registro!AE374</f>
        <v>c) 5 a 6 horas</v>
      </c>
      <c r="AJ374" s="89" t="str">
        <f>Registro!AF374</f>
        <v>d) Estoy la mayor parte del tiempo en la casa sin hacer nada, i) Leo revistas o libros</v>
      </c>
      <c r="AK374" s="94">
        <f t="shared" si="29"/>
        <v>2</v>
      </c>
      <c r="AL374" s="89" t="str">
        <f>Registro!AG374</f>
        <v>c) Regular</v>
      </c>
      <c r="AM374" s="89" t="str">
        <f>Registro!AH374</f>
        <v>b) Buena</v>
      </c>
      <c r="AN374" s="89" t="str">
        <f>Registro!AI374</f>
        <v>b) Buena</v>
      </c>
      <c r="AO374" s="89" t="str">
        <f>Registro!AJ374</f>
        <v>c) Regular</v>
      </c>
      <c r="AP374" s="89" t="str">
        <f>Registro!AK374</f>
        <v>c) Regular</v>
      </c>
      <c r="AQ374" s="89" t="str">
        <f>Registro!AL374</f>
        <v>b) Buena</v>
      </c>
      <c r="AR374" s="89" t="str">
        <f>Registro!AM374</f>
        <v>a) Muy buena</v>
      </c>
      <c r="AS374" s="89" t="str">
        <f>Registro!AN374</f>
        <v>c) Regular</v>
      </c>
      <c r="AT374" s="89" t="str">
        <f>Registro!AO374</f>
        <v>b) Buena</v>
      </c>
      <c r="AU374" s="89" t="str">
        <f>Registro!AP374</f>
        <v>b) Buena</v>
      </c>
      <c r="AV374" s="89" t="str">
        <f>Registro!AQ374</f>
        <v>c) Regular</v>
      </c>
      <c r="AW374" s="89" t="str">
        <f>Registro!AR374</f>
        <v>e) La disciplina y el orden</v>
      </c>
      <c r="AX374" s="89" t="str">
        <f>Registro!AS374</f>
        <v>h) No sé</v>
      </c>
      <c r="AY374" s="89" t="str">
        <f>Registro!AT374</f>
        <v>c) Conveniente</v>
      </c>
      <c r="AZ374" s="89" t="str">
        <f>Registro!AU374</f>
        <v>b) Las veces que bebo, es con moderación</v>
      </c>
      <c r="BA374" s="89" t="str">
        <f>Registro!AV374</f>
        <v>a) Personas a las que tengo que aguantar</v>
      </c>
      <c r="BB374" s="89" t="str">
        <f>Registro!AW374</f>
        <v>b) Poco</v>
      </c>
      <c r="BC374" s="89" t="str">
        <f>Registro!AX374</f>
        <v>c) Son personas normales y corrientes</v>
      </c>
      <c r="BD374" s="89" t="str">
        <f>Registro!AY374</f>
        <v>b) Mi madre, e) Un, una docente, f) La orientadora, g) Un amigo, h) Una amiga</v>
      </c>
    </row>
    <row r="375" spans="1:56" ht="15" customHeight="1" x14ac:dyDescent="0.25">
      <c r="A375" s="101" t="str">
        <f>Registro!A375</f>
        <v>6/16/2015 9:22:19</v>
      </c>
      <c r="B375" s="89" t="str">
        <f>Registro!B375</f>
        <v>b) Calasanz de Valencia</v>
      </c>
      <c r="C375" s="89" t="str">
        <f>Registro!C375</f>
        <v>c) Cuarto año</v>
      </c>
      <c r="D375" s="89" t="str">
        <f>Registro!D375</f>
        <v>a) Educación Inicial</v>
      </c>
      <c r="E375" s="89" t="str">
        <f>Registro!E375</f>
        <v>a) Masculino</v>
      </c>
      <c r="F375" s="89" t="str">
        <f>Registro!F375</f>
        <v>a) Católica</v>
      </c>
      <c r="G375" s="89" t="str">
        <f>Registro!G375</f>
        <v>a) Mamá, b) Papá, c) Hermanos, d) Abuelos, e) Otros familiares</v>
      </c>
      <c r="H375" s="89" t="str">
        <f>Registro!H375</f>
        <v>c) Apartamento</v>
      </c>
      <c r="I375" s="89" t="str">
        <f>Registro!I375</f>
        <v>a) Sí</v>
      </c>
      <c r="J375" s="89" t="str">
        <f>Registro!J375</f>
        <v>a) Cónsola videojuegos, c) Microondas, i) Computadora</v>
      </c>
      <c r="K375" s="89" t="str">
        <f>Registro!K375</f>
        <v>a) Ninguna</v>
      </c>
      <c r="L375" s="89" t="str">
        <f>Registro!L375</f>
        <v>a) La familia, b) Los amigos, j) El deporte</v>
      </c>
      <c r="M375" s="94">
        <f t="shared" si="33"/>
        <v>3</v>
      </c>
      <c r="N375" s="89" t="str">
        <f>Registro!M375</f>
        <v>h) Los amigos</v>
      </c>
      <c r="O375" s="89" t="str">
        <f>Registro!N375</f>
        <v>c) Poco</v>
      </c>
      <c r="P375" s="89" t="str">
        <f>Registro!O375</f>
        <v>b) Suficiente</v>
      </c>
      <c r="Q375" s="89" t="str">
        <f>Registro!P375</f>
        <v>b) Suficiente</v>
      </c>
      <c r="R375" s="89" t="str">
        <f>Registro!Q375</f>
        <v>a) La familia, b) Los amigos, c) Los estudios</v>
      </c>
      <c r="S375" s="94">
        <f t="shared" si="34"/>
        <v>3</v>
      </c>
      <c r="T375" s="89" t="str">
        <f>Registro!R375</f>
        <v>a) Mucho</v>
      </c>
      <c r="U375" s="89" t="str">
        <f>Registro!S375</f>
        <v>a) La Iglesia, b) La naturaleza, d) Las convivencias, e) Los amigos, g) Mi familia, i) Los necesitados, k) La oración, l) Los sacramentos</v>
      </c>
      <c r="V375" s="89" t="str">
        <f>Registro!T375</f>
        <v>b) Rezo por costumbre</v>
      </c>
      <c r="W375" s="89" t="str">
        <f>Registro!U375</f>
        <v>a) Todos los domingos</v>
      </c>
      <c r="X375" s="89" t="str">
        <f>Registro!V375</f>
        <v>a) Suelo llevar una cruz o algún objeto religioso, c) Suelo ir los domingos y otras fechas especiales a la Iglesia, e) Voy a misa en las fechas de mis familiares difuntos, f) En alguna ocasión he rezado el rosario, i) Tengo en mi cuarto alguna imagen religiosa</v>
      </c>
      <c r="Y375" s="89" t="str">
        <f>Registro!W375</f>
        <v xml:space="preserve">a) Deportivo, b) Cultural (folklórico, musicales, danzas, scout, banda marcial,...) </v>
      </c>
      <c r="Z375" s="89" t="str">
        <f>Registro!X375</f>
        <v>b) Un lugar donde comparto con mis compañeros</v>
      </c>
      <c r="AA375" s="89" t="str">
        <f>Registro!Y375</f>
        <v>b) No</v>
      </c>
      <c r="AB375" s="89" t="str">
        <f>Registro!Z375</f>
        <v>b) No</v>
      </c>
      <c r="AC375" s="89" t="str">
        <f>Registro!AA375</f>
        <v>e) Derecho, h) Ciencias políticas</v>
      </c>
      <c r="AD375" s="94">
        <f t="shared" si="35"/>
        <v>2</v>
      </c>
      <c r="AE375" s="89" t="str">
        <f>Registro!AB375</f>
        <v>e) Servir a los demás</v>
      </c>
      <c r="AF375" s="89" t="str">
        <f>Registro!AC375</f>
        <v>a) No, en absoluto</v>
      </c>
      <c r="AG375" s="89" t="str">
        <f>Registro!AD375</f>
        <v>a) Los deportes y diversiones, h) Las actividades extraescolares</v>
      </c>
      <c r="AH375" s="94">
        <f t="shared" si="28"/>
        <v>2</v>
      </c>
      <c r="AI375" s="89" t="str">
        <f>Registro!AE375</f>
        <v>c) 5 a 6 horas</v>
      </c>
      <c r="AJ375" s="89" t="str">
        <f>Registro!AF375</f>
        <v>g) Suelo ir a discotecas o a fiestas, k) Practico algún deporte, n) Estoy conversando con los amigos/as</v>
      </c>
      <c r="AK375" s="94">
        <f t="shared" si="29"/>
        <v>3</v>
      </c>
      <c r="AL375" s="89" t="str">
        <f>Registro!AG375</f>
        <v>c) Regular</v>
      </c>
      <c r="AM375" s="89" t="str">
        <f>Registro!AH375</f>
        <v>e) Muy mala</v>
      </c>
      <c r="AN375" s="89" t="str">
        <f>Registro!AI375</f>
        <v>d) Mala</v>
      </c>
      <c r="AO375" s="89" t="str">
        <f>Registro!AJ375</f>
        <v>b) Buena</v>
      </c>
      <c r="AP375" s="89" t="str">
        <f>Registro!AK375</f>
        <v>e) Muy mala</v>
      </c>
      <c r="AQ375" s="89" t="str">
        <f>Registro!AL375</f>
        <v>c) Regular</v>
      </c>
      <c r="AR375" s="89" t="str">
        <f>Registro!AM375</f>
        <v>d) Mala</v>
      </c>
      <c r="AS375" s="89" t="str">
        <f>Registro!AN375</f>
        <v>b) Buena</v>
      </c>
      <c r="AT375" s="89" t="str">
        <f>Registro!AO375</f>
        <v>a) Muy buena</v>
      </c>
      <c r="AU375" s="89" t="str">
        <f>Registro!AP375</f>
        <v>a) Muy buena</v>
      </c>
      <c r="AV375" s="89" t="str">
        <f>Registro!AQ375</f>
        <v>a) Muy buena</v>
      </c>
      <c r="AW375" s="89" t="str">
        <f>Registro!AR375</f>
        <v>g) La orientación profesional futura</v>
      </c>
      <c r="AX375" s="89" t="str">
        <f>Registro!AS375</f>
        <v>a) Que sea un buen profesional</v>
      </c>
      <c r="AY375" s="89" t="str">
        <f>Registro!AT375</f>
        <v>b) Indiferente</v>
      </c>
      <c r="AZ375" s="89" t="str">
        <f>Registro!AU375</f>
        <v>b) Las veces que bebo, es con moderación</v>
      </c>
      <c r="BA375" s="89" t="str">
        <f>Registro!AV375</f>
        <v>f) Educadores que, además, me han abierto caminos</v>
      </c>
      <c r="BB375" s="89" t="str">
        <f>Registro!AW375</f>
        <v>c) Bastante</v>
      </c>
      <c r="BC375" s="89" t="str">
        <f>Registro!AX375</f>
        <v>d) Hay de todo tipo, pero predomina lo positivo</v>
      </c>
      <c r="BD375" s="89" t="str">
        <f>Registro!AY375</f>
        <v>a) Mi padre, b) Mi madre, c) Un hermano/a, g) Un amigo, h) Una amiga</v>
      </c>
    </row>
    <row r="376" spans="1:56" ht="15" customHeight="1" x14ac:dyDescent="0.25">
      <c r="A376" s="101" t="str">
        <f>Registro!A376</f>
        <v>6/16/2015 9:22:35</v>
      </c>
      <c r="B376" s="89" t="str">
        <f>Registro!B376</f>
        <v>b) Calasanz de Valencia</v>
      </c>
      <c r="C376" s="89" t="str">
        <f>Registro!C376</f>
        <v>c) Cuarto año</v>
      </c>
      <c r="D376" s="89" t="str">
        <f>Registro!D376</f>
        <v>b) Primaria</v>
      </c>
      <c r="E376" s="89" t="str">
        <f>Registro!E376</f>
        <v>a) Masculino</v>
      </c>
      <c r="F376" s="89" t="str">
        <f>Registro!F376</f>
        <v>a) Católica</v>
      </c>
      <c r="G376" s="89" t="str">
        <f>Registro!G376</f>
        <v>b) Papá, e) Otros familiares</v>
      </c>
      <c r="H376" s="89" t="str">
        <f>Registro!H376</f>
        <v>a) Quinta</v>
      </c>
      <c r="I376" s="89" t="str">
        <f>Registro!I376</f>
        <v>c) Algo</v>
      </c>
      <c r="J376" s="89" t="str">
        <f>Registro!J376</f>
        <v>a) Cónsola videojuegos, b) Lavadora, c) Microondas, d) TV pantalla plana, e) Moto, h) Carro, i) Computadora, j) Cámara digital, k) Aire acondicionado</v>
      </c>
      <c r="K376" s="89" t="str">
        <f>Registro!K376</f>
        <v>f) Más de cuatro</v>
      </c>
      <c r="L376" s="89" t="str">
        <f>Registro!L376</f>
        <v>c) Los estudios, d) El cuidado de mi cuerpo, f) Mi fe y vida cristiana</v>
      </c>
      <c r="M376" s="94">
        <f t="shared" si="33"/>
        <v>3</v>
      </c>
      <c r="N376" s="89" t="str">
        <f>Registro!M376</f>
        <v>d) Los problemas familiares</v>
      </c>
      <c r="O376" s="89" t="str">
        <f>Registro!N376</f>
        <v>c) Poco</v>
      </c>
      <c r="P376" s="89" t="str">
        <f>Registro!O376</f>
        <v>b) Suficiente</v>
      </c>
      <c r="Q376" s="89" t="str">
        <f>Registro!P376</f>
        <v>a) Mucho</v>
      </c>
      <c r="R376" s="89" t="str">
        <f>Registro!Q376</f>
        <v>c) Los estudios, e) Disponer de dinero, h) La sexualidad</v>
      </c>
      <c r="S376" s="94">
        <f t="shared" si="34"/>
        <v>3</v>
      </c>
      <c r="T376" s="89" t="str">
        <f>Registro!R376</f>
        <v>a) Mucho</v>
      </c>
      <c r="U376" s="89" t="str">
        <f>Registro!S376</f>
        <v>f) Todas las personas, j) Todas partes, k) La oración</v>
      </c>
      <c r="V376" s="89" t="str">
        <f>Registro!T376</f>
        <v>a) Suelo rezar por convicción o porque me gusta</v>
      </c>
      <c r="W376" s="89" t="str">
        <f>Registro!U376</f>
        <v>a) Todos los domingos</v>
      </c>
      <c r="X376" s="89" t="str">
        <f>Registro!V376</f>
        <v>a) Suelo llevar una cruz o algún objeto religioso, c) Suelo ir los domingos y otras fechas especiales a la Iglesia, d) Suelo orar todos los días, e) Voy a misa en las fechas de mis familiares difuntos, f) En alguna ocasión he rezado el rosario, h) En Semana Santa asisto a las procesiones, i) Tengo en mi cuarto alguna imagen religiosa</v>
      </c>
      <c r="Y376" s="89" t="str">
        <f>Registro!W376</f>
        <v>d) No pertenezco a ninguno</v>
      </c>
      <c r="Z376" s="89">
        <f>Registro!X376</f>
        <v>0</v>
      </c>
      <c r="AA376" s="89" t="str">
        <f>Registro!Y376</f>
        <v>b) No</v>
      </c>
      <c r="AB376" s="89" t="str">
        <f>Registro!Z376</f>
        <v>b) No</v>
      </c>
      <c r="AC376" s="89" t="str">
        <f>Registro!AA376</f>
        <v>a) Medicina, d) Ingeniería</v>
      </c>
      <c r="AD376" s="94">
        <f t="shared" si="35"/>
        <v>2</v>
      </c>
      <c r="AE376" s="89" t="str">
        <f>Registro!AB376</f>
        <v>b) Tener una buena posición social, ser importante</v>
      </c>
      <c r="AF376" s="89" t="str">
        <f>Registro!AC376</f>
        <v>b) Poco</v>
      </c>
      <c r="AG376" s="89" t="str">
        <f>Registro!AD376</f>
        <v>h) Las actividades extraescolares, i) No me gusta nada</v>
      </c>
      <c r="AH376" s="94">
        <f t="shared" si="28"/>
        <v>2</v>
      </c>
      <c r="AI376" s="89" t="str">
        <f>Registro!AE376</f>
        <v>f) 11 o más horas</v>
      </c>
      <c r="AJ376" s="89" t="str">
        <f>Registro!AF376</f>
        <v>d) Estoy la mayor parte del tiempo en la casa sin hacer nada, f) Toco un instrumento musical</v>
      </c>
      <c r="AK376" s="94">
        <f t="shared" si="29"/>
        <v>2</v>
      </c>
      <c r="AL376" s="89" t="str">
        <f>Registro!AG376</f>
        <v>c) Regular</v>
      </c>
      <c r="AM376" s="89" t="str">
        <f>Registro!AH376</f>
        <v>e) Muy mala</v>
      </c>
      <c r="AN376" s="89" t="str">
        <f>Registro!AI376</f>
        <v>b) Buena</v>
      </c>
      <c r="AO376" s="89" t="str">
        <f>Registro!AJ376</f>
        <v>c) Regular</v>
      </c>
      <c r="AP376" s="89" t="str">
        <f>Registro!AK376</f>
        <v>e) Muy mala</v>
      </c>
      <c r="AQ376" s="89" t="str">
        <f>Registro!AL376</f>
        <v>b) Buena</v>
      </c>
      <c r="AR376" s="89" t="str">
        <f>Registro!AM376</f>
        <v>c) Regular</v>
      </c>
      <c r="AS376" s="89" t="str">
        <f>Registro!AN376</f>
        <v>b) Buena</v>
      </c>
      <c r="AT376" s="89" t="str">
        <f>Registro!AO376</f>
        <v>b) Buena</v>
      </c>
      <c r="AU376" s="89" t="str">
        <f>Registro!AP376</f>
        <v>a) Muy buena</v>
      </c>
      <c r="AV376" s="89" t="str">
        <f>Registro!AQ376</f>
        <v>c) Regular</v>
      </c>
      <c r="AW376" s="89" t="str">
        <f>Registro!AR376</f>
        <v>g) La orientación profesional futura</v>
      </c>
      <c r="AX376" s="89" t="str">
        <f>Registro!AS376</f>
        <v>a) Que sea un buen profesional</v>
      </c>
      <c r="AY376" s="89" t="str">
        <f>Registro!AT376</f>
        <v>e) Absolutamente necesaria</v>
      </c>
      <c r="AZ376" s="89" t="str">
        <f>Registro!AU376</f>
        <v>b) Las veces que bebo, es con moderación</v>
      </c>
      <c r="BA376" s="89" t="str">
        <f>Registro!AV376</f>
        <v>b) Profesionales que no se preocupan de nosotros</v>
      </c>
      <c r="BB376" s="89" t="str">
        <f>Registro!AW376</f>
        <v>e) No sé</v>
      </c>
      <c r="BC376" s="89" t="str">
        <f>Registro!AX376</f>
        <v>d) Hay de todo tipo, pero predomina lo positivo</v>
      </c>
      <c r="BD376" s="89" t="str">
        <f>Registro!AY376</f>
        <v>b) Mi madre, e) Un, una docente, j) Nadie</v>
      </c>
    </row>
    <row r="377" spans="1:56" ht="15" customHeight="1" x14ac:dyDescent="0.25">
      <c r="A377" s="101" t="str">
        <f>Registro!A377</f>
        <v>6/16/2015 9:22:40</v>
      </c>
      <c r="B377" s="89" t="str">
        <f>Registro!B377</f>
        <v>b) Calasanz de Valencia</v>
      </c>
      <c r="C377" s="89" t="str">
        <f>Registro!C377</f>
        <v>c) Cuarto año</v>
      </c>
      <c r="D377" s="89" t="str">
        <f>Registro!D377</f>
        <v>d) En Cuarto año o posterior</v>
      </c>
      <c r="E377" s="89" t="str">
        <f>Registro!E377</f>
        <v>a) Masculino</v>
      </c>
      <c r="F377" s="89" t="str">
        <f>Registro!F377</f>
        <v>a) Católica</v>
      </c>
      <c r="G377" s="89" t="str">
        <f>Registro!G377</f>
        <v>a) Mamá, b) Papá</v>
      </c>
      <c r="H377" s="89" t="str">
        <f>Registro!H377</f>
        <v>e) Rancho</v>
      </c>
      <c r="I377" s="89" t="str">
        <f>Registro!I377</f>
        <v>c) Algo</v>
      </c>
      <c r="J377" s="89" t="str">
        <f>Registro!J377</f>
        <v>f) MP3</v>
      </c>
      <c r="K377" s="89" t="str">
        <f>Registro!K377</f>
        <v>c) Dos</v>
      </c>
      <c r="L377" s="89" t="str">
        <f>Registro!L377</f>
        <v>b) Los amigos, e) Disponer de dinero, h) La sexualidad</v>
      </c>
      <c r="M377" s="94">
        <f t="shared" si="33"/>
        <v>3</v>
      </c>
      <c r="N377" s="89" t="str">
        <f>Registro!M377</f>
        <v>e) La situación económica</v>
      </c>
      <c r="O377" s="89" t="str">
        <f>Registro!N377</f>
        <v>a) Mucho</v>
      </c>
      <c r="P377" s="89" t="str">
        <f>Registro!O377</f>
        <v>c) Poco</v>
      </c>
      <c r="Q377" s="89" t="str">
        <f>Registro!P377</f>
        <v>b) Suficiente</v>
      </c>
      <c r="R377" s="89" t="str">
        <f>Registro!Q377</f>
        <v>c) Los estudios, e) Disponer de dinero, f) Mi fe y mi vida cristiana</v>
      </c>
      <c r="S377" s="94">
        <f t="shared" si="34"/>
        <v>3</v>
      </c>
      <c r="T377" s="89" t="str">
        <f>Registro!R377</f>
        <v>b) Suficiente</v>
      </c>
      <c r="U377" s="89" t="str">
        <f>Registro!S377</f>
        <v>a) La Iglesia, d) Las convivencias, e) Los amigos</v>
      </c>
      <c r="V377" s="89" t="str">
        <f>Registro!T377</f>
        <v>c) Rezo solo en situación de dificultad</v>
      </c>
      <c r="W377" s="89" t="str">
        <f>Registro!U377</f>
        <v>b) Algunos domingos</v>
      </c>
      <c r="X377" s="89" t="str">
        <f>Registro!V377</f>
        <v>g) En ocasiones, en mi casa tenemos una oración familiar</v>
      </c>
      <c r="Y377" s="89" t="str">
        <f>Registro!W377</f>
        <v>c) Religioso o parroquial</v>
      </c>
      <c r="Z377" s="89" t="str">
        <f>Registro!X377</f>
        <v>a) Un grupo donde profundizo mi fe</v>
      </c>
      <c r="AA377" s="89" t="str">
        <f>Registro!Y377</f>
        <v>b) No</v>
      </c>
      <c r="AB377" s="89" t="str">
        <f>Registro!Z377</f>
        <v>b) No</v>
      </c>
      <c r="AC377" s="89" t="str">
        <f>Registro!AA377</f>
        <v>i) Comerciante, j) Trabajador calificado</v>
      </c>
      <c r="AD377" s="94">
        <f t="shared" si="35"/>
        <v>2</v>
      </c>
      <c r="AE377" s="89" t="str">
        <f>Registro!AB377</f>
        <v>c) Ser un excelente profesional</v>
      </c>
      <c r="AF377" s="89" t="str">
        <f>Registro!AC377</f>
        <v>b) Poco</v>
      </c>
      <c r="AG377" s="89" t="str">
        <f>Registro!AD377</f>
        <v>h) Las actividades extraescolares</v>
      </c>
      <c r="AH377" s="94">
        <f t="shared" si="28"/>
        <v>1</v>
      </c>
      <c r="AI377" s="89" t="str">
        <f>Registro!AE377</f>
        <v>a) 0 a 2 horas</v>
      </c>
      <c r="AJ377" s="89" t="str">
        <f>Registro!AF377</f>
        <v>b) Navego en Internet, d) Estoy la mayor parte del tiempo en la casa sin hacer nada, m) Veo televisión y/o películas</v>
      </c>
      <c r="AK377" s="94">
        <f t="shared" si="29"/>
        <v>3</v>
      </c>
      <c r="AL377" s="89" t="str">
        <f>Registro!AG377</f>
        <v>c) Regular</v>
      </c>
      <c r="AM377" s="89" t="str">
        <f>Registro!AH377</f>
        <v>c) Regular</v>
      </c>
      <c r="AN377" s="89" t="str">
        <f>Registro!AI377</f>
        <v>f) No aplica</v>
      </c>
      <c r="AO377" s="89" t="str">
        <f>Registro!AJ377</f>
        <v>e) Muy mala</v>
      </c>
      <c r="AP377" s="89" t="str">
        <f>Registro!AK377</f>
        <v>c) Regular</v>
      </c>
      <c r="AQ377" s="89" t="str">
        <f>Registro!AL377</f>
        <v>c) Regular</v>
      </c>
      <c r="AR377" s="89" t="str">
        <f>Registro!AM377</f>
        <v>b) Buena</v>
      </c>
      <c r="AS377" s="89" t="str">
        <f>Registro!AN377</f>
        <v>a) Muy buena</v>
      </c>
      <c r="AT377" s="89" t="str">
        <f>Registro!AO377</f>
        <v>b) Buena</v>
      </c>
      <c r="AU377" s="89" t="str">
        <f>Registro!AP377</f>
        <v>b) Buena</v>
      </c>
      <c r="AV377" s="89" t="str">
        <f>Registro!AQ377</f>
        <v>c) Regular</v>
      </c>
      <c r="AW377" s="89" t="str">
        <f>Registro!AR377</f>
        <v>b) La orientación cristiana</v>
      </c>
      <c r="AX377" s="89" t="str">
        <f>Registro!AS377</f>
        <v>e) Que sea cristiano responsable</v>
      </c>
      <c r="AY377" s="89" t="str">
        <f>Registro!AT377</f>
        <v>e) Absolutamente necesaria</v>
      </c>
      <c r="AZ377" s="89" t="str">
        <f>Registro!AU377</f>
        <v>b) Las veces que bebo, es con moderación</v>
      </c>
      <c r="BA377" s="89" t="str">
        <f>Registro!AV377</f>
        <v>a) Personas a las que tengo que aguantar</v>
      </c>
      <c r="BB377" s="89" t="str">
        <f>Registro!AW377</f>
        <v>b) Poco</v>
      </c>
      <c r="BC377" s="89" t="str">
        <f>Registro!AX377</f>
        <v>e) Son personas que me gustan y admiro</v>
      </c>
      <c r="BD377" s="89" t="str">
        <f>Registro!AY377</f>
        <v>a) Mi padre, b) Mi madre, c) Un hermano/a</v>
      </c>
    </row>
    <row r="378" spans="1:56" ht="15" customHeight="1" x14ac:dyDescent="0.25">
      <c r="A378" s="101" t="str">
        <f>Registro!A378</f>
        <v>6/16/2015 9:22:58</v>
      </c>
      <c r="B378" s="89" t="str">
        <f>Registro!B378</f>
        <v>b) Calasanz de Valencia</v>
      </c>
      <c r="C378" s="89" t="str">
        <f>Registro!C378</f>
        <v>c) Cuarto año</v>
      </c>
      <c r="D378" s="89" t="str">
        <f>Registro!D378</f>
        <v>a) Educación Inicial</v>
      </c>
      <c r="E378" s="89" t="str">
        <f>Registro!E378</f>
        <v>b) Femenino</v>
      </c>
      <c r="F378" s="89" t="str">
        <f>Registro!F378</f>
        <v>a) Católica</v>
      </c>
      <c r="G378" s="89" t="str">
        <f>Registro!G378</f>
        <v>a) Mamá, b) Papá, c) Hermanos, e) Otros familiares</v>
      </c>
      <c r="H378" s="89" t="str">
        <f>Registro!H378</f>
        <v>b) Casa Urbana</v>
      </c>
      <c r="I378" s="89" t="str">
        <f>Registro!I378</f>
        <v>a) Sí</v>
      </c>
      <c r="J378" s="89" t="str">
        <f>Registro!J378</f>
        <v>a) Cónsola videojuegos, b) Lavadora, c) Microondas, d) TV pantalla plana, e) Moto, g) MP4, h) Carro, i) Computadora, j) Cámara digital, k) Aire acondicionado</v>
      </c>
      <c r="K378" s="89" t="str">
        <f>Registro!K378</f>
        <v>e) Cuatro</v>
      </c>
      <c r="L378" s="89" t="str">
        <f>Registro!L378</f>
        <v>a) La familia, c) Los estudios, g) La felicidad</v>
      </c>
      <c r="M378" s="94">
        <f t="shared" si="33"/>
        <v>3</v>
      </c>
      <c r="N378" s="89" t="str">
        <f>Registro!M378</f>
        <v>g) Mis estudios</v>
      </c>
      <c r="O378" s="89" t="str">
        <f>Registro!N378</f>
        <v>a) Mucho</v>
      </c>
      <c r="P378" s="89" t="str">
        <f>Registro!O378</f>
        <v>c) Poco</v>
      </c>
      <c r="Q378" s="89" t="str">
        <f>Registro!P378</f>
        <v>b) Suficiente</v>
      </c>
      <c r="R378" s="89" t="str">
        <f>Registro!Q378</f>
        <v>a) La familia, c) Los estudios, d) El cuidado de mi cuerpo</v>
      </c>
      <c r="S378" s="94">
        <f t="shared" si="34"/>
        <v>3</v>
      </c>
      <c r="T378" s="89" t="str">
        <f>Registro!R378</f>
        <v>a) Mucho</v>
      </c>
      <c r="U378" s="89" t="str">
        <f>Registro!S378</f>
        <v>a) La Iglesia, b) La naturaleza, d) Las convivencias, g) Mi familia, h) Algunas personas cercanas a Dios, k) La oración, l) Los sacramentos</v>
      </c>
      <c r="V378" s="89" t="str">
        <f>Registro!T378</f>
        <v>c) Rezo solo en situación de dificultad</v>
      </c>
      <c r="W378" s="89" t="str">
        <f>Registro!U378</f>
        <v>b) Algunos domingos</v>
      </c>
      <c r="X378" s="89" t="str">
        <f>Registro!V378</f>
        <v>e) Voy a misa en las fechas de mis familiares difuntos, f) En alguna ocasión he rezado el rosario, i) Tengo en mi cuarto alguna imagen religiosa</v>
      </c>
      <c r="Y378" s="89" t="str">
        <f>Registro!W378</f>
        <v>a) Deportivo</v>
      </c>
      <c r="Z378" s="89" t="str">
        <f>Registro!X378</f>
        <v>a) Un grupo donde profundizo mi fe</v>
      </c>
      <c r="AA378" s="89" t="str">
        <f>Registro!Y378</f>
        <v>b) No</v>
      </c>
      <c r="AB378" s="89" t="str">
        <f>Registro!Z378</f>
        <v>b) No</v>
      </c>
      <c r="AC378" s="89" t="str">
        <f>Registro!AA378</f>
        <v>a) Medicina, b) Docencia</v>
      </c>
      <c r="AD378" s="94">
        <f t="shared" si="35"/>
        <v>2</v>
      </c>
      <c r="AE378" s="89" t="str">
        <f>Registro!AB378</f>
        <v>c) Ser un excelente profesional</v>
      </c>
      <c r="AF378" s="89" t="str">
        <f>Registro!AC378</f>
        <v>b) Poco</v>
      </c>
      <c r="AG378" s="89" t="str">
        <f>Registro!AD378</f>
        <v>b) El ambiente de estudio y de trabajo, g) La relación con los docentes</v>
      </c>
      <c r="AH378" s="94">
        <f t="shared" si="28"/>
        <v>2</v>
      </c>
      <c r="AI378" s="89" t="str">
        <f>Registro!AE378</f>
        <v>d) 7 a 8 horas</v>
      </c>
      <c r="AJ378" s="89" t="str">
        <f>Registro!AF378</f>
        <v>h) Suelo ir al cine, k) Practico algún deporte, n) Estoy conversando con los amigos/as</v>
      </c>
      <c r="AK378" s="94">
        <f t="shared" si="29"/>
        <v>3</v>
      </c>
      <c r="AL378" s="89" t="str">
        <f>Registro!AG378</f>
        <v>b) Bueno</v>
      </c>
      <c r="AM378" s="89" t="str">
        <f>Registro!AH378</f>
        <v>c) Regular</v>
      </c>
      <c r="AN378" s="89" t="str">
        <f>Registro!AI378</f>
        <v>c) Regular</v>
      </c>
      <c r="AO378" s="89" t="str">
        <f>Registro!AJ378</f>
        <v>b) Buena</v>
      </c>
      <c r="AP378" s="89" t="str">
        <f>Registro!AK378</f>
        <v>c) Regular</v>
      </c>
      <c r="AQ378" s="89" t="str">
        <f>Registro!AL378</f>
        <v>b) Buena</v>
      </c>
      <c r="AR378" s="89" t="str">
        <f>Registro!AM378</f>
        <v>b) Buena</v>
      </c>
      <c r="AS378" s="89" t="str">
        <f>Registro!AN378</f>
        <v>c) Regular</v>
      </c>
      <c r="AT378" s="89" t="str">
        <f>Registro!AO378</f>
        <v>b) Buena</v>
      </c>
      <c r="AU378" s="89" t="str">
        <f>Registro!AP378</f>
        <v>b) Buena</v>
      </c>
      <c r="AV378" s="89" t="str">
        <f>Registro!AQ378</f>
        <v>b) Buena</v>
      </c>
      <c r="AW378" s="89" t="str">
        <f>Registro!AR378</f>
        <v>a) El compañerismo</v>
      </c>
      <c r="AX378" s="89" t="str">
        <f>Registro!AS378</f>
        <v>b) Darme una buena educación</v>
      </c>
      <c r="AY378" s="89" t="str">
        <f>Registro!AT378</f>
        <v>c) Conveniente</v>
      </c>
      <c r="AZ378" s="89" t="str">
        <f>Registro!AU378</f>
        <v>b) Las veces que bebo, es con moderación</v>
      </c>
      <c r="BA378" s="89" t="str">
        <f>Registro!AV378</f>
        <v>e) Educadores que se preocupan de nosotros</v>
      </c>
      <c r="BB378" s="89" t="str">
        <f>Registro!AW378</f>
        <v>c) Bastante</v>
      </c>
      <c r="BC378" s="89" t="str">
        <f>Registro!AX378</f>
        <v>c) Son personas normales y corrientes</v>
      </c>
      <c r="BD378" s="89" t="str">
        <f>Registro!AY378</f>
        <v>a) Mi padre, b) Mi madre, c) Un hermano/a, e) Un, una docente, g) Un amigo, h) Una amiga</v>
      </c>
    </row>
    <row r="379" spans="1:56" ht="15" customHeight="1" x14ac:dyDescent="0.25">
      <c r="A379" s="101" t="str">
        <f>Registro!A379</f>
        <v>6/16/2015 9:23:08</v>
      </c>
      <c r="B379" s="89" t="str">
        <f>Registro!B379</f>
        <v>b) Calasanz de Valencia</v>
      </c>
      <c r="C379" s="89" t="str">
        <f>Registro!C379</f>
        <v>c) Cuarto año</v>
      </c>
      <c r="D379" s="89" t="str">
        <f>Registro!D379</f>
        <v>a) Educación Inicial</v>
      </c>
      <c r="E379" s="89" t="str">
        <f>Registro!E379</f>
        <v>a) Masculino</v>
      </c>
      <c r="F379" s="89" t="str">
        <f>Registro!F379</f>
        <v>c) Musulmana</v>
      </c>
      <c r="G379" s="89" t="str">
        <f>Registro!G379</f>
        <v>a) Mamá, b) Papá, c) Hermanos, d) Abuelos, e) Otros familiares</v>
      </c>
      <c r="H379" s="89" t="str">
        <f>Registro!H379</f>
        <v>e) Rancho</v>
      </c>
      <c r="I379" s="89" t="str">
        <f>Registro!I379</f>
        <v>b) No</v>
      </c>
      <c r="J379" s="89" t="str">
        <f>Registro!J379</f>
        <v>a) Cónsola videojuegos, e) Moto, k) Aire acondicionado</v>
      </c>
      <c r="K379" s="89" t="str">
        <f>Registro!K379</f>
        <v>a) Ninguna</v>
      </c>
      <c r="L379" s="89" t="str">
        <f>Registro!L379</f>
        <v>b) Los amigos, e) Disponer de dinero, h) La sexualidad</v>
      </c>
      <c r="M379" s="94">
        <f t="shared" si="33"/>
        <v>3</v>
      </c>
      <c r="N379" s="89" t="str">
        <f>Registro!M379</f>
        <v>c) Yo mismo</v>
      </c>
      <c r="O379" s="89" t="str">
        <f>Registro!N379</f>
        <v>b) Suficiente</v>
      </c>
      <c r="P379" s="89" t="str">
        <f>Registro!O379</f>
        <v>b) Suficiente</v>
      </c>
      <c r="Q379" s="89" t="str">
        <f>Registro!P379</f>
        <v>d) Nada</v>
      </c>
      <c r="R379" s="89"/>
      <c r="S379" s="94">
        <f t="shared" si="34"/>
        <v>0</v>
      </c>
      <c r="T379" s="89" t="str">
        <f>Registro!R379</f>
        <v>a) Mucho</v>
      </c>
      <c r="U379" s="89" t="str">
        <f>Registro!S379</f>
        <v>a) La Iglesia, b) La naturaleza, c) El salón de clase, d) Las convivencias, e) Los amigos, f) Todas las personas, g) Mi familia, h) Algunas personas cercanas a Dios, j) Todas partes, k) La oración, l) Los sacramentos</v>
      </c>
      <c r="V379" s="89" t="str">
        <f>Registro!T379</f>
        <v>a) Suelo rezar por convicción o porque me gusta</v>
      </c>
      <c r="W379" s="89" t="str">
        <f>Registro!U379</f>
        <v>b) Algunos domingos</v>
      </c>
      <c r="X379" s="89" t="str">
        <f>Registro!V379</f>
        <v>a) Suelo llevar una cruz o algún objeto religioso, c) Suelo ir los domingos y otras fechas especiales a la Iglesia, f) En alguna ocasión he rezado el rosario, g) En ocasiones, en mi casa tenemos una oración familiar, h) En Semana Santa asisto a las procesiones, i) Tengo en mi cuarto alguna imagen religiosa</v>
      </c>
      <c r="Y379" s="89" t="str">
        <f>Registro!W379</f>
        <v>d) No pertenezco a ninguno</v>
      </c>
      <c r="Z379" s="89" t="str">
        <f>Registro!X379</f>
        <v>d) No pertenezco a grupos juveniles cristianos</v>
      </c>
      <c r="AA379" s="89" t="str">
        <f>Registro!Y379</f>
        <v>b) No</v>
      </c>
      <c r="AB379" s="89" t="str">
        <f>Registro!Z379</f>
        <v>b) No</v>
      </c>
      <c r="AC379" s="89" t="str">
        <f>Registro!AA379</f>
        <v>b) Docencia, h) Ciencias políticas</v>
      </c>
      <c r="AD379" s="94">
        <f t="shared" si="35"/>
        <v>2</v>
      </c>
      <c r="AE379" s="89" t="str">
        <f>Registro!AB379</f>
        <v>b) Tener una buena posición social, ser importante</v>
      </c>
      <c r="AF379" s="89" t="str">
        <f>Registro!AC379</f>
        <v>c) Bastante</v>
      </c>
      <c r="AG379" s="89" t="str">
        <f>Registro!AD379</f>
        <v>i) No me gusta nada</v>
      </c>
      <c r="AH379" s="94">
        <f t="shared" si="28"/>
        <v>1</v>
      </c>
      <c r="AI379" s="89" t="str">
        <f>Registro!AE379</f>
        <v>a) 0 a 2 horas</v>
      </c>
      <c r="AJ379" s="89" t="str">
        <f>Registro!AF379</f>
        <v>b) Navego en Internet, c) Suelo ir a centros de video (máquinas de juegos), d) Estoy la mayor parte del tiempo en la casa sin hacer nada</v>
      </c>
      <c r="AK379" s="94">
        <f t="shared" si="29"/>
        <v>3</v>
      </c>
      <c r="AL379" s="89" t="str">
        <f>Registro!AG379</f>
        <v>a) Muy bueno</v>
      </c>
      <c r="AM379" s="89" t="str">
        <f>Registro!AH379</f>
        <v>a) Muy buena</v>
      </c>
      <c r="AN379" s="89" t="str">
        <f>Registro!AI379</f>
        <v>a) Muy buena</v>
      </c>
      <c r="AO379" s="89" t="str">
        <f>Registro!AJ379</f>
        <v>a) Muy buena</v>
      </c>
      <c r="AP379" s="89" t="str">
        <f>Registro!AK379</f>
        <v>f) No aplica</v>
      </c>
      <c r="AQ379" s="89" t="str">
        <f>Registro!AL379</f>
        <v>a) Muy buena</v>
      </c>
      <c r="AR379" s="89" t="str">
        <f>Registro!AM379</f>
        <v>a) Muy buena</v>
      </c>
      <c r="AS379" s="89" t="str">
        <f>Registro!AN379</f>
        <v>a) Muy buena</v>
      </c>
      <c r="AT379" s="89" t="str">
        <f>Registro!AO379</f>
        <v>a) Muy buena</v>
      </c>
      <c r="AU379" s="89" t="str">
        <f>Registro!AP379</f>
        <v>a) Muy buena</v>
      </c>
      <c r="AV379" s="89" t="str">
        <f>Registro!AQ379</f>
        <v>a) Muy buena</v>
      </c>
      <c r="AW379" s="89" t="str">
        <f>Registro!AR379</f>
        <v>i) En nada</v>
      </c>
      <c r="AX379" s="89" t="str">
        <f>Registro!AS379</f>
        <v>h) No sé</v>
      </c>
      <c r="AY379" s="89" t="str">
        <f>Registro!AT379</f>
        <v>a) Innecesaria</v>
      </c>
      <c r="AZ379" s="89" t="str">
        <f>Registro!AU379</f>
        <v>d) Con frecuencia (fines de semana u otros momentos) suelo beber más de la cuenta</v>
      </c>
      <c r="BA379" s="89" t="str">
        <f>Registro!AV379</f>
        <v>a) Personas a las que tengo que aguantar</v>
      </c>
      <c r="BB379" s="89" t="str">
        <f>Registro!AW379</f>
        <v>a) No, en absoluto</v>
      </c>
      <c r="BC379" s="89" t="str">
        <f>Registro!AX379</f>
        <v>a) No me gustan en absoluto</v>
      </c>
      <c r="BD379" s="89" t="str">
        <f>Registro!AY379</f>
        <v>k) No tengo problemas personales</v>
      </c>
    </row>
    <row r="380" spans="1:56" ht="15" customHeight="1" x14ac:dyDescent="0.25">
      <c r="A380" s="101" t="str">
        <f>Registro!A380</f>
        <v>6/16/2015 9:24:57</v>
      </c>
      <c r="B380" s="89" t="str">
        <f>Registro!B380</f>
        <v>b) Calasanz de Valencia</v>
      </c>
      <c r="C380" s="89" t="str">
        <f>Registro!C380</f>
        <v>c) Cuarto año</v>
      </c>
      <c r="D380" s="89" t="str">
        <f>Registro!D380</f>
        <v>a) Educación Inicial</v>
      </c>
      <c r="E380" s="89" t="str">
        <f>Registro!E380</f>
        <v>b) Femenino</v>
      </c>
      <c r="F380" s="89" t="str">
        <f>Registro!F380</f>
        <v>d) Otra</v>
      </c>
      <c r="G380" s="89" t="str">
        <f>Registro!G380</f>
        <v>a) Mamá, b) Papá, c) Hermanos</v>
      </c>
      <c r="H380" s="89" t="str">
        <f>Registro!H380</f>
        <v>c) Apartamento</v>
      </c>
      <c r="I380" s="89" t="str">
        <f>Registro!I380</f>
        <v>d) No sé</v>
      </c>
      <c r="J380" s="89" t="str">
        <f>Registro!J380</f>
        <v>b) Lavadora, c) Microondas, d) TV pantalla plana, h) Carro, i) Computadora, j) Cámara digital, k) Aire acondicionado</v>
      </c>
      <c r="K380" s="89" t="str">
        <f>Registro!K380</f>
        <v>c) Dos</v>
      </c>
      <c r="L380" s="89" t="str">
        <f>Registro!L380</f>
        <v>a) La familia, i) La música, k) El internet</v>
      </c>
      <c r="M380" s="94">
        <f t="shared" si="33"/>
        <v>3</v>
      </c>
      <c r="N380" s="89" t="str">
        <f>Registro!M380</f>
        <v>d) Los problemas familiares</v>
      </c>
      <c r="O380" s="89" t="str">
        <f>Registro!N380</f>
        <v>b) Suficiente</v>
      </c>
      <c r="P380" s="89" t="str">
        <f>Registro!O380</f>
        <v>d) Nada</v>
      </c>
      <c r="Q380" s="89">
        <f>Registro!P380</f>
        <v>0</v>
      </c>
      <c r="R380" s="89" t="str">
        <f>Registro!Q380</f>
        <v>b) Los amigos, c) Los estudios, g) La felicidad</v>
      </c>
      <c r="S380" s="94">
        <f t="shared" si="34"/>
        <v>3</v>
      </c>
      <c r="T380" s="89">
        <f>Registro!R380</f>
        <v>0</v>
      </c>
      <c r="U380" s="89">
        <f>Registro!S380</f>
        <v>0</v>
      </c>
      <c r="V380" s="89" t="str">
        <f>Registro!T380</f>
        <v>d) No rezo nunca</v>
      </c>
      <c r="W380" s="89" t="str">
        <f>Registro!U380</f>
        <v>d) Nunca</v>
      </c>
      <c r="X380" s="89" t="str">
        <f>Registro!V380</f>
        <v>e) Voy a misa en las fechas de mis familiares difuntos, f) En alguna ocasión he rezado el rosario, h) En Semana Santa asisto a las procesiones</v>
      </c>
      <c r="Y380" s="89" t="str">
        <f>Registro!W380</f>
        <v>b) Cultural (folklórico, musicales, danzas, scout, banda marcial,...) , c) Religioso o parroquial</v>
      </c>
      <c r="Z380" s="89" t="str">
        <f>Registro!X380</f>
        <v>b) Un lugar donde comparto con mis compañeros</v>
      </c>
      <c r="AA380" s="89" t="str">
        <f>Registro!Y380</f>
        <v>b) No</v>
      </c>
      <c r="AB380" s="89" t="str">
        <f>Registro!Z380</f>
        <v>b) No</v>
      </c>
      <c r="AC380" s="89">
        <f>Registro!AA380</f>
        <v>0</v>
      </c>
      <c r="AD380" s="94">
        <f t="shared" si="35"/>
        <v>0</v>
      </c>
      <c r="AE380" s="89" t="str">
        <f>Registro!AB380</f>
        <v>a) Ganar mucho dinero</v>
      </c>
      <c r="AF380" s="89">
        <f>Registro!AC380</f>
        <v>0</v>
      </c>
      <c r="AG380" s="89" t="str">
        <f>Registro!AD380</f>
        <v>i) No me gusta nada</v>
      </c>
      <c r="AH380" s="94">
        <f t="shared" si="28"/>
        <v>1</v>
      </c>
      <c r="AI380" s="89" t="str">
        <f>Registro!AE380</f>
        <v>b) 3 a 4 horas</v>
      </c>
      <c r="AJ380" s="89" t="str">
        <f>Registro!AF380</f>
        <v>b) Navego en Internet, d) Estoy la mayor parte del tiempo en la casa sin hacer nada, f) Toco un instrumento musical</v>
      </c>
      <c r="AK380" s="94">
        <f t="shared" si="29"/>
        <v>3</v>
      </c>
      <c r="AL380" s="89">
        <f>Registro!AG380</f>
        <v>0</v>
      </c>
      <c r="AM380" s="89" t="str">
        <f>Registro!AH380</f>
        <v>f) No aplica</v>
      </c>
      <c r="AN380" s="89" t="str">
        <f>Registro!AI380</f>
        <v>f) No aplica</v>
      </c>
      <c r="AO380" s="89">
        <f>Registro!AJ380</f>
        <v>0</v>
      </c>
      <c r="AP380" s="89" t="str">
        <f>Registro!AK380</f>
        <v>f) No aplica</v>
      </c>
      <c r="AQ380" s="89" t="str">
        <f>Registro!AL380</f>
        <v>c) Regular</v>
      </c>
      <c r="AR380" s="89" t="str">
        <f>Registro!AM380</f>
        <v>d) Mala</v>
      </c>
      <c r="AS380" s="89" t="str">
        <f>Registro!AN380</f>
        <v>d) Mala</v>
      </c>
      <c r="AT380" s="89" t="str">
        <f>Registro!AO380</f>
        <v>b) Buena</v>
      </c>
      <c r="AU380" s="89" t="str">
        <f>Registro!AP380</f>
        <v>d) Mala</v>
      </c>
      <c r="AV380" s="89" t="str">
        <f>Registro!AQ380</f>
        <v>f) No aplica</v>
      </c>
      <c r="AW380" s="89" t="str">
        <f>Registro!AR380</f>
        <v>a) El compañerismo</v>
      </c>
      <c r="AX380" s="89" t="str">
        <f>Registro!AS380</f>
        <v>g) No tienen una preocupación especial</v>
      </c>
      <c r="AY380" s="89" t="str">
        <f>Registro!AT380</f>
        <v>b) Indiferente</v>
      </c>
      <c r="AZ380" s="89" t="str">
        <f>Registro!AU380</f>
        <v>c) Alguna vez he bebido más de la cuenta</v>
      </c>
      <c r="BA380" s="89">
        <f>Registro!AV380</f>
        <v>0</v>
      </c>
      <c r="BB380" s="89" t="str">
        <f>Registro!AW380</f>
        <v>e) No sé</v>
      </c>
      <c r="BC380" s="89" t="str">
        <f>Registro!AX380</f>
        <v>c) Son personas normales y corrientes</v>
      </c>
      <c r="BD380" s="89" t="str">
        <f>Registro!AY380</f>
        <v>b) Mi madre, g) Un amigo, h) Una amiga</v>
      </c>
    </row>
    <row r="381" spans="1:56" ht="15" customHeight="1" x14ac:dyDescent="0.25">
      <c r="A381" s="101" t="str">
        <f>Registro!A381</f>
        <v>6/16/2015 9:26:40</v>
      </c>
      <c r="B381" s="89" t="str">
        <f>Registro!B381</f>
        <v>b) Calasanz de Valencia</v>
      </c>
      <c r="C381" s="89" t="str">
        <f>Registro!C381</f>
        <v>c) Cuarto año</v>
      </c>
      <c r="D381" s="89" t="str">
        <f>Registro!D381</f>
        <v>a) Educación Inicial</v>
      </c>
      <c r="E381" s="89" t="str">
        <f>Registro!E381</f>
        <v>a) Masculino</v>
      </c>
      <c r="F381" s="89" t="str">
        <f>Registro!F381</f>
        <v>a) Católica</v>
      </c>
      <c r="G381" s="89" t="str">
        <f>Registro!G381</f>
        <v>a) Mamá, c) Hermanos, d) Abuelos</v>
      </c>
      <c r="H381" s="89" t="str">
        <f>Registro!H381</f>
        <v>c) Apartamento</v>
      </c>
      <c r="I381" s="89" t="str">
        <f>Registro!I381</f>
        <v>c) Algo</v>
      </c>
      <c r="J381" s="89" t="str">
        <f>Registro!J381</f>
        <v>a) Cónsola videojuegos, b) Lavadora, c) Microondas, d) TV pantalla plana, e) Moto, h) Carro, i) Computadora, j) Cámara digital, k) Aire acondicionado</v>
      </c>
      <c r="K381" s="89" t="str">
        <f>Registro!K381</f>
        <v>b) Una</v>
      </c>
      <c r="L381" s="89" t="str">
        <f>Registro!L381</f>
        <v>g) La felicidad, i) La música, j) El deporte</v>
      </c>
      <c r="M381" s="94">
        <f t="shared" si="33"/>
        <v>3</v>
      </c>
      <c r="N381" s="89" t="str">
        <f>Registro!M381</f>
        <v>a) Seguridad personal (la violencia y la delincuencia)</v>
      </c>
      <c r="O381" s="89" t="str">
        <f>Registro!N381</f>
        <v>b) Suficiente</v>
      </c>
      <c r="P381" s="89" t="str">
        <f>Registro!O381</f>
        <v>b) Suficiente</v>
      </c>
      <c r="Q381" s="89" t="str">
        <f>Registro!P381</f>
        <v>c) Poco</v>
      </c>
      <c r="R381" s="89" t="str">
        <f>Registro!Q381</f>
        <v>a) La familia, c) Los estudios, e) Disponer de dinero</v>
      </c>
      <c r="S381" s="94">
        <f t="shared" si="34"/>
        <v>3</v>
      </c>
      <c r="T381" s="89" t="str">
        <f>Registro!R381</f>
        <v>d) Nada</v>
      </c>
      <c r="U381" s="89" t="str">
        <f>Registro!S381</f>
        <v>h) Algunas personas cercanas a Dios</v>
      </c>
      <c r="V381" s="89" t="str">
        <f>Registro!T381</f>
        <v>d) No rezo nunca</v>
      </c>
      <c r="W381" s="89" t="str">
        <f>Registro!U381</f>
        <v>d) Nunca</v>
      </c>
      <c r="X381" s="89" t="str">
        <f>Registro!V381</f>
        <v>f) En alguna ocasión he rezado el rosario</v>
      </c>
      <c r="Y381" s="89" t="str">
        <f>Registro!W381</f>
        <v>d) No pertenezco a ninguno</v>
      </c>
      <c r="Z381" s="89" t="str">
        <f>Registro!X381</f>
        <v>d) No pertenezco a grupos juveniles cristianos</v>
      </c>
      <c r="AA381" s="89" t="str">
        <f>Registro!Y381</f>
        <v>b) No</v>
      </c>
      <c r="AB381" s="89" t="str">
        <f>Registro!Z381</f>
        <v>b) No</v>
      </c>
      <c r="AC381" s="89" t="str">
        <f>Registro!AA381</f>
        <v>g) Artista</v>
      </c>
      <c r="AD381" s="94">
        <f t="shared" si="35"/>
        <v>1</v>
      </c>
      <c r="AE381" s="89" t="str">
        <f>Registro!AB381</f>
        <v>d) Desarrollarme personalmente</v>
      </c>
      <c r="AF381" s="89" t="str">
        <f>Registro!AC381</f>
        <v>b) Poco</v>
      </c>
      <c r="AG381" s="89" t="str">
        <f>Registro!AD381</f>
        <v>a) Los deportes y diversiones, c) Las instalaciones del Colegio</v>
      </c>
      <c r="AH381" s="94">
        <f t="shared" si="28"/>
        <v>2</v>
      </c>
      <c r="AI381" s="89" t="str">
        <f>Registro!AE381</f>
        <v>a) 0 a 2 horas</v>
      </c>
      <c r="AJ381" s="89" t="str">
        <f>Registro!AF381</f>
        <v>a) Me divierto con juegos para computadoras, b) Navego en Internet, f) Toco un instrumento musical</v>
      </c>
      <c r="AK381" s="94">
        <f t="shared" si="29"/>
        <v>3</v>
      </c>
      <c r="AL381" s="89" t="str">
        <f>Registro!AG381</f>
        <v>b) Bueno</v>
      </c>
      <c r="AM381" s="89" t="str">
        <f>Registro!AH381</f>
        <v>f) No aplica</v>
      </c>
      <c r="AN381" s="89" t="str">
        <f>Registro!AI381</f>
        <v>b) Buena</v>
      </c>
      <c r="AO381" s="89" t="str">
        <f>Registro!AJ381</f>
        <v>f) No aplica</v>
      </c>
      <c r="AP381" s="89" t="str">
        <f>Registro!AK381</f>
        <v>f) No aplica</v>
      </c>
      <c r="AQ381" s="89" t="str">
        <f>Registro!AL381</f>
        <v>c) Regular</v>
      </c>
      <c r="AR381" s="89" t="str">
        <f>Registro!AM381</f>
        <v>c) Regular</v>
      </c>
      <c r="AS381" s="89" t="str">
        <f>Registro!AN381</f>
        <v>c) Regular</v>
      </c>
      <c r="AT381" s="89" t="str">
        <f>Registro!AO381</f>
        <v>b) Buena</v>
      </c>
      <c r="AU381" s="89" t="str">
        <f>Registro!AP381</f>
        <v>b) Buena</v>
      </c>
      <c r="AV381" s="89" t="str">
        <f>Registro!AQ381</f>
        <v>b) Buena</v>
      </c>
      <c r="AW381" s="89" t="str">
        <f>Registro!AR381</f>
        <v>f) la práctica religiosa</v>
      </c>
      <c r="AX381" s="89" t="str">
        <f>Registro!AS381</f>
        <v>b) Darme una buena educación</v>
      </c>
      <c r="AY381" s="89" t="str">
        <f>Registro!AT381</f>
        <v>b) Indiferente</v>
      </c>
      <c r="AZ381" s="89" t="str">
        <f>Registro!AU381</f>
        <v>b) Las veces que bebo, es con moderación</v>
      </c>
      <c r="BA381" s="89" t="str">
        <f>Registro!AV381</f>
        <v>d) Buenos profesionales de la educación</v>
      </c>
      <c r="BB381" s="89" t="str">
        <f>Registro!AW381</f>
        <v>b) Poco</v>
      </c>
      <c r="BC381" s="89" t="str">
        <f>Registro!AX381</f>
        <v>c) Son personas normales y corrientes</v>
      </c>
      <c r="BD381" s="89" t="str">
        <f>Registro!AY381</f>
        <v>g) Un amigo</v>
      </c>
    </row>
    <row r="382" spans="1:56" ht="15" customHeight="1" x14ac:dyDescent="0.25">
      <c r="A382" s="101" t="str">
        <f>Registro!A382</f>
        <v>6/16/2015 9:26:56</v>
      </c>
      <c r="B382" s="89" t="str">
        <f>Registro!B382</f>
        <v>b) Calasanz de Valencia</v>
      </c>
      <c r="C382" s="89" t="str">
        <f>Registro!C382</f>
        <v>c) Cuarto año</v>
      </c>
      <c r="D382" s="89" t="str">
        <f>Registro!D382</f>
        <v>a) Educación Inicial</v>
      </c>
      <c r="E382" s="89" t="str">
        <f>Registro!E382</f>
        <v>a) Masculino</v>
      </c>
      <c r="F382" s="89" t="str">
        <f>Registro!F382</f>
        <v>d) Otra</v>
      </c>
      <c r="G382" s="89" t="str">
        <f>Registro!G382</f>
        <v>a) Mamá, d) Abuelos, e) Otros familiares</v>
      </c>
      <c r="H382" s="89" t="str">
        <f>Registro!H382</f>
        <v>d) Casa Rural</v>
      </c>
      <c r="I382" s="89" t="str">
        <f>Registro!I382</f>
        <v>a) Sí</v>
      </c>
      <c r="J382" s="89" t="str">
        <f>Registro!J382</f>
        <v>a) Cónsola videojuegos, b) Lavadora, c) Microondas, d) TV pantalla plana, f) MP3, g) MP4, h) Carro, i) Computadora, j) Cámara digital, k) Aire acondicionado</v>
      </c>
      <c r="K382" s="89" t="str">
        <f>Registro!K382</f>
        <v>f) Más de cuatro</v>
      </c>
      <c r="L382" s="89" t="str">
        <f>Registro!L382</f>
        <v>a) La familia, b) Los amigos, k) El internet</v>
      </c>
      <c r="M382" s="94">
        <f t="shared" si="33"/>
        <v>3</v>
      </c>
      <c r="N382" s="89" t="str">
        <f>Registro!M382</f>
        <v>b) El futuro</v>
      </c>
      <c r="O382" s="89" t="str">
        <f>Registro!N382</f>
        <v>b) Suficiente</v>
      </c>
      <c r="P382" s="89" t="str">
        <f>Registro!O382</f>
        <v>c) Poco</v>
      </c>
      <c r="Q382" s="89" t="str">
        <f>Registro!P382</f>
        <v>b) Suficiente</v>
      </c>
      <c r="R382" s="89" t="str">
        <f>Registro!Q382</f>
        <v>a) La familia, c) Los estudios, f) Mi fe y mi vida cristiana</v>
      </c>
      <c r="S382" s="94">
        <f t="shared" si="34"/>
        <v>3</v>
      </c>
      <c r="T382" s="89" t="str">
        <f>Registro!R382</f>
        <v>b) Suficiente</v>
      </c>
      <c r="U382" s="89" t="str">
        <f>Registro!S382</f>
        <v>a) La Iglesia, b) La naturaleza, c) El salón de clase, d) Las convivencias, e) Los amigos, f) Todas las personas, g) Mi familia, h) Algunas personas cercanas a Dios, i) Los necesitados, j) Todas partes, k) La oración, l) Los sacramentos</v>
      </c>
      <c r="V382" s="89" t="str">
        <f>Registro!T382</f>
        <v>d) No rezo nunca</v>
      </c>
      <c r="W382" s="89" t="str">
        <f>Registro!U382</f>
        <v>d) Nunca</v>
      </c>
      <c r="X382" s="89" t="str">
        <f>Registro!V382</f>
        <v>i) Tengo en mi cuarto alguna imagen religiosa</v>
      </c>
      <c r="Y382" s="89" t="str">
        <f>Registro!W382</f>
        <v>d) No pertenezco a ninguno</v>
      </c>
      <c r="Z382" s="89" t="str">
        <f>Registro!X382</f>
        <v>d) No pertenezco a grupos juveniles cristianos</v>
      </c>
      <c r="AA382" s="89" t="str">
        <f>Registro!Y382</f>
        <v>b) No</v>
      </c>
      <c r="AB382" s="89" t="str">
        <f>Registro!Z382</f>
        <v>b) No</v>
      </c>
      <c r="AC382" s="89" t="str">
        <f>Registro!AA382</f>
        <v>b) Docencia, d) Ingeniería</v>
      </c>
      <c r="AD382" s="94">
        <f t="shared" si="35"/>
        <v>2</v>
      </c>
      <c r="AE382" s="89" t="str">
        <f>Registro!AB382</f>
        <v>a) Ganar mucho dinero</v>
      </c>
      <c r="AF382" s="89" t="str">
        <f>Registro!AC382</f>
        <v>c) Bastante</v>
      </c>
      <c r="AG382" s="89" t="str">
        <f>Registro!AD382</f>
        <v>b) El ambiente de estudio y de trabajo, g) La relación con los docentes</v>
      </c>
      <c r="AH382" s="94">
        <f t="shared" si="28"/>
        <v>2</v>
      </c>
      <c r="AI382" s="89" t="str">
        <f>Registro!AE382</f>
        <v>a) 0 a 2 horas</v>
      </c>
      <c r="AJ382" s="89" t="str">
        <f>Registro!AF382</f>
        <v>a) Me divierto con juegos para computadoras, b) Navego en Internet, l) Escucho música y/o veo videos musicales</v>
      </c>
      <c r="AK382" s="94">
        <f t="shared" si="29"/>
        <v>3</v>
      </c>
      <c r="AL382" s="89" t="str">
        <f>Registro!AG382</f>
        <v>b) Bueno</v>
      </c>
      <c r="AM382" s="89" t="str">
        <f>Registro!AH382</f>
        <v>c) Regular</v>
      </c>
      <c r="AN382" s="89" t="str">
        <f>Registro!AI382</f>
        <v>f) No aplica</v>
      </c>
      <c r="AO382" s="89" t="str">
        <f>Registro!AJ382</f>
        <v>f) No aplica</v>
      </c>
      <c r="AP382" s="89" t="str">
        <f>Registro!AK382</f>
        <v>f) No aplica</v>
      </c>
      <c r="AQ382" s="89" t="str">
        <f>Registro!AL382</f>
        <v>c) Regular</v>
      </c>
      <c r="AR382" s="89" t="str">
        <f>Registro!AM382</f>
        <v>c) Regular</v>
      </c>
      <c r="AS382" s="89" t="str">
        <f>Registro!AN382</f>
        <v>c) Regular</v>
      </c>
      <c r="AT382" s="89" t="str">
        <f>Registro!AO382</f>
        <v>b) Buena</v>
      </c>
      <c r="AU382" s="89" t="str">
        <f>Registro!AP382</f>
        <v>b) Buena</v>
      </c>
      <c r="AV382" s="89" t="str">
        <f>Registro!AQ382</f>
        <v>b) Buena</v>
      </c>
      <c r="AW382" s="89" t="str">
        <f>Registro!AR382</f>
        <v>c) El estudio</v>
      </c>
      <c r="AX382" s="89" t="str">
        <f>Registro!AS382</f>
        <v>b) Darme una buena educación</v>
      </c>
      <c r="AY382" s="89" t="str">
        <f>Registro!AT382</f>
        <v>b) Indiferente</v>
      </c>
      <c r="AZ382" s="89" t="str">
        <f>Registro!AU382</f>
        <v>b) Las veces que bebo, es con moderación</v>
      </c>
      <c r="BA382" s="89" t="str">
        <f>Registro!AV382</f>
        <v>d) Buenos profesionales de la educación</v>
      </c>
      <c r="BB382" s="89" t="str">
        <f>Registro!AW382</f>
        <v>c) Bastante</v>
      </c>
      <c r="BC382" s="89" t="str">
        <f>Registro!AX382</f>
        <v>d) Hay de todo tipo, pero predomina lo positivo</v>
      </c>
      <c r="BD382" s="89" t="str">
        <f>Registro!AY382</f>
        <v>a) Mi padre, b) Mi madre, c) Un hermano/a, d) Un escolapio, religioso o religiosa, e) Un, una docente, g) Un amigo, h) Una amiga</v>
      </c>
    </row>
    <row r="383" spans="1:56" ht="15" customHeight="1" x14ac:dyDescent="0.25">
      <c r="A383" s="101" t="str">
        <f>Registro!A383</f>
        <v>6/16/2015 9:27:58</v>
      </c>
      <c r="B383" s="89" t="str">
        <f>Registro!B383</f>
        <v>b) Calasanz de Valencia</v>
      </c>
      <c r="C383" s="89" t="str">
        <f>Registro!C383</f>
        <v>c) Cuarto año</v>
      </c>
      <c r="D383" s="89" t="str">
        <f>Registro!D383</f>
        <v>b) Primaria</v>
      </c>
      <c r="E383" s="89" t="str">
        <f>Registro!E383</f>
        <v>a) Masculino</v>
      </c>
      <c r="F383" s="89" t="str">
        <f>Registro!F383</f>
        <v>a) Católica</v>
      </c>
      <c r="G383" s="89" t="str">
        <f>Registro!G383</f>
        <v>a) Mamá, b) Papá, d) Abuelos</v>
      </c>
      <c r="H383" s="89" t="str">
        <f>Registro!H383</f>
        <v>c) Apartamento</v>
      </c>
      <c r="I383" s="89" t="str">
        <f>Registro!I383</f>
        <v>a) Sí</v>
      </c>
      <c r="J383" s="89" t="str">
        <f>Registro!J383</f>
        <v>a) Cónsola videojuegos, b) Lavadora, c) Microondas, d) TV pantalla plana, h) Carro, j) Cámara digital, k) Aire acondicionado</v>
      </c>
      <c r="K383" s="89" t="str">
        <f>Registro!K383</f>
        <v>b) Una</v>
      </c>
      <c r="L383" s="89" t="str">
        <f>Registro!L383</f>
        <v>a) La familia, b) Los amigos, c) Los estudios</v>
      </c>
      <c r="M383" s="94">
        <f t="shared" si="33"/>
        <v>3</v>
      </c>
      <c r="N383" s="89" t="str">
        <f>Registro!M383</f>
        <v>b) El futuro</v>
      </c>
      <c r="O383" s="89" t="str">
        <f>Registro!N383</f>
        <v>b) Suficiente</v>
      </c>
      <c r="P383" s="89" t="str">
        <f>Registro!O383</f>
        <v>b) Suficiente</v>
      </c>
      <c r="Q383" s="89" t="str">
        <f>Registro!P383</f>
        <v>b) Suficiente</v>
      </c>
      <c r="R383" s="89" t="str">
        <f>Registro!Q383</f>
        <v>a) La familia, c) Los estudios, g) La felicidad</v>
      </c>
      <c r="S383" s="94">
        <f t="shared" si="34"/>
        <v>3</v>
      </c>
      <c r="T383" s="89" t="str">
        <f>Registro!R383</f>
        <v>a) Mucho</v>
      </c>
      <c r="U383" s="89" t="str">
        <f>Registro!S383</f>
        <v>a) La Iglesia, j) Todas partes, k) La oración</v>
      </c>
      <c r="V383" s="89" t="str">
        <f>Registro!T383</f>
        <v>c) Rezo solo en situación de dificultad</v>
      </c>
      <c r="W383" s="89" t="str">
        <f>Registro!U383</f>
        <v>c) Solo en fechas especiales</v>
      </c>
      <c r="X383" s="89" t="str">
        <f>Registro!V383</f>
        <v>e) Voy a misa en las fechas de mis familiares difuntos, f) En alguna ocasión he rezado el rosario</v>
      </c>
      <c r="Y383" s="89" t="str">
        <f>Registro!W383</f>
        <v>d) No pertenezco a ninguno</v>
      </c>
      <c r="Z383" s="89" t="str">
        <f>Registro!X383</f>
        <v>d) No pertenezco a grupos juveniles cristianos</v>
      </c>
      <c r="AA383" s="89" t="str">
        <f>Registro!Y383</f>
        <v>b) No</v>
      </c>
      <c r="AB383" s="89" t="str">
        <f>Registro!Z383</f>
        <v>b) No</v>
      </c>
      <c r="AC383" s="89" t="str">
        <f>Registro!AA383</f>
        <v>a) Medicina, b) Docencia</v>
      </c>
      <c r="AD383" s="94">
        <f t="shared" si="35"/>
        <v>2</v>
      </c>
      <c r="AE383" s="89" t="str">
        <f>Registro!AB383</f>
        <v>c) Ser un excelente profesional</v>
      </c>
      <c r="AF383" s="89" t="str">
        <f>Registro!AC383</f>
        <v>b) Poco</v>
      </c>
      <c r="AG383" s="89" t="str">
        <f>Registro!AD383</f>
        <v>a) Los deportes y diversiones, c) Las instalaciones del Colegio</v>
      </c>
      <c r="AH383" s="94">
        <f t="shared" si="28"/>
        <v>2</v>
      </c>
      <c r="AI383" s="89" t="str">
        <f>Registro!AE383</f>
        <v>d) 7 a 8 horas</v>
      </c>
      <c r="AJ383" s="89" t="str">
        <f>Registro!AF383</f>
        <v>e) Suelo ir a algún parque, h) Suelo ir al cine, m) Veo televisión y/o películas</v>
      </c>
      <c r="AK383" s="94">
        <f t="shared" si="29"/>
        <v>3</v>
      </c>
      <c r="AL383" s="89" t="str">
        <f>Registro!AG383</f>
        <v>b) Bueno</v>
      </c>
      <c r="AM383" s="89" t="str">
        <f>Registro!AH383</f>
        <v>f) No aplica</v>
      </c>
      <c r="AN383" s="89" t="str">
        <f>Registro!AI383</f>
        <v>c) Regular</v>
      </c>
      <c r="AO383" s="89" t="str">
        <f>Registro!AJ383</f>
        <v>b) Buena</v>
      </c>
      <c r="AP383" s="89" t="str">
        <f>Registro!AK383</f>
        <v>b) Buena</v>
      </c>
      <c r="AQ383" s="89" t="str">
        <f>Registro!AL383</f>
        <v>b) Buena</v>
      </c>
      <c r="AR383" s="89" t="str">
        <f>Registro!AM383</f>
        <v>b) Buena</v>
      </c>
      <c r="AS383" s="89" t="str">
        <f>Registro!AN383</f>
        <v>c) Regular</v>
      </c>
      <c r="AT383" s="89" t="str">
        <f>Registro!AO383</f>
        <v>b) Buena</v>
      </c>
      <c r="AU383" s="89" t="str">
        <f>Registro!AP383</f>
        <v>c) Regular</v>
      </c>
      <c r="AV383" s="89" t="str">
        <f>Registro!AQ383</f>
        <v>c) Regular</v>
      </c>
      <c r="AW383" s="89" t="str">
        <f>Registro!AR383</f>
        <v>i) En nada</v>
      </c>
      <c r="AX383" s="89" t="str">
        <f>Registro!AS383</f>
        <v>a) Que sea un buen profesional</v>
      </c>
      <c r="AY383" s="89" t="str">
        <f>Registro!AT383</f>
        <v>d) Bastante necesaria</v>
      </c>
      <c r="AZ383" s="89" t="str">
        <f>Registro!AU383</f>
        <v>b) Las veces que bebo, es con moderación</v>
      </c>
      <c r="BA383" s="89" t="str">
        <f>Registro!AV383</f>
        <v>c) Profesionales que hacen lo que pueden</v>
      </c>
      <c r="BB383" s="89" t="str">
        <f>Registro!AW383</f>
        <v>c) Bastante</v>
      </c>
      <c r="BC383" s="89" t="str">
        <f>Registro!AX383</f>
        <v>c) Son personas normales y corrientes</v>
      </c>
      <c r="BD383" s="89" t="str">
        <f>Registro!AY383</f>
        <v>a) Mi padre, d) Un escolapio, religioso o religiosa, g) Un amigo</v>
      </c>
    </row>
    <row r="384" spans="1:56" ht="15" customHeight="1" x14ac:dyDescent="0.25">
      <c r="A384" s="101" t="str">
        <f>Registro!A384</f>
        <v>6/16/2015 9:28:29</v>
      </c>
      <c r="B384" s="89" t="str">
        <f>Registro!B384</f>
        <v>b) Calasanz de Valencia</v>
      </c>
      <c r="C384" s="89" t="str">
        <f>Registro!C384</f>
        <v>c) Cuarto año</v>
      </c>
      <c r="D384" s="89" t="str">
        <f>Registro!D384</f>
        <v>a) Educación Inicial</v>
      </c>
      <c r="E384" s="89" t="str">
        <f>Registro!E384</f>
        <v>a) Masculino</v>
      </c>
      <c r="F384" s="89" t="str">
        <f>Registro!F384</f>
        <v>a) Católica</v>
      </c>
      <c r="G384" s="89" t="str">
        <f>Registro!G384</f>
        <v>a) Mamá, d) Abuelos</v>
      </c>
      <c r="H384" s="89" t="str">
        <f>Registro!H384</f>
        <v>b) Casa Urbana</v>
      </c>
      <c r="I384" s="89" t="str">
        <f>Registro!I384</f>
        <v>a) Sí</v>
      </c>
      <c r="J384" s="89" t="str">
        <f>Registro!J384</f>
        <v>b) Lavadora, c) Microondas, d) TV pantalla plana, h) Carro, i) Computadora, j) Cámara digital, k) Aire acondicionado</v>
      </c>
      <c r="K384" s="89" t="str">
        <f>Registro!K384</f>
        <v>a) Ninguna</v>
      </c>
      <c r="L384" s="89" t="str">
        <f>Registro!L384</f>
        <v>a) La familia, b) Los amigos, g) La felicidad</v>
      </c>
      <c r="M384" s="94">
        <f t="shared" si="33"/>
        <v>3</v>
      </c>
      <c r="N384" s="89" t="str">
        <f>Registro!M384</f>
        <v>f) La situación política del país</v>
      </c>
      <c r="O384" s="89" t="str">
        <f>Registro!N384</f>
        <v>a) Mucho</v>
      </c>
      <c r="P384" s="89" t="str">
        <f>Registro!O384</f>
        <v>b) Suficiente</v>
      </c>
      <c r="Q384" s="89" t="str">
        <f>Registro!P384</f>
        <v>b) Suficiente</v>
      </c>
      <c r="R384" s="89"/>
      <c r="S384" s="94">
        <f t="shared" si="34"/>
        <v>0</v>
      </c>
      <c r="T384" s="89" t="str">
        <f>Registro!R384</f>
        <v>b) Suficiente</v>
      </c>
      <c r="U384" s="89" t="str">
        <f>Registro!S384</f>
        <v>a) La Iglesia, b) La naturaleza, g) Mi familia, k) La oración</v>
      </c>
      <c r="V384" s="89" t="str">
        <f>Registro!T384</f>
        <v>a) Suelo rezar por convicción o porque me gusta</v>
      </c>
      <c r="W384" s="89" t="str">
        <f>Registro!U384</f>
        <v>c) Solo en fechas especiales</v>
      </c>
      <c r="X384" s="89" t="str">
        <f>Registro!V384</f>
        <v>c) Suelo ir los domingos y otras fechas especiales a la Iglesia, d) Suelo orar todos los días, f) En alguna ocasión he rezado el rosario, h) En Semana Santa asisto a las procesiones</v>
      </c>
      <c r="Y384" s="89" t="str">
        <f>Registro!W384</f>
        <v>a) Deportivo</v>
      </c>
      <c r="Z384" s="89" t="str">
        <f>Registro!X384</f>
        <v>d) No pertenezco a grupos juveniles cristianos</v>
      </c>
      <c r="AA384" s="89" t="str">
        <f>Registro!Y384</f>
        <v>b) No</v>
      </c>
      <c r="AB384" s="89" t="str">
        <f>Registro!Z384</f>
        <v>b) No</v>
      </c>
      <c r="AC384" s="89" t="str">
        <f>Registro!AA384</f>
        <v>a) Medicina, i) Comerciante</v>
      </c>
      <c r="AD384" s="94">
        <f t="shared" si="35"/>
        <v>2</v>
      </c>
      <c r="AE384" s="89" t="str">
        <f>Registro!AB384</f>
        <v>c) Ser un excelente profesional</v>
      </c>
      <c r="AF384" s="89" t="str">
        <f>Registro!AC384</f>
        <v>c) Bastante</v>
      </c>
      <c r="AG384" s="89" t="str">
        <f>Registro!AD384</f>
        <v>a) Los deportes y diversiones, b) El ambiente de estudio y de trabajo</v>
      </c>
      <c r="AH384" s="94">
        <f t="shared" si="28"/>
        <v>2</v>
      </c>
      <c r="AI384" s="89" t="str">
        <f>Registro!AE384</f>
        <v>c) 5 a 6 horas</v>
      </c>
      <c r="AJ384" s="89" t="str">
        <f>Registro!AF384</f>
        <v>e) Suelo ir a algún parque, k) Practico algún deporte, m) Veo televisión y/o películas</v>
      </c>
      <c r="AK384" s="94">
        <f t="shared" si="29"/>
        <v>3</v>
      </c>
      <c r="AL384" s="89" t="str">
        <f>Registro!AG384</f>
        <v>b) Bueno</v>
      </c>
      <c r="AM384" s="89" t="str">
        <f>Registro!AH384</f>
        <v>b) Buena</v>
      </c>
      <c r="AN384" s="89" t="str">
        <f>Registro!AI384</f>
        <v>a) Muy buena</v>
      </c>
      <c r="AO384" s="89" t="str">
        <f>Registro!AJ384</f>
        <v>b) Buena</v>
      </c>
      <c r="AP384" s="89" t="str">
        <f>Registro!AK384</f>
        <v>b) Buena</v>
      </c>
      <c r="AQ384" s="89" t="str">
        <f>Registro!AL384</f>
        <v>b) Buena</v>
      </c>
      <c r="AR384" s="89" t="str">
        <f>Registro!AM384</f>
        <v>a) Muy buena</v>
      </c>
      <c r="AS384" s="89" t="str">
        <f>Registro!AN384</f>
        <v>c) Regular</v>
      </c>
      <c r="AT384" s="89" t="str">
        <f>Registro!AO384</f>
        <v>b) Buena</v>
      </c>
      <c r="AU384" s="89" t="str">
        <f>Registro!AP384</f>
        <v>b) Buena</v>
      </c>
      <c r="AV384" s="89" t="str">
        <f>Registro!AQ384</f>
        <v>b) Buena</v>
      </c>
      <c r="AW384" s="89" t="str">
        <f>Registro!AR384</f>
        <v>a) El compañerismo</v>
      </c>
      <c r="AX384" s="89" t="str">
        <f>Registro!AS384</f>
        <v>b) Darme una buena educación</v>
      </c>
      <c r="AY384" s="89" t="str">
        <f>Registro!AT384</f>
        <v>d) Bastante necesaria</v>
      </c>
      <c r="AZ384" s="89" t="str">
        <f>Registro!AU384</f>
        <v>b) Las veces que bebo, es con moderación</v>
      </c>
      <c r="BA384" s="89" t="str">
        <f>Registro!AV384</f>
        <v>e) Educadores que se preocupan de nosotros</v>
      </c>
      <c r="BB384" s="89" t="str">
        <f>Registro!AW384</f>
        <v>c) Bastante</v>
      </c>
      <c r="BC384" s="89" t="str">
        <f>Registro!AX384</f>
        <v>d) Hay de todo tipo, pero predomina lo positivo</v>
      </c>
      <c r="BD384" s="89" t="str">
        <f>Registro!AY384</f>
        <v>b) Mi madre, e) Un, una docente, g) Un amigo, h) Una amiga</v>
      </c>
    </row>
    <row r="385" spans="1:56" ht="15" customHeight="1" x14ac:dyDescent="0.25">
      <c r="A385" s="101" t="str">
        <f>Registro!A385</f>
        <v>6/16/2015 9:28:39</v>
      </c>
      <c r="B385" s="89" t="str">
        <f>Registro!B385</f>
        <v>b) Calasanz de Valencia</v>
      </c>
      <c r="C385" s="89" t="str">
        <f>Registro!C385</f>
        <v>c) Cuarto año</v>
      </c>
      <c r="D385" s="89" t="str">
        <f>Registro!D385</f>
        <v>a) Educación Inicial</v>
      </c>
      <c r="E385" s="89" t="str">
        <f>Registro!E385</f>
        <v>a) Masculino</v>
      </c>
      <c r="F385" s="89" t="str">
        <f>Registro!F385</f>
        <v>a) Católica</v>
      </c>
      <c r="G385" s="89" t="str">
        <f>Registro!G385</f>
        <v>a) Mamá, b) Papá</v>
      </c>
      <c r="H385" s="89" t="str">
        <f>Registro!H385</f>
        <v>b) Casa Urbana</v>
      </c>
      <c r="I385" s="89" t="str">
        <f>Registro!I385</f>
        <v>a) Sí</v>
      </c>
      <c r="J385" s="89" t="str">
        <f>Registro!J385</f>
        <v>a) Cónsola videojuegos, b) Lavadora, c) Microondas, d) TV pantalla plana, g) MP4, h) Carro, i) Computadora, k) Aire acondicionado</v>
      </c>
      <c r="K385" s="89" t="str">
        <f>Registro!K385</f>
        <v>c) Dos</v>
      </c>
      <c r="L385" s="89" t="str">
        <f>Registro!L385</f>
        <v>a) La familia, b) Los amigos, g) La felicidad</v>
      </c>
      <c r="M385" s="94">
        <f t="shared" si="33"/>
        <v>3</v>
      </c>
      <c r="N385" s="89" t="str">
        <f>Registro!M385</f>
        <v>b) El futuro</v>
      </c>
      <c r="O385" s="89" t="str">
        <f>Registro!N385</f>
        <v>b) Suficiente</v>
      </c>
      <c r="P385" s="89" t="str">
        <f>Registro!O385</f>
        <v>c) Poco</v>
      </c>
      <c r="Q385" s="89" t="str">
        <f>Registro!P385</f>
        <v>b) Suficiente</v>
      </c>
      <c r="R385" s="89" t="str">
        <f>Registro!Q385</f>
        <v>a) La familia, b) Los amigos, g) La felicidad</v>
      </c>
      <c r="S385" s="94">
        <f t="shared" si="34"/>
        <v>3</v>
      </c>
      <c r="T385" s="89" t="str">
        <f>Registro!R385</f>
        <v>b) Suficiente</v>
      </c>
      <c r="U385" s="89" t="str">
        <f>Registro!S385</f>
        <v>b) La naturaleza, k) La oración</v>
      </c>
      <c r="V385" s="89" t="str">
        <f>Registro!T385</f>
        <v>a) Suelo rezar por convicción o porque me gusta</v>
      </c>
      <c r="W385" s="89" t="str">
        <f>Registro!U385</f>
        <v>b) Algunos domingos</v>
      </c>
      <c r="X385" s="89" t="str">
        <f>Registro!V385</f>
        <v>a) Suelo llevar una cruz o algún objeto religioso, c) Suelo ir los domingos y otras fechas especiales a la Iglesia, e) Voy a misa en las fechas de mis familiares difuntos, f) En alguna ocasión he rezado el rosario, i) Tengo en mi cuarto alguna imagen religiosa</v>
      </c>
      <c r="Y385" s="89" t="str">
        <f>Registro!W385</f>
        <v>c) Religioso o parroquial</v>
      </c>
      <c r="Z385" s="89" t="str">
        <f>Registro!X385</f>
        <v>c) Un lugar donde me lo paso bien</v>
      </c>
      <c r="AA385" s="89" t="str">
        <f>Registro!Y385</f>
        <v>c) Algo</v>
      </c>
      <c r="AB385" s="89" t="str">
        <f>Registro!Z385</f>
        <v>b) No</v>
      </c>
      <c r="AC385" s="89" t="str">
        <f>Registro!AA385</f>
        <v>b) Docencia, g) Artista</v>
      </c>
      <c r="AD385" s="94">
        <f t="shared" si="35"/>
        <v>2</v>
      </c>
      <c r="AE385" s="89" t="str">
        <f>Registro!AB385</f>
        <v>c) Ser un excelente profesional</v>
      </c>
      <c r="AF385" s="89" t="str">
        <f>Registro!AC385</f>
        <v>a) No, en absoluto</v>
      </c>
      <c r="AG385" s="89" t="str">
        <f>Registro!AD385</f>
        <v>a) Los deportes y diversiones, b) El ambiente de estudio y de trabajo</v>
      </c>
      <c r="AH385" s="94">
        <f t="shared" si="28"/>
        <v>2</v>
      </c>
      <c r="AI385" s="89" t="str">
        <f>Registro!AE385</f>
        <v>b) 3 a 4 horas</v>
      </c>
      <c r="AJ385" s="89" t="str">
        <f>Registro!AF385</f>
        <v>b) Navego en Internet, m) Veo televisión y/o películas, n) Estoy conversando con los amigos/as</v>
      </c>
      <c r="AK385" s="94">
        <f t="shared" si="29"/>
        <v>3</v>
      </c>
      <c r="AL385" s="89" t="str">
        <f>Registro!AG385</f>
        <v>b) Bueno</v>
      </c>
      <c r="AM385" s="89" t="str">
        <f>Registro!AH385</f>
        <v>e) Muy mala</v>
      </c>
      <c r="AN385" s="89" t="str">
        <f>Registro!AI385</f>
        <v>f) No aplica</v>
      </c>
      <c r="AO385" s="89" t="str">
        <f>Registro!AJ385</f>
        <v>b) Buena</v>
      </c>
      <c r="AP385" s="89" t="str">
        <f>Registro!AK385</f>
        <v>e) Muy mala</v>
      </c>
      <c r="AQ385" s="89" t="str">
        <f>Registro!AL385</f>
        <v>b) Buena</v>
      </c>
      <c r="AR385" s="89" t="str">
        <f>Registro!AM385</f>
        <v>e) Muy mala</v>
      </c>
      <c r="AS385" s="89" t="str">
        <f>Registro!AN385</f>
        <v>c) Regular</v>
      </c>
      <c r="AT385" s="89" t="str">
        <f>Registro!AO385</f>
        <v>c) Regular</v>
      </c>
      <c r="AU385" s="89" t="str">
        <f>Registro!AP385</f>
        <v>c) Regular</v>
      </c>
      <c r="AV385" s="89" t="str">
        <f>Registro!AQ385</f>
        <v>b) Buena</v>
      </c>
      <c r="AW385" s="89" t="str">
        <f>Registro!AR385</f>
        <v>c) El estudio</v>
      </c>
      <c r="AX385" s="89" t="str">
        <f>Registro!AS385</f>
        <v>a) Que sea un buen profesional</v>
      </c>
      <c r="AY385" s="89" t="str">
        <f>Registro!AT385</f>
        <v>d) Bastante necesaria</v>
      </c>
      <c r="AZ385" s="89" t="str">
        <f>Registro!AU385</f>
        <v>b) Las veces que bebo, es con moderación</v>
      </c>
      <c r="BA385" s="89" t="str">
        <f>Registro!AV385</f>
        <v>a) Personas a las que tengo que aguantar</v>
      </c>
      <c r="BB385" s="89" t="str">
        <f>Registro!AW385</f>
        <v>b) Poco</v>
      </c>
      <c r="BC385" s="89" t="str">
        <f>Registro!AX385</f>
        <v>b) Hay de todo tipo, pero predomina lo negativo</v>
      </c>
      <c r="BD385" s="89" t="str">
        <f>Registro!AY385</f>
        <v>a) Mi padre, b) Mi madre, g) Un amigo, h) Una amiga</v>
      </c>
    </row>
    <row r="386" spans="1:56" ht="15" customHeight="1" x14ac:dyDescent="0.25">
      <c r="A386" s="101" t="str">
        <f>Registro!A386</f>
        <v>6/16/2015 9:28:46</v>
      </c>
      <c r="B386" s="89" t="str">
        <f>Registro!B386</f>
        <v>b) Calasanz de Valencia</v>
      </c>
      <c r="C386" s="89" t="str">
        <f>Registro!C386</f>
        <v>c) Cuarto año</v>
      </c>
      <c r="D386" s="89" t="str">
        <f>Registro!D386</f>
        <v>b) Primaria</v>
      </c>
      <c r="E386" s="89" t="str">
        <f>Registro!E386</f>
        <v>a) Masculino</v>
      </c>
      <c r="F386" s="89" t="str">
        <f>Registro!F386</f>
        <v>a) Católica</v>
      </c>
      <c r="G386" s="89" t="str">
        <f>Registro!G386</f>
        <v>a) Mamá, b) Papá, c) Hermanos, d) Abuelos, e) Otros familiares</v>
      </c>
      <c r="H386" s="89" t="str">
        <f>Registro!H386</f>
        <v>b) Casa Urbana</v>
      </c>
      <c r="I386" s="89" t="str">
        <f>Registro!I386</f>
        <v>a) Sí</v>
      </c>
      <c r="J386" s="89" t="str">
        <f>Registro!J386</f>
        <v>b) Lavadora, d) TV pantalla plana, f) MP3, g) MP4, i) Computadora, j) Cámara digital, k) Aire acondicionado</v>
      </c>
      <c r="K386" s="89" t="str">
        <f>Registro!K386</f>
        <v>c) Dos</v>
      </c>
      <c r="L386" s="89" t="str">
        <f>Registro!L386</f>
        <v>a) La familia, b) Los amigos, g) La felicidad</v>
      </c>
      <c r="M386" s="94">
        <f t="shared" si="33"/>
        <v>3</v>
      </c>
      <c r="N386" s="89" t="str">
        <f>Registro!M386</f>
        <v>a) Seguridad personal (la violencia y la delincuencia)</v>
      </c>
      <c r="O386" s="89" t="str">
        <f>Registro!N386</f>
        <v>b) Suficiente</v>
      </c>
      <c r="P386" s="89" t="str">
        <f>Registro!O386</f>
        <v>b) Suficiente</v>
      </c>
      <c r="Q386" s="89" t="str">
        <f>Registro!P386</f>
        <v>b) Suficiente</v>
      </c>
      <c r="R386" s="89" t="str">
        <f>Registro!Q386</f>
        <v>c) Los estudios, g) La felicidad, j) El deporte</v>
      </c>
      <c r="S386" s="94">
        <f t="shared" si="34"/>
        <v>3</v>
      </c>
      <c r="T386" s="89" t="str">
        <f>Registro!R386</f>
        <v>a) Mucho</v>
      </c>
      <c r="U386" s="89" t="str">
        <f>Registro!S386</f>
        <v>b) La naturaleza, d) Las convivencias, j) Todas partes, k) La oración, l) Los sacramentos</v>
      </c>
      <c r="V386" s="89" t="str">
        <f>Registro!T386</f>
        <v>a) Suelo rezar por convicción o porque me gusta</v>
      </c>
      <c r="W386" s="89" t="str">
        <f>Registro!U386</f>
        <v>c) Solo en fechas especiales</v>
      </c>
      <c r="X386" s="89" t="str">
        <f>Registro!V386</f>
        <v>a) Suelo llevar una cruz o algún objeto religioso, e) Voy a misa en las fechas de mis familiares difuntos, f) En alguna ocasión he rezado el rosario</v>
      </c>
      <c r="Y386" s="89" t="str">
        <f>Registro!W386</f>
        <v>a) Deportivo, d) No pertenezco a ninguno</v>
      </c>
      <c r="Z386" s="89" t="str">
        <f>Registro!X386</f>
        <v>b) Un lugar donde comparto con mis compañeros</v>
      </c>
      <c r="AA386" s="89" t="str">
        <f>Registro!Y386</f>
        <v>b) No</v>
      </c>
      <c r="AB386" s="89" t="str">
        <f>Registro!Z386</f>
        <v>b) No</v>
      </c>
      <c r="AC386" s="89" t="str">
        <f>Registro!AA386</f>
        <v>e) Derecho, g) Artista</v>
      </c>
      <c r="AD386" s="94">
        <f t="shared" si="35"/>
        <v>2</v>
      </c>
      <c r="AE386" s="89" t="str">
        <f>Registro!AB386</f>
        <v>c) Ser un excelente profesional</v>
      </c>
      <c r="AF386" s="89" t="str">
        <f>Registro!AC386</f>
        <v>a) No, en absoluto</v>
      </c>
      <c r="AG386" s="89" t="str">
        <f>Registro!AD386</f>
        <v>c) Las instalaciones del Colegio</v>
      </c>
      <c r="AH386" s="94">
        <f t="shared" si="28"/>
        <v>1</v>
      </c>
      <c r="AI386" s="89" t="str">
        <f>Registro!AE386</f>
        <v>b) 3 a 4 horas</v>
      </c>
      <c r="AJ386" s="89" t="str">
        <f>Registro!AF386</f>
        <v>d) Estoy la mayor parte del tiempo en la casa sin hacer nada, e) Suelo ir a algún parque, l) Escucho música y/o veo videos musicales</v>
      </c>
      <c r="AK386" s="94">
        <f t="shared" si="29"/>
        <v>3</v>
      </c>
      <c r="AL386" s="89" t="str">
        <f>Registro!AG386</f>
        <v>c) Regular</v>
      </c>
      <c r="AM386" s="89" t="str">
        <f>Registro!AH386</f>
        <v>e) Muy mala</v>
      </c>
      <c r="AN386" s="89" t="str">
        <f>Registro!AI386</f>
        <v>e) Muy mala</v>
      </c>
      <c r="AO386" s="89" t="str">
        <f>Registro!AJ386</f>
        <v>b) Buena</v>
      </c>
      <c r="AP386" s="89" t="str">
        <f>Registro!AK386</f>
        <v>f) No aplica</v>
      </c>
      <c r="AQ386" s="89" t="str">
        <f>Registro!AL386</f>
        <v>c) Regular</v>
      </c>
      <c r="AR386" s="89" t="str">
        <f>Registro!AM386</f>
        <v>d) Mala</v>
      </c>
      <c r="AS386" s="89" t="str">
        <f>Registro!AN386</f>
        <v>b) Buena</v>
      </c>
      <c r="AT386" s="89" t="str">
        <f>Registro!AO386</f>
        <v>b) Buena</v>
      </c>
      <c r="AU386" s="89" t="str">
        <f>Registro!AP386</f>
        <v>b) Buena</v>
      </c>
      <c r="AV386" s="89" t="str">
        <f>Registro!AQ386</f>
        <v>e) Muy mala</v>
      </c>
      <c r="AW386" s="89" t="str">
        <f>Registro!AR386</f>
        <v>i) En nada</v>
      </c>
      <c r="AX386" s="89" t="str">
        <f>Registro!AS386</f>
        <v>h) No sé</v>
      </c>
      <c r="AY386" s="89" t="str">
        <f>Registro!AT386</f>
        <v>d) Bastante necesaria</v>
      </c>
      <c r="AZ386" s="89" t="str">
        <f>Registro!AU386</f>
        <v>a) No acostumbro a tomarlo nunca</v>
      </c>
      <c r="BA386" s="89" t="str">
        <f>Registro!AV386</f>
        <v>a) Personas a las que tengo que aguantar</v>
      </c>
      <c r="BB386" s="89" t="str">
        <f>Registro!AW386</f>
        <v>b) Poco</v>
      </c>
      <c r="BC386" s="89" t="str">
        <f>Registro!AX386</f>
        <v>a) No me gustan en absoluto</v>
      </c>
      <c r="BD386" s="89" t="str">
        <f>Registro!AY386</f>
        <v>a) Mi padre, b) Mi madre, g) Un amigo, h) Una amiga</v>
      </c>
    </row>
    <row r="387" spans="1:56" ht="15" customHeight="1" x14ac:dyDescent="0.25">
      <c r="A387" s="101" t="str">
        <f>Registro!A387</f>
        <v>6/16/2015 9:39:09</v>
      </c>
      <c r="B387" s="89" t="str">
        <f>Registro!B387</f>
        <v>b) Calasanz de Valencia</v>
      </c>
      <c r="C387" s="89" t="str">
        <f>Registro!C387</f>
        <v>c) Cuarto año</v>
      </c>
      <c r="D387" s="89" t="str">
        <f>Registro!D387</f>
        <v>b) Primaria</v>
      </c>
      <c r="E387" s="89" t="str">
        <f>Registro!E387</f>
        <v>b) Femenino</v>
      </c>
      <c r="F387" s="89" t="str">
        <f>Registro!F387</f>
        <v>a) Católica</v>
      </c>
      <c r="G387" s="89" t="str">
        <f>Registro!G387</f>
        <v>a) Mamá, b) Papá, c) Hermanos, e) Otros familiares</v>
      </c>
      <c r="H387" s="89" t="str">
        <f>Registro!H387</f>
        <v>b) Casa Urbana</v>
      </c>
      <c r="I387" s="89" t="str">
        <f>Registro!I387</f>
        <v>a) Sí</v>
      </c>
      <c r="J387" s="89" t="str">
        <f>Registro!J387</f>
        <v>a) Cónsola videojuegos, b) Lavadora, c) Microondas, d) TV pantalla plana, e) Moto, h) Carro, i) Computadora, k) Aire acondicionado</v>
      </c>
      <c r="K387" s="89" t="str">
        <f>Registro!K387</f>
        <v>c) Dos</v>
      </c>
      <c r="L387" s="89" t="str">
        <f>Registro!L387</f>
        <v>a) La familia, b) Los amigos, f) Mi fe y vida cristiana</v>
      </c>
      <c r="M387" s="94">
        <f t="shared" si="33"/>
        <v>3</v>
      </c>
      <c r="N387" s="89" t="str">
        <f>Registro!M387</f>
        <v>b) El futuro</v>
      </c>
      <c r="O387" s="89" t="str">
        <f>Registro!N387</f>
        <v>b) Suficiente</v>
      </c>
      <c r="P387" s="89" t="str">
        <f>Registro!O387</f>
        <v>a) Mucho</v>
      </c>
      <c r="Q387" s="89" t="str">
        <f>Registro!P387</f>
        <v>b) Suficiente</v>
      </c>
      <c r="R387" s="89" t="str">
        <f>Registro!Q387</f>
        <v>c) Los estudios, d) El cuidado de mi cuerpo, e) Disponer de dinero</v>
      </c>
      <c r="S387" s="94">
        <f t="shared" si="34"/>
        <v>3</v>
      </c>
      <c r="T387" s="89" t="str">
        <f>Registro!R387</f>
        <v>a) Mucho</v>
      </c>
      <c r="U387" s="89" t="str">
        <f>Registro!S387</f>
        <v>b) La naturaleza, c) El salón de clase, f) Todas las personas, j) Todas partes, k) La oración</v>
      </c>
      <c r="V387" s="89" t="str">
        <f>Registro!T387</f>
        <v>c) Rezo solo en situación de dificultad</v>
      </c>
      <c r="W387" s="89" t="str">
        <f>Registro!U387</f>
        <v>c) Solo en fechas especiales</v>
      </c>
      <c r="X387" s="89" t="str">
        <f>Registro!V387</f>
        <v>i) Tengo en mi cuarto alguna imagen religiosa</v>
      </c>
      <c r="Y387" s="89" t="str">
        <f>Registro!W387</f>
        <v xml:space="preserve">b) Cultural (folklórico, musicales, danzas, scout, banda marcial,...) </v>
      </c>
      <c r="Z387" s="89" t="str">
        <f>Registro!X387</f>
        <v>d) No pertenezco a grupos juveniles cristianos</v>
      </c>
      <c r="AA387" s="89" t="str">
        <f>Registro!Y387</f>
        <v>b) No</v>
      </c>
      <c r="AB387" s="89" t="str">
        <f>Registro!Z387</f>
        <v>b) No</v>
      </c>
      <c r="AC387" s="89" t="str">
        <f>Registro!AA387</f>
        <v>a) Medicina, i) Comerciante</v>
      </c>
      <c r="AD387" s="94">
        <f t="shared" si="35"/>
        <v>2</v>
      </c>
      <c r="AE387" s="89" t="str">
        <f>Registro!AB387</f>
        <v>d) Desarrollarme personalmente</v>
      </c>
      <c r="AF387" s="89" t="str">
        <f>Registro!AC387</f>
        <v>a) No, en absoluto</v>
      </c>
      <c r="AG387" s="89" t="str">
        <f>Registro!AD387</f>
        <v>b) El ambiente de estudio y de trabajo, g) La relación con los docentes</v>
      </c>
      <c r="AH387" s="94">
        <f t="shared" ref="AH387:AH450" si="36">COUNTIF(AG387,"*a)*")+COUNTIF(AG387,"*b)*")+COUNTIF(AG387,"*c)*")+COUNTIF(AG387,"*d)*")+COUNTIF(AG387,"*e)*")+COUNTIF(AG387,"*f)*")+COUNTIF(AG387,"*g)*")+COUNTIF(AG387,"*h)*")+COUNTIF(AG387,"*i)*")+COUNTIF(AG387,"*j)*")+COUNTIF(AG387,"*k)*")+COUNTIF(AG387,"*l)*")+COUNTIF(AG387,"*m)*")+COUNTIF(AG387,"*n)*")+COUNTIF(AG387,"*o)*")+COUNTIF(AG387,"*p)*")</f>
        <v>2</v>
      </c>
      <c r="AI387" s="89" t="str">
        <f>Registro!AE387</f>
        <v>a) 0 a 2 horas</v>
      </c>
      <c r="AJ387" s="89" t="str">
        <f>Registro!AF387</f>
        <v>d) Estoy la mayor parte del tiempo en la casa sin hacer nada, l) Escucho música y/o veo videos musicales, n) Estoy conversando con los amigos/as</v>
      </c>
      <c r="AK387" s="94">
        <f t="shared" ref="AK387:AK450" si="37">COUNTIF(AJ387,"*a)*")+COUNTIF(AJ387,"*b)*")+COUNTIF(AJ387,"*c)*")+COUNTIF(AJ387,"*d)*")+COUNTIF(AJ387,"*e)*")+COUNTIF(AJ387,"*f)*")+COUNTIF(AJ387,"*g)*")+COUNTIF(AJ387,"*h)*")+COUNTIF(AJ387,"*i)*")+COUNTIF(AJ387,"*j)*")+COUNTIF(AJ387,"*k)*")+COUNTIF(AJ387,"*l)*")+COUNTIF(AJ387,"*m)*")+COUNTIF(AJ387,"*n)*")+COUNTIF(AJ387,"*o)*")+COUNTIF(AJ387,"*p)*")</f>
        <v>3</v>
      </c>
      <c r="AL387" s="89" t="str">
        <f>Registro!AG387</f>
        <v>c) Regular</v>
      </c>
      <c r="AM387" s="89" t="str">
        <f>Registro!AH387</f>
        <v>e) Muy mala</v>
      </c>
      <c r="AN387" s="89" t="str">
        <f>Registro!AI387</f>
        <v>e) Muy mala</v>
      </c>
      <c r="AO387" s="89" t="str">
        <f>Registro!AJ387</f>
        <v>c) Regular</v>
      </c>
      <c r="AP387" s="89" t="str">
        <f>Registro!AK387</f>
        <v>c) Regular</v>
      </c>
      <c r="AQ387" s="89" t="str">
        <f>Registro!AL387</f>
        <v>c) Regular</v>
      </c>
      <c r="AR387" s="89" t="str">
        <f>Registro!AM387</f>
        <v>a) Muy buena</v>
      </c>
      <c r="AS387" s="89" t="str">
        <f>Registro!AN387</f>
        <v>a) Muy buena</v>
      </c>
      <c r="AT387" s="89" t="str">
        <f>Registro!AO387</f>
        <v>a) Muy buena</v>
      </c>
      <c r="AU387" s="89" t="str">
        <f>Registro!AP387</f>
        <v>a) Muy buena</v>
      </c>
      <c r="AV387" s="89" t="str">
        <f>Registro!AQ387</f>
        <v>a) Muy buena</v>
      </c>
      <c r="AW387" s="89" t="str">
        <f>Registro!AR387</f>
        <v>c) El estudio</v>
      </c>
      <c r="AX387" s="89" t="str">
        <f>Registro!AS387</f>
        <v>e) Que sea cristiano responsable</v>
      </c>
      <c r="AY387" s="89" t="str">
        <f>Registro!AT387</f>
        <v>d) Bastante necesaria</v>
      </c>
      <c r="AZ387" s="89" t="str">
        <f>Registro!AU387</f>
        <v>c) Alguna vez he bebido más de la cuenta</v>
      </c>
      <c r="BA387" s="89" t="str">
        <f>Registro!AV387</f>
        <v>a) Personas a las que tengo que aguantar</v>
      </c>
      <c r="BB387" s="89" t="str">
        <f>Registro!AW387</f>
        <v>b) Poco</v>
      </c>
      <c r="BC387" s="89" t="str">
        <f>Registro!AX387</f>
        <v>d) Hay de todo tipo, pero predomina lo positivo</v>
      </c>
      <c r="BD387" s="89" t="str">
        <f>Registro!AY387</f>
        <v>a) Mi padre, b) Mi madre, c) Un hermano/a, g) Un amigo, h) Una amiga</v>
      </c>
    </row>
    <row r="388" spans="1:56" ht="15" customHeight="1" x14ac:dyDescent="0.25">
      <c r="A388" s="101" t="str">
        <f>Registro!A388</f>
        <v>6/16/2015 9:40:47</v>
      </c>
      <c r="B388" s="89" t="str">
        <f>Registro!B388</f>
        <v>b) Calasanz de Valencia</v>
      </c>
      <c r="C388" s="89" t="str">
        <f>Registro!C388</f>
        <v>c) Cuarto año</v>
      </c>
      <c r="D388" s="89" t="str">
        <f>Registro!D388</f>
        <v>a) Educación Inicial</v>
      </c>
      <c r="E388" s="89" t="str">
        <f>Registro!E388</f>
        <v>a) Masculino</v>
      </c>
      <c r="F388" s="89" t="str">
        <f>Registro!F388</f>
        <v>a) Católica</v>
      </c>
      <c r="G388" s="89" t="str">
        <f>Registro!G388</f>
        <v>a) Mamá, b) Papá, d) Abuelos</v>
      </c>
      <c r="H388" s="89" t="str">
        <f>Registro!H388</f>
        <v>c) Apartamento</v>
      </c>
      <c r="I388" s="89" t="str">
        <f>Registro!I388</f>
        <v>c) Algo</v>
      </c>
      <c r="J388" s="89" t="str">
        <f>Registro!J388</f>
        <v>a) Cónsola videojuegos, b) Lavadora, c) Microondas, h) Carro, i) Computadora, k) Aire acondicionado</v>
      </c>
      <c r="K388" s="89" t="str">
        <f>Registro!K388</f>
        <v>c) Dos</v>
      </c>
      <c r="L388" s="89" t="str">
        <f>Registro!L388</f>
        <v>b) Los amigos, g) La felicidad, j) El deporte</v>
      </c>
      <c r="M388" s="94">
        <f t="shared" si="33"/>
        <v>3</v>
      </c>
      <c r="N388" s="89" t="str">
        <f>Registro!M388</f>
        <v>c) Yo mismo</v>
      </c>
      <c r="O388" s="89" t="str">
        <f>Registro!N388</f>
        <v>c) Poco</v>
      </c>
      <c r="P388" s="89" t="str">
        <f>Registro!O388</f>
        <v>c) Poco</v>
      </c>
      <c r="Q388" s="89" t="str">
        <f>Registro!P388</f>
        <v>c) Poco</v>
      </c>
      <c r="R388" s="89" t="str">
        <f>Registro!Q388</f>
        <v>a) La familia, c) Los estudios, e) Disponer de dinero</v>
      </c>
      <c r="S388" s="94">
        <f t="shared" si="34"/>
        <v>3</v>
      </c>
      <c r="T388" s="89" t="str">
        <f>Registro!R388</f>
        <v>b) Suficiente</v>
      </c>
      <c r="U388" s="89" t="str">
        <f>Registro!S388</f>
        <v>k) La oración</v>
      </c>
      <c r="V388" s="89" t="str">
        <f>Registro!T388</f>
        <v>b) Rezo por costumbre</v>
      </c>
      <c r="W388" s="89" t="str">
        <f>Registro!U388</f>
        <v>d) Nunca</v>
      </c>
      <c r="X388" s="89" t="str">
        <f>Registro!V388</f>
        <v>d) Suelo orar todos los días, f) En alguna ocasión he rezado el rosario</v>
      </c>
      <c r="Y388" s="89" t="str">
        <f>Registro!W388</f>
        <v>a) Deportivo</v>
      </c>
      <c r="Z388" s="89" t="str">
        <f>Registro!X388</f>
        <v>d) No pertenezco a grupos juveniles cristianos</v>
      </c>
      <c r="AA388" s="89" t="str">
        <f>Registro!Y388</f>
        <v>b) No</v>
      </c>
      <c r="AB388" s="89" t="str">
        <f>Registro!Z388</f>
        <v>b) No</v>
      </c>
      <c r="AC388" s="89" t="str">
        <f>Registro!AA388</f>
        <v>h) Ciencias políticas, i) Comerciante</v>
      </c>
      <c r="AD388" s="94">
        <f t="shared" si="35"/>
        <v>2</v>
      </c>
      <c r="AE388" s="89" t="str">
        <f>Registro!AB388</f>
        <v>a) Ganar mucho dinero</v>
      </c>
      <c r="AF388" s="89" t="str">
        <f>Registro!AC388</f>
        <v>a) No, en absoluto</v>
      </c>
      <c r="AG388" s="89" t="str">
        <f>Registro!AD388</f>
        <v>i) No me gusta nada</v>
      </c>
      <c r="AH388" s="94">
        <f t="shared" si="36"/>
        <v>1</v>
      </c>
      <c r="AI388" s="89" t="str">
        <f>Registro!AE388</f>
        <v>a) 0 a 2 horas</v>
      </c>
      <c r="AJ388" s="89" t="str">
        <f>Registro!AF388</f>
        <v>g) Suelo ir a discotecas o a fiestas, k) Practico algún deporte, l) Escucho música y/o veo videos musicales</v>
      </c>
      <c r="AK388" s="94">
        <f t="shared" si="37"/>
        <v>3</v>
      </c>
      <c r="AL388" s="89" t="str">
        <f>Registro!AG388</f>
        <v>d) Deficiente</v>
      </c>
      <c r="AM388" s="89" t="str">
        <f>Registro!AH388</f>
        <v>f) No aplica</v>
      </c>
      <c r="AN388" s="89" t="str">
        <f>Registro!AI388</f>
        <v>f) No aplica</v>
      </c>
      <c r="AO388" s="89" t="str">
        <f>Registro!AJ388</f>
        <v>f) No aplica</v>
      </c>
      <c r="AP388" s="89" t="str">
        <f>Registro!AK388</f>
        <v>f) No aplica</v>
      </c>
      <c r="AQ388" s="89" t="str">
        <f>Registro!AL388</f>
        <v>e) Muy mala</v>
      </c>
      <c r="AR388" s="89" t="str">
        <f>Registro!AM388</f>
        <v>d) Mala</v>
      </c>
      <c r="AS388" s="89" t="str">
        <f>Registro!AN388</f>
        <v>e) Muy mala</v>
      </c>
      <c r="AT388" s="89" t="str">
        <f>Registro!AO388</f>
        <v>d) Mala</v>
      </c>
      <c r="AU388" s="89" t="str">
        <f>Registro!AP388</f>
        <v>d) Mala</v>
      </c>
      <c r="AV388" s="89" t="str">
        <f>Registro!AQ388</f>
        <v>e) Muy mala</v>
      </c>
      <c r="AW388" s="89" t="str">
        <f>Registro!AR388</f>
        <v>i) En nada</v>
      </c>
      <c r="AX388" s="89" t="str">
        <f>Registro!AS388</f>
        <v>h) No sé</v>
      </c>
      <c r="AY388" s="89" t="str">
        <f>Registro!AT388</f>
        <v>b) Indiferente</v>
      </c>
      <c r="AZ388" s="89" t="str">
        <f>Registro!AU388</f>
        <v>d) Con frecuencia (fines de semana u otros momentos) suelo beber más de la cuenta</v>
      </c>
      <c r="BA388" s="89" t="str">
        <f>Registro!AV388</f>
        <v>a) Personas a las que tengo que aguantar</v>
      </c>
      <c r="BB388" s="89" t="str">
        <f>Registro!AW388</f>
        <v>b) Poco</v>
      </c>
      <c r="BC388" s="89" t="str">
        <f>Registro!AX388</f>
        <v>b) Hay de todo tipo, pero predomina lo negativo</v>
      </c>
      <c r="BD388" s="89" t="str">
        <f>Registro!AY388</f>
        <v>a) Mi padre, b) Mi madre, g) Un amigo, h) Una amiga</v>
      </c>
    </row>
    <row r="389" spans="1:56" ht="15" customHeight="1" x14ac:dyDescent="0.25">
      <c r="A389" s="101" t="str">
        <f>Registro!A389</f>
        <v>6/16/2015 9:41:40</v>
      </c>
      <c r="B389" s="89" t="str">
        <f>Registro!B389</f>
        <v>b) Calasanz de Valencia</v>
      </c>
      <c r="C389" s="89" t="str">
        <f>Registro!C389</f>
        <v>c) Cuarto año</v>
      </c>
      <c r="D389" s="89" t="str">
        <f>Registro!D389</f>
        <v>d) En Cuarto año o posterior</v>
      </c>
      <c r="E389" s="89" t="str">
        <f>Registro!E389</f>
        <v>a) Masculino</v>
      </c>
      <c r="F389" s="89" t="str">
        <f>Registro!F389</f>
        <v>a) Católica</v>
      </c>
      <c r="G389" s="89" t="str">
        <f>Registro!G389</f>
        <v>a) Mamá, c) Hermanos</v>
      </c>
      <c r="H389" s="89" t="str">
        <f>Registro!H389</f>
        <v>c) Apartamento</v>
      </c>
      <c r="I389" s="89" t="str">
        <f>Registro!I389</f>
        <v>a) Sí</v>
      </c>
      <c r="J389" s="89" t="str">
        <f>Registro!J389</f>
        <v>a) Cónsola videojuegos, b) Lavadora, c) Microondas, d) TV pantalla plana, h) Carro, k) Aire acondicionado</v>
      </c>
      <c r="K389" s="89" t="str">
        <f>Registro!K389</f>
        <v>b) Una</v>
      </c>
      <c r="L389" s="89" t="str">
        <f>Registro!L389</f>
        <v>a) La familia, c) Los estudios, f) Mi fe y vida cristiana</v>
      </c>
      <c r="M389" s="94">
        <f t="shared" si="33"/>
        <v>3</v>
      </c>
      <c r="N389" s="89" t="str">
        <f>Registro!M389</f>
        <v>g) Mis estudios</v>
      </c>
      <c r="O389" s="89" t="str">
        <f>Registro!N389</f>
        <v>a) Mucho</v>
      </c>
      <c r="P389" s="89" t="str">
        <f>Registro!O389</f>
        <v>b) Suficiente</v>
      </c>
      <c r="Q389" s="89" t="str">
        <f>Registro!P389</f>
        <v>a) Mucho</v>
      </c>
      <c r="R389" s="89" t="str">
        <f>Registro!Q389</f>
        <v>a) La familia, b) Los amigos, c) Los estudios</v>
      </c>
      <c r="S389" s="94">
        <f t="shared" si="34"/>
        <v>3</v>
      </c>
      <c r="T389" s="89" t="str">
        <f>Registro!R389</f>
        <v>a) Mucho</v>
      </c>
      <c r="U389" s="89" t="str">
        <f>Registro!S389</f>
        <v>a) La Iglesia, b) La naturaleza, d) Las convivencias, e) Los amigos, g) Mi familia, h) Algunas personas cercanas a Dios, k) La oración, l) Los sacramentos</v>
      </c>
      <c r="V389" s="89" t="str">
        <f>Registro!T389</f>
        <v>a) Suelo rezar por convicción o porque me gusta</v>
      </c>
      <c r="W389" s="89" t="str">
        <f>Registro!U389</f>
        <v>c) Solo en fechas especiales</v>
      </c>
      <c r="X389" s="89" t="str">
        <f>Registro!V389</f>
        <v>b) Suelo bendedir los alimentos antes de comer, c) Suelo ir los domingos y otras fechas especiales a la Iglesia, d) Suelo orar todos los días, f) En alguna ocasión he rezado el rosario, g) En ocasiones, en mi casa tenemos una oración familiar, i) Tengo en mi cuarto alguna imagen religiosa</v>
      </c>
      <c r="Y389" s="89" t="str">
        <f>Registro!W389</f>
        <v>d) No pertenezco a ninguno</v>
      </c>
      <c r="Z389" s="89" t="str">
        <f>Registro!X389</f>
        <v>d) No pertenezco a grupos juveniles cristianos</v>
      </c>
      <c r="AA389" s="89" t="str">
        <f>Registro!Y389</f>
        <v>b) No</v>
      </c>
      <c r="AB389" s="89" t="str">
        <f>Registro!Z389</f>
        <v>b) No</v>
      </c>
      <c r="AC389" s="89" t="str">
        <f>Registro!AA389</f>
        <v>a) Medicina, d) Ingeniería</v>
      </c>
      <c r="AD389" s="94">
        <f t="shared" si="35"/>
        <v>2</v>
      </c>
      <c r="AE389" s="89" t="str">
        <f>Registro!AB389</f>
        <v>c) Ser un excelente profesional</v>
      </c>
      <c r="AF389" s="89" t="str">
        <f>Registro!AC389</f>
        <v>c) Bastante</v>
      </c>
      <c r="AG389" s="89" t="str">
        <f>Registro!AD389</f>
        <v>a) Los deportes y diversiones, b) El ambiente de estudio y de trabajo</v>
      </c>
      <c r="AH389" s="94">
        <f t="shared" si="36"/>
        <v>2</v>
      </c>
      <c r="AI389" s="89" t="str">
        <f>Registro!AE389</f>
        <v>f) 11 o más horas</v>
      </c>
      <c r="AJ389" s="89" t="str">
        <f>Registro!AF389</f>
        <v>i) Leo revistas o libros, k) Practico algún deporte, l) Escucho música y/o veo videos musicales</v>
      </c>
      <c r="AK389" s="94">
        <f t="shared" si="37"/>
        <v>3</v>
      </c>
      <c r="AL389" s="89" t="str">
        <f>Registro!AG389</f>
        <v>b) Bueno</v>
      </c>
      <c r="AM389" s="89" t="str">
        <f>Registro!AH389</f>
        <v>a) Muy buena</v>
      </c>
      <c r="AN389" s="89" t="str">
        <f>Registro!AI389</f>
        <v>b) Buena</v>
      </c>
      <c r="AO389" s="89" t="str">
        <f>Registro!AJ389</f>
        <v>a) Muy buena</v>
      </c>
      <c r="AP389" s="89" t="str">
        <f>Registro!AK389</f>
        <v>b) Buena</v>
      </c>
      <c r="AQ389" s="89" t="str">
        <f>Registro!AL389</f>
        <v>b) Buena</v>
      </c>
      <c r="AR389" s="89" t="str">
        <f>Registro!AM389</f>
        <v>c) Regular</v>
      </c>
      <c r="AS389" s="89" t="str">
        <f>Registro!AN389</f>
        <v>a) Muy buena</v>
      </c>
      <c r="AT389" s="89" t="str">
        <f>Registro!AO389</f>
        <v>a) Muy buena</v>
      </c>
      <c r="AU389" s="89" t="str">
        <f>Registro!AP389</f>
        <v>a) Muy buena</v>
      </c>
      <c r="AV389" s="89" t="str">
        <f>Registro!AQ389</f>
        <v>a) Muy buena</v>
      </c>
      <c r="AW389" s="89" t="str">
        <f>Registro!AR389</f>
        <v>a) El compañerismo</v>
      </c>
      <c r="AX389" s="89" t="str">
        <f>Registro!AS389</f>
        <v>a) Que sea un buen profesional</v>
      </c>
      <c r="AY389" s="89" t="str">
        <f>Registro!AT389</f>
        <v>e) Absolutamente necesaria</v>
      </c>
      <c r="AZ389" s="89" t="str">
        <f>Registro!AU389</f>
        <v>c) Alguna vez he bebido más de la cuenta</v>
      </c>
      <c r="BA389" s="89" t="str">
        <f>Registro!AV389</f>
        <v>f) Educadores que, además, me han abierto caminos</v>
      </c>
      <c r="BB389" s="89" t="str">
        <f>Registro!AW389</f>
        <v>c) Bastante</v>
      </c>
      <c r="BC389" s="89" t="str">
        <f>Registro!AX389</f>
        <v>d) Hay de todo tipo, pero predomina lo positivo</v>
      </c>
      <c r="BD389" s="89" t="str">
        <f>Registro!AY389</f>
        <v>a) Mi padre, b) Mi madre, c) Un hermano/a, g) Un amigo, h) Una amiga, k) No tengo problemas personales</v>
      </c>
    </row>
    <row r="390" spans="1:56" ht="15" customHeight="1" x14ac:dyDescent="0.25">
      <c r="A390" s="101" t="str">
        <f>Registro!A390</f>
        <v>6/16/2015 9:41:59</v>
      </c>
      <c r="B390" s="89" t="str">
        <f>Registro!B390</f>
        <v>b) Calasanz de Valencia</v>
      </c>
      <c r="C390" s="89" t="str">
        <f>Registro!C390</f>
        <v>c) Cuarto año</v>
      </c>
      <c r="D390" s="89" t="str">
        <f>Registro!D390</f>
        <v>b) Primaria</v>
      </c>
      <c r="E390" s="89" t="str">
        <f>Registro!E390</f>
        <v>b) Femenino</v>
      </c>
      <c r="F390" s="89" t="str">
        <f>Registro!F390</f>
        <v>a) Católica</v>
      </c>
      <c r="G390" s="89" t="str">
        <f>Registro!G390</f>
        <v>a) Mamá, b) Papá, c) Hermanos, d) Abuelos</v>
      </c>
      <c r="H390" s="89" t="str">
        <f>Registro!H390</f>
        <v>b) Casa Urbana</v>
      </c>
      <c r="I390" s="89" t="str">
        <f>Registro!I390</f>
        <v>a) Sí</v>
      </c>
      <c r="J390" s="89" t="str">
        <f>Registro!J390</f>
        <v>a) Cónsola videojuegos, b) Lavadora, c) Microondas, d) TV pantalla plana, f) MP3, h) Carro, i) Computadora, j) Cámara digital, k) Aire acondicionado</v>
      </c>
      <c r="K390" s="89" t="str">
        <f>Registro!K390</f>
        <v>b) Una</v>
      </c>
      <c r="L390" s="89" t="str">
        <f>Registro!L390</f>
        <v>a) La familia, c) Los estudios, g) La felicidad</v>
      </c>
      <c r="M390" s="94">
        <f t="shared" si="33"/>
        <v>3</v>
      </c>
      <c r="N390" s="89" t="str">
        <f>Registro!M390</f>
        <v>f) La situación política del país</v>
      </c>
      <c r="O390" s="89" t="str">
        <f>Registro!N390</f>
        <v>b) Suficiente</v>
      </c>
      <c r="P390" s="89" t="str">
        <f>Registro!O390</f>
        <v>c) Poco</v>
      </c>
      <c r="Q390" s="89" t="str">
        <f>Registro!P390</f>
        <v>a) Mucho</v>
      </c>
      <c r="R390" s="89" t="str">
        <f>Registro!Q390</f>
        <v>a) La familia, c) Los estudios, e) Disponer de dinero</v>
      </c>
      <c r="S390" s="94">
        <f t="shared" si="34"/>
        <v>3</v>
      </c>
      <c r="T390" s="89" t="str">
        <f>Registro!R390</f>
        <v>b) Suficiente</v>
      </c>
      <c r="U390" s="89" t="str">
        <f>Registro!S390</f>
        <v>b) La naturaleza, e) Los amigos, g) Mi familia, i) Los necesitados</v>
      </c>
      <c r="V390" s="89" t="str">
        <f>Registro!T390</f>
        <v>c) Rezo solo en situación de dificultad</v>
      </c>
      <c r="W390" s="89" t="str">
        <f>Registro!U390</f>
        <v>b) Algunos domingos</v>
      </c>
      <c r="X390" s="89" t="str">
        <f>Registro!V390</f>
        <v>b) Suelo bendedir los alimentos antes de comer, c) Suelo ir los domingos y otras fechas especiales a la Iglesia, e) Voy a misa en las fechas de mis familiares difuntos, f) En alguna ocasión he rezado el rosario, g) En ocasiones, en mi casa tenemos una oración familiar, i) Tengo en mi cuarto alguna imagen religiosa</v>
      </c>
      <c r="Y390" s="89" t="str">
        <f>Registro!W390</f>
        <v>d) No pertenezco a ninguno</v>
      </c>
      <c r="Z390" s="89" t="str">
        <f>Registro!X390</f>
        <v>d) No pertenezco a grupos juveniles cristianos</v>
      </c>
      <c r="AA390" s="89" t="str">
        <f>Registro!Y390</f>
        <v>b) No</v>
      </c>
      <c r="AB390" s="89" t="str">
        <f>Registro!Z390</f>
        <v>b) No</v>
      </c>
      <c r="AC390" s="89" t="str">
        <f>Registro!AA390</f>
        <v>a) Medicina, e) Derecho</v>
      </c>
      <c r="AD390" s="94">
        <f t="shared" si="35"/>
        <v>2</v>
      </c>
      <c r="AE390" s="89" t="str">
        <f>Registro!AB390</f>
        <v>c) Ser un excelente profesional</v>
      </c>
      <c r="AF390" s="89" t="str">
        <f>Registro!AC390</f>
        <v>b) Poco</v>
      </c>
      <c r="AG390" s="89" t="str">
        <f>Registro!AD390</f>
        <v>a) Los deportes y diversiones, g) La relación con los docentes</v>
      </c>
      <c r="AH390" s="94">
        <f t="shared" si="36"/>
        <v>2</v>
      </c>
      <c r="AI390" s="89" t="str">
        <f>Registro!AE390</f>
        <v>f) 11 o más horas</v>
      </c>
      <c r="AJ390" s="89" t="str">
        <f>Registro!AF390</f>
        <v>b) Navego en Internet, i) Leo revistas o libros, n) Estoy conversando con los amigos/as</v>
      </c>
      <c r="AK390" s="94">
        <f t="shared" si="37"/>
        <v>3</v>
      </c>
      <c r="AL390" s="89" t="str">
        <f>Registro!AG390</f>
        <v>c) Regular</v>
      </c>
      <c r="AM390" s="89" t="str">
        <f>Registro!AH390</f>
        <v>d) Mala</v>
      </c>
      <c r="AN390" s="89" t="str">
        <f>Registro!AI390</f>
        <v>d) Mala</v>
      </c>
      <c r="AO390" s="89" t="str">
        <f>Registro!AJ390</f>
        <v>b) Buena</v>
      </c>
      <c r="AP390" s="89" t="str">
        <f>Registro!AK390</f>
        <v>e) Muy mala</v>
      </c>
      <c r="AQ390" s="89" t="str">
        <f>Registro!AL390</f>
        <v>b) Buena</v>
      </c>
      <c r="AR390" s="89" t="str">
        <f>Registro!AM390</f>
        <v>c) Regular</v>
      </c>
      <c r="AS390" s="89" t="str">
        <f>Registro!AN390</f>
        <v>c) Regular</v>
      </c>
      <c r="AT390" s="89" t="str">
        <f>Registro!AO390</f>
        <v>c) Regular</v>
      </c>
      <c r="AU390" s="89" t="str">
        <f>Registro!AP390</f>
        <v>c) Regular</v>
      </c>
      <c r="AV390" s="89" t="str">
        <f>Registro!AQ390</f>
        <v>b) Buena</v>
      </c>
      <c r="AW390" s="89" t="str">
        <f>Registro!AR390</f>
        <v>f) la práctica religiosa</v>
      </c>
      <c r="AX390" s="89" t="str">
        <f>Registro!AS390</f>
        <v>f) Que tenga honradez en la vida</v>
      </c>
      <c r="AY390" s="89" t="str">
        <f>Registro!AT390</f>
        <v>d) Bastante necesaria</v>
      </c>
      <c r="AZ390" s="89" t="str">
        <f>Registro!AU390</f>
        <v>b) Las veces que bebo, es con moderación</v>
      </c>
      <c r="BA390" s="89" t="str">
        <f>Registro!AV390</f>
        <v>e) Educadores que se preocupan de nosotros</v>
      </c>
      <c r="BB390" s="89" t="str">
        <f>Registro!AW390</f>
        <v>d) Mucho o muchísimo</v>
      </c>
      <c r="BC390" s="89" t="str">
        <f>Registro!AX390</f>
        <v>b) Hay de todo tipo, pero predomina lo negativo</v>
      </c>
      <c r="BD390" s="89" t="str">
        <f>Registro!AY390</f>
        <v>b) Mi madre, c) Un hermano/a, h) Una amiga</v>
      </c>
    </row>
    <row r="391" spans="1:56" ht="15" customHeight="1" x14ac:dyDescent="0.25">
      <c r="A391" s="101" t="str">
        <f>Registro!A391</f>
        <v>6/16/2015 9:42:21</v>
      </c>
      <c r="B391" s="89" t="str">
        <f>Registro!B391</f>
        <v>b) Calasanz de Valencia</v>
      </c>
      <c r="C391" s="89" t="str">
        <f>Registro!C391</f>
        <v>c) Cuarto año</v>
      </c>
      <c r="D391" s="89" t="str">
        <f>Registro!D391</f>
        <v>a) Educación Inicial</v>
      </c>
      <c r="E391" s="89" t="str">
        <f>Registro!E391</f>
        <v>b) Femenino</v>
      </c>
      <c r="F391" s="89" t="str">
        <f>Registro!F391</f>
        <v>a) Católica</v>
      </c>
      <c r="G391" s="89" t="str">
        <f>Registro!G391</f>
        <v>a) Mamá, b) Papá, c) Hermanos, d) Abuelos, e) Otros familiares</v>
      </c>
      <c r="H391" s="89" t="str">
        <f>Registro!H391</f>
        <v>c) Apartamento</v>
      </c>
      <c r="I391" s="89" t="str">
        <f>Registro!I391</f>
        <v>a) Sí</v>
      </c>
      <c r="J391" s="89" t="str">
        <f>Registro!J391</f>
        <v>a) Cónsola videojuegos, b) Lavadora, c) Microondas, d) TV pantalla plana, f) MP3, h) Carro, i) Computadora, j) Cámara digital, k) Aire acondicionado</v>
      </c>
      <c r="K391" s="89" t="str">
        <f>Registro!K391</f>
        <v>e) Cuatro</v>
      </c>
      <c r="L391" s="89" t="str">
        <f>Registro!L391</f>
        <v>a) La familia, b) Los amigos, g) La felicidad</v>
      </c>
      <c r="M391" s="94">
        <f t="shared" si="33"/>
        <v>3</v>
      </c>
      <c r="N391" s="89" t="str">
        <f>Registro!M391</f>
        <v>d) Los problemas familiares</v>
      </c>
      <c r="O391" s="89" t="str">
        <f>Registro!N391</f>
        <v>c) Poco</v>
      </c>
      <c r="P391" s="89" t="str">
        <f>Registro!O391</f>
        <v>c) Poco</v>
      </c>
      <c r="Q391" s="89" t="str">
        <f>Registro!P391</f>
        <v>b) Suficiente</v>
      </c>
      <c r="R391" s="89" t="str">
        <f>Registro!Q391</f>
        <v>a) La familia, e) Disponer de dinero, g) La felicidad</v>
      </c>
      <c r="S391" s="94">
        <f t="shared" si="34"/>
        <v>3</v>
      </c>
      <c r="T391" s="89" t="str">
        <f>Registro!R391</f>
        <v>b) Suficiente</v>
      </c>
      <c r="U391" s="89" t="str">
        <f>Registro!S391</f>
        <v>a) La Iglesia, g) Mi familia, h) Algunas personas cercanas a Dios, k) La oración</v>
      </c>
      <c r="V391" s="89" t="str">
        <f>Registro!T391</f>
        <v>b) Rezo por costumbre</v>
      </c>
      <c r="W391" s="89" t="str">
        <f>Registro!U391</f>
        <v>b) Algunos domingos</v>
      </c>
      <c r="X391" s="89" t="str">
        <f>Registro!V391</f>
        <v>a) Suelo llevar una cruz o algún objeto religioso, c) Suelo ir los domingos y otras fechas especiales a la Iglesia, f) En alguna ocasión he rezado el rosario, i) Tengo en mi cuarto alguna imagen religiosa</v>
      </c>
      <c r="Y391" s="89" t="str">
        <f>Registro!W391</f>
        <v>d) No pertenezco a ninguno</v>
      </c>
      <c r="Z391" s="89" t="str">
        <f>Registro!X391</f>
        <v>d) No pertenezco a grupos juveniles cristianos</v>
      </c>
      <c r="AA391" s="89" t="str">
        <f>Registro!Y391</f>
        <v>b) No</v>
      </c>
      <c r="AB391" s="89" t="str">
        <f>Registro!Z391</f>
        <v>b) No</v>
      </c>
      <c r="AC391" s="89" t="str">
        <f>Registro!AA391</f>
        <v>a) Medicina, g) Artista</v>
      </c>
      <c r="AD391" s="94">
        <f t="shared" si="35"/>
        <v>2</v>
      </c>
      <c r="AE391" s="89" t="str">
        <f>Registro!AB391</f>
        <v>d) Desarrollarme personalmente</v>
      </c>
      <c r="AF391" s="89" t="str">
        <f>Registro!AC391</f>
        <v>b) Poco</v>
      </c>
      <c r="AG391" s="89" t="str">
        <f>Registro!AD391</f>
        <v>a) Los deportes y diversiones</v>
      </c>
      <c r="AH391" s="94">
        <f t="shared" si="36"/>
        <v>1</v>
      </c>
      <c r="AI391" s="89" t="str">
        <f>Registro!AE391</f>
        <v>a) 0 a 2 horas</v>
      </c>
      <c r="AJ391" s="89" t="str">
        <f>Registro!AF391</f>
        <v>b) Navego en Internet, d) Estoy la mayor parte del tiempo en la casa sin hacer nada, m) Veo televisión y/o películas</v>
      </c>
      <c r="AK391" s="94">
        <f t="shared" si="37"/>
        <v>3</v>
      </c>
      <c r="AL391" s="89" t="str">
        <f>Registro!AG391</f>
        <v>c) Regular</v>
      </c>
      <c r="AM391" s="89" t="str">
        <f>Registro!AH391</f>
        <v>d) Mala</v>
      </c>
      <c r="AN391" s="89" t="str">
        <f>Registro!AI391</f>
        <v>b) Buena</v>
      </c>
      <c r="AO391" s="89" t="str">
        <f>Registro!AJ391</f>
        <v>c) Regular</v>
      </c>
      <c r="AP391" s="89" t="str">
        <f>Registro!AK391</f>
        <v>e) Muy mala</v>
      </c>
      <c r="AQ391" s="89" t="str">
        <f>Registro!AL391</f>
        <v>c) Regular</v>
      </c>
      <c r="AR391" s="89" t="str">
        <f>Registro!AM391</f>
        <v>b) Buena</v>
      </c>
      <c r="AS391" s="89" t="str">
        <f>Registro!AN391</f>
        <v>c) Regular</v>
      </c>
      <c r="AT391" s="89" t="str">
        <f>Registro!AO391</f>
        <v>c) Regular</v>
      </c>
      <c r="AU391" s="89" t="str">
        <f>Registro!AP391</f>
        <v>b) Buena</v>
      </c>
      <c r="AV391" s="89" t="str">
        <f>Registro!AQ391</f>
        <v>b) Buena</v>
      </c>
      <c r="AW391" s="89" t="str">
        <f>Registro!AR391</f>
        <v>c) El estudio</v>
      </c>
      <c r="AX391" s="89" t="str">
        <f>Registro!AS391</f>
        <v>h) No sé</v>
      </c>
      <c r="AY391" s="89" t="str">
        <f>Registro!AT391</f>
        <v>e) Absolutamente necesaria</v>
      </c>
      <c r="AZ391" s="89" t="str">
        <f>Registro!AU391</f>
        <v>b) Las veces que bebo, es con moderación</v>
      </c>
      <c r="BA391" s="89" t="str">
        <f>Registro!AV391</f>
        <v>c) Profesionales que hacen lo que pueden</v>
      </c>
      <c r="BB391" s="89" t="str">
        <f>Registro!AW391</f>
        <v>b) Poco</v>
      </c>
      <c r="BC391" s="89" t="str">
        <f>Registro!AX391</f>
        <v>c) Son personas normales y corrientes</v>
      </c>
      <c r="BD391" s="89" t="str">
        <f>Registro!AY391</f>
        <v>c) Un hermano/a, h) Una amiga</v>
      </c>
    </row>
    <row r="392" spans="1:56" ht="15" customHeight="1" x14ac:dyDescent="0.25">
      <c r="A392" s="101" t="str">
        <f>Registro!A392</f>
        <v>6/16/2015 9:42:24</v>
      </c>
      <c r="B392" s="89" t="str">
        <f>Registro!B392</f>
        <v>b) Calasanz de Valencia</v>
      </c>
      <c r="C392" s="89" t="str">
        <f>Registro!C392</f>
        <v>c) Cuarto año</v>
      </c>
      <c r="D392" s="89" t="str">
        <f>Registro!D392</f>
        <v>a) Educación Inicial</v>
      </c>
      <c r="E392" s="89" t="str">
        <f>Registro!E392</f>
        <v>b) Femenino</v>
      </c>
      <c r="F392" s="89" t="str">
        <f>Registro!F392</f>
        <v>a) Católica</v>
      </c>
      <c r="G392" s="89" t="str">
        <f>Registro!G392</f>
        <v>a) Mamá, b) Papá, c) Hermanos, d) Abuelos, e) Otros familiares</v>
      </c>
      <c r="H392" s="89" t="str">
        <f>Registro!H392</f>
        <v>c) Apartamento</v>
      </c>
      <c r="I392" s="89" t="str">
        <f>Registro!I392</f>
        <v>a) Sí</v>
      </c>
      <c r="J392" s="89" t="str">
        <f>Registro!J392</f>
        <v>a) Cónsola videojuegos, b) Lavadora, c) Microondas, d) TV pantalla plana, e) Moto, f) MP3, h) Carro, i) Computadora, j) Cámara digital, k) Aire acondicionado</v>
      </c>
      <c r="K392" s="89" t="str">
        <f>Registro!K392</f>
        <v>c) Dos</v>
      </c>
      <c r="L392" s="89" t="str">
        <f>Registro!L392</f>
        <v>a) La familia, c) Los estudios, g) La felicidad</v>
      </c>
      <c r="M392" s="94">
        <f t="shared" si="33"/>
        <v>3</v>
      </c>
      <c r="N392" s="89" t="str">
        <f>Registro!M392</f>
        <v>a) Seguridad personal (la violencia y la delincuencia)</v>
      </c>
      <c r="O392" s="89" t="str">
        <f>Registro!N392</f>
        <v>b) Suficiente</v>
      </c>
      <c r="P392" s="89" t="str">
        <f>Registro!O392</f>
        <v>b) Suficiente</v>
      </c>
      <c r="Q392" s="89" t="str">
        <f>Registro!P392</f>
        <v>b) Suficiente</v>
      </c>
      <c r="R392" s="89" t="str">
        <f>Registro!Q392</f>
        <v>a) La familia, c) Los estudios, d) El cuidado de mi cuerpo</v>
      </c>
      <c r="S392" s="94">
        <f t="shared" si="34"/>
        <v>3</v>
      </c>
      <c r="T392" s="89" t="str">
        <f>Registro!R392</f>
        <v>a) Mucho</v>
      </c>
      <c r="U392" s="89" t="str">
        <f>Registro!S392</f>
        <v>a) La Iglesia, b) La naturaleza, g) Mi familia, j) Todas partes, l) Los sacramentos</v>
      </c>
      <c r="V392" s="89" t="str">
        <f>Registro!T392</f>
        <v>a) Suelo rezar por convicción o porque me gusta</v>
      </c>
      <c r="W392" s="89" t="str">
        <f>Registro!U392</f>
        <v>b) Algunos domingos</v>
      </c>
      <c r="X392" s="89" t="str">
        <f>Registro!V392</f>
        <v>d) Suelo orar todos los días, f) En alguna ocasión he rezado el rosario</v>
      </c>
      <c r="Y392" s="89" t="str">
        <f>Registro!W392</f>
        <v>a) Deportivo</v>
      </c>
      <c r="Z392" s="89" t="str">
        <f>Registro!X392</f>
        <v>a) Un grupo donde profundizo mi fe</v>
      </c>
      <c r="AA392" s="89" t="str">
        <f>Registro!Y392</f>
        <v>b) No</v>
      </c>
      <c r="AB392" s="89" t="str">
        <f>Registro!Z392</f>
        <v>b) No</v>
      </c>
      <c r="AC392" s="89" t="str">
        <f>Registro!AA392</f>
        <v>b) Docencia, e) Derecho</v>
      </c>
      <c r="AD392" s="94">
        <f t="shared" si="35"/>
        <v>2</v>
      </c>
      <c r="AE392" s="89" t="str">
        <f>Registro!AB392</f>
        <v>e) Servir a los demás</v>
      </c>
      <c r="AF392" s="89" t="str">
        <f>Registro!AC392</f>
        <v>a) No, en absoluto</v>
      </c>
      <c r="AG392" s="89" t="str">
        <f>Registro!AD392</f>
        <v>i) No me gusta nada</v>
      </c>
      <c r="AH392" s="94">
        <f t="shared" si="36"/>
        <v>1</v>
      </c>
      <c r="AI392" s="89" t="str">
        <f>Registro!AE392</f>
        <v>d) 7 a 8 horas</v>
      </c>
      <c r="AJ392" s="89" t="str">
        <f>Registro!AF392</f>
        <v>h) Suelo ir al cine, l) Escucho música y/o veo videos musicales, n) Estoy conversando con los amigos/as</v>
      </c>
      <c r="AK392" s="94">
        <f t="shared" si="37"/>
        <v>3</v>
      </c>
      <c r="AL392" s="89" t="str">
        <f>Registro!AG392</f>
        <v>c) Regular</v>
      </c>
      <c r="AM392" s="89" t="str">
        <f>Registro!AH392</f>
        <v>f) No aplica</v>
      </c>
      <c r="AN392" s="89" t="str">
        <f>Registro!AI392</f>
        <v>d) Mala</v>
      </c>
      <c r="AO392" s="89" t="str">
        <f>Registro!AJ392</f>
        <v>c) Regular</v>
      </c>
      <c r="AP392" s="89" t="str">
        <f>Registro!AK392</f>
        <v>f) No aplica</v>
      </c>
      <c r="AQ392" s="89" t="str">
        <f>Registro!AL392</f>
        <v>f) No aplica</v>
      </c>
      <c r="AR392" s="89" t="str">
        <f>Registro!AM392</f>
        <v>b) Buena</v>
      </c>
      <c r="AS392" s="89" t="str">
        <f>Registro!AN392</f>
        <v>d) Mala</v>
      </c>
      <c r="AT392" s="89" t="str">
        <f>Registro!AO392</f>
        <v>c) Regular</v>
      </c>
      <c r="AU392" s="89" t="str">
        <f>Registro!AP392</f>
        <v>c) Regular</v>
      </c>
      <c r="AV392" s="89" t="str">
        <f>Registro!AQ392</f>
        <v>c) Regular</v>
      </c>
      <c r="AW392" s="89" t="str">
        <f>Registro!AR392</f>
        <v>a) El compañerismo</v>
      </c>
      <c r="AX392" s="89" t="str">
        <f>Registro!AS392</f>
        <v>a) Que sea un buen profesional</v>
      </c>
      <c r="AY392" s="89" t="str">
        <f>Registro!AT392</f>
        <v>d) Bastante necesaria</v>
      </c>
      <c r="AZ392" s="89" t="str">
        <f>Registro!AU392</f>
        <v>b) Las veces que bebo, es con moderación</v>
      </c>
      <c r="BA392" s="89" t="str">
        <f>Registro!AV392</f>
        <v>f) Educadores que, además, me han abierto caminos</v>
      </c>
      <c r="BB392" s="89" t="str">
        <f>Registro!AW392</f>
        <v>a) No, en absoluto</v>
      </c>
      <c r="BC392" s="89" t="str">
        <f>Registro!AX392</f>
        <v>d) Hay de todo tipo, pero predomina lo positivo</v>
      </c>
      <c r="BD392" s="89" t="str">
        <f>Registro!AY392</f>
        <v>b) Mi madre, g) Un amigo, h) Una amiga</v>
      </c>
    </row>
    <row r="393" spans="1:56" ht="15" customHeight="1" x14ac:dyDescent="0.25">
      <c r="A393" s="101" t="str">
        <f>Registro!A393</f>
        <v>6/16/2015 9:42:46</v>
      </c>
      <c r="B393" s="89" t="str">
        <f>Registro!B393</f>
        <v>b) Calasanz de Valencia</v>
      </c>
      <c r="C393" s="89" t="str">
        <f>Registro!C393</f>
        <v>c) Cuarto año</v>
      </c>
      <c r="D393" s="89" t="str">
        <f>Registro!D393</f>
        <v>a) Educación Inicial</v>
      </c>
      <c r="E393" s="89" t="str">
        <f>Registro!E393</f>
        <v>b) Femenino</v>
      </c>
      <c r="F393" s="89" t="str">
        <f>Registro!F393</f>
        <v>a) Católica</v>
      </c>
      <c r="G393" s="89" t="str">
        <f>Registro!G393</f>
        <v>a) Mamá, b) Papá, c) Hermanos</v>
      </c>
      <c r="H393" s="89" t="str">
        <f>Registro!H393</f>
        <v>c) Apartamento</v>
      </c>
      <c r="I393" s="89" t="str">
        <f>Registro!I393</f>
        <v>a) Sí</v>
      </c>
      <c r="J393" s="89" t="str">
        <f>Registro!J393</f>
        <v>a) Cónsola videojuegos, b) Lavadora, c) Microondas, d) TV pantalla plana, f) MP3, h) Carro, i) Computadora, j) Cámara digital, k) Aire acondicionado</v>
      </c>
      <c r="K393" s="89" t="str">
        <f>Registro!K393</f>
        <v>c) Dos</v>
      </c>
      <c r="L393" s="89" t="str">
        <f>Registro!L393</f>
        <v>a) La familia, c) Los estudios, g) La felicidad</v>
      </c>
      <c r="M393" s="94">
        <f t="shared" si="33"/>
        <v>3</v>
      </c>
      <c r="N393" s="89" t="str">
        <f>Registro!M393</f>
        <v>a) Seguridad personal (la violencia y la delincuencia)</v>
      </c>
      <c r="O393" s="89" t="str">
        <f>Registro!N393</f>
        <v>a) Mucho</v>
      </c>
      <c r="P393" s="89" t="str">
        <f>Registro!O393</f>
        <v>a) Mucho</v>
      </c>
      <c r="Q393" s="89" t="str">
        <f>Registro!P393</f>
        <v>a) Mucho</v>
      </c>
      <c r="R393" s="89" t="str">
        <f>Registro!Q393</f>
        <v>a) La familia, c) Los estudios, g) La felicidad</v>
      </c>
      <c r="S393" s="94">
        <f t="shared" si="34"/>
        <v>3</v>
      </c>
      <c r="T393" s="89" t="str">
        <f>Registro!R393</f>
        <v>a) Mucho</v>
      </c>
      <c r="U393" s="89" t="str">
        <f>Registro!S393</f>
        <v>a) La Iglesia, b) La naturaleza, g) Mi familia, i) Los necesitados, k) La oración, l) Los sacramentos</v>
      </c>
      <c r="V393" s="89" t="str">
        <f>Registro!T393</f>
        <v>a) Suelo rezar por convicción o porque me gusta</v>
      </c>
      <c r="W393" s="89" t="str">
        <f>Registro!U393</f>
        <v>b) Algunos domingos</v>
      </c>
      <c r="X393" s="89" t="str">
        <f>Registro!V393</f>
        <v>a) Suelo llevar una cruz o algún objeto religioso, c) Suelo ir los domingos y otras fechas especiales a la Iglesia, d) Suelo orar todos los días, e) Voy a misa en las fechas de mis familiares difuntos, f) En alguna ocasión he rezado el rosario, h) En Semana Santa asisto a las procesiones, i) Tengo en mi cuarto alguna imagen religiosa</v>
      </c>
      <c r="Y393" s="89" t="str">
        <f>Registro!W393</f>
        <v>c) Religioso o parroquial, d) No pertenezco a ninguno</v>
      </c>
      <c r="Z393" s="89" t="str">
        <f>Registro!X393</f>
        <v>d) No pertenezco a grupos juveniles cristianos</v>
      </c>
      <c r="AA393" s="89" t="str">
        <f>Registro!Y393</f>
        <v>b) No</v>
      </c>
      <c r="AB393" s="89" t="str">
        <f>Registro!Z393</f>
        <v>b) No</v>
      </c>
      <c r="AC393" s="89" t="str">
        <f>Registro!AA393</f>
        <v>e) Derecho, g) Artista</v>
      </c>
      <c r="AD393" s="94">
        <f t="shared" si="35"/>
        <v>2</v>
      </c>
      <c r="AE393" s="89" t="str">
        <f>Registro!AB393</f>
        <v>d) Desarrollarme personalmente</v>
      </c>
      <c r="AF393" s="89" t="str">
        <f>Registro!AC393</f>
        <v>c) Bastante</v>
      </c>
      <c r="AG393" s="89" t="str">
        <f>Registro!AD393</f>
        <v>h) Las actividades extraescolares, i) No me gusta nada</v>
      </c>
      <c r="AH393" s="94">
        <f t="shared" si="36"/>
        <v>2</v>
      </c>
      <c r="AI393" s="89" t="str">
        <f>Registro!AE393</f>
        <v>c) 5 a 6 horas</v>
      </c>
      <c r="AJ393" s="89" t="str">
        <f>Registro!AF393</f>
        <v>a) Me divierto con juegos para computadoras, i) Leo revistas o libros, m) Veo televisión y/o películas</v>
      </c>
      <c r="AK393" s="94">
        <f t="shared" si="37"/>
        <v>3</v>
      </c>
      <c r="AL393" s="89" t="str">
        <f>Registro!AG393</f>
        <v>b) Bueno</v>
      </c>
      <c r="AM393" s="89" t="str">
        <f>Registro!AH393</f>
        <v>c) Regular</v>
      </c>
      <c r="AN393" s="89" t="str">
        <f>Registro!AI393</f>
        <v>c) Regular</v>
      </c>
      <c r="AO393" s="89" t="str">
        <f>Registro!AJ393</f>
        <v>b) Buena</v>
      </c>
      <c r="AP393" s="89" t="str">
        <f>Registro!AK393</f>
        <v>d) Mala</v>
      </c>
      <c r="AQ393" s="89" t="str">
        <f>Registro!AL393</f>
        <v>c) Regular</v>
      </c>
      <c r="AR393" s="89" t="str">
        <f>Registro!AM393</f>
        <v>b) Buena</v>
      </c>
      <c r="AS393" s="89" t="str">
        <f>Registro!AN393</f>
        <v>b) Buena</v>
      </c>
      <c r="AT393" s="89" t="str">
        <f>Registro!AO393</f>
        <v>a) Muy buena</v>
      </c>
      <c r="AU393" s="89" t="str">
        <f>Registro!AP393</f>
        <v>a) Muy buena</v>
      </c>
      <c r="AV393" s="89" t="str">
        <f>Registro!AQ393</f>
        <v>b) Buena</v>
      </c>
      <c r="AW393" s="89" t="str">
        <f>Registro!AR393</f>
        <v>g) La orientación profesional futura</v>
      </c>
      <c r="AX393" s="89" t="str">
        <f>Registro!AS393</f>
        <v>a) Que sea un buen profesional</v>
      </c>
      <c r="AY393" s="89" t="str">
        <f>Registro!AT393</f>
        <v>e) Absolutamente necesaria</v>
      </c>
      <c r="AZ393" s="89" t="str">
        <f>Registro!AU393</f>
        <v>a) No acostumbro a tomarlo nunca</v>
      </c>
      <c r="BA393" s="89" t="str">
        <f>Registro!AV393</f>
        <v>e) Educadores que se preocupan de nosotros</v>
      </c>
      <c r="BB393" s="89" t="str">
        <f>Registro!AW393</f>
        <v>c) Bastante</v>
      </c>
      <c r="BC393" s="89" t="str">
        <f>Registro!AX393</f>
        <v>e) Son personas que me gustan y admiro</v>
      </c>
      <c r="BD393" s="89" t="str">
        <f>Registro!AY393</f>
        <v>a) Mi padre, b) Mi madre, c) Un hermano/a</v>
      </c>
    </row>
    <row r="394" spans="1:56" ht="15" customHeight="1" x14ac:dyDescent="0.25">
      <c r="A394" s="101" t="str">
        <f>Registro!A394</f>
        <v>6/16/2015 9:43:17</v>
      </c>
      <c r="B394" s="89" t="str">
        <f>Registro!B394</f>
        <v>b) Calasanz de Valencia</v>
      </c>
      <c r="C394" s="89" t="str">
        <f>Registro!C394</f>
        <v>c) Cuarto año</v>
      </c>
      <c r="D394" s="89" t="str">
        <f>Registro!D394</f>
        <v>c) Entre Primero y Tercer año</v>
      </c>
      <c r="E394" s="89" t="str">
        <f>Registro!E394</f>
        <v>b) Femenino</v>
      </c>
      <c r="F394" s="89" t="str">
        <f>Registro!F394</f>
        <v>a) Católica</v>
      </c>
      <c r="G394" s="89" t="str">
        <f>Registro!G394</f>
        <v>a) Mamá, b) Papá, c) Hermanos, d) Abuelos, e) Otros familiares</v>
      </c>
      <c r="H394" s="89" t="str">
        <f>Registro!H394</f>
        <v>c) Apartamento</v>
      </c>
      <c r="I394" s="89" t="str">
        <f>Registro!I394</f>
        <v>a) Sí</v>
      </c>
      <c r="J394" s="89" t="str">
        <f>Registro!J394</f>
        <v>b) Lavadora, c) Microondas, d) TV pantalla plana, f) MP3, g) MP4, h) Carro, i) Computadora, j) Cámara digital, k) Aire acondicionado</v>
      </c>
      <c r="K394" s="89" t="str">
        <f>Registro!K394</f>
        <v>c) Dos</v>
      </c>
      <c r="L394" s="89" t="str">
        <f>Registro!L394</f>
        <v>a) La familia, e) Disponer de dinero, g) La felicidad</v>
      </c>
      <c r="M394" s="94">
        <f t="shared" si="33"/>
        <v>3</v>
      </c>
      <c r="N394" s="89" t="str">
        <f>Registro!M394</f>
        <v>b) El futuro</v>
      </c>
      <c r="O394" s="89" t="str">
        <f>Registro!N394</f>
        <v>b) Suficiente</v>
      </c>
      <c r="P394" s="89" t="str">
        <f>Registro!O394</f>
        <v>b) Suficiente</v>
      </c>
      <c r="Q394" s="89" t="str">
        <f>Registro!P394</f>
        <v>a) Mucho</v>
      </c>
      <c r="R394" s="89" t="str">
        <f>Registro!Q394</f>
        <v>a) La familia, c) Los estudios, g) La felicidad</v>
      </c>
      <c r="S394" s="94">
        <f t="shared" si="34"/>
        <v>3</v>
      </c>
      <c r="T394" s="89" t="str">
        <f>Registro!R394</f>
        <v>a) Mucho</v>
      </c>
      <c r="U394" s="89" t="str">
        <f>Registro!S394</f>
        <v>a) La Iglesia, e) Los amigos, g) Mi familia, k) La oración</v>
      </c>
      <c r="V394" s="89" t="str">
        <f>Registro!T394</f>
        <v>c) Rezo solo en situación de dificultad</v>
      </c>
      <c r="W394" s="89" t="str">
        <f>Registro!U394</f>
        <v>c) Solo en fechas especiales</v>
      </c>
      <c r="X394" s="89" t="str">
        <f>Registro!V394</f>
        <v>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394" s="89" t="str">
        <f>Registro!W394</f>
        <v>d) No pertenezco a ninguno</v>
      </c>
      <c r="Z394" s="89" t="str">
        <f>Registro!X394</f>
        <v>d) No pertenezco a grupos juveniles cristianos</v>
      </c>
      <c r="AA394" s="89" t="str">
        <f>Registro!Y394</f>
        <v>b) No</v>
      </c>
      <c r="AB394" s="89" t="str">
        <f>Registro!Z394</f>
        <v>b) No</v>
      </c>
      <c r="AC394" s="89" t="str">
        <f>Registro!AA394</f>
        <v>a) Medicina, i) Comerciante</v>
      </c>
      <c r="AD394" s="94">
        <f t="shared" si="35"/>
        <v>2</v>
      </c>
      <c r="AE394" s="89" t="str">
        <f>Registro!AB394</f>
        <v>a) Ganar mucho dinero</v>
      </c>
      <c r="AF394" s="89" t="str">
        <f>Registro!AC394</f>
        <v>c) Bastante</v>
      </c>
      <c r="AG394" s="89" t="str">
        <f>Registro!AD394</f>
        <v>a) Los deportes y diversiones, h) Las actividades extraescolares</v>
      </c>
      <c r="AH394" s="94">
        <f t="shared" si="36"/>
        <v>2</v>
      </c>
      <c r="AI394" s="89" t="str">
        <f>Registro!AE394</f>
        <v>c) 5 a 6 horas</v>
      </c>
      <c r="AJ394" s="89" t="str">
        <f>Registro!AF394</f>
        <v>b) Navego en Internet, g) Suelo ir a discotecas o a fiestas, n) Estoy conversando con los amigos/as</v>
      </c>
      <c r="AK394" s="94">
        <f t="shared" si="37"/>
        <v>3</v>
      </c>
      <c r="AL394" s="89" t="str">
        <f>Registro!AG394</f>
        <v>b) Bueno</v>
      </c>
      <c r="AM394" s="89" t="str">
        <f>Registro!AH394</f>
        <v>f) No aplica</v>
      </c>
      <c r="AN394" s="89" t="str">
        <f>Registro!AI394</f>
        <v>c) Regular</v>
      </c>
      <c r="AO394" s="89" t="str">
        <f>Registro!AJ394</f>
        <v>d) Mala</v>
      </c>
      <c r="AP394" s="89" t="str">
        <f>Registro!AK394</f>
        <v>d) Mala</v>
      </c>
      <c r="AQ394" s="89" t="str">
        <f>Registro!AL394</f>
        <v>a) Muy buena</v>
      </c>
      <c r="AR394" s="89" t="str">
        <f>Registro!AM394</f>
        <v>b) Buena</v>
      </c>
      <c r="AS394" s="89" t="str">
        <f>Registro!AN394</f>
        <v>c) Regular</v>
      </c>
      <c r="AT394" s="89" t="str">
        <f>Registro!AO394</f>
        <v>b) Buena</v>
      </c>
      <c r="AU394" s="89" t="str">
        <f>Registro!AP394</f>
        <v>b) Buena</v>
      </c>
      <c r="AV394" s="89" t="str">
        <f>Registro!AQ394</f>
        <v>d) Mala</v>
      </c>
      <c r="AW394" s="89" t="str">
        <f>Registro!AR394</f>
        <v>c) El estudio</v>
      </c>
      <c r="AX394" s="89" t="str">
        <f>Registro!AS394</f>
        <v>b) Darme una buena educación</v>
      </c>
      <c r="AY394" s="89" t="str">
        <f>Registro!AT394</f>
        <v>e) Absolutamente necesaria</v>
      </c>
      <c r="AZ394" s="89" t="str">
        <f>Registro!AU394</f>
        <v>b) Las veces que bebo, es con moderación</v>
      </c>
      <c r="BA394" s="89" t="str">
        <f>Registro!AV394</f>
        <v>a) Personas a las que tengo que aguantar</v>
      </c>
      <c r="BB394" s="89" t="str">
        <f>Registro!AW394</f>
        <v>b) Poco</v>
      </c>
      <c r="BC394" s="89" t="str">
        <f>Registro!AX394</f>
        <v>c) Son personas normales y corrientes</v>
      </c>
      <c r="BD394" s="89" t="str">
        <f>Registro!AY394</f>
        <v>b) Mi madre, c) Un hermano/a, g) Un amigo, h) Una amiga, j) Nadie</v>
      </c>
    </row>
    <row r="395" spans="1:56" ht="15" customHeight="1" x14ac:dyDescent="0.25">
      <c r="A395" s="101" t="str">
        <f>Registro!A395</f>
        <v>6/16/2015 9:43:28</v>
      </c>
      <c r="B395" s="89" t="str">
        <f>Registro!B395</f>
        <v>b) Calasanz de Valencia</v>
      </c>
      <c r="C395" s="89" t="str">
        <f>Registro!C395</f>
        <v>c) Cuarto año</v>
      </c>
      <c r="D395" s="89" t="str">
        <f>Registro!D395</f>
        <v>a) Educación Inicial</v>
      </c>
      <c r="E395" s="89" t="str">
        <f>Registro!E395</f>
        <v>b) Femenino</v>
      </c>
      <c r="F395" s="89" t="str">
        <f>Registro!F395</f>
        <v>a) Católica</v>
      </c>
      <c r="G395" s="89" t="str">
        <f>Registro!G395</f>
        <v>a) Mamá, c) Hermanos, d) Abuelos</v>
      </c>
      <c r="H395" s="89" t="str">
        <f>Registro!H395</f>
        <v>a) Quinta</v>
      </c>
      <c r="I395" s="89" t="str">
        <f>Registro!I395</f>
        <v>a) Sí</v>
      </c>
      <c r="J395" s="89" t="str">
        <f>Registro!J395</f>
        <v>b) Lavadora, d) TV pantalla plana, h) Carro, k) Aire acondicionado</v>
      </c>
      <c r="K395" s="89" t="str">
        <f>Registro!K395</f>
        <v>b) Una</v>
      </c>
      <c r="L395" s="89" t="str">
        <f>Registro!L395</f>
        <v>a) La familia, b) Los amigos, g) La felicidad</v>
      </c>
      <c r="M395" s="94">
        <f t="shared" si="33"/>
        <v>3</v>
      </c>
      <c r="N395" s="89" t="str">
        <f>Registro!M395</f>
        <v>b) El futuro</v>
      </c>
      <c r="O395" s="89" t="str">
        <f>Registro!N395</f>
        <v>a) Mucho</v>
      </c>
      <c r="P395" s="89" t="str">
        <f>Registro!O395</f>
        <v>c) Poco</v>
      </c>
      <c r="Q395" s="89" t="str">
        <f>Registro!P395</f>
        <v>b) Suficiente</v>
      </c>
      <c r="R395" s="89" t="str">
        <f>Registro!Q395</f>
        <v>a) La familia, c) Los estudios, e) Disponer de dinero</v>
      </c>
      <c r="S395" s="94">
        <f t="shared" si="34"/>
        <v>3</v>
      </c>
      <c r="T395" s="89" t="str">
        <f>Registro!R395</f>
        <v>a) Mucho</v>
      </c>
      <c r="U395" s="89" t="str">
        <f>Registro!S395</f>
        <v>a) La Iglesia, g) Mi familia, k) La oración</v>
      </c>
      <c r="V395" s="89" t="str">
        <f>Registro!T395</f>
        <v>a) Suelo rezar por convicción o porque me gusta</v>
      </c>
      <c r="W395" s="89" t="str">
        <f>Registro!U395</f>
        <v>a) Todos los domingos</v>
      </c>
      <c r="X395" s="89" t="str">
        <f>Registro!V395</f>
        <v>c) Suelo ir los domingos y otras fechas especiales a la Iglesia, d) Suelo orar todos los días, e) Voy a misa en las fechas de mis familiares difuntos, g) En ocasiones, en mi casa tenemos una oración familiar, i) Tengo en mi cuarto alguna imagen religiosa</v>
      </c>
      <c r="Y395" s="89" t="str">
        <f>Registro!W395</f>
        <v>d) No pertenezco a ninguno</v>
      </c>
      <c r="Z395" s="89" t="str">
        <f>Registro!X395</f>
        <v>d) No pertenezco a grupos juveniles cristianos</v>
      </c>
      <c r="AA395" s="89" t="str">
        <f>Registro!Y395</f>
        <v>b) No</v>
      </c>
      <c r="AB395" s="89" t="str">
        <f>Registro!Z395</f>
        <v>b) No</v>
      </c>
      <c r="AC395" s="89" t="str">
        <f>Registro!AA395</f>
        <v>a) Medicina, g) Artista</v>
      </c>
      <c r="AD395" s="94">
        <f t="shared" si="35"/>
        <v>2</v>
      </c>
      <c r="AE395" s="89" t="str">
        <f>Registro!AB395</f>
        <v>c) Ser un excelente profesional</v>
      </c>
      <c r="AF395" s="89" t="str">
        <f>Registro!AC395</f>
        <v>e) No sé</v>
      </c>
      <c r="AG395" s="89" t="str">
        <f>Registro!AD395</f>
        <v>a) Los deportes y diversiones, b) El ambiente de estudio y de trabajo</v>
      </c>
      <c r="AH395" s="94">
        <f t="shared" si="36"/>
        <v>2</v>
      </c>
      <c r="AI395" s="89" t="str">
        <f>Registro!AE395</f>
        <v>d) 7 a 8 horas</v>
      </c>
      <c r="AJ395" s="89" t="str">
        <f>Registro!AF395</f>
        <v>b) Navego en Internet, m) Veo televisión y/o películas, n) Estoy conversando con los amigos/as</v>
      </c>
      <c r="AK395" s="94">
        <f t="shared" si="37"/>
        <v>3</v>
      </c>
      <c r="AL395" s="89" t="str">
        <f>Registro!AG395</f>
        <v>c) Regular</v>
      </c>
      <c r="AM395" s="89" t="str">
        <f>Registro!AH395</f>
        <v>d) Mala</v>
      </c>
      <c r="AN395" s="89" t="str">
        <f>Registro!AI395</f>
        <v>b) Buena</v>
      </c>
      <c r="AO395" s="89" t="str">
        <f>Registro!AJ395</f>
        <v>c) Regular</v>
      </c>
      <c r="AP395" s="89" t="str">
        <f>Registro!AK395</f>
        <v>b) Buena</v>
      </c>
      <c r="AQ395" s="89" t="str">
        <f>Registro!AL395</f>
        <v>b) Buena</v>
      </c>
      <c r="AR395" s="89" t="str">
        <f>Registro!AM395</f>
        <v>a) Muy buena</v>
      </c>
      <c r="AS395" s="89" t="str">
        <f>Registro!AN395</f>
        <v>c) Regular</v>
      </c>
      <c r="AT395" s="89" t="str">
        <f>Registro!AO395</f>
        <v>c) Regular</v>
      </c>
      <c r="AU395" s="89" t="str">
        <f>Registro!AP395</f>
        <v>c) Regular</v>
      </c>
      <c r="AV395" s="89" t="str">
        <f>Registro!AQ395</f>
        <v>b) Buena</v>
      </c>
      <c r="AW395" s="89" t="str">
        <f>Registro!AR395</f>
        <v>a) El compañerismo</v>
      </c>
      <c r="AX395" s="89" t="str">
        <f>Registro!AS395</f>
        <v>a) Que sea un buen profesional</v>
      </c>
      <c r="AY395" s="89" t="str">
        <f>Registro!AT395</f>
        <v>d) Bastante necesaria</v>
      </c>
      <c r="AZ395" s="89" t="str">
        <f>Registro!AU395</f>
        <v>b) Las veces que bebo, es con moderación</v>
      </c>
      <c r="BA395" s="89" t="str">
        <f>Registro!AV395</f>
        <v>e) Educadores que se preocupan de nosotros</v>
      </c>
      <c r="BB395" s="89" t="str">
        <f>Registro!AW395</f>
        <v>b) Poco</v>
      </c>
      <c r="BC395" s="89" t="str">
        <f>Registro!AX395</f>
        <v>d) Hay de todo tipo, pero predomina lo positivo</v>
      </c>
      <c r="BD395" s="89" t="str">
        <f>Registro!AY395</f>
        <v>b) Mi madre, c) Un hermano/a, e) Un, una docente, g) Un amigo, h) Una amiga</v>
      </c>
    </row>
    <row r="396" spans="1:56" ht="15" customHeight="1" x14ac:dyDescent="0.25">
      <c r="A396" s="101" t="str">
        <f>Registro!A396</f>
        <v>6/16/2015 9:43:30</v>
      </c>
      <c r="B396" s="89" t="str">
        <f>Registro!B396</f>
        <v>b) Calasanz de Valencia</v>
      </c>
      <c r="C396" s="89" t="str">
        <f>Registro!C396</f>
        <v>c) Cuarto año</v>
      </c>
      <c r="D396" s="89" t="str">
        <f>Registro!D396</f>
        <v>d) En Cuarto año o posterior</v>
      </c>
      <c r="E396" s="89" t="str">
        <f>Registro!E396</f>
        <v>a) Masculino</v>
      </c>
      <c r="F396" s="89" t="str">
        <f>Registro!F396</f>
        <v>a) Católica</v>
      </c>
      <c r="G396" s="89" t="str">
        <f>Registro!G396</f>
        <v>a) Mamá, b) Papá, c) Hermanos</v>
      </c>
      <c r="H396" s="89" t="str">
        <f>Registro!H396</f>
        <v>c) Apartamento</v>
      </c>
      <c r="I396" s="89" t="str">
        <f>Registro!I396</f>
        <v>a) Sí</v>
      </c>
      <c r="J396" s="89" t="str">
        <f>Registro!J396</f>
        <v>c) Microondas, d) TV pantalla plana, e) Moto, f) MP3, g) MP4, h) Carro, i) Computadora, j) Cámara digital, k) Aire acondicionado</v>
      </c>
      <c r="K396" s="89" t="str">
        <f>Registro!K396</f>
        <v>c) Dos</v>
      </c>
      <c r="L396" s="89" t="str">
        <f>Registro!L396</f>
        <v>a) La familia, b) Los amigos, f) Mi fe y vida cristiana</v>
      </c>
      <c r="M396" s="94">
        <f t="shared" si="33"/>
        <v>3</v>
      </c>
      <c r="N396" s="89" t="str">
        <f>Registro!M396</f>
        <v>b) El futuro</v>
      </c>
      <c r="O396" s="89" t="str">
        <f>Registro!N396</f>
        <v>b) Suficiente</v>
      </c>
      <c r="P396" s="89" t="str">
        <f>Registro!O396</f>
        <v>b) Suficiente</v>
      </c>
      <c r="Q396" s="89" t="str">
        <f>Registro!P396</f>
        <v>a) Mucho</v>
      </c>
      <c r="R396" s="89" t="str">
        <f>Registro!Q396</f>
        <v>a) La familia, b) Los amigos, h) La sexualidad</v>
      </c>
      <c r="S396" s="94">
        <f t="shared" si="34"/>
        <v>3</v>
      </c>
      <c r="T396" s="89" t="str">
        <f>Registro!R396</f>
        <v>a) Mucho</v>
      </c>
      <c r="U396" s="89" t="str">
        <f>Registro!S396</f>
        <v>a) La Iglesia, c) El salón de clase, d) Las convivencias, g) Mi familia, i) Los necesitados, k) La oración, l) Los sacramentos</v>
      </c>
      <c r="V396" s="89" t="str">
        <f>Registro!T396</f>
        <v>a) Suelo rezar por convicción o porque me gusta</v>
      </c>
      <c r="W396" s="89" t="str">
        <f>Registro!U396</f>
        <v>b) Algunos domingos</v>
      </c>
      <c r="X396" s="89" t="str">
        <f>Registro!V396</f>
        <v>a) Suelo llevar una cruz o algún objeto religioso, c) Suelo ir los domingos y otras fechas especiales a la Iglesia, e) Voy a misa en las fechas de mis familiares difuntos, f) En alguna ocasión he rezado el rosario, g) En ocasiones, en mi casa tenemos una oración familiar, i) Tengo en mi cuarto alguna imagen religiosa</v>
      </c>
      <c r="Y396" s="89" t="str">
        <f>Registro!W396</f>
        <v>a) Deportivo</v>
      </c>
      <c r="Z396" s="89" t="str">
        <f>Registro!X396</f>
        <v>a) Un grupo donde profundizo mi fe</v>
      </c>
      <c r="AA396" s="89" t="str">
        <f>Registro!Y396</f>
        <v>b) No</v>
      </c>
      <c r="AB396" s="89" t="str">
        <f>Registro!Z396</f>
        <v>b) No</v>
      </c>
      <c r="AC396" s="89" t="str">
        <f>Registro!AA396</f>
        <v>a) Medicina, d) Ingeniería</v>
      </c>
      <c r="AD396" s="94">
        <f t="shared" si="35"/>
        <v>2</v>
      </c>
      <c r="AE396" s="89" t="str">
        <f>Registro!AB396</f>
        <v>c) Ser un excelente profesional</v>
      </c>
      <c r="AF396" s="89" t="str">
        <f>Registro!AC396</f>
        <v>b) Poco</v>
      </c>
      <c r="AG396" s="89" t="str">
        <f>Registro!AD396</f>
        <v>i) No me gusta nada</v>
      </c>
      <c r="AH396" s="94">
        <f t="shared" si="36"/>
        <v>1</v>
      </c>
      <c r="AI396" s="89" t="str">
        <f>Registro!AE396</f>
        <v>a) 0 a 2 horas</v>
      </c>
      <c r="AJ396" s="89" t="str">
        <f>Registro!AF396</f>
        <v>a) Me divierto con juegos para computadoras, d) Estoy la mayor parte del tiempo en la casa sin hacer nada, g) Suelo ir a discotecas o a fiestas</v>
      </c>
      <c r="AK396" s="94">
        <f t="shared" si="37"/>
        <v>3</v>
      </c>
      <c r="AL396" s="89" t="str">
        <f>Registro!AG396</f>
        <v>a) Muy bueno</v>
      </c>
      <c r="AM396" s="89" t="str">
        <f>Registro!AH396</f>
        <v>b) Buena</v>
      </c>
      <c r="AN396" s="89" t="str">
        <f>Registro!AI396</f>
        <v>a) Muy buena</v>
      </c>
      <c r="AO396" s="89" t="str">
        <f>Registro!AJ396</f>
        <v>c) Regular</v>
      </c>
      <c r="AP396" s="89" t="str">
        <f>Registro!AK396</f>
        <v>c) Regular</v>
      </c>
      <c r="AQ396" s="89" t="str">
        <f>Registro!AL396</f>
        <v>b) Buena</v>
      </c>
      <c r="AR396" s="89" t="str">
        <f>Registro!AM396</f>
        <v>b) Buena</v>
      </c>
      <c r="AS396" s="89" t="str">
        <f>Registro!AN396</f>
        <v>a) Muy buena</v>
      </c>
      <c r="AT396" s="89" t="str">
        <f>Registro!AO396</f>
        <v>a) Muy buena</v>
      </c>
      <c r="AU396" s="89" t="str">
        <f>Registro!AP396</f>
        <v>a) Muy buena</v>
      </c>
      <c r="AV396" s="89" t="str">
        <f>Registro!AQ396</f>
        <v>c) Regular</v>
      </c>
      <c r="AW396" s="89" t="str">
        <f>Registro!AR396</f>
        <v>c) El estudio</v>
      </c>
      <c r="AX396" s="89" t="str">
        <f>Registro!AS396</f>
        <v>a) Que sea un buen profesional</v>
      </c>
      <c r="AY396" s="89" t="str">
        <f>Registro!AT396</f>
        <v>d) Bastante necesaria</v>
      </c>
      <c r="AZ396" s="89" t="str">
        <f>Registro!AU396</f>
        <v>d) Con frecuencia (fines de semana u otros momentos) suelo beber más de la cuenta</v>
      </c>
      <c r="BA396" s="89" t="str">
        <f>Registro!AV396</f>
        <v>e) Educadores que se preocupan de nosotros</v>
      </c>
      <c r="BB396" s="89" t="str">
        <f>Registro!AW396</f>
        <v>c) Bastante</v>
      </c>
      <c r="BC396" s="89" t="str">
        <f>Registro!AX396</f>
        <v>d) Hay de todo tipo, pero predomina lo positivo</v>
      </c>
      <c r="BD396" s="89" t="str">
        <f>Registro!AY396</f>
        <v>a) Mi padre, c) Un hermano/a, e) Un, una docente, g) Un amigo</v>
      </c>
    </row>
    <row r="397" spans="1:56" ht="15" customHeight="1" x14ac:dyDescent="0.25">
      <c r="A397" s="101" t="str">
        <f>Registro!A397</f>
        <v>6/16/2015 9:44:13</v>
      </c>
      <c r="B397" s="89" t="str">
        <f>Registro!B397</f>
        <v>b) Calasanz de Valencia</v>
      </c>
      <c r="C397" s="89" t="str">
        <f>Registro!C397</f>
        <v>c) Cuarto año</v>
      </c>
      <c r="D397" s="89" t="str">
        <f>Registro!D397</f>
        <v>d) En Cuarto año o posterior</v>
      </c>
      <c r="E397" s="89" t="str">
        <f>Registro!E397</f>
        <v>a) Masculino</v>
      </c>
      <c r="F397" s="89" t="str">
        <f>Registro!F397</f>
        <v>a) Católica</v>
      </c>
      <c r="G397" s="89" t="str">
        <f>Registro!G397</f>
        <v>a) Mamá, c) Hermanos</v>
      </c>
      <c r="H397" s="89" t="str">
        <f>Registro!H397</f>
        <v>c) Apartamento</v>
      </c>
      <c r="I397" s="89" t="str">
        <f>Registro!I397</f>
        <v>a) Sí</v>
      </c>
      <c r="J397" s="89" t="str">
        <f>Registro!J397</f>
        <v>a) Cónsola videojuegos, b) Lavadora, c) Microondas, d) TV pantalla plana, g) MP4, h) Carro, i) Computadora, j) Cámara digital, k) Aire acondicionado</v>
      </c>
      <c r="K397" s="89" t="str">
        <f>Registro!K397</f>
        <v>c) Dos</v>
      </c>
      <c r="L397" s="89" t="str">
        <f>Registro!L397</f>
        <v>a) La familia, b) Los amigos, j) El deporte</v>
      </c>
      <c r="M397" s="94">
        <f t="shared" si="33"/>
        <v>3</v>
      </c>
      <c r="N397" s="89" t="str">
        <f>Registro!M397</f>
        <v>a) Seguridad personal (la violencia y la delincuencia)</v>
      </c>
      <c r="O397" s="89" t="str">
        <f>Registro!N397</f>
        <v>a) Mucho</v>
      </c>
      <c r="P397" s="89" t="str">
        <f>Registro!O397</f>
        <v>a) Mucho</v>
      </c>
      <c r="Q397" s="89" t="str">
        <f>Registro!P397</f>
        <v>b) Suficiente</v>
      </c>
      <c r="R397" s="89"/>
      <c r="S397" s="94">
        <f t="shared" si="34"/>
        <v>0</v>
      </c>
      <c r="T397" s="89" t="str">
        <f>Registro!R397</f>
        <v>c) Poco</v>
      </c>
      <c r="U397" s="89" t="str">
        <f>Registro!S397</f>
        <v>a) La Iglesia, h) Algunas personas cercanas a Dios, k) La oración, l) Los sacramentos</v>
      </c>
      <c r="V397" s="89" t="str">
        <f>Registro!T397</f>
        <v>b) Rezo por costumbre</v>
      </c>
      <c r="W397" s="89" t="str">
        <f>Registro!U397</f>
        <v>c) Solo en fechas especiales</v>
      </c>
      <c r="X397" s="89" t="str">
        <f>Registro!V397</f>
        <v>a) Suelo llevar una cruz o algún objeto religioso, b) Suelo bendedir los alimentos antes de comer, f) En alguna ocasión he rezado el rosario, i) Tengo en mi cuarto alguna imagen religiosa</v>
      </c>
      <c r="Y397" s="89" t="str">
        <f>Registro!W397</f>
        <v>a) Deportivo</v>
      </c>
      <c r="Z397" s="89" t="str">
        <f>Registro!X397</f>
        <v>d) No pertenezco a grupos juveniles cristianos</v>
      </c>
      <c r="AA397" s="89" t="str">
        <f>Registro!Y397</f>
        <v>b) No</v>
      </c>
      <c r="AB397" s="89" t="str">
        <f>Registro!Z397</f>
        <v>b) No</v>
      </c>
      <c r="AC397" s="89" t="str">
        <f>Registro!AA397</f>
        <v>a) Medicina, d) Ingeniería</v>
      </c>
      <c r="AD397" s="94">
        <f t="shared" si="35"/>
        <v>2</v>
      </c>
      <c r="AE397" s="89" t="str">
        <f>Registro!AB397</f>
        <v>a) Ganar mucho dinero</v>
      </c>
      <c r="AF397" s="89" t="str">
        <f>Registro!AC397</f>
        <v>b) Poco</v>
      </c>
      <c r="AG397" s="89" t="str">
        <f>Registro!AD397</f>
        <v>a) Los deportes y diversiones, i) No me gusta nada</v>
      </c>
      <c r="AH397" s="94">
        <f t="shared" si="36"/>
        <v>2</v>
      </c>
      <c r="AI397" s="89" t="str">
        <f>Registro!AE397</f>
        <v>a) 0 a 2 horas</v>
      </c>
      <c r="AJ397" s="89" t="str">
        <f>Registro!AF397</f>
        <v>g) Suelo ir a discotecas o a fiestas, n) Estoy conversando con los amigos/as</v>
      </c>
      <c r="AK397" s="94">
        <f t="shared" si="37"/>
        <v>2</v>
      </c>
      <c r="AL397" s="89" t="str">
        <f>Registro!AG397</f>
        <v>b) Bueno</v>
      </c>
      <c r="AM397" s="89" t="str">
        <f>Registro!AH397</f>
        <v>b) Buena</v>
      </c>
      <c r="AN397" s="89" t="str">
        <f>Registro!AI397</f>
        <v>a) Muy buena</v>
      </c>
      <c r="AO397" s="89" t="str">
        <f>Registro!AJ397</f>
        <v>a) Muy buena</v>
      </c>
      <c r="AP397" s="89" t="str">
        <f>Registro!AK397</f>
        <v>b) Buena</v>
      </c>
      <c r="AQ397" s="89" t="str">
        <f>Registro!AL397</f>
        <v>b) Buena</v>
      </c>
      <c r="AR397" s="89" t="str">
        <f>Registro!AM397</f>
        <v>a) Muy buena</v>
      </c>
      <c r="AS397" s="89" t="str">
        <f>Registro!AN397</f>
        <v>b) Buena</v>
      </c>
      <c r="AT397" s="89" t="str">
        <f>Registro!AO397</f>
        <v>b) Buena</v>
      </c>
      <c r="AU397" s="89" t="str">
        <f>Registro!AP397</f>
        <v>b) Buena</v>
      </c>
      <c r="AV397" s="89" t="str">
        <f>Registro!AQ397</f>
        <v>b) Buena</v>
      </c>
      <c r="AW397" s="89" t="str">
        <f>Registro!AR397</f>
        <v>a) El compañerismo</v>
      </c>
      <c r="AX397" s="89" t="str">
        <f>Registro!AS397</f>
        <v>a) Que sea un buen profesional</v>
      </c>
      <c r="AY397" s="89" t="str">
        <f>Registro!AT397</f>
        <v>e) Absolutamente necesaria</v>
      </c>
      <c r="AZ397" s="89" t="str">
        <f>Registro!AU397</f>
        <v>d) Con frecuencia (fines de semana u otros momentos) suelo beber más de la cuenta</v>
      </c>
      <c r="BA397" s="89" t="str">
        <f>Registro!AV397</f>
        <v>f) Educadores que, además, me han abierto caminos</v>
      </c>
      <c r="BB397" s="89" t="str">
        <f>Registro!AW397</f>
        <v>c) Bastante</v>
      </c>
      <c r="BC397" s="89" t="str">
        <f>Registro!AX397</f>
        <v>d) Hay de todo tipo, pero predomina lo positivo</v>
      </c>
      <c r="BD397" s="89" t="str">
        <f>Registro!AY397</f>
        <v>a) Mi padre, b) Mi madre, c) Un hermano/a, g) Un amigo, h) Una amiga</v>
      </c>
    </row>
    <row r="398" spans="1:56" ht="15" customHeight="1" x14ac:dyDescent="0.25">
      <c r="A398" s="101" t="str">
        <f>Registro!A398</f>
        <v>6/16/2015 9:44:09</v>
      </c>
      <c r="B398" s="89" t="str">
        <f>Registro!B398</f>
        <v>b) Calasanz de Valencia</v>
      </c>
      <c r="C398" s="89" t="str">
        <f>Registro!C398</f>
        <v>c) Cuarto año</v>
      </c>
      <c r="D398" s="89" t="str">
        <f>Registro!D398</f>
        <v>d) En Cuarto año o posterior</v>
      </c>
      <c r="E398" s="89" t="str">
        <f>Registro!E398</f>
        <v>a) Masculino</v>
      </c>
      <c r="F398" s="89" t="str">
        <f>Registro!F398</f>
        <v>a) Católica</v>
      </c>
      <c r="G398" s="89" t="str">
        <f>Registro!G398</f>
        <v>a) Mamá, c) Hermanos</v>
      </c>
      <c r="H398" s="89" t="str">
        <f>Registro!H398</f>
        <v>c) Apartamento</v>
      </c>
      <c r="I398" s="89" t="str">
        <f>Registro!I398</f>
        <v>a) Sí</v>
      </c>
      <c r="J398" s="89" t="str">
        <f>Registro!J398</f>
        <v>a) Cónsola videojuegos, b) Lavadora, c) Microondas, d) TV pantalla plana, g) MP4, h) Carro, i) Computadora, j) Cámara digital, k) Aire acondicionado</v>
      </c>
      <c r="K398" s="89" t="str">
        <f>Registro!K398</f>
        <v>c) Dos</v>
      </c>
      <c r="L398" s="89" t="str">
        <f>Registro!L398</f>
        <v>a) La familia, b) Los amigos, j) El deporte</v>
      </c>
      <c r="M398" s="94">
        <f t="shared" si="33"/>
        <v>3</v>
      </c>
      <c r="N398" s="89" t="str">
        <f>Registro!M398</f>
        <v>a) Seguridad personal (la violencia y la delincuencia)</v>
      </c>
      <c r="O398" s="89" t="str">
        <f>Registro!N398</f>
        <v>a) Mucho</v>
      </c>
      <c r="P398" s="89" t="str">
        <f>Registro!O398</f>
        <v>a) Mucho</v>
      </c>
      <c r="Q398" s="89" t="str">
        <f>Registro!P398</f>
        <v>b) Suficiente</v>
      </c>
      <c r="R398" s="89"/>
      <c r="S398" s="94">
        <f t="shared" si="34"/>
        <v>0</v>
      </c>
      <c r="T398" s="89" t="str">
        <f>Registro!R398</f>
        <v>c) Poco</v>
      </c>
      <c r="U398" s="89" t="str">
        <f>Registro!S398</f>
        <v>a) La Iglesia, h) Algunas personas cercanas a Dios, k) La oración, l) Los sacramentos</v>
      </c>
      <c r="V398" s="89" t="str">
        <f>Registro!T398</f>
        <v>b) Rezo por costumbre</v>
      </c>
      <c r="W398" s="89" t="str">
        <f>Registro!U398</f>
        <v>c) Solo en fechas especiales</v>
      </c>
      <c r="X398" s="89" t="str">
        <f>Registro!V398</f>
        <v>a) Suelo llevar una cruz o algún objeto religioso, b) Suelo bendedir los alimentos antes de comer, f) En alguna ocasión he rezado el rosario, i) Tengo en mi cuarto alguna imagen religiosa</v>
      </c>
      <c r="Y398" s="89" t="str">
        <f>Registro!W398</f>
        <v>a) Deportivo</v>
      </c>
      <c r="Z398" s="89" t="str">
        <f>Registro!X398</f>
        <v>d) No pertenezco a grupos juveniles cristianos</v>
      </c>
      <c r="AA398" s="89" t="str">
        <f>Registro!Y398</f>
        <v>b) No</v>
      </c>
      <c r="AB398" s="89" t="str">
        <f>Registro!Z398</f>
        <v>b) No</v>
      </c>
      <c r="AC398" s="89" t="str">
        <f>Registro!AA398</f>
        <v>a) Medicina, d) Ingeniería</v>
      </c>
      <c r="AD398" s="94">
        <f t="shared" si="35"/>
        <v>2</v>
      </c>
      <c r="AE398" s="89" t="str">
        <f>Registro!AB398</f>
        <v>a) Ganar mucho dinero</v>
      </c>
      <c r="AF398" s="89" t="str">
        <f>Registro!AC398</f>
        <v>b) Poco</v>
      </c>
      <c r="AG398" s="89" t="str">
        <f>Registro!AD398</f>
        <v>a) Los deportes y diversiones, i) No me gusta nada</v>
      </c>
      <c r="AH398" s="94">
        <f t="shared" si="36"/>
        <v>2</v>
      </c>
      <c r="AI398" s="89" t="str">
        <f>Registro!AE398</f>
        <v>a) 0 a 2 horas</v>
      </c>
      <c r="AJ398" s="89" t="str">
        <f>Registro!AF398</f>
        <v>g) Suelo ir a discotecas o a fiestas, n) Estoy conversando con los amigos/as</v>
      </c>
      <c r="AK398" s="94">
        <f t="shared" si="37"/>
        <v>2</v>
      </c>
      <c r="AL398" s="89" t="str">
        <f>Registro!AG398</f>
        <v>b) Bueno</v>
      </c>
      <c r="AM398" s="89" t="str">
        <f>Registro!AH398</f>
        <v>b) Buena</v>
      </c>
      <c r="AN398" s="89" t="str">
        <f>Registro!AI398</f>
        <v>a) Muy buena</v>
      </c>
      <c r="AO398" s="89" t="str">
        <f>Registro!AJ398</f>
        <v>a) Muy buena</v>
      </c>
      <c r="AP398" s="89" t="str">
        <f>Registro!AK398</f>
        <v>b) Buena</v>
      </c>
      <c r="AQ398" s="89" t="str">
        <f>Registro!AL398</f>
        <v>b) Buena</v>
      </c>
      <c r="AR398" s="89" t="str">
        <f>Registro!AM398</f>
        <v>a) Muy buena</v>
      </c>
      <c r="AS398" s="89" t="str">
        <f>Registro!AN398</f>
        <v>b) Buena</v>
      </c>
      <c r="AT398" s="89" t="str">
        <f>Registro!AO398</f>
        <v>b) Buena</v>
      </c>
      <c r="AU398" s="89" t="str">
        <f>Registro!AP398</f>
        <v>b) Buena</v>
      </c>
      <c r="AV398" s="89" t="str">
        <f>Registro!AQ398</f>
        <v>b) Buena</v>
      </c>
      <c r="AW398" s="89" t="str">
        <f>Registro!AR398</f>
        <v>a) El compañerismo</v>
      </c>
      <c r="AX398" s="89" t="str">
        <f>Registro!AS398</f>
        <v>a) Que sea un buen profesional</v>
      </c>
      <c r="AY398" s="89" t="str">
        <f>Registro!AT398</f>
        <v>e) Absolutamente necesaria</v>
      </c>
      <c r="AZ398" s="89" t="str">
        <f>Registro!AU398</f>
        <v>d) Con frecuencia (fines de semana u otros momentos) suelo beber más de la cuenta</v>
      </c>
      <c r="BA398" s="89" t="str">
        <f>Registro!AV398</f>
        <v>f) Educadores que, además, me han abierto caminos</v>
      </c>
      <c r="BB398" s="89" t="str">
        <f>Registro!AW398</f>
        <v>c) Bastante</v>
      </c>
      <c r="BC398" s="89" t="str">
        <f>Registro!AX398</f>
        <v>d) Hay de todo tipo, pero predomina lo positivo</v>
      </c>
      <c r="BD398" s="89" t="str">
        <f>Registro!AY398</f>
        <v>a) Mi padre, b) Mi madre, c) Un hermano/a, g) Un amigo, h) Una amiga</v>
      </c>
    </row>
    <row r="399" spans="1:56" ht="15" customHeight="1" x14ac:dyDescent="0.25">
      <c r="A399" s="101" t="str">
        <f>Registro!A399</f>
        <v>6/16/2015 9:44:21</v>
      </c>
      <c r="B399" s="89" t="str">
        <f>Registro!B399</f>
        <v>b) Calasanz de Valencia</v>
      </c>
      <c r="C399" s="89" t="str">
        <f>Registro!C399</f>
        <v>c) Cuarto año</v>
      </c>
      <c r="D399" s="89" t="str">
        <f>Registro!D399</f>
        <v>d) En Cuarto año o posterior</v>
      </c>
      <c r="E399" s="89" t="str">
        <f>Registro!E399</f>
        <v>b) Femenino</v>
      </c>
      <c r="F399" s="89" t="str">
        <f>Registro!F399</f>
        <v>a) Católica</v>
      </c>
      <c r="G399" s="89" t="str">
        <f>Registro!G399</f>
        <v>a) Mamá, b) Papá, c) Hermanos, d) Abuelos, e) Otros familiares</v>
      </c>
      <c r="H399" s="89" t="str">
        <f>Registro!H399</f>
        <v>c) Apartamento</v>
      </c>
      <c r="I399" s="89" t="str">
        <f>Registro!I399</f>
        <v>a) Sí</v>
      </c>
      <c r="J399" s="89" t="str">
        <f>Registro!J399</f>
        <v>a) Cónsola videojuegos, b) Lavadora, c) Microondas, d) TV pantalla plana, e) Moto, f) MP3, g) MP4, h) Carro, i) Computadora, j) Cámara digital, k) Aire acondicionado</v>
      </c>
      <c r="K399" s="89" t="str">
        <f>Registro!K399</f>
        <v>d) Tres</v>
      </c>
      <c r="L399" s="89" t="str">
        <f>Registro!L399</f>
        <v>a) La familia, f) Mi fe y vida cristiana, g) La felicidad</v>
      </c>
      <c r="M399" s="94">
        <f t="shared" si="33"/>
        <v>3</v>
      </c>
      <c r="N399" s="89" t="str">
        <f>Registro!M399</f>
        <v>g) Mis estudios</v>
      </c>
      <c r="O399" s="89" t="str">
        <f>Registro!N399</f>
        <v>a) Mucho</v>
      </c>
      <c r="P399" s="89" t="str">
        <f>Registro!O399</f>
        <v>b) Suficiente</v>
      </c>
      <c r="Q399" s="89" t="str">
        <f>Registro!P399</f>
        <v>a) Mucho</v>
      </c>
      <c r="R399" s="89" t="str">
        <f>Registro!Q399</f>
        <v>a) La familia, f) Mi fe y mi vida cristiana, g) La felicidad</v>
      </c>
      <c r="S399" s="94">
        <f t="shared" si="34"/>
        <v>3</v>
      </c>
      <c r="T399" s="89" t="str">
        <f>Registro!R399</f>
        <v>a) Mucho</v>
      </c>
      <c r="U399" s="89" t="str">
        <f>Registro!S399</f>
        <v>a) La Iglesia, b) La naturaleza, c) El salón de clase, d) Las convivencias, e) Los amigos, g) Mi familia, h) Algunas personas cercanas a Dios, i) Los necesitados, j) Todas partes, k) La oración, l) Los sacramentos</v>
      </c>
      <c r="V399" s="89" t="str">
        <f>Registro!T399</f>
        <v>b) Rezo por costumbre</v>
      </c>
      <c r="W399" s="89" t="str">
        <f>Registro!U399</f>
        <v>b) Algunos domingos</v>
      </c>
      <c r="X399" s="89" t="str">
        <f>Registro!V399</f>
        <v>d) Suelo orar todos los días, f) En alguna ocasión he rezado el rosario, i) Tengo en mi cuarto alguna imagen religiosa</v>
      </c>
      <c r="Y399" s="89" t="str">
        <f>Registro!W399</f>
        <v>d) No pertenezco a ninguno</v>
      </c>
      <c r="Z399" s="89" t="str">
        <f>Registro!X399</f>
        <v>a) Un grupo donde profundizo mi fe</v>
      </c>
      <c r="AA399" s="89" t="str">
        <f>Registro!Y399</f>
        <v>b) No</v>
      </c>
      <c r="AB399" s="89" t="str">
        <f>Registro!Z399</f>
        <v>b) No</v>
      </c>
      <c r="AC399" s="89" t="str">
        <f>Registro!AA399</f>
        <v>a) Medicina, c) Sacerdocio o hermana religiosa</v>
      </c>
      <c r="AD399" s="94">
        <f t="shared" si="35"/>
        <v>2</v>
      </c>
      <c r="AE399" s="89" t="str">
        <f>Registro!AB399</f>
        <v>d) Desarrollarme personalmente</v>
      </c>
      <c r="AF399" s="89" t="str">
        <f>Registro!AC399</f>
        <v>c) Bastante</v>
      </c>
      <c r="AG399" s="89" t="str">
        <f>Registro!AD399</f>
        <v>b) El ambiente de estudio y de trabajo, e) La mayor posibilidad de vivir mi fe</v>
      </c>
      <c r="AH399" s="94">
        <f t="shared" si="36"/>
        <v>2</v>
      </c>
      <c r="AI399" s="89" t="str">
        <f>Registro!AE399</f>
        <v>d) 7 a 8 horas</v>
      </c>
      <c r="AJ399" s="89" t="str">
        <f>Registro!AF399</f>
        <v>h) Suelo ir al cine, n) Estoy conversando con los amigos/as</v>
      </c>
      <c r="AK399" s="94">
        <f t="shared" si="37"/>
        <v>2</v>
      </c>
      <c r="AL399" s="89" t="str">
        <f>Registro!AG399</f>
        <v>b) Bueno</v>
      </c>
      <c r="AM399" s="89" t="str">
        <f>Registro!AH399</f>
        <v>c) Regular</v>
      </c>
      <c r="AN399" s="89" t="str">
        <f>Registro!AI399</f>
        <v>c) Regular</v>
      </c>
      <c r="AO399" s="89" t="str">
        <f>Registro!AJ399</f>
        <v>a) Muy buena</v>
      </c>
      <c r="AP399" s="89" t="str">
        <f>Registro!AK399</f>
        <v>f) No aplica</v>
      </c>
      <c r="AQ399" s="89" t="str">
        <f>Registro!AL399</f>
        <v>a) Muy buena</v>
      </c>
      <c r="AR399" s="89" t="str">
        <f>Registro!AM399</f>
        <v>a) Muy buena</v>
      </c>
      <c r="AS399" s="89" t="str">
        <f>Registro!AN399</f>
        <v>a) Muy buena</v>
      </c>
      <c r="AT399" s="89" t="str">
        <f>Registro!AO399</f>
        <v>a) Muy buena</v>
      </c>
      <c r="AU399" s="89" t="str">
        <f>Registro!AP399</f>
        <v>a) Muy buena</v>
      </c>
      <c r="AV399" s="89" t="str">
        <f>Registro!AQ399</f>
        <v>a) Muy buena</v>
      </c>
      <c r="AW399" s="89" t="str">
        <f>Registro!AR399</f>
        <v>d) La formación del carácter</v>
      </c>
      <c r="AX399" s="89" t="str">
        <f>Registro!AS399</f>
        <v>a) Que sea un buen profesional</v>
      </c>
      <c r="AY399" s="89" t="str">
        <f>Registro!AT399</f>
        <v>e) Absolutamente necesaria</v>
      </c>
      <c r="AZ399" s="89" t="str">
        <f>Registro!AU399</f>
        <v>b) Las veces que bebo, es con moderación</v>
      </c>
      <c r="BA399" s="89" t="str">
        <f>Registro!AV399</f>
        <v>d) Buenos profesionales de la educación</v>
      </c>
      <c r="BB399" s="89" t="str">
        <f>Registro!AW399</f>
        <v>d) Mucho o muchísimo</v>
      </c>
      <c r="BC399" s="89" t="str">
        <f>Registro!AX399</f>
        <v>e) Son personas que me gustan y admiro</v>
      </c>
      <c r="BD399" s="89" t="str">
        <f>Registro!AY399</f>
        <v>a) Mi padre, b) Mi madre, c) Un hermano/a, e) Un, una docente, g) Un amigo, h) Una amiga, i) Un, una catequista o responsable de grupo</v>
      </c>
    </row>
    <row r="400" spans="1:56" ht="15" customHeight="1" x14ac:dyDescent="0.25">
      <c r="A400" s="101" t="str">
        <f>Registro!A400</f>
        <v>6/16/2015 9:44:47</v>
      </c>
      <c r="B400" s="89" t="str">
        <f>Registro!B400</f>
        <v>b) Calasanz de Valencia</v>
      </c>
      <c r="C400" s="89" t="str">
        <f>Registro!C400</f>
        <v>c) Cuarto año</v>
      </c>
      <c r="D400" s="89" t="str">
        <f>Registro!D400</f>
        <v>a) Educación Inicial</v>
      </c>
      <c r="E400" s="89" t="str">
        <f>Registro!E400</f>
        <v>a) Masculino</v>
      </c>
      <c r="F400" s="89" t="str">
        <f>Registro!F400</f>
        <v>a) Católica</v>
      </c>
      <c r="G400" s="89" t="str">
        <f>Registro!G400</f>
        <v>a) Mamá, b) Papá, c) Hermanos</v>
      </c>
      <c r="H400" s="89" t="str">
        <f>Registro!H400</f>
        <v>c) Apartamento</v>
      </c>
      <c r="I400" s="89" t="str">
        <f>Registro!I400</f>
        <v>c) Algo</v>
      </c>
      <c r="J400" s="89" t="str">
        <f>Registro!J400</f>
        <v>b) Lavadora, c) Microondas, d) TV pantalla plana, h) Carro, i) Computadora, j) Cámara digital, k) Aire acondicionado</v>
      </c>
      <c r="K400" s="89" t="str">
        <f>Registro!K400</f>
        <v>d) Tres</v>
      </c>
      <c r="L400" s="89" t="str">
        <f>Registro!L400</f>
        <v>a) La familia, b) Los amigos, c) Los estudios</v>
      </c>
      <c r="M400" s="94">
        <f t="shared" si="33"/>
        <v>3</v>
      </c>
      <c r="N400" s="89" t="str">
        <f>Registro!M400</f>
        <v>a) Seguridad personal (la violencia y la delincuencia)</v>
      </c>
      <c r="O400" s="89" t="str">
        <f>Registro!N400</f>
        <v>b) Suficiente</v>
      </c>
      <c r="P400" s="89" t="str">
        <f>Registro!O400</f>
        <v>b) Suficiente</v>
      </c>
      <c r="Q400" s="89" t="str">
        <f>Registro!P400</f>
        <v>b) Suficiente</v>
      </c>
      <c r="R400" s="89" t="str">
        <f>Registro!Q400</f>
        <v>c) Los estudios, e) Disponer de dinero, g) La felicidad</v>
      </c>
      <c r="S400" s="94">
        <f t="shared" si="34"/>
        <v>3</v>
      </c>
      <c r="T400" s="89" t="str">
        <f>Registro!R400</f>
        <v>b) Suficiente</v>
      </c>
      <c r="U400" s="89" t="str">
        <f>Registro!S400</f>
        <v>a) La Iglesia, b) La naturaleza, d) Las convivencias, e) Los amigos, f) Todas las personas, g) Mi familia, i) Los necesitados, j) Todas partes, k) La oración</v>
      </c>
      <c r="V400" s="89" t="str">
        <f>Registro!T400</f>
        <v>b) Rezo por costumbre</v>
      </c>
      <c r="W400" s="89" t="str">
        <f>Registro!U400</f>
        <v>b) Algunos domingos</v>
      </c>
      <c r="X400" s="89" t="str">
        <f>Registro!V400</f>
        <v>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400" s="89" t="str">
        <f>Registro!W400</f>
        <v xml:space="preserve">b) Cultural (folklórico, musicales, danzas, scout, banda marcial,...) </v>
      </c>
      <c r="Z400" s="89" t="str">
        <f>Registro!X400</f>
        <v>a) Un grupo donde profundizo mi fe</v>
      </c>
      <c r="AA400" s="89" t="str">
        <f>Registro!Y400</f>
        <v>b) No</v>
      </c>
      <c r="AB400" s="89" t="str">
        <f>Registro!Z400</f>
        <v>b) No</v>
      </c>
      <c r="AC400" s="89" t="str">
        <f>Registro!AA400</f>
        <v>a) Medicina, e) Derecho</v>
      </c>
      <c r="AD400" s="94">
        <f t="shared" si="35"/>
        <v>2</v>
      </c>
      <c r="AE400" s="89" t="str">
        <f>Registro!AB400</f>
        <v>c) Ser un excelente profesional</v>
      </c>
      <c r="AF400" s="89" t="str">
        <f>Registro!AC400</f>
        <v>e) No sé</v>
      </c>
      <c r="AG400" s="89" t="str">
        <f>Registro!AD400</f>
        <v>b) El ambiente de estudio y de trabajo, h) Las actividades extraescolares</v>
      </c>
      <c r="AH400" s="94">
        <f t="shared" si="36"/>
        <v>2</v>
      </c>
      <c r="AI400" s="89" t="str">
        <f>Registro!AE400</f>
        <v>b) 3 a 4 horas</v>
      </c>
      <c r="AJ400" s="89" t="str">
        <f>Registro!AF400</f>
        <v>d) Estoy la mayor parte del tiempo en la casa sin hacer nada, m) Veo televisión y/o películas, n) Estoy conversando con los amigos/as</v>
      </c>
      <c r="AK400" s="94">
        <f t="shared" si="37"/>
        <v>3</v>
      </c>
      <c r="AL400" s="89" t="str">
        <f>Registro!AG400</f>
        <v>b) Bueno</v>
      </c>
      <c r="AM400" s="89" t="str">
        <f>Registro!AH400</f>
        <v>c) Regular</v>
      </c>
      <c r="AN400" s="89" t="str">
        <f>Registro!AI400</f>
        <v>c) Regular</v>
      </c>
      <c r="AO400" s="89" t="str">
        <f>Registro!AJ400</f>
        <v>b) Buena</v>
      </c>
      <c r="AP400" s="89" t="str">
        <f>Registro!AK400</f>
        <v>f) No aplica</v>
      </c>
      <c r="AQ400" s="89" t="str">
        <f>Registro!AL400</f>
        <v>b) Buena</v>
      </c>
      <c r="AR400" s="89" t="str">
        <f>Registro!AM400</f>
        <v>c) Regular</v>
      </c>
      <c r="AS400" s="89" t="str">
        <f>Registro!AN400</f>
        <v>c) Regular</v>
      </c>
      <c r="AT400" s="89" t="str">
        <f>Registro!AO400</f>
        <v>b) Buena</v>
      </c>
      <c r="AU400" s="89" t="str">
        <f>Registro!AP400</f>
        <v>b) Buena</v>
      </c>
      <c r="AV400" s="89" t="str">
        <f>Registro!AQ400</f>
        <v>b) Buena</v>
      </c>
      <c r="AW400" s="89" t="str">
        <f>Registro!AR400</f>
        <v>a) El compañerismo</v>
      </c>
      <c r="AX400" s="89" t="str">
        <f>Registro!AS400</f>
        <v>b) Darme una buena educación</v>
      </c>
      <c r="AY400" s="89" t="str">
        <f>Registro!AT400</f>
        <v>d) Bastante necesaria</v>
      </c>
      <c r="AZ400" s="89" t="str">
        <f>Registro!AU400</f>
        <v>b) Las veces que bebo, es con moderación</v>
      </c>
      <c r="BA400" s="89" t="str">
        <f>Registro!AV400</f>
        <v>e) Educadores que se preocupan de nosotros</v>
      </c>
      <c r="BB400" s="89" t="str">
        <f>Registro!AW400</f>
        <v>c) Bastante</v>
      </c>
      <c r="BC400" s="89" t="str">
        <f>Registro!AX400</f>
        <v>c) Son personas normales y corrientes</v>
      </c>
      <c r="BD400" s="89" t="str">
        <f>Registro!AY400</f>
        <v>a) Mi padre, b) Mi madre, c) Un hermano/a, g) Un amigo, h) Una amiga</v>
      </c>
    </row>
    <row r="401" spans="1:56" ht="15" customHeight="1" x14ac:dyDescent="0.25">
      <c r="A401" s="101" t="str">
        <f>Registro!A401</f>
        <v>6/16/2015 9:44:55</v>
      </c>
      <c r="B401" s="89" t="str">
        <f>Registro!B401</f>
        <v>b) Calasanz de Valencia</v>
      </c>
      <c r="C401" s="89" t="str">
        <f>Registro!C401</f>
        <v>c) Cuarto año</v>
      </c>
      <c r="D401" s="89" t="str">
        <f>Registro!D401</f>
        <v>a) Educación Inicial</v>
      </c>
      <c r="E401" s="89" t="str">
        <f>Registro!E401</f>
        <v>b) Femenino</v>
      </c>
      <c r="F401" s="89" t="str">
        <f>Registro!F401</f>
        <v>a) Católica</v>
      </c>
      <c r="G401" s="89" t="str">
        <f>Registro!G401</f>
        <v>a) Mamá, b) Papá, c) Hermanos</v>
      </c>
      <c r="H401" s="89" t="str">
        <f>Registro!H401</f>
        <v>c) Apartamento</v>
      </c>
      <c r="I401" s="89" t="str">
        <f>Registro!I401</f>
        <v>c) Algo</v>
      </c>
      <c r="J401" s="89" t="str">
        <f>Registro!J401</f>
        <v>a) Cónsola videojuegos, b) Lavadora, c) Microondas, d) TV pantalla plana, g) MP4, h) Carro, i) Computadora, j) Cámara digital, k) Aire acondicionado</v>
      </c>
      <c r="K401" s="89" t="str">
        <f>Registro!K401</f>
        <v>c) Dos</v>
      </c>
      <c r="L401" s="89" t="str">
        <f>Registro!L401</f>
        <v>a) La familia, b) Los amigos, c) Los estudios</v>
      </c>
      <c r="M401" s="94">
        <f t="shared" si="33"/>
        <v>3</v>
      </c>
      <c r="N401" s="89" t="str">
        <f>Registro!M401</f>
        <v>b) El futuro</v>
      </c>
      <c r="O401" s="89" t="str">
        <f>Registro!N401</f>
        <v>a) Mucho</v>
      </c>
      <c r="P401" s="89" t="str">
        <f>Registro!O401</f>
        <v>b) Suficiente</v>
      </c>
      <c r="Q401" s="89" t="str">
        <f>Registro!P401</f>
        <v>b) Suficiente</v>
      </c>
      <c r="R401" s="89" t="str">
        <f>Registro!Q401</f>
        <v>a) La familia, b) Los amigos, g) La felicidad</v>
      </c>
      <c r="S401" s="94">
        <f t="shared" si="34"/>
        <v>3</v>
      </c>
      <c r="T401" s="89" t="str">
        <f>Registro!R401</f>
        <v>a) Mucho</v>
      </c>
      <c r="U401" s="89" t="str">
        <f>Registro!S401</f>
        <v>a) La Iglesia, b) La naturaleza, d) Las convivencias, g) Mi familia, h) Algunas personas cercanas a Dios, i) Los necesitados, k) La oración, l) Los sacramentos</v>
      </c>
      <c r="V401" s="89" t="str">
        <f>Registro!T401</f>
        <v>a) Suelo rezar por convicción o porque me gusta</v>
      </c>
      <c r="W401" s="89" t="str">
        <f>Registro!U401</f>
        <v>c) Solo en fechas especiales</v>
      </c>
      <c r="X401" s="89" t="str">
        <f>Registro!V401</f>
        <v>a) Suelo llevar una cruz o algún objeto religioso, c) Suelo ir los domingos y otras fechas especiales a la Iglesia, d) Suelo orar todos los días, f) En alguna ocasión he rezado el rosario, h) En Semana Santa asisto a las procesiones, i) Tengo en mi cuarto alguna imagen religiosa</v>
      </c>
      <c r="Y401" s="89" t="str">
        <f>Registro!W401</f>
        <v xml:space="preserve">a) Deportivo, b) Cultural (folklórico, musicales, danzas, scout, banda marcial,...) </v>
      </c>
      <c r="Z401" s="89" t="str">
        <f>Registro!X401</f>
        <v>a) Un grupo donde profundizo mi fe</v>
      </c>
      <c r="AA401" s="89" t="str">
        <f>Registro!Y401</f>
        <v>b) No</v>
      </c>
      <c r="AB401" s="89" t="str">
        <f>Registro!Z401</f>
        <v>b) No</v>
      </c>
      <c r="AC401" s="89" t="str">
        <f>Registro!AA401</f>
        <v>d) Ingeniería, g) Artista</v>
      </c>
      <c r="AD401" s="94">
        <f t="shared" si="35"/>
        <v>2</v>
      </c>
      <c r="AE401" s="89" t="str">
        <f>Registro!AB401</f>
        <v>c) Ser un excelente profesional</v>
      </c>
      <c r="AF401" s="89" t="str">
        <f>Registro!AC401</f>
        <v>e) No sé</v>
      </c>
      <c r="AG401" s="89" t="str">
        <f>Registro!AD401</f>
        <v>a) Los deportes y diversiones, i) No me gusta nada</v>
      </c>
      <c r="AH401" s="94">
        <f t="shared" si="36"/>
        <v>2</v>
      </c>
      <c r="AI401" s="89" t="str">
        <f>Registro!AE401</f>
        <v>e) 9 a 10 horas</v>
      </c>
      <c r="AJ401" s="89" t="str">
        <f>Registro!AF401</f>
        <v>g) Suelo ir a discotecas o a fiestas, m) Veo televisión y/o películas, n) Estoy conversando con los amigos/as</v>
      </c>
      <c r="AK401" s="94">
        <f t="shared" si="37"/>
        <v>3</v>
      </c>
      <c r="AL401" s="89" t="str">
        <f>Registro!AG401</f>
        <v>c) Regular</v>
      </c>
      <c r="AM401" s="89" t="str">
        <f>Registro!AH401</f>
        <v>d) Mala</v>
      </c>
      <c r="AN401" s="89" t="str">
        <f>Registro!AI401</f>
        <v>c) Regular</v>
      </c>
      <c r="AO401" s="89" t="str">
        <f>Registro!AJ401</f>
        <v>c) Regular</v>
      </c>
      <c r="AP401" s="89" t="str">
        <f>Registro!AK401</f>
        <v>f) No aplica</v>
      </c>
      <c r="AQ401" s="89" t="str">
        <f>Registro!AL401</f>
        <v>c) Regular</v>
      </c>
      <c r="AR401" s="89" t="str">
        <f>Registro!AM401</f>
        <v>c) Regular</v>
      </c>
      <c r="AS401" s="89" t="str">
        <f>Registro!AN401</f>
        <v>b) Buena</v>
      </c>
      <c r="AT401" s="89" t="str">
        <f>Registro!AO401</f>
        <v>b) Buena</v>
      </c>
      <c r="AU401" s="89" t="str">
        <f>Registro!AP401</f>
        <v>b) Buena</v>
      </c>
      <c r="AV401" s="89" t="str">
        <f>Registro!AQ401</f>
        <v>c) Regular</v>
      </c>
      <c r="AW401" s="89" t="str">
        <f>Registro!AR401</f>
        <v>g) La orientación profesional futura</v>
      </c>
      <c r="AX401" s="89" t="str">
        <f>Registro!AS401</f>
        <v>f) Que tenga honradez en la vida</v>
      </c>
      <c r="AY401" s="89" t="str">
        <f>Registro!AT401</f>
        <v>e) Absolutamente necesaria</v>
      </c>
      <c r="AZ401" s="89" t="str">
        <f>Registro!AU401</f>
        <v>a) No acostumbro a tomarlo nunca</v>
      </c>
      <c r="BA401" s="89" t="str">
        <f>Registro!AV401</f>
        <v>c) Profesionales que hacen lo que pueden</v>
      </c>
      <c r="BB401" s="89" t="str">
        <f>Registro!AW401</f>
        <v>c) Bastante</v>
      </c>
      <c r="BC401" s="89" t="str">
        <f>Registro!AX401</f>
        <v>d) Hay de todo tipo, pero predomina lo positivo</v>
      </c>
      <c r="BD401" s="89" t="str">
        <f>Registro!AY401</f>
        <v>b) Mi madre, g) Un amigo, h) Una amiga</v>
      </c>
    </row>
    <row r="402" spans="1:56" ht="15" customHeight="1" x14ac:dyDescent="0.25">
      <c r="A402" s="101" t="str">
        <f>Registro!A402</f>
        <v>6/16/2015 9:44:57</v>
      </c>
      <c r="B402" s="89" t="str">
        <f>Registro!B402</f>
        <v>b) Calasanz de Valencia</v>
      </c>
      <c r="C402" s="89" t="str">
        <f>Registro!C402</f>
        <v>c) Cuarto año</v>
      </c>
      <c r="D402" s="89" t="str">
        <f>Registro!D402</f>
        <v>a) Educación Inicial</v>
      </c>
      <c r="E402" s="89" t="str">
        <f>Registro!E402</f>
        <v>b) Femenino</v>
      </c>
      <c r="F402" s="89" t="str">
        <f>Registro!F402</f>
        <v>a) Católica</v>
      </c>
      <c r="G402" s="89" t="str">
        <f>Registro!G402</f>
        <v>a) Mamá, c) Hermanos</v>
      </c>
      <c r="H402" s="89" t="str">
        <f>Registro!H402</f>
        <v>c) Apartamento</v>
      </c>
      <c r="I402" s="89" t="str">
        <f>Registro!I402</f>
        <v>c) Algo</v>
      </c>
      <c r="J402" s="89" t="str">
        <f>Registro!J402</f>
        <v>a) Cónsola videojuegos, b) Lavadora, c) Microondas, d) TV pantalla plana, f) MP3, g) MP4, h) Carro, i) Computadora, j) Cámara digital, k) Aire acondicionado</v>
      </c>
      <c r="K402" s="89" t="str">
        <f>Registro!K402</f>
        <v>b) Una</v>
      </c>
      <c r="L402" s="89" t="str">
        <f>Registro!L402</f>
        <v>a) La familia, b) Los amigos, e) Disponer de dinero</v>
      </c>
      <c r="M402" s="94">
        <f t="shared" si="33"/>
        <v>3</v>
      </c>
      <c r="N402" s="89" t="str">
        <f>Registro!M402</f>
        <v>b) El futuro</v>
      </c>
      <c r="O402" s="89" t="str">
        <f>Registro!N402</f>
        <v>c) Poco</v>
      </c>
      <c r="P402" s="89" t="str">
        <f>Registro!O402</f>
        <v>c) Poco</v>
      </c>
      <c r="Q402" s="89" t="str">
        <f>Registro!P402</f>
        <v>c) Poco</v>
      </c>
      <c r="R402" s="89" t="str">
        <f>Registro!Q402</f>
        <v>a) La familia, b) Los amigos, e) Disponer de dinero</v>
      </c>
      <c r="S402" s="94">
        <f t="shared" si="34"/>
        <v>3</v>
      </c>
      <c r="T402" s="89" t="str">
        <f>Registro!R402</f>
        <v>c) Poco</v>
      </c>
      <c r="U402" s="89" t="str">
        <f>Registro!S402</f>
        <v>a) La Iglesia, k) La oración</v>
      </c>
      <c r="V402" s="89" t="str">
        <f>Registro!T402</f>
        <v>c) Rezo solo en situación de dificultad</v>
      </c>
      <c r="W402" s="89" t="str">
        <f>Registro!U402</f>
        <v>c) Solo en fechas especiales</v>
      </c>
      <c r="X402" s="89" t="str">
        <f>Registro!V402</f>
        <v>a) Suelo llevar una cruz o algún objeto religioso, h) En Semana Santa asisto a las procesiones, i) Tengo en mi cuarto alguna imagen religiosa</v>
      </c>
      <c r="Y402" s="89" t="str">
        <f>Registro!W402</f>
        <v>d) No pertenezco a ninguno</v>
      </c>
      <c r="Z402" s="89" t="str">
        <f>Registro!X402</f>
        <v>b) Un lugar donde comparto con mis compañeros</v>
      </c>
      <c r="AA402" s="89" t="str">
        <f>Registro!Y402</f>
        <v>b) No</v>
      </c>
      <c r="AB402" s="89" t="str">
        <f>Registro!Z402</f>
        <v>b) No</v>
      </c>
      <c r="AC402" s="89" t="str">
        <f>Registro!AA402</f>
        <v>e) Derecho, i) Comerciante</v>
      </c>
      <c r="AD402" s="94">
        <f t="shared" si="35"/>
        <v>2</v>
      </c>
      <c r="AE402" s="89" t="str">
        <f>Registro!AB402</f>
        <v>b) Tener una buena posición social, ser importante</v>
      </c>
      <c r="AF402" s="89" t="str">
        <f>Registro!AC402</f>
        <v>b) Poco</v>
      </c>
      <c r="AG402" s="89" t="str">
        <f>Registro!AD402</f>
        <v>g) La relación con los docentes, h) Las actividades extraescolares</v>
      </c>
      <c r="AH402" s="94">
        <f t="shared" si="36"/>
        <v>2</v>
      </c>
      <c r="AI402" s="89" t="str">
        <f>Registro!AE402</f>
        <v>b) 3 a 4 horas</v>
      </c>
      <c r="AJ402" s="89" t="str">
        <f>Registro!AF402</f>
        <v>d) Estoy la mayor parte del tiempo en la casa sin hacer nada, i) Leo revistas o libros, l) Escucho música y/o veo videos musicales</v>
      </c>
      <c r="AK402" s="94">
        <f t="shared" si="37"/>
        <v>3</v>
      </c>
      <c r="AL402" s="89" t="str">
        <f>Registro!AG402</f>
        <v>b) Bueno</v>
      </c>
      <c r="AM402" s="89" t="str">
        <f>Registro!AH402</f>
        <v>c) Regular</v>
      </c>
      <c r="AN402" s="89" t="str">
        <f>Registro!AI402</f>
        <v>c) Regular</v>
      </c>
      <c r="AO402" s="89" t="str">
        <f>Registro!AJ402</f>
        <v>c) Regular</v>
      </c>
      <c r="AP402" s="89" t="str">
        <f>Registro!AK402</f>
        <v>d) Mala</v>
      </c>
      <c r="AQ402" s="89" t="str">
        <f>Registro!AL402</f>
        <v>c) Regular</v>
      </c>
      <c r="AR402" s="89" t="str">
        <f>Registro!AM402</f>
        <v>b) Buena</v>
      </c>
      <c r="AS402" s="89" t="str">
        <f>Registro!AN402</f>
        <v>b) Buena</v>
      </c>
      <c r="AT402" s="89" t="str">
        <f>Registro!AO402</f>
        <v>b) Buena</v>
      </c>
      <c r="AU402" s="89" t="str">
        <f>Registro!AP402</f>
        <v>b) Buena</v>
      </c>
      <c r="AV402" s="89" t="str">
        <f>Registro!AQ402</f>
        <v>b) Buena</v>
      </c>
      <c r="AW402" s="89" t="str">
        <f>Registro!AR402</f>
        <v>c) El estudio</v>
      </c>
      <c r="AX402" s="89" t="str">
        <f>Registro!AS402</f>
        <v>h) No sé</v>
      </c>
      <c r="AY402" s="89" t="str">
        <f>Registro!AT402</f>
        <v>b) Indiferente</v>
      </c>
      <c r="AZ402" s="89" t="str">
        <f>Registro!AU402</f>
        <v>b) Las veces que bebo, es con moderación</v>
      </c>
      <c r="BA402" s="89" t="str">
        <f>Registro!AV402</f>
        <v>e) Educadores que se preocupan de nosotros</v>
      </c>
      <c r="BB402" s="89" t="str">
        <f>Registro!AW402</f>
        <v>c) Bastante</v>
      </c>
      <c r="BC402" s="89" t="str">
        <f>Registro!AX402</f>
        <v>c) Son personas normales y corrientes</v>
      </c>
      <c r="BD402" s="89" t="str">
        <f>Registro!AY402</f>
        <v>a) Mi padre, g) Un amigo, h) Una amiga</v>
      </c>
    </row>
    <row r="403" spans="1:56" ht="15" customHeight="1" x14ac:dyDescent="0.25">
      <c r="A403" s="101" t="str">
        <f>Registro!A403</f>
        <v>6/16/2015 9:46:09</v>
      </c>
      <c r="B403" s="89" t="str">
        <f>Registro!B403</f>
        <v>b) Calasanz de Valencia</v>
      </c>
      <c r="C403" s="89" t="str">
        <f>Registro!C403</f>
        <v>c) Cuarto año</v>
      </c>
      <c r="D403" s="89" t="str">
        <f>Registro!D403</f>
        <v>b) Primaria</v>
      </c>
      <c r="E403" s="89" t="str">
        <f>Registro!E403</f>
        <v>a) Masculino</v>
      </c>
      <c r="F403" s="89" t="str">
        <f>Registro!F403</f>
        <v>a) Católica</v>
      </c>
      <c r="G403" s="89" t="str">
        <f>Registro!G403</f>
        <v>a) Mamá, b) Papá, c) Hermanos, d) Abuelos</v>
      </c>
      <c r="H403" s="89" t="str">
        <f>Registro!H403</f>
        <v>b) Casa Urbana</v>
      </c>
      <c r="I403" s="89" t="str">
        <f>Registro!I403</f>
        <v>a) Sí</v>
      </c>
      <c r="J403" s="89" t="str">
        <f>Registro!J403</f>
        <v>a) Cónsola videojuegos, b) Lavadora, c) Microondas, d) TV pantalla plana, h) Carro, i) Computadora, j) Cámara digital, k) Aire acondicionado</v>
      </c>
      <c r="K403" s="89" t="str">
        <f>Registro!K403</f>
        <v>c) Dos</v>
      </c>
      <c r="L403" s="89" t="str">
        <f>Registro!L403</f>
        <v>a) La familia, b) Los amigos, j) El deporte</v>
      </c>
      <c r="M403" s="94">
        <f t="shared" si="33"/>
        <v>3</v>
      </c>
      <c r="N403" s="89" t="str">
        <f>Registro!M403</f>
        <v>b) El futuro</v>
      </c>
      <c r="O403" s="89" t="str">
        <f>Registro!N403</f>
        <v>a) Mucho</v>
      </c>
      <c r="P403" s="89" t="str">
        <f>Registro!O403</f>
        <v>b) Suficiente</v>
      </c>
      <c r="Q403" s="89" t="str">
        <f>Registro!P403</f>
        <v>b) Suficiente</v>
      </c>
      <c r="R403" s="89" t="str">
        <f>Registro!Q403</f>
        <v>a) La familia, c) Los estudios, j) El deporte</v>
      </c>
      <c r="S403" s="94">
        <f t="shared" si="34"/>
        <v>3</v>
      </c>
      <c r="T403" s="89" t="str">
        <f>Registro!R403</f>
        <v>b) Suficiente</v>
      </c>
      <c r="U403" s="89" t="str">
        <f>Registro!S403</f>
        <v>a) La Iglesia, d) Las convivencias, k) La oración, l) Los sacramentos</v>
      </c>
      <c r="V403" s="89" t="str">
        <f>Registro!T403</f>
        <v>c) Rezo solo en situación de dificultad</v>
      </c>
      <c r="W403" s="89" t="str">
        <f>Registro!U403</f>
        <v>a) Todos los domingos</v>
      </c>
      <c r="X403" s="89" t="str">
        <f>Registro!V403</f>
        <v>a) Suelo llevar una cruz o algún objeto religioso, c) Suelo ir los domingos y otras fechas especiales a la Iglesia, f) En alguna ocasión he rezado el rosario</v>
      </c>
      <c r="Y403" s="89" t="str">
        <f>Registro!W403</f>
        <v>a) Deportivo</v>
      </c>
      <c r="Z403" s="89" t="str">
        <f>Registro!X403</f>
        <v>c) Un lugar donde me lo paso bien</v>
      </c>
      <c r="AA403" s="89" t="str">
        <f>Registro!Y403</f>
        <v>b) No</v>
      </c>
      <c r="AB403" s="89" t="str">
        <f>Registro!Z403</f>
        <v>b) No</v>
      </c>
      <c r="AC403" s="89" t="str">
        <f>Registro!AA403</f>
        <v>a) Medicina, d) Ingeniería</v>
      </c>
      <c r="AD403" s="94">
        <f t="shared" si="35"/>
        <v>2</v>
      </c>
      <c r="AE403" s="89" t="str">
        <f>Registro!AB403</f>
        <v>d) Desarrollarme personalmente</v>
      </c>
      <c r="AF403" s="89" t="str">
        <f>Registro!AC403</f>
        <v>b) Poco</v>
      </c>
      <c r="AG403" s="89" t="str">
        <f>Registro!AD403</f>
        <v>a) Los deportes y diversiones, b) El ambiente de estudio y de trabajo</v>
      </c>
      <c r="AH403" s="94">
        <f t="shared" si="36"/>
        <v>2</v>
      </c>
      <c r="AI403" s="89" t="str">
        <f>Registro!AE403</f>
        <v>c) 5 a 6 horas</v>
      </c>
      <c r="AJ403" s="89"/>
      <c r="AK403" s="94">
        <f t="shared" si="37"/>
        <v>0</v>
      </c>
      <c r="AL403" s="89" t="str">
        <f>Registro!AG403</f>
        <v>b) Bueno</v>
      </c>
      <c r="AM403" s="89" t="str">
        <f>Registro!AH403</f>
        <v>b) Buena</v>
      </c>
      <c r="AN403" s="89" t="str">
        <f>Registro!AI403</f>
        <v>c) Regular</v>
      </c>
      <c r="AO403" s="89" t="str">
        <f>Registro!AJ403</f>
        <v>b) Buena</v>
      </c>
      <c r="AP403" s="89" t="str">
        <f>Registro!AK403</f>
        <v>c) Regular</v>
      </c>
      <c r="AQ403" s="89" t="str">
        <f>Registro!AL403</f>
        <v>b) Buena</v>
      </c>
      <c r="AR403" s="89" t="str">
        <f>Registro!AM403</f>
        <v>b) Buena</v>
      </c>
      <c r="AS403" s="89" t="str">
        <f>Registro!AN403</f>
        <v>c) Regular</v>
      </c>
      <c r="AT403" s="89" t="str">
        <f>Registro!AO403</f>
        <v>c) Regular</v>
      </c>
      <c r="AU403" s="89" t="str">
        <f>Registro!AP403</f>
        <v>c) Regular</v>
      </c>
      <c r="AV403" s="89" t="str">
        <f>Registro!AQ403</f>
        <v>c) Regular</v>
      </c>
      <c r="AW403" s="89" t="str">
        <f>Registro!AR403</f>
        <v>c) El estudio</v>
      </c>
      <c r="AX403" s="89" t="str">
        <f>Registro!AS403</f>
        <v>a) Que sea un buen profesional</v>
      </c>
      <c r="AY403" s="89" t="str">
        <f>Registro!AT403</f>
        <v>c) Conveniente</v>
      </c>
      <c r="AZ403" s="89" t="str">
        <f>Registro!AU403</f>
        <v>c) Alguna vez he bebido más de la cuenta</v>
      </c>
      <c r="BA403" s="89" t="str">
        <f>Registro!AV403</f>
        <v>c) Profesionales que hacen lo que pueden</v>
      </c>
      <c r="BB403" s="89" t="str">
        <f>Registro!AW403</f>
        <v>c) Bastante</v>
      </c>
      <c r="BC403" s="89" t="str">
        <f>Registro!AX403</f>
        <v>b) Hay de todo tipo, pero predomina lo negativo</v>
      </c>
      <c r="BD403" s="89" t="str">
        <f>Registro!AY403</f>
        <v>a) Mi padre, b) Mi madre, c) Un hermano/a, g) Un amigo, h) Una amiga</v>
      </c>
    </row>
    <row r="404" spans="1:56" ht="15" customHeight="1" x14ac:dyDescent="0.25">
      <c r="A404" s="101" t="str">
        <f>Registro!A404</f>
        <v>6/16/2015 9:46:35</v>
      </c>
      <c r="B404" s="89" t="str">
        <f>Registro!B404</f>
        <v>b) Calasanz de Valencia</v>
      </c>
      <c r="C404" s="89" t="str">
        <f>Registro!C404</f>
        <v>c) Cuarto año</v>
      </c>
      <c r="D404" s="89" t="str">
        <f>Registro!D404</f>
        <v>b) Primaria</v>
      </c>
      <c r="E404" s="89" t="str">
        <f>Registro!E404</f>
        <v>a) Masculino</v>
      </c>
      <c r="F404" s="89" t="str">
        <f>Registro!F404</f>
        <v>a) Católica</v>
      </c>
      <c r="G404" s="89" t="str">
        <f>Registro!G404</f>
        <v>a) Mamá, b) Papá, c) Hermanos, d) Abuelos, e) Otros familiares</v>
      </c>
      <c r="H404" s="89" t="str">
        <f>Registro!H404</f>
        <v>c) Apartamento</v>
      </c>
      <c r="I404" s="89" t="str">
        <f>Registro!I404</f>
        <v>a) Sí</v>
      </c>
      <c r="J404" s="89" t="str">
        <f>Registro!J404</f>
        <v>a) Cónsola videojuegos, b) Lavadora, c) Microondas, d) TV pantalla plana, e) Moto, f) MP3, g) MP4, h) Carro, i) Computadora, j) Cámara digital, k) Aire acondicionado</v>
      </c>
      <c r="K404" s="89" t="str">
        <f>Registro!K404</f>
        <v>d) Tres</v>
      </c>
      <c r="L404" s="89" t="str">
        <f>Registro!L404</f>
        <v>a) La familia, b) Los amigos, g) La felicidad</v>
      </c>
      <c r="M404" s="94">
        <f t="shared" si="33"/>
        <v>3</v>
      </c>
      <c r="N404" s="89" t="str">
        <f>Registro!M404</f>
        <v>b) El futuro</v>
      </c>
      <c r="O404" s="89" t="str">
        <f>Registro!N404</f>
        <v>a) Mucho</v>
      </c>
      <c r="P404" s="89" t="str">
        <f>Registro!O404</f>
        <v>b) Suficiente</v>
      </c>
      <c r="Q404" s="89" t="str">
        <f>Registro!P404</f>
        <v>c) Poco</v>
      </c>
      <c r="R404" s="89" t="str">
        <f>Registro!Q404</f>
        <v>a) La familia, c) Los estudios, g) La felicidad</v>
      </c>
      <c r="S404" s="94">
        <f t="shared" si="34"/>
        <v>3</v>
      </c>
      <c r="T404" s="89" t="str">
        <f>Registro!R404</f>
        <v>b) Suficiente</v>
      </c>
      <c r="U404" s="89" t="str">
        <f>Registro!S404</f>
        <v>a) La Iglesia, b) La naturaleza, e) Los amigos, g) Mi familia, i) Los necesitados, k) La oración, l) Los sacramentos</v>
      </c>
      <c r="V404" s="89" t="str">
        <f>Registro!T404</f>
        <v>b) Rezo por costumbre</v>
      </c>
      <c r="W404" s="89" t="str">
        <f>Registro!U404</f>
        <v>c) Solo en fechas especiales</v>
      </c>
      <c r="X404" s="89" t="str">
        <f>Registro!V404</f>
        <v>f) En alguna ocasión he rezado el rosario</v>
      </c>
      <c r="Y404" s="89" t="str">
        <f>Registro!W404</f>
        <v xml:space="preserve">a) Deportivo, b) Cultural (folklórico, musicales, danzas, scout, banda marcial,...) </v>
      </c>
      <c r="Z404" s="89" t="str">
        <f>Registro!X404</f>
        <v>d) No pertenezco a grupos juveniles cristianos</v>
      </c>
      <c r="AA404" s="89" t="str">
        <f>Registro!Y404</f>
        <v>c) Algo</v>
      </c>
      <c r="AB404" s="89" t="str">
        <f>Registro!Z404</f>
        <v>b) No</v>
      </c>
      <c r="AC404" s="89" t="str">
        <f>Registro!AA404</f>
        <v>d) Ingeniería, f) Ciencias policiales o artes militares</v>
      </c>
      <c r="AD404" s="94">
        <f t="shared" si="35"/>
        <v>2</v>
      </c>
      <c r="AE404" s="89" t="str">
        <f>Registro!AB404</f>
        <v>d) Desarrollarme personalmente</v>
      </c>
      <c r="AF404" s="89" t="str">
        <f>Registro!AC404</f>
        <v>b) Poco</v>
      </c>
      <c r="AG404" s="89" t="str">
        <f>Registro!AD404</f>
        <v>a) Los deportes y diversiones, c) Las instalaciones del Colegio</v>
      </c>
      <c r="AH404" s="94">
        <f t="shared" si="36"/>
        <v>2</v>
      </c>
      <c r="AI404" s="89" t="str">
        <f>Registro!AE404</f>
        <v>d) 7 a 8 horas</v>
      </c>
      <c r="AJ404" s="89" t="str">
        <f>Registro!AF404</f>
        <v>f) Toco un instrumento musical, k) Practico algún deporte, n) Estoy conversando con los amigos/as</v>
      </c>
      <c r="AK404" s="94">
        <f t="shared" si="37"/>
        <v>3</v>
      </c>
      <c r="AL404" s="89" t="str">
        <f>Registro!AG404</f>
        <v>b) Bueno</v>
      </c>
      <c r="AM404" s="89" t="str">
        <f>Registro!AH404</f>
        <v>d) Mala</v>
      </c>
      <c r="AN404" s="89" t="str">
        <f>Registro!AI404</f>
        <v>c) Regular</v>
      </c>
      <c r="AO404" s="89" t="str">
        <f>Registro!AJ404</f>
        <v>b) Buena</v>
      </c>
      <c r="AP404" s="89" t="str">
        <f>Registro!AK404</f>
        <v>f) No aplica</v>
      </c>
      <c r="AQ404" s="89" t="str">
        <f>Registro!AL404</f>
        <v>b) Buena</v>
      </c>
      <c r="AR404" s="89" t="str">
        <f>Registro!AM404</f>
        <v>c) Regular</v>
      </c>
      <c r="AS404" s="89" t="str">
        <f>Registro!AN404</f>
        <v>c) Regular</v>
      </c>
      <c r="AT404" s="89" t="str">
        <f>Registro!AO404</f>
        <v>b) Buena</v>
      </c>
      <c r="AU404" s="89" t="str">
        <f>Registro!AP404</f>
        <v>c) Regular</v>
      </c>
      <c r="AV404" s="89" t="str">
        <f>Registro!AQ404</f>
        <v>c) Regular</v>
      </c>
      <c r="AW404" s="89" t="str">
        <f>Registro!AR404</f>
        <v>a) El compañerismo</v>
      </c>
      <c r="AX404" s="89" t="str">
        <f>Registro!AS404</f>
        <v>c) Que me preocupe de los demás</v>
      </c>
      <c r="AY404" s="89" t="str">
        <f>Registro!AT404</f>
        <v>c) Conveniente</v>
      </c>
      <c r="AZ404" s="89" t="str">
        <f>Registro!AU404</f>
        <v>c) Alguna vez he bebido más de la cuenta</v>
      </c>
      <c r="BA404" s="89" t="str">
        <f>Registro!AV404</f>
        <v>f) Educadores que, además, me han abierto caminos</v>
      </c>
      <c r="BB404" s="89" t="str">
        <f>Registro!AW404</f>
        <v>c) Bastante</v>
      </c>
      <c r="BC404" s="89" t="str">
        <f>Registro!AX404</f>
        <v>d) Hay de todo tipo, pero predomina lo positivo</v>
      </c>
      <c r="BD404" s="89" t="str">
        <f>Registro!AY404</f>
        <v>a) Mi padre, b) Mi madre, c) Un hermano/a, g) Un amigo, h) Una amiga</v>
      </c>
    </row>
    <row r="405" spans="1:56" ht="15" customHeight="1" x14ac:dyDescent="0.25">
      <c r="A405" s="101" t="str">
        <f>Registro!A405</f>
        <v>6/16/2015 9:47:00</v>
      </c>
      <c r="B405" s="89" t="str">
        <f>Registro!B405</f>
        <v>b) Calasanz de Valencia</v>
      </c>
      <c r="C405" s="89" t="str">
        <f>Registro!C405</f>
        <v>c) Cuarto año</v>
      </c>
      <c r="D405" s="89" t="str">
        <f>Registro!D405</f>
        <v>a) Educación Inicial</v>
      </c>
      <c r="E405" s="89" t="str">
        <f>Registro!E405</f>
        <v>a) Masculino</v>
      </c>
      <c r="F405" s="89" t="str">
        <f>Registro!F405</f>
        <v>a) Católica</v>
      </c>
      <c r="G405" s="89" t="str">
        <f>Registro!G405</f>
        <v>a) Mamá, b) Papá, c) Hermanos</v>
      </c>
      <c r="H405" s="89" t="str">
        <f>Registro!H405</f>
        <v>c) Apartamento</v>
      </c>
      <c r="I405" s="89" t="str">
        <f>Registro!I405</f>
        <v>a) Sí</v>
      </c>
      <c r="J405" s="89" t="str">
        <f>Registro!J405</f>
        <v>a) Cónsola videojuegos, b) Lavadora, c) Microondas, d) TV pantalla plana, h) Carro, i) Computadora, j) Cámara digital, k) Aire acondicionado</v>
      </c>
      <c r="K405" s="89" t="str">
        <f>Registro!K405</f>
        <v>d) Tres</v>
      </c>
      <c r="L405" s="89" t="str">
        <f>Registro!L405</f>
        <v>a) La familia, b) Los amigos, c) Los estudios</v>
      </c>
      <c r="M405" s="94">
        <f t="shared" si="33"/>
        <v>3</v>
      </c>
      <c r="N405" s="89" t="str">
        <f>Registro!M405</f>
        <v>f) La situación política del país</v>
      </c>
      <c r="O405" s="89" t="str">
        <f>Registro!N405</f>
        <v>a) Mucho</v>
      </c>
      <c r="P405" s="89" t="str">
        <f>Registro!O405</f>
        <v>a) Mucho</v>
      </c>
      <c r="Q405" s="89" t="str">
        <f>Registro!P405</f>
        <v>b) Suficiente</v>
      </c>
      <c r="R405" s="89" t="str">
        <f>Registro!Q405</f>
        <v>a) La familia, b) Los amigos, c) Los estudios</v>
      </c>
      <c r="S405" s="94">
        <f t="shared" si="34"/>
        <v>3</v>
      </c>
      <c r="T405" s="89" t="str">
        <f>Registro!R405</f>
        <v>a) Mucho</v>
      </c>
      <c r="U405" s="89" t="str">
        <f>Registro!S405</f>
        <v>a) La Iglesia, d) Las convivencias, g) Mi familia, k) La oración, l) Los sacramentos</v>
      </c>
      <c r="V405" s="89" t="str">
        <f>Registro!T405</f>
        <v>a) Suelo rezar por convicción o porque me gusta</v>
      </c>
      <c r="W405" s="89" t="str">
        <f>Registro!U405</f>
        <v>b) Algunos domingos</v>
      </c>
      <c r="X405" s="89" t="str">
        <f>Registro!V405</f>
        <v>e) Voy a misa en las fechas de mis familiares difuntos, f) En alguna ocasión he rezado el rosario, i) Tengo en mi cuarto alguna imagen religiosa</v>
      </c>
      <c r="Y405" s="89" t="str">
        <f>Registro!W405</f>
        <v>a) Deportivo</v>
      </c>
      <c r="Z405" s="89" t="str">
        <f>Registro!X405</f>
        <v>d) No pertenezco a grupos juveniles cristianos</v>
      </c>
      <c r="AA405" s="89" t="str">
        <f>Registro!Y405</f>
        <v>b) No</v>
      </c>
      <c r="AB405" s="89" t="str">
        <f>Registro!Z405</f>
        <v>b) No</v>
      </c>
      <c r="AC405" s="89" t="str">
        <f>Registro!AA405</f>
        <v>a) Medicina, d) Ingeniería</v>
      </c>
      <c r="AD405" s="94">
        <f t="shared" si="35"/>
        <v>2</v>
      </c>
      <c r="AE405" s="89" t="str">
        <f>Registro!AB405</f>
        <v>c) Ser un excelente profesional</v>
      </c>
      <c r="AF405" s="89" t="str">
        <f>Registro!AC405</f>
        <v>c) Bastante</v>
      </c>
      <c r="AG405" s="89" t="str">
        <f>Registro!AD405</f>
        <v>a) Los deportes y diversiones, b) El ambiente de estudio y de trabajo</v>
      </c>
      <c r="AH405" s="94">
        <f t="shared" si="36"/>
        <v>2</v>
      </c>
      <c r="AI405" s="89" t="str">
        <f>Registro!AE405</f>
        <v>d) 7 a 8 horas</v>
      </c>
      <c r="AJ405" s="89" t="str">
        <f>Registro!AF405</f>
        <v>g) Suelo ir a discotecas o a fiestas, h) Suelo ir al cine, n) Estoy conversando con los amigos/as</v>
      </c>
      <c r="AK405" s="94">
        <f t="shared" si="37"/>
        <v>3</v>
      </c>
      <c r="AL405" s="89" t="str">
        <f>Registro!AG405</f>
        <v>a) Muy bueno</v>
      </c>
      <c r="AM405" s="89" t="str">
        <f>Registro!AH405</f>
        <v>b) Buena</v>
      </c>
      <c r="AN405" s="89" t="str">
        <f>Registro!AI405</f>
        <v>b) Buena</v>
      </c>
      <c r="AO405" s="89" t="str">
        <f>Registro!AJ405</f>
        <v>b) Buena</v>
      </c>
      <c r="AP405" s="89" t="str">
        <f>Registro!AK405</f>
        <v>b) Buena</v>
      </c>
      <c r="AQ405" s="89" t="str">
        <f>Registro!AL405</f>
        <v>b) Buena</v>
      </c>
      <c r="AR405" s="89" t="str">
        <f>Registro!AM405</f>
        <v>a) Muy buena</v>
      </c>
      <c r="AS405" s="89" t="str">
        <f>Registro!AN405</f>
        <v>b) Buena</v>
      </c>
      <c r="AT405" s="89" t="str">
        <f>Registro!AO405</f>
        <v>a) Muy buena</v>
      </c>
      <c r="AU405" s="89" t="str">
        <f>Registro!AP405</f>
        <v>b) Buena</v>
      </c>
      <c r="AV405" s="89" t="str">
        <f>Registro!AQ405</f>
        <v>a) Muy buena</v>
      </c>
      <c r="AW405" s="89" t="str">
        <f>Registro!AR405</f>
        <v>e) La disciplina y el orden</v>
      </c>
      <c r="AX405" s="89" t="str">
        <f>Registro!AS405</f>
        <v>b) Darme una buena educación</v>
      </c>
      <c r="AY405" s="89" t="str">
        <f>Registro!AT405</f>
        <v>e) Absolutamente necesaria</v>
      </c>
      <c r="AZ405" s="89" t="str">
        <f>Registro!AU405</f>
        <v>b) Las veces que bebo, es con moderación</v>
      </c>
      <c r="BA405" s="89" t="str">
        <f>Registro!AV405</f>
        <v>d) Buenos profesionales de la educación</v>
      </c>
      <c r="BB405" s="89" t="str">
        <f>Registro!AW405</f>
        <v>d) Mucho o muchísimo</v>
      </c>
      <c r="BC405" s="89" t="str">
        <f>Registro!AX405</f>
        <v>d) Hay de todo tipo, pero predomina lo positivo</v>
      </c>
      <c r="BD405" s="89" t="str">
        <f>Registro!AY405</f>
        <v>a) Mi padre, b) Mi madre, c) Un hermano/a, e) Un, una docente, g) Un amigo, h) Una amiga</v>
      </c>
    </row>
    <row r="406" spans="1:56" ht="15" customHeight="1" x14ac:dyDescent="0.25">
      <c r="A406" s="101" t="str">
        <f>Registro!A406</f>
        <v>6/18/2015 8:08:58</v>
      </c>
      <c r="B406" s="89" t="str">
        <f>Registro!B406</f>
        <v>d) Cristo Rey de Carora</v>
      </c>
      <c r="C406" s="89" t="str">
        <f>Registro!C406</f>
        <v>a) Primer año</v>
      </c>
      <c r="D406" s="89" t="str">
        <f>Registro!D406</f>
        <v>a) Educación Inicial</v>
      </c>
      <c r="E406" s="89" t="str">
        <f>Registro!E406</f>
        <v>a) Masculino</v>
      </c>
      <c r="F406" s="89" t="str">
        <f>Registro!F406</f>
        <v>a) Católica</v>
      </c>
      <c r="G406" s="89" t="str">
        <f>Registro!G406</f>
        <v>a) Mamá</v>
      </c>
      <c r="H406" s="89" t="str">
        <f>Registro!H406</f>
        <v>b) Casa Urbana</v>
      </c>
      <c r="I406" s="89" t="str">
        <f>Registro!I406</f>
        <v>a) Sí</v>
      </c>
      <c r="J406" s="89" t="str">
        <f>Registro!J406</f>
        <v>a) Cónsola videojuegos, b) Lavadora, d) TV pantalla plana, i) Computadora, k) Aire acondicionado</v>
      </c>
      <c r="K406" s="89" t="str">
        <f>Registro!K406</f>
        <v>b) Una</v>
      </c>
      <c r="L406" s="89" t="str">
        <f>Registro!L406</f>
        <v>a) La familia, b) Los amigos, j) El deporte</v>
      </c>
      <c r="M406" s="94">
        <f t="shared" si="33"/>
        <v>3</v>
      </c>
      <c r="N406" s="89" t="str">
        <f>Registro!M406</f>
        <v>g) Mis estudios</v>
      </c>
      <c r="O406" s="89" t="str">
        <f>Registro!N406</f>
        <v>a) Mucho</v>
      </c>
      <c r="P406" s="89" t="str">
        <f>Registro!O406</f>
        <v>b) Suficiente</v>
      </c>
      <c r="Q406" s="89" t="str">
        <f>Registro!P406</f>
        <v>a) Mucho</v>
      </c>
      <c r="R406" s="89" t="str">
        <f>Registro!Q406</f>
        <v>a) La familia, c) Los estudios, g) La felicidad</v>
      </c>
      <c r="S406" s="94">
        <f t="shared" si="34"/>
        <v>3</v>
      </c>
      <c r="T406" s="89" t="str">
        <f>Registro!R406</f>
        <v>a) Mucho</v>
      </c>
      <c r="U406" s="89" t="str">
        <f>Registro!S406</f>
        <v>j) Todas partes</v>
      </c>
      <c r="V406" s="89" t="str">
        <f>Registro!T406</f>
        <v>b) Rezo por costumbre</v>
      </c>
      <c r="W406" s="89" t="str">
        <f>Registro!U406</f>
        <v>c) Solo en fechas especiales</v>
      </c>
      <c r="X406" s="89" t="str">
        <f>Registro!V406</f>
        <v>a) Suelo llevar una cruz o algún objeto religioso, d) Suelo orar todos los días</v>
      </c>
      <c r="Y406" s="89" t="str">
        <f>Registro!W406</f>
        <v>a) Deportivo</v>
      </c>
      <c r="Z406" s="89" t="str">
        <f>Registro!X406</f>
        <v>a) Un grupo donde profundizo mi fe</v>
      </c>
      <c r="AA406" s="89" t="str">
        <f>Registro!Y406</f>
        <v>c) Algo</v>
      </c>
      <c r="AB406" s="89" t="str">
        <f>Registro!Z406</f>
        <v>b) No</v>
      </c>
      <c r="AC406" s="89" t="str">
        <f>Registro!AA406</f>
        <v>d) Ingeniería, e) Derecho</v>
      </c>
      <c r="AD406" s="94">
        <f t="shared" si="35"/>
        <v>2</v>
      </c>
      <c r="AE406" s="89" t="str">
        <f>Registro!AB406</f>
        <v>c) Ser un excelente profesional</v>
      </c>
      <c r="AF406" s="89" t="str">
        <f>Registro!AC406</f>
        <v>c) Bastante</v>
      </c>
      <c r="AG406" s="89" t="str">
        <f>Registro!AD406</f>
        <v>a) Los deportes y diversiones, b) El ambiente de estudio y de trabajo</v>
      </c>
      <c r="AH406" s="94">
        <f t="shared" si="36"/>
        <v>2</v>
      </c>
      <c r="AI406" s="89" t="str">
        <f>Registro!AE406</f>
        <v>a) 0 a 2 horas</v>
      </c>
      <c r="AJ406" s="89" t="str">
        <f>Registro!AF406</f>
        <v>a) Me divierto con juegos para computadoras, i) Leo revistas o libros, k) Practico algún deporte</v>
      </c>
      <c r="AK406" s="94">
        <f t="shared" si="37"/>
        <v>3</v>
      </c>
      <c r="AL406" s="89" t="str">
        <f>Registro!AG406</f>
        <v>a) Muy bueno</v>
      </c>
      <c r="AM406" s="89" t="str">
        <f>Registro!AH406</f>
        <v>a) Muy buena</v>
      </c>
      <c r="AN406" s="89" t="str">
        <f>Registro!AI406</f>
        <v>a) Muy buena</v>
      </c>
      <c r="AO406" s="89" t="str">
        <f>Registro!AJ406</f>
        <v>a) Muy buena</v>
      </c>
      <c r="AP406" s="89" t="str">
        <f>Registro!AK406</f>
        <v>a) Muy buena</v>
      </c>
      <c r="AQ406" s="89" t="str">
        <f>Registro!AL406</f>
        <v>a) Muy buena</v>
      </c>
      <c r="AR406" s="89" t="str">
        <f>Registro!AM406</f>
        <v>a) Muy buena</v>
      </c>
      <c r="AS406" s="89" t="str">
        <f>Registro!AN406</f>
        <v>a) Muy buena</v>
      </c>
      <c r="AT406" s="89" t="str">
        <f>Registro!AO406</f>
        <v>a) Muy buena</v>
      </c>
      <c r="AU406" s="89" t="str">
        <f>Registro!AP406</f>
        <v>a) Muy buena</v>
      </c>
      <c r="AV406" s="89" t="str">
        <f>Registro!AQ406</f>
        <v>a) Muy buena</v>
      </c>
      <c r="AW406" s="89" t="str">
        <f>Registro!AR406</f>
        <v>b) La orientación cristiana</v>
      </c>
      <c r="AX406" s="89" t="str">
        <f>Registro!AS406</f>
        <v>e) Que sea cristiano responsable</v>
      </c>
      <c r="AY406" s="89" t="str">
        <f>Registro!AT406</f>
        <v>e) Absolutamente necesaria</v>
      </c>
      <c r="AZ406" s="89" t="str">
        <f>Registro!AU406</f>
        <v>a) No acostumbro a tomarlo nunca</v>
      </c>
      <c r="BA406" s="89" t="str">
        <f>Registro!AV406</f>
        <v>d) Buenos profesionales de la educación</v>
      </c>
      <c r="BB406" s="89" t="str">
        <f>Registro!AW406</f>
        <v>c) Bastante</v>
      </c>
      <c r="BC406" s="89" t="str">
        <f>Registro!AX406</f>
        <v>e) Son personas que me gustan y admiro</v>
      </c>
      <c r="BD406" s="89" t="str">
        <f>Registro!AY406</f>
        <v>b) Mi madre, e) Un, una docente, f) La orientadora, g) Un amigo</v>
      </c>
    </row>
    <row r="407" spans="1:56" ht="15" customHeight="1" x14ac:dyDescent="0.25">
      <c r="A407" s="101" t="str">
        <f>Registro!A407</f>
        <v>6/18/2015 8:08:58</v>
      </c>
      <c r="B407" s="89" t="str">
        <f>Registro!B407</f>
        <v>d) Cristo Rey de Carora</v>
      </c>
      <c r="C407" s="89" t="str">
        <f>Registro!C407</f>
        <v>a) Primer año</v>
      </c>
      <c r="D407" s="89" t="str">
        <f>Registro!D407</f>
        <v>a) Educación Inicial</v>
      </c>
      <c r="E407" s="89" t="str">
        <f>Registro!E407</f>
        <v>a) Masculino</v>
      </c>
      <c r="F407" s="89" t="str">
        <f>Registro!F407</f>
        <v>a) Católica</v>
      </c>
      <c r="G407" s="89" t="str">
        <f>Registro!G407</f>
        <v>a) Mamá, b) Papá, d) Abuelos</v>
      </c>
      <c r="H407" s="89" t="str">
        <f>Registro!H407</f>
        <v>b) Casa Urbana</v>
      </c>
      <c r="I407" s="89" t="str">
        <f>Registro!I407</f>
        <v>a) Sí</v>
      </c>
      <c r="J407" s="89" t="str">
        <f>Registro!J407</f>
        <v>a) Cónsola videojuegos, b) Lavadora, d) TV pantalla plana, f) MP3, g) MP4, h) Carro, i) Computadora, j) Cámara digital, k) Aire acondicionado</v>
      </c>
      <c r="K407" s="89" t="str">
        <f>Registro!K407</f>
        <v>c) Dos</v>
      </c>
      <c r="L407" s="89" t="str">
        <f>Registro!L407</f>
        <v>a) La familia, b) Los amigos, f) Mi fe y vida cristiana</v>
      </c>
      <c r="M407" s="94">
        <f t="shared" si="33"/>
        <v>3</v>
      </c>
      <c r="N407" s="89" t="str">
        <f>Registro!M407</f>
        <v>b) El futuro</v>
      </c>
      <c r="O407" s="89" t="str">
        <f>Registro!N407</f>
        <v>b) Suficiente</v>
      </c>
      <c r="P407" s="89" t="str">
        <f>Registro!O407</f>
        <v>c) Poco</v>
      </c>
      <c r="Q407" s="89" t="str">
        <f>Registro!P407</f>
        <v>b) Suficiente</v>
      </c>
      <c r="R407" s="89" t="str">
        <f>Registro!Q407</f>
        <v>a) La familia, c) Los estudios, g) La felicidad</v>
      </c>
      <c r="S407" s="94">
        <f t="shared" si="34"/>
        <v>3</v>
      </c>
      <c r="T407" s="89" t="str">
        <f>Registro!R407</f>
        <v>b) Suficiente</v>
      </c>
      <c r="U407" s="89" t="str">
        <f>Registro!S407</f>
        <v>a) La Iglesia, b) La naturaleza, d) Las convivencias, e) Los amigos, g) Mi familia, h) Algunas personas cercanas a Dios, i) Los necesitados, k) La oración, l) Los sacramentos</v>
      </c>
      <c r="V407" s="89" t="str">
        <f>Registro!T407</f>
        <v>c) Rezo solo en situación de dificultad</v>
      </c>
      <c r="W407" s="89" t="str">
        <f>Registro!U407</f>
        <v>b) Algunos domingos</v>
      </c>
      <c r="X407" s="89" t="str">
        <f>Registro!V407</f>
        <v>a) Suelo llevar una cruz o algún objeto religioso, c) Suelo ir los domingos y otras fechas especiales a la Iglesia, f) En alguna ocasión he rezado el rosario, g) En ocasiones, en mi casa tenemos una oración familiar, h) En Semana Santa asisto a las procesiones, i) Tengo en mi cuarto alguna imagen religiosa</v>
      </c>
      <c r="Y407" s="89" t="str">
        <f>Registro!W407</f>
        <v>a) Deportivo</v>
      </c>
      <c r="Z407" s="89" t="str">
        <f>Registro!X407</f>
        <v>d) No pertenezco a grupos juveniles cristianos</v>
      </c>
      <c r="AA407" s="89" t="str">
        <f>Registro!Y407</f>
        <v>c) Algo</v>
      </c>
      <c r="AB407" s="89" t="str">
        <f>Registro!Z407</f>
        <v>b) No</v>
      </c>
      <c r="AC407" s="89" t="str">
        <f>Registro!AA407</f>
        <v>e) Derecho, h) Ciencias políticas</v>
      </c>
      <c r="AD407" s="94">
        <f t="shared" si="35"/>
        <v>2</v>
      </c>
      <c r="AE407" s="89" t="str">
        <f>Registro!AB407</f>
        <v>b) Tener una buena posición social, ser importante</v>
      </c>
      <c r="AF407" s="89" t="str">
        <f>Registro!AC407</f>
        <v>b) Poco</v>
      </c>
      <c r="AG407" s="89" t="str">
        <f>Registro!AD407</f>
        <v>a) Los deportes y diversiones, b) El ambiente de estudio y de trabajo</v>
      </c>
      <c r="AH407" s="94">
        <f t="shared" si="36"/>
        <v>2</v>
      </c>
      <c r="AI407" s="89" t="str">
        <f>Registro!AE407</f>
        <v>d) 7 a 8 horas</v>
      </c>
      <c r="AJ407" s="89" t="str">
        <f>Registro!AF407</f>
        <v>a) Me divierto con juegos para computadoras, l) Escucho música y/o veo videos musicales, n) Estoy conversando con los amigos/as</v>
      </c>
      <c r="AK407" s="94">
        <f t="shared" si="37"/>
        <v>3</v>
      </c>
      <c r="AL407" s="89" t="str">
        <f>Registro!AG407</f>
        <v>b) Bueno</v>
      </c>
      <c r="AM407" s="89" t="str">
        <f>Registro!AH407</f>
        <v>c) Regular</v>
      </c>
      <c r="AN407" s="89" t="str">
        <f>Registro!AI407</f>
        <v>b) Buena</v>
      </c>
      <c r="AO407" s="89" t="str">
        <f>Registro!AJ407</f>
        <v>b) Buena</v>
      </c>
      <c r="AP407" s="89" t="str">
        <f>Registro!AK407</f>
        <v>b) Buena</v>
      </c>
      <c r="AQ407" s="89" t="str">
        <f>Registro!AL407</f>
        <v>b) Buena</v>
      </c>
      <c r="AR407" s="89" t="str">
        <f>Registro!AM407</f>
        <v>b) Buena</v>
      </c>
      <c r="AS407" s="89" t="str">
        <f>Registro!AN407</f>
        <v>b) Buena</v>
      </c>
      <c r="AT407" s="89" t="str">
        <f>Registro!AO407</f>
        <v>a) Muy buena</v>
      </c>
      <c r="AU407" s="89" t="str">
        <f>Registro!AP407</f>
        <v>b) Buena</v>
      </c>
      <c r="AV407" s="89" t="str">
        <f>Registro!AQ407</f>
        <v>b) Buena</v>
      </c>
      <c r="AW407" s="89" t="str">
        <f>Registro!AR407</f>
        <v>f) la práctica religiosa</v>
      </c>
      <c r="AX407" s="89" t="str">
        <f>Registro!AS407</f>
        <v>a) Que sea un buen profesional</v>
      </c>
      <c r="AY407" s="89" t="str">
        <f>Registro!AT407</f>
        <v>c) Conveniente</v>
      </c>
      <c r="AZ407" s="89" t="str">
        <f>Registro!AU407</f>
        <v>b) Las veces que bebo, es con moderación</v>
      </c>
      <c r="BA407" s="89" t="str">
        <f>Registro!AV407</f>
        <v>e) Educadores que se preocupan de nosotros</v>
      </c>
      <c r="BB407" s="89" t="str">
        <f>Registro!AW407</f>
        <v>d) Mucho o muchísimo</v>
      </c>
      <c r="BC407" s="89" t="str">
        <f>Registro!AX407</f>
        <v>e) Son personas que me gustan y admiro</v>
      </c>
      <c r="BD407" s="89" t="str">
        <f>Registro!AY407</f>
        <v>a) Mi padre, b) Mi madre, c) Un hermano/a, e) Un, una docente, g) Un amigo, h) Una amiga</v>
      </c>
    </row>
    <row r="408" spans="1:56" ht="15" customHeight="1" x14ac:dyDescent="0.25">
      <c r="A408" s="101" t="str">
        <f>Registro!A408</f>
        <v>6/18/2015 8:13:00</v>
      </c>
      <c r="B408" s="89" t="str">
        <f>Registro!B408</f>
        <v>d) Cristo Rey de Carora</v>
      </c>
      <c r="C408" s="89" t="str">
        <f>Registro!C408</f>
        <v>a) Primer año</v>
      </c>
      <c r="D408" s="89" t="str">
        <f>Registro!D408</f>
        <v>a) Educación Inicial</v>
      </c>
      <c r="E408" s="89" t="str">
        <f>Registro!E408</f>
        <v>b) Femenino</v>
      </c>
      <c r="F408" s="89" t="str">
        <f>Registro!F408</f>
        <v>a) Católica</v>
      </c>
      <c r="G408" s="89" t="str">
        <f>Registro!G408</f>
        <v>a) Mamá, b) Papá</v>
      </c>
      <c r="H408" s="89" t="str">
        <f>Registro!H408</f>
        <v>b) Casa Urbana</v>
      </c>
      <c r="I408" s="89" t="str">
        <f>Registro!I408</f>
        <v>c) Algo</v>
      </c>
      <c r="J408" s="89" t="str">
        <f>Registro!J408</f>
        <v>b) Lavadora, i) Computadora, j) Cámara digital, k) Aire acondicionado</v>
      </c>
      <c r="K408" s="89" t="str">
        <f>Registro!K408</f>
        <v>b) Una</v>
      </c>
      <c r="L408" s="89" t="str">
        <f>Registro!L408</f>
        <v>a) La familia, c) Los estudios, f) Mi fe y vida cristiana</v>
      </c>
      <c r="M408" s="94">
        <f t="shared" si="33"/>
        <v>3</v>
      </c>
      <c r="N408" s="89" t="str">
        <f>Registro!M408</f>
        <v>g) Mis estudios</v>
      </c>
      <c r="O408" s="89" t="str">
        <f>Registro!N408</f>
        <v>a) Mucho</v>
      </c>
      <c r="P408" s="89" t="str">
        <f>Registro!O408</f>
        <v>a) Mucho</v>
      </c>
      <c r="Q408" s="89" t="str">
        <f>Registro!P408</f>
        <v>a) Mucho</v>
      </c>
      <c r="R408" s="89" t="str">
        <f>Registro!Q408</f>
        <v>c) Los estudios, d) El cuidado de mi cuerpo, f) Mi fe y mi vida cristiana</v>
      </c>
      <c r="S408" s="94">
        <f t="shared" si="34"/>
        <v>3</v>
      </c>
      <c r="T408" s="89" t="str">
        <f>Registro!R408</f>
        <v>a) Mucho</v>
      </c>
      <c r="U408" s="89" t="str">
        <f>Registro!S408</f>
        <v>a) La Iglesia, g) Mi familia, j) Todas partes, k) La oración, l) Los sacramentos</v>
      </c>
      <c r="V408" s="89" t="str">
        <f>Registro!T408</f>
        <v>b) Rezo por costumbre</v>
      </c>
      <c r="W408" s="89" t="str">
        <f>Registro!U408</f>
        <v>b) Algunos domingos</v>
      </c>
      <c r="X408" s="89" t="str">
        <f>Registro!V408</f>
        <v>c) Suelo ir los domingos y otras fechas especiales a la Iglesia, f) En alguna ocasión he rezado el rosario, g) En ocasiones, en mi casa tenemos una oración familiar, h) En Semana Santa asisto a las procesiones, i) Tengo en mi cuarto alguna imagen religiosa</v>
      </c>
      <c r="Y408" s="89" t="str">
        <f>Registro!W408</f>
        <v>d) No pertenezco a ninguno</v>
      </c>
      <c r="Z408" s="89" t="str">
        <f>Registro!X408</f>
        <v>a) Un grupo donde profundizo mi fe</v>
      </c>
      <c r="AA408" s="89" t="str">
        <f>Registro!Y408</f>
        <v>b) No</v>
      </c>
      <c r="AB408" s="89" t="str">
        <f>Registro!Z408</f>
        <v>b) No</v>
      </c>
      <c r="AC408" s="89" t="str">
        <f>Registro!AA408</f>
        <v>a) Medicina, c) Sacerdocio o hermana religiosa</v>
      </c>
      <c r="AD408" s="94">
        <f t="shared" si="35"/>
        <v>2</v>
      </c>
      <c r="AE408" s="89" t="str">
        <f>Registro!AB408</f>
        <v>e) Servir a los demás</v>
      </c>
      <c r="AF408" s="89" t="str">
        <f>Registro!AC408</f>
        <v>c) Bastante</v>
      </c>
      <c r="AG408" s="89" t="str">
        <f>Registro!AD408</f>
        <v>b) El ambiente de estudio y de trabajo, e) La mayor posibilidad de vivir mi fe</v>
      </c>
      <c r="AH408" s="94">
        <f t="shared" si="36"/>
        <v>2</v>
      </c>
      <c r="AI408" s="89" t="str">
        <f>Registro!AE408</f>
        <v>a) 0 a 2 horas</v>
      </c>
      <c r="AJ408" s="89" t="str">
        <f>Registro!AF408</f>
        <v>b) Navego en Internet, d) Estoy la mayor parte del tiempo en la casa sin hacer nada, j) Estoy en algún grupo juvenil</v>
      </c>
      <c r="AK408" s="94">
        <f t="shared" si="37"/>
        <v>3</v>
      </c>
      <c r="AL408" s="89" t="str">
        <f>Registro!AG408</f>
        <v>b) Bueno</v>
      </c>
      <c r="AM408" s="89" t="str">
        <f>Registro!AH408</f>
        <v>a) Muy buena</v>
      </c>
      <c r="AN408" s="89" t="str">
        <f>Registro!AI408</f>
        <v>a) Muy buena</v>
      </c>
      <c r="AO408" s="89" t="str">
        <f>Registro!AJ408</f>
        <v>b) Buena</v>
      </c>
      <c r="AP408" s="89" t="str">
        <f>Registro!AK408</f>
        <v>b) Buena</v>
      </c>
      <c r="AQ408" s="89" t="str">
        <f>Registro!AL408</f>
        <v>a) Muy buena</v>
      </c>
      <c r="AR408" s="89" t="str">
        <f>Registro!AM408</f>
        <v>a) Muy buena</v>
      </c>
      <c r="AS408" s="89" t="str">
        <f>Registro!AN408</f>
        <v>a) Muy buena</v>
      </c>
      <c r="AT408" s="89" t="str">
        <f>Registro!AO408</f>
        <v>a) Muy buena</v>
      </c>
      <c r="AU408" s="89" t="str">
        <f>Registro!AP408</f>
        <v>a) Muy buena</v>
      </c>
      <c r="AV408" s="89" t="str">
        <f>Registro!AQ408</f>
        <v>b) Buena</v>
      </c>
      <c r="AW408" s="89" t="str">
        <f>Registro!AR408</f>
        <v>h) La responsabilidad social y el servicio a los demás</v>
      </c>
      <c r="AX408" s="89" t="str">
        <f>Registro!AS408</f>
        <v>f) Que tenga honradez en la vida</v>
      </c>
      <c r="AY408" s="89" t="str">
        <f>Registro!AT408</f>
        <v>e) Absolutamente necesaria</v>
      </c>
      <c r="AZ408" s="89" t="str">
        <f>Registro!AU408</f>
        <v>a) No acostumbro a tomarlo nunca</v>
      </c>
      <c r="BA408" s="89" t="str">
        <f>Registro!AV408</f>
        <v>f) Educadores que, además, me han abierto caminos</v>
      </c>
      <c r="BB408" s="89" t="str">
        <f>Registro!AW408</f>
        <v>d) Mucho o muchísimo</v>
      </c>
      <c r="BC408" s="89" t="str">
        <f>Registro!AX408</f>
        <v>e) Son personas que me gustan y admiro</v>
      </c>
      <c r="BD408" s="89" t="str">
        <f>Registro!AY408</f>
        <v>a) Mi padre, b) Mi madre, c) Un hermano/a, d) Un escolapio, religioso o religiosa, h) Una amiga</v>
      </c>
    </row>
    <row r="409" spans="1:56" ht="15" customHeight="1" x14ac:dyDescent="0.25">
      <c r="A409" s="101" t="str">
        <f>Registro!A409</f>
        <v>6/18/2015 8:17:05</v>
      </c>
      <c r="B409" s="89" t="str">
        <f>Registro!B409</f>
        <v>d) Cristo Rey de Carora</v>
      </c>
      <c r="C409" s="89" t="str">
        <f>Registro!C409</f>
        <v>a) Primer año</v>
      </c>
      <c r="D409" s="89" t="str">
        <f>Registro!D409</f>
        <v>c) Entre Primero y Tercer año</v>
      </c>
      <c r="E409" s="89" t="str">
        <f>Registro!E409</f>
        <v>a) Masculino</v>
      </c>
      <c r="F409" s="89" t="str">
        <f>Registro!F409</f>
        <v>a) Católica</v>
      </c>
      <c r="G409" s="89" t="str">
        <f>Registro!G409</f>
        <v>a) Mamá</v>
      </c>
      <c r="H409" s="89" t="str">
        <f>Registro!H409</f>
        <v>d) Casa Rural</v>
      </c>
      <c r="I409" s="89" t="str">
        <f>Registro!I409</f>
        <v>a) Sí</v>
      </c>
      <c r="J409" s="89" t="str">
        <f>Registro!J409</f>
        <v>b) Lavadora, c) Microondas, i) Computadora, k) Aire acondicionado</v>
      </c>
      <c r="K409" s="89" t="str">
        <f>Registro!K409</f>
        <v>e) Cuatro</v>
      </c>
      <c r="L409" s="89"/>
      <c r="M409" s="94">
        <f t="shared" si="33"/>
        <v>0</v>
      </c>
      <c r="N409" s="89" t="str">
        <f>Registro!M409</f>
        <v>g) Mis estudios</v>
      </c>
      <c r="O409" s="89" t="str">
        <f>Registro!N409</f>
        <v>b) Suficiente</v>
      </c>
      <c r="P409" s="89" t="str">
        <f>Registro!O409</f>
        <v>b) Suficiente</v>
      </c>
      <c r="Q409" s="89" t="str">
        <f>Registro!P409</f>
        <v>b) Suficiente</v>
      </c>
      <c r="R409" s="89" t="str">
        <f>Registro!Q409</f>
        <v>a) La familia, f) Mi fe y mi vida cristiana, g) La felicidad</v>
      </c>
      <c r="S409" s="94">
        <f t="shared" si="34"/>
        <v>3</v>
      </c>
      <c r="T409" s="89" t="str">
        <f>Registro!R409</f>
        <v>a) Mucho</v>
      </c>
      <c r="U409" s="89" t="str">
        <f>Registro!S409</f>
        <v>a) La Iglesia, g) Mi familia, i) Los necesitados, k) La oración</v>
      </c>
      <c r="V409" s="89" t="str">
        <f>Registro!T409</f>
        <v>b) Rezo por costumbre</v>
      </c>
      <c r="W409" s="89" t="str">
        <f>Registro!U409</f>
        <v>b) Algunos domingos</v>
      </c>
      <c r="X409" s="89" t="str">
        <f>Registro!V409</f>
        <v>b) Suelo bendedir los alimentos antes de comer, f) En alguna ocasión he rezado el rosario, i) Tengo en mi cuarto alguna imagen religiosa</v>
      </c>
      <c r="Y409" s="89" t="str">
        <f>Registro!W409</f>
        <v xml:space="preserve">a) Deportivo, b) Cultural (folklórico, musicales, danzas, scout, banda marcial,...) </v>
      </c>
      <c r="Z409" s="89" t="str">
        <f>Registro!X409</f>
        <v>a) Un grupo donde profundizo mi fe</v>
      </c>
      <c r="AA409" s="89" t="str">
        <f>Registro!Y409</f>
        <v>c) Algo</v>
      </c>
      <c r="AB409" s="89" t="str">
        <f>Registro!Z409</f>
        <v>c) Algo</v>
      </c>
      <c r="AC409" s="89" t="str">
        <f>Registro!AA409</f>
        <v>d) Ingeniería, f) Ciencias policiales o artes militares</v>
      </c>
      <c r="AD409" s="94">
        <f t="shared" si="35"/>
        <v>2</v>
      </c>
      <c r="AE409" s="89" t="str">
        <f>Registro!AB409</f>
        <v>c) Ser un excelente profesional</v>
      </c>
      <c r="AF409" s="89" t="str">
        <f>Registro!AC409</f>
        <v>d) Mucho o muchísimo</v>
      </c>
      <c r="AG409" s="89" t="str">
        <f>Registro!AD409</f>
        <v>b) El ambiente de estudio y de trabajo, e) La mayor posibilidad de vivir mi fe</v>
      </c>
      <c r="AH409" s="94">
        <f t="shared" si="36"/>
        <v>2</v>
      </c>
      <c r="AI409" s="89" t="str">
        <f>Registro!AE409</f>
        <v>e) 9 a 10 horas</v>
      </c>
      <c r="AJ409" s="89" t="str">
        <f>Registro!AF409</f>
        <v>a) Me divierto con juegos para computadoras, g) Suelo ir a discotecas o a fiestas</v>
      </c>
      <c r="AK409" s="94">
        <f t="shared" si="37"/>
        <v>2</v>
      </c>
      <c r="AL409" s="89" t="str">
        <f>Registro!AG409</f>
        <v>b) Bueno</v>
      </c>
      <c r="AM409" s="89" t="str">
        <f>Registro!AH409</f>
        <v>e) Muy mala</v>
      </c>
      <c r="AN409" s="89" t="str">
        <f>Registro!AI409</f>
        <v>e) Muy mala</v>
      </c>
      <c r="AO409" s="89" t="str">
        <f>Registro!AJ409</f>
        <v>d) Mala</v>
      </c>
      <c r="AP409" s="89" t="str">
        <f>Registro!AK409</f>
        <v>c) Regular</v>
      </c>
      <c r="AQ409" s="89" t="str">
        <f>Registro!AL409</f>
        <v>c) Regular</v>
      </c>
      <c r="AR409" s="89" t="str">
        <f>Registro!AM409</f>
        <v>a) Muy buena</v>
      </c>
      <c r="AS409" s="89" t="str">
        <f>Registro!AN409</f>
        <v>c) Regular</v>
      </c>
      <c r="AT409" s="89" t="str">
        <f>Registro!AO409</f>
        <v>c) Regular</v>
      </c>
      <c r="AU409" s="89" t="str">
        <f>Registro!AP409</f>
        <v>d) Mala</v>
      </c>
      <c r="AV409" s="89" t="str">
        <f>Registro!AQ409</f>
        <v>b) Buena</v>
      </c>
      <c r="AW409" s="89" t="str">
        <f>Registro!AR409</f>
        <v>c) El estudio</v>
      </c>
      <c r="AX409" s="89" t="str">
        <f>Registro!AS409</f>
        <v>e) Que sea cristiano responsable</v>
      </c>
      <c r="AY409" s="89" t="str">
        <f>Registro!AT409</f>
        <v>d) Bastante necesaria</v>
      </c>
      <c r="AZ409" s="89" t="str">
        <f>Registro!AU409</f>
        <v>b) Las veces que bebo, es con moderación</v>
      </c>
      <c r="BA409" s="89" t="str">
        <f>Registro!AV409</f>
        <v>d) Buenos profesionales de la educación</v>
      </c>
      <c r="BB409" s="89" t="str">
        <f>Registro!AW409</f>
        <v>b) Poco</v>
      </c>
      <c r="BC409" s="89" t="str">
        <f>Registro!AX409</f>
        <v>a) No me gustan en absoluto</v>
      </c>
      <c r="BD409" s="89" t="str">
        <f>Registro!AY409</f>
        <v>b) Mi madre, h) Una amiga</v>
      </c>
    </row>
    <row r="410" spans="1:56" ht="15" customHeight="1" x14ac:dyDescent="0.25">
      <c r="A410" s="101" t="str">
        <f>Registro!A410</f>
        <v>6/18/2015 8:20:37</v>
      </c>
      <c r="B410" s="89" t="str">
        <f>Registro!B410</f>
        <v>d) Cristo Rey de Carora</v>
      </c>
      <c r="C410" s="89" t="str">
        <f>Registro!C410</f>
        <v>a) Primer año</v>
      </c>
      <c r="D410" s="89" t="str">
        <f>Registro!D410</f>
        <v>a) Educación Inicial</v>
      </c>
      <c r="E410" s="89" t="str">
        <f>Registro!E410</f>
        <v>a) Masculino</v>
      </c>
      <c r="F410" s="89" t="str">
        <f>Registro!F410</f>
        <v>a) Católica</v>
      </c>
      <c r="G410" s="89" t="str">
        <f>Registro!G410</f>
        <v>a) Mamá, b) Papá, c) Hermanos, d) Abuelos, e) Otros familiares</v>
      </c>
      <c r="H410" s="89" t="str">
        <f>Registro!H410</f>
        <v>b) Casa Urbana</v>
      </c>
      <c r="I410" s="89" t="str">
        <f>Registro!I410</f>
        <v>a) Sí</v>
      </c>
      <c r="J410" s="89" t="str">
        <f>Registro!J410</f>
        <v>a) Cónsola videojuegos, b) Lavadora, c) Microondas, d) TV pantalla plana, e) Moto, h) Carro, i) Computadora, j) Cámara digital, k) Aire acondicionado</v>
      </c>
      <c r="K410" s="89" t="str">
        <f>Registro!K410</f>
        <v>f) Más de cuatro</v>
      </c>
      <c r="L410" s="89" t="str">
        <f>Registro!L410</f>
        <v>a) La familia, c) Los estudios, f) Mi fe y vida cristiana</v>
      </c>
      <c r="M410" s="94">
        <f t="shared" si="33"/>
        <v>3</v>
      </c>
      <c r="N410" s="89" t="str">
        <f>Registro!M410</f>
        <v>b) El futuro</v>
      </c>
      <c r="O410" s="89" t="str">
        <f>Registro!N410</f>
        <v>a) Mucho</v>
      </c>
      <c r="P410" s="89" t="str">
        <f>Registro!O410</f>
        <v>a) Mucho</v>
      </c>
      <c r="Q410" s="89" t="str">
        <f>Registro!P410</f>
        <v>b) Suficiente</v>
      </c>
      <c r="R410" s="89" t="str">
        <f>Registro!Q410</f>
        <v>a) La familia, c) Los estudios, j) El deporte</v>
      </c>
      <c r="S410" s="94">
        <f t="shared" si="34"/>
        <v>3</v>
      </c>
      <c r="T410" s="89" t="str">
        <f>Registro!R410</f>
        <v>a) Mucho</v>
      </c>
      <c r="U410" s="89" t="str">
        <f>Registro!S410</f>
        <v>a) La Iglesia, b) La naturaleza, c) El salón de clase, d) Las convivencias, f) Todas las personas, g) Mi familia, i) Los necesitados, j) Todas partes, k) La oración, l) Los sacramentos</v>
      </c>
      <c r="V410" s="89" t="str">
        <f>Registro!T410</f>
        <v>b) Rezo por costumbre</v>
      </c>
      <c r="W410" s="89" t="str">
        <f>Registro!U410</f>
        <v>b) Algunos domingos</v>
      </c>
      <c r="X410" s="89" t="str">
        <f>Registro!V410</f>
        <v>e) Voy a misa en las fechas de mis familiares difuntos, f) En alguna ocasión he rezado el rosario, i) Tengo en mi cuarto alguna imagen religiosa</v>
      </c>
      <c r="Y410" s="89" t="str">
        <f>Registro!W410</f>
        <v>a) Deportivo</v>
      </c>
      <c r="Z410" s="89" t="str">
        <f>Registro!X410</f>
        <v>a) Un grupo donde profundizo mi fe</v>
      </c>
      <c r="AA410" s="89" t="str">
        <f>Registro!Y410</f>
        <v>b) No</v>
      </c>
      <c r="AB410" s="89" t="str">
        <f>Registro!Z410</f>
        <v>b) No</v>
      </c>
      <c r="AC410" s="89" t="str">
        <f>Registro!AA410</f>
        <v>a) Medicina, c) Sacerdocio o hermana religiosa</v>
      </c>
      <c r="AD410" s="94">
        <f t="shared" si="35"/>
        <v>2</v>
      </c>
      <c r="AE410" s="89" t="str">
        <f>Registro!AB410</f>
        <v>c) Ser un excelente profesional</v>
      </c>
      <c r="AF410" s="89" t="str">
        <f>Registro!AC410</f>
        <v>c) Bastante</v>
      </c>
      <c r="AG410" s="89" t="str">
        <f>Registro!AD410</f>
        <v>b) El ambiente de estudio y de trabajo, e) La mayor posibilidad de vivir mi fe</v>
      </c>
      <c r="AH410" s="94">
        <f t="shared" si="36"/>
        <v>2</v>
      </c>
      <c r="AI410" s="89" t="str">
        <f>Registro!AE410</f>
        <v>d) 7 a 8 horas</v>
      </c>
      <c r="AJ410" s="89" t="str">
        <f>Registro!AF410</f>
        <v>k) Practico algún deporte, l) Escucho música y/o veo videos musicales</v>
      </c>
      <c r="AK410" s="94">
        <f t="shared" si="37"/>
        <v>2</v>
      </c>
      <c r="AL410" s="89" t="str">
        <f>Registro!AG410</f>
        <v>a) Muy bueno</v>
      </c>
      <c r="AM410" s="89" t="str">
        <f>Registro!AH410</f>
        <v>a) Muy buena</v>
      </c>
      <c r="AN410" s="89" t="str">
        <f>Registro!AI410</f>
        <v>a) Muy buena</v>
      </c>
      <c r="AO410" s="89" t="str">
        <f>Registro!AJ410</f>
        <v>b) Buena</v>
      </c>
      <c r="AP410" s="89" t="str">
        <f>Registro!AK410</f>
        <v>b) Buena</v>
      </c>
      <c r="AQ410" s="89" t="str">
        <f>Registro!AL410</f>
        <v>b) Buena</v>
      </c>
      <c r="AR410" s="89" t="str">
        <f>Registro!AM410</f>
        <v>a) Muy buena</v>
      </c>
      <c r="AS410" s="89" t="str">
        <f>Registro!AN410</f>
        <v>a) Muy buena</v>
      </c>
      <c r="AT410" s="89" t="str">
        <f>Registro!AO410</f>
        <v>a) Muy buena</v>
      </c>
      <c r="AU410" s="89" t="str">
        <f>Registro!AP410</f>
        <v>a) Muy buena</v>
      </c>
      <c r="AV410" s="89" t="str">
        <f>Registro!AQ410</f>
        <v>b) Buena</v>
      </c>
      <c r="AW410" s="89" t="str">
        <f>Registro!AR410</f>
        <v>e) La disciplina y el orden</v>
      </c>
      <c r="AX410" s="89" t="str">
        <f>Registro!AS410</f>
        <v>f) Que tenga honradez en la vida</v>
      </c>
      <c r="AY410" s="89" t="str">
        <f>Registro!AT410</f>
        <v>e) Absolutamente necesaria</v>
      </c>
      <c r="AZ410" s="89" t="str">
        <f>Registro!AU410</f>
        <v>b) Las veces que bebo, es con moderación</v>
      </c>
      <c r="BA410" s="89" t="str">
        <f>Registro!AV410</f>
        <v>d) Buenos profesionales de la educación</v>
      </c>
      <c r="BB410" s="89" t="str">
        <f>Registro!AW410</f>
        <v>b) Poco</v>
      </c>
      <c r="BC410" s="89" t="str">
        <f>Registro!AX410</f>
        <v>e) Son personas que me gustan y admiro</v>
      </c>
      <c r="BD410" s="89" t="str">
        <f>Registro!AY410</f>
        <v>b) Mi madre, c) Un hermano/a, f) La orientadora, g) Un amigo</v>
      </c>
    </row>
    <row r="411" spans="1:56" ht="15" customHeight="1" x14ac:dyDescent="0.25">
      <c r="A411" s="101" t="str">
        <f>Registro!A411</f>
        <v>6/18/2015 8:20:52</v>
      </c>
      <c r="B411" s="89" t="str">
        <f>Registro!B411</f>
        <v>d) Cristo Rey de Carora</v>
      </c>
      <c r="C411" s="89" t="str">
        <f>Registro!C411</f>
        <v>a) Primer año</v>
      </c>
      <c r="D411" s="89" t="str">
        <f>Registro!D411</f>
        <v>a) Educación Inicial</v>
      </c>
      <c r="E411" s="89" t="str">
        <f>Registro!E411</f>
        <v>b) Femenino</v>
      </c>
      <c r="F411" s="89" t="str">
        <f>Registro!F411</f>
        <v>a) Católica</v>
      </c>
      <c r="G411" s="89" t="str">
        <f>Registro!G411</f>
        <v>a) Mamá, b) Papá, c) Hermanos, d) Abuelos, e) Otros familiares</v>
      </c>
      <c r="H411" s="89" t="str">
        <f>Registro!H411</f>
        <v>b) Casa Urbana</v>
      </c>
      <c r="I411" s="89" t="str">
        <f>Registro!I411</f>
        <v>a) Sí</v>
      </c>
      <c r="J411" s="89" t="str">
        <f>Registro!J411</f>
        <v>b) Lavadora, c) Microondas, d) TV pantalla plana, h) Carro, i) Computadora, j) Cámara digital, k) Aire acondicionado</v>
      </c>
      <c r="K411" s="89" t="str">
        <f>Registro!K411</f>
        <v>c) Dos</v>
      </c>
      <c r="L411" s="89" t="str">
        <f>Registro!L411</f>
        <v>a) La familia, f) Mi fe y vida cristiana, g) La felicidad</v>
      </c>
      <c r="M411" s="94">
        <f t="shared" si="33"/>
        <v>3</v>
      </c>
      <c r="N411" s="89" t="str">
        <f>Registro!M411</f>
        <v>g) Mis estudios</v>
      </c>
      <c r="O411" s="89" t="str">
        <f>Registro!N411</f>
        <v>c) Poco</v>
      </c>
      <c r="P411" s="89" t="str">
        <f>Registro!O411</f>
        <v>b) Suficiente</v>
      </c>
      <c r="Q411" s="89" t="str">
        <f>Registro!P411</f>
        <v>b) Suficiente</v>
      </c>
      <c r="R411" s="89" t="str">
        <f>Registro!Q411</f>
        <v>c) Los estudios, d) El cuidado de mi cuerpo, j) El deporte</v>
      </c>
      <c r="S411" s="94">
        <f t="shared" si="34"/>
        <v>3</v>
      </c>
      <c r="T411" s="89" t="str">
        <f>Registro!R411</f>
        <v>a) Mucho</v>
      </c>
      <c r="U411" s="89" t="str">
        <f>Registro!S411</f>
        <v>a) La Iglesia, b) La naturaleza, c) El salón de clase, d) Las convivencias, e) Los amigos, f) Todas las personas, g) Mi familia, h) Algunas personas cercanas a Dios, i) Los necesitados, j) Todas partes, k) La oración, l) Los sacramentos</v>
      </c>
      <c r="V411" s="89" t="str">
        <f>Registro!T411</f>
        <v>c) Rezo solo en situación de dificultad</v>
      </c>
      <c r="W411" s="89" t="str">
        <f>Registro!U411</f>
        <v>b) Algunos domingos</v>
      </c>
      <c r="X411" s="89" t="str">
        <f>Registro!V411</f>
        <v>c) Suelo ir los domingos y otras fechas especiales a la Iglesia, e) Voy a misa en las fechas de mis familiares difuntos, g) En ocasiones, en mi casa tenemos una oración familiar, i) Tengo en mi cuarto alguna imagen religiosa</v>
      </c>
      <c r="Y411" s="89" t="str">
        <f>Registro!W411</f>
        <v>d) No pertenezco a ninguno</v>
      </c>
      <c r="Z411" s="89" t="str">
        <f>Registro!X411</f>
        <v>d) No pertenezco a grupos juveniles cristianos</v>
      </c>
      <c r="AA411" s="89" t="str">
        <f>Registro!Y411</f>
        <v>b) No</v>
      </c>
      <c r="AB411" s="89" t="str">
        <f>Registro!Z411</f>
        <v>b) No</v>
      </c>
      <c r="AC411" s="89" t="str">
        <f>Registro!AA411</f>
        <v>a) Medicina, g) Artista</v>
      </c>
      <c r="AD411" s="94">
        <f t="shared" si="35"/>
        <v>2</v>
      </c>
      <c r="AE411" s="89" t="str">
        <f>Registro!AB411</f>
        <v>d) Desarrollarme personalmente</v>
      </c>
      <c r="AF411" s="89" t="str">
        <f>Registro!AC411</f>
        <v>c) Bastante</v>
      </c>
      <c r="AG411" s="89" t="str">
        <f>Registro!AD411</f>
        <v>c) Las instalaciones del Colegio, e) La mayor posibilidad de vivir mi fe</v>
      </c>
      <c r="AH411" s="94">
        <f t="shared" si="36"/>
        <v>2</v>
      </c>
      <c r="AI411" s="89" t="str">
        <f>Registro!AE411</f>
        <v>e) 9 a 10 horas</v>
      </c>
      <c r="AJ411" s="89" t="str">
        <f>Registro!AF411</f>
        <v>b) Navego en Internet, d) Estoy la mayor parte del tiempo en la casa sin hacer nada, l) Escucho música y/o veo videos musicales</v>
      </c>
      <c r="AK411" s="94">
        <f t="shared" si="37"/>
        <v>3</v>
      </c>
      <c r="AL411" s="89" t="str">
        <f>Registro!AG411</f>
        <v>c) Regular</v>
      </c>
      <c r="AM411" s="89" t="str">
        <f>Registro!AH411</f>
        <v>a) Muy buena</v>
      </c>
      <c r="AN411" s="89" t="str">
        <f>Registro!AI411</f>
        <v>b) Buena</v>
      </c>
      <c r="AO411" s="89" t="str">
        <f>Registro!AJ411</f>
        <v>b) Buena</v>
      </c>
      <c r="AP411" s="89" t="str">
        <f>Registro!AK411</f>
        <v>c) Regular</v>
      </c>
      <c r="AQ411" s="89" t="str">
        <f>Registro!AL411</f>
        <v>a) Muy buena</v>
      </c>
      <c r="AR411" s="89" t="str">
        <f>Registro!AM411</f>
        <v>a) Muy buena</v>
      </c>
      <c r="AS411" s="89" t="str">
        <f>Registro!AN411</f>
        <v>b) Buena</v>
      </c>
      <c r="AT411" s="89" t="str">
        <f>Registro!AO411</f>
        <v>a) Muy buena</v>
      </c>
      <c r="AU411" s="89" t="str">
        <f>Registro!AP411</f>
        <v>a) Muy buena</v>
      </c>
      <c r="AV411" s="89" t="str">
        <f>Registro!AQ411</f>
        <v>a) Muy buena</v>
      </c>
      <c r="AW411" s="89" t="str">
        <f>Registro!AR411</f>
        <v>e) La disciplina y el orden</v>
      </c>
      <c r="AX411" s="89" t="str">
        <f>Registro!AS411</f>
        <v>b) Darme una buena educación</v>
      </c>
      <c r="AY411" s="89" t="str">
        <f>Registro!AT411</f>
        <v>e) Absolutamente necesaria</v>
      </c>
      <c r="AZ411" s="89" t="str">
        <f>Registro!AU411</f>
        <v>a) No acostumbro a tomarlo nunca</v>
      </c>
      <c r="BA411" s="89" t="str">
        <f>Registro!AV411</f>
        <v>f) Educadores que, además, me han abierto caminos</v>
      </c>
      <c r="BB411" s="89" t="str">
        <f>Registro!AW411</f>
        <v>d) Mucho o muchísimo</v>
      </c>
      <c r="BC411" s="89" t="str">
        <f>Registro!AX411</f>
        <v>e) Son personas que me gustan y admiro</v>
      </c>
      <c r="BD411" s="89" t="str">
        <f>Registro!AY411</f>
        <v>a) Mi padre, b) Mi madre, c) Un hermano/a, d) Un escolapio, religioso o religiosa, e) Un, una docente, h) Una amiga</v>
      </c>
    </row>
    <row r="412" spans="1:56" ht="15" customHeight="1" x14ac:dyDescent="0.25">
      <c r="A412" s="101" t="str">
        <f>Registro!A412</f>
        <v>6/18/2015 8:20:58</v>
      </c>
      <c r="B412" s="89" t="str">
        <f>Registro!B412</f>
        <v>d) Cristo Rey de Carora</v>
      </c>
      <c r="C412" s="89" t="str">
        <f>Registro!C412</f>
        <v>a) Primer año</v>
      </c>
      <c r="D412" s="89" t="str">
        <f>Registro!D412</f>
        <v>a) Educación Inicial</v>
      </c>
      <c r="E412" s="89" t="str">
        <f>Registro!E412</f>
        <v>a) Masculino</v>
      </c>
      <c r="F412" s="89" t="str">
        <f>Registro!F412</f>
        <v>a) Católica</v>
      </c>
      <c r="G412" s="89" t="str">
        <f>Registro!G412</f>
        <v>a) Mamá, b) Papá, c) Hermanos, d) Abuelos</v>
      </c>
      <c r="H412" s="89" t="str">
        <f>Registro!H412</f>
        <v>b) Casa Urbana</v>
      </c>
      <c r="I412" s="89" t="str">
        <f>Registro!I412</f>
        <v>a) Sí</v>
      </c>
      <c r="J412" s="89" t="str">
        <f>Registro!J412</f>
        <v>a) Cónsola videojuegos, b) Lavadora, c) Microondas, d) TV pantalla plana, f) MP3, h) Carro, i) Computadora, j) Cámara digital, k) Aire acondicionado</v>
      </c>
      <c r="K412" s="89" t="str">
        <f>Registro!K412</f>
        <v>c) Dos</v>
      </c>
      <c r="L412" s="89" t="str">
        <f>Registro!L412</f>
        <v>a) La familia, b) Los amigos, c) Los estudios</v>
      </c>
      <c r="M412" s="94">
        <f t="shared" si="33"/>
        <v>3</v>
      </c>
      <c r="N412" s="89" t="str">
        <f>Registro!M412</f>
        <v>g) Mis estudios</v>
      </c>
      <c r="O412" s="89" t="str">
        <f>Registro!N412</f>
        <v>c) Poco</v>
      </c>
      <c r="P412" s="89" t="str">
        <f>Registro!O412</f>
        <v>a) Mucho</v>
      </c>
      <c r="Q412" s="89" t="str">
        <f>Registro!P412</f>
        <v>c) Poco</v>
      </c>
      <c r="R412" s="89"/>
      <c r="S412" s="94">
        <f t="shared" si="34"/>
        <v>0</v>
      </c>
      <c r="T412" s="89" t="str">
        <f>Registro!R412</f>
        <v>b) Suficiente</v>
      </c>
      <c r="U412" s="89" t="str">
        <f>Registro!S412</f>
        <v>a) La Iglesia, d) Las convivencias, g) Mi familia</v>
      </c>
      <c r="V412" s="89" t="str">
        <f>Registro!T412</f>
        <v>a) Suelo rezar por convicción o porque me gusta</v>
      </c>
      <c r="W412" s="89" t="str">
        <f>Registro!U412</f>
        <v>b) Algunos domingos</v>
      </c>
      <c r="X412" s="89" t="str">
        <f>Registro!V412</f>
        <v>c) Suelo ir los domingos y otras fechas especiales a la Iglesia, f) En alguna ocasión he rezado el rosario, i) Tengo en mi cuarto alguna imagen religiosa</v>
      </c>
      <c r="Y412" s="89" t="str">
        <f>Registro!W412</f>
        <v>d) No pertenezco a ninguno</v>
      </c>
      <c r="Z412" s="89" t="str">
        <f>Registro!X412</f>
        <v>d) No pertenezco a grupos juveniles cristianos</v>
      </c>
      <c r="AA412" s="89" t="str">
        <f>Registro!Y412</f>
        <v>b) No</v>
      </c>
      <c r="AB412" s="89" t="str">
        <f>Registro!Z412</f>
        <v>b) No</v>
      </c>
      <c r="AC412" s="89" t="str">
        <f>Registro!AA412</f>
        <v>d) Ingeniería</v>
      </c>
      <c r="AD412" s="94">
        <f t="shared" si="35"/>
        <v>1</v>
      </c>
      <c r="AE412" s="89" t="str">
        <f>Registro!AB412</f>
        <v>a) Ganar mucho dinero</v>
      </c>
      <c r="AF412" s="89" t="str">
        <f>Registro!AC412</f>
        <v>b) Poco</v>
      </c>
      <c r="AG412" s="89"/>
      <c r="AH412" s="94">
        <f t="shared" si="36"/>
        <v>0</v>
      </c>
      <c r="AI412" s="89" t="str">
        <f>Registro!AE412</f>
        <v>b) 3 a 4 horas</v>
      </c>
      <c r="AJ412" s="89"/>
      <c r="AK412" s="94">
        <f t="shared" si="37"/>
        <v>0</v>
      </c>
      <c r="AL412" s="89" t="str">
        <f>Registro!AG412</f>
        <v>b) Bueno</v>
      </c>
      <c r="AM412" s="89" t="str">
        <f>Registro!AH412</f>
        <v>a) Muy buena</v>
      </c>
      <c r="AN412" s="89" t="str">
        <f>Registro!AI412</f>
        <v>b) Buena</v>
      </c>
      <c r="AO412" s="89" t="str">
        <f>Registro!AJ412</f>
        <v>b) Buena</v>
      </c>
      <c r="AP412" s="89" t="str">
        <f>Registro!AK412</f>
        <v>a) Muy buena</v>
      </c>
      <c r="AQ412" s="89" t="str">
        <f>Registro!AL412</f>
        <v>a) Muy buena</v>
      </c>
      <c r="AR412" s="89" t="str">
        <f>Registro!AM412</f>
        <v>a) Muy buena</v>
      </c>
      <c r="AS412" s="89" t="str">
        <f>Registro!AN412</f>
        <v>b) Buena</v>
      </c>
      <c r="AT412" s="89" t="str">
        <f>Registro!AO412</f>
        <v>a) Muy buena</v>
      </c>
      <c r="AU412" s="89" t="str">
        <f>Registro!AP412</f>
        <v>a) Muy buena</v>
      </c>
      <c r="AV412" s="89" t="str">
        <f>Registro!AQ412</f>
        <v>c) Regular</v>
      </c>
      <c r="AW412" s="89" t="str">
        <f>Registro!AR412</f>
        <v>a) El compañerismo</v>
      </c>
      <c r="AX412" s="89" t="str">
        <f>Registro!AS412</f>
        <v>a) Que sea un buen profesional</v>
      </c>
      <c r="AY412" s="89" t="str">
        <f>Registro!AT412</f>
        <v>c) Conveniente</v>
      </c>
      <c r="AZ412" s="89" t="str">
        <f>Registro!AU412</f>
        <v>a) No acostumbro a tomarlo nunca</v>
      </c>
      <c r="BA412" s="89" t="str">
        <f>Registro!AV412</f>
        <v>f) Educadores que, además, me han abierto caminos</v>
      </c>
      <c r="BB412" s="89" t="str">
        <f>Registro!AW412</f>
        <v>b) Poco</v>
      </c>
      <c r="BC412" s="89" t="str">
        <f>Registro!AX412</f>
        <v>d) Hay de todo tipo, pero predomina lo positivo</v>
      </c>
      <c r="BD412" s="89" t="str">
        <f>Registro!AY412</f>
        <v>g) Un amigo, h) Una amiga</v>
      </c>
    </row>
    <row r="413" spans="1:56" ht="15" customHeight="1" x14ac:dyDescent="0.25">
      <c r="A413" s="101" t="str">
        <f>Registro!A413</f>
        <v>6/18/2015 8:21:25</v>
      </c>
      <c r="B413" s="89" t="str">
        <f>Registro!B413</f>
        <v>d) Cristo Rey de Carora</v>
      </c>
      <c r="C413" s="89" t="str">
        <f>Registro!C413</f>
        <v>a) Primer año</v>
      </c>
      <c r="D413" s="89" t="str">
        <f>Registro!D413</f>
        <v>c) Entre Primero y Tercer año</v>
      </c>
      <c r="E413" s="89" t="str">
        <f>Registro!E413</f>
        <v>b) Femenino</v>
      </c>
      <c r="F413" s="89" t="str">
        <f>Registro!F413</f>
        <v>a) Católica</v>
      </c>
      <c r="G413" s="89" t="str">
        <f>Registro!G413</f>
        <v>a) Mamá, b) Papá, c) Hermanos, d) Abuelos, e) Otros familiares</v>
      </c>
      <c r="H413" s="89" t="str">
        <f>Registro!H413</f>
        <v>b) Casa Urbana</v>
      </c>
      <c r="I413" s="89" t="str">
        <f>Registro!I413</f>
        <v>a) Sí</v>
      </c>
      <c r="J413" s="89" t="str">
        <f>Registro!J413</f>
        <v>a) Cónsola videojuegos, b) Lavadora, c) Microondas, d) TV pantalla plana, h) Carro, i) Computadora, j) Cámara digital, k) Aire acondicionado</v>
      </c>
      <c r="K413" s="89" t="str">
        <f>Registro!K413</f>
        <v>c) Dos</v>
      </c>
      <c r="L413" s="89" t="str">
        <f>Registro!L413</f>
        <v>a) La familia, c) Los estudios, f) Mi fe y vida cristiana</v>
      </c>
      <c r="M413" s="94">
        <f t="shared" si="33"/>
        <v>3</v>
      </c>
      <c r="N413" s="89" t="str">
        <f>Registro!M413</f>
        <v>b) El futuro</v>
      </c>
      <c r="O413" s="89" t="str">
        <f>Registro!N413</f>
        <v>a) Mucho</v>
      </c>
      <c r="P413" s="89" t="str">
        <f>Registro!O413</f>
        <v>b) Suficiente</v>
      </c>
      <c r="Q413" s="89" t="str">
        <f>Registro!P413</f>
        <v>c) Poco</v>
      </c>
      <c r="R413" s="89" t="str">
        <f>Registro!Q413</f>
        <v>a) La familia, c) Los estudios, f) Mi fe y mi vida cristiana</v>
      </c>
      <c r="S413" s="94">
        <f t="shared" si="34"/>
        <v>3</v>
      </c>
      <c r="T413" s="89" t="str">
        <f>Registro!R413</f>
        <v>a) Mucho</v>
      </c>
      <c r="U413" s="89" t="str">
        <f>Registro!S413</f>
        <v>a) La Iglesia, b) La naturaleza, d) Las convivencias, e) Los amigos, g) Mi familia, i) Los necesitados, k) La oración, l) Los sacramentos</v>
      </c>
      <c r="V413" s="89" t="str">
        <f>Registro!T413</f>
        <v>b) Rezo por costumbre</v>
      </c>
      <c r="W413" s="89" t="str">
        <f>Registro!U413</f>
        <v>b) Algunos domingos</v>
      </c>
      <c r="X413" s="89" t="str">
        <f>Registro!V413</f>
        <v>c) Suelo ir los domingos y otras fechas especiales a la Iglesia, d) Suelo orar todos los días, e) Voy a misa en las fechas de mis familiares difuntos, f) En alguna ocasión he rezado el rosario, i) Tengo en mi cuarto alguna imagen religiosa</v>
      </c>
      <c r="Y413" s="89" t="str">
        <f>Registro!W413</f>
        <v>d) No pertenezco a ninguno</v>
      </c>
      <c r="Z413" s="89" t="str">
        <f>Registro!X413</f>
        <v>c) Un lugar donde me lo paso bien</v>
      </c>
      <c r="AA413" s="89" t="str">
        <f>Registro!Y413</f>
        <v>b) No</v>
      </c>
      <c r="AB413" s="89" t="str">
        <f>Registro!Z413</f>
        <v>b) No</v>
      </c>
      <c r="AC413" s="89" t="str">
        <f>Registro!AA413</f>
        <v>d) Ingeniería, g) Artista</v>
      </c>
      <c r="AD413" s="94">
        <f t="shared" si="35"/>
        <v>2</v>
      </c>
      <c r="AE413" s="89" t="str">
        <f>Registro!AB413</f>
        <v>c) Ser un excelente profesional</v>
      </c>
      <c r="AF413" s="89" t="str">
        <f>Registro!AC413</f>
        <v>c) Bastante</v>
      </c>
      <c r="AG413" s="89" t="str">
        <f>Registro!AD413</f>
        <v>c) Las instalaciones del Colegio, f) La igualdad de trato que se da a todos</v>
      </c>
      <c r="AH413" s="94">
        <f t="shared" si="36"/>
        <v>2</v>
      </c>
      <c r="AI413" s="89" t="str">
        <f>Registro!AE413</f>
        <v>a) 0 a 2 horas</v>
      </c>
      <c r="AJ413" s="89" t="str">
        <f>Registro!AF413</f>
        <v>b) Navego en Internet, i) Leo revistas o libros, n) Estoy conversando con los amigos/as</v>
      </c>
      <c r="AK413" s="94">
        <f t="shared" si="37"/>
        <v>3</v>
      </c>
      <c r="AL413" s="89">
        <f>Registro!AG413</f>
        <v>0</v>
      </c>
      <c r="AM413" s="89" t="str">
        <f>Registro!AH413</f>
        <v>b) Buena</v>
      </c>
      <c r="AN413" s="89">
        <f>Registro!AI413</f>
        <v>0</v>
      </c>
      <c r="AO413" s="89">
        <f>Registro!AJ413</f>
        <v>0</v>
      </c>
      <c r="AP413" s="89" t="str">
        <f>Registro!AK413</f>
        <v>b) Buena</v>
      </c>
      <c r="AQ413" s="89" t="str">
        <f>Registro!AL413</f>
        <v>b) Buena</v>
      </c>
      <c r="AR413" s="89">
        <f>Registro!AM413</f>
        <v>0</v>
      </c>
      <c r="AS413" s="89" t="str">
        <f>Registro!AN413</f>
        <v>b) Buena</v>
      </c>
      <c r="AT413" s="89">
        <f>Registro!AO413</f>
        <v>0</v>
      </c>
      <c r="AU413" s="89" t="str">
        <f>Registro!AP413</f>
        <v>b) Buena</v>
      </c>
      <c r="AV413" s="89" t="str">
        <f>Registro!AQ413</f>
        <v>b) Buena</v>
      </c>
      <c r="AW413" s="89" t="str">
        <f>Registro!AR413</f>
        <v>c) El estudio</v>
      </c>
      <c r="AX413" s="89" t="str">
        <f>Registro!AS413</f>
        <v>e) Que sea cristiano responsable</v>
      </c>
      <c r="AY413" s="89" t="str">
        <f>Registro!AT413</f>
        <v>c) Conveniente</v>
      </c>
      <c r="AZ413" s="89" t="str">
        <f>Registro!AU413</f>
        <v>a) No acostumbro a tomarlo nunca</v>
      </c>
      <c r="BA413" s="89" t="str">
        <f>Registro!AV413</f>
        <v>c) Profesionales que hacen lo que pueden</v>
      </c>
      <c r="BB413" s="89" t="str">
        <f>Registro!AW413</f>
        <v>b) Poco</v>
      </c>
      <c r="BC413" s="89" t="str">
        <f>Registro!AX413</f>
        <v>c) Son personas normales y corrientes</v>
      </c>
      <c r="BD413" s="89" t="str">
        <f>Registro!AY413</f>
        <v>a) Mi padre, b) Mi madre, c) Un hermano/a, e) Un, una docente, g) Un amigo, h) Una amiga</v>
      </c>
    </row>
    <row r="414" spans="1:56" ht="15" customHeight="1" x14ac:dyDescent="0.25">
      <c r="A414" s="101" t="str">
        <f>Registro!A414</f>
        <v>6/18/2015 8:23:27</v>
      </c>
      <c r="B414" s="89" t="str">
        <f>Registro!B414</f>
        <v>d) Cristo Rey de Carora</v>
      </c>
      <c r="C414" s="89" t="str">
        <f>Registro!C414</f>
        <v>a) Primer año</v>
      </c>
      <c r="D414" s="89" t="str">
        <f>Registro!D414</f>
        <v>c) Entre Primero y Tercer año</v>
      </c>
      <c r="E414" s="89" t="str">
        <f>Registro!E414</f>
        <v>a) Masculino</v>
      </c>
      <c r="F414" s="89" t="str">
        <f>Registro!F414</f>
        <v>d) Otra</v>
      </c>
      <c r="G414" s="89" t="str">
        <f>Registro!G414</f>
        <v>a) Mamá, b) Papá, c) Hermanos, d) Abuelos</v>
      </c>
      <c r="H414" s="89" t="str">
        <f>Registro!H414</f>
        <v>d) Casa Rural</v>
      </c>
      <c r="I414" s="89" t="str">
        <f>Registro!I414</f>
        <v>a) Sí</v>
      </c>
      <c r="J414" s="89" t="str">
        <f>Registro!J414</f>
        <v>d) TV pantalla plana, h) Carro, i) Computadora, k) Aire acondicionado</v>
      </c>
      <c r="K414" s="89" t="str">
        <f>Registro!K414</f>
        <v>b) Una</v>
      </c>
      <c r="L414" s="89"/>
      <c r="M414" s="94">
        <f t="shared" si="33"/>
        <v>0</v>
      </c>
      <c r="N414" s="89" t="str">
        <f>Registro!M414</f>
        <v>b) El futuro</v>
      </c>
      <c r="O414" s="89" t="str">
        <f>Registro!N414</f>
        <v>a) Mucho</v>
      </c>
      <c r="P414" s="89" t="str">
        <f>Registro!O414</f>
        <v>c) Poco</v>
      </c>
      <c r="Q414" s="89" t="str">
        <f>Registro!P414</f>
        <v>c) Poco</v>
      </c>
      <c r="R414" s="89" t="str">
        <f>Registro!Q414</f>
        <v>b) Los amigos, c) Los estudios, f) Mi fe y mi vida cristiana</v>
      </c>
      <c r="S414" s="94">
        <f t="shared" si="34"/>
        <v>3</v>
      </c>
      <c r="T414" s="89" t="str">
        <f>Registro!R414</f>
        <v>a) Mucho</v>
      </c>
      <c r="U414" s="89" t="str">
        <f>Registro!S414</f>
        <v>a) La Iglesia</v>
      </c>
      <c r="V414" s="89" t="str">
        <f>Registro!T414</f>
        <v>c) Rezo solo en situación de dificultad</v>
      </c>
      <c r="W414" s="89" t="str">
        <f>Registro!U414</f>
        <v>c) Solo en fechas especiales</v>
      </c>
      <c r="X414" s="89" t="str">
        <f>Registro!V414</f>
        <v>c) Suelo ir los domingos y otras fechas especiales a la Iglesia</v>
      </c>
      <c r="Y414" s="89" t="str">
        <f>Registro!W414</f>
        <v>a) Deportivo</v>
      </c>
      <c r="Z414" s="89" t="str">
        <f>Registro!X414</f>
        <v>b) Un lugar donde comparto con mis compañeros</v>
      </c>
      <c r="AA414" s="89" t="str">
        <f>Registro!Y414</f>
        <v>b) No</v>
      </c>
      <c r="AB414" s="89" t="str">
        <f>Registro!Z414</f>
        <v>b) No</v>
      </c>
      <c r="AC414" s="89" t="str">
        <f>Registro!AA414</f>
        <v>e) Derecho</v>
      </c>
      <c r="AD414" s="94">
        <f t="shared" si="35"/>
        <v>1</v>
      </c>
      <c r="AE414" s="89" t="str">
        <f>Registro!AB414</f>
        <v>a) Ganar mucho dinero</v>
      </c>
      <c r="AF414" s="89" t="str">
        <f>Registro!AC414</f>
        <v>b) Poco</v>
      </c>
      <c r="AG414" s="89"/>
      <c r="AH414" s="94">
        <f t="shared" si="36"/>
        <v>0</v>
      </c>
      <c r="AI414" s="89" t="str">
        <f>Registro!AE414</f>
        <v>a) 0 a 2 horas</v>
      </c>
      <c r="AJ414" s="89" t="str">
        <f>Registro!AF414</f>
        <v>d) Estoy la mayor parte del tiempo en la casa sin hacer nada, h) Suelo ir al cine, j) Estoy en algún grupo juvenil</v>
      </c>
      <c r="AK414" s="94">
        <f t="shared" si="37"/>
        <v>3</v>
      </c>
      <c r="AL414" s="89" t="str">
        <f>Registro!AG414</f>
        <v>c) Regular</v>
      </c>
      <c r="AM414" s="89" t="str">
        <f>Registro!AH414</f>
        <v>c) Regular</v>
      </c>
      <c r="AN414" s="89" t="str">
        <f>Registro!AI414</f>
        <v>c) Regular</v>
      </c>
      <c r="AO414" s="89" t="str">
        <f>Registro!AJ414</f>
        <v>c) Regular</v>
      </c>
      <c r="AP414" s="89">
        <f>Registro!AK414</f>
        <v>0</v>
      </c>
      <c r="AQ414" s="89" t="str">
        <f>Registro!AL414</f>
        <v>c) Regular</v>
      </c>
      <c r="AR414" s="89" t="str">
        <f>Registro!AM414</f>
        <v>a) Muy buena</v>
      </c>
      <c r="AS414" s="89" t="str">
        <f>Registro!AN414</f>
        <v>c) Regular</v>
      </c>
      <c r="AT414" s="89" t="str">
        <f>Registro!AO414</f>
        <v>b) Buena</v>
      </c>
      <c r="AU414" s="89" t="str">
        <f>Registro!AP414</f>
        <v>c) Regular</v>
      </c>
      <c r="AV414" s="89" t="str">
        <f>Registro!AQ414</f>
        <v>c) Regular</v>
      </c>
      <c r="AW414" s="89" t="str">
        <f>Registro!AR414</f>
        <v>c) El estudio</v>
      </c>
      <c r="AX414" s="89" t="str">
        <f>Registro!AS414</f>
        <v>c) Que me preocupe de los demás</v>
      </c>
      <c r="AY414" s="89" t="str">
        <f>Registro!AT414</f>
        <v>c) Conveniente</v>
      </c>
      <c r="AZ414" s="89" t="str">
        <f>Registro!AU414</f>
        <v>b) Las veces que bebo, es con moderación</v>
      </c>
      <c r="BA414" s="89" t="str">
        <f>Registro!AV414</f>
        <v>c) Profesionales que hacen lo que pueden</v>
      </c>
      <c r="BB414" s="89" t="str">
        <f>Registro!AW414</f>
        <v>b) Poco</v>
      </c>
      <c r="BC414" s="89" t="str">
        <f>Registro!AX414</f>
        <v>b) Hay de todo tipo, pero predomina lo negativo</v>
      </c>
      <c r="BD414" s="89" t="str">
        <f>Registro!AY414</f>
        <v>a) Mi padre, b) Mi madre</v>
      </c>
    </row>
    <row r="415" spans="1:56" ht="15" customHeight="1" x14ac:dyDescent="0.25">
      <c r="A415" s="101" t="str">
        <f>Registro!A415</f>
        <v>6/18/2015 8:24:24</v>
      </c>
      <c r="B415" s="89" t="str">
        <f>Registro!B415</f>
        <v>d) Cristo Rey de Carora</v>
      </c>
      <c r="C415" s="89" t="str">
        <f>Registro!C415</f>
        <v>a) Primer año</v>
      </c>
      <c r="D415" s="89" t="str">
        <f>Registro!D415</f>
        <v>a) Educación Inicial</v>
      </c>
      <c r="E415" s="89" t="str">
        <f>Registro!E415</f>
        <v>b) Femenino</v>
      </c>
      <c r="F415" s="89" t="str">
        <f>Registro!F415</f>
        <v>a) Católica</v>
      </c>
      <c r="G415" s="89" t="str">
        <f>Registro!G415</f>
        <v>a) Mamá, c) Hermanos</v>
      </c>
      <c r="H415" s="89" t="str">
        <f>Registro!H415</f>
        <v>b) Casa Urbana</v>
      </c>
      <c r="I415" s="89" t="str">
        <f>Registro!I415</f>
        <v>a) Sí</v>
      </c>
      <c r="J415" s="89" t="str">
        <f>Registro!J415</f>
        <v>a) Cónsola videojuegos, b) Lavadora, c) Microondas, f) MP3, g) MP4, h) Carro, i) Computadora, j) Cámara digital, k) Aire acondicionado</v>
      </c>
      <c r="K415" s="89" t="str">
        <f>Registro!K415</f>
        <v>b) Una</v>
      </c>
      <c r="L415" s="89" t="str">
        <f>Registro!L415</f>
        <v>a) La familia, b) Los amigos, c) Los estudios</v>
      </c>
      <c r="M415" s="94">
        <f t="shared" si="33"/>
        <v>3</v>
      </c>
      <c r="N415" s="89" t="str">
        <f>Registro!M415</f>
        <v>g) Mis estudios</v>
      </c>
      <c r="O415" s="89" t="str">
        <f>Registro!N415</f>
        <v>b) Suficiente</v>
      </c>
      <c r="P415" s="89" t="str">
        <f>Registro!O415</f>
        <v>b) Suficiente</v>
      </c>
      <c r="Q415" s="89" t="str">
        <f>Registro!P415</f>
        <v>a) Mucho</v>
      </c>
      <c r="R415" s="89" t="str">
        <f>Registro!Q415</f>
        <v>a) La familia, c) Los estudios, f) Mi fe y mi vida cristiana</v>
      </c>
      <c r="S415" s="94">
        <f t="shared" si="34"/>
        <v>3</v>
      </c>
      <c r="T415" s="89" t="str">
        <f>Registro!R415</f>
        <v>a) Mucho</v>
      </c>
      <c r="U415" s="89" t="str">
        <f>Registro!S415</f>
        <v>a) La Iglesia, d) Las convivencias, k) La oración, l) Los sacramentos</v>
      </c>
      <c r="V415" s="89" t="str">
        <f>Registro!T415</f>
        <v>b) Rezo por costumbre</v>
      </c>
      <c r="W415" s="89" t="str">
        <f>Registro!U415</f>
        <v>b) Algunos domingos</v>
      </c>
      <c r="X415" s="89" t="str">
        <f>Registro!V415</f>
        <v>a) Suelo llevar una cruz o algún objeto religioso, e) Voy a misa en las fechas de mis familiares difuntos, f) En alguna ocasión he rezado el rosario, h) En Semana Santa asisto a las procesiones, i) Tengo en mi cuarto alguna imagen religiosa</v>
      </c>
      <c r="Y415" s="89" t="str">
        <f>Registro!W415</f>
        <v>d) No pertenezco a ninguno</v>
      </c>
      <c r="Z415" s="89" t="str">
        <f>Registro!X415</f>
        <v>a) Un grupo donde profundizo mi fe</v>
      </c>
      <c r="AA415" s="89" t="str">
        <f>Registro!Y415</f>
        <v>b) No</v>
      </c>
      <c r="AB415" s="89" t="str">
        <f>Registro!Z415</f>
        <v>b) No</v>
      </c>
      <c r="AC415" s="89" t="str">
        <f>Registro!AA415</f>
        <v>a) Medicina</v>
      </c>
      <c r="AD415" s="94">
        <f t="shared" si="35"/>
        <v>1</v>
      </c>
      <c r="AE415" s="89" t="str">
        <f>Registro!AB415</f>
        <v>c) Ser un excelente profesional</v>
      </c>
      <c r="AF415" s="89" t="str">
        <f>Registro!AC415</f>
        <v>b) Poco</v>
      </c>
      <c r="AG415" s="89" t="str">
        <f>Registro!AD415</f>
        <v>d) Los grupos juveniles cristianos, h) Las actividades extraescolares</v>
      </c>
      <c r="AH415" s="94">
        <f t="shared" si="36"/>
        <v>2</v>
      </c>
      <c r="AI415" s="89" t="str">
        <f>Registro!AE415</f>
        <v>a) 0 a 2 horas</v>
      </c>
      <c r="AJ415" s="89" t="str">
        <f>Registro!AF415</f>
        <v>a) Me divierto con juegos para computadoras, b) Navego en Internet, d) Estoy la mayor parte del tiempo en la casa sin hacer nada</v>
      </c>
      <c r="AK415" s="94">
        <f t="shared" si="37"/>
        <v>3</v>
      </c>
      <c r="AL415" s="89" t="str">
        <f>Registro!AG415</f>
        <v>c) Regular</v>
      </c>
      <c r="AM415" s="89" t="str">
        <f>Registro!AH415</f>
        <v>c) Regular</v>
      </c>
      <c r="AN415" s="89" t="str">
        <f>Registro!AI415</f>
        <v>c) Regular</v>
      </c>
      <c r="AO415" s="89" t="str">
        <f>Registro!AJ415</f>
        <v>a) Muy buena</v>
      </c>
      <c r="AP415" s="89" t="str">
        <f>Registro!AK415</f>
        <v>a) Muy buena</v>
      </c>
      <c r="AQ415" s="89" t="str">
        <f>Registro!AL415</f>
        <v>a) Muy buena</v>
      </c>
      <c r="AR415" s="89" t="str">
        <f>Registro!AM415</f>
        <v>a) Muy buena</v>
      </c>
      <c r="AS415" s="89" t="str">
        <f>Registro!AN415</f>
        <v>b) Buena</v>
      </c>
      <c r="AT415" s="89" t="str">
        <f>Registro!AO415</f>
        <v>a) Muy buena</v>
      </c>
      <c r="AU415" s="89" t="str">
        <f>Registro!AP415</f>
        <v>b) Buena</v>
      </c>
      <c r="AV415" s="89" t="str">
        <f>Registro!AQ415</f>
        <v>a) Muy buena</v>
      </c>
      <c r="AW415" s="89" t="str">
        <f>Registro!AR415</f>
        <v>a) El compañerismo</v>
      </c>
      <c r="AX415" s="89" t="str">
        <f>Registro!AS415</f>
        <v>a) Que sea un buen profesional</v>
      </c>
      <c r="AY415" s="89" t="str">
        <f>Registro!AT415</f>
        <v>b) Indiferente</v>
      </c>
      <c r="AZ415" s="89" t="str">
        <f>Registro!AU415</f>
        <v>a) No acostumbro a tomarlo nunca</v>
      </c>
      <c r="BA415" s="89" t="str">
        <f>Registro!AV415</f>
        <v>d) Buenos profesionales de la educación</v>
      </c>
      <c r="BB415" s="89" t="str">
        <f>Registro!AW415</f>
        <v>b) Poco</v>
      </c>
      <c r="BC415" s="89" t="str">
        <f>Registro!AX415</f>
        <v>e) Son personas que me gustan y admiro</v>
      </c>
      <c r="BD415" s="89" t="str">
        <f>Registro!AY415</f>
        <v>a) Mi padre, b) Mi madre, c) Un hermano/a</v>
      </c>
    </row>
    <row r="416" spans="1:56" ht="15" customHeight="1" x14ac:dyDescent="0.25">
      <c r="A416" s="101" t="str">
        <f>Registro!A416</f>
        <v>6/18/2015 8:25:16</v>
      </c>
      <c r="B416" s="89" t="str">
        <f>Registro!B416</f>
        <v>d) Cristo Rey de Carora</v>
      </c>
      <c r="C416" s="89" t="str">
        <f>Registro!C416</f>
        <v>a) Primer año</v>
      </c>
      <c r="D416" s="89" t="str">
        <f>Registro!D416</f>
        <v>a) Educación Inicial</v>
      </c>
      <c r="E416" s="89" t="str">
        <f>Registro!E416</f>
        <v>b) Femenino</v>
      </c>
      <c r="F416" s="89" t="str">
        <f>Registro!F416</f>
        <v>a) Católica</v>
      </c>
      <c r="G416" s="89" t="str">
        <f>Registro!G416</f>
        <v>a) Mamá, b) Papá, c) Hermanos</v>
      </c>
      <c r="H416" s="89" t="str">
        <f>Registro!H416</f>
        <v>b) Casa Urbana</v>
      </c>
      <c r="I416" s="89" t="str">
        <f>Registro!I416</f>
        <v>a) Sí</v>
      </c>
      <c r="J416" s="89" t="str">
        <f>Registro!J416</f>
        <v>b) Lavadora, c) Microondas, d) TV pantalla plana, h) Carro, i) Computadora, j) Cámara digital, k) Aire acondicionado</v>
      </c>
      <c r="K416" s="89" t="str">
        <f>Registro!K416</f>
        <v>c) Dos</v>
      </c>
      <c r="L416" s="89"/>
      <c r="M416" s="94">
        <f t="shared" si="33"/>
        <v>0</v>
      </c>
      <c r="N416" s="89" t="str">
        <f>Registro!M416</f>
        <v>f) La situación política del país</v>
      </c>
      <c r="O416" s="89" t="str">
        <f>Registro!N416</f>
        <v>b) Suficiente</v>
      </c>
      <c r="P416" s="89" t="str">
        <f>Registro!O416</f>
        <v>c) Poco</v>
      </c>
      <c r="Q416" s="89" t="str">
        <f>Registro!P416</f>
        <v>a) Mucho</v>
      </c>
      <c r="R416" s="89" t="str">
        <f>Registro!Q416</f>
        <v>a) La familia, f) Mi fe y mi vida cristiana, g) La felicidad</v>
      </c>
      <c r="S416" s="94">
        <f t="shared" si="34"/>
        <v>3</v>
      </c>
      <c r="T416" s="89" t="str">
        <f>Registro!R416</f>
        <v>a) Mucho</v>
      </c>
      <c r="U416" s="89" t="str">
        <f>Registro!S416</f>
        <v>a) La Iglesia, i) Los necesitados</v>
      </c>
      <c r="V416" s="89" t="str">
        <f>Registro!T416</f>
        <v>b) Rezo por costumbre</v>
      </c>
      <c r="W416" s="89" t="str">
        <f>Registro!U416</f>
        <v>b) Algunos domingos</v>
      </c>
      <c r="X416" s="89" t="str">
        <f>Registro!V416</f>
        <v>c) Suelo ir los domingos y otras fechas especiales a la Iglesia, f) En alguna ocasión he rezado el rosario, i) Tengo en mi cuarto alguna imagen religiosa</v>
      </c>
      <c r="Y416" s="89" t="str">
        <f>Registro!W416</f>
        <v>b) Cultural (folklórico, musicales, danzas, scout, banda marcial,...) , c) Religioso o parroquial</v>
      </c>
      <c r="Z416" s="89" t="str">
        <f>Registro!X416</f>
        <v>a) Un grupo donde profundizo mi fe</v>
      </c>
      <c r="AA416" s="89" t="str">
        <f>Registro!Y416</f>
        <v>b) No</v>
      </c>
      <c r="AB416" s="89" t="str">
        <f>Registro!Z416</f>
        <v>b) No</v>
      </c>
      <c r="AC416" s="89" t="str">
        <f>Registro!AA416</f>
        <v>e) Derecho</v>
      </c>
      <c r="AD416" s="94">
        <f t="shared" si="35"/>
        <v>1</v>
      </c>
      <c r="AE416" s="89" t="str">
        <f>Registro!AB416</f>
        <v>e) Servir a los demás</v>
      </c>
      <c r="AF416" s="89" t="str">
        <f>Registro!AC416</f>
        <v>d) Mucho o muchísimo</v>
      </c>
      <c r="AG416" s="89"/>
      <c r="AH416" s="94">
        <f t="shared" si="36"/>
        <v>0</v>
      </c>
      <c r="AI416" s="89" t="str">
        <f>Registro!AE416</f>
        <v>a) 0 a 2 horas</v>
      </c>
      <c r="AJ416" s="89" t="str">
        <f>Registro!AF416</f>
        <v>a) Me divierto con juegos para computadoras, j) Estoy en algún grupo juvenil</v>
      </c>
      <c r="AK416" s="94">
        <f t="shared" si="37"/>
        <v>2</v>
      </c>
      <c r="AL416" s="89" t="str">
        <f>Registro!AG416</f>
        <v>b) Bueno</v>
      </c>
      <c r="AM416" s="89" t="str">
        <f>Registro!AH416</f>
        <v>b) Buena</v>
      </c>
      <c r="AN416" s="89" t="str">
        <f>Registro!AI416</f>
        <v>b) Buena</v>
      </c>
      <c r="AO416" s="89" t="str">
        <f>Registro!AJ416</f>
        <v>a) Muy buena</v>
      </c>
      <c r="AP416" s="89" t="str">
        <f>Registro!AK416</f>
        <v>a) Muy buena</v>
      </c>
      <c r="AQ416" s="89" t="str">
        <f>Registro!AL416</f>
        <v>a) Muy buena</v>
      </c>
      <c r="AR416" s="89" t="str">
        <f>Registro!AM416</f>
        <v>a) Muy buena</v>
      </c>
      <c r="AS416" s="89" t="str">
        <f>Registro!AN416</f>
        <v>a) Muy buena</v>
      </c>
      <c r="AT416" s="89" t="str">
        <f>Registro!AO416</f>
        <v>a) Muy buena</v>
      </c>
      <c r="AU416" s="89" t="str">
        <f>Registro!AP416</f>
        <v>a) Muy buena</v>
      </c>
      <c r="AV416" s="89" t="str">
        <f>Registro!AQ416</f>
        <v>a) Muy buena</v>
      </c>
      <c r="AW416" s="89" t="str">
        <f>Registro!AR416</f>
        <v>b) La orientación cristiana</v>
      </c>
      <c r="AX416" s="89" t="str">
        <f>Registro!AS416</f>
        <v>b) Darme una buena educación</v>
      </c>
      <c r="AY416" s="89" t="str">
        <f>Registro!AT416</f>
        <v>e) Absolutamente necesaria</v>
      </c>
      <c r="AZ416" s="89" t="str">
        <f>Registro!AU416</f>
        <v>a) No acostumbro a tomarlo nunca</v>
      </c>
      <c r="BA416" s="89" t="str">
        <f>Registro!AV416</f>
        <v>f) Educadores que, además, me han abierto caminos</v>
      </c>
      <c r="BB416" s="89" t="str">
        <f>Registro!AW416</f>
        <v>c) Bastante</v>
      </c>
      <c r="BC416" s="89" t="str">
        <f>Registro!AX416</f>
        <v>e) Son personas que me gustan y admiro</v>
      </c>
      <c r="BD416" s="89" t="str">
        <f>Registro!AY416</f>
        <v>b) Mi madre, c) Un hermano/a</v>
      </c>
    </row>
    <row r="417" spans="1:56" ht="15" customHeight="1" x14ac:dyDescent="0.25">
      <c r="A417" s="101" t="str">
        <f>Registro!A417</f>
        <v>6/18/2015 8:26:58</v>
      </c>
      <c r="B417" s="89" t="str">
        <f>Registro!B417</f>
        <v>d) Cristo Rey de Carora</v>
      </c>
      <c r="C417" s="89" t="str">
        <f>Registro!C417</f>
        <v>a) Primer año</v>
      </c>
      <c r="D417" s="89" t="str">
        <f>Registro!D417</f>
        <v>a) Educación Inicial</v>
      </c>
      <c r="E417" s="89" t="str">
        <f>Registro!E417</f>
        <v>b) Femenino</v>
      </c>
      <c r="F417" s="89" t="str">
        <f>Registro!F417</f>
        <v>a) Católica</v>
      </c>
      <c r="G417" s="89" t="str">
        <f>Registro!G417</f>
        <v>a) Mamá, b) Papá</v>
      </c>
      <c r="H417" s="89" t="str">
        <f>Registro!H417</f>
        <v>b) Casa Urbana</v>
      </c>
      <c r="I417" s="89" t="str">
        <f>Registro!I417</f>
        <v>a) Sí</v>
      </c>
      <c r="J417" s="89" t="str">
        <f>Registro!J417</f>
        <v>c) Microondas, h) Carro, k) Aire acondicionado</v>
      </c>
      <c r="K417" s="89" t="str">
        <f>Registro!K417</f>
        <v>c) Dos</v>
      </c>
      <c r="L417" s="89" t="str">
        <f>Registro!L417</f>
        <v>a) La familia, b) Los amigos, c) Los estudios</v>
      </c>
      <c r="M417" s="94">
        <f t="shared" si="33"/>
        <v>3</v>
      </c>
      <c r="N417" s="89" t="str">
        <f>Registro!M417</f>
        <v>a) Seguridad personal (la violencia y la delincuencia)</v>
      </c>
      <c r="O417" s="89" t="str">
        <f>Registro!N417</f>
        <v>a) Mucho</v>
      </c>
      <c r="P417" s="89" t="str">
        <f>Registro!O417</f>
        <v>c) Poco</v>
      </c>
      <c r="Q417" s="89" t="str">
        <f>Registro!P417</f>
        <v>b) Suficiente</v>
      </c>
      <c r="R417" s="89" t="str">
        <f>Registro!Q417</f>
        <v>c) Los estudios, d) El cuidado de mi cuerpo, g) La felicidad</v>
      </c>
      <c r="S417" s="94">
        <f t="shared" si="34"/>
        <v>3</v>
      </c>
      <c r="T417" s="89" t="str">
        <f>Registro!R417</f>
        <v>a) Mucho</v>
      </c>
      <c r="U417" s="89" t="str">
        <f>Registro!S417</f>
        <v>a) La Iglesia, g) Mi familia, k) La oración</v>
      </c>
      <c r="V417" s="89" t="str">
        <f>Registro!T417</f>
        <v>a) Suelo rezar por convicción o porque me gusta</v>
      </c>
      <c r="W417" s="89" t="str">
        <f>Registro!U417</f>
        <v>c) Solo en fechas especiales</v>
      </c>
      <c r="X417" s="89" t="str">
        <f>Registro!V417</f>
        <v>e) Voy a misa en las fechas de mis familiares difuntos, f) En alguna ocasión he rezado el rosario, g) En ocasiones, en mi casa tenemos una oración familiar</v>
      </c>
      <c r="Y417" s="89" t="str">
        <f>Registro!W417</f>
        <v xml:space="preserve">b) Cultural (folklórico, musicales, danzas, scout, banda marcial,...) </v>
      </c>
      <c r="Z417" s="89" t="str">
        <f>Registro!X417</f>
        <v>a) Un grupo donde profundizo mi fe</v>
      </c>
      <c r="AA417" s="89" t="str">
        <f>Registro!Y417</f>
        <v>b) No</v>
      </c>
      <c r="AB417" s="89" t="str">
        <f>Registro!Z417</f>
        <v>b) No</v>
      </c>
      <c r="AC417" s="89" t="str">
        <f>Registro!AA417</f>
        <v>d) Ingeniería, g) Artista</v>
      </c>
      <c r="AD417" s="94">
        <f t="shared" si="35"/>
        <v>2</v>
      </c>
      <c r="AE417" s="89" t="str">
        <f>Registro!AB417</f>
        <v>b) Tener una buena posición social, ser importante</v>
      </c>
      <c r="AF417" s="89" t="str">
        <f>Registro!AC417</f>
        <v>c) Bastante</v>
      </c>
      <c r="AG417" s="89" t="str">
        <f>Registro!AD417</f>
        <v>a) Los deportes y diversiones</v>
      </c>
      <c r="AH417" s="94">
        <f t="shared" si="36"/>
        <v>1</v>
      </c>
      <c r="AI417" s="89" t="str">
        <f>Registro!AE417</f>
        <v>b) 3 a 4 horas</v>
      </c>
      <c r="AJ417" s="89" t="str">
        <f>Registro!AF417</f>
        <v>b) Navego en Internet, d) Estoy la mayor parte del tiempo en la casa sin hacer nada, m) Veo televisión y/o películas</v>
      </c>
      <c r="AK417" s="94">
        <f t="shared" si="37"/>
        <v>3</v>
      </c>
      <c r="AL417" s="89" t="str">
        <f>Registro!AG417</f>
        <v>b) Bueno</v>
      </c>
      <c r="AM417" s="89" t="str">
        <f>Registro!AH417</f>
        <v>b) Buena</v>
      </c>
      <c r="AN417" s="89" t="str">
        <f>Registro!AI417</f>
        <v>b) Buena</v>
      </c>
      <c r="AO417" s="89" t="str">
        <f>Registro!AJ417</f>
        <v>b) Buena</v>
      </c>
      <c r="AP417" s="89" t="str">
        <f>Registro!AK417</f>
        <v>b) Buena</v>
      </c>
      <c r="AQ417" s="89" t="str">
        <f>Registro!AL417</f>
        <v>b) Buena</v>
      </c>
      <c r="AR417" s="89" t="str">
        <f>Registro!AM417</f>
        <v>b) Buena</v>
      </c>
      <c r="AS417" s="89" t="str">
        <f>Registro!AN417</f>
        <v>a) Muy buena</v>
      </c>
      <c r="AT417" s="89" t="str">
        <f>Registro!AO417</f>
        <v>a) Muy buena</v>
      </c>
      <c r="AU417" s="89" t="str">
        <f>Registro!AP417</f>
        <v>a) Muy buena</v>
      </c>
      <c r="AV417" s="89" t="str">
        <f>Registro!AQ417</f>
        <v>b) Buena</v>
      </c>
      <c r="AW417" s="89" t="str">
        <f>Registro!AR417</f>
        <v>a) El compañerismo</v>
      </c>
      <c r="AX417" s="89" t="str">
        <f>Registro!AS417</f>
        <v>a) Que sea un buen profesional</v>
      </c>
      <c r="AY417" s="89" t="str">
        <f>Registro!AT417</f>
        <v>c) Conveniente</v>
      </c>
      <c r="AZ417" s="89" t="str">
        <f>Registro!AU417</f>
        <v>a) No acostumbro a tomarlo nunca</v>
      </c>
      <c r="BA417" s="89" t="str">
        <f>Registro!AV417</f>
        <v>d) Buenos profesionales de la educación</v>
      </c>
      <c r="BB417" s="89" t="str">
        <f>Registro!AW417</f>
        <v>c) Bastante</v>
      </c>
      <c r="BC417" s="89" t="str">
        <f>Registro!AX417</f>
        <v>c) Son personas normales y corrientes</v>
      </c>
      <c r="BD417" s="89" t="str">
        <f>Registro!AY417</f>
        <v>a) Mi padre, c) Un hermano/a, h) Una amiga</v>
      </c>
    </row>
    <row r="418" spans="1:56" ht="15" customHeight="1" x14ac:dyDescent="0.25">
      <c r="A418" s="101" t="str">
        <f>Registro!A418</f>
        <v>6/18/2015 8:28:28</v>
      </c>
      <c r="B418" s="89" t="str">
        <f>Registro!B418</f>
        <v>d) Cristo Rey de Carora</v>
      </c>
      <c r="C418" s="89" t="str">
        <f>Registro!C418</f>
        <v>a) Primer año</v>
      </c>
      <c r="D418" s="89" t="str">
        <f>Registro!D418</f>
        <v>a) Educación Inicial</v>
      </c>
      <c r="E418" s="89" t="str">
        <f>Registro!E418</f>
        <v>b) Femenino</v>
      </c>
      <c r="F418" s="89" t="str">
        <f>Registro!F418</f>
        <v>a) Católica</v>
      </c>
      <c r="G418" s="89" t="str">
        <f>Registro!G418</f>
        <v>a) Mamá, b) Papá, c) Hermanos, d) Abuelos, e) Otros familiares</v>
      </c>
      <c r="H418" s="89" t="str">
        <f>Registro!H418</f>
        <v>a) Quinta</v>
      </c>
      <c r="I418" s="89" t="str">
        <f>Registro!I418</f>
        <v>a) Sí</v>
      </c>
      <c r="J418" s="89" t="str">
        <f>Registro!J418</f>
        <v>b) Lavadora, d) TV pantalla plana, h) Carro, i) Computadora, k) Aire acondicionado</v>
      </c>
      <c r="K418" s="89" t="str">
        <f>Registro!K418</f>
        <v>c) Dos</v>
      </c>
      <c r="L418" s="89" t="str">
        <f>Registro!L418</f>
        <v>a) La familia, b) Los amigos, c) Los estudios</v>
      </c>
      <c r="M418" s="94">
        <f t="shared" si="33"/>
        <v>3</v>
      </c>
      <c r="N418" s="89" t="str">
        <f>Registro!M418</f>
        <v>g) Mis estudios</v>
      </c>
      <c r="O418" s="89" t="str">
        <f>Registro!N418</f>
        <v>a) Mucho</v>
      </c>
      <c r="P418" s="89" t="str">
        <f>Registro!O418</f>
        <v>c) Poco</v>
      </c>
      <c r="Q418" s="89" t="str">
        <f>Registro!P418</f>
        <v>b) Suficiente</v>
      </c>
      <c r="R418" s="89" t="str">
        <f>Registro!Q418</f>
        <v>a) La familia, b) Los amigos, c) Los estudios</v>
      </c>
      <c r="S418" s="94">
        <f t="shared" si="34"/>
        <v>3</v>
      </c>
      <c r="T418" s="89" t="str">
        <f>Registro!R418</f>
        <v>a) Mucho</v>
      </c>
      <c r="U418" s="89" t="str">
        <f>Registro!S418</f>
        <v>a) La Iglesia, d) Las convivencias, e) Los amigos</v>
      </c>
      <c r="V418" s="89" t="str">
        <f>Registro!T418</f>
        <v>a) Suelo rezar por convicción o porque me gusta</v>
      </c>
      <c r="W418" s="89" t="str">
        <f>Registro!U418</f>
        <v>b) Algunos domingos</v>
      </c>
      <c r="X418" s="89" t="str">
        <f>Registro!V418</f>
        <v>a) Suelo llevar una cruz o algún objeto religioso</v>
      </c>
      <c r="Y418" s="89" t="str">
        <f>Registro!W418</f>
        <v>d) No pertenezco a ninguno</v>
      </c>
      <c r="Z418" s="89" t="str">
        <f>Registro!X418</f>
        <v>a) Un grupo donde profundizo mi fe</v>
      </c>
      <c r="AA418" s="89" t="str">
        <f>Registro!Y418</f>
        <v>c) Algo</v>
      </c>
      <c r="AB418" s="89">
        <f>Registro!Z418</f>
        <v>0</v>
      </c>
      <c r="AC418" s="89" t="str">
        <f>Registro!AA418</f>
        <v>e) Derecho</v>
      </c>
      <c r="AD418" s="94">
        <f t="shared" si="35"/>
        <v>1</v>
      </c>
      <c r="AE418" s="89" t="str">
        <f>Registro!AB418</f>
        <v>e) Servir a los demás</v>
      </c>
      <c r="AF418" s="89" t="str">
        <f>Registro!AC418</f>
        <v>c) Bastante</v>
      </c>
      <c r="AG418" s="89" t="str">
        <f>Registro!AD418</f>
        <v>a) Los deportes y diversiones</v>
      </c>
      <c r="AH418" s="94">
        <f t="shared" si="36"/>
        <v>1</v>
      </c>
      <c r="AI418" s="89" t="str">
        <f>Registro!AE418</f>
        <v>b) 3 a 4 horas</v>
      </c>
      <c r="AJ418" s="89" t="str">
        <f>Registro!AF418</f>
        <v>a) Me divierto con juegos para computadoras, b) Navego en Internet, e) Suelo ir a algún parque</v>
      </c>
      <c r="AK418" s="94">
        <f t="shared" si="37"/>
        <v>3</v>
      </c>
      <c r="AL418" s="89" t="str">
        <f>Registro!AG418</f>
        <v>b) Bueno</v>
      </c>
      <c r="AM418" s="89" t="str">
        <f>Registro!AH418</f>
        <v>a) Muy buena</v>
      </c>
      <c r="AN418" s="89" t="str">
        <f>Registro!AI418</f>
        <v>c) Regular</v>
      </c>
      <c r="AO418" s="89" t="str">
        <f>Registro!AJ418</f>
        <v>b) Buena</v>
      </c>
      <c r="AP418" s="89" t="str">
        <f>Registro!AK418</f>
        <v>b) Buena</v>
      </c>
      <c r="AQ418" s="89" t="str">
        <f>Registro!AL418</f>
        <v>b) Buena</v>
      </c>
      <c r="AR418" s="89" t="str">
        <f>Registro!AM418</f>
        <v>b) Buena</v>
      </c>
      <c r="AS418" s="89" t="str">
        <f>Registro!AN418</f>
        <v>b) Buena</v>
      </c>
      <c r="AT418" s="89" t="str">
        <f>Registro!AO418</f>
        <v>b) Buena</v>
      </c>
      <c r="AU418" s="89" t="str">
        <f>Registro!AP418</f>
        <v>b) Buena</v>
      </c>
      <c r="AV418" s="89" t="str">
        <f>Registro!AQ418</f>
        <v>b) Buena</v>
      </c>
      <c r="AW418" s="89" t="str">
        <f>Registro!AR418</f>
        <v>c) El estudio</v>
      </c>
      <c r="AX418" s="89" t="str">
        <f>Registro!AS418</f>
        <v>f) Que tenga honradez en la vida</v>
      </c>
      <c r="AY418" s="89" t="str">
        <f>Registro!AT418</f>
        <v>d) Bastante necesaria</v>
      </c>
      <c r="AZ418" s="89" t="str">
        <f>Registro!AU418</f>
        <v>a) No acostumbro a tomarlo nunca</v>
      </c>
      <c r="BA418" s="89" t="str">
        <f>Registro!AV418</f>
        <v>a) Personas a las que tengo que aguantar</v>
      </c>
      <c r="BB418" s="89" t="str">
        <f>Registro!AW418</f>
        <v>b) Poco</v>
      </c>
      <c r="BC418" s="89" t="str">
        <f>Registro!AX418</f>
        <v>c) Son personas normales y corrientes</v>
      </c>
      <c r="BD418" s="89" t="str">
        <f>Registro!AY418</f>
        <v>a) Mi padre, b) Mi madre, c) Un hermano/a, g) Un amigo</v>
      </c>
    </row>
    <row r="419" spans="1:56" ht="15" customHeight="1" x14ac:dyDescent="0.25">
      <c r="A419" s="101" t="str">
        <f>Registro!A419</f>
        <v>6/18/2015 8:31:01</v>
      </c>
      <c r="B419" s="89" t="str">
        <f>Registro!B419</f>
        <v>d) Cristo Rey de Carora</v>
      </c>
      <c r="C419" s="89" t="str">
        <f>Registro!C419</f>
        <v>a) Primer año</v>
      </c>
      <c r="D419" s="89" t="str">
        <f>Registro!D419</f>
        <v>c) Entre Primero y Tercer año</v>
      </c>
      <c r="E419" s="89" t="str">
        <f>Registro!E419</f>
        <v>a) Masculino</v>
      </c>
      <c r="F419" s="89" t="str">
        <f>Registro!F419</f>
        <v>d) Otra</v>
      </c>
      <c r="G419" s="89" t="str">
        <f>Registro!G419</f>
        <v>a) Mamá</v>
      </c>
      <c r="H419" s="89" t="str">
        <f>Registro!H419</f>
        <v>b) Casa Urbana</v>
      </c>
      <c r="I419" s="89" t="str">
        <f>Registro!I419</f>
        <v>a) Sí</v>
      </c>
      <c r="J419" s="89" t="str">
        <f>Registro!J419</f>
        <v>d) TV pantalla plana, f) MP3, g) MP4, i) Computadora, j) Cámara digital, k) Aire acondicionado</v>
      </c>
      <c r="K419" s="89" t="str">
        <f>Registro!K419</f>
        <v>d) Tres</v>
      </c>
      <c r="L419" s="89" t="str">
        <f>Registro!L419</f>
        <v>a) La familia, b) Los amigos, f) Mi fe y vida cristiana</v>
      </c>
      <c r="M419" s="94">
        <f t="shared" si="33"/>
        <v>3</v>
      </c>
      <c r="N419" s="89" t="str">
        <f>Registro!M419</f>
        <v>b) El futuro</v>
      </c>
      <c r="O419" s="89" t="str">
        <f>Registro!N419</f>
        <v>b) Suficiente</v>
      </c>
      <c r="P419" s="89" t="str">
        <f>Registro!O419</f>
        <v>b) Suficiente</v>
      </c>
      <c r="Q419" s="89" t="str">
        <f>Registro!P419</f>
        <v>b) Suficiente</v>
      </c>
      <c r="R419" s="89" t="str">
        <f>Registro!Q419</f>
        <v>f) Mi fe y mi vida cristiana, g) La felicidad, j) El deporte</v>
      </c>
      <c r="S419" s="94">
        <f t="shared" si="34"/>
        <v>3</v>
      </c>
      <c r="T419" s="89" t="str">
        <f>Registro!R419</f>
        <v>b) Suficiente</v>
      </c>
      <c r="U419" s="89" t="str">
        <f>Registro!S419</f>
        <v>a) La Iglesia, b) La naturaleza, d) Las convivencias, e) Los amigos, g) Mi familia, h) Algunas personas cercanas a Dios, i) Los necesitados, k) La oración, l) Los sacramentos</v>
      </c>
      <c r="V419" s="89" t="str">
        <f>Registro!T419</f>
        <v>b) Rezo por costumbre</v>
      </c>
      <c r="W419" s="89" t="str">
        <f>Registro!U419</f>
        <v>b) Algunos domingos</v>
      </c>
      <c r="X419" s="89" t="str">
        <f>Registro!V419</f>
        <v>a) Suelo llevar una cruz o algún objeto religioso, b) Suelo bendedir los alimentos antes de comer, c) Suelo ir los domingos y otras fechas especiales a la Iglesia</v>
      </c>
      <c r="Y419" s="89" t="str">
        <f>Registro!W419</f>
        <v>a) Deportivo</v>
      </c>
      <c r="Z419" s="89" t="str">
        <f>Registro!X419</f>
        <v>a) Un grupo donde profundizo mi fe</v>
      </c>
      <c r="AA419" s="89" t="str">
        <f>Registro!Y419</f>
        <v>a) Sí</v>
      </c>
      <c r="AB419" s="89" t="str">
        <f>Registro!Z419</f>
        <v>c) Algo</v>
      </c>
      <c r="AC419" s="89" t="str">
        <f>Registro!AA419</f>
        <v>b) Docencia</v>
      </c>
      <c r="AD419" s="94">
        <f t="shared" si="35"/>
        <v>1</v>
      </c>
      <c r="AE419" s="89" t="str">
        <f>Registro!AB419</f>
        <v>b) Tener una buena posición social, ser importante</v>
      </c>
      <c r="AF419" s="89" t="str">
        <f>Registro!AC419</f>
        <v>b) Poco</v>
      </c>
      <c r="AG419" s="89" t="str">
        <f>Registro!AD419</f>
        <v>a) Los deportes y diversiones, b) El ambiente de estudio y de trabajo</v>
      </c>
      <c r="AH419" s="94">
        <f t="shared" si="36"/>
        <v>2</v>
      </c>
      <c r="AI419" s="89" t="str">
        <f>Registro!AE419</f>
        <v>a) 0 a 2 horas</v>
      </c>
      <c r="AJ419" s="89" t="str">
        <f>Registro!AF419</f>
        <v>b) Navego en Internet, g) Suelo ir a discotecas o a fiestas, j) Estoy en algún grupo juvenil</v>
      </c>
      <c r="AK419" s="94">
        <f t="shared" si="37"/>
        <v>3</v>
      </c>
      <c r="AL419" s="89" t="str">
        <f>Registro!AG419</f>
        <v>b) Bueno</v>
      </c>
      <c r="AM419" s="89" t="str">
        <f>Registro!AH419</f>
        <v>b) Buena</v>
      </c>
      <c r="AN419" s="89" t="str">
        <f>Registro!AI419</f>
        <v>b) Buena</v>
      </c>
      <c r="AO419" s="89" t="str">
        <f>Registro!AJ419</f>
        <v>b) Buena</v>
      </c>
      <c r="AP419" s="89" t="str">
        <f>Registro!AK419</f>
        <v>b) Buena</v>
      </c>
      <c r="AQ419" s="89" t="str">
        <f>Registro!AL419</f>
        <v>b) Buena</v>
      </c>
      <c r="AR419" s="89" t="str">
        <f>Registro!AM419</f>
        <v>b) Buena</v>
      </c>
      <c r="AS419" s="89" t="str">
        <f>Registro!AN419</f>
        <v>b) Buena</v>
      </c>
      <c r="AT419" s="89" t="str">
        <f>Registro!AO419</f>
        <v>b) Buena</v>
      </c>
      <c r="AU419" s="89" t="str">
        <f>Registro!AP419</f>
        <v>b) Buena</v>
      </c>
      <c r="AV419" s="89" t="str">
        <f>Registro!AQ419</f>
        <v>b) Buena</v>
      </c>
      <c r="AW419" s="89" t="str">
        <f>Registro!AR419</f>
        <v>b) La orientación cristiana</v>
      </c>
      <c r="AX419" s="89" t="str">
        <f>Registro!AS419</f>
        <v>a) Que sea un buen profesional</v>
      </c>
      <c r="AY419" s="89" t="str">
        <f>Registro!AT419</f>
        <v>d) Bastante necesaria</v>
      </c>
      <c r="AZ419" s="89" t="str">
        <f>Registro!AU419</f>
        <v>b) Las veces que bebo, es con moderación</v>
      </c>
      <c r="BA419" s="89" t="str">
        <f>Registro!AV419</f>
        <v>a) Personas a las que tengo que aguantar</v>
      </c>
      <c r="BB419" s="89" t="str">
        <f>Registro!AW419</f>
        <v>c) Bastante</v>
      </c>
      <c r="BC419" s="89" t="str">
        <f>Registro!AX419</f>
        <v>b) Hay de todo tipo, pero predomina lo negativo</v>
      </c>
      <c r="BD419" s="89" t="str">
        <f>Registro!AY419</f>
        <v>a) Mi padre, b) Mi madre, c) Un hermano/a</v>
      </c>
    </row>
    <row r="420" spans="1:56" ht="15" customHeight="1" x14ac:dyDescent="0.25">
      <c r="A420" s="101" t="str">
        <f>Registro!A420</f>
        <v>6/18/2015 8:31:54</v>
      </c>
      <c r="B420" s="89" t="str">
        <f>Registro!B420</f>
        <v>d) Cristo Rey de Carora</v>
      </c>
      <c r="C420" s="89" t="str">
        <f>Registro!C420</f>
        <v>a) Primer año</v>
      </c>
      <c r="D420" s="89" t="str">
        <f>Registro!D420</f>
        <v>a) Educación Inicial</v>
      </c>
      <c r="E420" s="89" t="str">
        <f>Registro!E420</f>
        <v>a) Masculino</v>
      </c>
      <c r="F420" s="89" t="str">
        <f>Registro!F420</f>
        <v>a) Católica</v>
      </c>
      <c r="G420" s="89" t="str">
        <f>Registro!G420</f>
        <v>a) Mamá, b) Papá, c) Hermanos, d) Abuelos</v>
      </c>
      <c r="H420" s="89" t="str">
        <f>Registro!H420</f>
        <v>b) Casa Urbana</v>
      </c>
      <c r="I420" s="89" t="str">
        <f>Registro!I420</f>
        <v>a) Sí</v>
      </c>
      <c r="J420" s="89" t="str">
        <f>Registro!J420</f>
        <v>a) Cónsola videojuegos, b) Lavadora, c) Microondas, d) TV pantalla plana, e) Moto, h) Carro, i) Computadora, k) Aire acondicionado</v>
      </c>
      <c r="K420" s="89" t="str">
        <f>Registro!K420</f>
        <v>b) Una</v>
      </c>
      <c r="L420" s="89" t="str">
        <f>Registro!L420</f>
        <v>a) La familia, c) Los estudios, g) La felicidad</v>
      </c>
      <c r="M420" s="94">
        <f t="shared" si="33"/>
        <v>3</v>
      </c>
      <c r="N420" s="89" t="str">
        <f>Registro!M420</f>
        <v>b) El futuro</v>
      </c>
      <c r="O420" s="89" t="str">
        <f>Registro!N420</f>
        <v>c) Poco</v>
      </c>
      <c r="P420" s="89" t="str">
        <f>Registro!O420</f>
        <v>c) Poco</v>
      </c>
      <c r="Q420" s="89" t="str">
        <f>Registro!P420</f>
        <v>b) Suficiente</v>
      </c>
      <c r="R420" s="89" t="str">
        <f>Registro!Q420</f>
        <v>b) Los amigos, c) Los estudios, g) La felicidad</v>
      </c>
      <c r="S420" s="94">
        <f t="shared" si="34"/>
        <v>3</v>
      </c>
      <c r="T420" s="89" t="str">
        <f>Registro!R420</f>
        <v>a) Mucho</v>
      </c>
      <c r="U420" s="89" t="str">
        <f>Registro!S420</f>
        <v>a) La Iglesia, b) La naturaleza, d) Las convivencias, g) Mi familia, i) Los necesitados, k) La oración, l) Los sacramentos</v>
      </c>
      <c r="V420" s="89" t="str">
        <f>Registro!T420</f>
        <v>c) Rezo solo en situación de dificultad</v>
      </c>
      <c r="W420" s="89" t="str">
        <f>Registro!U420</f>
        <v>b) Algunos domingos</v>
      </c>
      <c r="X420" s="89" t="str">
        <f>Registro!V420</f>
        <v>c) Suelo ir los domingos y otras fechas especiales a la Iglesia, f) En alguna ocasión he rezado el rosario</v>
      </c>
      <c r="Y420" s="89" t="str">
        <f>Registro!W420</f>
        <v>d) No pertenezco a ninguno</v>
      </c>
      <c r="Z420" s="89" t="str">
        <f>Registro!X420</f>
        <v>d) No pertenezco a grupos juveniles cristianos</v>
      </c>
      <c r="AA420" s="89" t="str">
        <f>Registro!Y420</f>
        <v>b) No</v>
      </c>
      <c r="AB420" s="89" t="str">
        <f>Registro!Z420</f>
        <v>b) No</v>
      </c>
      <c r="AC420" s="89" t="str">
        <f>Registro!AA420</f>
        <v>d) Ingeniería, h) Ciencias políticas</v>
      </c>
      <c r="AD420" s="94">
        <f t="shared" si="35"/>
        <v>2</v>
      </c>
      <c r="AE420" s="89" t="str">
        <f>Registro!AB420</f>
        <v>c) Ser un excelente profesional</v>
      </c>
      <c r="AF420" s="89" t="str">
        <f>Registro!AC420</f>
        <v>c) Bastante</v>
      </c>
      <c r="AG420" s="89" t="str">
        <f>Registro!AD420</f>
        <v>a) Los deportes y diversiones, c) Las instalaciones del Colegio</v>
      </c>
      <c r="AH420" s="94">
        <f t="shared" si="36"/>
        <v>2</v>
      </c>
      <c r="AI420" s="89" t="str">
        <f>Registro!AE420</f>
        <v>a) 0 a 2 horas</v>
      </c>
      <c r="AJ420" s="89" t="str">
        <f>Registro!AF420</f>
        <v>a) Me divierto con juegos para computadoras, b) Navego en Internet, d) Estoy la mayor parte del tiempo en la casa sin hacer nada</v>
      </c>
      <c r="AK420" s="94">
        <f t="shared" si="37"/>
        <v>3</v>
      </c>
      <c r="AL420" s="89" t="str">
        <f>Registro!AG420</f>
        <v>b) Bueno</v>
      </c>
      <c r="AM420" s="89" t="str">
        <f>Registro!AH420</f>
        <v>a) Muy buena</v>
      </c>
      <c r="AN420" s="89" t="str">
        <f>Registro!AI420</f>
        <v>a) Muy buena</v>
      </c>
      <c r="AO420" s="89" t="str">
        <f>Registro!AJ420</f>
        <v>c) Regular</v>
      </c>
      <c r="AP420" s="89" t="str">
        <f>Registro!AK420</f>
        <v>a) Muy buena</v>
      </c>
      <c r="AQ420" s="89" t="str">
        <f>Registro!AL420</f>
        <v>b) Buena</v>
      </c>
      <c r="AR420" s="89" t="str">
        <f>Registro!AM420</f>
        <v>a) Muy buena</v>
      </c>
      <c r="AS420" s="89" t="str">
        <f>Registro!AN420</f>
        <v>c) Regular</v>
      </c>
      <c r="AT420" s="89" t="str">
        <f>Registro!AO420</f>
        <v>a) Muy buena</v>
      </c>
      <c r="AU420" s="89" t="str">
        <f>Registro!AP420</f>
        <v>a) Muy buena</v>
      </c>
      <c r="AV420" s="89" t="str">
        <f>Registro!AQ420</f>
        <v>b) Buena</v>
      </c>
      <c r="AW420" s="89" t="str">
        <f>Registro!AR420</f>
        <v>a) El compañerismo</v>
      </c>
      <c r="AX420" s="89" t="str">
        <f>Registro!AS420</f>
        <v>b) Darme una buena educación</v>
      </c>
      <c r="AY420" s="89" t="str">
        <f>Registro!AT420</f>
        <v>e) Absolutamente necesaria</v>
      </c>
      <c r="AZ420" s="89" t="str">
        <f>Registro!AU420</f>
        <v>b) Las veces que bebo, es con moderación</v>
      </c>
      <c r="BA420" s="89" t="str">
        <f>Registro!AV420</f>
        <v>d) Buenos profesionales de la educación</v>
      </c>
      <c r="BB420" s="89" t="str">
        <f>Registro!AW420</f>
        <v>b) Poco</v>
      </c>
      <c r="BC420" s="89" t="str">
        <f>Registro!AX420</f>
        <v>b) Hay de todo tipo, pero predomina lo negativo</v>
      </c>
      <c r="BD420" s="89" t="str">
        <f>Registro!AY420</f>
        <v>k) No tengo problemas personales</v>
      </c>
    </row>
    <row r="421" spans="1:56" ht="15" customHeight="1" x14ac:dyDescent="0.25">
      <c r="A421" s="101" t="str">
        <f>Registro!A421</f>
        <v>6/18/2015 8:33:36</v>
      </c>
      <c r="B421" s="89" t="str">
        <f>Registro!B421</f>
        <v>d) Cristo Rey de Carora</v>
      </c>
      <c r="C421" s="89" t="str">
        <f>Registro!C421</f>
        <v>a) Primer año</v>
      </c>
      <c r="D421" s="89" t="str">
        <f>Registro!D421</f>
        <v>a) Educación Inicial</v>
      </c>
      <c r="E421" s="89" t="str">
        <f>Registro!E421</f>
        <v>b) Femenino</v>
      </c>
      <c r="F421" s="89" t="str">
        <f>Registro!F421</f>
        <v>a) Católica</v>
      </c>
      <c r="G421" s="89" t="str">
        <f>Registro!G421</f>
        <v>a) Mamá, c) Hermanos</v>
      </c>
      <c r="H421" s="89" t="str">
        <f>Registro!H421</f>
        <v>d) Casa Rural</v>
      </c>
      <c r="I421" s="89" t="str">
        <f>Registro!I421</f>
        <v>c) Algo</v>
      </c>
      <c r="J421" s="89" t="str">
        <f>Registro!J421</f>
        <v>i) Computadora, k) Aire acondicionado</v>
      </c>
      <c r="K421" s="89" t="str">
        <f>Registro!K421</f>
        <v>e) Cuatro</v>
      </c>
      <c r="L421" s="89"/>
      <c r="M421" s="94">
        <f t="shared" si="33"/>
        <v>0</v>
      </c>
      <c r="N421" s="89" t="str">
        <f>Registro!M421</f>
        <v>g) Mis estudios</v>
      </c>
      <c r="O421" s="89" t="str">
        <f>Registro!N421</f>
        <v>c) Poco</v>
      </c>
      <c r="P421" s="89" t="str">
        <f>Registro!O421</f>
        <v>c) Poco</v>
      </c>
      <c r="Q421" s="89" t="str">
        <f>Registro!P421</f>
        <v>b) Suficiente</v>
      </c>
      <c r="R421" s="89" t="str">
        <f>Registro!Q421</f>
        <v>a) La familia, c) Los estudios</v>
      </c>
      <c r="S421" s="94">
        <f t="shared" si="34"/>
        <v>2</v>
      </c>
      <c r="T421" s="89" t="str">
        <f>Registro!R421</f>
        <v>a) Mucho</v>
      </c>
      <c r="U421" s="89" t="str">
        <f>Registro!S421</f>
        <v>a) La Iglesia, d) Las convivencias, k) La oración</v>
      </c>
      <c r="V421" s="89" t="str">
        <f>Registro!T421</f>
        <v>a) Suelo rezar por convicción o porque me gusta</v>
      </c>
      <c r="W421" s="89" t="str">
        <f>Registro!U421</f>
        <v>b) Algunos domingos</v>
      </c>
      <c r="X421" s="89" t="str">
        <f>Registro!V421</f>
        <v>e) Voy a misa en las fechas de mis familiares difuntos</v>
      </c>
      <c r="Y421" s="89" t="str">
        <f>Registro!W421</f>
        <v>c) Religioso o parroquial</v>
      </c>
      <c r="Z421" s="89" t="str">
        <f>Registro!X421</f>
        <v>b) Un lugar donde comparto con mis compañeros</v>
      </c>
      <c r="AA421" s="89" t="str">
        <f>Registro!Y421</f>
        <v>b) No</v>
      </c>
      <c r="AB421" s="89" t="str">
        <f>Registro!Z421</f>
        <v>b) No</v>
      </c>
      <c r="AC421" s="89" t="str">
        <f>Registro!AA421</f>
        <v>d) Ingeniería</v>
      </c>
      <c r="AD421" s="94">
        <f t="shared" si="35"/>
        <v>1</v>
      </c>
      <c r="AE421" s="89" t="str">
        <f>Registro!AB421</f>
        <v>b) Tener una buena posición social, ser importante</v>
      </c>
      <c r="AF421" s="89" t="str">
        <f>Registro!AC421</f>
        <v>d) Mucho o muchísimo</v>
      </c>
      <c r="AG421" s="89"/>
      <c r="AH421" s="94">
        <f t="shared" si="36"/>
        <v>0</v>
      </c>
      <c r="AI421" s="89" t="str">
        <f>Registro!AE421</f>
        <v>d) 7 a 8 horas</v>
      </c>
      <c r="AJ421" s="89" t="str">
        <f>Registro!AF421</f>
        <v>b) Navego en Internet, d) Estoy la mayor parte del tiempo en la casa sin hacer nada, n) Estoy conversando con los amigos/as</v>
      </c>
      <c r="AK421" s="94">
        <f t="shared" si="37"/>
        <v>3</v>
      </c>
      <c r="AL421" s="89" t="str">
        <f>Registro!AG421</f>
        <v>c) Regular</v>
      </c>
      <c r="AM421" s="89" t="str">
        <f>Registro!AH421</f>
        <v>a) Muy buena</v>
      </c>
      <c r="AN421" s="89" t="str">
        <f>Registro!AI421</f>
        <v>a) Muy buena</v>
      </c>
      <c r="AO421" s="89" t="str">
        <f>Registro!AJ421</f>
        <v>b) Buena</v>
      </c>
      <c r="AP421" s="89">
        <f>Registro!AK421</f>
        <v>0</v>
      </c>
      <c r="AQ421" s="89" t="str">
        <f>Registro!AL421</f>
        <v>a) Muy buena</v>
      </c>
      <c r="AR421" s="89" t="str">
        <f>Registro!AM421</f>
        <v>a) Muy buena</v>
      </c>
      <c r="AS421" s="89" t="str">
        <f>Registro!AN421</f>
        <v>a) Muy buena</v>
      </c>
      <c r="AT421" s="89" t="str">
        <f>Registro!AO421</f>
        <v>a) Muy buena</v>
      </c>
      <c r="AU421" s="89" t="str">
        <f>Registro!AP421</f>
        <v>a) Muy buena</v>
      </c>
      <c r="AV421" s="89">
        <f>Registro!AQ421</f>
        <v>0</v>
      </c>
      <c r="AW421" s="89" t="str">
        <f>Registro!AR421</f>
        <v>a) El compañerismo</v>
      </c>
      <c r="AX421" s="89" t="str">
        <f>Registro!AS421</f>
        <v>a) Que sea un buen profesional</v>
      </c>
      <c r="AY421" s="89" t="str">
        <f>Registro!AT421</f>
        <v>d) Bastante necesaria</v>
      </c>
      <c r="AZ421" s="89" t="str">
        <f>Registro!AU421</f>
        <v>a) No acostumbro a tomarlo nunca</v>
      </c>
      <c r="BA421" s="89" t="str">
        <f>Registro!AV421</f>
        <v>e) Educadores que se preocupan de nosotros</v>
      </c>
      <c r="BB421" s="89" t="str">
        <f>Registro!AW421</f>
        <v>c) Bastante</v>
      </c>
      <c r="BC421" s="89" t="str">
        <f>Registro!AX421</f>
        <v>e) Son personas que me gustan y admiro</v>
      </c>
      <c r="BD421" s="89" t="str">
        <f>Registro!AY421</f>
        <v>a) Mi padre, c) Un hermano/a, d) Un escolapio, religioso o religiosa</v>
      </c>
    </row>
    <row r="422" spans="1:56" ht="15" customHeight="1" x14ac:dyDescent="0.25">
      <c r="A422" s="101" t="str">
        <f>Registro!A422</f>
        <v>6/18/2015 8:35:00</v>
      </c>
      <c r="B422" s="89" t="str">
        <f>Registro!B422</f>
        <v>d) Cristo Rey de Carora</v>
      </c>
      <c r="C422" s="89" t="str">
        <f>Registro!C422</f>
        <v>a) Primer año</v>
      </c>
      <c r="D422" s="89" t="str">
        <f>Registro!D422</f>
        <v>b) Primaria</v>
      </c>
      <c r="E422" s="89" t="str">
        <f>Registro!E422</f>
        <v>a) Masculino</v>
      </c>
      <c r="F422" s="89" t="str">
        <f>Registro!F422</f>
        <v>a) Católica</v>
      </c>
      <c r="G422" s="89" t="str">
        <f>Registro!G422</f>
        <v>a) Mamá</v>
      </c>
      <c r="H422" s="89" t="str">
        <f>Registro!H422</f>
        <v>d) Casa Rural</v>
      </c>
      <c r="I422" s="89" t="str">
        <f>Registro!I422</f>
        <v>c) Algo</v>
      </c>
      <c r="J422" s="89" t="str">
        <f>Registro!J422</f>
        <v>a) Cónsola videojuegos</v>
      </c>
      <c r="K422" s="89" t="str">
        <f>Registro!K422</f>
        <v>c) Dos</v>
      </c>
      <c r="L422" s="89" t="str">
        <f>Registro!L422</f>
        <v>a) La familia, b) Los amigos, f) Mi fe y vida cristiana</v>
      </c>
      <c r="M422" s="94">
        <f t="shared" si="33"/>
        <v>3</v>
      </c>
      <c r="N422" s="89" t="str">
        <f>Registro!M422</f>
        <v>b) El futuro</v>
      </c>
      <c r="O422" s="89" t="str">
        <f>Registro!N422</f>
        <v>a) Mucho</v>
      </c>
      <c r="P422" s="89" t="str">
        <f>Registro!O422</f>
        <v>c) Poco</v>
      </c>
      <c r="Q422" s="89" t="str">
        <f>Registro!P422</f>
        <v>b) Suficiente</v>
      </c>
      <c r="R422" s="89" t="str">
        <f>Registro!Q422</f>
        <v>a) La familia, c) Los estudios, f) Mi fe y mi vida cristiana</v>
      </c>
      <c r="S422" s="94">
        <f t="shared" si="34"/>
        <v>3</v>
      </c>
      <c r="T422" s="89" t="str">
        <f>Registro!R422</f>
        <v>a) Mucho</v>
      </c>
      <c r="U422" s="89" t="str">
        <f>Registro!S422</f>
        <v>a) La Iglesia, b) La naturaleza, k) La oración, l) Los sacramentos</v>
      </c>
      <c r="V422" s="89" t="str">
        <f>Registro!T422</f>
        <v>a) Suelo rezar por convicción o porque me gusta</v>
      </c>
      <c r="W422" s="89" t="str">
        <f>Registro!U422</f>
        <v>a) Todos los domingos</v>
      </c>
      <c r="X422" s="89" t="str">
        <f>Registro!V422</f>
        <v>h) En Semana Santa asisto a las procesiones</v>
      </c>
      <c r="Y422" s="89" t="str">
        <f>Registro!W422</f>
        <v xml:space="preserve">a) Deportivo, b) Cultural (folklórico, musicales, danzas, scout, banda marcial,...) </v>
      </c>
      <c r="Z422" s="89" t="str">
        <f>Registro!X422</f>
        <v>a) Un grupo donde profundizo mi fe</v>
      </c>
      <c r="AA422" s="89" t="str">
        <f>Registro!Y422</f>
        <v>a) Sí</v>
      </c>
      <c r="AB422" s="89" t="str">
        <f>Registro!Z422</f>
        <v>a) Sí</v>
      </c>
      <c r="AC422" s="89" t="str">
        <f>Registro!AA422</f>
        <v>g) Artista</v>
      </c>
      <c r="AD422" s="94">
        <f t="shared" si="35"/>
        <v>1</v>
      </c>
      <c r="AE422" s="89" t="str">
        <f>Registro!AB422</f>
        <v>c) Ser un excelente profesional</v>
      </c>
      <c r="AF422" s="89" t="str">
        <f>Registro!AC422</f>
        <v>c) Bastante</v>
      </c>
      <c r="AG422" s="89" t="str">
        <f>Registro!AD422</f>
        <v>a) Los deportes y diversiones, c) Las instalaciones del Colegio</v>
      </c>
      <c r="AH422" s="94">
        <f t="shared" si="36"/>
        <v>2</v>
      </c>
      <c r="AI422" s="89" t="str">
        <f>Registro!AE422</f>
        <v>e) 9 a 10 horas</v>
      </c>
      <c r="AJ422" s="89" t="str">
        <f>Registro!AF422</f>
        <v>a) Me divierto con juegos para computadoras, k) Practico algún deporte, m) Veo televisión y/o películas</v>
      </c>
      <c r="AK422" s="94">
        <f t="shared" si="37"/>
        <v>3</v>
      </c>
      <c r="AL422" s="89" t="str">
        <f>Registro!AG422</f>
        <v>c) Regular</v>
      </c>
      <c r="AM422" s="89" t="str">
        <f>Registro!AH422</f>
        <v>c) Regular</v>
      </c>
      <c r="AN422" s="89" t="str">
        <f>Registro!AI422</f>
        <v>c) Regular</v>
      </c>
      <c r="AO422" s="89" t="str">
        <f>Registro!AJ422</f>
        <v>c) Regular</v>
      </c>
      <c r="AP422" s="89" t="str">
        <f>Registro!AK422</f>
        <v>a) Muy buena</v>
      </c>
      <c r="AQ422" s="89" t="str">
        <f>Registro!AL422</f>
        <v>a) Muy buena</v>
      </c>
      <c r="AR422" s="89" t="str">
        <f>Registro!AM422</f>
        <v>a) Muy buena</v>
      </c>
      <c r="AS422" s="89" t="str">
        <f>Registro!AN422</f>
        <v>b) Buena</v>
      </c>
      <c r="AT422" s="89" t="str">
        <f>Registro!AO422</f>
        <v>a) Muy buena</v>
      </c>
      <c r="AU422" s="89" t="str">
        <f>Registro!AP422</f>
        <v>b) Buena</v>
      </c>
      <c r="AV422" s="89" t="str">
        <f>Registro!AQ422</f>
        <v>a) Muy buena</v>
      </c>
      <c r="AW422" s="89" t="str">
        <f>Registro!AR422</f>
        <v>b) La orientación cristiana</v>
      </c>
      <c r="AX422" s="89" t="str">
        <f>Registro!AS422</f>
        <v>b) Darme una buena educación</v>
      </c>
      <c r="AY422" s="89" t="str">
        <f>Registro!AT422</f>
        <v>c) Conveniente</v>
      </c>
      <c r="AZ422" s="89" t="str">
        <f>Registro!AU422</f>
        <v>a) No acostumbro a tomarlo nunca</v>
      </c>
      <c r="BA422" s="89" t="str">
        <f>Registro!AV422</f>
        <v>a) Personas a las que tengo que aguantar</v>
      </c>
      <c r="BB422" s="89" t="str">
        <f>Registro!AW422</f>
        <v>e) No sé</v>
      </c>
      <c r="BC422" s="89" t="str">
        <f>Registro!AX422</f>
        <v>c) Son personas normales y corrientes</v>
      </c>
      <c r="BD422" s="89" t="str">
        <f>Registro!AY422</f>
        <v>a) Mi padre, b) Mi madre, c) Un hermano/a, d) Un escolapio, religioso o religiosa, g) Un amigo, h) Una amiga</v>
      </c>
    </row>
    <row r="423" spans="1:56" ht="15" customHeight="1" x14ac:dyDescent="0.25">
      <c r="A423" s="101" t="str">
        <f>Registro!A423</f>
        <v>6/18/2015 8:35:31</v>
      </c>
      <c r="B423" s="89" t="str">
        <f>Registro!B423</f>
        <v>d) Cristo Rey de Carora</v>
      </c>
      <c r="C423" s="89" t="str">
        <f>Registro!C423</f>
        <v>a) Primer año</v>
      </c>
      <c r="D423" s="89" t="str">
        <f>Registro!D423</f>
        <v>c) Entre Primero y Tercer año</v>
      </c>
      <c r="E423" s="89" t="str">
        <f>Registro!E423</f>
        <v>a) Masculino</v>
      </c>
      <c r="F423" s="89" t="str">
        <f>Registro!F423</f>
        <v>a) Católica</v>
      </c>
      <c r="G423" s="89" t="str">
        <f>Registro!G423</f>
        <v>a) Mamá, b) Papá, d) Abuelos</v>
      </c>
      <c r="H423" s="89" t="str">
        <f>Registro!H423</f>
        <v>b) Casa Urbana</v>
      </c>
      <c r="I423" s="89" t="str">
        <f>Registro!I423</f>
        <v>a) Sí</v>
      </c>
      <c r="J423" s="89" t="str">
        <f>Registro!J423</f>
        <v>a) Cónsola videojuegos, b) Lavadora, c) Microondas, d) TV pantalla plana, f) MP3, g) MP4, i) Computadora, j) Cámara digital, k) Aire acondicionado</v>
      </c>
      <c r="K423" s="89" t="str">
        <f>Registro!K423</f>
        <v>c) Dos</v>
      </c>
      <c r="L423" s="89" t="str">
        <f>Registro!L423</f>
        <v>a) La familia, b) Los amigos, c) Los estudios</v>
      </c>
      <c r="M423" s="94">
        <f t="shared" si="33"/>
        <v>3</v>
      </c>
      <c r="N423" s="89" t="str">
        <f>Registro!M423</f>
        <v>b) El futuro</v>
      </c>
      <c r="O423" s="89" t="str">
        <f>Registro!N423</f>
        <v>a) Mucho</v>
      </c>
      <c r="P423" s="89" t="str">
        <f>Registro!O423</f>
        <v>d) Nada</v>
      </c>
      <c r="Q423" s="89" t="str">
        <f>Registro!P423</f>
        <v>a) Mucho</v>
      </c>
      <c r="R423" s="89" t="str">
        <f>Registro!Q423</f>
        <v>a) La familia, b) Los amigos, e) Disponer de dinero</v>
      </c>
      <c r="S423" s="94">
        <f t="shared" si="34"/>
        <v>3</v>
      </c>
      <c r="T423" s="89">
        <f>Registro!R423</f>
        <v>0</v>
      </c>
      <c r="U423" s="89" t="str">
        <f>Registro!S423</f>
        <v>a) La Iglesia, f) Todas las personas</v>
      </c>
      <c r="V423" s="89" t="str">
        <f>Registro!T423</f>
        <v>b) Rezo por costumbre</v>
      </c>
      <c r="W423" s="89" t="str">
        <f>Registro!U423</f>
        <v>b) Algunos domingos</v>
      </c>
      <c r="X423" s="89" t="str">
        <f>Registro!V423</f>
        <v>a) Suelo llevar una cruz o algún objeto religioso, c) Suelo ir los domingos y otras fechas especiales a la Iglesia</v>
      </c>
      <c r="Y423" s="89" t="str">
        <f>Registro!W423</f>
        <v>a) Deportivo</v>
      </c>
      <c r="Z423" s="89" t="str">
        <f>Registro!X423</f>
        <v>a) Un grupo donde profundizo mi fe</v>
      </c>
      <c r="AA423" s="89" t="str">
        <f>Registro!Y423</f>
        <v>b) No</v>
      </c>
      <c r="AB423" s="89" t="str">
        <f>Registro!Z423</f>
        <v>b) No</v>
      </c>
      <c r="AC423" s="89" t="str">
        <f>Registro!AA423</f>
        <v>d) Ingeniería, e) Derecho</v>
      </c>
      <c r="AD423" s="94">
        <f t="shared" si="35"/>
        <v>2</v>
      </c>
      <c r="AE423" s="89" t="str">
        <f>Registro!AB423</f>
        <v>a) Ganar mucho dinero</v>
      </c>
      <c r="AF423" s="89" t="str">
        <f>Registro!AC423</f>
        <v>a) No, en absoluto</v>
      </c>
      <c r="AG423" s="89" t="str">
        <f>Registro!AD423</f>
        <v>a) Los deportes y diversiones, c) Las instalaciones del Colegio</v>
      </c>
      <c r="AH423" s="94">
        <f t="shared" si="36"/>
        <v>2</v>
      </c>
      <c r="AI423" s="89" t="str">
        <f>Registro!AE423</f>
        <v>d) 7 a 8 horas</v>
      </c>
      <c r="AJ423" s="89" t="str">
        <f>Registro!AF423</f>
        <v>a) Me divierto con juegos para computadoras</v>
      </c>
      <c r="AK423" s="94">
        <f t="shared" si="37"/>
        <v>1</v>
      </c>
      <c r="AL423" s="89" t="str">
        <f>Registro!AG423</f>
        <v>a) Muy bueno</v>
      </c>
      <c r="AM423" s="89" t="str">
        <f>Registro!AH423</f>
        <v>c) Regular</v>
      </c>
      <c r="AN423" s="89" t="str">
        <f>Registro!AI423</f>
        <v>c) Regular</v>
      </c>
      <c r="AO423" s="89" t="str">
        <f>Registro!AJ423</f>
        <v>b) Buena</v>
      </c>
      <c r="AP423" s="89" t="str">
        <f>Registro!AK423</f>
        <v>a) Muy buena</v>
      </c>
      <c r="AQ423" s="89" t="str">
        <f>Registro!AL423</f>
        <v>b) Buena</v>
      </c>
      <c r="AR423" s="89" t="str">
        <f>Registro!AM423</f>
        <v>a) Muy buena</v>
      </c>
      <c r="AS423" s="89" t="str">
        <f>Registro!AN423</f>
        <v>a) Muy buena</v>
      </c>
      <c r="AT423" s="89" t="str">
        <f>Registro!AO423</f>
        <v>a) Muy buena</v>
      </c>
      <c r="AU423" s="89" t="str">
        <f>Registro!AP423</f>
        <v>a) Muy buena</v>
      </c>
      <c r="AV423" s="89" t="str">
        <f>Registro!AQ423</f>
        <v>b) Buena</v>
      </c>
      <c r="AW423" s="89" t="str">
        <f>Registro!AR423</f>
        <v>f) la práctica religiosa</v>
      </c>
      <c r="AX423" s="89" t="str">
        <f>Registro!AS423</f>
        <v>a) Que sea un buen profesional</v>
      </c>
      <c r="AY423" s="89" t="str">
        <f>Registro!AT423</f>
        <v>e) Absolutamente necesaria</v>
      </c>
      <c r="AZ423" s="89" t="str">
        <f>Registro!AU423</f>
        <v>b) Las veces que bebo, es con moderación</v>
      </c>
      <c r="BA423" s="89" t="str">
        <f>Registro!AV423</f>
        <v>f) Educadores que, además, me han abierto caminos</v>
      </c>
      <c r="BB423" s="89" t="str">
        <f>Registro!AW423</f>
        <v>d) Mucho o muchísimo</v>
      </c>
      <c r="BC423" s="89" t="str">
        <f>Registro!AX423</f>
        <v>c) Son personas normales y corrientes</v>
      </c>
      <c r="BD423" s="89" t="str">
        <f>Registro!AY423</f>
        <v>a) Mi padre</v>
      </c>
    </row>
    <row r="424" spans="1:56" ht="15" customHeight="1" x14ac:dyDescent="0.25">
      <c r="A424" s="101" t="str">
        <f>Registro!A424</f>
        <v>6/18/2015 8:35:40</v>
      </c>
      <c r="B424" s="89" t="str">
        <f>Registro!B424</f>
        <v>d) Cristo Rey de Carora</v>
      </c>
      <c r="C424" s="89" t="str">
        <f>Registro!C424</f>
        <v>a) Primer año</v>
      </c>
      <c r="D424" s="89" t="str">
        <f>Registro!D424</f>
        <v>b) Primaria</v>
      </c>
      <c r="E424" s="89" t="str">
        <f>Registro!E424</f>
        <v>a) Masculino</v>
      </c>
      <c r="F424" s="89" t="str">
        <f>Registro!F424</f>
        <v>a) Católica</v>
      </c>
      <c r="G424" s="89" t="str">
        <f>Registro!G424</f>
        <v>a) Mamá, b) Papá, d) Abuelos</v>
      </c>
      <c r="H424" s="89" t="str">
        <f>Registro!H424</f>
        <v>b) Casa Urbana</v>
      </c>
      <c r="I424" s="89" t="str">
        <f>Registro!I424</f>
        <v>c) Algo</v>
      </c>
      <c r="J424" s="89" t="str">
        <f>Registro!J424</f>
        <v>b) Lavadora, d) TV pantalla plana, i) Computadora, k) Aire acondicionado</v>
      </c>
      <c r="K424" s="89" t="str">
        <f>Registro!K424</f>
        <v>a) Ninguna</v>
      </c>
      <c r="L424" s="89"/>
      <c r="M424" s="94">
        <f t="shared" si="33"/>
        <v>0</v>
      </c>
      <c r="N424" s="89" t="str">
        <f>Registro!M424</f>
        <v>b) El futuro</v>
      </c>
      <c r="O424" s="89" t="str">
        <f>Registro!N424</f>
        <v>c) Poco</v>
      </c>
      <c r="P424" s="89" t="str">
        <f>Registro!O424</f>
        <v>c) Poco</v>
      </c>
      <c r="Q424" s="89" t="str">
        <f>Registro!P424</f>
        <v>d) Nada</v>
      </c>
      <c r="R424" s="89" t="str">
        <f>Registro!Q424</f>
        <v>c) Los estudios, e) Disponer de dinero</v>
      </c>
      <c r="S424" s="94">
        <f t="shared" si="34"/>
        <v>2</v>
      </c>
      <c r="T424" s="89" t="str">
        <f>Registro!R424</f>
        <v>a) Mucho</v>
      </c>
      <c r="U424" s="89" t="str">
        <f>Registro!S424</f>
        <v>a) La Iglesia, b) La naturaleza, h) Algunas personas cercanas a Dios, k) La oración</v>
      </c>
      <c r="V424" s="89" t="str">
        <f>Registro!T424</f>
        <v>c) Rezo solo en situación de dificultad</v>
      </c>
      <c r="W424" s="89" t="str">
        <f>Registro!U424</f>
        <v>c) Solo en fechas especiales</v>
      </c>
      <c r="X424" s="89" t="str">
        <f>Registro!V424</f>
        <v>e) Voy a misa en las fechas de mis familiares difuntos, f) En alguna ocasión he rezado el rosario, i) Tengo en mi cuarto alguna imagen religiosa</v>
      </c>
      <c r="Y424" s="89" t="str">
        <f>Registro!W424</f>
        <v xml:space="preserve">a) Deportivo, b) Cultural (folklórico, musicales, danzas, scout, banda marcial,...) </v>
      </c>
      <c r="Z424" s="89" t="str">
        <f>Registro!X424</f>
        <v>c) Un lugar donde me lo paso bien</v>
      </c>
      <c r="AA424" s="89" t="str">
        <f>Registro!Y424</f>
        <v>c) Algo</v>
      </c>
      <c r="AB424" s="89" t="str">
        <f>Registro!Z424</f>
        <v>b) No</v>
      </c>
      <c r="AC424" s="89"/>
      <c r="AD424" s="94">
        <f t="shared" si="35"/>
        <v>0</v>
      </c>
      <c r="AE424" s="89" t="str">
        <f>Registro!AB424</f>
        <v>a) Ganar mucho dinero</v>
      </c>
      <c r="AF424" s="89" t="str">
        <f>Registro!AC424</f>
        <v>c) Bastante</v>
      </c>
      <c r="AG424" s="89" t="str">
        <f>Registro!AD424</f>
        <v>c) Las instalaciones del Colegio, f) La igualdad de trato que se da a todos</v>
      </c>
      <c r="AH424" s="94">
        <f t="shared" si="36"/>
        <v>2</v>
      </c>
      <c r="AI424" s="89" t="str">
        <f>Registro!AE424</f>
        <v>a) 0 a 2 horas</v>
      </c>
      <c r="AJ424" s="89"/>
      <c r="AK424" s="94">
        <f t="shared" si="37"/>
        <v>0</v>
      </c>
      <c r="AL424" s="89" t="str">
        <f>Registro!AG424</f>
        <v>c) Regular</v>
      </c>
      <c r="AM424" s="89" t="str">
        <f>Registro!AH424</f>
        <v>b) Buena</v>
      </c>
      <c r="AN424" s="89" t="str">
        <f>Registro!AI424</f>
        <v>b) Buena</v>
      </c>
      <c r="AO424" s="89" t="str">
        <f>Registro!AJ424</f>
        <v>a) Muy buena</v>
      </c>
      <c r="AP424" s="89" t="str">
        <f>Registro!AK424</f>
        <v>d) Mala</v>
      </c>
      <c r="AQ424" s="89" t="str">
        <f>Registro!AL424</f>
        <v>b) Buena</v>
      </c>
      <c r="AR424" s="89" t="str">
        <f>Registro!AM424</f>
        <v>c) Regular</v>
      </c>
      <c r="AS424" s="89" t="str">
        <f>Registro!AN424</f>
        <v>b) Buena</v>
      </c>
      <c r="AT424" s="89" t="str">
        <f>Registro!AO424</f>
        <v>b) Buena</v>
      </c>
      <c r="AU424" s="89" t="str">
        <f>Registro!AP424</f>
        <v>b) Buena</v>
      </c>
      <c r="AV424" s="89" t="str">
        <f>Registro!AQ424</f>
        <v>b) Buena</v>
      </c>
      <c r="AW424" s="89" t="str">
        <f>Registro!AR424</f>
        <v>a) El compañerismo</v>
      </c>
      <c r="AX424" s="89" t="str">
        <f>Registro!AS424</f>
        <v>a) Que sea un buen profesional</v>
      </c>
      <c r="AY424" s="89" t="str">
        <f>Registro!AT424</f>
        <v>c) Conveniente</v>
      </c>
      <c r="AZ424" s="89" t="str">
        <f>Registro!AU424</f>
        <v>b) Las veces que bebo, es con moderación</v>
      </c>
      <c r="BA424" s="89" t="str">
        <f>Registro!AV424</f>
        <v>d) Buenos profesionales de la educación</v>
      </c>
      <c r="BB424" s="89" t="str">
        <f>Registro!AW424</f>
        <v>c) Bastante</v>
      </c>
      <c r="BC424" s="89" t="str">
        <f>Registro!AX424</f>
        <v>e) Son personas que me gustan y admiro</v>
      </c>
      <c r="BD424" s="89" t="str">
        <f>Registro!AY424</f>
        <v>a) Mi padre, b) Mi madre, e) Un, una docente</v>
      </c>
    </row>
    <row r="425" spans="1:56" ht="15" customHeight="1" x14ac:dyDescent="0.25">
      <c r="A425" s="101" t="str">
        <f>Registro!A425</f>
        <v>6/18/2015 8:35:52</v>
      </c>
      <c r="B425" s="89" t="str">
        <f>Registro!B425</f>
        <v>d) Cristo Rey de Carora</v>
      </c>
      <c r="C425" s="89" t="str">
        <f>Registro!C425</f>
        <v>a) Primer año</v>
      </c>
      <c r="D425" s="89" t="str">
        <f>Registro!D425</f>
        <v>c) Entre Primero y Tercer año</v>
      </c>
      <c r="E425" s="89" t="str">
        <f>Registro!E425</f>
        <v>a) Masculino</v>
      </c>
      <c r="F425" s="89" t="str">
        <f>Registro!F425</f>
        <v>a) Católica</v>
      </c>
      <c r="G425" s="89" t="str">
        <f>Registro!G425</f>
        <v>a) Mamá, c) Hermanos, d) Abuelos</v>
      </c>
      <c r="H425" s="89" t="str">
        <f>Registro!H425</f>
        <v>a) Quinta</v>
      </c>
      <c r="I425" s="89" t="str">
        <f>Registro!I425</f>
        <v>a) Sí</v>
      </c>
      <c r="J425" s="89" t="str">
        <f>Registro!J425</f>
        <v>a) Cónsola videojuegos, b) Lavadora, c) Microondas, d) TV pantalla plana, e) Moto, g) MP4, h) Carro, i) Computadora, j) Cámara digital, k) Aire acondicionado</v>
      </c>
      <c r="K425" s="89" t="str">
        <f>Registro!K425</f>
        <v>f) Más de cuatro</v>
      </c>
      <c r="L425" s="89"/>
      <c r="M425" s="94">
        <f t="shared" si="33"/>
        <v>0</v>
      </c>
      <c r="N425" s="89">
        <f>Registro!M425</f>
        <v>0</v>
      </c>
      <c r="O425" s="89" t="str">
        <f>Registro!N425</f>
        <v>b) Suficiente</v>
      </c>
      <c r="P425" s="89" t="str">
        <f>Registro!O425</f>
        <v>c) Poco</v>
      </c>
      <c r="Q425" s="89" t="str">
        <f>Registro!P425</f>
        <v>c) Poco</v>
      </c>
      <c r="R425" s="89" t="str">
        <f>Registro!Q425</f>
        <v>c) Los estudios, j) El deporte</v>
      </c>
      <c r="S425" s="94">
        <f t="shared" si="34"/>
        <v>2</v>
      </c>
      <c r="T425" s="89" t="str">
        <f>Registro!R425</f>
        <v>a) Mucho</v>
      </c>
      <c r="U425" s="89" t="str">
        <f>Registro!S425</f>
        <v>a) La Iglesia, b) La naturaleza, c) El salón de clase, d) Las convivencias, g) Mi familia</v>
      </c>
      <c r="V425" s="89" t="str">
        <f>Registro!T425</f>
        <v>b) Rezo por costumbre</v>
      </c>
      <c r="W425" s="89">
        <f>Registro!U425</f>
        <v>0</v>
      </c>
      <c r="X425" s="89" t="str">
        <f>Registro!V425</f>
        <v>f) En alguna ocasión he rezado el rosario</v>
      </c>
      <c r="Y425" s="89" t="str">
        <f>Registro!W425</f>
        <v>a) Deportivo</v>
      </c>
      <c r="Z425" s="89" t="str">
        <f>Registro!X425</f>
        <v>a) Un grupo donde profundizo mi fe</v>
      </c>
      <c r="AA425" s="89" t="str">
        <f>Registro!Y425</f>
        <v>a) Sí</v>
      </c>
      <c r="AB425" s="89" t="str">
        <f>Registro!Z425</f>
        <v>b) No</v>
      </c>
      <c r="AC425" s="89" t="str">
        <f>Registro!AA425</f>
        <v>d) Ingeniería, i) Comerciante</v>
      </c>
      <c r="AD425" s="94">
        <f t="shared" si="35"/>
        <v>2</v>
      </c>
      <c r="AE425" s="89" t="str">
        <f>Registro!AB425</f>
        <v>a) Ganar mucho dinero</v>
      </c>
      <c r="AF425" s="89">
        <f>Registro!AC425</f>
        <v>0</v>
      </c>
      <c r="AG425" s="89" t="str">
        <f>Registro!AD425</f>
        <v>a) Los deportes y diversiones, e) La mayor posibilidad de vivir mi fe</v>
      </c>
      <c r="AH425" s="94">
        <f t="shared" si="36"/>
        <v>2</v>
      </c>
      <c r="AI425" s="89" t="str">
        <f>Registro!AE425</f>
        <v>b) 3 a 4 horas</v>
      </c>
      <c r="AJ425" s="89" t="str">
        <f>Registro!AF425</f>
        <v>a) Me divierto con juegos para computadoras, c) Suelo ir a centros de video (máquinas de juegos), i) Leo revistas o libros</v>
      </c>
      <c r="AK425" s="94">
        <f t="shared" si="37"/>
        <v>3</v>
      </c>
      <c r="AL425" s="89" t="str">
        <f>Registro!AG425</f>
        <v>d) Deficiente</v>
      </c>
      <c r="AM425" s="89" t="str">
        <f>Registro!AH425</f>
        <v>a) Muy buena</v>
      </c>
      <c r="AN425" s="89" t="str">
        <f>Registro!AI425</f>
        <v>a) Muy buena</v>
      </c>
      <c r="AO425" s="89" t="str">
        <f>Registro!AJ425</f>
        <v>a) Muy buena</v>
      </c>
      <c r="AP425" s="89" t="str">
        <f>Registro!AK425</f>
        <v>a) Muy buena</v>
      </c>
      <c r="AQ425" s="89" t="str">
        <f>Registro!AL425</f>
        <v>d) Mala</v>
      </c>
      <c r="AR425" s="89" t="str">
        <f>Registro!AM425</f>
        <v>c) Regular</v>
      </c>
      <c r="AS425" s="89" t="str">
        <f>Registro!AN425</f>
        <v>c) Regular</v>
      </c>
      <c r="AT425" s="89" t="str">
        <f>Registro!AO425</f>
        <v>c) Regular</v>
      </c>
      <c r="AU425" s="89" t="str">
        <f>Registro!AP425</f>
        <v>b) Buena</v>
      </c>
      <c r="AV425" s="89" t="str">
        <f>Registro!AQ425</f>
        <v>c) Regular</v>
      </c>
      <c r="AW425" s="89" t="str">
        <f>Registro!AR425</f>
        <v>a) El compañerismo</v>
      </c>
      <c r="AX425" s="89" t="str">
        <f>Registro!AS425</f>
        <v>c) Que me preocupe de los demás</v>
      </c>
      <c r="AY425" s="89" t="str">
        <f>Registro!AT425</f>
        <v>c) Conveniente</v>
      </c>
      <c r="AZ425" s="89" t="str">
        <f>Registro!AU425</f>
        <v>b) Las veces que bebo, es con moderación</v>
      </c>
      <c r="BA425" s="89" t="str">
        <f>Registro!AV425</f>
        <v>c) Profesionales que hacen lo que pueden</v>
      </c>
      <c r="BB425" s="89" t="str">
        <f>Registro!AW425</f>
        <v>c) Bastante</v>
      </c>
      <c r="BC425" s="89" t="str">
        <f>Registro!AX425</f>
        <v>c) Son personas normales y corrientes</v>
      </c>
      <c r="BD425" s="89" t="str">
        <f>Registro!AY425</f>
        <v>c) Un hermano/a</v>
      </c>
    </row>
    <row r="426" spans="1:56" ht="15" customHeight="1" x14ac:dyDescent="0.25">
      <c r="A426" s="101" t="str">
        <f>Registro!A426</f>
        <v>6/18/2015 8:36:36</v>
      </c>
      <c r="B426" s="89" t="str">
        <f>Registro!B426</f>
        <v>d) Cristo Rey de Carora</v>
      </c>
      <c r="C426" s="89" t="str">
        <f>Registro!C426</f>
        <v>a) Primer año</v>
      </c>
      <c r="D426" s="89" t="str">
        <f>Registro!D426</f>
        <v>c) Entre Primero y Tercer año</v>
      </c>
      <c r="E426" s="89" t="str">
        <f>Registro!E426</f>
        <v>a) Masculino</v>
      </c>
      <c r="F426" s="89" t="str">
        <f>Registro!F426</f>
        <v>d) Otra</v>
      </c>
      <c r="G426" s="89" t="str">
        <f>Registro!G426</f>
        <v>a) Mamá</v>
      </c>
      <c r="H426" s="89" t="str">
        <f>Registro!H426</f>
        <v>f) Otro</v>
      </c>
      <c r="I426" s="89" t="str">
        <f>Registro!I426</f>
        <v>b) No</v>
      </c>
      <c r="J426" s="89" t="str">
        <f>Registro!J426</f>
        <v>a) Cónsola videojuegos, b) Lavadora, c) Microondas, d) TV pantalla plana, h) Carro, i) Computadora</v>
      </c>
      <c r="K426" s="89" t="str">
        <f>Registro!K426</f>
        <v>c) Dos</v>
      </c>
      <c r="L426" s="89" t="str">
        <f>Registro!L426</f>
        <v>a) La familia, i) La música, k) El internet</v>
      </c>
      <c r="M426" s="94">
        <f t="shared" si="33"/>
        <v>3</v>
      </c>
      <c r="N426" s="89" t="str">
        <f>Registro!M426</f>
        <v>b) El futuro</v>
      </c>
      <c r="O426" s="89" t="str">
        <f>Registro!N426</f>
        <v>c) Poco</v>
      </c>
      <c r="P426" s="89" t="str">
        <f>Registro!O426</f>
        <v>c) Poco</v>
      </c>
      <c r="Q426" s="89" t="str">
        <f>Registro!P426</f>
        <v>c) Poco</v>
      </c>
      <c r="R426" s="89" t="str">
        <f>Registro!Q426</f>
        <v>a) La familia</v>
      </c>
      <c r="S426" s="94">
        <f t="shared" si="34"/>
        <v>1</v>
      </c>
      <c r="T426" s="89" t="str">
        <f>Registro!R426</f>
        <v>c) Poco</v>
      </c>
      <c r="U426" s="89" t="str">
        <f>Registro!S426</f>
        <v>a) La Iglesia, g) Mi familia, k) La oración</v>
      </c>
      <c r="V426" s="89" t="str">
        <f>Registro!T426</f>
        <v>c) Rezo solo en situación de dificultad</v>
      </c>
      <c r="W426" s="89" t="str">
        <f>Registro!U426</f>
        <v>b) Algunos domingos</v>
      </c>
      <c r="X426" s="89" t="str">
        <f>Registro!V426</f>
        <v>c) Suelo ir los domingos y otras fechas especiales a la Iglesia, e) Voy a misa en las fechas de mis familiares difuntos, i) Tengo en mi cuarto alguna imagen religiosa</v>
      </c>
      <c r="Y426" s="89" t="str">
        <f>Registro!W426</f>
        <v>d) No pertenezco a ninguno</v>
      </c>
      <c r="Z426" s="89" t="str">
        <f>Registro!X426</f>
        <v>d) No pertenezco a grupos juveniles cristianos</v>
      </c>
      <c r="AA426" s="89" t="str">
        <f>Registro!Y426</f>
        <v>b) No</v>
      </c>
      <c r="AB426" s="89" t="str">
        <f>Registro!Z426</f>
        <v>b) No</v>
      </c>
      <c r="AC426" s="89" t="str">
        <f>Registro!AA426</f>
        <v>j) Trabajador calificado</v>
      </c>
      <c r="AD426" s="94">
        <f t="shared" si="35"/>
        <v>1</v>
      </c>
      <c r="AE426" s="89" t="str">
        <f>Registro!AB426</f>
        <v>d) Desarrollarme personalmente</v>
      </c>
      <c r="AF426" s="89" t="str">
        <f>Registro!AC426</f>
        <v>a) No, en absoluto</v>
      </c>
      <c r="AG426" s="89" t="str">
        <f>Registro!AD426</f>
        <v>i) No me gusta nada</v>
      </c>
      <c r="AH426" s="94">
        <f t="shared" si="36"/>
        <v>1</v>
      </c>
      <c r="AI426" s="89" t="str">
        <f>Registro!AE426</f>
        <v>a) 0 a 2 horas</v>
      </c>
      <c r="AJ426" s="89" t="str">
        <f>Registro!AF426</f>
        <v>a) Me divierto con juegos para computadoras, b) Navego en Internet, d) Estoy la mayor parte del tiempo en la casa sin hacer nada</v>
      </c>
      <c r="AK426" s="94">
        <f t="shared" si="37"/>
        <v>3</v>
      </c>
      <c r="AL426" s="89" t="str">
        <f>Registro!AG426</f>
        <v>e) Muy deficiente</v>
      </c>
      <c r="AM426" s="89" t="str">
        <f>Registro!AH426</f>
        <v>e) Muy mala</v>
      </c>
      <c r="AN426" s="89" t="str">
        <f>Registro!AI426</f>
        <v>f) No aplica</v>
      </c>
      <c r="AO426" s="89" t="str">
        <f>Registro!AJ426</f>
        <v>f) No aplica</v>
      </c>
      <c r="AP426" s="89" t="str">
        <f>Registro!AK426</f>
        <v>f) No aplica</v>
      </c>
      <c r="AQ426" s="89" t="str">
        <f>Registro!AL426</f>
        <v>c) Regular</v>
      </c>
      <c r="AR426" s="89" t="str">
        <f>Registro!AM426</f>
        <v>e) Muy mala</v>
      </c>
      <c r="AS426" s="89" t="str">
        <f>Registro!AN426</f>
        <v>c) Regular</v>
      </c>
      <c r="AT426" s="89" t="str">
        <f>Registro!AO426</f>
        <v>e) Muy mala</v>
      </c>
      <c r="AU426" s="89" t="str">
        <f>Registro!AP426</f>
        <v>f) No aplica</v>
      </c>
      <c r="AV426" s="89" t="str">
        <f>Registro!AQ426</f>
        <v>e) Muy mala</v>
      </c>
      <c r="AW426" s="89" t="str">
        <f>Registro!AR426</f>
        <v>i) En nada</v>
      </c>
      <c r="AX426" s="89" t="str">
        <f>Registro!AS426</f>
        <v>g) No tienen una preocupación especial</v>
      </c>
      <c r="AY426" s="89" t="str">
        <f>Registro!AT426</f>
        <v>b) Indiferente</v>
      </c>
      <c r="AZ426" s="89" t="str">
        <f>Registro!AU426</f>
        <v>a) No acostumbro a tomarlo nunca</v>
      </c>
      <c r="BA426" s="89" t="str">
        <f>Registro!AV426</f>
        <v>a) Personas a las que tengo que aguantar</v>
      </c>
      <c r="BB426" s="89" t="str">
        <f>Registro!AW426</f>
        <v>a) No, en absoluto</v>
      </c>
      <c r="BC426" s="89" t="str">
        <f>Registro!AX426</f>
        <v>a) No me gustan en absoluto</v>
      </c>
      <c r="BD426" s="89" t="str">
        <f>Registro!AY426</f>
        <v>a) Mi padre, b) Mi madre, c) Un hermano/a, e) Un, una docente, j) Nadie</v>
      </c>
    </row>
    <row r="427" spans="1:56" ht="15" customHeight="1" x14ac:dyDescent="0.25">
      <c r="A427" s="101" t="str">
        <f>Registro!A427</f>
        <v>6/18/2015 8:37:37</v>
      </c>
      <c r="B427" s="89" t="str">
        <f>Registro!B427</f>
        <v>d) Cristo Rey de Carora</v>
      </c>
      <c r="C427" s="89" t="str">
        <f>Registro!C427</f>
        <v>a) Primer año</v>
      </c>
      <c r="D427" s="89" t="str">
        <f>Registro!D427</f>
        <v>a) Educación Inicial</v>
      </c>
      <c r="E427" s="89" t="str">
        <f>Registro!E427</f>
        <v>b) Femenino</v>
      </c>
      <c r="F427" s="89" t="str">
        <f>Registro!F427</f>
        <v>a) Católica</v>
      </c>
      <c r="G427" s="89" t="str">
        <f>Registro!G427</f>
        <v>a) Mamá, c) Hermanos</v>
      </c>
      <c r="H427" s="89" t="str">
        <f>Registro!H427</f>
        <v>d) Casa Rural</v>
      </c>
      <c r="I427" s="89" t="str">
        <f>Registro!I427</f>
        <v>a) Sí</v>
      </c>
      <c r="J427" s="89" t="str">
        <f>Registro!J427</f>
        <v>i) Computadora, k) Aire acondicionado</v>
      </c>
      <c r="K427" s="89" t="str">
        <f>Registro!K427</f>
        <v>c) Dos</v>
      </c>
      <c r="L427" s="89" t="str">
        <f>Registro!L427</f>
        <v>a) La familia, b) Los amigos, f) Mi fe y vida cristiana</v>
      </c>
      <c r="M427" s="94">
        <f t="shared" si="33"/>
        <v>3</v>
      </c>
      <c r="N427" s="89" t="str">
        <f>Registro!M427</f>
        <v>b) El futuro</v>
      </c>
      <c r="O427" s="89" t="str">
        <f>Registro!N427</f>
        <v>c) Poco</v>
      </c>
      <c r="P427" s="89" t="str">
        <f>Registro!O427</f>
        <v>c) Poco</v>
      </c>
      <c r="Q427" s="89" t="str">
        <f>Registro!P427</f>
        <v>b) Suficiente</v>
      </c>
      <c r="R427" s="89" t="str">
        <f>Registro!Q427</f>
        <v>a) La familia, c) Los estudios, f) Mi fe y mi vida cristiana</v>
      </c>
      <c r="S427" s="94">
        <f t="shared" si="34"/>
        <v>3</v>
      </c>
      <c r="T427" s="89" t="str">
        <f>Registro!R427</f>
        <v>a) Mucho</v>
      </c>
      <c r="U427" s="89" t="str">
        <f>Registro!S427</f>
        <v>a) La Iglesia, d) Las convivencias, g) Mi familia, j) Todas partes, k) La oración</v>
      </c>
      <c r="V427" s="89" t="str">
        <f>Registro!T427</f>
        <v>b) Rezo por costumbre</v>
      </c>
      <c r="W427" s="89" t="str">
        <f>Registro!U427</f>
        <v>b) Algunos domingos</v>
      </c>
      <c r="X427" s="89" t="str">
        <f>Registro!V427</f>
        <v>b) Suelo bendedir los alimentos antes de comer, d) Suelo orar todos los días</v>
      </c>
      <c r="Y427" s="89" t="str">
        <f>Registro!W427</f>
        <v>d) No pertenezco a ninguno</v>
      </c>
      <c r="Z427" s="89" t="str">
        <f>Registro!X427</f>
        <v>b) Un lugar donde comparto con mis compañeros</v>
      </c>
      <c r="AA427" s="89" t="str">
        <f>Registro!Y427</f>
        <v>b) No</v>
      </c>
      <c r="AB427" s="89" t="str">
        <f>Registro!Z427</f>
        <v>b) No</v>
      </c>
      <c r="AC427" s="89" t="str">
        <f>Registro!AA427</f>
        <v>a) Medicina, d) Ingeniería</v>
      </c>
      <c r="AD427" s="94">
        <f t="shared" si="35"/>
        <v>2</v>
      </c>
      <c r="AE427" s="89" t="str">
        <f>Registro!AB427</f>
        <v>b) Tener una buena posición social, ser importante</v>
      </c>
      <c r="AF427" s="89" t="str">
        <f>Registro!AC427</f>
        <v>c) Bastante</v>
      </c>
      <c r="AG427" s="89" t="str">
        <f>Registro!AD427</f>
        <v>b) El ambiente de estudio y de trabajo, h) Las actividades extraescolares</v>
      </c>
      <c r="AH427" s="94">
        <f t="shared" si="36"/>
        <v>2</v>
      </c>
      <c r="AI427" s="89" t="str">
        <f>Registro!AE427</f>
        <v>b) 3 a 4 horas</v>
      </c>
      <c r="AJ427" s="89" t="str">
        <f>Registro!AF427</f>
        <v>e) Suelo ir a algún parque</v>
      </c>
      <c r="AK427" s="94">
        <f t="shared" si="37"/>
        <v>1</v>
      </c>
      <c r="AL427" s="89" t="str">
        <f>Registro!AG427</f>
        <v>a) Muy bueno</v>
      </c>
      <c r="AM427" s="89" t="str">
        <f>Registro!AH427</f>
        <v>b) Buena</v>
      </c>
      <c r="AN427" s="89" t="str">
        <f>Registro!AI427</f>
        <v>b) Buena</v>
      </c>
      <c r="AO427" s="89" t="str">
        <f>Registro!AJ427</f>
        <v>c) Regular</v>
      </c>
      <c r="AP427" s="89" t="str">
        <f>Registro!AK427</f>
        <v>b) Buena</v>
      </c>
      <c r="AQ427" s="89" t="str">
        <f>Registro!AL427</f>
        <v>b) Buena</v>
      </c>
      <c r="AR427" s="89" t="str">
        <f>Registro!AM427</f>
        <v>a) Muy buena</v>
      </c>
      <c r="AS427" s="89" t="str">
        <f>Registro!AN427</f>
        <v>a) Muy buena</v>
      </c>
      <c r="AT427" s="89" t="str">
        <f>Registro!AO427</f>
        <v>b) Buena</v>
      </c>
      <c r="AU427" s="89" t="str">
        <f>Registro!AP427</f>
        <v>b) Buena</v>
      </c>
      <c r="AV427" s="89" t="str">
        <f>Registro!AQ427</f>
        <v>a) Muy buena</v>
      </c>
      <c r="AW427" s="89" t="str">
        <f>Registro!AR427</f>
        <v>a) El compañerismo</v>
      </c>
      <c r="AX427" s="89" t="str">
        <f>Registro!AS427</f>
        <v>b) Darme una buena educación</v>
      </c>
      <c r="AY427" s="89" t="str">
        <f>Registro!AT427</f>
        <v>d) Bastante necesaria</v>
      </c>
      <c r="AZ427" s="89" t="str">
        <f>Registro!AU427</f>
        <v>a) No acostumbro a tomarlo nunca</v>
      </c>
      <c r="BA427" s="89" t="str">
        <f>Registro!AV427</f>
        <v>d) Buenos profesionales de la educación</v>
      </c>
      <c r="BB427" s="89" t="str">
        <f>Registro!AW427</f>
        <v>c) Bastante</v>
      </c>
      <c r="BC427" s="89" t="str">
        <f>Registro!AX427</f>
        <v>e) Son personas que me gustan y admiro</v>
      </c>
      <c r="BD427" s="89" t="str">
        <f>Registro!AY427</f>
        <v>b) Mi madre, c) Un hermano/a, h) Una amiga</v>
      </c>
    </row>
    <row r="428" spans="1:56" ht="15" customHeight="1" x14ac:dyDescent="0.25">
      <c r="A428" s="101" t="str">
        <f>Registro!A428</f>
        <v>6/18/2015 8:45:06</v>
      </c>
      <c r="B428" s="89" t="str">
        <f>Registro!B428</f>
        <v>d) Cristo Rey de Carora</v>
      </c>
      <c r="C428" s="89" t="str">
        <f>Registro!C428</f>
        <v>a) Primer año</v>
      </c>
      <c r="D428" s="89" t="str">
        <f>Registro!D428</f>
        <v>a) Educación Inicial</v>
      </c>
      <c r="E428" s="89" t="str">
        <f>Registro!E428</f>
        <v>a) Masculino</v>
      </c>
      <c r="F428" s="89" t="str">
        <f>Registro!F428</f>
        <v>a) Católica</v>
      </c>
      <c r="G428" s="89" t="str">
        <f>Registro!G428</f>
        <v>a) Mamá, b) Papá</v>
      </c>
      <c r="H428" s="89" t="str">
        <f>Registro!H428</f>
        <v>b) Casa Urbana</v>
      </c>
      <c r="I428" s="89" t="str">
        <f>Registro!I428</f>
        <v>c) Algo</v>
      </c>
      <c r="J428" s="89" t="str">
        <f>Registro!J428</f>
        <v>b) Lavadora, c) Microondas, d) TV pantalla plana, f) MP3, h) Carro, i) Computadora, k) Aire acondicionado</v>
      </c>
      <c r="K428" s="89" t="str">
        <f>Registro!K428</f>
        <v>f) Más de cuatro</v>
      </c>
      <c r="L428" s="89" t="str">
        <f>Registro!L428</f>
        <v>a) La familia, c) Los estudios, f) Mi fe y vida cristiana</v>
      </c>
      <c r="M428" s="94">
        <f t="shared" si="33"/>
        <v>3</v>
      </c>
      <c r="N428" s="89" t="str">
        <f>Registro!M428</f>
        <v>d) Los problemas familiares</v>
      </c>
      <c r="O428" s="89" t="str">
        <f>Registro!N428</f>
        <v>c) Poco</v>
      </c>
      <c r="P428" s="89" t="str">
        <f>Registro!O428</f>
        <v>a) Mucho</v>
      </c>
      <c r="Q428" s="89" t="str">
        <f>Registro!P428</f>
        <v>c) Poco</v>
      </c>
      <c r="R428" s="89" t="str">
        <f>Registro!Q428</f>
        <v>c) Los estudios, f) Mi fe y mi vida cristiana, j) El deporte</v>
      </c>
      <c r="S428" s="94">
        <f t="shared" si="34"/>
        <v>3</v>
      </c>
      <c r="T428" s="89" t="str">
        <f>Registro!R428</f>
        <v>b) Suficiente</v>
      </c>
      <c r="U428" s="89" t="str">
        <f>Registro!S428</f>
        <v>d) Las convivencias, g) Mi familia, j) Todas partes</v>
      </c>
      <c r="V428" s="89" t="str">
        <f>Registro!T428</f>
        <v>d) No rezo nunca</v>
      </c>
      <c r="W428" s="89" t="str">
        <f>Registro!U428</f>
        <v>b) Algunos domingos</v>
      </c>
      <c r="X428" s="89" t="str">
        <f>Registro!V428</f>
        <v>c) Suelo ir los domingos y otras fechas especiales a la Iglesia, f) En alguna ocasión he rezado el rosario, g) En ocasiones, en mi casa tenemos una oración familiar</v>
      </c>
      <c r="Y428" s="89" t="str">
        <f>Registro!W428</f>
        <v>a) Deportivo</v>
      </c>
      <c r="Z428" s="89" t="str">
        <f>Registro!X428</f>
        <v>c) Un lugar donde me lo paso bien</v>
      </c>
      <c r="AA428" s="89" t="str">
        <f>Registro!Y428</f>
        <v>c) Algo</v>
      </c>
      <c r="AB428" s="89" t="str">
        <f>Registro!Z428</f>
        <v>b) No</v>
      </c>
      <c r="AC428" s="89" t="str">
        <f>Registro!AA428</f>
        <v>c) Sacerdocio o hermana religiosa, e) Derecho</v>
      </c>
      <c r="AD428" s="94">
        <f t="shared" si="35"/>
        <v>2</v>
      </c>
      <c r="AE428" s="89" t="str">
        <f>Registro!AB428</f>
        <v>d) Desarrollarme personalmente</v>
      </c>
      <c r="AF428" s="89" t="str">
        <f>Registro!AC428</f>
        <v>e) No sé</v>
      </c>
      <c r="AG428" s="89" t="str">
        <f>Registro!AD428</f>
        <v>a) Los deportes y diversiones</v>
      </c>
      <c r="AH428" s="94">
        <f t="shared" si="36"/>
        <v>1</v>
      </c>
      <c r="AI428" s="89" t="str">
        <f>Registro!AE428</f>
        <v>a) 0 a 2 horas</v>
      </c>
      <c r="AJ428" s="89" t="str">
        <f>Registro!AF428</f>
        <v>a) Me divierto con juegos para computadoras, b) Navego en Internet, k) Practico algún deporte</v>
      </c>
      <c r="AK428" s="94">
        <f t="shared" si="37"/>
        <v>3</v>
      </c>
      <c r="AL428" s="89" t="str">
        <f>Registro!AG428</f>
        <v>c) Regular</v>
      </c>
      <c r="AM428" s="89" t="str">
        <f>Registro!AH428</f>
        <v>b) Buena</v>
      </c>
      <c r="AN428" s="89" t="str">
        <f>Registro!AI428</f>
        <v>b) Buena</v>
      </c>
      <c r="AO428" s="89" t="str">
        <f>Registro!AJ428</f>
        <v>c) Regular</v>
      </c>
      <c r="AP428" s="89" t="str">
        <f>Registro!AK428</f>
        <v>c) Regular</v>
      </c>
      <c r="AQ428" s="89" t="str">
        <f>Registro!AL428</f>
        <v>b) Buena</v>
      </c>
      <c r="AR428" s="89" t="str">
        <f>Registro!AM428</f>
        <v>a) Muy buena</v>
      </c>
      <c r="AS428" s="89" t="str">
        <f>Registro!AN428</f>
        <v>a) Muy buena</v>
      </c>
      <c r="AT428" s="89" t="str">
        <f>Registro!AO428</f>
        <v>a) Muy buena</v>
      </c>
      <c r="AU428" s="89" t="str">
        <f>Registro!AP428</f>
        <v>b) Buena</v>
      </c>
      <c r="AV428" s="89" t="str">
        <f>Registro!AQ428</f>
        <v>c) Regular</v>
      </c>
      <c r="AW428" s="89" t="str">
        <f>Registro!AR428</f>
        <v>h) La responsabilidad social y el servicio a los demás</v>
      </c>
      <c r="AX428" s="89" t="str">
        <f>Registro!AS428</f>
        <v>d) Que ayude económicamente a la familia</v>
      </c>
      <c r="AY428" s="89" t="str">
        <f>Registro!AT428</f>
        <v>d) Bastante necesaria</v>
      </c>
      <c r="AZ428" s="89" t="str">
        <f>Registro!AU428</f>
        <v>b) Las veces que bebo, es con moderación</v>
      </c>
      <c r="BA428" s="89" t="str">
        <f>Registro!AV428</f>
        <v>c) Profesionales que hacen lo que pueden</v>
      </c>
      <c r="BB428" s="89" t="str">
        <f>Registro!AW428</f>
        <v>d) Mucho o muchísimo</v>
      </c>
      <c r="BC428" s="89" t="str">
        <f>Registro!AX428</f>
        <v>e) Son personas que me gustan y admiro</v>
      </c>
      <c r="BD428" s="89" t="str">
        <f>Registro!AY428</f>
        <v>b) Mi madre, c) Un hermano/a, g) Un amigo</v>
      </c>
    </row>
    <row r="429" spans="1:56" ht="15" customHeight="1" x14ac:dyDescent="0.25">
      <c r="A429" s="101" t="str">
        <f>Registro!A429</f>
        <v>6/18/2015 9:10:41</v>
      </c>
      <c r="B429" s="89" t="str">
        <f>Registro!B429</f>
        <v>d) Cristo Rey de Carora</v>
      </c>
      <c r="C429" s="89" t="str">
        <f>Registro!C429</f>
        <v>c) Cuarto año</v>
      </c>
      <c r="D429" s="89" t="str">
        <f>Registro!D429</f>
        <v>a) Educación Inicial</v>
      </c>
      <c r="E429" s="89" t="str">
        <f>Registro!E429</f>
        <v>a) Masculino</v>
      </c>
      <c r="F429" s="89" t="str">
        <f>Registro!F429</f>
        <v>a) Católica</v>
      </c>
      <c r="G429" s="89" t="str">
        <f>Registro!G429</f>
        <v>a) Mamá, b) Papá, c) Hermanos</v>
      </c>
      <c r="H429" s="89" t="str">
        <f>Registro!H429</f>
        <v>b) Casa Urbana</v>
      </c>
      <c r="I429" s="89" t="str">
        <f>Registro!I429</f>
        <v>a) Sí</v>
      </c>
      <c r="J429" s="89" t="str">
        <f>Registro!J429</f>
        <v>b) Lavadora, c) Microondas, d) TV pantalla plana, k) Aire acondicionado</v>
      </c>
      <c r="K429" s="89" t="str">
        <f>Registro!K429</f>
        <v>e) Cuatro</v>
      </c>
      <c r="L429" s="89"/>
      <c r="M429" s="94">
        <f t="shared" si="33"/>
        <v>0</v>
      </c>
      <c r="N429" s="89" t="str">
        <f>Registro!M429</f>
        <v>a) Seguridad personal (la violencia y la delincuencia)</v>
      </c>
      <c r="O429" s="89" t="str">
        <f>Registro!N429</f>
        <v>a) Mucho</v>
      </c>
      <c r="P429" s="89" t="str">
        <f>Registro!O429</f>
        <v>a) Mucho</v>
      </c>
      <c r="Q429" s="89" t="str">
        <f>Registro!P429</f>
        <v>a) Mucho</v>
      </c>
      <c r="R429" s="89" t="str">
        <f>Registro!Q429</f>
        <v>a) La familia, c) Los estudios, f) Mi fe y mi vida cristiana</v>
      </c>
      <c r="S429" s="94">
        <f t="shared" si="34"/>
        <v>3</v>
      </c>
      <c r="T429" s="89" t="str">
        <f>Registro!R429</f>
        <v>a) Mucho</v>
      </c>
      <c r="U429" s="89" t="str">
        <f>Registro!S429</f>
        <v>a) La Iglesia, b) La naturaleza, c) El salón de clase, d) Las convivencias, e) Los amigos, f) Todas las personas, g) Mi familia, h) Algunas personas cercanas a Dios, i) Los necesitados, j) Todas partes, k) La oración, l) Los sacramentos</v>
      </c>
      <c r="V429" s="89" t="str">
        <f>Registro!T429</f>
        <v>a) Suelo rezar por convicción o porque me gusta</v>
      </c>
      <c r="W429" s="89" t="str">
        <f>Registro!U429</f>
        <v>a) Todos los domingos</v>
      </c>
      <c r="X429" s="89" t="str">
        <f>Registro!V429</f>
        <v>c) Suelo ir los domingos y otras fechas especiales a la Iglesia, d) Suelo orar todos los días, f) En alguna ocasión he rezado el rosario, g) En ocasiones, en mi casa tenemos una oración familiar, i) Tengo en mi cuarto alguna imagen religiosa</v>
      </c>
      <c r="Y429" s="89" t="str">
        <f>Registro!W429</f>
        <v xml:space="preserve">a) Deportivo, b) Cultural (folklórico, musicales, danzas, scout, banda marcial,...) </v>
      </c>
      <c r="Z429" s="89" t="str">
        <f>Registro!X429</f>
        <v>d) No pertenezco a grupos juveniles cristianos</v>
      </c>
      <c r="AA429" s="89" t="str">
        <f>Registro!Y429</f>
        <v>b) No</v>
      </c>
      <c r="AB429" s="89" t="str">
        <f>Registro!Z429</f>
        <v>b) No</v>
      </c>
      <c r="AC429" s="89" t="str">
        <f>Registro!AA429</f>
        <v>a) Medicina, g) Artista</v>
      </c>
      <c r="AD429" s="94">
        <f t="shared" si="35"/>
        <v>2</v>
      </c>
      <c r="AE429" s="89" t="str">
        <f>Registro!AB429</f>
        <v>b) Tener una buena posición social, ser importante</v>
      </c>
      <c r="AF429" s="89" t="str">
        <f>Registro!AC429</f>
        <v>a) No, en absoluto</v>
      </c>
      <c r="AG429" s="89" t="str">
        <f>Registro!AD429</f>
        <v>i) No me gusta nada</v>
      </c>
      <c r="AH429" s="94">
        <f t="shared" si="36"/>
        <v>1</v>
      </c>
      <c r="AI429" s="89" t="str">
        <f>Registro!AE429</f>
        <v>a) 0 a 2 horas</v>
      </c>
      <c r="AJ429" s="89" t="str">
        <f>Registro!AF429</f>
        <v>f) Toco un instrumento musical, k) Practico algún deporte, n) Estoy conversando con los amigos/as</v>
      </c>
      <c r="AK429" s="94">
        <f t="shared" si="37"/>
        <v>3</v>
      </c>
      <c r="AL429" s="89" t="str">
        <f>Registro!AG429</f>
        <v>c) Regular</v>
      </c>
      <c r="AM429" s="89" t="str">
        <f>Registro!AH429</f>
        <v>b) Buena</v>
      </c>
      <c r="AN429" s="89" t="str">
        <f>Registro!AI429</f>
        <v>b) Buena</v>
      </c>
      <c r="AO429" s="89" t="str">
        <f>Registro!AJ429</f>
        <v>a) Muy buena</v>
      </c>
      <c r="AP429" s="89" t="str">
        <f>Registro!AK429</f>
        <v>d) Mala</v>
      </c>
      <c r="AQ429" s="89" t="str">
        <f>Registro!AL429</f>
        <v>b) Buena</v>
      </c>
      <c r="AR429" s="89" t="str">
        <f>Registro!AM429</f>
        <v>d) Mala</v>
      </c>
      <c r="AS429" s="89" t="str">
        <f>Registro!AN429</f>
        <v>c) Regular</v>
      </c>
      <c r="AT429" s="89" t="str">
        <f>Registro!AO429</f>
        <v>b) Buena</v>
      </c>
      <c r="AU429" s="89" t="str">
        <f>Registro!AP429</f>
        <v>c) Regular</v>
      </c>
      <c r="AV429" s="89" t="str">
        <f>Registro!AQ429</f>
        <v>b) Buena</v>
      </c>
      <c r="AW429" s="89" t="str">
        <f>Registro!AR429</f>
        <v>c) El estudio</v>
      </c>
      <c r="AX429" s="89" t="str">
        <f>Registro!AS429</f>
        <v>b) Darme una buena educación</v>
      </c>
      <c r="AY429" s="89" t="str">
        <f>Registro!AT429</f>
        <v>e) Absolutamente necesaria</v>
      </c>
      <c r="AZ429" s="89" t="str">
        <f>Registro!AU429</f>
        <v>a) No acostumbro a tomarlo nunca</v>
      </c>
      <c r="BA429" s="89" t="str">
        <f>Registro!AV429</f>
        <v>b) Profesionales que no se preocupan de nosotros</v>
      </c>
      <c r="BB429" s="89" t="str">
        <f>Registro!AW429</f>
        <v>c) Bastante</v>
      </c>
      <c r="BC429" s="89" t="str">
        <f>Registro!AX429</f>
        <v>d) Hay de todo tipo, pero predomina lo positivo</v>
      </c>
      <c r="BD429" s="89" t="str">
        <f>Registro!AY429</f>
        <v>a) Mi padre, b) Mi madre, c) Un hermano/a, g) Un amigo, h) Una amiga</v>
      </c>
    </row>
    <row r="430" spans="1:56" ht="15" customHeight="1" x14ac:dyDescent="0.25">
      <c r="A430" s="101" t="str">
        <f>Registro!A430</f>
        <v>6/18/2015 9:11:05</v>
      </c>
      <c r="B430" s="89" t="str">
        <f>Registro!B430</f>
        <v>d) Cristo Rey de Carora</v>
      </c>
      <c r="C430" s="89" t="str">
        <f>Registro!C430</f>
        <v>c) Cuarto año</v>
      </c>
      <c r="D430" s="89" t="str">
        <f>Registro!D430</f>
        <v>a) Educación Inicial</v>
      </c>
      <c r="E430" s="89" t="str">
        <f>Registro!E430</f>
        <v>a) Masculino</v>
      </c>
      <c r="F430" s="89" t="str">
        <f>Registro!F430</f>
        <v>a) Católica</v>
      </c>
      <c r="G430" s="89" t="str">
        <f>Registro!G430</f>
        <v>a) Mamá, b) Papá, c) Hermanos, d) Abuelos</v>
      </c>
      <c r="H430" s="89" t="str">
        <f>Registro!H430</f>
        <v>a) Quinta</v>
      </c>
      <c r="I430" s="89" t="str">
        <f>Registro!I430</f>
        <v>a) Sí</v>
      </c>
      <c r="J430" s="89" t="str">
        <f>Registro!J430</f>
        <v>a) Cónsola videojuegos, b) Lavadora, c) Microondas, d) TV pantalla plana, e) Moto, f) MP3, g) MP4, h) Carro, i) Computadora, j) Cámara digital, k) Aire acondicionado</v>
      </c>
      <c r="K430" s="89" t="str">
        <f>Registro!K430</f>
        <v>c) Dos</v>
      </c>
      <c r="L430" s="89" t="str">
        <f>Registro!L430</f>
        <v>a) La familia, e) Disponer de dinero, h) La sexualidad</v>
      </c>
      <c r="M430" s="94">
        <f t="shared" si="33"/>
        <v>3</v>
      </c>
      <c r="N430" s="89" t="str">
        <f>Registro!M430</f>
        <v>b) El futuro</v>
      </c>
      <c r="O430" s="89" t="str">
        <f>Registro!N430</f>
        <v>a) Mucho</v>
      </c>
      <c r="P430" s="89" t="str">
        <f>Registro!O430</f>
        <v>c) Poco</v>
      </c>
      <c r="Q430" s="89" t="str">
        <f>Registro!P430</f>
        <v>a) Mucho</v>
      </c>
      <c r="R430" s="89" t="str">
        <f>Registro!Q430</f>
        <v>a) La familia, b) Los amigos, c) Los estudios</v>
      </c>
      <c r="S430" s="94">
        <f t="shared" si="34"/>
        <v>3</v>
      </c>
      <c r="T430" s="89" t="str">
        <f>Registro!R430</f>
        <v>a) Mucho</v>
      </c>
      <c r="U430" s="89" t="str">
        <f>Registro!S430</f>
        <v>a) La Iglesia, f) Todas las personas, g) Mi familia</v>
      </c>
      <c r="V430" s="89" t="str">
        <f>Registro!T430</f>
        <v>c) Rezo solo en situación de dificultad</v>
      </c>
      <c r="W430" s="89" t="str">
        <f>Registro!U430</f>
        <v>b) Algunos domingos</v>
      </c>
      <c r="X430" s="89" t="str">
        <f>Registro!V430</f>
        <v>a) Suelo llevar una cruz o algún objeto religioso</v>
      </c>
      <c r="Y430" s="89" t="str">
        <f>Registro!W430</f>
        <v>a) Deportivo</v>
      </c>
      <c r="Z430" s="89" t="str">
        <f>Registro!X430</f>
        <v>c) Un lugar donde me lo paso bien</v>
      </c>
      <c r="AA430" s="89" t="str">
        <f>Registro!Y430</f>
        <v>b) No</v>
      </c>
      <c r="AB430" s="89" t="str">
        <f>Registro!Z430</f>
        <v>b) No</v>
      </c>
      <c r="AC430" s="89" t="str">
        <f>Registro!AA430</f>
        <v>e) Derecho</v>
      </c>
      <c r="AD430" s="94">
        <f t="shared" si="35"/>
        <v>1</v>
      </c>
      <c r="AE430" s="89" t="str">
        <f>Registro!AB430</f>
        <v>a) Ganar mucho dinero</v>
      </c>
      <c r="AF430" s="89" t="str">
        <f>Registro!AC430</f>
        <v>b) Poco</v>
      </c>
      <c r="AG430" s="89" t="str">
        <f>Registro!AD430</f>
        <v>a) Los deportes y diversiones</v>
      </c>
      <c r="AH430" s="94">
        <f t="shared" si="36"/>
        <v>1</v>
      </c>
      <c r="AI430" s="89" t="str">
        <f>Registro!AE430</f>
        <v>b) 3 a 4 horas</v>
      </c>
      <c r="AJ430" s="89"/>
      <c r="AK430" s="94">
        <f t="shared" si="37"/>
        <v>0</v>
      </c>
      <c r="AL430" s="89" t="str">
        <f>Registro!AG430</f>
        <v>c) Regular</v>
      </c>
      <c r="AM430" s="89" t="str">
        <f>Registro!AH430</f>
        <v>c) Regular</v>
      </c>
      <c r="AN430" s="89">
        <f>Registro!AI430</f>
        <v>0</v>
      </c>
      <c r="AO430" s="89" t="str">
        <f>Registro!AJ430</f>
        <v>c) Regular</v>
      </c>
      <c r="AP430" s="89" t="str">
        <f>Registro!AK430</f>
        <v>c) Regular</v>
      </c>
      <c r="AQ430" s="89" t="str">
        <f>Registro!AL430</f>
        <v>c) Regular</v>
      </c>
      <c r="AR430" s="89" t="str">
        <f>Registro!AM430</f>
        <v>d) Mala</v>
      </c>
      <c r="AS430" s="89" t="str">
        <f>Registro!AN430</f>
        <v>d) Mala</v>
      </c>
      <c r="AT430" s="89" t="str">
        <f>Registro!AO430</f>
        <v>c) Regular</v>
      </c>
      <c r="AU430" s="89" t="str">
        <f>Registro!AP430</f>
        <v>c) Regular</v>
      </c>
      <c r="AV430" s="89" t="str">
        <f>Registro!AQ430</f>
        <v>c) Regular</v>
      </c>
      <c r="AW430" s="89" t="str">
        <f>Registro!AR430</f>
        <v>c) El estudio</v>
      </c>
      <c r="AX430" s="89" t="str">
        <f>Registro!AS430</f>
        <v>d) Que ayude económicamente a la familia</v>
      </c>
      <c r="AY430" s="89" t="str">
        <f>Registro!AT430</f>
        <v>c) Conveniente</v>
      </c>
      <c r="AZ430" s="89">
        <f>Registro!AU430</f>
        <v>0</v>
      </c>
      <c r="BA430" s="89" t="str">
        <f>Registro!AV430</f>
        <v>d) Buenos profesionales de la educación</v>
      </c>
      <c r="BB430" s="89" t="str">
        <f>Registro!AW430</f>
        <v>c) Bastante</v>
      </c>
      <c r="BC430" s="89" t="str">
        <f>Registro!AX430</f>
        <v>c) Son personas normales y corrientes</v>
      </c>
      <c r="BD430" s="89" t="str">
        <f>Registro!AY430</f>
        <v>a) Mi padre, b) Mi madre, c) Un hermano/a</v>
      </c>
    </row>
    <row r="431" spans="1:56" ht="15" customHeight="1" x14ac:dyDescent="0.25">
      <c r="A431" s="101" t="str">
        <f>Registro!A431</f>
        <v>6/18/2015 9:11:21</v>
      </c>
      <c r="B431" s="89" t="str">
        <f>Registro!B431</f>
        <v>d) Cristo Rey de Carora</v>
      </c>
      <c r="C431" s="89" t="str">
        <f>Registro!C431</f>
        <v>c) Cuarto año</v>
      </c>
      <c r="D431" s="89" t="str">
        <f>Registro!D431</f>
        <v>b) Primaria</v>
      </c>
      <c r="E431" s="89" t="str">
        <f>Registro!E431</f>
        <v>a) Masculino</v>
      </c>
      <c r="F431" s="89" t="str">
        <f>Registro!F431</f>
        <v>a) Católica</v>
      </c>
      <c r="G431" s="89" t="str">
        <f>Registro!G431</f>
        <v>a) Mamá, c) Hermanos, e) Otros familiares</v>
      </c>
      <c r="H431" s="89" t="str">
        <f>Registro!H431</f>
        <v>b) Casa Urbana</v>
      </c>
      <c r="I431" s="89" t="str">
        <f>Registro!I431</f>
        <v>d) No sé</v>
      </c>
      <c r="J431" s="89" t="str">
        <f>Registro!J431</f>
        <v>b) Lavadora, c) Microondas, h) Carro, i) Computadora, k) Aire acondicionado</v>
      </c>
      <c r="K431" s="89" t="str">
        <f>Registro!K431</f>
        <v>a) Ninguna</v>
      </c>
      <c r="L431" s="89" t="str">
        <f>Registro!L431</f>
        <v>a) La familia, b) Los amigos, g) La felicidad</v>
      </c>
      <c r="M431" s="94">
        <f t="shared" si="33"/>
        <v>3</v>
      </c>
      <c r="N431" s="89" t="str">
        <f>Registro!M431</f>
        <v>d) Los problemas familiares</v>
      </c>
      <c r="O431" s="89" t="str">
        <f>Registro!N431</f>
        <v>b) Suficiente</v>
      </c>
      <c r="P431" s="89" t="str">
        <f>Registro!O431</f>
        <v>b) Suficiente</v>
      </c>
      <c r="Q431" s="89" t="str">
        <f>Registro!P431</f>
        <v>c) Poco</v>
      </c>
      <c r="R431" s="89"/>
      <c r="S431" s="94">
        <f t="shared" si="34"/>
        <v>0</v>
      </c>
      <c r="T431" s="89" t="str">
        <f>Registro!R431</f>
        <v>a) Mucho</v>
      </c>
      <c r="U431" s="89" t="str">
        <f>Registro!S431</f>
        <v>a) La Iglesia, b) La naturaleza, d) Las convivencias, e) Los amigos, g) Mi familia, i) Los necesitados, j) Todas partes, k) La oración, l) Los sacramentos</v>
      </c>
      <c r="V431" s="89" t="str">
        <f>Registro!T431</f>
        <v>b) Rezo por costumbre</v>
      </c>
      <c r="W431" s="89" t="str">
        <f>Registro!U431</f>
        <v>c) Solo en fechas especiales</v>
      </c>
      <c r="X431" s="89" t="str">
        <f>Registro!V431</f>
        <v>h) En Semana Santa asisto a las procesiones</v>
      </c>
      <c r="Y431" s="89" t="str">
        <f>Registro!W431</f>
        <v>a) Deportivo, c) Religioso o parroquial</v>
      </c>
      <c r="Z431" s="89" t="str">
        <f>Registro!X431</f>
        <v>a) Un grupo donde profundizo mi fe</v>
      </c>
      <c r="AA431" s="89" t="str">
        <f>Registro!Y431</f>
        <v>b) No</v>
      </c>
      <c r="AB431" s="89" t="str">
        <f>Registro!Z431</f>
        <v>b) No</v>
      </c>
      <c r="AC431" s="89" t="str">
        <f>Registro!AA431</f>
        <v>d) Ingeniería</v>
      </c>
      <c r="AD431" s="94">
        <f t="shared" si="35"/>
        <v>1</v>
      </c>
      <c r="AE431" s="89" t="str">
        <f>Registro!AB431</f>
        <v>a) Ganar mucho dinero</v>
      </c>
      <c r="AF431" s="89">
        <f>Registro!AC431</f>
        <v>0</v>
      </c>
      <c r="AG431" s="89" t="str">
        <f>Registro!AD431</f>
        <v>i) No me gusta nada</v>
      </c>
      <c r="AH431" s="94">
        <f t="shared" si="36"/>
        <v>1</v>
      </c>
      <c r="AI431" s="89" t="str">
        <f>Registro!AE431</f>
        <v>a) 0 a 2 horas</v>
      </c>
      <c r="AJ431" s="89"/>
      <c r="AK431" s="94">
        <f t="shared" si="37"/>
        <v>0</v>
      </c>
      <c r="AL431" s="89" t="str">
        <f>Registro!AG431</f>
        <v>e) Muy deficiente</v>
      </c>
      <c r="AM431" s="89" t="str">
        <f>Registro!AH431</f>
        <v>f) No aplica</v>
      </c>
      <c r="AN431" s="89" t="str">
        <f>Registro!AI431</f>
        <v>f) No aplica</v>
      </c>
      <c r="AO431" s="89" t="str">
        <f>Registro!AJ431</f>
        <v>e) Muy mala</v>
      </c>
      <c r="AP431" s="89" t="str">
        <f>Registro!AK431</f>
        <v>d) Mala</v>
      </c>
      <c r="AQ431" s="89" t="str">
        <f>Registro!AL431</f>
        <v>c) Regular</v>
      </c>
      <c r="AR431" s="89">
        <f>Registro!AM431</f>
        <v>0</v>
      </c>
      <c r="AS431" s="89" t="str">
        <f>Registro!AN431</f>
        <v>f) No aplica</v>
      </c>
      <c r="AT431" s="89" t="str">
        <f>Registro!AO431</f>
        <v>d) Mala</v>
      </c>
      <c r="AU431" s="89" t="str">
        <f>Registro!AP431</f>
        <v>b) Buena</v>
      </c>
      <c r="AV431" s="89" t="str">
        <f>Registro!AQ431</f>
        <v>a) Muy buena</v>
      </c>
      <c r="AW431" s="89" t="str">
        <f>Registro!AR431</f>
        <v>a) El compañerismo</v>
      </c>
      <c r="AX431" s="89" t="str">
        <f>Registro!AS431</f>
        <v>e) Que sea cristiano responsable</v>
      </c>
      <c r="AY431" s="89" t="str">
        <f>Registro!AT431</f>
        <v>c) Conveniente</v>
      </c>
      <c r="AZ431" s="89">
        <f>Registro!AU431</f>
        <v>0</v>
      </c>
      <c r="BA431" s="89" t="str">
        <f>Registro!AV431</f>
        <v>a) Personas a las que tengo que aguantar</v>
      </c>
      <c r="BB431" s="89" t="str">
        <f>Registro!AW431</f>
        <v>b) Poco</v>
      </c>
      <c r="BC431" s="89" t="str">
        <f>Registro!AX431</f>
        <v>b) Hay de todo tipo, pero predomina lo negativo</v>
      </c>
      <c r="BD431" s="89" t="str">
        <f>Registro!AY431</f>
        <v>h) Una amiga, j) Nadie</v>
      </c>
    </row>
    <row r="432" spans="1:56" ht="15" customHeight="1" x14ac:dyDescent="0.25">
      <c r="A432" s="101" t="str">
        <f>Registro!A432</f>
        <v>6/18/2015 9:11:22</v>
      </c>
      <c r="B432" s="89" t="str">
        <f>Registro!B432</f>
        <v>d) Cristo Rey de Carora</v>
      </c>
      <c r="C432" s="89" t="str">
        <f>Registro!C432</f>
        <v>c) Cuarto año</v>
      </c>
      <c r="D432" s="89" t="str">
        <f>Registro!D432</f>
        <v>b) Primaria</v>
      </c>
      <c r="E432" s="89" t="str">
        <f>Registro!E432</f>
        <v>b) Femenino</v>
      </c>
      <c r="F432" s="89" t="str">
        <f>Registro!F432</f>
        <v>a) Católica</v>
      </c>
      <c r="G432" s="89" t="str">
        <f>Registro!G432</f>
        <v>a) Mamá, c) Hermanos, d) Abuelos</v>
      </c>
      <c r="H432" s="89" t="str">
        <f>Registro!H432</f>
        <v>e) Rancho</v>
      </c>
      <c r="I432" s="89" t="str">
        <f>Registro!I432</f>
        <v>a) Sí</v>
      </c>
      <c r="J432" s="89" t="str">
        <f>Registro!J432</f>
        <v>b) Lavadora, e) Moto</v>
      </c>
      <c r="K432" s="89" t="str">
        <f>Registro!K432</f>
        <v>c) Dos</v>
      </c>
      <c r="L432" s="89"/>
      <c r="M432" s="94">
        <f t="shared" si="33"/>
        <v>0</v>
      </c>
      <c r="N432" s="89" t="str">
        <f>Registro!M432</f>
        <v>b) El futuro</v>
      </c>
      <c r="O432" s="89" t="str">
        <f>Registro!N432</f>
        <v>b) Suficiente</v>
      </c>
      <c r="P432" s="89">
        <f>Registro!O432</f>
        <v>0</v>
      </c>
      <c r="Q432" s="89" t="str">
        <f>Registro!P432</f>
        <v>b) Suficiente</v>
      </c>
      <c r="R432" s="89" t="str">
        <f>Registro!Q432</f>
        <v>b) Los amigos, g) La felicidad</v>
      </c>
      <c r="S432" s="94">
        <f t="shared" si="34"/>
        <v>2</v>
      </c>
      <c r="T432" s="89" t="str">
        <f>Registro!R432</f>
        <v>a) Mucho</v>
      </c>
      <c r="U432" s="89" t="str">
        <f>Registro!S432</f>
        <v>a) La Iglesia, b) La naturaleza, i) Los necesitados, k) La oración</v>
      </c>
      <c r="V432" s="89" t="str">
        <f>Registro!T432</f>
        <v>a) Suelo rezar por convicción o porque me gusta</v>
      </c>
      <c r="W432" s="89" t="str">
        <f>Registro!U432</f>
        <v>a) Todos los domingos</v>
      </c>
      <c r="X432" s="89" t="str">
        <f>Registro!V432</f>
        <v>c) Suelo ir los domingos y otras fechas especiales a la Iglesia, d) Suelo orar todos los días</v>
      </c>
      <c r="Y432" s="89" t="str">
        <f>Registro!W432</f>
        <v xml:space="preserve">b) Cultural (folklórico, musicales, danzas, scout, banda marcial,...) </v>
      </c>
      <c r="Z432" s="89" t="str">
        <f>Registro!X432</f>
        <v>a) Un grupo donde profundizo mi fe</v>
      </c>
      <c r="AA432" s="89" t="str">
        <f>Registro!Y432</f>
        <v>b) No</v>
      </c>
      <c r="AB432" s="89" t="str">
        <f>Registro!Z432</f>
        <v>b) No</v>
      </c>
      <c r="AC432" s="89" t="str">
        <f>Registro!AA432</f>
        <v>a) Medicina</v>
      </c>
      <c r="AD432" s="94">
        <f t="shared" si="35"/>
        <v>1</v>
      </c>
      <c r="AE432" s="89" t="str">
        <f>Registro!AB432</f>
        <v>e) Servir a los demás</v>
      </c>
      <c r="AF432" s="89" t="str">
        <f>Registro!AC432</f>
        <v>c) Bastante</v>
      </c>
      <c r="AG432" s="89" t="str">
        <f>Registro!AD432</f>
        <v>c) Las instalaciones del Colegio</v>
      </c>
      <c r="AH432" s="94">
        <f t="shared" si="36"/>
        <v>1</v>
      </c>
      <c r="AI432" s="89" t="str">
        <f>Registro!AE432</f>
        <v>b) 3 a 4 horas</v>
      </c>
      <c r="AJ432" s="89" t="str">
        <f>Registro!AF432</f>
        <v>b) Navego en Internet, k) Practico algún deporte</v>
      </c>
      <c r="AK432" s="94">
        <f t="shared" si="37"/>
        <v>2</v>
      </c>
      <c r="AL432" s="89" t="str">
        <f>Registro!AG432</f>
        <v>b) Bueno</v>
      </c>
      <c r="AM432" s="89" t="str">
        <f>Registro!AH432</f>
        <v>b) Buena</v>
      </c>
      <c r="AN432" s="89" t="str">
        <f>Registro!AI432</f>
        <v>b) Buena</v>
      </c>
      <c r="AO432" s="89" t="str">
        <f>Registro!AJ432</f>
        <v>c) Regular</v>
      </c>
      <c r="AP432" s="89" t="str">
        <f>Registro!AK432</f>
        <v>e) Muy mala</v>
      </c>
      <c r="AQ432" s="89" t="str">
        <f>Registro!AL432</f>
        <v>c) Regular</v>
      </c>
      <c r="AR432" s="89">
        <f>Registro!AM432</f>
        <v>0</v>
      </c>
      <c r="AS432" s="89" t="str">
        <f>Registro!AN432</f>
        <v>b) Buena</v>
      </c>
      <c r="AT432" s="89" t="str">
        <f>Registro!AO432</f>
        <v>a) Muy buena</v>
      </c>
      <c r="AU432" s="89" t="str">
        <f>Registro!AP432</f>
        <v>a) Muy buena</v>
      </c>
      <c r="AV432" s="89" t="str">
        <f>Registro!AQ432</f>
        <v>b) Buena</v>
      </c>
      <c r="AW432" s="89" t="str">
        <f>Registro!AR432</f>
        <v>a) El compañerismo</v>
      </c>
      <c r="AX432" s="89" t="str">
        <f>Registro!AS432</f>
        <v>a) Que sea un buen profesional</v>
      </c>
      <c r="AY432" s="89" t="str">
        <f>Registro!AT432</f>
        <v>d) Bastante necesaria</v>
      </c>
      <c r="AZ432" s="89" t="str">
        <f>Registro!AU432</f>
        <v>a) No acostumbro a tomarlo nunca</v>
      </c>
      <c r="BA432" s="89" t="str">
        <f>Registro!AV432</f>
        <v>b) Profesionales que no se preocupan de nosotros</v>
      </c>
      <c r="BB432" s="89" t="str">
        <f>Registro!AW432</f>
        <v>c) Bastante</v>
      </c>
      <c r="BC432" s="89" t="str">
        <f>Registro!AX432</f>
        <v>e) Son personas que me gustan y admiro</v>
      </c>
      <c r="BD432" s="89" t="str">
        <f>Registro!AY432</f>
        <v>b) Mi madre</v>
      </c>
    </row>
    <row r="433" spans="1:56" ht="15" customHeight="1" x14ac:dyDescent="0.25">
      <c r="A433" s="101" t="str">
        <f>Registro!A433</f>
        <v>6/18/2015 9:13:22</v>
      </c>
      <c r="B433" s="89" t="str">
        <f>Registro!B433</f>
        <v>d) Cristo Rey de Carora</v>
      </c>
      <c r="C433" s="89" t="str">
        <f>Registro!C433</f>
        <v>c) Cuarto año</v>
      </c>
      <c r="D433" s="89" t="str">
        <f>Registro!D433</f>
        <v>d) En Cuarto año o posterior</v>
      </c>
      <c r="E433" s="89" t="str">
        <f>Registro!E433</f>
        <v>b) Femenino</v>
      </c>
      <c r="F433" s="89" t="str">
        <f>Registro!F433</f>
        <v>a) Católica</v>
      </c>
      <c r="G433" s="89" t="str">
        <f>Registro!G433</f>
        <v>a) Mamá, b) Papá, c) Hermanos</v>
      </c>
      <c r="H433" s="89" t="str">
        <f>Registro!H433</f>
        <v>e) Rancho</v>
      </c>
      <c r="I433" s="89" t="str">
        <f>Registro!I433</f>
        <v>a) Sí</v>
      </c>
      <c r="J433" s="89" t="str">
        <f>Registro!J433</f>
        <v>b) Lavadora, e) Moto</v>
      </c>
      <c r="K433" s="89" t="str">
        <f>Registro!K433</f>
        <v>c) Dos</v>
      </c>
      <c r="L433" s="89" t="str">
        <f>Registro!L433</f>
        <v>a) La familia, d) El cuidado de mi cuerpo, g) La felicidad</v>
      </c>
      <c r="M433" s="94">
        <f t="shared" si="33"/>
        <v>3</v>
      </c>
      <c r="N433" s="89" t="str">
        <f>Registro!M433</f>
        <v>f) La situación política del país</v>
      </c>
      <c r="O433" s="89" t="str">
        <f>Registro!N433</f>
        <v>b) Suficiente</v>
      </c>
      <c r="P433" s="89" t="str">
        <f>Registro!O433</f>
        <v>b) Suficiente</v>
      </c>
      <c r="Q433" s="89" t="str">
        <f>Registro!P433</f>
        <v>b) Suficiente</v>
      </c>
      <c r="R433" s="89" t="str">
        <f>Registro!Q433</f>
        <v>c) Los estudios, d) El cuidado de mi cuerpo, g) La felicidad</v>
      </c>
      <c r="S433" s="94">
        <f t="shared" si="34"/>
        <v>3</v>
      </c>
      <c r="T433" s="89" t="str">
        <f>Registro!R433</f>
        <v>a) Mucho</v>
      </c>
      <c r="U433" s="89" t="str">
        <f>Registro!S433</f>
        <v>g) Mi familia, j) Todas partes</v>
      </c>
      <c r="V433" s="89" t="str">
        <f>Registro!T433</f>
        <v>c) Rezo solo en situación de dificultad</v>
      </c>
      <c r="W433" s="89" t="str">
        <f>Registro!U433</f>
        <v>c) Solo en fechas especiales</v>
      </c>
      <c r="X433" s="89" t="str">
        <f>Registro!V433</f>
        <v>a) Suelo llevar una cruz o algún objeto religioso, e) Voy a misa en las fechas de mis familiares difuntos, i) Tengo en mi cuarto alguna imagen religiosa</v>
      </c>
      <c r="Y433" s="89" t="str">
        <f>Registro!W433</f>
        <v xml:space="preserve">b) Cultural (folklórico, musicales, danzas, scout, banda marcial,...) </v>
      </c>
      <c r="Z433" s="89" t="str">
        <f>Registro!X433</f>
        <v>a) Un grupo donde profundizo mi fe</v>
      </c>
      <c r="AA433" s="89" t="str">
        <f>Registro!Y433</f>
        <v>b) No</v>
      </c>
      <c r="AB433" s="89" t="str">
        <f>Registro!Z433</f>
        <v>b) No</v>
      </c>
      <c r="AC433" s="89" t="str">
        <f>Registro!AA433</f>
        <v>a) Medicina</v>
      </c>
      <c r="AD433" s="94">
        <f t="shared" si="35"/>
        <v>1</v>
      </c>
      <c r="AE433" s="89" t="str">
        <f>Registro!AB433</f>
        <v>b) Tener una buena posición social, ser importante</v>
      </c>
      <c r="AF433" s="89" t="str">
        <f>Registro!AC433</f>
        <v>c) Bastante</v>
      </c>
      <c r="AG433" s="89" t="str">
        <f>Registro!AD433</f>
        <v>e) La mayor posibilidad de vivir mi fe</v>
      </c>
      <c r="AH433" s="94">
        <f t="shared" si="36"/>
        <v>1</v>
      </c>
      <c r="AI433" s="89" t="str">
        <f>Registro!AE433</f>
        <v>c) 5 a 6 horas</v>
      </c>
      <c r="AJ433" s="89" t="str">
        <f>Registro!AF433</f>
        <v>k) Practico algún deporte, n) Estoy conversando con los amigos/as</v>
      </c>
      <c r="AK433" s="94">
        <f t="shared" si="37"/>
        <v>2</v>
      </c>
      <c r="AL433" s="89" t="str">
        <f>Registro!AG433</f>
        <v>c) Regular</v>
      </c>
      <c r="AM433" s="89" t="str">
        <f>Registro!AH433</f>
        <v>a) Muy buena</v>
      </c>
      <c r="AN433" s="89" t="str">
        <f>Registro!AI433</f>
        <v>a) Muy buena</v>
      </c>
      <c r="AO433" s="89" t="str">
        <f>Registro!AJ433</f>
        <v>e) Muy mala</v>
      </c>
      <c r="AP433" s="89" t="str">
        <f>Registro!AK433</f>
        <v>e) Muy mala</v>
      </c>
      <c r="AQ433" s="89" t="str">
        <f>Registro!AL433</f>
        <v>c) Regular</v>
      </c>
      <c r="AR433" s="89" t="str">
        <f>Registro!AM433</f>
        <v>d) Mala</v>
      </c>
      <c r="AS433" s="89" t="str">
        <f>Registro!AN433</f>
        <v>b) Buena</v>
      </c>
      <c r="AT433" s="89" t="str">
        <f>Registro!AO433</f>
        <v>a) Muy buena</v>
      </c>
      <c r="AU433" s="89" t="str">
        <f>Registro!AP433</f>
        <v>b) Buena</v>
      </c>
      <c r="AV433" s="89" t="str">
        <f>Registro!AQ433</f>
        <v>a) Muy buena</v>
      </c>
      <c r="AW433" s="89" t="str">
        <f>Registro!AR433</f>
        <v>f) la práctica religiosa</v>
      </c>
      <c r="AX433" s="89" t="str">
        <f>Registro!AS433</f>
        <v>e) Que sea cristiano responsable</v>
      </c>
      <c r="AY433" s="89" t="str">
        <f>Registro!AT433</f>
        <v>d) Bastante necesaria</v>
      </c>
      <c r="AZ433" s="89" t="str">
        <f>Registro!AU433</f>
        <v>a) No acostumbro a tomarlo nunca</v>
      </c>
      <c r="BA433" s="89" t="str">
        <f>Registro!AV433</f>
        <v>c) Profesionales que hacen lo que pueden</v>
      </c>
      <c r="BB433" s="89" t="str">
        <f>Registro!AW433</f>
        <v>b) Poco</v>
      </c>
      <c r="BC433" s="89" t="str">
        <f>Registro!AX433</f>
        <v>c) Son personas normales y corrientes</v>
      </c>
      <c r="BD433" s="89" t="str">
        <f>Registro!AY433</f>
        <v>a) Mi padre, h) Una amiga</v>
      </c>
    </row>
    <row r="434" spans="1:56" ht="15" customHeight="1" x14ac:dyDescent="0.25">
      <c r="A434" s="101" t="str">
        <f>Registro!A434</f>
        <v>6/18/2015 9:13:49</v>
      </c>
      <c r="B434" s="89" t="str">
        <f>Registro!B434</f>
        <v>d) Cristo Rey de Carora</v>
      </c>
      <c r="C434" s="89" t="str">
        <f>Registro!C434</f>
        <v>c) Cuarto año</v>
      </c>
      <c r="D434" s="89" t="str">
        <f>Registro!D434</f>
        <v>a) Educación Inicial</v>
      </c>
      <c r="E434" s="89" t="str">
        <f>Registro!E434</f>
        <v>b) Femenino</v>
      </c>
      <c r="F434" s="89" t="str">
        <f>Registro!F434</f>
        <v>a) Católica</v>
      </c>
      <c r="G434" s="89" t="str">
        <f>Registro!G434</f>
        <v>a) Mamá, b) Papá, c) Hermanos</v>
      </c>
      <c r="H434" s="89" t="str">
        <f>Registro!H434</f>
        <v>b) Casa Urbana</v>
      </c>
      <c r="I434" s="89" t="str">
        <f>Registro!I434</f>
        <v>a) Sí</v>
      </c>
      <c r="J434" s="89" t="str">
        <f>Registro!J434</f>
        <v>b) Lavadora, c) Microondas, d) TV pantalla plana, f) MP3, h) Carro, i) Computadora, j) Cámara digital, k) Aire acondicionado</v>
      </c>
      <c r="K434" s="89" t="str">
        <f>Registro!K434</f>
        <v>c) Dos</v>
      </c>
      <c r="L434" s="89" t="str">
        <f>Registro!L434</f>
        <v>a) La familia, b) Los amigos, f) Mi fe y vida cristiana</v>
      </c>
      <c r="M434" s="94">
        <f t="shared" si="33"/>
        <v>3</v>
      </c>
      <c r="N434" s="89" t="str">
        <f>Registro!M434</f>
        <v>a) Seguridad personal (la violencia y la delincuencia)</v>
      </c>
      <c r="O434" s="89" t="str">
        <f>Registro!N434</f>
        <v>a) Mucho</v>
      </c>
      <c r="P434" s="89" t="str">
        <f>Registro!O434</f>
        <v>b) Suficiente</v>
      </c>
      <c r="Q434" s="89" t="str">
        <f>Registro!P434</f>
        <v>a) Mucho</v>
      </c>
      <c r="R434" s="89"/>
      <c r="S434" s="94">
        <f t="shared" si="34"/>
        <v>0</v>
      </c>
      <c r="T434" s="89" t="str">
        <f>Registro!R434</f>
        <v>a) Mucho</v>
      </c>
      <c r="U434" s="89" t="str">
        <f>Registro!S434</f>
        <v>a) La Iglesia, b) La naturaleza, c) El salón de clase, d) Las convivencias, e) Los amigos, f) Todas las personas, g) Mi familia, h) Algunas personas cercanas a Dios, i) Los necesitados, j) Todas partes, k) La oración</v>
      </c>
      <c r="V434" s="89" t="str">
        <f>Registro!T434</f>
        <v>a) Suelo rezar por convicción o porque me gusta</v>
      </c>
      <c r="W434" s="89" t="str">
        <f>Registro!U434</f>
        <v>b) Algunos domingos</v>
      </c>
      <c r="X434" s="89" t="str">
        <f>Registro!V434</f>
        <v>c) Suelo ir los domingos y otras fechas especiales a la Iglesia, d) Suelo orar todos los días, e) Voy a misa en las fechas de mis familiares difuntos, g) En ocasiones, en mi casa tenemos una oración familiar, h) En Semana Santa asisto a las procesiones</v>
      </c>
      <c r="Y434" s="89" t="str">
        <f>Registro!W434</f>
        <v>c) Religioso o parroquial</v>
      </c>
      <c r="Z434" s="89" t="str">
        <f>Registro!X434</f>
        <v>a) Un grupo donde profundizo mi fe</v>
      </c>
      <c r="AA434" s="89" t="str">
        <f>Registro!Y434</f>
        <v>c) Algo</v>
      </c>
      <c r="AB434" s="89" t="str">
        <f>Registro!Z434</f>
        <v>c) Algo</v>
      </c>
      <c r="AC434" s="89" t="str">
        <f>Registro!AA434</f>
        <v>a) Medicina, e) Derecho</v>
      </c>
      <c r="AD434" s="94">
        <f t="shared" si="35"/>
        <v>2</v>
      </c>
      <c r="AE434" s="89" t="str">
        <f>Registro!AB434</f>
        <v>c) Ser un excelente profesional</v>
      </c>
      <c r="AF434" s="89" t="str">
        <f>Registro!AC434</f>
        <v>d) Mucho o muchísimo</v>
      </c>
      <c r="AG434" s="89"/>
      <c r="AH434" s="94">
        <f t="shared" si="36"/>
        <v>0</v>
      </c>
      <c r="AI434" s="89" t="str">
        <f>Registro!AE434</f>
        <v>f) 11 o más horas</v>
      </c>
      <c r="AJ434" s="89"/>
      <c r="AK434" s="94">
        <f t="shared" si="37"/>
        <v>0</v>
      </c>
      <c r="AL434" s="89" t="str">
        <f>Registro!AG434</f>
        <v>c) Regular</v>
      </c>
      <c r="AM434" s="89" t="str">
        <f>Registro!AH434</f>
        <v>a) Muy buena</v>
      </c>
      <c r="AN434" s="89" t="str">
        <f>Registro!AI434</f>
        <v>a) Muy buena</v>
      </c>
      <c r="AO434" s="89" t="str">
        <f>Registro!AJ434</f>
        <v>d) Mala</v>
      </c>
      <c r="AP434" s="89" t="str">
        <f>Registro!AK434</f>
        <v>f) No aplica</v>
      </c>
      <c r="AQ434" s="89" t="str">
        <f>Registro!AL434</f>
        <v>c) Regular</v>
      </c>
      <c r="AR434" s="89" t="str">
        <f>Registro!AM434</f>
        <v>b) Buena</v>
      </c>
      <c r="AS434" s="89" t="str">
        <f>Registro!AN434</f>
        <v>a) Muy buena</v>
      </c>
      <c r="AT434" s="89" t="str">
        <f>Registro!AO434</f>
        <v>a) Muy buena</v>
      </c>
      <c r="AU434" s="89" t="str">
        <f>Registro!AP434</f>
        <v>a) Muy buena</v>
      </c>
      <c r="AV434" s="89" t="str">
        <f>Registro!AQ434</f>
        <v>a) Muy buena</v>
      </c>
      <c r="AW434" s="89" t="str">
        <f>Registro!AR434</f>
        <v>f) la práctica religiosa</v>
      </c>
      <c r="AX434" s="89" t="str">
        <f>Registro!AS434</f>
        <v>a) Que sea un buen profesional</v>
      </c>
      <c r="AY434" s="89" t="str">
        <f>Registro!AT434</f>
        <v>e) Absolutamente necesaria</v>
      </c>
      <c r="AZ434" s="89" t="str">
        <f>Registro!AU434</f>
        <v>b) Las veces que bebo, es con moderación</v>
      </c>
      <c r="BA434" s="89" t="str">
        <f>Registro!AV434</f>
        <v>d) Buenos profesionales de la educación</v>
      </c>
      <c r="BB434" s="89" t="str">
        <f>Registro!AW434</f>
        <v>b) Poco</v>
      </c>
      <c r="BC434" s="89" t="str">
        <f>Registro!AX434</f>
        <v>e) Son personas que me gustan y admiro</v>
      </c>
      <c r="BD434" s="89" t="str">
        <f>Registro!AY434</f>
        <v>a) Mi padre, b) Mi madre, c) Un hermano/a, d) Un escolapio, religioso o religiosa, g) Un amigo, h) Una amiga</v>
      </c>
    </row>
    <row r="435" spans="1:56" ht="15" customHeight="1" x14ac:dyDescent="0.25">
      <c r="A435" s="101" t="str">
        <f>Registro!A435</f>
        <v>6/18/2015 9:14:13</v>
      </c>
      <c r="B435" s="89" t="str">
        <f>Registro!B435</f>
        <v>d) Cristo Rey de Carora</v>
      </c>
      <c r="C435" s="89" t="str">
        <f>Registro!C435</f>
        <v>c) Cuarto año</v>
      </c>
      <c r="D435" s="89" t="str">
        <f>Registro!D435</f>
        <v>a) Educación Inicial</v>
      </c>
      <c r="E435" s="89" t="str">
        <f>Registro!E435</f>
        <v>b) Femenino</v>
      </c>
      <c r="F435" s="89" t="str">
        <f>Registro!F435</f>
        <v>a) Católica</v>
      </c>
      <c r="G435" s="89" t="str">
        <f>Registro!G435</f>
        <v>b) Papá</v>
      </c>
      <c r="H435" s="89" t="str">
        <f>Registro!H435</f>
        <v>b) Casa Urbana</v>
      </c>
      <c r="I435" s="89" t="str">
        <f>Registro!I435</f>
        <v>b) No</v>
      </c>
      <c r="J435" s="89" t="str">
        <f>Registro!J435</f>
        <v>b) Lavadora, c) Microondas, d) TV pantalla plana, h) Carro, i) Computadora, j) Cámara digital, k) Aire acondicionado</v>
      </c>
      <c r="K435" s="89" t="str">
        <f>Registro!K435</f>
        <v>b) Una</v>
      </c>
      <c r="L435" s="89"/>
      <c r="M435" s="94">
        <f t="shared" ref="M435:M498" si="38">COUNTIF(L435,"*a)*")+COUNTIF(L435,"*b)*")+COUNTIF(L435,"*c)*")+COUNTIF(L435,"*d)*")+COUNTIF(L435,"*e)*")+COUNTIF(L435,"*f)*")+COUNTIF(L435,"*g)*")+COUNTIF(L435,"*h)*")+COUNTIF(L435,"*i)*")+COUNTIF(L435,"*j)*")+COUNTIF(L435,"*k)*")+COUNTIF(L435,"*l)*")+COUNTIF(L435,"*m)*")+COUNTIF(L435,"*n)*")+COUNTIF(L435,"*o)*")+COUNTIF(L435,"*p)*")</f>
        <v>0</v>
      </c>
      <c r="N435" s="89" t="str">
        <f>Registro!M435</f>
        <v>b) El futuro</v>
      </c>
      <c r="O435" s="89" t="str">
        <f>Registro!N435</f>
        <v>c) Poco</v>
      </c>
      <c r="P435" s="89" t="str">
        <f>Registro!O435</f>
        <v>c) Poco</v>
      </c>
      <c r="Q435" s="89" t="str">
        <f>Registro!P435</f>
        <v>c) Poco</v>
      </c>
      <c r="R435" s="89"/>
      <c r="S435" s="94">
        <f t="shared" ref="S435:S498" si="39">COUNTIF(R435,"*a)*")+COUNTIF(R435,"*b)*")+COUNTIF(R435,"*c)*")+COUNTIF(R435,"*d)*")+COUNTIF(R435,"*e)*")+COUNTIF(R435,"*f)*")+COUNTIF(R435,"*g)*")+COUNTIF(R435,"*h)*")+COUNTIF(R435,"*i)*")+COUNTIF(R435,"*j)*")+COUNTIF(R435,"*k)*")+COUNTIF(R435,"*l)*")+COUNTIF(R435,"*m)*")+COUNTIF(R435,"*n)*")+COUNTIF(R435,"*o)*")+COUNTIF(R435,"*p)*")</f>
        <v>0</v>
      </c>
      <c r="T435" s="89" t="str">
        <f>Registro!R435</f>
        <v>a) Mucho</v>
      </c>
      <c r="U435" s="89" t="str">
        <f>Registro!S435</f>
        <v>a) La Iglesia, d) Las convivencias, i) Los necesitados, j) Todas partes, k) La oración, l) Los sacramentos</v>
      </c>
      <c r="V435" s="89" t="str">
        <f>Registro!T435</f>
        <v>c) Rezo solo en situación de dificultad</v>
      </c>
      <c r="W435" s="89" t="str">
        <f>Registro!U435</f>
        <v>c) Solo en fechas especiales</v>
      </c>
      <c r="X435" s="89" t="str">
        <f>Registro!V435</f>
        <v>e) Voy a misa en las fechas de mis familiares difuntos, f) En alguna ocasión he rezado el rosario, h) En Semana Santa asisto a las procesiones, i) Tengo en mi cuarto alguna imagen religiosa</v>
      </c>
      <c r="Y435" s="89" t="str">
        <f>Registro!W435</f>
        <v>d) No pertenezco a ninguno</v>
      </c>
      <c r="Z435" s="89" t="str">
        <f>Registro!X435</f>
        <v>d) No pertenezco a grupos juveniles cristianos</v>
      </c>
      <c r="AA435" s="89" t="str">
        <f>Registro!Y435</f>
        <v>b) No</v>
      </c>
      <c r="AB435" s="89" t="str">
        <f>Registro!Z435</f>
        <v>b) No</v>
      </c>
      <c r="AC435" s="89" t="str">
        <f>Registro!AA435</f>
        <v>a) Medicina</v>
      </c>
      <c r="AD435" s="94">
        <f t="shared" ref="AD435:AD498" si="40">COUNTIF(AC435,"*a)*")+COUNTIF(AC435,"*b)*")+COUNTIF(AC435,"*c)*")+COUNTIF(AC435,"*d)*")+COUNTIF(AC435,"*e)*")+COUNTIF(AC435,"*f)*")+COUNTIF(AC435,"*g)*")+COUNTIF(AC435,"*h)*")+COUNTIF(AC435,"*i)*")+COUNTIF(AC435,"*j)*")+COUNTIF(AC435,"*k)*")+COUNTIF(AC435,"*l)*")+COUNTIF(AC435,"*m)*")+COUNTIF(AC435,"*n)*")+COUNTIF(AC435,"*o)*")+COUNTIF(AC435,"*p)*")</f>
        <v>1</v>
      </c>
      <c r="AE435" s="89" t="str">
        <f>Registro!AB435</f>
        <v>b) Tener una buena posición social, ser importante</v>
      </c>
      <c r="AF435" s="89" t="str">
        <f>Registro!AC435</f>
        <v>c) Bastante</v>
      </c>
      <c r="AG435" s="89" t="str">
        <f>Registro!AD435</f>
        <v>b) El ambiente de estudio y de trabajo, c) Las instalaciones del Colegio</v>
      </c>
      <c r="AH435" s="94">
        <f t="shared" si="36"/>
        <v>2</v>
      </c>
      <c r="AI435" s="89" t="str">
        <f>Registro!AE435</f>
        <v>f) 11 o más horas</v>
      </c>
      <c r="AJ435" s="89" t="str">
        <f>Registro!AF435</f>
        <v>d) Estoy la mayor parte del tiempo en la casa sin hacer nada, g) Suelo ir a discotecas o a fiestas, l) Escucho música y/o veo videos musicales</v>
      </c>
      <c r="AK435" s="94">
        <f t="shared" si="37"/>
        <v>3</v>
      </c>
      <c r="AL435" s="89" t="str">
        <f>Registro!AG435</f>
        <v>c) Regular</v>
      </c>
      <c r="AM435" s="89" t="str">
        <f>Registro!AH435</f>
        <v>c) Regular</v>
      </c>
      <c r="AN435" s="89" t="str">
        <f>Registro!AI435</f>
        <v>c) Regular</v>
      </c>
      <c r="AO435" s="89" t="str">
        <f>Registro!AJ435</f>
        <v>c) Regular</v>
      </c>
      <c r="AP435" s="89" t="str">
        <f>Registro!AK435</f>
        <v>d) Mala</v>
      </c>
      <c r="AQ435" s="89" t="str">
        <f>Registro!AL435</f>
        <v>b) Buena</v>
      </c>
      <c r="AR435" s="89" t="str">
        <f>Registro!AM435</f>
        <v>b) Buena</v>
      </c>
      <c r="AS435" s="89" t="str">
        <f>Registro!AN435</f>
        <v>a) Muy buena</v>
      </c>
      <c r="AT435" s="89" t="str">
        <f>Registro!AO435</f>
        <v>a) Muy buena</v>
      </c>
      <c r="AU435" s="89" t="str">
        <f>Registro!AP435</f>
        <v>a) Muy buena</v>
      </c>
      <c r="AV435" s="89" t="str">
        <f>Registro!AQ435</f>
        <v>a) Muy buena</v>
      </c>
      <c r="AW435" s="89" t="str">
        <f>Registro!AR435</f>
        <v>g) La orientación profesional futura</v>
      </c>
      <c r="AX435" s="89" t="str">
        <f>Registro!AS435</f>
        <v>b) Darme una buena educación</v>
      </c>
      <c r="AY435" s="89" t="str">
        <f>Registro!AT435</f>
        <v>d) Bastante necesaria</v>
      </c>
      <c r="AZ435" s="89" t="str">
        <f>Registro!AU435</f>
        <v>a) No acostumbro a tomarlo nunca</v>
      </c>
      <c r="BA435" s="89" t="str">
        <f>Registro!AV435</f>
        <v>c) Profesionales que hacen lo que pueden</v>
      </c>
      <c r="BB435" s="89" t="str">
        <f>Registro!AW435</f>
        <v>b) Poco</v>
      </c>
      <c r="BC435" s="89" t="str">
        <f>Registro!AX435</f>
        <v>d) Hay de todo tipo, pero predomina lo positivo</v>
      </c>
      <c r="BD435" s="89" t="str">
        <f>Registro!AY435</f>
        <v>c) Un hermano/a, g) Un amigo, h) Una amiga</v>
      </c>
    </row>
    <row r="436" spans="1:56" ht="15" customHeight="1" x14ac:dyDescent="0.25">
      <c r="A436" s="101" t="str">
        <f>Registro!A436</f>
        <v>6/18/2015 9:14:14</v>
      </c>
      <c r="B436" s="89" t="str">
        <f>Registro!B436</f>
        <v>d) Cristo Rey de Carora</v>
      </c>
      <c r="C436" s="89" t="str">
        <f>Registro!C436</f>
        <v>c) Cuarto año</v>
      </c>
      <c r="D436" s="89" t="str">
        <f>Registro!D436</f>
        <v>a) Educación Inicial</v>
      </c>
      <c r="E436" s="89" t="str">
        <f>Registro!E436</f>
        <v>b) Femenino</v>
      </c>
      <c r="F436" s="89" t="str">
        <f>Registro!F436</f>
        <v>a) Católica</v>
      </c>
      <c r="G436" s="89" t="str">
        <f>Registro!G436</f>
        <v>a) Mamá, b) Papá, c) Hermanos, d) Abuelos</v>
      </c>
      <c r="H436" s="89" t="str">
        <f>Registro!H436</f>
        <v>b) Casa Urbana</v>
      </c>
      <c r="I436" s="89" t="str">
        <f>Registro!I436</f>
        <v>a) Sí</v>
      </c>
      <c r="J436" s="89" t="str">
        <f>Registro!J436</f>
        <v>b) Lavadora, c) Microondas, d) TV pantalla plana, f) MP3, h) Carro, i) Computadora, j) Cámara digital, k) Aire acondicionado</v>
      </c>
      <c r="K436" s="89" t="str">
        <f>Registro!K436</f>
        <v>c) Dos</v>
      </c>
      <c r="L436" s="89" t="str">
        <f>Registro!L436</f>
        <v>a) La familia, b) Los amigos, f) Mi fe y vida cristiana</v>
      </c>
      <c r="M436" s="94">
        <f t="shared" si="38"/>
        <v>3</v>
      </c>
      <c r="N436" s="89" t="str">
        <f>Registro!M436</f>
        <v>f) La situación política del país</v>
      </c>
      <c r="O436" s="89" t="str">
        <f>Registro!N436</f>
        <v>b) Suficiente</v>
      </c>
      <c r="P436" s="89" t="str">
        <f>Registro!O436</f>
        <v>c) Poco</v>
      </c>
      <c r="Q436" s="89" t="str">
        <f>Registro!P436</f>
        <v>a) Mucho</v>
      </c>
      <c r="R436" s="89" t="str">
        <f>Registro!Q436</f>
        <v>a) La familia, b) Los amigos, f) Mi fe y mi vida cristiana</v>
      </c>
      <c r="S436" s="94">
        <f t="shared" si="39"/>
        <v>3</v>
      </c>
      <c r="T436" s="89" t="str">
        <f>Registro!R436</f>
        <v>a) Mucho</v>
      </c>
      <c r="U436" s="89" t="str">
        <f>Registro!S436</f>
        <v>a) La Iglesia, b) La naturaleza, c) El salón de clase, d) Las convivencias, e) Los amigos, f) Todas las personas, g) Mi familia, h) Algunas personas cercanas a Dios, i) Los necesitados, j) Todas partes, k) La oración, l) Los sacramentos</v>
      </c>
      <c r="V436" s="89" t="str">
        <f>Registro!T436</f>
        <v>b) Rezo por costumbre</v>
      </c>
      <c r="W436" s="89" t="str">
        <f>Registro!U436</f>
        <v>a) Todos los domingos</v>
      </c>
      <c r="X436" s="89" t="str">
        <f>Registro!V436</f>
        <v>a) Suelo llevar una cruz o algún objeto religioso, c) Suelo ir los domingos y otras fechas especiales a la Iglesia, d) Suelo orar todos los días, f) En alguna ocasión he rezado el rosario, h) En Semana Santa asisto a las procesiones, i) Tengo en mi cuarto alguna imagen religiosa</v>
      </c>
      <c r="Y436" s="89" t="str">
        <f>Registro!W436</f>
        <v>b) Cultural (folklórico, musicales, danzas, scout, banda marcial,...) , c) Religioso o parroquial</v>
      </c>
      <c r="Z436" s="89" t="str">
        <f>Registro!X436</f>
        <v>a) Un grupo donde profundizo mi fe</v>
      </c>
      <c r="AA436" s="89" t="str">
        <f>Registro!Y436</f>
        <v>a) Sí</v>
      </c>
      <c r="AB436" s="89" t="str">
        <f>Registro!Z436</f>
        <v>c) Algo</v>
      </c>
      <c r="AC436" s="89" t="str">
        <f>Registro!AA436</f>
        <v>c) Sacerdocio o hermana religiosa, g) Artista</v>
      </c>
      <c r="AD436" s="94">
        <f t="shared" si="40"/>
        <v>2</v>
      </c>
      <c r="AE436" s="89" t="str">
        <f>Registro!AB436</f>
        <v>e) Servir a los demás</v>
      </c>
      <c r="AF436" s="89" t="str">
        <f>Registro!AC436</f>
        <v>d) Mucho o muchísimo</v>
      </c>
      <c r="AG436" s="89" t="str">
        <f>Registro!AD436</f>
        <v>d) Los grupos juveniles cristianos, e) La mayor posibilidad de vivir mi fe</v>
      </c>
      <c r="AH436" s="94">
        <f t="shared" si="36"/>
        <v>2</v>
      </c>
      <c r="AI436" s="89" t="str">
        <f>Registro!AE436</f>
        <v>a) 0 a 2 horas</v>
      </c>
      <c r="AJ436" s="89" t="str">
        <f>Registro!AF436</f>
        <v>b) Navego en Internet, d) Estoy la mayor parte del tiempo en la casa sin hacer nada, j) Estoy en algún grupo juvenil</v>
      </c>
      <c r="AK436" s="94">
        <f t="shared" si="37"/>
        <v>3</v>
      </c>
      <c r="AL436" s="89" t="str">
        <f>Registro!AG436</f>
        <v>c) Regular</v>
      </c>
      <c r="AM436" s="89" t="str">
        <f>Registro!AH436</f>
        <v>b) Buena</v>
      </c>
      <c r="AN436" s="89" t="str">
        <f>Registro!AI436</f>
        <v>b) Buena</v>
      </c>
      <c r="AO436" s="89" t="str">
        <f>Registro!AJ436</f>
        <v>d) Mala</v>
      </c>
      <c r="AP436" s="89" t="str">
        <f>Registro!AK436</f>
        <v>b) Buena</v>
      </c>
      <c r="AQ436" s="89" t="str">
        <f>Registro!AL436</f>
        <v>c) Regular</v>
      </c>
      <c r="AR436" s="89" t="str">
        <f>Registro!AM436</f>
        <v>d) Mala</v>
      </c>
      <c r="AS436" s="89" t="str">
        <f>Registro!AN436</f>
        <v>b) Buena</v>
      </c>
      <c r="AT436" s="89" t="str">
        <f>Registro!AO436</f>
        <v>a) Muy buena</v>
      </c>
      <c r="AU436" s="89" t="str">
        <f>Registro!AP436</f>
        <v>a) Muy buena</v>
      </c>
      <c r="AV436" s="89" t="str">
        <f>Registro!AQ436</f>
        <v>b) Buena</v>
      </c>
      <c r="AW436" s="89" t="str">
        <f>Registro!AR436</f>
        <v>f) la práctica religiosa</v>
      </c>
      <c r="AX436" s="89" t="str">
        <f>Registro!AS436</f>
        <v>e) Que sea cristiano responsable</v>
      </c>
      <c r="AY436" s="89" t="str">
        <f>Registro!AT436</f>
        <v>e) Absolutamente necesaria</v>
      </c>
      <c r="AZ436" s="89" t="str">
        <f>Registro!AU436</f>
        <v>b) Las veces que bebo, es con moderación</v>
      </c>
      <c r="BA436" s="89" t="str">
        <f>Registro!AV436</f>
        <v>a) Personas a las que tengo que aguantar</v>
      </c>
      <c r="BB436" s="89" t="str">
        <f>Registro!AW436</f>
        <v>b) Poco</v>
      </c>
      <c r="BC436" s="89" t="str">
        <f>Registro!AX436</f>
        <v>e) Son personas que me gustan y admiro</v>
      </c>
      <c r="BD436" s="89" t="str">
        <f>Registro!AY436</f>
        <v>e) Un, una docente, f) La orientadora, h) Una amiga, i) Un, una catequista o responsable de grupo, k) No tengo problemas personales</v>
      </c>
    </row>
    <row r="437" spans="1:56" ht="15" customHeight="1" x14ac:dyDescent="0.25">
      <c r="A437" s="101" t="str">
        <f>Registro!A437</f>
        <v>6/18/2015 9:14:17</v>
      </c>
      <c r="B437" s="89" t="str">
        <f>Registro!B437</f>
        <v>d) Cristo Rey de Carora</v>
      </c>
      <c r="C437" s="89" t="str">
        <f>Registro!C437</f>
        <v>c) Cuarto año</v>
      </c>
      <c r="D437" s="89" t="str">
        <f>Registro!D437</f>
        <v>a) Educación Inicial</v>
      </c>
      <c r="E437" s="89" t="str">
        <f>Registro!E437</f>
        <v>a) Masculino</v>
      </c>
      <c r="F437" s="89" t="str">
        <f>Registro!F437</f>
        <v>b) Evangélica</v>
      </c>
      <c r="G437" s="89" t="str">
        <f>Registro!G437</f>
        <v>a) Mamá</v>
      </c>
      <c r="H437" s="89" t="str">
        <f>Registro!H437</f>
        <v>b) Casa Urbana</v>
      </c>
      <c r="I437" s="89" t="str">
        <f>Registro!I437</f>
        <v>b) No</v>
      </c>
      <c r="J437" s="89" t="str">
        <f>Registro!J437</f>
        <v>a) Cónsola videojuegos, b) Lavadora, c) Microondas, d) TV pantalla plana, g) MP4, i) Computadora, k) Aire acondicionado</v>
      </c>
      <c r="K437" s="89">
        <f>Registro!K437</f>
        <v>0</v>
      </c>
      <c r="L437" s="89" t="str">
        <f>Registro!L437</f>
        <v>a) La familia, j) El deporte, k) El internet</v>
      </c>
      <c r="M437" s="94">
        <f t="shared" si="38"/>
        <v>3</v>
      </c>
      <c r="N437" s="89" t="str">
        <f>Registro!M437</f>
        <v>b) El futuro</v>
      </c>
      <c r="O437" s="89" t="str">
        <f>Registro!N437</f>
        <v>d) Nada</v>
      </c>
      <c r="P437" s="89" t="str">
        <f>Registro!O437</f>
        <v>c) Poco</v>
      </c>
      <c r="Q437" s="89" t="str">
        <f>Registro!P437</f>
        <v>b) Suficiente</v>
      </c>
      <c r="R437" s="89" t="str">
        <f>Registro!Q437</f>
        <v>a) La familia, j) El deporte, k) Internet</v>
      </c>
      <c r="S437" s="94">
        <f t="shared" si="39"/>
        <v>3</v>
      </c>
      <c r="T437" s="89" t="str">
        <f>Registro!R437</f>
        <v>a) Mucho</v>
      </c>
      <c r="U437" s="89" t="str">
        <f>Registro!S437</f>
        <v>a) La Iglesia, b) La naturaleza, c) El salón de clase, d) Las convivencias, e) Los amigos, f) Todas las personas, g) Mi familia, h) Algunas personas cercanas a Dios, i) Los necesitados, j) Todas partes, k) La oración, l) Los sacramentos</v>
      </c>
      <c r="V437" s="89" t="str">
        <f>Registro!T437</f>
        <v>b) Rezo por costumbre</v>
      </c>
      <c r="W437" s="89" t="str">
        <f>Registro!U437</f>
        <v>b) Algunos domingos</v>
      </c>
      <c r="X437" s="89" t="str">
        <f>Registro!V437</f>
        <v>b) Suelo bendedir los alimentos antes de comer</v>
      </c>
      <c r="Y437" s="89" t="str">
        <f>Registro!W437</f>
        <v>a) Deportivo</v>
      </c>
      <c r="Z437" s="89" t="str">
        <f>Registro!X437</f>
        <v>a) Un grupo donde profundizo mi fe</v>
      </c>
      <c r="AA437" s="89" t="str">
        <f>Registro!Y437</f>
        <v>b) No</v>
      </c>
      <c r="AB437" s="89" t="str">
        <f>Registro!Z437</f>
        <v>b) No</v>
      </c>
      <c r="AC437" s="89" t="str">
        <f>Registro!AA437</f>
        <v>d) Ingeniería</v>
      </c>
      <c r="AD437" s="94">
        <f t="shared" si="40"/>
        <v>1</v>
      </c>
      <c r="AE437" s="89">
        <f>Registro!AB437</f>
        <v>0</v>
      </c>
      <c r="AF437" s="89" t="str">
        <f>Registro!AC437</f>
        <v>c) Bastante</v>
      </c>
      <c r="AG437" s="89" t="str">
        <f>Registro!AD437</f>
        <v>i) No me gusta nada</v>
      </c>
      <c r="AH437" s="94">
        <f t="shared" si="36"/>
        <v>1</v>
      </c>
      <c r="AI437" s="89" t="str">
        <f>Registro!AE437</f>
        <v>a) 0 a 2 horas</v>
      </c>
      <c r="AJ437" s="89" t="str">
        <f>Registro!AF437</f>
        <v>b) Navego en Internet</v>
      </c>
      <c r="AK437" s="94">
        <f t="shared" si="37"/>
        <v>1</v>
      </c>
      <c r="AL437" s="89" t="str">
        <f>Registro!AG437</f>
        <v>b) Bueno</v>
      </c>
      <c r="AM437" s="89" t="str">
        <f>Registro!AH437</f>
        <v>c) Regular</v>
      </c>
      <c r="AN437" s="89" t="str">
        <f>Registro!AI437</f>
        <v>c) Regular</v>
      </c>
      <c r="AO437" s="89" t="str">
        <f>Registro!AJ437</f>
        <v>c) Regular</v>
      </c>
      <c r="AP437" s="89" t="str">
        <f>Registro!AK437</f>
        <v>c) Regular</v>
      </c>
      <c r="AQ437" s="89" t="str">
        <f>Registro!AL437</f>
        <v>d) Mala</v>
      </c>
      <c r="AR437" s="89" t="str">
        <f>Registro!AM437</f>
        <v>a) Muy buena</v>
      </c>
      <c r="AS437" s="89" t="str">
        <f>Registro!AN437</f>
        <v>a) Muy buena</v>
      </c>
      <c r="AT437" s="89" t="str">
        <f>Registro!AO437</f>
        <v>e) Muy mala</v>
      </c>
      <c r="AU437" s="89" t="str">
        <f>Registro!AP437</f>
        <v>d) Mala</v>
      </c>
      <c r="AV437" s="89" t="str">
        <f>Registro!AQ437</f>
        <v>e) Muy mala</v>
      </c>
      <c r="AW437" s="89" t="str">
        <f>Registro!AR437</f>
        <v>i) En nada</v>
      </c>
      <c r="AX437" s="89" t="str">
        <f>Registro!AS437</f>
        <v>b) Darme una buena educación</v>
      </c>
      <c r="AY437" s="89" t="str">
        <f>Registro!AT437</f>
        <v>b) Indiferente</v>
      </c>
      <c r="AZ437" s="89" t="str">
        <f>Registro!AU437</f>
        <v>b) Las veces que bebo, es con moderación</v>
      </c>
      <c r="BA437" s="89" t="str">
        <f>Registro!AV437</f>
        <v>c) Profesionales que hacen lo que pueden</v>
      </c>
      <c r="BB437" s="89" t="str">
        <f>Registro!AW437</f>
        <v>b) Poco</v>
      </c>
      <c r="BC437" s="89" t="str">
        <f>Registro!AX437</f>
        <v>b) Hay de todo tipo, pero predomina lo negativo</v>
      </c>
      <c r="BD437" s="89" t="str">
        <f>Registro!AY437</f>
        <v>j) Nadie</v>
      </c>
    </row>
    <row r="438" spans="1:56" ht="15" customHeight="1" x14ac:dyDescent="0.25">
      <c r="A438" s="101" t="str">
        <f>Registro!A438</f>
        <v>6/18/2015 9:14:49</v>
      </c>
      <c r="B438" s="89" t="str">
        <f>Registro!B438</f>
        <v>d) Cristo Rey de Carora</v>
      </c>
      <c r="C438" s="89" t="str">
        <f>Registro!C438</f>
        <v>c) Cuarto año</v>
      </c>
      <c r="D438" s="89" t="str">
        <f>Registro!D438</f>
        <v>a) Educación Inicial</v>
      </c>
      <c r="E438" s="89" t="str">
        <f>Registro!E438</f>
        <v>b) Femenino</v>
      </c>
      <c r="F438" s="89" t="str">
        <f>Registro!F438</f>
        <v>a) Católica</v>
      </c>
      <c r="G438" s="89" t="str">
        <f>Registro!G438</f>
        <v>a) Mamá, b) Papá</v>
      </c>
      <c r="H438" s="89" t="str">
        <f>Registro!H438</f>
        <v>b) Casa Urbana</v>
      </c>
      <c r="I438" s="89" t="str">
        <f>Registro!I438</f>
        <v>a) Sí</v>
      </c>
      <c r="J438" s="89" t="str">
        <f>Registro!J438</f>
        <v>a) Cónsola videojuegos, b) Lavadora, c) Microondas, g) MP4, h) Carro, i) Computadora, j) Cámara digital, k) Aire acondicionado</v>
      </c>
      <c r="K438" s="89" t="str">
        <f>Registro!K438</f>
        <v>c) Dos</v>
      </c>
      <c r="L438" s="89" t="str">
        <f>Registro!L438</f>
        <v>a) La familia, c) Los estudios, f) Mi fe y vida cristiana</v>
      </c>
      <c r="M438" s="94">
        <f t="shared" si="38"/>
        <v>3</v>
      </c>
      <c r="N438" s="89" t="str">
        <f>Registro!M438</f>
        <v>g) Mis estudios</v>
      </c>
      <c r="O438" s="89" t="str">
        <f>Registro!N438</f>
        <v>a) Mucho</v>
      </c>
      <c r="P438" s="89" t="str">
        <f>Registro!O438</f>
        <v>c) Poco</v>
      </c>
      <c r="Q438" s="89" t="str">
        <f>Registro!P438</f>
        <v>a) Mucho</v>
      </c>
      <c r="R438" s="89" t="str">
        <f>Registro!Q438</f>
        <v>c) Los estudios, d) El cuidado de mi cuerpo, g) La felicidad</v>
      </c>
      <c r="S438" s="94">
        <f t="shared" si="39"/>
        <v>3</v>
      </c>
      <c r="T438" s="89" t="str">
        <f>Registro!R438</f>
        <v>a) Mucho</v>
      </c>
      <c r="U438" s="89" t="str">
        <f>Registro!S438</f>
        <v>a) La Iglesia, d) Las convivencias, h) Algunas personas cercanas a Dios, i) Los necesitados, k) La oración, l) Los sacramentos</v>
      </c>
      <c r="V438" s="89" t="str">
        <f>Registro!T438</f>
        <v>c) Rezo solo en situación de dificultad</v>
      </c>
      <c r="W438" s="89" t="str">
        <f>Registro!U438</f>
        <v>b) Algunos domingos</v>
      </c>
      <c r="X438" s="89" t="str">
        <f>Registro!V438</f>
        <v>c) Suelo ir los domingos y otras fechas especiales a la Iglesia, e) Voy a misa en las fechas de mis familiares difuntos, f) En alguna ocasión he rezado el rosario, h) En Semana Santa asisto a las procesiones, i) Tengo en mi cuarto alguna imagen religiosa</v>
      </c>
      <c r="Y438" s="89" t="str">
        <f>Registro!W438</f>
        <v>c) Religioso o parroquial</v>
      </c>
      <c r="Z438" s="89" t="str">
        <f>Registro!X438</f>
        <v>a) Un grupo donde profundizo mi fe</v>
      </c>
      <c r="AA438" s="89" t="str">
        <f>Registro!Y438</f>
        <v>b) No</v>
      </c>
      <c r="AB438" s="89" t="str">
        <f>Registro!Z438</f>
        <v>b) No</v>
      </c>
      <c r="AC438" s="89" t="str">
        <f>Registro!AA438</f>
        <v>a) Medicina</v>
      </c>
      <c r="AD438" s="94">
        <f t="shared" si="40"/>
        <v>1</v>
      </c>
      <c r="AE438" s="89" t="str">
        <f>Registro!AB438</f>
        <v>c) Ser un excelente profesional</v>
      </c>
      <c r="AF438" s="89" t="str">
        <f>Registro!AC438</f>
        <v>d) Mucho o muchísimo</v>
      </c>
      <c r="AG438" s="89" t="str">
        <f>Registro!AD438</f>
        <v>d) Los grupos juveniles cristianos, e) La mayor posibilidad de vivir mi fe</v>
      </c>
      <c r="AH438" s="94">
        <f t="shared" si="36"/>
        <v>2</v>
      </c>
      <c r="AI438" s="89" t="str">
        <f>Registro!AE438</f>
        <v>e) 9 a 10 horas</v>
      </c>
      <c r="AJ438" s="89"/>
      <c r="AK438" s="94">
        <f t="shared" si="37"/>
        <v>0</v>
      </c>
      <c r="AL438" s="89">
        <f>Registro!AG438</f>
        <v>0</v>
      </c>
      <c r="AM438" s="89" t="str">
        <f>Registro!AH438</f>
        <v>b) Buena</v>
      </c>
      <c r="AN438" s="89" t="str">
        <f>Registro!AI438</f>
        <v>b) Buena</v>
      </c>
      <c r="AO438" s="89" t="str">
        <f>Registro!AJ438</f>
        <v>c) Regular</v>
      </c>
      <c r="AP438" s="89" t="str">
        <f>Registro!AK438</f>
        <v>c) Regular</v>
      </c>
      <c r="AQ438" s="89" t="str">
        <f>Registro!AL438</f>
        <v>c) Regular</v>
      </c>
      <c r="AR438" s="89" t="str">
        <f>Registro!AM438</f>
        <v>c) Regular</v>
      </c>
      <c r="AS438" s="89" t="str">
        <f>Registro!AN438</f>
        <v>a) Muy buena</v>
      </c>
      <c r="AT438" s="89" t="str">
        <f>Registro!AO438</f>
        <v>a) Muy buena</v>
      </c>
      <c r="AU438" s="89" t="str">
        <f>Registro!AP438</f>
        <v>a) Muy buena</v>
      </c>
      <c r="AV438" s="89" t="str">
        <f>Registro!AQ438</f>
        <v>b) Buena</v>
      </c>
      <c r="AW438" s="89" t="str">
        <f>Registro!AR438</f>
        <v>e) La disciplina y el orden</v>
      </c>
      <c r="AX438" s="89" t="str">
        <f>Registro!AS438</f>
        <v>b) Darme una buena educación</v>
      </c>
      <c r="AY438" s="89" t="str">
        <f>Registro!AT438</f>
        <v>e) Absolutamente necesaria</v>
      </c>
      <c r="AZ438" s="89" t="str">
        <f>Registro!AU438</f>
        <v>b) Las veces que bebo, es con moderación</v>
      </c>
      <c r="BA438" s="89" t="str">
        <f>Registro!AV438</f>
        <v>d) Buenos profesionales de la educación</v>
      </c>
      <c r="BB438" s="89" t="str">
        <f>Registro!AW438</f>
        <v>c) Bastante</v>
      </c>
      <c r="BC438" s="89" t="str">
        <f>Registro!AX438</f>
        <v>e) Son personas que me gustan y admiro</v>
      </c>
      <c r="BD438" s="89" t="str">
        <f>Registro!AY438</f>
        <v>b) Mi madre, h) Una amiga</v>
      </c>
    </row>
    <row r="439" spans="1:56" ht="15" customHeight="1" x14ac:dyDescent="0.25">
      <c r="A439" s="101" t="str">
        <f>Registro!A439</f>
        <v>6/18/2015 9:16:13</v>
      </c>
      <c r="B439" s="89" t="str">
        <f>Registro!B439</f>
        <v>d) Cristo Rey de Carora</v>
      </c>
      <c r="C439" s="89" t="str">
        <f>Registro!C439</f>
        <v>c) Cuarto año</v>
      </c>
      <c r="D439" s="89" t="str">
        <f>Registro!D439</f>
        <v>a) Educación Inicial</v>
      </c>
      <c r="E439" s="89" t="str">
        <f>Registro!E439</f>
        <v>b) Femenino</v>
      </c>
      <c r="F439" s="89" t="str">
        <f>Registro!F439</f>
        <v>a) Católica</v>
      </c>
      <c r="G439" s="89" t="str">
        <f>Registro!G439</f>
        <v>a) Mamá, b) Papá, c) Hermanos</v>
      </c>
      <c r="H439" s="89" t="str">
        <f>Registro!H439</f>
        <v>b) Casa Urbana</v>
      </c>
      <c r="I439" s="89" t="str">
        <f>Registro!I439</f>
        <v>a) Sí</v>
      </c>
      <c r="J439" s="89" t="str">
        <f>Registro!J439</f>
        <v>a) Cónsola videojuegos, c) Microondas, d) TV pantalla plana, g) MP4, h) Carro, i) Computadora, j) Cámara digital, k) Aire acondicionado</v>
      </c>
      <c r="K439" s="89" t="str">
        <f>Registro!K439</f>
        <v>d) Tres</v>
      </c>
      <c r="L439" s="89" t="str">
        <f>Registro!L439</f>
        <v>a) La familia, b) Los amigos, g) La felicidad</v>
      </c>
      <c r="M439" s="94">
        <f t="shared" si="38"/>
        <v>3</v>
      </c>
      <c r="N439" s="89" t="str">
        <f>Registro!M439</f>
        <v>f) La situación política del país</v>
      </c>
      <c r="O439" s="89" t="str">
        <f>Registro!N439</f>
        <v>a) Mucho</v>
      </c>
      <c r="P439" s="89" t="str">
        <f>Registro!O439</f>
        <v>a) Mucho</v>
      </c>
      <c r="Q439" s="89" t="str">
        <f>Registro!P439</f>
        <v>b) Suficiente</v>
      </c>
      <c r="R439" s="89" t="str">
        <f>Registro!Q439</f>
        <v>a) La familia, c) Los estudios, g) La felicidad</v>
      </c>
      <c r="S439" s="94">
        <f t="shared" si="39"/>
        <v>3</v>
      </c>
      <c r="T439" s="89" t="str">
        <f>Registro!R439</f>
        <v>a) Mucho</v>
      </c>
      <c r="U439" s="89" t="str">
        <f>Registro!S439</f>
        <v>g) Mi familia, i) Los necesitados, k) La oración</v>
      </c>
      <c r="V439" s="89" t="str">
        <f>Registro!T439</f>
        <v>c) Rezo solo en situación de dificultad</v>
      </c>
      <c r="W439" s="89" t="str">
        <f>Registro!U439</f>
        <v>b) Algunos domingos</v>
      </c>
      <c r="X439" s="89" t="str">
        <f>Registro!V439</f>
        <v>c) Suelo ir los domingos y otras fechas especiales a la Iglesia, e) Voy a misa en las fechas de mis familiares difuntos, f) En alguna ocasión he rezado el rosario, h) En Semana Santa asisto a las procesiones, i) Tengo en mi cuarto alguna imagen religiosa</v>
      </c>
      <c r="Y439" s="89" t="str">
        <f>Registro!W439</f>
        <v>c) Religioso o parroquial</v>
      </c>
      <c r="Z439" s="89" t="str">
        <f>Registro!X439</f>
        <v>a) Un grupo donde profundizo mi fe</v>
      </c>
      <c r="AA439" s="89" t="str">
        <f>Registro!Y439</f>
        <v>b) No</v>
      </c>
      <c r="AB439" s="89" t="str">
        <f>Registro!Z439</f>
        <v>b) No</v>
      </c>
      <c r="AC439" s="89" t="str">
        <f>Registro!AA439</f>
        <v>a) Medicina, e) Derecho</v>
      </c>
      <c r="AD439" s="94">
        <f t="shared" si="40"/>
        <v>2</v>
      </c>
      <c r="AE439" s="89" t="str">
        <f>Registro!AB439</f>
        <v>c) Ser un excelente profesional</v>
      </c>
      <c r="AF439" s="89" t="str">
        <f>Registro!AC439</f>
        <v>b) Poco</v>
      </c>
      <c r="AG439" s="89" t="str">
        <f>Registro!AD439</f>
        <v>i) No me gusta nada</v>
      </c>
      <c r="AH439" s="94">
        <f t="shared" si="36"/>
        <v>1</v>
      </c>
      <c r="AI439" s="89" t="str">
        <f>Registro!AE439</f>
        <v>e) 9 a 10 horas</v>
      </c>
      <c r="AJ439" s="89" t="str">
        <f>Registro!AF439</f>
        <v>b) Navego en Internet, i) Leo revistas o libros, n) Estoy conversando con los amigos/as</v>
      </c>
      <c r="AK439" s="94">
        <f t="shared" si="37"/>
        <v>3</v>
      </c>
      <c r="AL439" s="89" t="str">
        <f>Registro!AG439</f>
        <v>d) Deficiente</v>
      </c>
      <c r="AM439" s="89" t="str">
        <f>Registro!AH439</f>
        <v>e) Muy mala</v>
      </c>
      <c r="AN439" s="89" t="str">
        <f>Registro!AI439</f>
        <v>e) Muy mala</v>
      </c>
      <c r="AO439" s="89" t="str">
        <f>Registro!AJ439</f>
        <v>c) Regular</v>
      </c>
      <c r="AP439" s="89" t="str">
        <f>Registro!AK439</f>
        <v>f) No aplica</v>
      </c>
      <c r="AQ439" s="89" t="str">
        <f>Registro!AL439</f>
        <v>c) Regular</v>
      </c>
      <c r="AR439" s="89" t="str">
        <f>Registro!AM439</f>
        <v>c) Regular</v>
      </c>
      <c r="AS439" s="89" t="str">
        <f>Registro!AN439</f>
        <v>c) Regular</v>
      </c>
      <c r="AT439" s="89" t="str">
        <f>Registro!AO439</f>
        <v>a) Muy buena</v>
      </c>
      <c r="AU439" s="89" t="str">
        <f>Registro!AP439</f>
        <v>b) Buena</v>
      </c>
      <c r="AV439" s="89" t="str">
        <f>Registro!AQ439</f>
        <v>a) Muy buena</v>
      </c>
      <c r="AW439" s="89" t="str">
        <f>Registro!AR439</f>
        <v>a) El compañerismo</v>
      </c>
      <c r="AX439" s="89" t="str">
        <f>Registro!AS439</f>
        <v>g) No tienen una preocupación especial</v>
      </c>
      <c r="AY439" s="89" t="str">
        <f>Registro!AT439</f>
        <v>e) Absolutamente necesaria</v>
      </c>
      <c r="AZ439" s="89" t="str">
        <f>Registro!AU439</f>
        <v>b) Las veces que bebo, es con moderación</v>
      </c>
      <c r="BA439" s="89" t="str">
        <f>Registro!AV439</f>
        <v>d) Buenos profesionales de la educación</v>
      </c>
      <c r="BB439" s="89" t="str">
        <f>Registro!AW439</f>
        <v>e) No sé</v>
      </c>
      <c r="BC439" s="89" t="str">
        <f>Registro!AX439</f>
        <v>b) Hay de todo tipo, pero predomina lo negativo</v>
      </c>
      <c r="BD439" s="89" t="str">
        <f>Registro!AY439</f>
        <v>a) Mi padre, b) Mi madre, h) Una amiga, k) No tengo problemas personales</v>
      </c>
    </row>
    <row r="440" spans="1:56" ht="15" customHeight="1" x14ac:dyDescent="0.25">
      <c r="A440" s="101" t="str">
        <f>Registro!A440</f>
        <v>6/18/2015 9:16:18</v>
      </c>
      <c r="B440" s="89" t="str">
        <f>Registro!B440</f>
        <v>d) Cristo Rey de Carora</v>
      </c>
      <c r="C440" s="89" t="str">
        <f>Registro!C440</f>
        <v>c) Cuarto año</v>
      </c>
      <c r="D440" s="89" t="str">
        <f>Registro!D440</f>
        <v>a) Educación Inicial</v>
      </c>
      <c r="E440" s="89" t="str">
        <f>Registro!E440</f>
        <v>b) Femenino</v>
      </c>
      <c r="F440" s="89" t="str">
        <f>Registro!F440</f>
        <v>a) Católica</v>
      </c>
      <c r="G440" s="89" t="str">
        <f>Registro!G440</f>
        <v>a) Mamá, b) Papá, c) Hermanos</v>
      </c>
      <c r="H440" s="89" t="str">
        <f>Registro!H440</f>
        <v>b) Casa Urbana</v>
      </c>
      <c r="I440" s="89" t="str">
        <f>Registro!I440</f>
        <v>a) Sí</v>
      </c>
      <c r="J440" s="89" t="str">
        <f>Registro!J440</f>
        <v>a) Cónsola videojuegos, b) Lavadora, c) Microondas, d) TV pantalla plana, f) MP3, g) MP4, h) Carro, i) Computadora, j) Cámara digital, k) Aire acondicionado</v>
      </c>
      <c r="K440" s="89" t="str">
        <f>Registro!K440</f>
        <v>c) Dos</v>
      </c>
      <c r="L440" s="89"/>
      <c r="M440" s="94">
        <f t="shared" si="38"/>
        <v>0</v>
      </c>
      <c r="N440" s="89" t="str">
        <f>Registro!M440</f>
        <v>b) El futuro</v>
      </c>
      <c r="O440" s="89" t="str">
        <f>Registro!N440</f>
        <v>a) Mucho</v>
      </c>
      <c r="P440" s="89" t="str">
        <f>Registro!O440</f>
        <v>b) Suficiente</v>
      </c>
      <c r="Q440" s="89" t="str">
        <f>Registro!P440</f>
        <v>b) Suficiente</v>
      </c>
      <c r="R440" s="89" t="str">
        <f>Registro!Q440</f>
        <v>a) La familia, b) Los amigos, e) Disponer de dinero</v>
      </c>
      <c r="S440" s="94">
        <f t="shared" si="39"/>
        <v>3</v>
      </c>
      <c r="T440" s="89" t="str">
        <f>Registro!R440</f>
        <v>a) Mucho</v>
      </c>
      <c r="U440" s="89" t="str">
        <f>Registro!S440</f>
        <v>a) La Iglesia, f) Todas las personas, h) Algunas personas cercanas a Dios, i) Los necesitados, j) Todas partes, k) La oración</v>
      </c>
      <c r="V440" s="89" t="str">
        <f>Registro!T440</f>
        <v>a) Suelo rezar por convicción o porque me gusta</v>
      </c>
      <c r="W440" s="89" t="str">
        <f>Registro!U440</f>
        <v>a) Todos los domingos</v>
      </c>
      <c r="X440" s="89" t="str">
        <f>Registro!V440</f>
        <v>b) Suelo bendedir los alimentos antes de comer, c) Suelo ir los domingos y otras fechas especiales a la Iglesia, d) Suelo orar todos los días, e) Voy a misa en las fechas de mis familiares difuntos, f) En alguna ocasión he rezado el rosario, h) En Semana Santa asisto a las procesiones</v>
      </c>
      <c r="Y440" s="89" t="str">
        <f>Registro!W440</f>
        <v>b) Cultural (folklórico, musicales, danzas, scout, banda marcial,...) , c) Religioso o parroquial</v>
      </c>
      <c r="Z440" s="89" t="str">
        <f>Registro!X440</f>
        <v>a) Un grupo donde profundizo mi fe</v>
      </c>
      <c r="AA440" s="89" t="str">
        <f>Registro!Y440</f>
        <v>a) Sí</v>
      </c>
      <c r="AB440" s="89" t="str">
        <f>Registro!Z440</f>
        <v>a) Sí</v>
      </c>
      <c r="AC440" s="89" t="str">
        <f>Registro!AA440</f>
        <v>a) Medicina, c) Sacerdocio o hermana religiosa</v>
      </c>
      <c r="AD440" s="94">
        <f t="shared" si="40"/>
        <v>2</v>
      </c>
      <c r="AE440" s="89" t="str">
        <f>Registro!AB440</f>
        <v>c) Ser un excelente profesional</v>
      </c>
      <c r="AF440" s="89" t="str">
        <f>Registro!AC440</f>
        <v>d) Mucho o muchísimo</v>
      </c>
      <c r="AG440" s="89" t="str">
        <f>Registro!AD440</f>
        <v>f) La igualdad de trato que se da a todos</v>
      </c>
      <c r="AH440" s="94">
        <f t="shared" si="36"/>
        <v>1</v>
      </c>
      <c r="AI440" s="89" t="str">
        <f>Registro!AE440</f>
        <v>d) 7 a 8 horas</v>
      </c>
      <c r="AJ440" s="89" t="str">
        <f>Registro!AF440</f>
        <v>g) Suelo ir a discotecas o a fiestas, j) Estoy en algún grupo juvenil, n) Estoy conversando con los amigos/as</v>
      </c>
      <c r="AK440" s="94">
        <f t="shared" si="37"/>
        <v>3</v>
      </c>
      <c r="AL440" s="89" t="str">
        <f>Registro!AG440</f>
        <v>b) Bueno</v>
      </c>
      <c r="AM440" s="89" t="str">
        <f>Registro!AH440</f>
        <v>b) Buena</v>
      </c>
      <c r="AN440" s="89" t="str">
        <f>Registro!AI440</f>
        <v>b) Buena</v>
      </c>
      <c r="AO440" s="89" t="str">
        <f>Registro!AJ440</f>
        <v>d) Mala</v>
      </c>
      <c r="AP440" s="89" t="str">
        <f>Registro!AK440</f>
        <v>b) Buena</v>
      </c>
      <c r="AQ440" s="89" t="str">
        <f>Registro!AL440</f>
        <v>b) Buena</v>
      </c>
      <c r="AR440" s="89" t="str">
        <f>Registro!AM440</f>
        <v>b) Buena</v>
      </c>
      <c r="AS440" s="89" t="str">
        <f>Registro!AN440</f>
        <v>b) Buena</v>
      </c>
      <c r="AT440" s="89" t="str">
        <f>Registro!AO440</f>
        <v>c) Regular</v>
      </c>
      <c r="AU440" s="89" t="str">
        <f>Registro!AP440</f>
        <v>b) Buena</v>
      </c>
      <c r="AV440" s="89" t="str">
        <f>Registro!AQ440</f>
        <v>b) Buena</v>
      </c>
      <c r="AW440" s="89" t="str">
        <f>Registro!AR440</f>
        <v>g) La orientación profesional futura</v>
      </c>
      <c r="AX440" s="89" t="str">
        <f>Registro!AS440</f>
        <v>c) Que me preocupe de los demás</v>
      </c>
      <c r="AY440" s="89" t="str">
        <f>Registro!AT440</f>
        <v>e) Absolutamente necesaria</v>
      </c>
      <c r="AZ440" s="89" t="str">
        <f>Registro!AU440</f>
        <v>b) Las veces que bebo, es con moderación</v>
      </c>
      <c r="BA440" s="89" t="str">
        <f>Registro!AV440</f>
        <v>e) Educadores que se preocupan de nosotros</v>
      </c>
      <c r="BB440" s="89" t="str">
        <f>Registro!AW440</f>
        <v>c) Bastante</v>
      </c>
      <c r="BC440" s="89" t="str">
        <f>Registro!AX440</f>
        <v>d) Hay de todo tipo, pero predomina lo positivo</v>
      </c>
      <c r="BD440" s="89" t="str">
        <f>Registro!AY440</f>
        <v>a) Mi padre, b) Mi madre, c) Un hermano/a, d) Un escolapio, religioso o religiosa, g) Un amigo, h) Una amiga</v>
      </c>
    </row>
    <row r="441" spans="1:56" ht="15" customHeight="1" x14ac:dyDescent="0.25">
      <c r="A441" s="101" t="str">
        <f>Registro!A441</f>
        <v>6/18/2015 9:16:21</v>
      </c>
      <c r="B441" s="89" t="str">
        <f>Registro!B441</f>
        <v>d) Cristo Rey de Carora</v>
      </c>
      <c r="C441" s="89" t="str">
        <f>Registro!C441</f>
        <v>c) Cuarto año</v>
      </c>
      <c r="D441" s="89" t="str">
        <f>Registro!D441</f>
        <v>a) Educación Inicial</v>
      </c>
      <c r="E441" s="89" t="str">
        <f>Registro!E441</f>
        <v>b) Femenino</v>
      </c>
      <c r="F441" s="89" t="str">
        <f>Registro!F441</f>
        <v>a) Católica</v>
      </c>
      <c r="G441" s="89" t="str">
        <f>Registro!G441</f>
        <v>a) Mamá, b) Papá, c) Hermanos</v>
      </c>
      <c r="H441" s="89" t="str">
        <f>Registro!H441</f>
        <v>b) Casa Urbana</v>
      </c>
      <c r="I441" s="89" t="str">
        <f>Registro!I441</f>
        <v>a) Sí</v>
      </c>
      <c r="J441" s="89" t="str">
        <f>Registro!J441</f>
        <v>c) Microondas, h) Carro, i) Computadora, j) Cámara digital, k) Aire acondicionado</v>
      </c>
      <c r="K441" s="89" t="str">
        <f>Registro!K441</f>
        <v>b) Una</v>
      </c>
      <c r="L441" s="89" t="str">
        <f>Registro!L441</f>
        <v>a) La familia, b) Los amigos, c) Los estudios</v>
      </c>
      <c r="M441" s="94">
        <f t="shared" si="38"/>
        <v>3</v>
      </c>
      <c r="N441" s="89" t="str">
        <f>Registro!M441</f>
        <v>g) Mis estudios</v>
      </c>
      <c r="O441" s="89" t="str">
        <f>Registro!N441</f>
        <v>c) Poco</v>
      </c>
      <c r="P441" s="89" t="str">
        <f>Registro!O441</f>
        <v>b) Suficiente</v>
      </c>
      <c r="Q441" s="89" t="str">
        <f>Registro!P441</f>
        <v>b) Suficiente</v>
      </c>
      <c r="R441" s="89" t="str">
        <f>Registro!Q441</f>
        <v>a) La familia, d) El cuidado de mi cuerpo, g) La felicidad</v>
      </c>
      <c r="S441" s="94">
        <f t="shared" si="39"/>
        <v>3</v>
      </c>
      <c r="T441" s="89" t="str">
        <f>Registro!R441</f>
        <v>a) Mucho</v>
      </c>
      <c r="U441" s="89" t="str">
        <f>Registro!S441</f>
        <v>a) La Iglesia, b) La naturaleza, c) El salón de clase, d) Las convivencias, e) Los amigos, g) Mi familia, i) Los necesitados, j) Todas partes, k) La oración, l) Los sacramentos</v>
      </c>
      <c r="V441" s="89" t="str">
        <f>Registro!T441</f>
        <v>a) Suelo rezar por convicción o porque me gusta</v>
      </c>
      <c r="W441" s="89" t="str">
        <f>Registro!U441</f>
        <v>c) Solo en fechas especiales</v>
      </c>
      <c r="X441" s="89" t="str">
        <f>Registro!V441</f>
        <v>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441" s="89" t="str">
        <f>Registro!W441</f>
        <v>a) Deportivo, d) No pertenezco a ninguno</v>
      </c>
      <c r="Z441" s="89" t="str">
        <f>Registro!X441</f>
        <v>d) No pertenezco a grupos juveniles cristianos</v>
      </c>
      <c r="AA441" s="89" t="str">
        <f>Registro!Y441</f>
        <v>b) No</v>
      </c>
      <c r="AB441" s="89" t="str">
        <f>Registro!Z441</f>
        <v>b) No</v>
      </c>
      <c r="AC441" s="89"/>
      <c r="AD441" s="94">
        <f t="shared" si="40"/>
        <v>0</v>
      </c>
      <c r="AE441" s="89" t="str">
        <f>Registro!AB441</f>
        <v>c) Ser un excelente profesional</v>
      </c>
      <c r="AF441" s="89" t="str">
        <f>Registro!AC441</f>
        <v>c) Bastante</v>
      </c>
      <c r="AG441" s="89" t="str">
        <f>Registro!AD441</f>
        <v>c) Las instalaciones del Colegio, h) Las actividades extraescolares</v>
      </c>
      <c r="AH441" s="94">
        <f t="shared" si="36"/>
        <v>2</v>
      </c>
      <c r="AI441" s="89" t="str">
        <f>Registro!AE441</f>
        <v>f) 11 o más horas</v>
      </c>
      <c r="AJ441" s="89" t="str">
        <f>Registro!AF441</f>
        <v>d) Estoy la mayor parte del tiempo en la casa sin hacer nada, m) Veo televisión y/o películas, n) Estoy conversando con los amigos/as</v>
      </c>
      <c r="AK441" s="94">
        <f t="shared" si="37"/>
        <v>3</v>
      </c>
      <c r="AL441" s="89" t="str">
        <f>Registro!AG441</f>
        <v>e) Muy deficiente</v>
      </c>
      <c r="AM441" s="89" t="str">
        <f>Registro!AH441</f>
        <v>e) Muy mala</v>
      </c>
      <c r="AN441" s="89" t="str">
        <f>Registro!AI441</f>
        <v>e) Muy mala</v>
      </c>
      <c r="AO441" s="89" t="str">
        <f>Registro!AJ441</f>
        <v>c) Regular</v>
      </c>
      <c r="AP441" s="89" t="str">
        <f>Registro!AK441</f>
        <v>e) Muy mala</v>
      </c>
      <c r="AQ441" s="89" t="str">
        <f>Registro!AL441</f>
        <v>e) Muy mala</v>
      </c>
      <c r="AR441" s="89" t="str">
        <f>Registro!AM441</f>
        <v>c) Regular</v>
      </c>
      <c r="AS441" s="89" t="str">
        <f>Registro!AN441</f>
        <v>d) Mala</v>
      </c>
      <c r="AT441" s="89" t="str">
        <f>Registro!AO441</f>
        <v>a) Muy buena</v>
      </c>
      <c r="AU441" s="89" t="str">
        <f>Registro!AP441</f>
        <v>b) Buena</v>
      </c>
      <c r="AV441" s="89" t="str">
        <f>Registro!AQ441</f>
        <v>c) Regular</v>
      </c>
      <c r="AW441" s="89" t="str">
        <f>Registro!AR441</f>
        <v>b) La orientación cristiana</v>
      </c>
      <c r="AX441" s="89" t="str">
        <f>Registro!AS441</f>
        <v>h) No sé</v>
      </c>
      <c r="AY441" s="89" t="str">
        <f>Registro!AT441</f>
        <v>e) Absolutamente necesaria</v>
      </c>
      <c r="AZ441" s="89" t="str">
        <f>Registro!AU441</f>
        <v>b) Las veces que bebo, es con moderación</v>
      </c>
      <c r="BA441" s="89" t="str">
        <f>Registro!AV441</f>
        <v>b) Profesionales que no se preocupan de nosotros</v>
      </c>
      <c r="BB441" s="89" t="str">
        <f>Registro!AW441</f>
        <v>b) Poco</v>
      </c>
      <c r="BC441" s="89" t="str">
        <f>Registro!AX441</f>
        <v>d) Hay de todo tipo, pero predomina lo positivo</v>
      </c>
      <c r="BD441" s="89" t="str">
        <f>Registro!AY441</f>
        <v>h) Una amiga</v>
      </c>
    </row>
    <row r="442" spans="1:56" ht="15" customHeight="1" x14ac:dyDescent="0.25">
      <c r="A442" s="101" t="str">
        <f>Registro!A442</f>
        <v>6/18/2015 9:16:38</v>
      </c>
      <c r="B442" s="89" t="str">
        <f>Registro!B442</f>
        <v>d) Cristo Rey de Carora</v>
      </c>
      <c r="C442" s="89" t="str">
        <f>Registro!C442</f>
        <v>c) Cuarto año</v>
      </c>
      <c r="D442" s="89" t="str">
        <f>Registro!D442</f>
        <v>a) Educación Inicial</v>
      </c>
      <c r="E442" s="89" t="str">
        <f>Registro!E442</f>
        <v>a) Masculino</v>
      </c>
      <c r="F442" s="89" t="str">
        <f>Registro!F442</f>
        <v>a) Católica</v>
      </c>
      <c r="G442" s="89" t="str">
        <f>Registro!G442</f>
        <v>a) Mamá, b) Papá, c) Hermanos</v>
      </c>
      <c r="H442" s="89" t="str">
        <f>Registro!H442</f>
        <v>b) Casa Urbana</v>
      </c>
      <c r="I442" s="89" t="str">
        <f>Registro!I442</f>
        <v>a) Sí</v>
      </c>
      <c r="J442" s="89" t="str">
        <f>Registro!J442</f>
        <v>a) Cónsola videojuegos, b) Lavadora, c) Microondas, d) TV pantalla plana, h) Carro, i) Computadora, j) Cámara digital, k) Aire acondicionado</v>
      </c>
      <c r="K442" s="89" t="str">
        <f>Registro!K442</f>
        <v>c) Dos</v>
      </c>
      <c r="L442" s="89" t="str">
        <f>Registro!L442</f>
        <v>a) La familia, b) Los amigos, e) Disponer de dinero</v>
      </c>
      <c r="M442" s="94">
        <f t="shared" si="38"/>
        <v>3</v>
      </c>
      <c r="N442" s="89" t="str">
        <f>Registro!M442</f>
        <v>b) El futuro</v>
      </c>
      <c r="O442" s="89" t="str">
        <f>Registro!N442</f>
        <v>a) Mucho</v>
      </c>
      <c r="P442" s="89" t="str">
        <f>Registro!O442</f>
        <v>a) Mucho</v>
      </c>
      <c r="Q442" s="89" t="str">
        <f>Registro!P442</f>
        <v>b) Suficiente</v>
      </c>
      <c r="R442" s="89" t="str">
        <f>Registro!Q442</f>
        <v>a) La familia, c) Los estudios, e) Disponer de dinero</v>
      </c>
      <c r="S442" s="94">
        <f t="shared" si="39"/>
        <v>3</v>
      </c>
      <c r="T442" s="89" t="str">
        <f>Registro!R442</f>
        <v>d) Nada</v>
      </c>
      <c r="U442" s="89" t="str">
        <f>Registro!S442</f>
        <v>g) Mi familia</v>
      </c>
      <c r="V442" s="89" t="str">
        <f>Registro!T442</f>
        <v>d) No rezo nunca</v>
      </c>
      <c r="W442" s="89" t="str">
        <f>Registro!U442</f>
        <v>c) Solo en fechas especiales</v>
      </c>
      <c r="X442" s="89" t="str">
        <f>Registro!V442</f>
        <v>e) Voy a misa en las fechas de mis familiares difuntos</v>
      </c>
      <c r="Y442" s="89" t="str">
        <f>Registro!W442</f>
        <v>d) No pertenezco a ninguno</v>
      </c>
      <c r="Z442" s="89" t="str">
        <f>Registro!X442</f>
        <v>d) No pertenezco a grupos juveniles cristianos</v>
      </c>
      <c r="AA442" s="89" t="str">
        <f>Registro!Y442</f>
        <v>b) No</v>
      </c>
      <c r="AB442" s="89" t="str">
        <f>Registro!Z442</f>
        <v>b) No</v>
      </c>
      <c r="AC442" s="89" t="str">
        <f>Registro!AA442</f>
        <v>a) Medicina, b) Docencia</v>
      </c>
      <c r="AD442" s="94">
        <f t="shared" si="40"/>
        <v>2</v>
      </c>
      <c r="AE442" s="89" t="str">
        <f>Registro!AB442</f>
        <v>c) Ser un excelente profesional</v>
      </c>
      <c r="AF442" s="89" t="str">
        <f>Registro!AC442</f>
        <v>a) No, en absoluto</v>
      </c>
      <c r="AG442" s="89" t="str">
        <f>Registro!AD442</f>
        <v>b) El ambiente de estudio y de trabajo, f) La igualdad de trato que se da a todos</v>
      </c>
      <c r="AH442" s="94">
        <f t="shared" si="36"/>
        <v>2</v>
      </c>
      <c r="AI442" s="89" t="str">
        <f>Registro!AE442</f>
        <v>b) 3 a 4 horas</v>
      </c>
      <c r="AJ442" s="89" t="str">
        <f>Registro!AF442</f>
        <v>f) Toco un instrumento musical, k) Practico algún deporte, l) Escucho música y/o veo videos musicales</v>
      </c>
      <c r="AK442" s="94">
        <f t="shared" si="37"/>
        <v>3</v>
      </c>
      <c r="AL442" s="89" t="str">
        <f>Registro!AG442</f>
        <v>c) Regular</v>
      </c>
      <c r="AM442" s="89" t="str">
        <f>Registro!AH442</f>
        <v>b) Buena</v>
      </c>
      <c r="AN442" s="89" t="str">
        <f>Registro!AI442</f>
        <v>c) Regular</v>
      </c>
      <c r="AO442" s="89" t="str">
        <f>Registro!AJ442</f>
        <v>c) Regular</v>
      </c>
      <c r="AP442" s="89" t="str">
        <f>Registro!AK442</f>
        <v>d) Mala</v>
      </c>
      <c r="AQ442" s="89" t="str">
        <f>Registro!AL442</f>
        <v>c) Regular</v>
      </c>
      <c r="AR442" s="89" t="str">
        <f>Registro!AM442</f>
        <v>c) Regular</v>
      </c>
      <c r="AS442" s="89" t="str">
        <f>Registro!AN442</f>
        <v>c) Regular</v>
      </c>
      <c r="AT442" s="89" t="str">
        <f>Registro!AO442</f>
        <v>b) Buena</v>
      </c>
      <c r="AU442" s="89" t="str">
        <f>Registro!AP442</f>
        <v>c) Regular</v>
      </c>
      <c r="AV442" s="89" t="str">
        <f>Registro!AQ442</f>
        <v>b) Buena</v>
      </c>
      <c r="AW442" s="89" t="str">
        <f>Registro!AR442</f>
        <v>d) La formación del carácter</v>
      </c>
      <c r="AX442" s="89" t="str">
        <f>Registro!AS442</f>
        <v>c) Que me preocupe de los demás</v>
      </c>
      <c r="AY442" s="89" t="str">
        <f>Registro!AT442</f>
        <v>b) Indiferente</v>
      </c>
      <c r="AZ442" s="89" t="str">
        <f>Registro!AU442</f>
        <v>b) Las veces que bebo, es con moderación</v>
      </c>
      <c r="BA442" s="89" t="str">
        <f>Registro!AV442</f>
        <v>c) Profesionales que hacen lo que pueden</v>
      </c>
      <c r="BB442" s="89" t="str">
        <f>Registro!AW442</f>
        <v>b) Poco</v>
      </c>
      <c r="BC442" s="89" t="str">
        <f>Registro!AX442</f>
        <v>c) Son personas normales y corrientes</v>
      </c>
      <c r="BD442" s="89" t="str">
        <f>Registro!AY442</f>
        <v>a) Mi padre, b) Mi madre, g) Un amigo, h) Una amiga</v>
      </c>
    </row>
    <row r="443" spans="1:56" ht="15" customHeight="1" x14ac:dyDescent="0.25">
      <c r="A443" s="101" t="str">
        <f>Registro!A443</f>
        <v>6/18/2015 9:17:38</v>
      </c>
      <c r="B443" s="89" t="str">
        <f>Registro!B443</f>
        <v>d) Cristo Rey de Carora</v>
      </c>
      <c r="C443" s="89" t="str">
        <f>Registro!C443</f>
        <v>c) Cuarto año</v>
      </c>
      <c r="D443" s="89" t="str">
        <f>Registro!D443</f>
        <v>b) Primaria</v>
      </c>
      <c r="E443" s="89" t="str">
        <f>Registro!E443</f>
        <v>b) Femenino</v>
      </c>
      <c r="F443" s="89" t="str">
        <f>Registro!F443</f>
        <v>a) Católica</v>
      </c>
      <c r="G443" s="89" t="str">
        <f>Registro!G443</f>
        <v>a) Mamá, b) Papá, c) Hermanos</v>
      </c>
      <c r="H443" s="89" t="str">
        <f>Registro!H443</f>
        <v>b) Casa Urbana</v>
      </c>
      <c r="I443" s="89" t="str">
        <f>Registro!I443</f>
        <v>a) Sí</v>
      </c>
      <c r="J443" s="89" t="str">
        <f>Registro!J443</f>
        <v>b) Lavadora, c) Microondas, d) TV pantalla plana, f) MP3, h) Carro, i) Computadora, j) Cámara digital, k) Aire acondicionado</v>
      </c>
      <c r="K443" s="89" t="str">
        <f>Registro!K443</f>
        <v>c) Dos</v>
      </c>
      <c r="L443" s="89" t="str">
        <f>Registro!L443</f>
        <v>a) La familia, b) Los amigos, f) Mi fe y vida cristiana</v>
      </c>
      <c r="M443" s="94">
        <f t="shared" si="38"/>
        <v>3</v>
      </c>
      <c r="N443" s="89" t="str">
        <f>Registro!M443</f>
        <v>f) La situación política del país</v>
      </c>
      <c r="O443" s="89" t="str">
        <f>Registro!N443</f>
        <v>a) Mucho</v>
      </c>
      <c r="P443" s="89" t="str">
        <f>Registro!O443</f>
        <v>b) Suficiente</v>
      </c>
      <c r="Q443" s="89" t="str">
        <f>Registro!P443</f>
        <v>a) Mucho</v>
      </c>
      <c r="R443" s="89" t="str">
        <f>Registro!Q443</f>
        <v>a) La familia, c) Los estudios, f) Mi fe y mi vida cristiana</v>
      </c>
      <c r="S443" s="94">
        <f t="shared" si="39"/>
        <v>3</v>
      </c>
      <c r="T443" s="89" t="str">
        <f>Registro!R443</f>
        <v>a) Mucho</v>
      </c>
      <c r="U443" s="89" t="str">
        <f>Registro!S443</f>
        <v>a) La Iglesia, b) La naturaleza, g) Mi familia, k) La oración, l) Los sacramentos</v>
      </c>
      <c r="V443" s="89" t="str">
        <f>Registro!T443</f>
        <v>b) Rezo por costumbre</v>
      </c>
      <c r="W443" s="89" t="str">
        <f>Registro!U443</f>
        <v>a) Todos los domingos</v>
      </c>
      <c r="X443" s="89" t="str">
        <f>Registro!V443</f>
        <v>c) Suelo ir los domingos y otras fechas especiales a la Iglesia, e) Voy a misa en las fechas de mis familiares difuntos, f) En alguna ocasión he rezado el rosario, g) En ocasiones, en mi casa tenemos una oración familiar, h) En Semana Santa asisto a las procesiones, i) Tengo en mi cuarto alguna imagen religiosa</v>
      </c>
      <c r="Y443" s="89" t="str">
        <f>Registro!W443</f>
        <v>d) No pertenezco a ninguno</v>
      </c>
      <c r="Z443" s="89" t="str">
        <f>Registro!X443</f>
        <v>d) No pertenezco a grupos juveniles cristianos</v>
      </c>
      <c r="AA443" s="89" t="str">
        <f>Registro!Y443</f>
        <v>b) No</v>
      </c>
      <c r="AB443" s="89" t="str">
        <f>Registro!Z443</f>
        <v>b) No</v>
      </c>
      <c r="AC443" s="89" t="str">
        <f>Registro!AA443</f>
        <v>a) Medicina, d) Ingeniería</v>
      </c>
      <c r="AD443" s="94">
        <f t="shared" si="40"/>
        <v>2</v>
      </c>
      <c r="AE443" s="89" t="str">
        <f>Registro!AB443</f>
        <v>c) Ser un excelente profesional</v>
      </c>
      <c r="AF443" s="89" t="str">
        <f>Registro!AC443</f>
        <v>e) No sé</v>
      </c>
      <c r="AG443" s="89" t="str">
        <f>Registro!AD443</f>
        <v>i) No me gusta nada</v>
      </c>
      <c r="AH443" s="94">
        <f t="shared" si="36"/>
        <v>1</v>
      </c>
      <c r="AI443" s="89" t="str">
        <f>Registro!AE443</f>
        <v>d) 7 a 8 horas</v>
      </c>
      <c r="AJ443" s="89" t="str">
        <f>Registro!AF443</f>
        <v>d) Estoy la mayor parte del tiempo en la casa sin hacer nada, i) Leo revistas o libros, n) Estoy conversando con los amigos/as</v>
      </c>
      <c r="AK443" s="94">
        <f t="shared" si="37"/>
        <v>3</v>
      </c>
      <c r="AL443" s="89" t="str">
        <f>Registro!AG443</f>
        <v>c) Regular</v>
      </c>
      <c r="AM443" s="89" t="str">
        <f>Registro!AH443</f>
        <v>c) Regular</v>
      </c>
      <c r="AN443" s="89" t="str">
        <f>Registro!AI443</f>
        <v>d) Mala</v>
      </c>
      <c r="AO443" s="89" t="str">
        <f>Registro!AJ443</f>
        <v>c) Regular</v>
      </c>
      <c r="AP443" s="89" t="str">
        <f>Registro!AK443</f>
        <v>f) No aplica</v>
      </c>
      <c r="AQ443" s="89" t="str">
        <f>Registro!AL443</f>
        <v>e) Muy mala</v>
      </c>
      <c r="AR443" s="89" t="str">
        <f>Registro!AM443</f>
        <v>e) Muy mala</v>
      </c>
      <c r="AS443" s="89" t="str">
        <f>Registro!AN443</f>
        <v>c) Regular</v>
      </c>
      <c r="AT443" s="89" t="str">
        <f>Registro!AO443</f>
        <v>a) Muy buena</v>
      </c>
      <c r="AU443" s="89" t="str">
        <f>Registro!AP443</f>
        <v>b) Buena</v>
      </c>
      <c r="AV443" s="89" t="str">
        <f>Registro!AQ443</f>
        <v>c) Regular</v>
      </c>
      <c r="AW443" s="89" t="str">
        <f>Registro!AR443</f>
        <v>d) La formación del carácter</v>
      </c>
      <c r="AX443" s="89" t="str">
        <f>Registro!AS443</f>
        <v>f) Que tenga honradez en la vida</v>
      </c>
      <c r="AY443" s="89" t="str">
        <f>Registro!AT443</f>
        <v>e) Absolutamente necesaria</v>
      </c>
      <c r="AZ443" s="89" t="str">
        <f>Registro!AU443</f>
        <v>b) Las veces que bebo, es con moderación</v>
      </c>
      <c r="BA443" s="89" t="str">
        <f>Registro!AV443</f>
        <v>a) Personas a las que tengo que aguantar</v>
      </c>
      <c r="BB443" s="89" t="str">
        <f>Registro!AW443</f>
        <v>b) Poco</v>
      </c>
      <c r="BC443" s="89" t="str">
        <f>Registro!AX443</f>
        <v>e) Son personas que me gustan y admiro</v>
      </c>
      <c r="BD443" s="89" t="str">
        <f>Registro!AY443</f>
        <v>a) Mi padre, b) Mi madre, c) Un hermano/a, d) Un escolapio, religioso o religiosa, g) Un amigo, h) Una amiga</v>
      </c>
    </row>
    <row r="444" spans="1:56" ht="15" customHeight="1" x14ac:dyDescent="0.25">
      <c r="A444" s="101" t="str">
        <f>Registro!A444</f>
        <v>6/18/2015 9:18:17</v>
      </c>
      <c r="B444" s="89" t="str">
        <f>Registro!B444</f>
        <v>d) Cristo Rey de Carora</v>
      </c>
      <c r="C444" s="89" t="str">
        <f>Registro!C444</f>
        <v>c) Cuarto año</v>
      </c>
      <c r="D444" s="89" t="str">
        <f>Registro!D444</f>
        <v>a) Educación Inicial</v>
      </c>
      <c r="E444" s="89" t="str">
        <f>Registro!E444</f>
        <v>b) Femenino</v>
      </c>
      <c r="F444" s="89" t="str">
        <f>Registro!F444</f>
        <v>a) Católica</v>
      </c>
      <c r="G444" s="89" t="str">
        <f>Registro!G444</f>
        <v>a) Mamá, c) Hermanos</v>
      </c>
      <c r="H444" s="89" t="str">
        <f>Registro!H444</f>
        <v>b) Casa Urbana</v>
      </c>
      <c r="I444" s="89" t="str">
        <f>Registro!I444</f>
        <v>c) Algo</v>
      </c>
      <c r="J444" s="89" t="str">
        <f>Registro!J444</f>
        <v>b) Lavadora, i) Computadora, j) Cámara digital, k) Aire acondicionado</v>
      </c>
      <c r="K444" s="89" t="str">
        <f>Registro!K444</f>
        <v>b) Una</v>
      </c>
      <c r="L444" s="89" t="str">
        <f>Registro!L444</f>
        <v>a) La familia, b) Los amigos, f) Mi fe y vida cristiana</v>
      </c>
      <c r="M444" s="94">
        <f t="shared" si="38"/>
        <v>3</v>
      </c>
      <c r="N444" s="89" t="str">
        <f>Registro!M444</f>
        <v>b) El futuro</v>
      </c>
      <c r="O444" s="89" t="str">
        <f>Registro!N444</f>
        <v>b) Suficiente</v>
      </c>
      <c r="P444" s="89" t="str">
        <f>Registro!O444</f>
        <v>c) Poco</v>
      </c>
      <c r="Q444" s="89" t="str">
        <f>Registro!P444</f>
        <v>c) Poco</v>
      </c>
      <c r="R444" s="89" t="str">
        <f>Registro!Q444</f>
        <v>a) La familia, e) Disponer de dinero, i) La música</v>
      </c>
      <c r="S444" s="94">
        <f t="shared" si="39"/>
        <v>3</v>
      </c>
      <c r="T444" s="89" t="str">
        <f>Registro!R444</f>
        <v>a) Mucho</v>
      </c>
      <c r="U444" s="89" t="str">
        <f>Registro!S444</f>
        <v>a) La Iglesia, b) La naturaleza, d) Las convivencias, f) Todas las personas, g) Mi familia, i) Los necesitados, j) Todas partes, k) La oración</v>
      </c>
      <c r="V444" s="89" t="str">
        <f>Registro!T444</f>
        <v>a) Suelo rezar por convicción o porque me gusta</v>
      </c>
      <c r="W444" s="89" t="str">
        <f>Registro!U444</f>
        <v>a) Todos los domingos</v>
      </c>
      <c r="X444" s="89" t="str">
        <f>Registro!V444</f>
        <v>a) Suelo llevar una cruz o algún objeto religioso, c) Suelo ir los domingos y otras fechas especiales a la Iglesia, d) Suelo orar todos los días, e) Voy a misa en las fechas de mis familiares difuntos, h) En Semana Santa asisto a las procesiones, i) Tengo en mi cuarto alguna imagen religiosa</v>
      </c>
      <c r="Y444" s="89" t="str">
        <f>Registro!W444</f>
        <v>c) Religioso o parroquial</v>
      </c>
      <c r="Z444" s="89" t="str">
        <f>Registro!X444</f>
        <v>a) Un grupo donde profundizo mi fe</v>
      </c>
      <c r="AA444" s="89" t="str">
        <f>Registro!Y444</f>
        <v>b) No</v>
      </c>
      <c r="AB444" s="89" t="str">
        <f>Registro!Z444</f>
        <v>b) No</v>
      </c>
      <c r="AC444" s="89" t="str">
        <f>Registro!AA444</f>
        <v>a) Medicina, c) Sacerdocio o hermana religiosa</v>
      </c>
      <c r="AD444" s="94">
        <f t="shared" si="40"/>
        <v>2</v>
      </c>
      <c r="AE444" s="89" t="str">
        <f>Registro!AB444</f>
        <v>e) Servir a los demás</v>
      </c>
      <c r="AF444" s="89" t="str">
        <f>Registro!AC444</f>
        <v>c) Bastante</v>
      </c>
      <c r="AG444" s="89" t="str">
        <f>Registro!AD444</f>
        <v>d) Los grupos juveniles cristianos, e) La mayor posibilidad de vivir mi fe</v>
      </c>
      <c r="AH444" s="94">
        <f t="shared" si="36"/>
        <v>2</v>
      </c>
      <c r="AI444" s="89" t="str">
        <f>Registro!AE444</f>
        <v>f) 11 o más horas</v>
      </c>
      <c r="AJ444" s="89" t="str">
        <f>Registro!AF444</f>
        <v>i) Leo revistas o libros, j) Estoy en algún grupo juvenil, l) Escucho música y/o veo videos musicales</v>
      </c>
      <c r="AK444" s="94">
        <f t="shared" si="37"/>
        <v>3</v>
      </c>
      <c r="AL444" s="89" t="str">
        <f>Registro!AG444</f>
        <v>b) Bueno</v>
      </c>
      <c r="AM444" s="89" t="str">
        <f>Registro!AH444</f>
        <v>c) Regular</v>
      </c>
      <c r="AN444" s="89" t="str">
        <f>Registro!AI444</f>
        <v>b) Buena</v>
      </c>
      <c r="AO444" s="89" t="str">
        <f>Registro!AJ444</f>
        <v>b) Buena</v>
      </c>
      <c r="AP444" s="89" t="str">
        <f>Registro!AK444</f>
        <v>d) Mala</v>
      </c>
      <c r="AQ444" s="89" t="str">
        <f>Registro!AL444</f>
        <v>b) Buena</v>
      </c>
      <c r="AR444" s="89" t="str">
        <f>Registro!AM444</f>
        <v>c) Regular</v>
      </c>
      <c r="AS444" s="89" t="str">
        <f>Registro!AN444</f>
        <v>b) Buena</v>
      </c>
      <c r="AT444" s="89" t="str">
        <f>Registro!AO444</f>
        <v>a) Muy buena</v>
      </c>
      <c r="AU444" s="89" t="str">
        <f>Registro!AP444</f>
        <v>a) Muy buena</v>
      </c>
      <c r="AV444" s="89" t="str">
        <f>Registro!AQ444</f>
        <v>c) Regular</v>
      </c>
      <c r="AW444" s="89" t="str">
        <f>Registro!AR444</f>
        <v>e) La disciplina y el orden</v>
      </c>
      <c r="AX444" s="89" t="str">
        <f>Registro!AS444</f>
        <v>b) Darme una buena educación</v>
      </c>
      <c r="AY444" s="89" t="str">
        <f>Registro!AT444</f>
        <v>e) Absolutamente necesaria</v>
      </c>
      <c r="AZ444" s="89" t="str">
        <f>Registro!AU444</f>
        <v>a) No acostumbro a tomarlo nunca</v>
      </c>
      <c r="BA444" s="89" t="str">
        <f>Registro!AV444</f>
        <v>e) Educadores que se preocupan de nosotros</v>
      </c>
      <c r="BB444" s="89" t="str">
        <f>Registro!AW444</f>
        <v>b) Poco</v>
      </c>
      <c r="BC444" s="89" t="str">
        <f>Registro!AX444</f>
        <v>e) Son personas que me gustan y admiro</v>
      </c>
      <c r="BD444" s="89" t="str">
        <f>Registro!AY444</f>
        <v>d) Un escolapio, religioso o religiosa, h) Una amiga, j) Nadie</v>
      </c>
    </row>
    <row r="445" spans="1:56" ht="15" customHeight="1" x14ac:dyDescent="0.25">
      <c r="A445" s="101" t="str">
        <f>Registro!A445</f>
        <v>6/18/2015 9:19:23</v>
      </c>
      <c r="B445" s="89" t="str">
        <f>Registro!B445</f>
        <v>d) Cristo Rey de Carora</v>
      </c>
      <c r="C445" s="89" t="str">
        <f>Registro!C445</f>
        <v>c) Cuarto año</v>
      </c>
      <c r="D445" s="89" t="str">
        <f>Registro!D445</f>
        <v>a) Educación Inicial</v>
      </c>
      <c r="E445" s="89" t="str">
        <f>Registro!E445</f>
        <v>b) Femenino</v>
      </c>
      <c r="F445" s="89" t="str">
        <f>Registro!F445</f>
        <v>a) Católica</v>
      </c>
      <c r="G445" s="89" t="str">
        <f>Registro!G445</f>
        <v>a) Mamá, c) Hermanos</v>
      </c>
      <c r="H445" s="89" t="str">
        <f>Registro!H445</f>
        <v>b) Casa Urbana</v>
      </c>
      <c r="I445" s="89" t="str">
        <f>Registro!I445</f>
        <v>c) Algo</v>
      </c>
      <c r="J445" s="89" t="str">
        <f>Registro!J445</f>
        <v>i) Computadora, j) Cámara digital, k) Aire acondicionado</v>
      </c>
      <c r="K445" s="89" t="str">
        <f>Registro!K445</f>
        <v>c) Dos</v>
      </c>
      <c r="L445" s="89" t="str">
        <f>Registro!L445</f>
        <v>a) La familia, c) Los estudios, f) Mi fe y vida cristiana</v>
      </c>
      <c r="M445" s="94">
        <f t="shared" si="38"/>
        <v>3</v>
      </c>
      <c r="N445" s="89" t="str">
        <f>Registro!M445</f>
        <v>b) El futuro</v>
      </c>
      <c r="O445" s="89" t="str">
        <f>Registro!N445</f>
        <v>b) Suficiente</v>
      </c>
      <c r="P445" s="89" t="str">
        <f>Registro!O445</f>
        <v>c) Poco</v>
      </c>
      <c r="Q445" s="89" t="str">
        <f>Registro!P445</f>
        <v>b) Suficiente</v>
      </c>
      <c r="R445" s="89" t="str">
        <f>Registro!Q445</f>
        <v>a) La familia, e) Disponer de dinero, g) La felicidad</v>
      </c>
      <c r="S445" s="94">
        <f t="shared" si="39"/>
        <v>3</v>
      </c>
      <c r="T445" s="89" t="str">
        <f>Registro!R445</f>
        <v>a) Mucho</v>
      </c>
      <c r="U445" s="89" t="str">
        <f>Registro!S445</f>
        <v>d) Las convivencias, i) Los necesitados, k) La oración</v>
      </c>
      <c r="V445" s="89" t="str">
        <f>Registro!T445</f>
        <v>b) Rezo por costumbre</v>
      </c>
      <c r="W445" s="89" t="str">
        <f>Registro!U445</f>
        <v>a) Todos los domingos</v>
      </c>
      <c r="X445" s="89" t="str">
        <f>Registro!V445</f>
        <v>a) Suelo llevar una cruz o algún objeto religioso, c) Suelo ir los domingos y otras fechas especiales a la Iglesia, e) Voy a misa en las fechas de mis familiares difuntos, f) En alguna ocasión he rezado el rosario, h) En Semana Santa asisto a las procesiones</v>
      </c>
      <c r="Y445" s="89" t="str">
        <f>Registro!W445</f>
        <v>c) Religioso o parroquial</v>
      </c>
      <c r="Z445" s="89" t="str">
        <f>Registro!X445</f>
        <v>a) Un grupo donde profundizo mi fe</v>
      </c>
      <c r="AA445" s="89" t="str">
        <f>Registro!Y445</f>
        <v>c) Algo</v>
      </c>
      <c r="AB445" s="89" t="str">
        <f>Registro!Z445</f>
        <v>b) No</v>
      </c>
      <c r="AC445" s="89" t="str">
        <f>Registro!AA445</f>
        <v>a) Medicina, c) Sacerdocio o hermana religiosa</v>
      </c>
      <c r="AD445" s="94">
        <f t="shared" si="40"/>
        <v>2</v>
      </c>
      <c r="AE445" s="89" t="str">
        <f>Registro!AB445</f>
        <v>e) Servir a los demás</v>
      </c>
      <c r="AF445" s="89" t="str">
        <f>Registro!AC445</f>
        <v>d) Mucho o muchísimo</v>
      </c>
      <c r="AG445" s="89" t="str">
        <f>Registro!AD445</f>
        <v>d) Los grupos juveniles cristianos, e) La mayor posibilidad de vivir mi fe</v>
      </c>
      <c r="AH445" s="94">
        <f t="shared" si="36"/>
        <v>2</v>
      </c>
      <c r="AI445" s="89" t="str">
        <f>Registro!AE445</f>
        <v>f) 11 o más horas</v>
      </c>
      <c r="AJ445" s="89" t="str">
        <f>Registro!AF445</f>
        <v>d) Estoy la mayor parte del tiempo en la casa sin hacer nada, i) Leo revistas o libros, j) Estoy en algún grupo juvenil</v>
      </c>
      <c r="AK445" s="94">
        <f t="shared" si="37"/>
        <v>3</v>
      </c>
      <c r="AL445" s="89" t="str">
        <f>Registro!AG445</f>
        <v>c) Regular</v>
      </c>
      <c r="AM445" s="89" t="str">
        <f>Registro!AH445</f>
        <v>b) Buena</v>
      </c>
      <c r="AN445" s="89" t="str">
        <f>Registro!AI445</f>
        <v>c) Regular</v>
      </c>
      <c r="AO445" s="89" t="str">
        <f>Registro!AJ445</f>
        <v>c) Regular</v>
      </c>
      <c r="AP445" s="89" t="str">
        <f>Registro!AK445</f>
        <v>b) Buena</v>
      </c>
      <c r="AQ445" s="89" t="str">
        <f>Registro!AL445</f>
        <v>b) Buena</v>
      </c>
      <c r="AR445" s="89" t="str">
        <f>Registro!AM445</f>
        <v>d) Mala</v>
      </c>
      <c r="AS445" s="89" t="str">
        <f>Registro!AN445</f>
        <v>a) Muy buena</v>
      </c>
      <c r="AT445" s="89" t="str">
        <f>Registro!AO445</f>
        <v>a) Muy buena</v>
      </c>
      <c r="AU445" s="89" t="str">
        <f>Registro!AP445</f>
        <v>b) Buena</v>
      </c>
      <c r="AV445" s="89" t="str">
        <f>Registro!AQ445</f>
        <v>b) Buena</v>
      </c>
      <c r="AW445" s="89" t="str">
        <f>Registro!AR445</f>
        <v>e) La disciplina y el orden</v>
      </c>
      <c r="AX445" s="89" t="str">
        <f>Registro!AS445</f>
        <v>c) Que me preocupe de los demás</v>
      </c>
      <c r="AY445" s="89" t="str">
        <f>Registro!AT445</f>
        <v>e) Absolutamente necesaria</v>
      </c>
      <c r="AZ445" s="89" t="str">
        <f>Registro!AU445</f>
        <v>a) No acostumbro a tomarlo nunca</v>
      </c>
      <c r="BA445" s="89" t="str">
        <f>Registro!AV445</f>
        <v>d) Buenos profesionales de la educación</v>
      </c>
      <c r="BB445" s="89" t="str">
        <f>Registro!AW445</f>
        <v>c) Bastante</v>
      </c>
      <c r="BC445" s="89" t="str">
        <f>Registro!AX445</f>
        <v>e) Son personas que me gustan y admiro</v>
      </c>
      <c r="BD445" s="89" t="str">
        <f>Registro!AY445</f>
        <v>b) Mi madre, c) Un hermano/a, h) Una amiga</v>
      </c>
    </row>
    <row r="446" spans="1:56" ht="15" customHeight="1" x14ac:dyDescent="0.25">
      <c r="A446" s="101" t="str">
        <f>Registro!A446</f>
        <v>6/18/2015 9:19:38</v>
      </c>
      <c r="B446" s="89" t="str">
        <f>Registro!B446</f>
        <v>d) Cristo Rey de Carora</v>
      </c>
      <c r="C446" s="89" t="str">
        <f>Registro!C446</f>
        <v>c) Cuarto año</v>
      </c>
      <c r="D446" s="89" t="str">
        <f>Registro!D446</f>
        <v>b) Primaria</v>
      </c>
      <c r="E446" s="89" t="str">
        <f>Registro!E446</f>
        <v>b) Femenino</v>
      </c>
      <c r="F446" s="89" t="str">
        <f>Registro!F446</f>
        <v>a) Católica</v>
      </c>
      <c r="G446" s="89" t="str">
        <f>Registro!G446</f>
        <v>a) Mamá, b) Papá, c) Hermanos, e) Otros familiares</v>
      </c>
      <c r="H446" s="89" t="str">
        <f>Registro!H446</f>
        <v>b) Casa Urbana</v>
      </c>
      <c r="I446" s="89" t="str">
        <f>Registro!I446</f>
        <v>a) Sí</v>
      </c>
      <c r="J446" s="89" t="str">
        <f>Registro!J446</f>
        <v>b) Lavadora, i) Computadora, k) Aire acondicionado</v>
      </c>
      <c r="K446" s="89" t="str">
        <f>Registro!K446</f>
        <v>b) Una</v>
      </c>
      <c r="L446" s="89"/>
      <c r="M446" s="94">
        <f t="shared" si="38"/>
        <v>0</v>
      </c>
      <c r="N446" s="89" t="str">
        <f>Registro!M446</f>
        <v>a) Seguridad personal (la violencia y la delincuencia)</v>
      </c>
      <c r="O446" s="89" t="str">
        <f>Registro!N446</f>
        <v>b) Suficiente</v>
      </c>
      <c r="P446" s="89" t="str">
        <f>Registro!O446</f>
        <v>d) Nada</v>
      </c>
      <c r="Q446" s="89" t="str">
        <f>Registro!P446</f>
        <v>c) Poco</v>
      </c>
      <c r="R446" s="89" t="str">
        <f>Registro!Q446</f>
        <v>a) La familia, c) Los estudios, d) El cuidado de mi cuerpo</v>
      </c>
      <c r="S446" s="94">
        <f t="shared" si="39"/>
        <v>3</v>
      </c>
      <c r="T446" s="89" t="str">
        <f>Registro!R446</f>
        <v>a) Mucho</v>
      </c>
      <c r="U446" s="89" t="str">
        <f>Registro!S446</f>
        <v>b) La naturaleza, d) Las convivencias, g) Mi familia, h) Algunas personas cercanas a Dios, i) Los necesitados, k) La oración</v>
      </c>
      <c r="V446" s="89" t="str">
        <f>Registro!T446</f>
        <v>c) Rezo solo en situación de dificultad</v>
      </c>
      <c r="W446" s="89" t="str">
        <f>Registro!U446</f>
        <v>c) Solo en fechas especiales</v>
      </c>
      <c r="X446" s="89" t="str">
        <f>Registro!V446</f>
        <v>a) Suelo llevar una cruz o algún objeto religioso, f) En alguna ocasión he rezado el rosario, i) Tengo en mi cuarto alguna imagen religiosa</v>
      </c>
      <c r="Y446" s="89" t="str">
        <f>Registro!W446</f>
        <v>d) No pertenezco a ninguno</v>
      </c>
      <c r="Z446" s="89" t="str">
        <f>Registro!X446</f>
        <v>d) No pertenezco a grupos juveniles cristianos</v>
      </c>
      <c r="AA446" s="89" t="str">
        <f>Registro!Y446</f>
        <v>b) No</v>
      </c>
      <c r="AB446" s="89" t="str">
        <f>Registro!Z446</f>
        <v>b) No</v>
      </c>
      <c r="AC446" s="89" t="str">
        <f>Registro!AA446</f>
        <v>g) Artista, j) Trabajador calificado</v>
      </c>
      <c r="AD446" s="94">
        <f t="shared" si="40"/>
        <v>2</v>
      </c>
      <c r="AE446" s="89" t="str">
        <f>Registro!AB446</f>
        <v>d) Desarrollarme personalmente</v>
      </c>
      <c r="AF446" s="89" t="str">
        <f>Registro!AC446</f>
        <v>c) Bastante</v>
      </c>
      <c r="AG446" s="89" t="str">
        <f>Registro!AD446</f>
        <v>c) Las instalaciones del Colegio, h) Las actividades extraescolares</v>
      </c>
      <c r="AH446" s="94">
        <f t="shared" si="36"/>
        <v>2</v>
      </c>
      <c r="AI446" s="89" t="str">
        <f>Registro!AE446</f>
        <v>d) 7 a 8 horas</v>
      </c>
      <c r="AJ446" s="89" t="str">
        <f>Registro!AF446</f>
        <v>b) Navego en Internet, d) Estoy la mayor parte del tiempo en la casa sin hacer nada, n) Estoy conversando con los amigos/as</v>
      </c>
      <c r="AK446" s="94">
        <f t="shared" si="37"/>
        <v>3</v>
      </c>
      <c r="AL446" s="89" t="str">
        <f>Registro!AG446</f>
        <v>c) Regular</v>
      </c>
      <c r="AM446" s="89" t="str">
        <f>Registro!AH446</f>
        <v>d) Mala</v>
      </c>
      <c r="AN446" s="89" t="str">
        <f>Registro!AI446</f>
        <v>c) Regular</v>
      </c>
      <c r="AO446" s="89" t="str">
        <f>Registro!AJ446</f>
        <v>b) Buena</v>
      </c>
      <c r="AP446" s="89" t="str">
        <f>Registro!AK446</f>
        <v>e) Muy mala</v>
      </c>
      <c r="AQ446" s="89" t="str">
        <f>Registro!AL446</f>
        <v>c) Regular</v>
      </c>
      <c r="AR446" s="89" t="str">
        <f>Registro!AM446</f>
        <v>b) Buena</v>
      </c>
      <c r="AS446" s="89" t="str">
        <f>Registro!AN446</f>
        <v>b) Buena</v>
      </c>
      <c r="AT446" s="89" t="str">
        <f>Registro!AO446</f>
        <v>a) Muy buena</v>
      </c>
      <c r="AU446" s="89" t="str">
        <f>Registro!AP446</f>
        <v>b) Buena</v>
      </c>
      <c r="AV446" s="89" t="str">
        <f>Registro!AQ446</f>
        <v>b) Buena</v>
      </c>
      <c r="AW446" s="89" t="str">
        <f>Registro!AR446</f>
        <v>h) La responsabilidad social y el servicio a los demás</v>
      </c>
      <c r="AX446" s="89" t="str">
        <f>Registro!AS446</f>
        <v>c) Que me preocupe de los demás</v>
      </c>
      <c r="AY446" s="89" t="str">
        <f>Registro!AT446</f>
        <v>e) Absolutamente necesaria</v>
      </c>
      <c r="AZ446" s="89" t="str">
        <f>Registro!AU446</f>
        <v>b) Las veces que bebo, es con moderación</v>
      </c>
      <c r="BA446" s="89" t="str">
        <f>Registro!AV446</f>
        <v>a) Personas a las que tengo que aguantar</v>
      </c>
      <c r="BB446" s="89" t="str">
        <f>Registro!AW446</f>
        <v>b) Poco</v>
      </c>
      <c r="BC446" s="89" t="str">
        <f>Registro!AX446</f>
        <v>e) Son personas que me gustan y admiro</v>
      </c>
      <c r="BD446" s="89" t="str">
        <f>Registro!AY446</f>
        <v>c) Un hermano/a, h) Una amiga</v>
      </c>
    </row>
    <row r="447" spans="1:56" ht="15" customHeight="1" x14ac:dyDescent="0.25">
      <c r="A447" s="101" t="str">
        <f>Registro!A447</f>
        <v>6/18/2015 9:22:01</v>
      </c>
      <c r="B447" s="89" t="str">
        <f>Registro!B447</f>
        <v>d) Cristo Rey de Carora</v>
      </c>
      <c r="C447" s="89" t="str">
        <f>Registro!C447</f>
        <v>c) Cuarto año</v>
      </c>
      <c r="D447" s="89" t="str">
        <f>Registro!D447</f>
        <v>a) Educación Inicial</v>
      </c>
      <c r="E447" s="89" t="str">
        <f>Registro!E447</f>
        <v>b) Femenino</v>
      </c>
      <c r="F447" s="89" t="str">
        <f>Registro!F447</f>
        <v>a) Católica</v>
      </c>
      <c r="G447" s="89" t="str">
        <f>Registro!G447</f>
        <v>a) Mamá, c) Hermanos, e) Otros familiares</v>
      </c>
      <c r="H447" s="89" t="str">
        <f>Registro!H447</f>
        <v>b) Casa Urbana</v>
      </c>
      <c r="I447" s="89" t="str">
        <f>Registro!I447</f>
        <v>a) Sí</v>
      </c>
      <c r="J447" s="89" t="str">
        <f>Registro!J447</f>
        <v>b) Lavadora, i) Computadora, j) Cámara digital, k) Aire acondicionado</v>
      </c>
      <c r="K447" s="89" t="str">
        <f>Registro!K447</f>
        <v>b) Una</v>
      </c>
      <c r="L447" s="89" t="str">
        <f>Registro!L447</f>
        <v>a) La familia, b) Los amigos, f) Mi fe y vida cristiana</v>
      </c>
      <c r="M447" s="94">
        <f t="shared" si="38"/>
        <v>3</v>
      </c>
      <c r="N447" s="89" t="str">
        <f>Registro!M447</f>
        <v>b) El futuro</v>
      </c>
      <c r="O447" s="89" t="str">
        <f>Registro!N447</f>
        <v>b) Suficiente</v>
      </c>
      <c r="P447" s="89" t="str">
        <f>Registro!O447</f>
        <v>b) Suficiente</v>
      </c>
      <c r="Q447" s="89" t="str">
        <f>Registro!P447</f>
        <v>b) Suficiente</v>
      </c>
      <c r="R447" s="89" t="str">
        <f>Registro!Q447</f>
        <v>b) Los amigos, c) Los estudios, g) La felicidad</v>
      </c>
      <c r="S447" s="94">
        <f t="shared" si="39"/>
        <v>3</v>
      </c>
      <c r="T447" s="89" t="str">
        <f>Registro!R447</f>
        <v>a) Mucho</v>
      </c>
      <c r="U447" s="89" t="str">
        <f>Registro!S447</f>
        <v>a) La Iglesia, d) Las convivencias, e) Los amigos, i) Los necesitados, k) La oración</v>
      </c>
      <c r="V447" s="89" t="str">
        <f>Registro!T447</f>
        <v>c) Rezo solo en situación de dificultad</v>
      </c>
      <c r="W447" s="89" t="str">
        <f>Registro!U447</f>
        <v>b) Algunos domingos</v>
      </c>
      <c r="X447" s="89" t="str">
        <f>Registro!V447</f>
        <v>c) Suelo ir los domingos y otras fechas especiales a la Iglesia, f) En alguna ocasión he rezado el rosario, i) Tengo en mi cuarto alguna imagen religiosa</v>
      </c>
      <c r="Y447" s="89" t="str">
        <f>Registro!W447</f>
        <v>c) Religioso o parroquial</v>
      </c>
      <c r="Z447" s="89" t="str">
        <f>Registro!X447</f>
        <v>d) No pertenezco a grupos juveniles cristianos</v>
      </c>
      <c r="AA447" s="89" t="str">
        <f>Registro!Y447</f>
        <v>c) Algo</v>
      </c>
      <c r="AB447" s="89" t="str">
        <f>Registro!Z447</f>
        <v>b) No</v>
      </c>
      <c r="AC447" s="89" t="str">
        <f>Registro!AA447</f>
        <v>a) Medicina, c) Sacerdocio o hermana religiosa</v>
      </c>
      <c r="AD447" s="94">
        <f t="shared" si="40"/>
        <v>2</v>
      </c>
      <c r="AE447" s="89" t="str">
        <f>Registro!AB447</f>
        <v>f) Ejecutar una tarea conforme a mi fe</v>
      </c>
      <c r="AF447" s="89" t="str">
        <f>Registro!AC447</f>
        <v>c) Bastante</v>
      </c>
      <c r="AG447" s="89" t="str">
        <f>Registro!AD447</f>
        <v>d) Los grupos juveniles cristianos, e) La mayor posibilidad de vivir mi fe</v>
      </c>
      <c r="AH447" s="94">
        <f t="shared" si="36"/>
        <v>2</v>
      </c>
      <c r="AI447" s="89" t="str">
        <f>Registro!AE447</f>
        <v>d) 7 a 8 horas</v>
      </c>
      <c r="AJ447" s="89" t="str">
        <f>Registro!AF447</f>
        <v>b) Navego en Internet, i) Leo revistas o libros, m) Veo televisión y/o películas</v>
      </c>
      <c r="AK447" s="94">
        <f t="shared" si="37"/>
        <v>3</v>
      </c>
      <c r="AL447" s="89" t="str">
        <f>Registro!AG447</f>
        <v>b) Bueno</v>
      </c>
      <c r="AM447" s="89" t="str">
        <f>Registro!AH447</f>
        <v>c) Regular</v>
      </c>
      <c r="AN447" s="89" t="str">
        <f>Registro!AI447</f>
        <v>b) Buena</v>
      </c>
      <c r="AO447" s="89" t="str">
        <f>Registro!AJ447</f>
        <v>c) Regular</v>
      </c>
      <c r="AP447" s="89" t="str">
        <f>Registro!AK447</f>
        <v>c) Regular</v>
      </c>
      <c r="AQ447" s="89" t="str">
        <f>Registro!AL447</f>
        <v>b) Buena</v>
      </c>
      <c r="AR447" s="89" t="str">
        <f>Registro!AM447</f>
        <v>b) Buena</v>
      </c>
      <c r="AS447" s="89" t="str">
        <f>Registro!AN447</f>
        <v>a) Muy buena</v>
      </c>
      <c r="AT447" s="89" t="str">
        <f>Registro!AO447</f>
        <v>a) Muy buena</v>
      </c>
      <c r="AU447" s="89" t="str">
        <f>Registro!AP447</f>
        <v>a) Muy buena</v>
      </c>
      <c r="AV447" s="89" t="str">
        <f>Registro!AQ447</f>
        <v>a) Muy buena</v>
      </c>
      <c r="AW447" s="89" t="str">
        <f>Registro!AR447</f>
        <v>g) La orientación profesional futura</v>
      </c>
      <c r="AX447" s="89" t="str">
        <f>Registro!AS447</f>
        <v>e) Que sea cristiano responsable</v>
      </c>
      <c r="AY447" s="89" t="str">
        <f>Registro!AT447</f>
        <v>e) Absolutamente necesaria</v>
      </c>
      <c r="AZ447" s="89" t="str">
        <f>Registro!AU447</f>
        <v>a) No acostumbro a tomarlo nunca</v>
      </c>
      <c r="BA447" s="89" t="str">
        <f>Registro!AV447</f>
        <v>d) Buenos profesionales de la educación</v>
      </c>
      <c r="BB447" s="89" t="str">
        <f>Registro!AW447</f>
        <v>c) Bastante</v>
      </c>
      <c r="BC447" s="89" t="str">
        <f>Registro!AX447</f>
        <v>e) Son personas que me gustan y admiro</v>
      </c>
      <c r="BD447" s="89" t="str">
        <f>Registro!AY447</f>
        <v>j) Nadie</v>
      </c>
    </row>
    <row r="448" spans="1:56" ht="15" customHeight="1" x14ac:dyDescent="0.25">
      <c r="A448" s="101" t="str">
        <f>Registro!A448</f>
        <v>6/18/2015 9:23:05</v>
      </c>
      <c r="B448" s="89" t="str">
        <f>Registro!B448</f>
        <v>d) Cristo Rey de Carora</v>
      </c>
      <c r="C448" s="89" t="str">
        <f>Registro!C448</f>
        <v>c) Cuarto año</v>
      </c>
      <c r="D448" s="89" t="str">
        <f>Registro!D448</f>
        <v>b) Primaria</v>
      </c>
      <c r="E448" s="89" t="str">
        <f>Registro!E448</f>
        <v>b) Femenino</v>
      </c>
      <c r="F448" s="89" t="str">
        <f>Registro!F448</f>
        <v>a) Católica</v>
      </c>
      <c r="G448" s="89" t="str">
        <f>Registro!G448</f>
        <v>a) Mamá, b) Papá, c) Hermanos</v>
      </c>
      <c r="H448" s="89" t="str">
        <f>Registro!H448</f>
        <v>b) Casa Urbana</v>
      </c>
      <c r="I448" s="89" t="str">
        <f>Registro!I448</f>
        <v>a) Sí</v>
      </c>
      <c r="J448" s="89" t="str">
        <f>Registro!J448</f>
        <v>d) TV pantalla plana</v>
      </c>
      <c r="K448" s="89" t="str">
        <f>Registro!K448</f>
        <v>c) Dos</v>
      </c>
      <c r="L448" s="89" t="str">
        <f>Registro!L448</f>
        <v>a) La familia, b) Los amigos, f) Mi fe y vida cristiana</v>
      </c>
      <c r="M448" s="94">
        <f t="shared" si="38"/>
        <v>3</v>
      </c>
      <c r="N448" s="89" t="str">
        <f>Registro!M448</f>
        <v>b) El futuro</v>
      </c>
      <c r="O448" s="89" t="str">
        <f>Registro!N448</f>
        <v>a) Mucho</v>
      </c>
      <c r="P448" s="89" t="str">
        <f>Registro!O448</f>
        <v>b) Suficiente</v>
      </c>
      <c r="Q448" s="89" t="str">
        <f>Registro!P448</f>
        <v>c) Poco</v>
      </c>
      <c r="R448" s="89" t="str">
        <f>Registro!Q448</f>
        <v>c) Los estudios, g) La felicidad</v>
      </c>
      <c r="S448" s="94">
        <f t="shared" si="39"/>
        <v>2</v>
      </c>
      <c r="T448" s="89" t="str">
        <f>Registro!R448</f>
        <v>a) Mucho</v>
      </c>
      <c r="U448" s="89" t="str">
        <f>Registro!S448</f>
        <v>a) La Iglesia, e) Los amigos, g) Mi familia</v>
      </c>
      <c r="V448" s="89" t="str">
        <f>Registro!T448</f>
        <v>b) Rezo por costumbre</v>
      </c>
      <c r="W448" s="89" t="str">
        <f>Registro!U448</f>
        <v>b) Algunos domingos</v>
      </c>
      <c r="X448" s="89" t="str">
        <f>Registro!V448</f>
        <v>a) Suelo llevar una cruz o algún objeto religioso, b) Suelo bendedir los alimentos antes de comer, c) Suelo ir los domingos y otras fechas especiales a la Iglesia, h) En Semana Santa asisto a las procesiones</v>
      </c>
      <c r="Y448" s="89" t="str">
        <f>Registro!W448</f>
        <v>c) Religioso o parroquial</v>
      </c>
      <c r="Z448" s="89" t="str">
        <f>Registro!X448</f>
        <v>a) Un grupo donde profundizo mi fe</v>
      </c>
      <c r="AA448" s="89">
        <f>Registro!Y448</f>
        <v>0</v>
      </c>
      <c r="AB448" s="89" t="str">
        <f>Registro!Z448</f>
        <v>b) No</v>
      </c>
      <c r="AC448" s="89" t="str">
        <f>Registro!AA448</f>
        <v>a) Medicina</v>
      </c>
      <c r="AD448" s="94">
        <f t="shared" si="40"/>
        <v>1</v>
      </c>
      <c r="AE448" s="89" t="str">
        <f>Registro!AB448</f>
        <v>e) Servir a los demás</v>
      </c>
      <c r="AF448" s="89" t="str">
        <f>Registro!AC448</f>
        <v>c) Bastante</v>
      </c>
      <c r="AG448" s="89" t="str">
        <f>Registro!AD448</f>
        <v>d) Los grupos juveniles cristianos, e) La mayor posibilidad de vivir mi fe</v>
      </c>
      <c r="AH448" s="94">
        <f t="shared" si="36"/>
        <v>2</v>
      </c>
      <c r="AI448" s="89" t="str">
        <f>Registro!AE448</f>
        <v>b) 3 a 4 horas</v>
      </c>
      <c r="AJ448" s="89" t="str">
        <f>Registro!AF448</f>
        <v>m) Veo televisión y/o películas, n) Estoy conversando con los amigos/as</v>
      </c>
      <c r="AK448" s="94">
        <f t="shared" si="37"/>
        <v>2</v>
      </c>
      <c r="AL448" s="89" t="str">
        <f>Registro!AG448</f>
        <v>b) Bueno</v>
      </c>
      <c r="AM448" s="89" t="str">
        <f>Registro!AH448</f>
        <v>b) Buena</v>
      </c>
      <c r="AN448" s="89" t="str">
        <f>Registro!AI448</f>
        <v>b) Buena</v>
      </c>
      <c r="AO448" s="89" t="str">
        <f>Registro!AJ448</f>
        <v>b) Buena</v>
      </c>
      <c r="AP448" s="89" t="str">
        <f>Registro!AK448</f>
        <v>c) Regular</v>
      </c>
      <c r="AQ448" s="89" t="str">
        <f>Registro!AL448</f>
        <v>b) Buena</v>
      </c>
      <c r="AR448" s="89" t="str">
        <f>Registro!AM448</f>
        <v>b) Buena</v>
      </c>
      <c r="AS448" s="89" t="str">
        <f>Registro!AN448</f>
        <v>b) Buena</v>
      </c>
      <c r="AT448" s="89">
        <f>Registro!AO448</f>
        <v>0</v>
      </c>
      <c r="AU448" s="89" t="str">
        <f>Registro!AP448</f>
        <v>b) Buena</v>
      </c>
      <c r="AV448" s="89" t="str">
        <f>Registro!AQ448</f>
        <v>b) Buena</v>
      </c>
      <c r="AW448" s="89" t="str">
        <f>Registro!AR448</f>
        <v>e) La disciplina y el orden</v>
      </c>
      <c r="AX448" s="89" t="str">
        <f>Registro!AS448</f>
        <v>a) Que sea un buen profesional</v>
      </c>
      <c r="AY448" s="89" t="str">
        <f>Registro!AT448</f>
        <v>e) Absolutamente necesaria</v>
      </c>
      <c r="AZ448" s="89" t="str">
        <f>Registro!AU448</f>
        <v>b) Las veces que bebo, es con moderación</v>
      </c>
      <c r="BA448" s="89" t="str">
        <f>Registro!AV448</f>
        <v>e) Educadores que se preocupan de nosotros</v>
      </c>
      <c r="BB448" s="89" t="str">
        <f>Registro!AW448</f>
        <v>b) Poco</v>
      </c>
      <c r="BC448" s="89" t="str">
        <f>Registro!AX448</f>
        <v>e) Son personas que me gustan y admiro</v>
      </c>
      <c r="BD448" s="89" t="str">
        <f>Registro!AY448</f>
        <v>a) Mi padre, b) Mi madre, h) Una amiga</v>
      </c>
    </row>
    <row r="449" spans="1:56" ht="15" customHeight="1" x14ac:dyDescent="0.25">
      <c r="A449" s="101" t="str">
        <f>Registro!A449</f>
        <v>6/19/2015 7:35:12</v>
      </c>
      <c r="B449" s="89" t="str">
        <f>Registro!B449</f>
        <v>d) Cristo Rey de Carora</v>
      </c>
      <c r="C449" s="89" t="str">
        <f>Registro!C449</f>
        <v>b) Tercer año</v>
      </c>
      <c r="D449" s="89" t="str">
        <f>Registro!D449</f>
        <v>a) Educación Inicial</v>
      </c>
      <c r="E449" s="89" t="str">
        <f>Registro!E449</f>
        <v>a) Masculino</v>
      </c>
      <c r="F449" s="89" t="str">
        <f>Registro!F449</f>
        <v>a) Católica</v>
      </c>
      <c r="G449" s="89" t="str">
        <f>Registro!G449</f>
        <v>a) Mamá, c) Hermanos, d) Abuelos, e) Otros familiares</v>
      </c>
      <c r="H449" s="89" t="str">
        <f>Registro!H449</f>
        <v>b) Casa Urbana</v>
      </c>
      <c r="I449" s="89" t="str">
        <f>Registro!I449</f>
        <v>a) Sí</v>
      </c>
      <c r="J449" s="89" t="str">
        <f>Registro!J449</f>
        <v>a) Cónsola videojuegos, b) Lavadora, c) Microondas, d) TV pantalla plana, f) MP3, g) MP4, i) Computadora, j) Cámara digital, k) Aire acondicionado</v>
      </c>
      <c r="K449" s="89" t="str">
        <f>Registro!K449</f>
        <v>f) Más de cuatro</v>
      </c>
      <c r="L449" s="89" t="str">
        <f>Registro!L449</f>
        <v>a) La familia, j) El deporte, k) El internet</v>
      </c>
      <c r="M449" s="94">
        <f t="shared" si="38"/>
        <v>3</v>
      </c>
      <c r="N449" s="89" t="str">
        <f>Registro!M449</f>
        <v>b) El futuro</v>
      </c>
      <c r="O449" s="89" t="str">
        <f>Registro!N449</f>
        <v>b) Suficiente</v>
      </c>
      <c r="P449" s="89" t="str">
        <f>Registro!O449</f>
        <v>d) Nada</v>
      </c>
      <c r="Q449" s="89" t="str">
        <f>Registro!P449</f>
        <v>b) Suficiente</v>
      </c>
      <c r="R449" s="89" t="str">
        <f>Registro!Q449</f>
        <v>c) Los estudios, d) El cuidado de mi cuerpo, f) Mi fe y mi vida cristiana</v>
      </c>
      <c r="S449" s="94">
        <f t="shared" si="39"/>
        <v>3</v>
      </c>
      <c r="T449" s="89" t="str">
        <f>Registro!R449</f>
        <v>b) Suficiente</v>
      </c>
      <c r="U449" s="89" t="str">
        <f>Registro!S449</f>
        <v>a) La Iglesia, k) La oración, l) Los sacramentos</v>
      </c>
      <c r="V449" s="89" t="str">
        <f>Registro!T449</f>
        <v>b) Rezo por costumbre</v>
      </c>
      <c r="W449" s="89" t="str">
        <f>Registro!U449</f>
        <v>c) Solo en fechas especiales</v>
      </c>
      <c r="X449" s="89" t="str">
        <f>Registro!V449</f>
        <v>e) Voy a misa en las fechas de mis familiares difuntos, f) En alguna ocasión he rezado el rosario, i) Tengo en mi cuarto alguna imagen religiosa</v>
      </c>
      <c r="Y449" s="89" t="str">
        <f>Registro!W449</f>
        <v>d) No pertenezco a ninguno</v>
      </c>
      <c r="Z449" s="89" t="str">
        <f>Registro!X449</f>
        <v>d) No pertenezco a grupos juveniles cristianos</v>
      </c>
      <c r="AA449" s="89" t="str">
        <f>Registro!Y449</f>
        <v>b) No</v>
      </c>
      <c r="AB449" s="89" t="str">
        <f>Registro!Z449</f>
        <v>b) No</v>
      </c>
      <c r="AC449" s="89" t="str">
        <f>Registro!AA449</f>
        <v>d) Ingeniería, i) Comerciante</v>
      </c>
      <c r="AD449" s="94">
        <f t="shared" si="40"/>
        <v>2</v>
      </c>
      <c r="AE449" s="89" t="str">
        <f>Registro!AB449</f>
        <v>a) Ganar mucho dinero</v>
      </c>
      <c r="AF449" s="89" t="str">
        <f>Registro!AC449</f>
        <v>a) No, en absoluto</v>
      </c>
      <c r="AG449" s="89" t="str">
        <f>Registro!AD449</f>
        <v>a) Los deportes y diversiones</v>
      </c>
      <c r="AH449" s="94">
        <f t="shared" si="36"/>
        <v>1</v>
      </c>
      <c r="AI449" s="89" t="str">
        <f>Registro!AE449</f>
        <v>a) 0 a 2 horas</v>
      </c>
      <c r="AJ449" s="89"/>
      <c r="AK449" s="94">
        <f t="shared" si="37"/>
        <v>0</v>
      </c>
      <c r="AL449" s="89" t="str">
        <f>Registro!AG449</f>
        <v>e) Muy deficiente</v>
      </c>
      <c r="AM449" s="89" t="str">
        <f>Registro!AH449</f>
        <v>f) No aplica</v>
      </c>
      <c r="AN449" s="89" t="str">
        <f>Registro!AI449</f>
        <v>f) No aplica</v>
      </c>
      <c r="AO449" s="89" t="str">
        <f>Registro!AJ449</f>
        <v>f) No aplica</v>
      </c>
      <c r="AP449" s="89" t="str">
        <f>Registro!AK449</f>
        <v>d) Mala</v>
      </c>
      <c r="AQ449" s="89" t="str">
        <f>Registro!AL449</f>
        <v>f) No aplica</v>
      </c>
      <c r="AR449" s="89" t="str">
        <f>Registro!AM449</f>
        <v>a) Muy buena</v>
      </c>
      <c r="AS449" s="89" t="str">
        <f>Registro!AN449</f>
        <v>e) Muy mala</v>
      </c>
      <c r="AT449" s="89" t="str">
        <f>Registro!AO449</f>
        <v>f) No aplica</v>
      </c>
      <c r="AU449" s="89" t="str">
        <f>Registro!AP449</f>
        <v>c) Regular</v>
      </c>
      <c r="AV449" s="89" t="str">
        <f>Registro!AQ449</f>
        <v>e) Muy mala</v>
      </c>
      <c r="AW449" s="89" t="str">
        <f>Registro!AR449</f>
        <v>f) la práctica religiosa</v>
      </c>
      <c r="AX449" s="89" t="str">
        <f>Registro!AS449</f>
        <v>h) No sé</v>
      </c>
      <c r="AY449" s="89" t="str">
        <f>Registro!AT449</f>
        <v>d) Bastante necesaria</v>
      </c>
      <c r="AZ449" s="89" t="str">
        <f>Registro!AU449</f>
        <v>d) Con frecuencia (fines de semana u otros momentos) suelo beber más de la cuenta</v>
      </c>
      <c r="BA449" s="89" t="str">
        <f>Registro!AV449</f>
        <v>a) Personas a las que tengo que aguantar</v>
      </c>
      <c r="BB449" s="89" t="str">
        <f>Registro!AW449</f>
        <v>a) No, en absoluto</v>
      </c>
      <c r="BC449" s="89" t="str">
        <f>Registro!AX449</f>
        <v>d) Hay de todo tipo, pero predomina lo positivo</v>
      </c>
      <c r="BD449" s="89" t="str">
        <f>Registro!AY449</f>
        <v>g) Un amigo, j) Nadie</v>
      </c>
    </row>
    <row r="450" spans="1:56" ht="15" customHeight="1" x14ac:dyDescent="0.25">
      <c r="A450" s="101" t="str">
        <f>Registro!A450</f>
        <v>6/19/2015 7:37:48</v>
      </c>
      <c r="B450" s="89" t="str">
        <f>Registro!B450</f>
        <v>d) Cristo Rey de Carora</v>
      </c>
      <c r="C450" s="89" t="str">
        <f>Registro!C450</f>
        <v>b) Tercer año</v>
      </c>
      <c r="D450" s="89" t="str">
        <f>Registro!D450</f>
        <v>a) Educación Inicial</v>
      </c>
      <c r="E450" s="89" t="str">
        <f>Registro!E450</f>
        <v>b) Femenino</v>
      </c>
      <c r="F450" s="89" t="str">
        <f>Registro!F450</f>
        <v>a) Católica</v>
      </c>
      <c r="G450" s="89" t="str">
        <f>Registro!G450</f>
        <v>a) Mamá, b) Papá, c) Hermanos, d) Abuelos, e) Otros familiares</v>
      </c>
      <c r="H450" s="89" t="str">
        <f>Registro!H450</f>
        <v>b) Casa Urbana</v>
      </c>
      <c r="I450" s="89" t="str">
        <f>Registro!I450</f>
        <v>a) Sí</v>
      </c>
      <c r="J450" s="89" t="str">
        <f>Registro!J450</f>
        <v>b) Lavadora, c) Microondas, f) MP3, h) Carro, i) Computadora, j) Cámara digital, k) Aire acondicionado</v>
      </c>
      <c r="K450" s="89" t="str">
        <f>Registro!K450</f>
        <v>c) Dos</v>
      </c>
      <c r="L450" s="89"/>
      <c r="M450" s="94">
        <f t="shared" si="38"/>
        <v>0</v>
      </c>
      <c r="N450" s="89" t="str">
        <f>Registro!M450</f>
        <v>e) La situación económica</v>
      </c>
      <c r="O450" s="89" t="str">
        <f>Registro!N450</f>
        <v>a) Mucho</v>
      </c>
      <c r="P450" s="89" t="str">
        <f>Registro!O450</f>
        <v>a) Mucho</v>
      </c>
      <c r="Q450" s="89" t="str">
        <f>Registro!P450</f>
        <v>a) Mucho</v>
      </c>
      <c r="R450" s="89"/>
      <c r="S450" s="94">
        <f t="shared" si="39"/>
        <v>0</v>
      </c>
      <c r="T450" s="89" t="str">
        <f>Registro!R450</f>
        <v>a) Mucho</v>
      </c>
      <c r="U450" s="89" t="str">
        <f>Registro!S450</f>
        <v>a) La Iglesia, b) La naturaleza, c) El salón de clase, d) Las convivencias, e) Los amigos, f) Todas las personas, g) Mi familia, h) Algunas personas cercanas a Dios, i) Los necesitados, j) Todas partes, k) La oración, l) Los sacramentos</v>
      </c>
      <c r="V450" s="89" t="str">
        <f>Registro!T450</f>
        <v>a) Suelo rezar por convicción o porque me gusta</v>
      </c>
      <c r="W450" s="89" t="str">
        <f>Registro!U450</f>
        <v>b) Algunos domingos</v>
      </c>
      <c r="X450" s="89" t="str">
        <f>Registro!V450</f>
        <v>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450" s="89" t="str">
        <f>Registro!W450</f>
        <v>d) No pertenezco a ninguno</v>
      </c>
      <c r="Z450" s="89" t="str">
        <f>Registro!X450</f>
        <v>d) No pertenezco a grupos juveniles cristianos</v>
      </c>
      <c r="AA450" s="89" t="str">
        <f>Registro!Y450</f>
        <v>c) Algo</v>
      </c>
      <c r="AB450" s="89" t="str">
        <f>Registro!Z450</f>
        <v>c) Algo</v>
      </c>
      <c r="AC450" s="89" t="str">
        <f>Registro!AA450</f>
        <v>a) Medicina</v>
      </c>
      <c r="AD450" s="94">
        <f t="shared" si="40"/>
        <v>1</v>
      </c>
      <c r="AE450" s="89" t="str">
        <f>Registro!AB450</f>
        <v>e) Servir a los demás</v>
      </c>
      <c r="AF450" s="89" t="str">
        <f>Registro!AC450</f>
        <v>d) Mucho o muchísimo</v>
      </c>
      <c r="AG450" s="89"/>
      <c r="AH450" s="94">
        <f t="shared" si="36"/>
        <v>0</v>
      </c>
      <c r="AI450" s="89" t="str">
        <f>Registro!AE450</f>
        <v>b) 3 a 4 horas</v>
      </c>
      <c r="AJ450" s="89"/>
      <c r="AK450" s="94">
        <f t="shared" si="37"/>
        <v>0</v>
      </c>
      <c r="AL450" s="89" t="str">
        <f>Registro!AG450</f>
        <v>b) Bueno</v>
      </c>
      <c r="AM450" s="89" t="str">
        <f>Registro!AH450</f>
        <v>c) Regular</v>
      </c>
      <c r="AN450" s="89" t="str">
        <f>Registro!AI450</f>
        <v>f) No aplica</v>
      </c>
      <c r="AO450" s="89" t="str">
        <f>Registro!AJ450</f>
        <v>c) Regular</v>
      </c>
      <c r="AP450" s="89" t="str">
        <f>Registro!AK450</f>
        <v>c) Regular</v>
      </c>
      <c r="AQ450" s="89" t="str">
        <f>Registro!AL450</f>
        <v>b) Buena</v>
      </c>
      <c r="AR450" s="89" t="str">
        <f>Registro!AM450</f>
        <v>b) Buena</v>
      </c>
      <c r="AS450" s="89" t="str">
        <f>Registro!AN450</f>
        <v>b) Buena</v>
      </c>
      <c r="AT450" s="89" t="str">
        <f>Registro!AO450</f>
        <v>a) Muy buena</v>
      </c>
      <c r="AU450" s="89" t="str">
        <f>Registro!AP450</f>
        <v>a) Muy buena</v>
      </c>
      <c r="AV450" s="89" t="str">
        <f>Registro!AQ450</f>
        <v>c) Regular</v>
      </c>
      <c r="AW450" s="89" t="str">
        <f>Registro!AR450</f>
        <v>g) La orientación profesional futura</v>
      </c>
      <c r="AX450" s="89" t="str">
        <f>Registro!AS450</f>
        <v>f) Que tenga honradez en la vida</v>
      </c>
      <c r="AY450" s="89" t="str">
        <f>Registro!AT450</f>
        <v>e) Absolutamente necesaria</v>
      </c>
      <c r="AZ450" s="89" t="str">
        <f>Registro!AU450</f>
        <v>a) No acostumbro a tomarlo nunca</v>
      </c>
      <c r="BA450" s="89" t="str">
        <f>Registro!AV450</f>
        <v>d) Buenos profesionales de la educación</v>
      </c>
      <c r="BB450" s="89" t="str">
        <f>Registro!AW450</f>
        <v>c) Bastante</v>
      </c>
      <c r="BC450" s="89" t="str">
        <f>Registro!AX450</f>
        <v>c) Son personas normales y corrientes</v>
      </c>
      <c r="BD450" s="89" t="str">
        <f>Registro!AY450</f>
        <v>a) Mi padre, b) Mi madre, c) Un hermano/a, g) Un amigo</v>
      </c>
    </row>
    <row r="451" spans="1:56" ht="15" customHeight="1" x14ac:dyDescent="0.25">
      <c r="A451" s="101" t="str">
        <f>Registro!A451</f>
        <v>6/19/2015 7:40:08</v>
      </c>
      <c r="B451" s="89" t="str">
        <f>Registro!B451</f>
        <v>d) Cristo Rey de Carora</v>
      </c>
      <c r="C451" s="89" t="str">
        <f>Registro!C451</f>
        <v>b) Tercer año</v>
      </c>
      <c r="D451" s="89" t="str">
        <f>Registro!D451</f>
        <v>a) Educación Inicial</v>
      </c>
      <c r="E451" s="89" t="str">
        <f>Registro!E451</f>
        <v>a) Masculino</v>
      </c>
      <c r="F451" s="89" t="str">
        <f>Registro!F451</f>
        <v>a) Católica</v>
      </c>
      <c r="G451" s="89" t="str">
        <f>Registro!G451</f>
        <v>a) Mamá, c) Hermanos, d) Abuelos, e) Otros familiares</v>
      </c>
      <c r="H451" s="89" t="str">
        <f>Registro!H451</f>
        <v>b) Casa Urbana</v>
      </c>
      <c r="I451" s="89" t="str">
        <f>Registro!I451</f>
        <v>a) Sí</v>
      </c>
      <c r="J451" s="89" t="str">
        <f>Registro!J451</f>
        <v>a) Cónsola videojuegos, b) Lavadora, c) Microondas, d) TV pantalla plana, e) Moto, i) Computadora, j) Cámara digital, k) Aire acondicionado</v>
      </c>
      <c r="K451" s="89" t="str">
        <f>Registro!K451</f>
        <v>e) Cuatro</v>
      </c>
      <c r="L451" s="89" t="str">
        <f>Registro!L451</f>
        <v>a) La familia, i) La música, j) El deporte</v>
      </c>
      <c r="M451" s="94">
        <f t="shared" si="38"/>
        <v>3</v>
      </c>
      <c r="N451" s="89" t="str">
        <f>Registro!M451</f>
        <v>a) Seguridad personal (la violencia y la delincuencia)</v>
      </c>
      <c r="O451" s="89" t="str">
        <f>Registro!N451</f>
        <v>a) Mucho</v>
      </c>
      <c r="P451" s="89" t="str">
        <f>Registro!O451</f>
        <v>a) Mucho</v>
      </c>
      <c r="Q451" s="89" t="str">
        <f>Registro!P451</f>
        <v>a) Mucho</v>
      </c>
      <c r="R451" s="89" t="str">
        <f>Registro!Q451</f>
        <v>a) La familia, c) Los estudios, f) Mi fe y mi vida cristiana</v>
      </c>
      <c r="S451" s="94">
        <f t="shared" si="39"/>
        <v>3</v>
      </c>
      <c r="T451" s="89" t="str">
        <f>Registro!R451</f>
        <v>a) Mucho</v>
      </c>
      <c r="U451" s="89" t="str">
        <f>Registro!S451</f>
        <v>a) La Iglesia, d) Las convivencias, g) Mi familia, j) Todas partes, k) La oración</v>
      </c>
      <c r="V451" s="89" t="str">
        <f>Registro!T451</f>
        <v>a) Suelo rezar por convicción o porque me gusta</v>
      </c>
      <c r="W451" s="89" t="str">
        <f>Registro!U451</f>
        <v>a) Todos los domingos</v>
      </c>
      <c r="X451" s="89" t="str">
        <f>Registro!V451</f>
        <v>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451" s="89" t="str">
        <f>Registro!W451</f>
        <v>a) Deportivo, c) Religioso o parroquial</v>
      </c>
      <c r="Z451" s="89" t="str">
        <f>Registro!X451</f>
        <v>a) Un grupo donde profundizo mi fe</v>
      </c>
      <c r="AA451" s="89" t="str">
        <f>Registro!Y451</f>
        <v>b) No</v>
      </c>
      <c r="AB451" s="89" t="str">
        <f>Registro!Z451</f>
        <v>b) No</v>
      </c>
      <c r="AC451" s="89" t="str">
        <f>Registro!AA451</f>
        <v>d) Ingeniería, j) Trabajador calificado</v>
      </c>
      <c r="AD451" s="94">
        <f t="shared" si="40"/>
        <v>2</v>
      </c>
      <c r="AE451" s="89" t="str">
        <f>Registro!AB451</f>
        <v>a) Ganar mucho dinero</v>
      </c>
      <c r="AF451" s="89" t="str">
        <f>Registro!AC451</f>
        <v>c) Bastante</v>
      </c>
      <c r="AG451" s="89" t="str">
        <f>Registro!AD451</f>
        <v>a) Los deportes y diversiones</v>
      </c>
      <c r="AH451" s="94">
        <f t="shared" ref="AH451:AH511" si="41">COUNTIF(AG451,"*a)*")+COUNTIF(AG451,"*b)*")+COUNTIF(AG451,"*c)*")+COUNTIF(AG451,"*d)*")+COUNTIF(AG451,"*e)*")+COUNTIF(AG451,"*f)*")+COUNTIF(AG451,"*g)*")+COUNTIF(AG451,"*h)*")+COUNTIF(AG451,"*i)*")+COUNTIF(AG451,"*j)*")+COUNTIF(AG451,"*k)*")+COUNTIF(AG451,"*l)*")+COUNTIF(AG451,"*m)*")+COUNTIF(AG451,"*n)*")+COUNTIF(AG451,"*o)*")+COUNTIF(AG451,"*p)*")</f>
        <v>1</v>
      </c>
      <c r="AI451" s="89" t="str">
        <f>Registro!AE451</f>
        <v>a) 0 a 2 horas</v>
      </c>
      <c r="AJ451" s="89"/>
      <c r="AK451" s="94">
        <f t="shared" ref="AK451:AK511" si="42">COUNTIF(AJ451,"*a)*")+COUNTIF(AJ451,"*b)*")+COUNTIF(AJ451,"*c)*")+COUNTIF(AJ451,"*d)*")+COUNTIF(AJ451,"*e)*")+COUNTIF(AJ451,"*f)*")+COUNTIF(AJ451,"*g)*")+COUNTIF(AJ451,"*h)*")+COUNTIF(AJ451,"*i)*")+COUNTIF(AJ451,"*j)*")+COUNTIF(AJ451,"*k)*")+COUNTIF(AJ451,"*l)*")+COUNTIF(AJ451,"*m)*")+COUNTIF(AJ451,"*n)*")+COUNTIF(AJ451,"*o)*")+COUNTIF(AJ451,"*p)*")</f>
        <v>0</v>
      </c>
      <c r="AL451" s="89" t="str">
        <f>Registro!AG451</f>
        <v>c) Regular</v>
      </c>
      <c r="AM451" s="89" t="str">
        <f>Registro!AH451</f>
        <v>e) Muy mala</v>
      </c>
      <c r="AN451" s="89" t="str">
        <f>Registro!AI451</f>
        <v>b) Buena</v>
      </c>
      <c r="AO451" s="89" t="str">
        <f>Registro!AJ451</f>
        <v>b) Buena</v>
      </c>
      <c r="AP451" s="89">
        <f>Registro!AK451</f>
        <v>0</v>
      </c>
      <c r="AQ451" s="89" t="str">
        <f>Registro!AL451</f>
        <v>c) Regular</v>
      </c>
      <c r="AR451" s="89" t="str">
        <f>Registro!AM451</f>
        <v>a) Muy buena</v>
      </c>
      <c r="AS451" s="89" t="str">
        <f>Registro!AN451</f>
        <v>d) Mala</v>
      </c>
      <c r="AT451" s="89" t="str">
        <f>Registro!AO451</f>
        <v>a) Muy buena</v>
      </c>
      <c r="AU451" s="89" t="str">
        <f>Registro!AP451</f>
        <v>c) Regular</v>
      </c>
      <c r="AV451" s="89" t="str">
        <f>Registro!AQ451</f>
        <v>c) Regular</v>
      </c>
      <c r="AW451" s="89" t="str">
        <f>Registro!AR451</f>
        <v>h) La responsabilidad social y el servicio a los demás</v>
      </c>
      <c r="AX451" s="89" t="str">
        <f>Registro!AS451</f>
        <v>a) Que sea un buen profesional</v>
      </c>
      <c r="AY451" s="89" t="str">
        <f>Registro!AT451</f>
        <v>c) Conveniente</v>
      </c>
      <c r="AZ451" s="89" t="str">
        <f>Registro!AU451</f>
        <v>a) No acostumbro a tomarlo nunca</v>
      </c>
      <c r="BA451" s="89" t="str">
        <f>Registro!AV451</f>
        <v>c) Profesionales que hacen lo que pueden</v>
      </c>
      <c r="BB451" s="89" t="str">
        <f>Registro!AW451</f>
        <v>b) Poco</v>
      </c>
      <c r="BC451" s="89" t="str">
        <f>Registro!AX451</f>
        <v>c) Son personas normales y corrientes</v>
      </c>
      <c r="BD451" s="89" t="str">
        <f>Registro!AY451</f>
        <v>a) Mi padre, b) Mi madre, c) Un hermano/a</v>
      </c>
    </row>
    <row r="452" spans="1:56" ht="15" customHeight="1" x14ac:dyDescent="0.25">
      <c r="A452" s="101" t="str">
        <f>Registro!A452</f>
        <v>6/19/2015 7:45:59</v>
      </c>
      <c r="B452" s="89" t="str">
        <f>Registro!B452</f>
        <v>d) Cristo Rey de Carora</v>
      </c>
      <c r="C452" s="89" t="str">
        <f>Registro!C452</f>
        <v>b) Tercer año</v>
      </c>
      <c r="D452" s="89" t="str">
        <f>Registro!D452</f>
        <v>a) Educación Inicial</v>
      </c>
      <c r="E452" s="89" t="str">
        <f>Registro!E452</f>
        <v>b) Femenino</v>
      </c>
      <c r="F452" s="89" t="str">
        <f>Registro!F452</f>
        <v>a) Católica</v>
      </c>
      <c r="G452" s="89" t="str">
        <f>Registro!G452</f>
        <v>a) Mamá</v>
      </c>
      <c r="H452" s="89" t="str">
        <f>Registro!H452</f>
        <v>b) Casa Urbana</v>
      </c>
      <c r="I452" s="89" t="str">
        <f>Registro!I452</f>
        <v>b) No</v>
      </c>
      <c r="J452" s="89" t="str">
        <f>Registro!J452</f>
        <v>b) Lavadora, c) Microondas, d) TV pantalla plana, f) MP3, g) MP4, h) Carro, i) Computadora, j) Cámara digital, k) Aire acondicionado</v>
      </c>
      <c r="K452" s="89" t="str">
        <f>Registro!K452</f>
        <v>b) Una</v>
      </c>
      <c r="L452" s="89"/>
      <c r="M452" s="94">
        <f t="shared" si="38"/>
        <v>0</v>
      </c>
      <c r="N452" s="89" t="str">
        <f>Registro!M452</f>
        <v>g) Mis estudios</v>
      </c>
      <c r="O452" s="89" t="str">
        <f>Registro!N452</f>
        <v>b) Suficiente</v>
      </c>
      <c r="P452" s="89" t="str">
        <f>Registro!O452</f>
        <v>d) Nada</v>
      </c>
      <c r="Q452" s="89" t="str">
        <f>Registro!P452</f>
        <v>c) Poco</v>
      </c>
      <c r="R452" s="89" t="str">
        <f>Registro!Q452</f>
        <v>c) Los estudios, h) La sexualidad, j) El deporte</v>
      </c>
      <c r="S452" s="94">
        <f t="shared" si="39"/>
        <v>3</v>
      </c>
      <c r="T452" s="89" t="str">
        <f>Registro!R452</f>
        <v>a) Mucho</v>
      </c>
      <c r="U452" s="89" t="str">
        <f>Registro!S452</f>
        <v>a) La Iglesia, d) Las convivencias, h) Algunas personas cercanas a Dios, i) Los necesitados, k) La oración, l) Los sacramentos</v>
      </c>
      <c r="V452" s="89" t="str">
        <f>Registro!T452</f>
        <v>b) Rezo por costumbre</v>
      </c>
      <c r="W452" s="89" t="str">
        <f>Registro!U452</f>
        <v>b) Algunos domingos</v>
      </c>
      <c r="X452" s="89" t="str">
        <f>Registro!V452</f>
        <v>c) Suelo ir los domingos y otras fechas especiales a la Iglesia, e) Voy a misa en las fechas de mis familiares difuntos</v>
      </c>
      <c r="Y452" s="89" t="str">
        <f>Registro!W452</f>
        <v xml:space="preserve">a) Deportivo, b) Cultural (folklórico, musicales, danzas, scout, banda marcial,...) </v>
      </c>
      <c r="Z452" s="89" t="str">
        <f>Registro!X452</f>
        <v>b) Un lugar donde comparto con mis compañeros</v>
      </c>
      <c r="AA452" s="89" t="str">
        <f>Registro!Y452</f>
        <v>a) Sí</v>
      </c>
      <c r="AB452" s="89" t="str">
        <f>Registro!Z452</f>
        <v>a) Sí</v>
      </c>
      <c r="AC452" s="89" t="str">
        <f>Registro!AA452</f>
        <v>g) Artista, i) Comerciante</v>
      </c>
      <c r="AD452" s="94">
        <f t="shared" si="40"/>
        <v>2</v>
      </c>
      <c r="AE452" s="89" t="str">
        <f>Registro!AB452</f>
        <v>e) Servir a los demás</v>
      </c>
      <c r="AF452" s="89" t="str">
        <f>Registro!AC452</f>
        <v>c) Bastante</v>
      </c>
      <c r="AG452" s="89" t="str">
        <f>Registro!AD452</f>
        <v>i) No me gusta nada</v>
      </c>
      <c r="AH452" s="94">
        <f t="shared" si="41"/>
        <v>1</v>
      </c>
      <c r="AI452" s="89" t="str">
        <f>Registro!AE452</f>
        <v>a) 0 a 2 horas</v>
      </c>
      <c r="AJ452" s="89"/>
      <c r="AK452" s="94">
        <f t="shared" si="42"/>
        <v>0</v>
      </c>
      <c r="AL452" s="89" t="str">
        <f>Registro!AG452</f>
        <v>e) Muy deficiente</v>
      </c>
      <c r="AM452" s="89" t="str">
        <f>Registro!AH452</f>
        <v>a) Muy buena</v>
      </c>
      <c r="AN452" s="89" t="str">
        <f>Registro!AI452</f>
        <v>a) Muy buena</v>
      </c>
      <c r="AO452" s="89" t="str">
        <f>Registro!AJ452</f>
        <v>c) Regular</v>
      </c>
      <c r="AP452" s="89" t="str">
        <f>Registro!AK452</f>
        <v>c) Regular</v>
      </c>
      <c r="AQ452" s="89" t="str">
        <f>Registro!AL452</f>
        <v>c) Regular</v>
      </c>
      <c r="AR452" s="89" t="str">
        <f>Registro!AM452</f>
        <v>c) Regular</v>
      </c>
      <c r="AS452" s="89" t="str">
        <f>Registro!AN452</f>
        <v>b) Buena</v>
      </c>
      <c r="AT452" s="89" t="str">
        <f>Registro!AO452</f>
        <v>a) Muy buena</v>
      </c>
      <c r="AU452" s="89" t="str">
        <f>Registro!AP452</f>
        <v>a) Muy buena</v>
      </c>
      <c r="AV452" s="89" t="str">
        <f>Registro!AQ452</f>
        <v>c) Regular</v>
      </c>
      <c r="AW452" s="89" t="str">
        <f>Registro!AR452</f>
        <v>f) la práctica religiosa</v>
      </c>
      <c r="AX452" s="89" t="str">
        <f>Registro!AS452</f>
        <v>a) Que sea un buen profesional</v>
      </c>
      <c r="AY452" s="89" t="str">
        <f>Registro!AT452</f>
        <v>e) Absolutamente necesaria</v>
      </c>
      <c r="AZ452" s="89" t="str">
        <f>Registro!AU452</f>
        <v>b) Las veces que bebo, es con moderación</v>
      </c>
      <c r="BA452" s="89" t="str">
        <f>Registro!AV452</f>
        <v>a) Personas a las que tengo que aguantar</v>
      </c>
      <c r="BB452" s="89" t="str">
        <f>Registro!AW452</f>
        <v>a) No, en absoluto</v>
      </c>
      <c r="BC452" s="89" t="str">
        <f>Registro!AX452</f>
        <v>c) Son personas normales y corrientes</v>
      </c>
      <c r="BD452" s="89" t="str">
        <f>Registro!AY452</f>
        <v>b) Mi madre, d) Un escolapio, religioso o religiosa, f) La orientadora, g) Un amigo, h) Una amiga</v>
      </c>
    </row>
    <row r="453" spans="1:56" ht="15" customHeight="1" x14ac:dyDescent="0.25">
      <c r="A453" s="101" t="str">
        <f>Registro!A453</f>
        <v>6/19/2015 7:52:42</v>
      </c>
      <c r="B453" s="89" t="str">
        <f>Registro!B453</f>
        <v>d) Cristo Rey de Carora</v>
      </c>
      <c r="C453" s="89" t="str">
        <f>Registro!C453</f>
        <v>b) Tercer año</v>
      </c>
      <c r="D453" s="89" t="str">
        <f>Registro!D453</f>
        <v>a) Educación Inicial</v>
      </c>
      <c r="E453" s="89" t="str">
        <f>Registro!E453</f>
        <v>b) Femenino</v>
      </c>
      <c r="F453" s="89" t="str">
        <f>Registro!F453</f>
        <v>a) Católica</v>
      </c>
      <c r="G453" s="89" t="str">
        <f>Registro!G453</f>
        <v>a) Mamá, b) Papá, c) Hermanos, d) Abuelos, e) Otros familiares</v>
      </c>
      <c r="H453" s="89" t="str">
        <f>Registro!H453</f>
        <v>b) Casa Urbana</v>
      </c>
      <c r="I453" s="89" t="str">
        <f>Registro!I453</f>
        <v>a) Sí</v>
      </c>
      <c r="J453" s="89" t="str">
        <f>Registro!J453</f>
        <v>b) Lavadora, d) TV pantalla plana, h) Carro, i) Computadora, k) Aire acondicionado</v>
      </c>
      <c r="K453" s="89" t="str">
        <f>Registro!K453</f>
        <v>c) Dos</v>
      </c>
      <c r="L453" s="89" t="str">
        <f>Registro!L453</f>
        <v>a) La familia, c) Los estudios, f) Mi fe y vida cristiana</v>
      </c>
      <c r="M453" s="94">
        <f t="shared" si="38"/>
        <v>3</v>
      </c>
      <c r="N453" s="89" t="str">
        <f>Registro!M453</f>
        <v>b) El futuro</v>
      </c>
      <c r="O453" s="89" t="str">
        <f>Registro!N453</f>
        <v>a) Mucho</v>
      </c>
      <c r="P453" s="89" t="str">
        <f>Registro!O453</f>
        <v>a) Mucho</v>
      </c>
      <c r="Q453" s="89" t="str">
        <f>Registro!P453</f>
        <v>a) Mucho</v>
      </c>
      <c r="R453" s="89" t="str">
        <f>Registro!Q453</f>
        <v>b) Los amigos, d) El cuidado de mi cuerpo, g) La felicidad</v>
      </c>
      <c r="S453" s="94">
        <f t="shared" si="39"/>
        <v>3</v>
      </c>
      <c r="T453" s="89" t="str">
        <f>Registro!R453</f>
        <v>a) Mucho</v>
      </c>
      <c r="U453" s="89" t="str">
        <f>Registro!S453</f>
        <v>a) La Iglesia, b) La naturaleza, d) Las convivencias, g) Mi familia, h) Algunas personas cercanas a Dios, i) Los necesitados, j) Todas partes, k) La oración, l) Los sacramentos</v>
      </c>
      <c r="V453" s="89" t="str">
        <f>Registro!T453</f>
        <v>a) Suelo rezar por convicción o porque me gusta</v>
      </c>
      <c r="W453" s="89" t="str">
        <f>Registro!U453</f>
        <v>b) Algunos domingos</v>
      </c>
      <c r="X453" s="89" t="str">
        <f>Registro!V453</f>
        <v>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453" s="89" t="str">
        <f>Registro!W453</f>
        <v>d) No pertenezco a ninguno</v>
      </c>
      <c r="Z453" s="89" t="str">
        <f>Registro!X453</f>
        <v>d) No pertenezco a grupos juveniles cristianos</v>
      </c>
      <c r="AA453" s="89" t="str">
        <f>Registro!Y453</f>
        <v>a) Sí</v>
      </c>
      <c r="AB453" s="89" t="str">
        <f>Registro!Z453</f>
        <v>b) No</v>
      </c>
      <c r="AC453" s="89" t="str">
        <f>Registro!AA453</f>
        <v>a) Medicina, c) Sacerdocio o hermana religiosa</v>
      </c>
      <c r="AD453" s="94">
        <f t="shared" si="40"/>
        <v>2</v>
      </c>
      <c r="AE453" s="89" t="str">
        <f>Registro!AB453</f>
        <v>e) Servir a los demás</v>
      </c>
      <c r="AF453" s="89" t="str">
        <f>Registro!AC453</f>
        <v>c) Bastante</v>
      </c>
      <c r="AG453" s="89"/>
      <c r="AH453" s="94">
        <f t="shared" si="41"/>
        <v>0</v>
      </c>
      <c r="AI453" s="89" t="str">
        <f>Registro!AE453</f>
        <v>f) 11 o más horas</v>
      </c>
      <c r="AJ453" s="89" t="str">
        <f>Registro!AF453</f>
        <v>d) Estoy la mayor parte del tiempo en la casa sin hacer nada, l) Escucho música y/o veo videos musicales, n) Estoy conversando con los amigos/as</v>
      </c>
      <c r="AK453" s="94">
        <f t="shared" si="42"/>
        <v>3</v>
      </c>
      <c r="AL453" s="89" t="str">
        <f>Registro!AG453</f>
        <v>b) Bueno</v>
      </c>
      <c r="AM453" s="89" t="str">
        <f>Registro!AH453</f>
        <v>b) Buena</v>
      </c>
      <c r="AN453" s="89" t="str">
        <f>Registro!AI453</f>
        <v>b) Buena</v>
      </c>
      <c r="AO453" s="89" t="str">
        <f>Registro!AJ453</f>
        <v>b) Buena</v>
      </c>
      <c r="AP453" s="89" t="str">
        <f>Registro!AK453</f>
        <v>c) Regular</v>
      </c>
      <c r="AQ453" s="89" t="str">
        <f>Registro!AL453</f>
        <v>b) Buena</v>
      </c>
      <c r="AR453" s="89" t="str">
        <f>Registro!AM453</f>
        <v>b) Buena</v>
      </c>
      <c r="AS453" s="89" t="str">
        <f>Registro!AN453</f>
        <v>a) Muy buena</v>
      </c>
      <c r="AT453" s="89" t="str">
        <f>Registro!AO453</f>
        <v>a) Muy buena</v>
      </c>
      <c r="AU453" s="89" t="str">
        <f>Registro!AP453</f>
        <v>a) Muy buena</v>
      </c>
      <c r="AV453" s="89" t="str">
        <f>Registro!AQ453</f>
        <v>b) Buena</v>
      </c>
      <c r="AW453" s="89" t="str">
        <f>Registro!AR453</f>
        <v>a) El compañerismo</v>
      </c>
      <c r="AX453" s="89" t="str">
        <f>Registro!AS453</f>
        <v>b) Darme una buena educación</v>
      </c>
      <c r="AY453" s="89" t="str">
        <f>Registro!AT453</f>
        <v>e) Absolutamente necesaria</v>
      </c>
      <c r="AZ453" s="89" t="str">
        <f>Registro!AU453</f>
        <v>a) No acostumbro a tomarlo nunca</v>
      </c>
      <c r="BA453" s="89" t="str">
        <f>Registro!AV453</f>
        <v>f) Educadores que, además, me han abierto caminos</v>
      </c>
      <c r="BB453" s="89" t="str">
        <f>Registro!AW453</f>
        <v>d) Mucho o muchísimo</v>
      </c>
      <c r="BC453" s="89" t="str">
        <f>Registro!AX453</f>
        <v>e) Son personas que me gustan y admiro</v>
      </c>
      <c r="BD453" s="89" t="str">
        <f>Registro!AY453</f>
        <v>a) Mi padre, b) Mi madre, c) Un hermano/a</v>
      </c>
    </row>
    <row r="454" spans="1:56" ht="15" customHeight="1" x14ac:dyDescent="0.25">
      <c r="A454" s="101" t="str">
        <f>Registro!A454</f>
        <v>6/19/2015 7:53:39</v>
      </c>
      <c r="B454" s="89" t="str">
        <f>Registro!B454</f>
        <v>d) Cristo Rey de Carora</v>
      </c>
      <c r="C454" s="89" t="str">
        <f>Registro!C454</f>
        <v>b) Tercer año</v>
      </c>
      <c r="D454" s="89" t="str">
        <f>Registro!D454</f>
        <v>a) Educación Inicial</v>
      </c>
      <c r="E454" s="89" t="str">
        <f>Registro!E454</f>
        <v>a) Masculino</v>
      </c>
      <c r="F454" s="89" t="str">
        <f>Registro!F454</f>
        <v>a) Católica</v>
      </c>
      <c r="G454" s="89" t="str">
        <f>Registro!G454</f>
        <v>a) Mamá, b) Papá, c) Hermanos, d) Abuelos, e) Otros familiares</v>
      </c>
      <c r="H454" s="89" t="str">
        <f>Registro!H454</f>
        <v>b) Casa Urbana</v>
      </c>
      <c r="I454" s="89" t="str">
        <f>Registro!I454</f>
        <v>a) Sí</v>
      </c>
      <c r="J454" s="89" t="str">
        <f>Registro!J454</f>
        <v>b) Lavadora, c) Microondas, f) MP3, i) Computadora, j) Cámara digital, k) Aire acondicionado</v>
      </c>
      <c r="K454" s="89" t="str">
        <f>Registro!K454</f>
        <v>c) Dos</v>
      </c>
      <c r="L454" s="89"/>
      <c r="M454" s="94">
        <f t="shared" si="38"/>
        <v>0</v>
      </c>
      <c r="N454" s="89" t="str">
        <f>Registro!M454</f>
        <v>a) Seguridad personal (la violencia y la delincuencia)</v>
      </c>
      <c r="O454" s="89" t="str">
        <f>Registro!N454</f>
        <v>a) Mucho</v>
      </c>
      <c r="P454" s="89" t="str">
        <f>Registro!O454</f>
        <v>b) Suficiente</v>
      </c>
      <c r="Q454" s="89" t="str">
        <f>Registro!P454</f>
        <v>b) Suficiente</v>
      </c>
      <c r="R454" s="89" t="str">
        <f>Registro!Q454</f>
        <v>a) La familia, d) El cuidado de mi cuerpo, g) La felicidad</v>
      </c>
      <c r="S454" s="94">
        <f t="shared" si="39"/>
        <v>3</v>
      </c>
      <c r="T454" s="89" t="str">
        <f>Registro!R454</f>
        <v>b) Suficiente</v>
      </c>
      <c r="U454" s="89" t="str">
        <f>Registro!S454</f>
        <v>a) La Iglesia, j) Todas partes, k) La oración, l) Los sacramentos</v>
      </c>
      <c r="V454" s="89" t="str">
        <f>Registro!T454</f>
        <v>b) Rezo por costumbre</v>
      </c>
      <c r="W454" s="89" t="str">
        <f>Registro!U454</f>
        <v>c) Solo en fechas especiales</v>
      </c>
      <c r="X454" s="89" t="str">
        <f>Registro!V454</f>
        <v>a) Suelo llevar una cruz o algún objeto religioso, b) Suelo bendedir los alimentos antes de comer, d) Suelo orar todos los días, f) En alguna ocasión he rezado el rosario, g) En ocasiones, en mi casa tenemos una oración familiar</v>
      </c>
      <c r="Y454" s="89" t="str">
        <f>Registro!W454</f>
        <v>d) No pertenezco a ninguno</v>
      </c>
      <c r="Z454" s="89" t="str">
        <f>Registro!X454</f>
        <v>a) Un grupo donde profundizo mi fe</v>
      </c>
      <c r="AA454" s="89" t="str">
        <f>Registro!Y454</f>
        <v>b) No</v>
      </c>
      <c r="AB454" s="89" t="str">
        <f>Registro!Z454</f>
        <v>b) No</v>
      </c>
      <c r="AC454" s="89" t="str">
        <f>Registro!AA454</f>
        <v>d) Ingeniería, g) Artista</v>
      </c>
      <c r="AD454" s="94">
        <f t="shared" si="40"/>
        <v>2</v>
      </c>
      <c r="AE454" s="89" t="str">
        <f>Registro!AB454</f>
        <v>a) Ganar mucho dinero</v>
      </c>
      <c r="AF454" s="89" t="str">
        <f>Registro!AC454</f>
        <v>b) Poco</v>
      </c>
      <c r="AG454" s="89" t="str">
        <f>Registro!AD454</f>
        <v>i) No me gusta nada</v>
      </c>
      <c r="AH454" s="94">
        <f t="shared" si="41"/>
        <v>1</v>
      </c>
      <c r="AI454" s="89" t="str">
        <f>Registro!AE454</f>
        <v>b) 3 a 4 horas</v>
      </c>
      <c r="AJ454" s="89" t="str">
        <f>Registro!AF454</f>
        <v>b) Navego en Internet, d) Estoy la mayor parte del tiempo en la casa sin hacer nada, l) Escucho música y/o veo videos musicales</v>
      </c>
      <c r="AK454" s="94">
        <f t="shared" si="42"/>
        <v>3</v>
      </c>
      <c r="AL454" s="89" t="str">
        <f>Registro!AG454</f>
        <v>c) Regular</v>
      </c>
      <c r="AM454" s="89" t="str">
        <f>Registro!AH454</f>
        <v>c) Regular</v>
      </c>
      <c r="AN454" s="89" t="str">
        <f>Registro!AI454</f>
        <v>c) Regular</v>
      </c>
      <c r="AO454" s="89">
        <f>Registro!AJ454</f>
        <v>0</v>
      </c>
      <c r="AP454" s="89" t="str">
        <f>Registro!AK454</f>
        <v>c) Regular</v>
      </c>
      <c r="AQ454" s="89" t="str">
        <f>Registro!AL454</f>
        <v>b) Buena</v>
      </c>
      <c r="AR454" s="89" t="str">
        <f>Registro!AM454</f>
        <v>c) Regular</v>
      </c>
      <c r="AS454" s="89" t="str">
        <f>Registro!AN454</f>
        <v>f) No aplica</v>
      </c>
      <c r="AT454" s="89" t="str">
        <f>Registro!AO454</f>
        <v>c) Regular</v>
      </c>
      <c r="AU454" s="89" t="str">
        <f>Registro!AP454</f>
        <v>a) Muy buena</v>
      </c>
      <c r="AV454" s="89" t="str">
        <f>Registro!AQ454</f>
        <v>b) Buena</v>
      </c>
      <c r="AW454" s="89" t="str">
        <f>Registro!AR454</f>
        <v>b) La orientación cristiana</v>
      </c>
      <c r="AX454" s="89" t="str">
        <f>Registro!AS454</f>
        <v>c) Que me preocupe de los demás</v>
      </c>
      <c r="AY454" s="89" t="str">
        <f>Registro!AT454</f>
        <v>c) Conveniente</v>
      </c>
      <c r="AZ454" s="89" t="str">
        <f>Registro!AU454</f>
        <v>b) Las veces que bebo, es con moderación</v>
      </c>
      <c r="BA454" s="89" t="str">
        <f>Registro!AV454</f>
        <v>b) Profesionales que no se preocupan de nosotros</v>
      </c>
      <c r="BB454" s="89" t="str">
        <f>Registro!AW454</f>
        <v>c) Bastante</v>
      </c>
      <c r="BC454" s="89" t="str">
        <f>Registro!AX454</f>
        <v>a) No me gustan en absoluto</v>
      </c>
      <c r="BD454" s="89" t="str">
        <f>Registro!AY454</f>
        <v>a) Mi padre, b) Mi madre, c) Un hermano/a, d) Un escolapio, religioso o religiosa, e) Un, una docente, f) La orientadora, g) Un amigo, h) Una amiga, i) Un, una catequista o responsable de grupo, j) Nadie, k) No tengo problemas personales</v>
      </c>
    </row>
    <row r="455" spans="1:56" ht="15" customHeight="1" x14ac:dyDescent="0.25">
      <c r="A455" s="101" t="str">
        <f>Registro!A455</f>
        <v>6/19/2015 7:53:42</v>
      </c>
      <c r="B455" s="89" t="str">
        <f>Registro!B455</f>
        <v>d) Cristo Rey de Carora</v>
      </c>
      <c r="C455" s="89" t="str">
        <f>Registro!C455</f>
        <v>b) Tercer año</v>
      </c>
      <c r="D455" s="89" t="str">
        <f>Registro!D455</f>
        <v>a) Educación Inicial</v>
      </c>
      <c r="E455" s="89" t="str">
        <f>Registro!E455</f>
        <v>b) Femenino</v>
      </c>
      <c r="F455" s="89" t="str">
        <f>Registro!F455</f>
        <v>a) Católica</v>
      </c>
      <c r="G455" s="89" t="str">
        <f>Registro!G455</f>
        <v>a) Mamá, b) Papá</v>
      </c>
      <c r="H455" s="89" t="str">
        <f>Registro!H455</f>
        <v>b) Casa Urbana</v>
      </c>
      <c r="I455" s="89" t="str">
        <f>Registro!I455</f>
        <v>a) Sí</v>
      </c>
      <c r="J455" s="89" t="str">
        <f>Registro!J455</f>
        <v>b) Lavadora, c) Microondas, d) TV pantalla plana, g) MP4, i) Computadora, j) Cámara digital, k) Aire acondicionado</v>
      </c>
      <c r="K455" s="89" t="str">
        <f>Registro!K455</f>
        <v>b) Una</v>
      </c>
      <c r="L455" s="89"/>
      <c r="M455" s="94">
        <f t="shared" si="38"/>
        <v>0</v>
      </c>
      <c r="N455" s="89" t="str">
        <f>Registro!M455</f>
        <v>b) El futuro</v>
      </c>
      <c r="O455" s="89" t="str">
        <f>Registro!N455</f>
        <v>b) Suficiente</v>
      </c>
      <c r="P455" s="89" t="str">
        <f>Registro!O455</f>
        <v>b) Suficiente</v>
      </c>
      <c r="Q455" s="89" t="str">
        <f>Registro!P455</f>
        <v>b) Suficiente</v>
      </c>
      <c r="R455" s="89" t="str">
        <f>Registro!Q455</f>
        <v>b) Los amigos, c) Los estudios, g) La felicidad</v>
      </c>
      <c r="S455" s="94">
        <f t="shared" si="39"/>
        <v>3</v>
      </c>
      <c r="T455" s="89" t="str">
        <f>Registro!R455</f>
        <v>b) Suficiente</v>
      </c>
      <c r="U455" s="89" t="str">
        <f>Registro!S455</f>
        <v>a) La Iglesia, g) Mi familia, j) Todas partes</v>
      </c>
      <c r="V455" s="89" t="str">
        <f>Registro!T455</f>
        <v>c) Rezo solo en situación de dificultad</v>
      </c>
      <c r="W455" s="89" t="str">
        <f>Registro!U455</f>
        <v>c) Solo en fechas especiales</v>
      </c>
      <c r="X455" s="89" t="str">
        <f>Registro!V455</f>
        <v>c) Suelo ir los domingos y otras fechas especiales a la Iglesia, e) Voy a misa en las fechas de mis familiares difuntos, i) Tengo en mi cuarto alguna imagen religiosa</v>
      </c>
      <c r="Y455" s="89" t="str">
        <f>Registro!W455</f>
        <v>d) No pertenezco a ninguno</v>
      </c>
      <c r="Z455" s="89" t="str">
        <f>Registro!X455</f>
        <v>d) No pertenezco a grupos juveniles cristianos</v>
      </c>
      <c r="AA455" s="89" t="str">
        <f>Registro!Y455</f>
        <v>b) No</v>
      </c>
      <c r="AB455" s="89" t="str">
        <f>Registro!Z455</f>
        <v>b) No</v>
      </c>
      <c r="AC455" s="89" t="str">
        <f>Registro!AA455</f>
        <v>d) Ingeniería, g) Artista</v>
      </c>
      <c r="AD455" s="94">
        <f t="shared" si="40"/>
        <v>2</v>
      </c>
      <c r="AE455" s="89" t="str">
        <f>Registro!AB455</f>
        <v>d) Desarrollarme personalmente</v>
      </c>
      <c r="AF455" s="89" t="str">
        <f>Registro!AC455</f>
        <v>e) No sé</v>
      </c>
      <c r="AG455" s="89" t="str">
        <f>Registro!AD455</f>
        <v>f) La igualdad de trato que se da a todos, h) Las actividades extraescolares</v>
      </c>
      <c r="AH455" s="94">
        <f t="shared" si="41"/>
        <v>2</v>
      </c>
      <c r="AI455" s="89" t="str">
        <f>Registro!AE455</f>
        <v>b) 3 a 4 horas</v>
      </c>
      <c r="AJ455" s="89" t="str">
        <f>Registro!AF455</f>
        <v>b) Navego en Internet, i) Leo revistas o libros, l) Escucho música y/o veo videos musicales</v>
      </c>
      <c r="AK455" s="94">
        <f t="shared" si="42"/>
        <v>3</v>
      </c>
      <c r="AL455" s="89" t="str">
        <f>Registro!AG455</f>
        <v>c) Regular</v>
      </c>
      <c r="AM455" s="89" t="str">
        <f>Registro!AH455</f>
        <v>c) Regular</v>
      </c>
      <c r="AN455" s="89" t="str">
        <f>Registro!AI455</f>
        <v>c) Regular</v>
      </c>
      <c r="AO455" s="89" t="str">
        <f>Registro!AJ455</f>
        <v>c) Regular</v>
      </c>
      <c r="AP455" s="89" t="str">
        <f>Registro!AK455</f>
        <v>d) Mala</v>
      </c>
      <c r="AQ455" s="89" t="str">
        <f>Registro!AL455</f>
        <v>c) Regular</v>
      </c>
      <c r="AR455" s="89" t="str">
        <f>Registro!AM455</f>
        <v>c) Regular</v>
      </c>
      <c r="AS455" s="89" t="str">
        <f>Registro!AN455</f>
        <v>c) Regular</v>
      </c>
      <c r="AT455" s="89" t="str">
        <f>Registro!AO455</f>
        <v>c) Regular</v>
      </c>
      <c r="AU455" s="89" t="str">
        <f>Registro!AP455</f>
        <v>b) Buena</v>
      </c>
      <c r="AV455" s="89" t="str">
        <f>Registro!AQ455</f>
        <v>b) Buena</v>
      </c>
      <c r="AW455" s="89" t="str">
        <f>Registro!AR455</f>
        <v>f) la práctica religiosa</v>
      </c>
      <c r="AX455" s="89" t="str">
        <f>Registro!AS455</f>
        <v>a) Que sea un buen profesional</v>
      </c>
      <c r="AY455" s="89" t="str">
        <f>Registro!AT455</f>
        <v>c) Conveniente</v>
      </c>
      <c r="AZ455" s="89" t="str">
        <f>Registro!AU455</f>
        <v>b) Las veces que bebo, es con moderación</v>
      </c>
      <c r="BA455" s="89" t="str">
        <f>Registro!AV455</f>
        <v>c) Profesionales que hacen lo que pueden</v>
      </c>
      <c r="BB455" s="89" t="str">
        <f>Registro!AW455</f>
        <v>b) Poco</v>
      </c>
      <c r="BC455" s="89" t="str">
        <f>Registro!AX455</f>
        <v>c) Son personas normales y corrientes</v>
      </c>
      <c r="BD455" s="89" t="str">
        <f>Registro!AY455</f>
        <v>b) Mi madre, d) Un escolapio, religioso o religiosa, h) Una amiga</v>
      </c>
    </row>
    <row r="456" spans="1:56" ht="15" customHeight="1" x14ac:dyDescent="0.25">
      <c r="A456" s="101" t="str">
        <f>Registro!A456</f>
        <v>6/19/2015 8:01:25</v>
      </c>
      <c r="B456" s="89" t="str">
        <f>Registro!B456</f>
        <v>d) Cristo Rey de Carora</v>
      </c>
      <c r="C456" s="89" t="str">
        <f>Registro!C456</f>
        <v>b) Tercer año</v>
      </c>
      <c r="D456" s="89" t="str">
        <f>Registro!D456</f>
        <v>a) Educación Inicial</v>
      </c>
      <c r="E456" s="89" t="str">
        <f>Registro!E456</f>
        <v>b) Femenino</v>
      </c>
      <c r="F456" s="89" t="str">
        <f>Registro!F456</f>
        <v>a) Católica</v>
      </c>
      <c r="G456" s="89" t="str">
        <f>Registro!G456</f>
        <v>a) Mamá, b) Papá, c) Hermanos, d) Abuelos</v>
      </c>
      <c r="H456" s="89" t="str">
        <f>Registro!H456</f>
        <v>b) Casa Urbana</v>
      </c>
      <c r="I456" s="89" t="str">
        <f>Registro!I456</f>
        <v>c) Algo</v>
      </c>
      <c r="J456" s="89" t="str">
        <f>Registro!J456</f>
        <v>b) Lavadora, c) Microondas, d) TV pantalla plana, f) MP3, g) MP4, h) Carro, i) Computadora, j) Cámara digital, k) Aire acondicionado</v>
      </c>
      <c r="K456" s="89" t="str">
        <f>Registro!K456</f>
        <v>c) Dos</v>
      </c>
      <c r="L456" s="89" t="str">
        <f>Registro!L456</f>
        <v>a) La familia, e) Disponer de dinero, i) La música</v>
      </c>
      <c r="M456" s="94">
        <f t="shared" si="38"/>
        <v>3</v>
      </c>
      <c r="N456" s="89" t="str">
        <f>Registro!M456</f>
        <v>b) El futuro</v>
      </c>
      <c r="O456" s="89" t="str">
        <f>Registro!N456</f>
        <v>b) Suficiente</v>
      </c>
      <c r="P456" s="89" t="str">
        <f>Registro!O456</f>
        <v>c) Poco</v>
      </c>
      <c r="Q456" s="89" t="str">
        <f>Registro!P456</f>
        <v>d) Nada</v>
      </c>
      <c r="R456" s="89" t="str">
        <f>Registro!Q456</f>
        <v>b) Los amigos, c) Los estudios, d) El cuidado de mi cuerpo</v>
      </c>
      <c r="S456" s="94">
        <f t="shared" si="39"/>
        <v>3</v>
      </c>
      <c r="T456" s="89" t="str">
        <f>Registro!R456</f>
        <v>a) Mucho</v>
      </c>
      <c r="U456" s="89" t="str">
        <f>Registro!S456</f>
        <v>a) La Iglesia, b) La naturaleza, d) Las convivencias, g) Mi familia, k) La oración</v>
      </c>
      <c r="V456" s="89" t="str">
        <f>Registro!T456</f>
        <v>a) Suelo rezar por convicción o porque me gusta</v>
      </c>
      <c r="W456" s="89" t="str">
        <f>Registro!U456</f>
        <v>c) Solo en fechas especiales</v>
      </c>
      <c r="X456" s="89" t="str">
        <f>Registro!V456</f>
        <v>a) Suelo llevar una cruz o algún objeto religioso</v>
      </c>
      <c r="Y456" s="89" t="str">
        <f>Registro!W456</f>
        <v xml:space="preserve">b) Cultural (folklórico, musicales, danzas, scout, banda marcial,...) </v>
      </c>
      <c r="Z456" s="89" t="str">
        <f>Registro!X456</f>
        <v>d) No pertenezco a grupos juveniles cristianos</v>
      </c>
      <c r="AA456" s="89" t="str">
        <f>Registro!Y456</f>
        <v>b) No</v>
      </c>
      <c r="AB456" s="89" t="str">
        <f>Registro!Z456</f>
        <v>b) No</v>
      </c>
      <c r="AC456" s="89" t="str">
        <f>Registro!AA456</f>
        <v>g) Artista, i) Comerciante</v>
      </c>
      <c r="AD456" s="94">
        <f t="shared" si="40"/>
        <v>2</v>
      </c>
      <c r="AE456" s="89" t="str">
        <f>Registro!AB456</f>
        <v>b) Tener una buena posición social, ser importante</v>
      </c>
      <c r="AF456" s="89" t="str">
        <f>Registro!AC456</f>
        <v>c) Bastante</v>
      </c>
      <c r="AG456" s="89" t="str">
        <f>Registro!AD456</f>
        <v>i) No me gusta nada</v>
      </c>
      <c r="AH456" s="94">
        <f t="shared" si="41"/>
        <v>1</v>
      </c>
      <c r="AI456" s="89" t="str">
        <f>Registro!AE456</f>
        <v>d) 7 a 8 horas</v>
      </c>
      <c r="AJ456" s="89" t="str">
        <f>Registro!AF456</f>
        <v>l) Escucho música y/o veo videos musicales, m) Veo televisión y/o películas, n) Estoy conversando con los amigos/as</v>
      </c>
      <c r="AK456" s="94">
        <f t="shared" si="42"/>
        <v>3</v>
      </c>
      <c r="AL456" s="89" t="str">
        <f>Registro!AG456</f>
        <v>b) Bueno</v>
      </c>
      <c r="AM456" s="89" t="str">
        <f>Registro!AH456</f>
        <v>b) Buena</v>
      </c>
      <c r="AN456" s="89" t="str">
        <f>Registro!AI456</f>
        <v>b) Buena</v>
      </c>
      <c r="AO456" s="89" t="str">
        <f>Registro!AJ456</f>
        <v>b) Buena</v>
      </c>
      <c r="AP456" s="89" t="str">
        <f>Registro!AK456</f>
        <v>d) Mala</v>
      </c>
      <c r="AQ456" s="89" t="str">
        <f>Registro!AL456</f>
        <v>e) Muy mala</v>
      </c>
      <c r="AR456" s="89" t="str">
        <f>Registro!AM456</f>
        <v>d) Mala</v>
      </c>
      <c r="AS456" s="89" t="str">
        <f>Registro!AN456</f>
        <v>d) Mala</v>
      </c>
      <c r="AT456" s="89" t="str">
        <f>Registro!AO456</f>
        <v>b) Buena</v>
      </c>
      <c r="AU456" s="89" t="str">
        <f>Registro!AP456</f>
        <v>b) Buena</v>
      </c>
      <c r="AV456" s="89" t="str">
        <f>Registro!AQ456</f>
        <v>c) Regular</v>
      </c>
      <c r="AW456" s="89" t="str">
        <f>Registro!AR456</f>
        <v>a) El compañerismo</v>
      </c>
      <c r="AX456" s="89" t="str">
        <f>Registro!AS456</f>
        <v>b) Darme una buena educación</v>
      </c>
      <c r="AY456" s="89" t="str">
        <f>Registro!AT456</f>
        <v>e) Absolutamente necesaria</v>
      </c>
      <c r="AZ456" s="89" t="str">
        <f>Registro!AU456</f>
        <v>b) Las veces que bebo, es con moderación</v>
      </c>
      <c r="BA456" s="89" t="str">
        <f>Registro!AV456</f>
        <v>e) Educadores que se preocupan de nosotros</v>
      </c>
      <c r="BB456" s="89" t="str">
        <f>Registro!AW456</f>
        <v>c) Bastante</v>
      </c>
      <c r="BC456" s="89" t="str">
        <f>Registro!AX456</f>
        <v>d) Hay de todo tipo, pero predomina lo positivo</v>
      </c>
      <c r="BD456" s="89" t="str">
        <f>Registro!AY456</f>
        <v>b) Mi madre, h) Una amiga</v>
      </c>
    </row>
    <row r="457" spans="1:56" ht="15" customHeight="1" x14ac:dyDescent="0.25">
      <c r="A457" s="101" t="str">
        <f>Registro!A457</f>
        <v>6/19/2015 8:01:36</v>
      </c>
      <c r="B457" s="89" t="str">
        <f>Registro!B457</f>
        <v>d) Cristo Rey de Carora</v>
      </c>
      <c r="C457" s="89" t="str">
        <f>Registro!C457</f>
        <v>b) Tercer año</v>
      </c>
      <c r="D457" s="89" t="str">
        <f>Registro!D457</f>
        <v>a) Educación Inicial</v>
      </c>
      <c r="E457" s="89" t="str">
        <f>Registro!E457</f>
        <v>a) Masculino</v>
      </c>
      <c r="F457" s="89" t="str">
        <f>Registro!F457</f>
        <v>a) Católica</v>
      </c>
      <c r="G457" s="89" t="str">
        <f>Registro!G457</f>
        <v>a) Mamá, b) Papá, c) Hermanos, e) Otros familiares</v>
      </c>
      <c r="H457" s="89" t="str">
        <f>Registro!H457</f>
        <v>f) Otro</v>
      </c>
      <c r="I457" s="89" t="str">
        <f>Registro!I457</f>
        <v>a) Sí</v>
      </c>
      <c r="J457" s="89" t="str">
        <f>Registro!J457</f>
        <v>e) Moto</v>
      </c>
      <c r="K457" s="89" t="str">
        <f>Registro!K457</f>
        <v>a) Ninguna</v>
      </c>
      <c r="L457" s="89" t="str">
        <f>Registro!L457</f>
        <v>b) Los amigos, h) La sexualidad, k) El internet</v>
      </c>
      <c r="M457" s="94">
        <f t="shared" si="38"/>
        <v>3</v>
      </c>
      <c r="N457" s="89" t="str">
        <f>Registro!M457</f>
        <v>f) La situación política del país</v>
      </c>
      <c r="O457" s="89" t="str">
        <f>Registro!N457</f>
        <v>b) Suficiente</v>
      </c>
      <c r="P457" s="89" t="str">
        <f>Registro!O457</f>
        <v>c) Poco</v>
      </c>
      <c r="Q457" s="89" t="str">
        <f>Registro!P457</f>
        <v>c) Poco</v>
      </c>
      <c r="R457" s="89" t="str">
        <f>Registro!Q457</f>
        <v>a) La familia, c) Los estudios, g) La felicidad</v>
      </c>
      <c r="S457" s="94">
        <f t="shared" si="39"/>
        <v>3</v>
      </c>
      <c r="T457" s="89" t="str">
        <f>Registro!R457</f>
        <v>c) Poco</v>
      </c>
      <c r="U457" s="89" t="str">
        <f>Registro!S457</f>
        <v>a) La Iglesia</v>
      </c>
      <c r="V457" s="89" t="str">
        <f>Registro!T457</f>
        <v>b) Rezo por costumbre</v>
      </c>
      <c r="W457" s="89" t="str">
        <f>Registro!U457</f>
        <v>c) Solo en fechas especiales</v>
      </c>
      <c r="X457" s="89" t="str">
        <f>Registro!V457</f>
        <v>e) Voy a misa en las fechas de mis familiares difuntos</v>
      </c>
      <c r="Y457" s="89" t="str">
        <f>Registro!W457</f>
        <v>d) No pertenezco a ninguno</v>
      </c>
      <c r="Z457" s="89" t="str">
        <f>Registro!X457</f>
        <v>a) Un grupo donde profundizo mi fe</v>
      </c>
      <c r="AA457" s="89" t="str">
        <f>Registro!Y457</f>
        <v>b) No</v>
      </c>
      <c r="AB457" s="89" t="str">
        <f>Registro!Z457</f>
        <v>b) No</v>
      </c>
      <c r="AC457" s="89"/>
      <c r="AD457" s="94">
        <f t="shared" si="40"/>
        <v>0</v>
      </c>
      <c r="AE457" s="89" t="str">
        <f>Registro!AB457</f>
        <v>a) Ganar mucho dinero</v>
      </c>
      <c r="AF457" s="89" t="str">
        <f>Registro!AC457</f>
        <v>b) Poco</v>
      </c>
      <c r="AG457" s="89" t="str">
        <f>Registro!AD457</f>
        <v>a) Los deportes y diversiones, h) Las actividades extraescolares</v>
      </c>
      <c r="AH457" s="94">
        <f t="shared" si="41"/>
        <v>2</v>
      </c>
      <c r="AI457" s="89" t="str">
        <f>Registro!AE457</f>
        <v>e) 9 a 10 horas</v>
      </c>
      <c r="AJ457" s="89" t="str">
        <f>Registro!AF457</f>
        <v>a) Me divierto con juegos para computadoras, b) Navego en Internet, n) Estoy conversando con los amigos/as</v>
      </c>
      <c r="AK457" s="94">
        <f t="shared" si="42"/>
        <v>3</v>
      </c>
      <c r="AL457" s="89" t="str">
        <f>Registro!AG457</f>
        <v>c) Regular</v>
      </c>
      <c r="AM457" s="89" t="str">
        <f>Registro!AH457</f>
        <v>d) Mala</v>
      </c>
      <c r="AN457" s="89" t="str">
        <f>Registro!AI457</f>
        <v>d) Mala</v>
      </c>
      <c r="AO457" s="89" t="str">
        <f>Registro!AJ457</f>
        <v>b) Buena</v>
      </c>
      <c r="AP457" s="89" t="str">
        <f>Registro!AK457</f>
        <v>d) Mala</v>
      </c>
      <c r="AQ457" s="89" t="str">
        <f>Registro!AL457</f>
        <v>d) Mala</v>
      </c>
      <c r="AR457" s="89" t="str">
        <f>Registro!AM457</f>
        <v>d) Mala</v>
      </c>
      <c r="AS457" s="89" t="str">
        <f>Registro!AN457</f>
        <v>c) Regular</v>
      </c>
      <c r="AT457" s="89" t="str">
        <f>Registro!AO457</f>
        <v>b) Buena</v>
      </c>
      <c r="AU457" s="89" t="str">
        <f>Registro!AP457</f>
        <v>b) Buena</v>
      </c>
      <c r="AV457" s="89" t="str">
        <f>Registro!AQ457</f>
        <v>c) Regular</v>
      </c>
      <c r="AW457" s="89" t="str">
        <f>Registro!AR457</f>
        <v>b) La orientación cristiana</v>
      </c>
      <c r="AX457" s="89" t="str">
        <f>Registro!AS457</f>
        <v>a) Que sea un buen profesional</v>
      </c>
      <c r="AY457" s="89" t="str">
        <f>Registro!AT457</f>
        <v>c) Conveniente</v>
      </c>
      <c r="AZ457" s="89" t="str">
        <f>Registro!AU457</f>
        <v>b) Las veces que bebo, es con moderación</v>
      </c>
      <c r="BA457" s="89" t="str">
        <f>Registro!AV457</f>
        <v>b) Profesionales que no se preocupan de nosotros</v>
      </c>
      <c r="BB457" s="89" t="str">
        <f>Registro!AW457</f>
        <v>b) Poco</v>
      </c>
      <c r="BC457" s="89" t="str">
        <f>Registro!AX457</f>
        <v>c) Son personas normales y corrientes</v>
      </c>
      <c r="BD457" s="89" t="str">
        <f>Registro!AY457</f>
        <v>a) Mi padre, b) Mi madre, c) Un hermano/a, g) Un amigo, h) Una amiga</v>
      </c>
    </row>
    <row r="458" spans="1:56" ht="15" customHeight="1" x14ac:dyDescent="0.25">
      <c r="A458" s="101" t="str">
        <f>Registro!A458</f>
        <v>6/19/2015 8:03:04</v>
      </c>
      <c r="B458" s="89" t="str">
        <f>Registro!B458</f>
        <v>d) Cristo Rey de Carora</v>
      </c>
      <c r="C458" s="89" t="str">
        <f>Registro!C458</f>
        <v>b) Tercer año</v>
      </c>
      <c r="D458" s="89" t="str">
        <f>Registro!D458</f>
        <v>c) Entre Primero y Tercer año</v>
      </c>
      <c r="E458" s="89" t="str">
        <f>Registro!E458</f>
        <v>b) Femenino</v>
      </c>
      <c r="F458" s="89" t="str">
        <f>Registro!F458</f>
        <v>a) Católica</v>
      </c>
      <c r="G458" s="89" t="str">
        <f>Registro!G458</f>
        <v>a) Mamá, b) Papá, c) Hermanos</v>
      </c>
      <c r="H458" s="89" t="str">
        <f>Registro!H458</f>
        <v>f) Otro</v>
      </c>
      <c r="I458" s="89" t="str">
        <f>Registro!I458</f>
        <v>c) Algo</v>
      </c>
      <c r="J458" s="89" t="str">
        <f>Registro!J458</f>
        <v>b) Lavadora</v>
      </c>
      <c r="K458" s="89" t="str">
        <f>Registro!K458</f>
        <v>b) Una</v>
      </c>
      <c r="L458" s="89" t="str">
        <f>Registro!L458</f>
        <v>c) Los estudios, i) La música, j) El deporte</v>
      </c>
      <c r="M458" s="94">
        <f t="shared" si="38"/>
        <v>3</v>
      </c>
      <c r="N458" s="89" t="str">
        <f>Registro!M458</f>
        <v>d) Los problemas familiares</v>
      </c>
      <c r="O458" s="89" t="str">
        <f>Registro!N458</f>
        <v>d) Nada</v>
      </c>
      <c r="P458" s="89" t="str">
        <f>Registro!O458</f>
        <v>b) Suficiente</v>
      </c>
      <c r="Q458" s="89" t="str">
        <f>Registro!P458</f>
        <v>c) Poco</v>
      </c>
      <c r="R458" s="89" t="str">
        <f>Registro!Q458</f>
        <v>c) Los estudios, e) Disponer de dinero, g) La felicidad</v>
      </c>
      <c r="S458" s="94">
        <f t="shared" si="39"/>
        <v>3</v>
      </c>
      <c r="T458" s="89" t="str">
        <f>Registro!R458</f>
        <v>c) Poco</v>
      </c>
      <c r="U458" s="89" t="str">
        <f>Registro!S458</f>
        <v>a) La Iglesia, d) Las convivencias, h) Algunas personas cercanas a Dios, k) La oración, l) Los sacramentos</v>
      </c>
      <c r="V458" s="89" t="str">
        <f>Registro!T458</f>
        <v>a) Suelo rezar por convicción o porque me gusta</v>
      </c>
      <c r="W458" s="89" t="str">
        <f>Registro!U458</f>
        <v>c) Solo en fechas especiales</v>
      </c>
      <c r="X458" s="89" t="str">
        <f>Registro!V458</f>
        <v>d) Suelo orar todos los días, e) Voy a misa en las fechas de mis familiares difuntos</v>
      </c>
      <c r="Y458" s="89" t="str">
        <f>Registro!W458</f>
        <v xml:space="preserve">b) Cultural (folklórico, musicales, danzas, scout, banda marcial,...) </v>
      </c>
      <c r="Z458" s="89" t="str">
        <f>Registro!X458</f>
        <v>d) No pertenezco a grupos juveniles cristianos</v>
      </c>
      <c r="AA458" s="89" t="str">
        <f>Registro!Y458</f>
        <v>b) No</v>
      </c>
      <c r="AB458" s="89" t="str">
        <f>Registro!Z458</f>
        <v>b) No</v>
      </c>
      <c r="AC458" s="89" t="str">
        <f>Registro!AA458</f>
        <v>a) Medicina, e) Derecho</v>
      </c>
      <c r="AD458" s="94">
        <f t="shared" si="40"/>
        <v>2</v>
      </c>
      <c r="AE458" s="89" t="str">
        <f>Registro!AB458</f>
        <v>b) Tener una buena posición social, ser importante</v>
      </c>
      <c r="AF458" s="89" t="str">
        <f>Registro!AC458</f>
        <v>b) Poco</v>
      </c>
      <c r="AG458" s="89" t="str">
        <f>Registro!AD458</f>
        <v>a) Los deportes y diversiones, h) Las actividades extraescolares</v>
      </c>
      <c r="AH458" s="94">
        <f t="shared" si="41"/>
        <v>2</v>
      </c>
      <c r="AI458" s="89" t="str">
        <f>Registro!AE458</f>
        <v>f) 11 o más horas</v>
      </c>
      <c r="AJ458" s="89"/>
      <c r="AK458" s="94">
        <f t="shared" si="42"/>
        <v>0</v>
      </c>
      <c r="AL458" s="89" t="str">
        <f>Registro!AG458</f>
        <v>c) Regular</v>
      </c>
      <c r="AM458" s="89" t="str">
        <f>Registro!AH458</f>
        <v>c) Regular</v>
      </c>
      <c r="AN458" s="89" t="str">
        <f>Registro!AI458</f>
        <v>b) Buena</v>
      </c>
      <c r="AO458" s="89" t="str">
        <f>Registro!AJ458</f>
        <v>d) Mala</v>
      </c>
      <c r="AP458" s="89" t="str">
        <f>Registro!AK458</f>
        <v>e) Muy mala</v>
      </c>
      <c r="AQ458" s="89" t="str">
        <f>Registro!AL458</f>
        <v>c) Regular</v>
      </c>
      <c r="AR458" s="89" t="str">
        <f>Registro!AM458</f>
        <v>b) Buena</v>
      </c>
      <c r="AS458" s="89" t="str">
        <f>Registro!AN458</f>
        <v>c) Regular</v>
      </c>
      <c r="AT458" s="89" t="str">
        <f>Registro!AO458</f>
        <v>a) Muy buena</v>
      </c>
      <c r="AU458" s="89" t="str">
        <f>Registro!AP458</f>
        <v>b) Buena</v>
      </c>
      <c r="AV458" s="89" t="str">
        <f>Registro!AQ458</f>
        <v>b) Buena</v>
      </c>
      <c r="AW458" s="89" t="str">
        <f>Registro!AR458</f>
        <v>b) La orientación cristiana</v>
      </c>
      <c r="AX458" s="89" t="str">
        <f>Registro!AS458</f>
        <v>h) No sé</v>
      </c>
      <c r="AY458" s="89" t="str">
        <f>Registro!AT458</f>
        <v>c) Conveniente</v>
      </c>
      <c r="AZ458" s="89" t="str">
        <f>Registro!AU458</f>
        <v>a) No acostumbro a tomarlo nunca</v>
      </c>
      <c r="BA458" s="89" t="str">
        <f>Registro!AV458</f>
        <v>c) Profesionales que hacen lo que pueden</v>
      </c>
      <c r="BB458" s="89" t="str">
        <f>Registro!AW458</f>
        <v>b) Poco</v>
      </c>
      <c r="BC458" s="89" t="str">
        <f>Registro!AX458</f>
        <v>c) Son personas normales y corrientes</v>
      </c>
      <c r="BD458" s="89" t="str">
        <f>Registro!AY458</f>
        <v>g) Un amigo</v>
      </c>
    </row>
    <row r="459" spans="1:56" ht="15" customHeight="1" x14ac:dyDescent="0.25">
      <c r="A459" s="101" t="str">
        <f>Registro!A459</f>
        <v>6/19/2015 8:12:59</v>
      </c>
      <c r="B459" s="89" t="str">
        <f>Registro!B459</f>
        <v>d) Cristo Rey de Carora</v>
      </c>
      <c r="C459" s="89" t="str">
        <f>Registro!C459</f>
        <v>b) Tercer año</v>
      </c>
      <c r="D459" s="89" t="str">
        <f>Registro!D459</f>
        <v>a) Educación Inicial</v>
      </c>
      <c r="E459" s="89" t="str">
        <f>Registro!E459</f>
        <v>a) Masculino</v>
      </c>
      <c r="F459" s="89" t="str">
        <f>Registro!F459</f>
        <v>a) Católica</v>
      </c>
      <c r="G459" s="89" t="str">
        <f>Registro!G459</f>
        <v>a) Mamá, c) Hermanos, d) Abuelos, e) Otros familiares</v>
      </c>
      <c r="H459" s="89" t="str">
        <f>Registro!H459</f>
        <v>b) Casa Urbana</v>
      </c>
      <c r="I459" s="89" t="str">
        <f>Registro!I459</f>
        <v>a) Sí</v>
      </c>
      <c r="J459" s="89" t="str">
        <f>Registro!J459</f>
        <v>a) Cónsola videojuegos, b) Lavadora, c) Microondas, i) Computadora, k) Aire acondicionado</v>
      </c>
      <c r="K459" s="89" t="str">
        <f>Registro!K459</f>
        <v>d) Tres</v>
      </c>
      <c r="L459" s="89" t="str">
        <f>Registro!L459</f>
        <v>a) La familia, h) La sexualidad, j) El deporte</v>
      </c>
      <c r="M459" s="94">
        <f t="shared" si="38"/>
        <v>3</v>
      </c>
      <c r="N459" s="89" t="str">
        <f>Registro!M459</f>
        <v>a) Seguridad personal (la violencia y la delincuencia)</v>
      </c>
      <c r="O459" s="89" t="str">
        <f>Registro!N459</f>
        <v>b) Suficiente</v>
      </c>
      <c r="P459" s="89" t="str">
        <f>Registro!O459</f>
        <v>c) Poco</v>
      </c>
      <c r="Q459" s="89" t="str">
        <f>Registro!P459</f>
        <v>c) Poco</v>
      </c>
      <c r="R459" s="89" t="str">
        <f>Registro!Q459</f>
        <v>e) Disponer de dinero, g) La felicidad, j) El deporte</v>
      </c>
      <c r="S459" s="94">
        <f t="shared" si="39"/>
        <v>3</v>
      </c>
      <c r="T459" s="89" t="str">
        <f>Registro!R459</f>
        <v>a) Mucho</v>
      </c>
      <c r="U459" s="89" t="str">
        <f>Registro!S459</f>
        <v>a) La Iglesia, d) Las convivencias, g) Mi familia, k) La oración</v>
      </c>
      <c r="V459" s="89" t="str">
        <f>Registro!T459</f>
        <v>b) Rezo por costumbre</v>
      </c>
      <c r="W459" s="89" t="str">
        <f>Registro!U459</f>
        <v>c) Solo en fechas especiales</v>
      </c>
      <c r="X459" s="89" t="str">
        <f>Registro!V459</f>
        <v>d) Suelo orar todos los días</v>
      </c>
      <c r="Y459" s="89" t="str">
        <f>Registro!W459</f>
        <v>a) Deportivo</v>
      </c>
      <c r="Z459" s="89" t="str">
        <f>Registro!X459</f>
        <v>d) No pertenezco a grupos juveniles cristianos</v>
      </c>
      <c r="AA459" s="89" t="str">
        <f>Registro!Y459</f>
        <v>b) No</v>
      </c>
      <c r="AB459" s="89" t="str">
        <f>Registro!Z459</f>
        <v>b) No</v>
      </c>
      <c r="AC459" s="89" t="str">
        <f>Registro!AA459</f>
        <v>a) Medicina, d) Ingeniería</v>
      </c>
      <c r="AD459" s="94">
        <f t="shared" si="40"/>
        <v>2</v>
      </c>
      <c r="AE459" s="89" t="str">
        <f>Registro!AB459</f>
        <v>b) Tener una buena posición social, ser importante</v>
      </c>
      <c r="AF459" s="89" t="str">
        <f>Registro!AC459</f>
        <v>e) No sé</v>
      </c>
      <c r="AG459" s="89" t="str">
        <f>Registro!AD459</f>
        <v>a) Los deportes y diversiones, h) Las actividades extraescolares</v>
      </c>
      <c r="AH459" s="94">
        <f t="shared" si="41"/>
        <v>2</v>
      </c>
      <c r="AI459" s="89" t="str">
        <f>Registro!AE459</f>
        <v>a) 0 a 2 horas</v>
      </c>
      <c r="AJ459" s="89" t="str">
        <f>Registro!AF459</f>
        <v>a) Me divierto con juegos para computadoras, b) Navego en Internet, m) Veo televisión y/o películas</v>
      </c>
      <c r="AK459" s="94">
        <f t="shared" si="42"/>
        <v>3</v>
      </c>
      <c r="AL459" s="89" t="str">
        <f>Registro!AG459</f>
        <v>b) Bueno</v>
      </c>
      <c r="AM459" s="89" t="str">
        <f>Registro!AH459</f>
        <v>b) Buena</v>
      </c>
      <c r="AN459" s="89" t="str">
        <f>Registro!AI459</f>
        <v>b) Buena</v>
      </c>
      <c r="AO459" s="89" t="str">
        <f>Registro!AJ459</f>
        <v>b) Buena</v>
      </c>
      <c r="AP459" s="89" t="str">
        <f>Registro!AK459</f>
        <v>e) Muy mala</v>
      </c>
      <c r="AQ459" s="89" t="str">
        <f>Registro!AL459</f>
        <v>d) Mala</v>
      </c>
      <c r="AR459" s="89" t="str">
        <f>Registro!AM459</f>
        <v>b) Buena</v>
      </c>
      <c r="AS459" s="89" t="str">
        <f>Registro!AN459</f>
        <v>c) Regular</v>
      </c>
      <c r="AT459" s="89" t="str">
        <f>Registro!AO459</f>
        <v>a) Muy buena</v>
      </c>
      <c r="AU459" s="89" t="str">
        <f>Registro!AP459</f>
        <v>b) Buena</v>
      </c>
      <c r="AV459" s="89" t="str">
        <f>Registro!AQ459</f>
        <v>b) Buena</v>
      </c>
      <c r="AW459" s="89" t="str">
        <f>Registro!AR459</f>
        <v>i) En nada</v>
      </c>
      <c r="AX459" s="89" t="str">
        <f>Registro!AS459</f>
        <v>b) Darme una buena educación</v>
      </c>
      <c r="AY459" s="89" t="str">
        <f>Registro!AT459</f>
        <v>d) Bastante necesaria</v>
      </c>
      <c r="AZ459" s="89" t="str">
        <f>Registro!AU459</f>
        <v>b) Las veces que bebo, es con moderación</v>
      </c>
      <c r="BA459" s="89" t="str">
        <f>Registro!AV459</f>
        <v>d) Buenos profesionales de la educación</v>
      </c>
      <c r="BB459" s="89" t="str">
        <f>Registro!AW459</f>
        <v>b) Poco</v>
      </c>
      <c r="BC459" s="89" t="str">
        <f>Registro!AX459</f>
        <v>c) Son personas normales y corrientes</v>
      </c>
      <c r="BD459" s="89" t="str">
        <f>Registro!AY459</f>
        <v>b) Mi madre, c) Un hermano/a, g) Un amigo</v>
      </c>
    </row>
    <row r="460" spans="1:56" ht="15" customHeight="1" x14ac:dyDescent="0.25">
      <c r="A460" s="101" t="str">
        <f>Registro!A460</f>
        <v>6/19/2015 8:15:12</v>
      </c>
      <c r="B460" s="89" t="str">
        <f>Registro!B460</f>
        <v>d) Cristo Rey de Carora</v>
      </c>
      <c r="C460" s="89" t="str">
        <f>Registro!C460</f>
        <v>b) Tercer año</v>
      </c>
      <c r="D460" s="89" t="str">
        <f>Registro!D460</f>
        <v>a) Educación Inicial</v>
      </c>
      <c r="E460" s="89" t="str">
        <f>Registro!E460</f>
        <v>b) Femenino</v>
      </c>
      <c r="F460" s="89" t="str">
        <f>Registro!F460</f>
        <v>a) Católica</v>
      </c>
      <c r="G460" s="89" t="str">
        <f>Registro!G460</f>
        <v>a) Mamá, b) Papá, d) Abuelos, e) Otros familiares</v>
      </c>
      <c r="H460" s="89" t="str">
        <f>Registro!H460</f>
        <v>a) Quinta</v>
      </c>
      <c r="I460" s="89" t="str">
        <f>Registro!I460</f>
        <v>a) Sí</v>
      </c>
      <c r="J460" s="89" t="str">
        <f>Registro!J460</f>
        <v>b) Lavadora, c) Microondas, f) MP3, i) Computadora, k) Aire acondicionado</v>
      </c>
      <c r="K460" s="89" t="str">
        <f>Registro!K460</f>
        <v>c) Dos</v>
      </c>
      <c r="L460" s="89"/>
      <c r="M460" s="94">
        <f t="shared" si="38"/>
        <v>0</v>
      </c>
      <c r="N460" s="89" t="str">
        <f>Registro!M460</f>
        <v>b) El futuro</v>
      </c>
      <c r="O460" s="89" t="str">
        <f>Registro!N460</f>
        <v>a) Mucho</v>
      </c>
      <c r="P460" s="89" t="str">
        <f>Registro!O460</f>
        <v>a) Mucho</v>
      </c>
      <c r="Q460" s="89" t="str">
        <f>Registro!P460</f>
        <v>a) Mucho</v>
      </c>
      <c r="R460" s="89" t="str">
        <f>Registro!Q460</f>
        <v>a) La familia, c) Los estudios, g) La felicidad</v>
      </c>
      <c r="S460" s="94">
        <f t="shared" si="39"/>
        <v>3</v>
      </c>
      <c r="T460" s="89" t="str">
        <f>Registro!R460</f>
        <v>a) Mucho</v>
      </c>
      <c r="U460" s="89" t="str">
        <f>Registro!S460</f>
        <v>a) La Iglesia, b) La naturaleza, d) Las convivencias, g) Mi familia, i) Los necesitados, j) Todas partes, k) La oración, l) Los sacramentos</v>
      </c>
      <c r="V460" s="89" t="str">
        <f>Registro!T460</f>
        <v>a) Suelo rezar por convicción o porque me gusta</v>
      </c>
      <c r="W460" s="89" t="str">
        <f>Registro!U460</f>
        <v>b) Algunos domingos</v>
      </c>
      <c r="X460" s="89" t="str">
        <f>Registro!V460</f>
        <v>b) Suelo bendedir los alimentos antes de comer, c) Suelo ir los domingos y otras fechas especiales a la Iglesia, d) Suelo orar todos los días, e) Voy a misa en las fechas de mis familiares difuntos, f) En alguna ocasión he rezado el rosario, i) Tengo en mi cuarto alguna imagen religiosa</v>
      </c>
      <c r="Y460" s="89" t="str">
        <f>Registro!W460</f>
        <v>d) No pertenezco a ninguno</v>
      </c>
      <c r="Z460" s="89" t="str">
        <f>Registro!X460</f>
        <v>d) No pertenezco a grupos juveniles cristianos</v>
      </c>
      <c r="AA460" s="89" t="str">
        <f>Registro!Y460</f>
        <v>a) Sí</v>
      </c>
      <c r="AB460" s="89" t="str">
        <f>Registro!Z460</f>
        <v>a) Sí</v>
      </c>
      <c r="AC460" s="89" t="str">
        <f>Registro!AA460</f>
        <v>a) Medicina, b) Docencia</v>
      </c>
      <c r="AD460" s="94">
        <f t="shared" si="40"/>
        <v>2</v>
      </c>
      <c r="AE460" s="89" t="str">
        <f>Registro!AB460</f>
        <v>c) Ser un excelente profesional</v>
      </c>
      <c r="AF460" s="89" t="str">
        <f>Registro!AC460</f>
        <v>d) Mucho o muchísimo</v>
      </c>
      <c r="AG460" s="89" t="str">
        <f>Registro!AD460</f>
        <v>h) Las actividades extraescolares</v>
      </c>
      <c r="AH460" s="94">
        <f t="shared" si="41"/>
        <v>1</v>
      </c>
      <c r="AI460" s="89" t="str">
        <f>Registro!AE460</f>
        <v>e) 9 a 10 horas</v>
      </c>
      <c r="AJ460" s="89" t="str">
        <f>Registro!AF460</f>
        <v>b) Navego en Internet, l) Escucho música y/o veo videos musicales, m) Veo televisión y/o películas</v>
      </c>
      <c r="AK460" s="94">
        <f t="shared" si="42"/>
        <v>3</v>
      </c>
      <c r="AL460" s="89" t="str">
        <f>Registro!AG460</f>
        <v>b) Bueno</v>
      </c>
      <c r="AM460" s="89" t="str">
        <f>Registro!AH460</f>
        <v>c) Regular</v>
      </c>
      <c r="AN460" s="89" t="str">
        <f>Registro!AI460</f>
        <v>c) Regular</v>
      </c>
      <c r="AO460" s="89" t="str">
        <f>Registro!AJ460</f>
        <v>b) Buena</v>
      </c>
      <c r="AP460" s="89" t="str">
        <f>Registro!AK460</f>
        <v>b) Buena</v>
      </c>
      <c r="AQ460" s="89" t="str">
        <f>Registro!AL460</f>
        <v>b) Buena</v>
      </c>
      <c r="AR460" s="89" t="str">
        <f>Registro!AM460</f>
        <v>b) Buena</v>
      </c>
      <c r="AS460" s="89" t="str">
        <f>Registro!AN460</f>
        <v>a) Muy buena</v>
      </c>
      <c r="AT460" s="89" t="str">
        <f>Registro!AO460</f>
        <v>a) Muy buena</v>
      </c>
      <c r="AU460" s="89" t="str">
        <f>Registro!AP460</f>
        <v>a) Muy buena</v>
      </c>
      <c r="AV460" s="89" t="str">
        <f>Registro!AQ460</f>
        <v>b) Buena</v>
      </c>
      <c r="AW460" s="89" t="str">
        <f>Registro!AR460</f>
        <v>b) La orientación cristiana</v>
      </c>
      <c r="AX460" s="89" t="str">
        <f>Registro!AS460</f>
        <v>b) Darme una buena educación</v>
      </c>
      <c r="AY460" s="89" t="str">
        <f>Registro!AT460</f>
        <v>e) Absolutamente necesaria</v>
      </c>
      <c r="AZ460" s="89" t="str">
        <f>Registro!AU460</f>
        <v>a) No acostumbro a tomarlo nunca</v>
      </c>
      <c r="BA460" s="89" t="str">
        <f>Registro!AV460</f>
        <v>d) Buenos profesionales de la educación</v>
      </c>
      <c r="BB460" s="89" t="str">
        <f>Registro!AW460</f>
        <v>c) Bastante</v>
      </c>
      <c r="BC460" s="89" t="str">
        <f>Registro!AX460</f>
        <v>e) Son personas que me gustan y admiro</v>
      </c>
      <c r="BD460" s="89" t="str">
        <f>Registro!AY460</f>
        <v>a) Mi padre, b) Mi madre, c) Un hermano/a</v>
      </c>
    </row>
    <row r="461" spans="1:56" ht="15" customHeight="1" x14ac:dyDescent="0.25">
      <c r="A461" s="101" t="str">
        <f>Registro!A461</f>
        <v>6/19/2015 10:31:07</v>
      </c>
      <c r="B461" s="89" t="str">
        <f>Registro!B461</f>
        <v>d) Cristo Rey de Carora</v>
      </c>
      <c r="C461" s="89" t="str">
        <f>Registro!C461</f>
        <v>b) Tercer año</v>
      </c>
      <c r="D461" s="89" t="str">
        <f>Registro!D461</f>
        <v>a) Educación Inicial</v>
      </c>
      <c r="E461" s="89" t="str">
        <f>Registro!E461</f>
        <v>b) Femenino</v>
      </c>
      <c r="F461" s="89">
        <f>Registro!F461</f>
        <v>0</v>
      </c>
      <c r="G461" s="89" t="str">
        <f>Registro!G461</f>
        <v>a) Mamá, b) Papá, c) Hermanos</v>
      </c>
      <c r="H461" s="89" t="str">
        <f>Registro!H461</f>
        <v>b) Casa Urbana</v>
      </c>
      <c r="I461" s="89" t="str">
        <f>Registro!I461</f>
        <v>a) Sí</v>
      </c>
      <c r="J461" s="89" t="str">
        <f>Registro!J461</f>
        <v>b) Lavadora, c) Microondas, h) Carro, i) Computadora, j) Cámara digital, k) Aire acondicionado</v>
      </c>
      <c r="K461" s="89" t="str">
        <f>Registro!K461</f>
        <v>f) Más de cuatro</v>
      </c>
      <c r="L461" s="89" t="str">
        <f>Registro!L461</f>
        <v>a) La familia, b) Los amigos, c) Los estudios</v>
      </c>
      <c r="M461" s="94">
        <f t="shared" si="38"/>
        <v>3</v>
      </c>
      <c r="N461" s="89" t="str">
        <f>Registro!M461</f>
        <v>b) El futuro</v>
      </c>
      <c r="O461" s="89" t="str">
        <f>Registro!N461</f>
        <v>a) Mucho</v>
      </c>
      <c r="P461" s="89" t="str">
        <f>Registro!O461</f>
        <v>a) Mucho</v>
      </c>
      <c r="Q461" s="89" t="str">
        <f>Registro!P461</f>
        <v>a) Mucho</v>
      </c>
      <c r="R461" s="89" t="str">
        <f>Registro!Q461</f>
        <v>b) Los amigos, c) Los estudios, g) La felicidad</v>
      </c>
      <c r="S461" s="94">
        <f t="shared" si="39"/>
        <v>3</v>
      </c>
      <c r="T461" s="89" t="str">
        <f>Registro!R461</f>
        <v>a) Mucho</v>
      </c>
      <c r="U461" s="89" t="str">
        <f>Registro!S461</f>
        <v>a) La Iglesia, b) La naturaleza, c) El salón de clase, d) Las convivencias, e) Los amigos, g) Mi familia, h) Algunas personas cercanas a Dios, i) Los necesitados, k) La oración, l) Los sacramentos</v>
      </c>
      <c r="V461" s="89" t="str">
        <f>Registro!T461</f>
        <v>a) Suelo rezar por convicción o porque me gusta</v>
      </c>
      <c r="W461" s="89" t="str">
        <f>Registro!U461</f>
        <v>a) Todos los domingos</v>
      </c>
      <c r="X461" s="89" t="str">
        <f>Registro!V461</f>
        <v>b) Suelo bendedir los alimentos antes de comer, c) Suelo ir los domingos y otras fechas especiales a la Iglesia, e) Voy a misa en las fechas de mis familiares difuntos, h) En Semana Santa asisto a las procesiones, i) Tengo en mi cuarto alguna imagen religiosa</v>
      </c>
      <c r="Y461" s="89" t="str">
        <f>Registro!W461</f>
        <v>a) Deportivo</v>
      </c>
      <c r="Z461" s="89" t="str">
        <f>Registro!X461</f>
        <v>a) Un grupo donde profundizo mi fe</v>
      </c>
      <c r="AA461" s="89" t="str">
        <f>Registro!Y461</f>
        <v>c) Algo</v>
      </c>
      <c r="AB461" s="89" t="str">
        <f>Registro!Z461</f>
        <v>c) Algo</v>
      </c>
      <c r="AC461" s="89" t="str">
        <f>Registro!AA461</f>
        <v>a) Medicina, g) Artista</v>
      </c>
      <c r="AD461" s="94">
        <f t="shared" si="40"/>
        <v>2</v>
      </c>
      <c r="AE461" s="89" t="str">
        <f>Registro!AB461</f>
        <v>c) Ser un excelente profesional</v>
      </c>
      <c r="AF461" s="89" t="str">
        <f>Registro!AC461</f>
        <v>c) Bastante</v>
      </c>
      <c r="AG461" s="89" t="str">
        <f>Registro!AD461</f>
        <v>a) Los deportes y diversiones, c) Las instalaciones del Colegio</v>
      </c>
      <c r="AH461" s="94">
        <f t="shared" si="41"/>
        <v>2</v>
      </c>
      <c r="AI461" s="89" t="str">
        <f>Registro!AE461</f>
        <v>f) 11 o más horas</v>
      </c>
      <c r="AJ461" s="89" t="str">
        <f>Registro!AF461</f>
        <v>b) Navego en Internet, k) Practico algún deporte, n) Estoy conversando con los amigos/as</v>
      </c>
      <c r="AK461" s="94">
        <f t="shared" si="42"/>
        <v>3</v>
      </c>
      <c r="AL461" s="89" t="str">
        <f>Registro!AG461</f>
        <v>a) Muy bueno</v>
      </c>
      <c r="AM461" s="89" t="str">
        <f>Registro!AH461</f>
        <v>a) Muy buena</v>
      </c>
      <c r="AN461" s="89" t="str">
        <f>Registro!AI461</f>
        <v>a) Muy buena</v>
      </c>
      <c r="AO461" s="89" t="str">
        <f>Registro!AJ461</f>
        <v>c) Regular</v>
      </c>
      <c r="AP461" s="89" t="str">
        <f>Registro!AK461</f>
        <v>b) Buena</v>
      </c>
      <c r="AQ461" s="89" t="str">
        <f>Registro!AL461</f>
        <v>a) Muy buena</v>
      </c>
      <c r="AR461" s="89" t="str">
        <f>Registro!AM461</f>
        <v>a) Muy buena</v>
      </c>
      <c r="AS461" s="89" t="str">
        <f>Registro!AN461</f>
        <v>a) Muy buena</v>
      </c>
      <c r="AT461" s="89" t="str">
        <f>Registro!AO461</f>
        <v>a) Muy buena</v>
      </c>
      <c r="AU461" s="89" t="str">
        <f>Registro!AP461</f>
        <v>a) Muy buena</v>
      </c>
      <c r="AV461" s="89" t="str">
        <f>Registro!AQ461</f>
        <v>a) Muy buena</v>
      </c>
      <c r="AW461" s="89" t="str">
        <f>Registro!AR461</f>
        <v>a) El compañerismo</v>
      </c>
      <c r="AX461" s="89" t="str">
        <f>Registro!AS461</f>
        <v>b) Darme una buena educación</v>
      </c>
      <c r="AY461" s="89" t="str">
        <f>Registro!AT461</f>
        <v>d) Bastante necesaria</v>
      </c>
      <c r="AZ461" s="89" t="str">
        <f>Registro!AU461</f>
        <v>b) Las veces que bebo, es con moderación</v>
      </c>
      <c r="BA461" s="89" t="str">
        <f>Registro!AV461</f>
        <v>e) Educadores que se preocupan de nosotros</v>
      </c>
      <c r="BB461" s="89" t="str">
        <f>Registro!AW461</f>
        <v>c) Bastante</v>
      </c>
      <c r="BC461" s="89" t="str">
        <f>Registro!AX461</f>
        <v>e) Son personas que me gustan y admiro</v>
      </c>
      <c r="BD461" s="89" t="str">
        <f>Registro!AY461</f>
        <v>a) Mi padre, b) Mi madre, c) Un hermano/a, d) Un escolapio, religioso o religiosa, e) Un, una docente, f) La orientadora, g) Un amigo, h) Una amiga</v>
      </c>
    </row>
    <row r="462" spans="1:56" ht="15" customHeight="1" x14ac:dyDescent="0.25">
      <c r="A462" s="101" t="str">
        <f>Registro!A462</f>
        <v>6/19/2015 10:31:07</v>
      </c>
      <c r="B462" s="89" t="str">
        <f>Registro!B462</f>
        <v>d) Cristo Rey de Carora</v>
      </c>
      <c r="C462" s="89" t="str">
        <f>Registro!C462</f>
        <v>b) Tercer año</v>
      </c>
      <c r="D462" s="89" t="str">
        <f>Registro!D462</f>
        <v>a) Educación Inicial</v>
      </c>
      <c r="E462" s="89" t="str">
        <f>Registro!E462</f>
        <v>b) Femenino</v>
      </c>
      <c r="F462" s="89" t="str">
        <f>Registro!F462</f>
        <v>a) Católica</v>
      </c>
      <c r="G462" s="89" t="str">
        <f>Registro!G462</f>
        <v>a) Mamá, b) Papá, c) Hermanos</v>
      </c>
      <c r="H462" s="89" t="str">
        <f>Registro!H462</f>
        <v>b) Casa Urbana</v>
      </c>
      <c r="I462" s="89" t="str">
        <f>Registro!I462</f>
        <v>a) Sí</v>
      </c>
      <c r="J462" s="89" t="str">
        <f>Registro!J462</f>
        <v>b) Lavadora, c) Microondas, d) TV pantalla plana, f) MP3, h) Carro, i) Computadora, j) Cámara digital, k) Aire acondicionado</v>
      </c>
      <c r="K462" s="89" t="str">
        <f>Registro!K462</f>
        <v>d) Tres</v>
      </c>
      <c r="L462" s="89" t="str">
        <f>Registro!L462</f>
        <v>a) La familia, b) Los amigos, c) Los estudios</v>
      </c>
      <c r="M462" s="94">
        <f t="shared" si="38"/>
        <v>3</v>
      </c>
      <c r="N462" s="89" t="str">
        <f>Registro!M462</f>
        <v>b) El futuro</v>
      </c>
      <c r="O462" s="89" t="str">
        <f>Registro!N462</f>
        <v>a) Mucho</v>
      </c>
      <c r="P462" s="89" t="str">
        <f>Registro!O462</f>
        <v>a) Mucho</v>
      </c>
      <c r="Q462" s="89" t="str">
        <f>Registro!P462</f>
        <v>a) Mucho</v>
      </c>
      <c r="R462" s="89" t="str">
        <f>Registro!Q462</f>
        <v>b) Los amigos, c) Los estudios, g) La felicidad</v>
      </c>
      <c r="S462" s="94">
        <f t="shared" si="39"/>
        <v>3</v>
      </c>
      <c r="T462" s="89" t="str">
        <f>Registro!R462</f>
        <v>a) Mucho</v>
      </c>
      <c r="U462" s="89" t="str">
        <f>Registro!S462</f>
        <v>a) La Iglesia, b) La naturaleza, c) El salón de clase, d) Las convivencias, e) Los amigos, g) Mi familia, h) Algunas personas cercanas a Dios, i) Los necesitados, k) La oración, l) Los sacramentos</v>
      </c>
      <c r="V462" s="89" t="str">
        <f>Registro!T462</f>
        <v>a) Suelo rezar por convicción o porque me gusta</v>
      </c>
      <c r="W462" s="89" t="str">
        <f>Registro!U462</f>
        <v>a) Todos los domingos</v>
      </c>
      <c r="X462" s="89" t="str">
        <f>Registro!V462</f>
        <v>b) Suelo bendedir los alimentos antes de comer, c) Suelo ir los domingos y otras fechas especiales a la Iglesia, i) Tengo en mi cuarto alguna imagen religiosa</v>
      </c>
      <c r="Y462" s="89" t="str">
        <f>Registro!W462</f>
        <v xml:space="preserve">a) Deportivo, b) Cultural (folklórico, musicales, danzas, scout, banda marcial,...) </v>
      </c>
      <c r="Z462" s="89" t="str">
        <f>Registro!X462</f>
        <v>a) Un grupo donde profundizo mi fe</v>
      </c>
      <c r="AA462" s="89" t="str">
        <f>Registro!Y462</f>
        <v>c) Algo</v>
      </c>
      <c r="AB462" s="89" t="str">
        <f>Registro!Z462</f>
        <v>c) Algo</v>
      </c>
      <c r="AC462" s="89" t="str">
        <f>Registro!AA462</f>
        <v>a) Medicina, d) Ingeniería</v>
      </c>
      <c r="AD462" s="94">
        <f t="shared" si="40"/>
        <v>2</v>
      </c>
      <c r="AE462" s="89" t="str">
        <f>Registro!AB462</f>
        <v>c) Ser un excelente profesional</v>
      </c>
      <c r="AF462" s="89" t="str">
        <f>Registro!AC462</f>
        <v>c) Bastante</v>
      </c>
      <c r="AG462" s="89" t="str">
        <f>Registro!AD462</f>
        <v>a) Los deportes y diversiones, c) Las instalaciones del Colegio</v>
      </c>
      <c r="AH462" s="94">
        <f t="shared" si="41"/>
        <v>2</v>
      </c>
      <c r="AI462" s="89" t="str">
        <f>Registro!AE462</f>
        <v>f) 11 o más horas</v>
      </c>
      <c r="AJ462" s="89" t="str">
        <f>Registro!AF462</f>
        <v>b) Navego en Internet, k) Practico algún deporte, n) Estoy conversando con los amigos/as</v>
      </c>
      <c r="AK462" s="94">
        <f t="shared" si="42"/>
        <v>3</v>
      </c>
      <c r="AL462" s="89" t="str">
        <f>Registro!AG462</f>
        <v>a) Muy bueno</v>
      </c>
      <c r="AM462" s="89" t="str">
        <f>Registro!AH462</f>
        <v>a) Muy buena</v>
      </c>
      <c r="AN462" s="89" t="str">
        <f>Registro!AI462</f>
        <v>a) Muy buena</v>
      </c>
      <c r="AO462" s="89" t="str">
        <f>Registro!AJ462</f>
        <v>a) Muy buena</v>
      </c>
      <c r="AP462" s="89" t="str">
        <f>Registro!AK462</f>
        <v>c) Regular</v>
      </c>
      <c r="AQ462" s="89" t="str">
        <f>Registro!AL462</f>
        <v>a) Muy buena</v>
      </c>
      <c r="AR462" s="89" t="str">
        <f>Registro!AM462</f>
        <v>a) Muy buena</v>
      </c>
      <c r="AS462" s="89" t="str">
        <f>Registro!AN462</f>
        <v>a) Muy buena</v>
      </c>
      <c r="AT462" s="89" t="str">
        <f>Registro!AO462</f>
        <v>a) Muy buena</v>
      </c>
      <c r="AU462" s="89" t="str">
        <f>Registro!AP462</f>
        <v>a) Muy buena</v>
      </c>
      <c r="AV462" s="89" t="str">
        <f>Registro!AQ462</f>
        <v>a) Muy buena</v>
      </c>
      <c r="AW462" s="89" t="str">
        <f>Registro!AR462</f>
        <v>a) El compañerismo</v>
      </c>
      <c r="AX462" s="89" t="str">
        <f>Registro!AS462</f>
        <v>b) Darme una buena educación</v>
      </c>
      <c r="AY462" s="89" t="str">
        <f>Registro!AT462</f>
        <v>d) Bastante necesaria</v>
      </c>
      <c r="AZ462" s="89" t="str">
        <f>Registro!AU462</f>
        <v>b) Las veces que bebo, es con moderación</v>
      </c>
      <c r="BA462" s="89" t="str">
        <f>Registro!AV462</f>
        <v>e) Educadores que se preocupan de nosotros</v>
      </c>
      <c r="BB462" s="89" t="str">
        <f>Registro!AW462</f>
        <v>c) Bastante</v>
      </c>
      <c r="BC462" s="89" t="str">
        <f>Registro!AX462</f>
        <v>e) Son personas que me gustan y admiro</v>
      </c>
      <c r="BD462" s="89" t="str">
        <f>Registro!AY462</f>
        <v>a) Mi padre, b) Mi madre, d) Un escolapio, religioso o religiosa, e) Un, una docente, f) La orientadora, g) Un amigo, h) Una amiga</v>
      </c>
    </row>
    <row r="463" spans="1:56" ht="15" customHeight="1" x14ac:dyDescent="0.25">
      <c r="A463" s="101" t="str">
        <f>Registro!A463</f>
        <v>6/19/2015 10:43:29</v>
      </c>
      <c r="B463" s="89" t="str">
        <f>Registro!B463</f>
        <v>d) Cristo Rey de Carora</v>
      </c>
      <c r="C463" s="89" t="str">
        <f>Registro!C463</f>
        <v>b) Tercer año</v>
      </c>
      <c r="D463" s="89" t="str">
        <f>Registro!D463</f>
        <v>a) Educación Inicial</v>
      </c>
      <c r="E463" s="89" t="str">
        <f>Registro!E463</f>
        <v>b) Femenino</v>
      </c>
      <c r="F463" s="89" t="str">
        <f>Registro!F463</f>
        <v>a) Católica</v>
      </c>
      <c r="G463" s="89" t="str">
        <f>Registro!G463</f>
        <v>a) Mamá, b) Papá, c) Hermanos</v>
      </c>
      <c r="H463" s="89" t="str">
        <f>Registro!H463</f>
        <v>b) Casa Urbana</v>
      </c>
      <c r="I463" s="89" t="str">
        <f>Registro!I463</f>
        <v>a) Sí</v>
      </c>
      <c r="J463" s="89" t="str">
        <f>Registro!J463</f>
        <v>d) TV pantalla plana, g) MP4, i) Computadora, j) Cámara digital, k) Aire acondicionado</v>
      </c>
      <c r="K463" s="89" t="str">
        <f>Registro!K463</f>
        <v>c) Dos</v>
      </c>
      <c r="L463" s="89" t="str">
        <f>Registro!L463</f>
        <v>a) La familia, b) Los amigos, f) Mi fe y vida cristiana</v>
      </c>
      <c r="M463" s="94">
        <f t="shared" si="38"/>
        <v>3</v>
      </c>
      <c r="N463" s="89" t="str">
        <f>Registro!M463</f>
        <v>h) Los amigos</v>
      </c>
      <c r="O463" s="89" t="str">
        <f>Registro!N463</f>
        <v>b) Suficiente</v>
      </c>
      <c r="P463" s="89" t="str">
        <f>Registro!O463</f>
        <v>b) Suficiente</v>
      </c>
      <c r="Q463" s="89" t="str">
        <f>Registro!P463</f>
        <v>a) Mucho</v>
      </c>
      <c r="R463" s="89" t="str">
        <f>Registro!Q463</f>
        <v>a) La familia, b) Los amigos, f) Mi fe y mi vida cristiana</v>
      </c>
      <c r="S463" s="94">
        <f t="shared" si="39"/>
        <v>3</v>
      </c>
      <c r="T463" s="89" t="str">
        <f>Registro!R463</f>
        <v>a) Mucho</v>
      </c>
      <c r="U463" s="89" t="str">
        <f>Registro!S463</f>
        <v>a) La Iglesia, d) Las convivencias, e) Los amigos, g) Mi familia, i) Los necesitados, k) La oración, l) Los sacramentos</v>
      </c>
      <c r="V463" s="89" t="str">
        <f>Registro!T463</f>
        <v>b) Rezo por costumbre</v>
      </c>
      <c r="W463" s="89" t="str">
        <f>Registro!U463</f>
        <v>a) Todos los domingos</v>
      </c>
      <c r="X463" s="89" t="str">
        <f>Registro!V463</f>
        <v>a) Suelo llevar una cruz o algún objeto religioso, c) Suelo ir los domingos y otras fechas especiales a la Iglesia, e) Voy a misa en las fechas de mis familiares difuntos, f) En alguna ocasión he rezado el rosario, h) En Semana Santa asisto a las procesiones, i) Tengo en mi cuarto alguna imagen religiosa</v>
      </c>
      <c r="Y463" s="89" t="str">
        <f>Registro!W463</f>
        <v>c) Religioso o parroquial</v>
      </c>
      <c r="Z463" s="89" t="str">
        <f>Registro!X463</f>
        <v>a) Un grupo donde profundizo mi fe</v>
      </c>
      <c r="AA463" s="89" t="str">
        <f>Registro!Y463</f>
        <v>b) No</v>
      </c>
      <c r="AB463" s="89" t="str">
        <f>Registro!Z463</f>
        <v>b) No</v>
      </c>
      <c r="AC463" s="89" t="str">
        <f>Registro!AA463</f>
        <v>a) Medicina, i) Comerciante</v>
      </c>
      <c r="AD463" s="94">
        <f t="shared" si="40"/>
        <v>2</v>
      </c>
      <c r="AE463" s="89" t="str">
        <f>Registro!AB463</f>
        <v>c) Ser un excelente profesional</v>
      </c>
      <c r="AF463" s="89" t="str">
        <f>Registro!AC463</f>
        <v>d) Mucho o muchísimo</v>
      </c>
      <c r="AG463" s="89" t="str">
        <f>Registro!AD463</f>
        <v>d) Los grupos juveniles cristianos, h) Las actividades extraescolares</v>
      </c>
      <c r="AH463" s="94">
        <f t="shared" si="41"/>
        <v>2</v>
      </c>
      <c r="AI463" s="89" t="str">
        <f>Registro!AE463</f>
        <v>d) 7 a 8 horas</v>
      </c>
      <c r="AJ463" s="89" t="str">
        <f>Registro!AF463</f>
        <v>i) Leo revistas o libros, j) Estoy en algún grupo juvenil, m) Veo televisión y/o películas</v>
      </c>
      <c r="AK463" s="94">
        <f t="shared" si="42"/>
        <v>3</v>
      </c>
      <c r="AL463" s="89" t="str">
        <f>Registro!AG463</f>
        <v>b) Bueno</v>
      </c>
      <c r="AM463" s="89" t="str">
        <f>Registro!AH463</f>
        <v>c) Regular</v>
      </c>
      <c r="AN463" s="89" t="str">
        <f>Registro!AI463</f>
        <v>c) Regular</v>
      </c>
      <c r="AO463" s="89" t="str">
        <f>Registro!AJ463</f>
        <v>c) Regular</v>
      </c>
      <c r="AP463" s="89" t="str">
        <f>Registro!AK463</f>
        <v>d) Mala</v>
      </c>
      <c r="AQ463" s="89" t="str">
        <f>Registro!AL463</f>
        <v>b) Buena</v>
      </c>
      <c r="AR463" s="89" t="str">
        <f>Registro!AM463</f>
        <v>b) Buena</v>
      </c>
      <c r="AS463" s="89" t="str">
        <f>Registro!AN463</f>
        <v>a) Muy buena</v>
      </c>
      <c r="AT463" s="89" t="str">
        <f>Registro!AO463</f>
        <v>a) Muy buena</v>
      </c>
      <c r="AU463" s="89" t="str">
        <f>Registro!AP463</f>
        <v>a) Muy buena</v>
      </c>
      <c r="AV463" s="89" t="str">
        <f>Registro!AQ463</f>
        <v>b) Buena</v>
      </c>
      <c r="AW463" s="89" t="str">
        <f>Registro!AR463</f>
        <v>b) La orientación cristiana</v>
      </c>
      <c r="AX463" s="89" t="str">
        <f>Registro!AS463</f>
        <v>e) Que sea cristiano responsable</v>
      </c>
      <c r="AY463" s="89" t="str">
        <f>Registro!AT463</f>
        <v>e) Absolutamente necesaria</v>
      </c>
      <c r="AZ463" s="89" t="str">
        <f>Registro!AU463</f>
        <v>b) Las veces que bebo, es con moderación</v>
      </c>
      <c r="BA463" s="89" t="str">
        <f>Registro!AV463</f>
        <v>e) Educadores que se preocupan de nosotros</v>
      </c>
      <c r="BB463" s="89" t="str">
        <f>Registro!AW463</f>
        <v>c) Bastante</v>
      </c>
      <c r="BC463" s="89" t="str">
        <f>Registro!AX463</f>
        <v>e) Son personas que me gustan y admiro</v>
      </c>
      <c r="BD463" s="89" t="str">
        <f>Registro!AY463</f>
        <v>b) Mi madre, d) Un escolapio, religioso o religiosa, h) Una amiga</v>
      </c>
    </row>
    <row r="464" spans="1:56" ht="15" customHeight="1" x14ac:dyDescent="0.25">
      <c r="A464" s="101" t="str">
        <f>Registro!A464</f>
        <v>6/19/2015 10:49:24</v>
      </c>
      <c r="B464" s="89" t="str">
        <f>Registro!B464</f>
        <v>d) Cristo Rey de Carora</v>
      </c>
      <c r="C464" s="89" t="str">
        <f>Registro!C464</f>
        <v>b) Tercer año</v>
      </c>
      <c r="D464" s="89" t="str">
        <f>Registro!D464</f>
        <v>a) Educación Inicial</v>
      </c>
      <c r="E464" s="89" t="str">
        <f>Registro!E464</f>
        <v>a) Masculino</v>
      </c>
      <c r="F464" s="89" t="str">
        <f>Registro!F464</f>
        <v>a) Católica</v>
      </c>
      <c r="G464" s="89" t="str">
        <f>Registro!G464</f>
        <v>a) Mamá, c) Hermanos, d) Abuelos, e) Otros familiares</v>
      </c>
      <c r="H464" s="89" t="str">
        <f>Registro!H464</f>
        <v>b) Casa Urbana</v>
      </c>
      <c r="I464" s="89" t="str">
        <f>Registro!I464</f>
        <v>c) Algo</v>
      </c>
      <c r="J464" s="89" t="str">
        <f>Registro!J464</f>
        <v>a) Cónsola videojuegos, b) Lavadora, i) Computadora, j) Cámara digital, k) Aire acondicionado</v>
      </c>
      <c r="K464" s="89" t="str">
        <f>Registro!K464</f>
        <v>b) Una</v>
      </c>
      <c r="L464" s="89" t="str">
        <f>Registro!L464</f>
        <v>g) La felicidad</v>
      </c>
      <c r="M464" s="94">
        <f t="shared" si="38"/>
        <v>1</v>
      </c>
      <c r="N464" s="89" t="str">
        <f>Registro!M464</f>
        <v>h) Los amigos</v>
      </c>
      <c r="O464" s="89" t="str">
        <f>Registro!N464</f>
        <v>c) Poco</v>
      </c>
      <c r="P464" s="89" t="str">
        <f>Registro!O464</f>
        <v>b) Suficiente</v>
      </c>
      <c r="Q464" s="89" t="str">
        <f>Registro!P464</f>
        <v>b) Suficiente</v>
      </c>
      <c r="R464" s="89" t="str">
        <f>Registro!Q464</f>
        <v>a) La familia, c) Los estudios, h) La sexualidad</v>
      </c>
      <c r="S464" s="94">
        <f t="shared" si="39"/>
        <v>3</v>
      </c>
      <c r="T464" s="89" t="str">
        <f>Registro!R464</f>
        <v>b) Suficiente</v>
      </c>
      <c r="U464" s="89" t="str">
        <f>Registro!S464</f>
        <v>a) La Iglesia, b) La naturaleza, d) Las convivencias, h) Algunas personas cercanas a Dios, k) La oración</v>
      </c>
      <c r="V464" s="89" t="str">
        <f>Registro!T464</f>
        <v>c) Rezo solo en situación de dificultad</v>
      </c>
      <c r="W464" s="89" t="str">
        <f>Registro!U464</f>
        <v>b) Algunos domingos</v>
      </c>
      <c r="X464" s="89" t="str">
        <f>Registro!V464</f>
        <v>b) Suelo bendedir los alimentos antes de comer, e) Voy a misa en las fechas de mis familiares difuntos, f) En alguna ocasión he rezado el rosario, i) Tengo en mi cuarto alguna imagen religiosa</v>
      </c>
      <c r="Y464" s="89" t="str">
        <f>Registro!W464</f>
        <v>d) No pertenezco a ninguno</v>
      </c>
      <c r="Z464" s="89" t="str">
        <f>Registro!X464</f>
        <v>d) No pertenezco a grupos juveniles cristianos</v>
      </c>
      <c r="AA464" s="89" t="str">
        <f>Registro!Y464</f>
        <v>a) Sí</v>
      </c>
      <c r="AB464" s="89" t="str">
        <f>Registro!Z464</f>
        <v>b) No</v>
      </c>
      <c r="AC464" s="89" t="str">
        <f>Registro!AA464</f>
        <v>d) Ingeniería, h) Ciencias políticas</v>
      </c>
      <c r="AD464" s="94">
        <f t="shared" si="40"/>
        <v>2</v>
      </c>
      <c r="AE464" s="89" t="str">
        <f>Registro!AB464</f>
        <v>a) Ganar mucho dinero</v>
      </c>
      <c r="AF464" s="89" t="str">
        <f>Registro!AC464</f>
        <v>c) Bastante</v>
      </c>
      <c r="AG464" s="89" t="str">
        <f>Registro!AD464</f>
        <v>c) Las instalaciones del Colegio, f) La igualdad de trato que se da a todos</v>
      </c>
      <c r="AH464" s="94">
        <f t="shared" si="41"/>
        <v>2</v>
      </c>
      <c r="AI464" s="89" t="str">
        <f>Registro!AE464</f>
        <v>a) 0 a 2 horas</v>
      </c>
      <c r="AJ464" s="89" t="str">
        <f>Registro!AF464</f>
        <v>a) Me divierto con juegos para computadoras, b) Navego en Internet, m) Veo televisión y/o películas</v>
      </c>
      <c r="AK464" s="94">
        <f t="shared" si="42"/>
        <v>3</v>
      </c>
      <c r="AL464" s="89" t="str">
        <f>Registro!AG464</f>
        <v>b) Bueno</v>
      </c>
      <c r="AM464" s="89" t="str">
        <f>Registro!AH464</f>
        <v>b) Buena</v>
      </c>
      <c r="AN464" s="89" t="str">
        <f>Registro!AI464</f>
        <v>b) Buena</v>
      </c>
      <c r="AO464" s="89" t="str">
        <f>Registro!AJ464</f>
        <v>b) Buena</v>
      </c>
      <c r="AP464" s="89" t="str">
        <f>Registro!AK464</f>
        <v>d) Mala</v>
      </c>
      <c r="AQ464" s="89" t="str">
        <f>Registro!AL464</f>
        <v>c) Regular</v>
      </c>
      <c r="AR464" s="89" t="str">
        <f>Registro!AM464</f>
        <v>c) Regular</v>
      </c>
      <c r="AS464" s="89" t="str">
        <f>Registro!AN464</f>
        <v>b) Buena</v>
      </c>
      <c r="AT464" s="89" t="str">
        <f>Registro!AO464</f>
        <v>a) Muy buena</v>
      </c>
      <c r="AU464" s="89" t="str">
        <f>Registro!AP464</f>
        <v>b) Buena</v>
      </c>
      <c r="AV464" s="89" t="str">
        <f>Registro!AQ464</f>
        <v>b) Buena</v>
      </c>
      <c r="AW464" s="89" t="str">
        <f>Registro!AR464</f>
        <v>b) La orientación cristiana</v>
      </c>
      <c r="AX464" s="89" t="str">
        <f>Registro!AS464</f>
        <v>e) Que sea cristiano responsable</v>
      </c>
      <c r="AY464" s="89" t="str">
        <f>Registro!AT464</f>
        <v>c) Conveniente</v>
      </c>
      <c r="AZ464" s="89" t="str">
        <f>Registro!AU464</f>
        <v>b) Las veces que bebo, es con moderación</v>
      </c>
      <c r="BA464" s="89" t="str">
        <f>Registro!AV464</f>
        <v>d) Buenos profesionales de la educación</v>
      </c>
      <c r="BB464" s="89" t="str">
        <f>Registro!AW464</f>
        <v>c) Bastante</v>
      </c>
      <c r="BC464" s="89" t="str">
        <f>Registro!AX464</f>
        <v>d) Hay de todo tipo, pero predomina lo positivo</v>
      </c>
      <c r="BD464" s="89" t="str">
        <f>Registro!AY464</f>
        <v>c) Un hermano/a, d) Un escolapio, religioso o religiosa, g) Un amigo</v>
      </c>
    </row>
    <row r="465" spans="1:56" ht="15" customHeight="1" x14ac:dyDescent="0.25">
      <c r="A465" s="101" t="str">
        <f>Registro!A465</f>
        <v>6/19/2015 10:55:34</v>
      </c>
      <c r="B465" s="89" t="str">
        <f>Registro!B465</f>
        <v>d) Cristo Rey de Carora</v>
      </c>
      <c r="C465" s="89" t="str">
        <f>Registro!C465</f>
        <v>b) Tercer año</v>
      </c>
      <c r="D465" s="89" t="str">
        <f>Registro!D465</f>
        <v>b) Primaria</v>
      </c>
      <c r="E465" s="89" t="str">
        <f>Registro!E465</f>
        <v>b) Femenino</v>
      </c>
      <c r="F465" s="89" t="str">
        <f>Registro!F465</f>
        <v>a) Católica</v>
      </c>
      <c r="G465" s="89" t="str">
        <f>Registro!G465</f>
        <v>a) Mamá, c) Hermanos</v>
      </c>
      <c r="H465" s="89" t="str">
        <f>Registro!H465</f>
        <v>b) Casa Urbana</v>
      </c>
      <c r="I465" s="89" t="str">
        <f>Registro!I465</f>
        <v>a) Sí</v>
      </c>
      <c r="J465" s="89" t="str">
        <f>Registro!J465</f>
        <v>a) Cónsola videojuegos, b) Lavadora, c) Microondas, d) TV pantalla plana, g) MP4, i) Computadora, j) Cámara digital, k) Aire acondicionado</v>
      </c>
      <c r="K465" s="89" t="str">
        <f>Registro!K465</f>
        <v>b) Una</v>
      </c>
      <c r="L465" s="89" t="str">
        <f>Registro!L465</f>
        <v>a) La familia, f) Mi fe y vida cristiana, g) La felicidad</v>
      </c>
      <c r="M465" s="94">
        <f t="shared" si="38"/>
        <v>3</v>
      </c>
      <c r="N465" s="89" t="str">
        <f>Registro!M465</f>
        <v>b) El futuro</v>
      </c>
      <c r="O465" s="89" t="str">
        <f>Registro!N465</f>
        <v>b) Suficiente</v>
      </c>
      <c r="P465" s="89" t="str">
        <f>Registro!O465</f>
        <v>c) Poco</v>
      </c>
      <c r="Q465" s="89" t="str">
        <f>Registro!P465</f>
        <v>a) Mucho</v>
      </c>
      <c r="R465" s="89"/>
      <c r="S465" s="94">
        <f t="shared" si="39"/>
        <v>0</v>
      </c>
      <c r="T465" s="89" t="str">
        <f>Registro!R465</f>
        <v>a) Mucho</v>
      </c>
      <c r="U465" s="89" t="str">
        <f>Registro!S465</f>
        <v>a) La Iglesia, b) La naturaleza, c) El salón de clase, d) Las convivencias, e) Los amigos, g) Mi familia, h) Algunas personas cercanas a Dios, i) Los necesitados, k) La oración, l) Los sacramentos</v>
      </c>
      <c r="V465" s="89" t="str">
        <f>Registro!T465</f>
        <v>b) Rezo por costumbre</v>
      </c>
      <c r="W465" s="89" t="str">
        <f>Registro!U465</f>
        <v>a) Todos los domingos</v>
      </c>
      <c r="X465" s="89" t="str">
        <f>Registro!V465</f>
        <v>b) Suelo bendedir los alimentos antes de comer, c) Suelo ir los domingos y otras fechas especiales a la Iglesia, d) Suelo orar todos los días, f) En alguna ocasión he rezado el rosario, h) En Semana Santa asisto a las procesiones, i) Tengo en mi cuarto alguna imagen religiosa</v>
      </c>
      <c r="Y465" s="89" t="str">
        <f>Registro!W465</f>
        <v>a) Deportivo, c) Religioso o parroquial</v>
      </c>
      <c r="Z465" s="89" t="str">
        <f>Registro!X465</f>
        <v>a) Un grupo donde profundizo mi fe</v>
      </c>
      <c r="AA465" s="89" t="str">
        <f>Registro!Y465</f>
        <v>c) Algo</v>
      </c>
      <c r="AB465" s="89" t="str">
        <f>Registro!Z465</f>
        <v>b) No</v>
      </c>
      <c r="AC465" s="89" t="str">
        <f>Registro!AA465</f>
        <v>a) Medicina, e) Derecho</v>
      </c>
      <c r="AD465" s="94">
        <f t="shared" si="40"/>
        <v>2</v>
      </c>
      <c r="AE465" s="89" t="str">
        <f>Registro!AB465</f>
        <v>b) Tener una buena posición social, ser importante</v>
      </c>
      <c r="AF465" s="89" t="str">
        <f>Registro!AC465</f>
        <v>c) Bastante</v>
      </c>
      <c r="AG465" s="89"/>
      <c r="AH465" s="94">
        <f t="shared" si="41"/>
        <v>0</v>
      </c>
      <c r="AI465" s="89" t="str">
        <f>Registro!AE465</f>
        <v>b) 3 a 4 horas</v>
      </c>
      <c r="AJ465" s="89"/>
      <c r="AK465" s="94">
        <f t="shared" si="42"/>
        <v>0</v>
      </c>
      <c r="AL465" s="89" t="str">
        <f>Registro!AG465</f>
        <v>b) Bueno</v>
      </c>
      <c r="AM465" s="89" t="str">
        <f>Registro!AH465</f>
        <v>b) Buena</v>
      </c>
      <c r="AN465" s="89" t="str">
        <f>Registro!AI465</f>
        <v>b) Buena</v>
      </c>
      <c r="AO465" s="89" t="str">
        <f>Registro!AJ465</f>
        <v>b) Buena</v>
      </c>
      <c r="AP465" s="89" t="str">
        <f>Registro!AK465</f>
        <v>c) Regular</v>
      </c>
      <c r="AQ465" s="89" t="str">
        <f>Registro!AL465</f>
        <v>a) Muy buena</v>
      </c>
      <c r="AR465" s="89" t="str">
        <f>Registro!AM465</f>
        <v>b) Buena</v>
      </c>
      <c r="AS465" s="89" t="str">
        <f>Registro!AN465</f>
        <v>a) Muy buena</v>
      </c>
      <c r="AT465" s="89" t="str">
        <f>Registro!AO465</f>
        <v>a) Muy buena</v>
      </c>
      <c r="AU465" s="89" t="str">
        <f>Registro!AP465</f>
        <v>a) Muy buena</v>
      </c>
      <c r="AV465" s="89" t="str">
        <f>Registro!AQ465</f>
        <v>b) Buena</v>
      </c>
      <c r="AW465" s="89" t="str">
        <f>Registro!AR465</f>
        <v>e) La disciplina y el orden</v>
      </c>
      <c r="AX465" s="89" t="str">
        <f>Registro!AS465</f>
        <v>e) Que sea cristiano responsable</v>
      </c>
      <c r="AY465" s="89" t="str">
        <f>Registro!AT465</f>
        <v>e) Absolutamente necesaria</v>
      </c>
      <c r="AZ465" s="89" t="str">
        <f>Registro!AU465</f>
        <v>a) No acostumbro a tomarlo nunca</v>
      </c>
      <c r="BA465" s="89" t="str">
        <f>Registro!AV465</f>
        <v>e) Educadores que se preocupan de nosotros</v>
      </c>
      <c r="BB465" s="89" t="str">
        <f>Registro!AW465</f>
        <v>c) Bastante</v>
      </c>
      <c r="BC465" s="89" t="str">
        <f>Registro!AX465</f>
        <v>d) Hay de todo tipo, pero predomina lo positivo</v>
      </c>
      <c r="BD465" s="89" t="str">
        <f>Registro!AY465</f>
        <v>b) Mi madre, c) Un hermano/a, d) Un escolapio, religioso o religiosa, e) Un, una docente, h) Una amiga</v>
      </c>
    </row>
    <row r="466" spans="1:56" ht="15" customHeight="1" x14ac:dyDescent="0.25">
      <c r="A466" s="101" t="str">
        <f>Registro!A466</f>
        <v>6/19/2015 11:00:40</v>
      </c>
      <c r="B466" s="89" t="str">
        <f>Registro!B466</f>
        <v>d) Cristo Rey de Carora</v>
      </c>
      <c r="C466" s="89" t="str">
        <f>Registro!C466</f>
        <v>b) Tercer año</v>
      </c>
      <c r="D466" s="89" t="str">
        <f>Registro!D466</f>
        <v>a) Educación Inicial</v>
      </c>
      <c r="E466" s="89" t="str">
        <f>Registro!E466</f>
        <v>b) Femenino</v>
      </c>
      <c r="F466" s="89" t="str">
        <f>Registro!F466</f>
        <v>a) Católica</v>
      </c>
      <c r="G466" s="89" t="str">
        <f>Registro!G466</f>
        <v>a) Mamá, b) Papá, c) Hermanos</v>
      </c>
      <c r="H466" s="89" t="str">
        <f>Registro!H466</f>
        <v>b) Casa Urbana</v>
      </c>
      <c r="I466" s="89" t="str">
        <f>Registro!I466</f>
        <v>a) Sí</v>
      </c>
      <c r="J466" s="89" t="str">
        <f>Registro!J466</f>
        <v>i) Computadora, j) Cámara digital</v>
      </c>
      <c r="K466" s="89" t="str">
        <f>Registro!K466</f>
        <v>c) Dos</v>
      </c>
      <c r="L466" s="89" t="str">
        <f>Registro!L466</f>
        <v>a) La familia, c) Los estudios, f) Mi fe y vida cristiana</v>
      </c>
      <c r="M466" s="94">
        <f t="shared" si="38"/>
        <v>3</v>
      </c>
      <c r="N466" s="89" t="str">
        <f>Registro!M466</f>
        <v>b) El futuro</v>
      </c>
      <c r="O466" s="89" t="str">
        <f>Registro!N466</f>
        <v>c) Poco</v>
      </c>
      <c r="P466" s="89" t="str">
        <f>Registro!O466</f>
        <v>c) Poco</v>
      </c>
      <c r="Q466" s="89" t="str">
        <f>Registro!P466</f>
        <v>b) Suficiente</v>
      </c>
      <c r="R466" s="89" t="str">
        <f>Registro!Q466</f>
        <v>c) Los estudios, f) Mi fe y mi vida cristiana, g) La felicidad</v>
      </c>
      <c r="S466" s="94">
        <f t="shared" si="39"/>
        <v>3</v>
      </c>
      <c r="T466" s="89" t="str">
        <f>Registro!R466</f>
        <v>a) Mucho</v>
      </c>
      <c r="U466" s="89" t="str">
        <f>Registro!S466</f>
        <v>f) Todas las personas, g) Mi familia, j) Todas partes, k) La oración</v>
      </c>
      <c r="V466" s="89" t="str">
        <f>Registro!T466</f>
        <v>a) Suelo rezar por convicción o porque me gusta</v>
      </c>
      <c r="W466" s="89" t="str">
        <f>Registro!U466</f>
        <v>b) Algunos domingos</v>
      </c>
      <c r="X466" s="89" t="str">
        <f>Registro!V466</f>
        <v>b) Suelo bendedir los alimentos antes de comer, c) Suelo ir los domingos y otras fechas especiales a la Iglesia, d) Suelo orar todos los días, g) En ocasiones, en mi casa tenemos una oración familiar</v>
      </c>
      <c r="Y466" s="89" t="str">
        <f>Registro!W466</f>
        <v xml:space="preserve">a) Deportivo, b) Cultural (folklórico, musicales, danzas, scout, banda marcial,...) </v>
      </c>
      <c r="Z466" s="89" t="str">
        <f>Registro!X466</f>
        <v>d) No pertenezco a grupos juveniles cristianos</v>
      </c>
      <c r="AA466" s="89" t="str">
        <f>Registro!Y466</f>
        <v>a) Sí</v>
      </c>
      <c r="AB466" s="89" t="str">
        <f>Registro!Z466</f>
        <v>c) Algo</v>
      </c>
      <c r="AC466" s="89" t="str">
        <f>Registro!AA466</f>
        <v>a) Medicina, i) Comerciante</v>
      </c>
      <c r="AD466" s="94">
        <f t="shared" si="40"/>
        <v>2</v>
      </c>
      <c r="AE466" s="89" t="str">
        <f>Registro!AB466</f>
        <v>c) Ser un excelente profesional</v>
      </c>
      <c r="AF466" s="89" t="str">
        <f>Registro!AC466</f>
        <v>c) Bastante</v>
      </c>
      <c r="AG466" s="89" t="str">
        <f>Registro!AD466</f>
        <v>f) La igualdad de trato que se da a todos, h) Las actividades extraescolares</v>
      </c>
      <c r="AH466" s="94">
        <f t="shared" si="41"/>
        <v>2</v>
      </c>
      <c r="AI466" s="89" t="str">
        <f>Registro!AE466</f>
        <v>b) 3 a 4 horas</v>
      </c>
      <c r="AJ466" s="89" t="str">
        <f>Registro!AF466</f>
        <v>b) Navego en Internet, d) Estoy la mayor parte del tiempo en la casa sin hacer nada, m) Veo televisión y/o películas</v>
      </c>
      <c r="AK466" s="94">
        <f t="shared" si="42"/>
        <v>3</v>
      </c>
      <c r="AL466" s="89" t="str">
        <f>Registro!AG466</f>
        <v>b) Bueno</v>
      </c>
      <c r="AM466" s="89" t="str">
        <f>Registro!AH466</f>
        <v>b) Buena</v>
      </c>
      <c r="AN466" s="89" t="str">
        <f>Registro!AI466</f>
        <v>b) Buena</v>
      </c>
      <c r="AO466" s="89" t="str">
        <f>Registro!AJ466</f>
        <v>b) Buena</v>
      </c>
      <c r="AP466" s="89" t="str">
        <f>Registro!AK466</f>
        <v>e) Muy mala</v>
      </c>
      <c r="AQ466" s="89" t="str">
        <f>Registro!AL466</f>
        <v>b) Buena</v>
      </c>
      <c r="AR466" s="89" t="str">
        <f>Registro!AM466</f>
        <v>c) Regular</v>
      </c>
      <c r="AS466" s="89" t="str">
        <f>Registro!AN466</f>
        <v>b) Buena</v>
      </c>
      <c r="AT466" s="89" t="str">
        <f>Registro!AO466</f>
        <v>a) Muy buena</v>
      </c>
      <c r="AU466" s="89" t="str">
        <f>Registro!AP466</f>
        <v>b) Buena</v>
      </c>
      <c r="AV466" s="89" t="str">
        <f>Registro!AQ466</f>
        <v>b) Buena</v>
      </c>
      <c r="AW466" s="89" t="str">
        <f>Registro!AR466</f>
        <v>a) El compañerismo</v>
      </c>
      <c r="AX466" s="89" t="str">
        <f>Registro!AS466</f>
        <v>b) Darme una buena educación</v>
      </c>
      <c r="AY466" s="89" t="str">
        <f>Registro!AT466</f>
        <v>e) Absolutamente necesaria</v>
      </c>
      <c r="AZ466" s="89" t="str">
        <f>Registro!AU466</f>
        <v>b) Las veces que bebo, es con moderación</v>
      </c>
      <c r="BA466" s="89" t="str">
        <f>Registro!AV466</f>
        <v>c) Profesionales que hacen lo que pueden</v>
      </c>
      <c r="BB466" s="89" t="str">
        <f>Registro!AW466</f>
        <v>c) Bastante</v>
      </c>
      <c r="BC466" s="89" t="str">
        <f>Registro!AX466</f>
        <v>e) Son personas que me gustan y admiro</v>
      </c>
      <c r="BD466" s="89" t="str">
        <f>Registro!AY466</f>
        <v>j) Nadie</v>
      </c>
    </row>
    <row r="467" spans="1:56" ht="15" customHeight="1" x14ac:dyDescent="0.25">
      <c r="A467" s="101" t="str">
        <f>Registro!A467</f>
        <v>6/19/2015 11:04:07</v>
      </c>
      <c r="B467" s="89" t="str">
        <f>Registro!B467</f>
        <v>d) Cristo Rey de Carora</v>
      </c>
      <c r="C467" s="89" t="str">
        <f>Registro!C467</f>
        <v>b) Tercer año</v>
      </c>
      <c r="D467" s="89" t="str">
        <f>Registro!D467</f>
        <v>a) Educación Inicial</v>
      </c>
      <c r="E467" s="89" t="str">
        <f>Registro!E467</f>
        <v>a) Masculino</v>
      </c>
      <c r="F467" s="89" t="str">
        <f>Registro!F467</f>
        <v>b) Evangélica</v>
      </c>
      <c r="G467" s="89" t="str">
        <f>Registro!G467</f>
        <v>a) Mamá, b) Papá, d) Abuelos, e) Otros familiares</v>
      </c>
      <c r="H467" s="89" t="str">
        <f>Registro!H467</f>
        <v>b) Casa Urbana</v>
      </c>
      <c r="I467" s="89" t="str">
        <f>Registro!I467</f>
        <v>a) Sí</v>
      </c>
      <c r="J467" s="89" t="str">
        <f>Registro!J467</f>
        <v>b) Lavadora, i) Computadora, k) Aire acondicionado</v>
      </c>
      <c r="K467" s="89" t="str">
        <f>Registro!K467</f>
        <v>c) Dos</v>
      </c>
      <c r="L467" s="89" t="str">
        <f>Registro!L467</f>
        <v>a) La familia, d) El cuidado de mi cuerpo, g) La felicidad</v>
      </c>
      <c r="M467" s="94">
        <f t="shared" si="38"/>
        <v>3</v>
      </c>
      <c r="N467" s="89" t="str">
        <f>Registro!M467</f>
        <v>b) El futuro</v>
      </c>
      <c r="O467" s="89" t="str">
        <f>Registro!N467</f>
        <v>a) Mucho</v>
      </c>
      <c r="P467" s="89" t="str">
        <f>Registro!O467</f>
        <v>b) Suficiente</v>
      </c>
      <c r="Q467" s="89" t="str">
        <f>Registro!P467</f>
        <v>c) Poco</v>
      </c>
      <c r="R467" s="89" t="str">
        <f>Registro!Q467</f>
        <v>a) La familia, c) Los estudios, d) El cuidado de mi cuerpo</v>
      </c>
      <c r="S467" s="94">
        <f t="shared" si="39"/>
        <v>3</v>
      </c>
      <c r="T467" s="89" t="str">
        <f>Registro!R467</f>
        <v>b) Suficiente</v>
      </c>
      <c r="U467" s="89" t="str">
        <f>Registro!S467</f>
        <v>a) La Iglesia, d) Las convivencias, g) Mi familia, h) Algunas personas cercanas a Dios, k) La oración, l) Los sacramentos</v>
      </c>
      <c r="V467" s="89" t="str">
        <f>Registro!T467</f>
        <v>b) Rezo por costumbre</v>
      </c>
      <c r="W467" s="89" t="str">
        <f>Registro!U467</f>
        <v>c) Solo en fechas especiales</v>
      </c>
      <c r="X467" s="89" t="str">
        <f>Registro!V467</f>
        <v>a) Suelo llevar una cruz o algún objeto religioso</v>
      </c>
      <c r="Y467" s="89" t="str">
        <f>Registro!W467</f>
        <v xml:space="preserve">b) Cultural (folklórico, musicales, danzas, scout, banda marcial,...) </v>
      </c>
      <c r="Z467" s="89" t="str">
        <f>Registro!X467</f>
        <v>a) Un grupo donde profundizo mi fe</v>
      </c>
      <c r="AA467" s="89" t="str">
        <f>Registro!Y467</f>
        <v>b) No</v>
      </c>
      <c r="AB467" s="89" t="str">
        <f>Registro!Z467</f>
        <v>b) No</v>
      </c>
      <c r="AC467" s="89" t="str">
        <f>Registro!AA467</f>
        <v>a) Medicina, e) Derecho</v>
      </c>
      <c r="AD467" s="94">
        <f t="shared" si="40"/>
        <v>2</v>
      </c>
      <c r="AE467" s="89" t="str">
        <f>Registro!AB467</f>
        <v>c) Ser un excelente profesional</v>
      </c>
      <c r="AF467" s="89" t="str">
        <f>Registro!AC467</f>
        <v>b) Poco</v>
      </c>
      <c r="AG467" s="89" t="str">
        <f>Registro!AD467</f>
        <v>g) La relación con los docentes, h) Las actividades extraescolares</v>
      </c>
      <c r="AH467" s="94">
        <f t="shared" si="41"/>
        <v>2</v>
      </c>
      <c r="AI467" s="89" t="str">
        <f>Registro!AE467</f>
        <v>a) 0 a 2 horas</v>
      </c>
      <c r="AJ467" s="89" t="str">
        <f>Registro!AF467</f>
        <v>a) Me divierto con juegos para computadoras, f) Toco un instrumento musical, n) Estoy conversando con los amigos/as</v>
      </c>
      <c r="AK467" s="94">
        <f t="shared" si="42"/>
        <v>3</v>
      </c>
      <c r="AL467" s="89" t="str">
        <f>Registro!AG467</f>
        <v>b) Bueno</v>
      </c>
      <c r="AM467" s="89" t="str">
        <f>Registro!AH467</f>
        <v>c) Regular</v>
      </c>
      <c r="AN467" s="89" t="str">
        <f>Registro!AI467</f>
        <v>b) Buena</v>
      </c>
      <c r="AO467" s="89" t="str">
        <f>Registro!AJ467</f>
        <v>b) Buena</v>
      </c>
      <c r="AP467" s="89" t="str">
        <f>Registro!AK467</f>
        <v>c) Regular</v>
      </c>
      <c r="AQ467" s="89" t="str">
        <f>Registro!AL467</f>
        <v>c) Regular</v>
      </c>
      <c r="AR467" s="89" t="str">
        <f>Registro!AM467</f>
        <v>c) Regular</v>
      </c>
      <c r="AS467" s="89" t="str">
        <f>Registro!AN467</f>
        <v>b) Buena</v>
      </c>
      <c r="AT467" s="89" t="str">
        <f>Registro!AO467</f>
        <v>a) Muy buena</v>
      </c>
      <c r="AU467" s="89" t="str">
        <f>Registro!AP467</f>
        <v>c) Regular</v>
      </c>
      <c r="AV467" s="89" t="str">
        <f>Registro!AQ467</f>
        <v>b) Buena</v>
      </c>
      <c r="AW467" s="89" t="str">
        <f>Registro!AR467</f>
        <v>h) La responsabilidad social y el servicio a los demás</v>
      </c>
      <c r="AX467" s="89" t="str">
        <f>Registro!AS467</f>
        <v>b) Darme una buena educación</v>
      </c>
      <c r="AY467" s="89" t="str">
        <f>Registro!AT467</f>
        <v>d) Bastante necesaria</v>
      </c>
      <c r="AZ467" s="89" t="str">
        <f>Registro!AU467</f>
        <v>b) Las veces que bebo, es con moderación</v>
      </c>
      <c r="BA467" s="89" t="str">
        <f>Registro!AV467</f>
        <v>d) Buenos profesionales de la educación</v>
      </c>
      <c r="BB467" s="89" t="str">
        <f>Registro!AW467</f>
        <v>b) Poco</v>
      </c>
      <c r="BC467" s="89" t="str">
        <f>Registro!AX467</f>
        <v>d) Hay de todo tipo, pero predomina lo positivo</v>
      </c>
      <c r="BD467" s="89" t="str">
        <f>Registro!AY467</f>
        <v>b) Mi madre, g) Un amigo, h) Una amiga</v>
      </c>
    </row>
    <row r="468" spans="1:56" ht="15" customHeight="1" x14ac:dyDescent="0.25">
      <c r="A468" s="101" t="str">
        <f>Registro!A468</f>
        <v>6/19/2015 11:14:15</v>
      </c>
      <c r="B468" s="89" t="str">
        <f>Registro!B468</f>
        <v>d) Cristo Rey de Carora</v>
      </c>
      <c r="C468" s="89" t="str">
        <f>Registro!C468</f>
        <v>b) Tercer año</v>
      </c>
      <c r="D468" s="89" t="str">
        <f>Registro!D468</f>
        <v>a) Educación Inicial</v>
      </c>
      <c r="E468" s="89" t="str">
        <f>Registro!E468</f>
        <v>b) Femenino</v>
      </c>
      <c r="F468" s="89" t="str">
        <f>Registro!F468</f>
        <v>a) Católica</v>
      </c>
      <c r="G468" s="89" t="str">
        <f>Registro!G468</f>
        <v>a) Mamá, b) Papá, c) Hermanos</v>
      </c>
      <c r="H468" s="89" t="str">
        <f>Registro!H468</f>
        <v>a) Quinta</v>
      </c>
      <c r="I468" s="89" t="str">
        <f>Registro!I468</f>
        <v>a) Sí</v>
      </c>
      <c r="J468" s="89" t="str">
        <f>Registro!J468</f>
        <v>a) Cónsola videojuegos, b) Lavadora, c) Microondas, d) TV pantalla plana, f) MP3, g) MP4, h) Carro, i) Computadora, j) Cámara digital, k) Aire acondicionado</v>
      </c>
      <c r="K468" s="89" t="str">
        <f>Registro!K468</f>
        <v>d) Tres</v>
      </c>
      <c r="L468" s="89" t="str">
        <f>Registro!L468</f>
        <v>a) La familia, b) Los amigos, c) Los estudios</v>
      </c>
      <c r="M468" s="94">
        <f t="shared" si="38"/>
        <v>3</v>
      </c>
      <c r="N468" s="89" t="str">
        <f>Registro!M468</f>
        <v>b) El futuro</v>
      </c>
      <c r="O468" s="89" t="str">
        <f>Registro!N468</f>
        <v>b) Suficiente</v>
      </c>
      <c r="P468" s="89" t="str">
        <f>Registro!O468</f>
        <v>b) Suficiente</v>
      </c>
      <c r="Q468" s="89" t="str">
        <f>Registro!P468</f>
        <v>a) Mucho</v>
      </c>
      <c r="R468" s="89" t="str">
        <f>Registro!Q468</f>
        <v>a) La familia, c) Los estudios, f) Mi fe y mi vida cristiana</v>
      </c>
      <c r="S468" s="94">
        <f t="shared" si="39"/>
        <v>3</v>
      </c>
      <c r="T468" s="89" t="str">
        <f>Registro!R468</f>
        <v>b) Suficiente</v>
      </c>
      <c r="U468" s="89" t="str">
        <f>Registro!S468</f>
        <v>a) La Iglesia, f) Todas las personas, k) La oración</v>
      </c>
      <c r="V468" s="89" t="str">
        <f>Registro!T468</f>
        <v>b) Rezo por costumbre</v>
      </c>
      <c r="W468" s="89" t="str">
        <f>Registro!U468</f>
        <v>b) Algunos domingos</v>
      </c>
      <c r="X468" s="89" t="str">
        <f>Registro!V468</f>
        <v>b) Suelo bendedir los alimentos antes de comer, c) Suelo ir los domingos y otras fechas especiales a la Iglesia, d) Suelo orar todos los días</v>
      </c>
      <c r="Y468" s="89" t="str">
        <f>Registro!W468</f>
        <v>a) Deportivo</v>
      </c>
      <c r="Z468" s="89" t="str">
        <f>Registro!X468</f>
        <v>b) Un lugar donde comparto con mis compañeros</v>
      </c>
      <c r="AA468" s="89" t="str">
        <f>Registro!Y468</f>
        <v>b) No</v>
      </c>
      <c r="AB468" s="89" t="str">
        <f>Registro!Z468</f>
        <v>b) No</v>
      </c>
      <c r="AC468" s="89" t="str">
        <f>Registro!AA468</f>
        <v>a) Medicina, d) Ingeniería</v>
      </c>
      <c r="AD468" s="94">
        <f t="shared" si="40"/>
        <v>2</v>
      </c>
      <c r="AE468" s="89" t="str">
        <f>Registro!AB468</f>
        <v>d) Desarrollarme personalmente</v>
      </c>
      <c r="AF468" s="89" t="str">
        <f>Registro!AC468</f>
        <v>c) Bastante</v>
      </c>
      <c r="AG468" s="89" t="str">
        <f>Registro!AD468</f>
        <v>f) La igualdad de trato que se da a todos, h) Las actividades extraescolares</v>
      </c>
      <c r="AH468" s="94">
        <f t="shared" si="41"/>
        <v>2</v>
      </c>
      <c r="AI468" s="89" t="str">
        <f>Registro!AE468</f>
        <v>c) 5 a 6 horas</v>
      </c>
      <c r="AJ468" s="89" t="str">
        <f>Registro!AF468</f>
        <v>g) Suelo ir a discotecas o a fiestas, n) Estoy conversando con los amigos/as</v>
      </c>
      <c r="AK468" s="94">
        <f t="shared" si="42"/>
        <v>2</v>
      </c>
      <c r="AL468" s="89" t="str">
        <f>Registro!AG468</f>
        <v>b) Bueno</v>
      </c>
      <c r="AM468" s="89" t="str">
        <f>Registro!AH468</f>
        <v>e) Muy mala</v>
      </c>
      <c r="AN468" s="89" t="str">
        <f>Registro!AI468</f>
        <v>e) Muy mala</v>
      </c>
      <c r="AO468" s="89" t="str">
        <f>Registro!AJ468</f>
        <v>c) Regular</v>
      </c>
      <c r="AP468" s="89" t="str">
        <f>Registro!AK468</f>
        <v>e) Muy mala</v>
      </c>
      <c r="AQ468" s="89" t="str">
        <f>Registro!AL468</f>
        <v>c) Regular</v>
      </c>
      <c r="AR468" s="89" t="str">
        <f>Registro!AM468</f>
        <v>a) Muy buena</v>
      </c>
      <c r="AS468" s="89" t="str">
        <f>Registro!AN468</f>
        <v>b) Buena</v>
      </c>
      <c r="AT468" s="89" t="str">
        <f>Registro!AO468</f>
        <v>a) Muy buena</v>
      </c>
      <c r="AU468" s="89" t="str">
        <f>Registro!AP468</f>
        <v>a) Muy buena</v>
      </c>
      <c r="AV468" s="89" t="str">
        <f>Registro!AQ468</f>
        <v>a) Muy buena</v>
      </c>
      <c r="AW468" s="89" t="str">
        <f>Registro!AR468</f>
        <v>a) El compañerismo</v>
      </c>
      <c r="AX468" s="89" t="str">
        <f>Registro!AS468</f>
        <v>b) Darme una buena educación</v>
      </c>
      <c r="AY468" s="89">
        <f>Registro!AT468</f>
        <v>0</v>
      </c>
      <c r="AZ468" s="89" t="str">
        <f>Registro!AU468</f>
        <v>b) Las veces que bebo, es con moderación</v>
      </c>
      <c r="BA468" s="89" t="str">
        <f>Registro!AV468</f>
        <v>d) Buenos profesionales de la educación</v>
      </c>
      <c r="BB468" s="89" t="str">
        <f>Registro!AW468</f>
        <v>c) Bastante</v>
      </c>
      <c r="BC468" s="89" t="str">
        <f>Registro!AX468</f>
        <v>c) Son personas normales y corrientes</v>
      </c>
      <c r="BD468" s="89" t="str">
        <f>Registro!AY468</f>
        <v>a) Mi padre, b) Mi madre, c) Un hermano/a, h) Una amiga</v>
      </c>
    </row>
    <row r="469" spans="1:56" ht="15" customHeight="1" x14ac:dyDescent="0.25">
      <c r="A469" s="101">
        <f>Registro!A469</f>
        <v>42070.214560185188</v>
      </c>
      <c r="B469" s="89" t="str">
        <f>Registro!B469</f>
        <v>f) Nuestra Señora de Coromoto de Maracaibo</v>
      </c>
      <c r="C469" s="89" t="str">
        <f>Registro!C469</f>
        <v>a) Primer año</v>
      </c>
      <c r="D469" s="89" t="str">
        <f>Registro!D469</f>
        <v>b) Primaria</v>
      </c>
      <c r="E469" s="89" t="str">
        <f>Registro!E469</f>
        <v>b) Femenino</v>
      </c>
      <c r="F469" s="89" t="str">
        <f>Registro!F469</f>
        <v>a) Católica</v>
      </c>
      <c r="G469" s="89" t="str">
        <f>Registro!G469</f>
        <v>a) Mamá</v>
      </c>
      <c r="H469" s="89" t="str">
        <f>Registro!H469</f>
        <v>e) Rancho</v>
      </c>
      <c r="I469" s="89" t="str">
        <f>Registro!I469</f>
        <v>a) Sí</v>
      </c>
      <c r="J469" s="89" t="str">
        <f>Registro!J469</f>
        <v>b) Lavadora, c) Microondas, k) Aire acondicionado</v>
      </c>
      <c r="K469" s="89" t="str">
        <f>Registro!K469</f>
        <v>b) Una</v>
      </c>
      <c r="L469" s="89" t="str">
        <f>Registro!L469</f>
        <v>a) La familia</v>
      </c>
      <c r="M469" s="94">
        <f t="shared" si="38"/>
        <v>1</v>
      </c>
      <c r="N469" s="89" t="str">
        <f>Registro!M469</f>
        <v>b) El futuro</v>
      </c>
      <c r="O469" s="89" t="str">
        <f>Registro!N469</f>
        <v>a) Mucho</v>
      </c>
      <c r="P469" s="89" t="str">
        <f>Registro!O469</f>
        <v>a) Mucho</v>
      </c>
      <c r="Q469" s="89" t="str">
        <f>Registro!P469</f>
        <v>b) Suficiente</v>
      </c>
      <c r="R469" s="89" t="str">
        <f>Registro!Q469</f>
        <v>a) La familia, c) Los estudios, f) Mi fe y mi vida cristiana</v>
      </c>
      <c r="S469" s="94">
        <f t="shared" si="39"/>
        <v>3</v>
      </c>
      <c r="T469" s="89" t="str">
        <f>Registro!R469</f>
        <v>a) Mucho</v>
      </c>
      <c r="U469" s="89" t="str">
        <f>Registro!S469</f>
        <v>a) La Iglesia, d) Las convivencias, g) Mi familia, k) La oración</v>
      </c>
      <c r="V469" s="89" t="str">
        <f>Registro!T469</f>
        <v>c) Rezo solo en situación de dificultad</v>
      </c>
      <c r="W469" s="89" t="str">
        <f>Registro!U469</f>
        <v>a) Todos los domingos</v>
      </c>
      <c r="X469" s="89" t="str">
        <f>Registro!V469</f>
        <v>b) Suelo bendedir los alimentos antes de comer, c) Suelo ir los domingos y otras fechas especiales a la Iglesia, e) Voy a misa en las fechas de mis familiares difuntos</v>
      </c>
      <c r="Y469" s="89" t="str">
        <f>Registro!W469</f>
        <v>a) Deportivo</v>
      </c>
      <c r="Z469" s="89" t="str">
        <f>Registro!X469</f>
        <v>b) Un lugar donde comparto con mis compañeros</v>
      </c>
      <c r="AA469" s="89" t="str">
        <f>Registro!Y469</f>
        <v>c) Algo</v>
      </c>
      <c r="AB469" s="89" t="str">
        <f>Registro!Z469</f>
        <v>c) Algo</v>
      </c>
      <c r="AC469" s="89" t="str">
        <f>Registro!AA469</f>
        <v>b) Docencia, d) Ingeniería</v>
      </c>
      <c r="AD469" s="94">
        <f t="shared" si="40"/>
        <v>2</v>
      </c>
      <c r="AE469" s="89" t="str">
        <f>Registro!AB469</f>
        <v>c) Ser un excelente profesional</v>
      </c>
      <c r="AF469" s="89" t="str">
        <f>Registro!AC469</f>
        <v>d) Mucho o muchísimo</v>
      </c>
      <c r="AG469" s="89"/>
      <c r="AH469" s="94">
        <f t="shared" si="41"/>
        <v>0</v>
      </c>
      <c r="AI469" s="89" t="str">
        <f>Registro!AE469</f>
        <v>c) 5 a 6 horas</v>
      </c>
      <c r="AJ469" s="89"/>
      <c r="AK469" s="94">
        <f t="shared" si="42"/>
        <v>0</v>
      </c>
      <c r="AL469" s="89" t="str">
        <f>Registro!AG469</f>
        <v>a) Muy bueno</v>
      </c>
      <c r="AM469" s="89" t="str">
        <f>Registro!AH469</f>
        <v>a) Muy buena</v>
      </c>
      <c r="AN469" s="89" t="str">
        <f>Registro!AI469</f>
        <v>a) Muy buena</v>
      </c>
      <c r="AO469" s="89" t="str">
        <f>Registro!AJ469</f>
        <v>a) Muy buena</v>
      </c>
      <c r="AP469" s="89" t="str">
        <f>Registro!AK469</f>
        <v>a) Muy buena</v>
      </c>
      <c r="AQ469" s="89" t="str">
        <f>Registro!AL469</f>
        <v>a) Muy buena</v>
      </c>
      <c r="AR469" s="89" t="str">
        <f>Registro!AM469</f>
        <v>b) Buena</v>
      </c>
      <c r="AS469" s="89" t="str">
        <f>Registro!AN469</f>
        <v>a) Muy buena</v>
      </c>
      <c r="AT469" s="89" t="str">
        <f>Registro!AO469</f>
        <v>a) Muy buena</v>
      </c>
      <c r="AU469" s="89" t="str">
        <f>Registro!AP469</f>
        <v>a) Muy buena</v>
      </c>
      <c r="AV469" s="89" t="str">
        <f>Registro!AQ469</f>
        <v>a) Muy buena</v>
      </c>
      <c r="AW469" s="89" t="str">
        <f>Registro!AR469</f>
        <v>c) El estudio</v>
      </c>
      <c r="AX469" s="89" t="str">
        <f>Registro!AS469</f>
        <v>b) Darme una buena educación</v>
      </c>
      <c r="AY469" s="89" t="str">
        <f>Registro!AT469</f>
        <v>e) Absolutamente necesaria</v>
      </c>
      <c r="AZ469" s="89" t="str">
        <f>Registro!AU469</f>
        <v>a) No acostumbro a tomarlo nunca</v>
      </c>
      <c r="BA469" s="89" t="str">
        <f>Registro!AV469</f>
        <v>f) Educadores que, además, me han abierto caminos</v>
      </c>
      <c r="BB469" s="89" t="str">
        <f>Registro!AW469</f>
        <v>d) Mucho o muchísimo</v>
      </c>
      <c r="BC469" s="89" t="str">
        <f>Registro!AX469</f>
        <v>a) No me gustan en absoluto</v>
      </c>
      <c r="BD469" s="89" t="str">
        <f>Registro!AY469</f>
        <v>b) Mi madre, c) Un hermano/a</v>
      </c>
    </row>
    <row r="470" spans="1:56" ht="15" customHeight="1" x14ac:dyDescent="0.25">
      <c r="A470" s="101">
        <f>Registro!A470</f>
        <v>42070.216319444444</v>
      </c>
      <c r="B470" s="89" t="str">
        <f>Registro!B470</f>
        <v>f) Nuestra Señora de Coromoto de Maracaibo</v>
      </c>
      <c r="C470" s="89" t="str">
        <f>Registro!C470</f>
        <v>a) Primer año</v>
      </c>
      <c r="D470" s="89" t="str">
        <f>Registro!D470</f>
        <v>b) Primaria</v>
      </c>
      <c r="E470" s="89" t="str">
        <f>Registro!E470</f>
        <v>b) Femenino</v>
      </c>
      <c r="F470" s="89" t="str">
        <f>Registro!F470</f>
        <v>a) Católica</v>
      </c>
      <c r="G470" s="89" t="str">
        <f>Registro!G470</f>
        <v>a) Mamá</v>
      </c>
      <c r="H470" s="89" t="str">
        <f>Registro!H470</f>
        <v>b) Casa Urbana</v>
      </c>
      <c r="I470" s="89" t="str">
        <f>Registro!I470</f>
        <v>a) Sí</v>
      </c>
      <c r="J470" s="89" t="str">
        <f>Registro!J470</f>
        <v>d) TV pantalla plana</v>
      </c>
      <c r="K470" s="89" t="str">
        <f>Registro!K470</f>
        <v>c) Dos</v>
      </c>
      <c r="L470" s="89" t="str">
        <f>Registro!L470</f>
        <v>a) La familia, d) El cuidado de mi cuerpo, g) La felicidad</v>
      </c>
      <c r="M470" s="94">
        <f t="shared" si="38"/>
        <v>3</v>
      </c>
      <c r="N470" s="89" t="str">
        <f>Registro!M470</f>
        <v>b) El futuro</v>
      </c>
      <c r="O470" s="89" t="str">
        <f>Registro!N470</f>
        <v>a) Mucho</v>
      </c>
      <c r="P470" s="89" t="str">
        <f>Registro!O470</f>
        <v>c) Poco</v>
      </c>
      <c r="Q470" s="89" t="str">
        <f>Registro!P470</f>
        <v>c) Poco</v>
      </c>
      <c r="R470" s="89" t="str">
        <f>Registro!Q470</f>
        <v>a) La familia</v>
      </c>
      <c r="S470" s="94">
        <f t="shared" si="39"/>
        <v>1</v>
      </c>
      <c r="T470" s="89" t="str">
        <f>Registro!R470</f>
        <v>a) Mucho</v>
      </c>
      <c r="U470" s="89" t="str">
        <f>Registro!S470</f>
        <v>a) La Iglesia, b) La naturaleza, c) El salón de clase, f) Todas las personas, g) Mi familia, i) Los necesitados</v>
      </c>
      <c r="V470" s="89" t="str">
        <f>Registro!T470</f>
        <v>a) Suelo rezar por convicción o porque me gusta</v>
      </c>
      <c r="W470" s="89" t="str">
        <f>Registro!U470</f>
        <v>a) Todos los domingos</v>
      </c>
      <c r="X470" s="89" t="str">
        <f>Registro!V470</f>
        <v>a) Suelo llevar una cruz o algún objeto religioso</v>
      </c>
      <c r="Y470" s="89" t="str">
        <f>Registro!W470</f>
        <v xml:space="preserve">b) Cultural (folklórico, musicales, danzas, scout, banda marcial,...) </v>
      </c>
      <c r="Z470" s="89" t="str">
        <f>Registro!X470</f>
        <v>b) Un lugar donde comparto con mis compañeros</v>
      </c>
      <c r="AA470" s="89" t="str">
        <f>Registro!Y470</f>
        <v>c) Algo</v>
      </c>
      <c r="AB470" s="89" t="str">
        <f>Registro!Z470</f>
        <v>c) Algo</v>
      </c>
      <c r="AC470" s="89" t="str">
        <f>Registro!AA470</f>
        <v>a) Medicina, g) Artista</v>
      </c>
      <c r="AD470" s="94">
        <f t="shared" si="40"/>
        <v>2</v>
      </c>
      <c r="AE470" s="89" t="str">
        <f>Registro!AB470</f>
        <v>b) Tener una buena posición social, ser importante</v>
      </c>
      <c r="AF470" s="89" t="str">
        <f>Registro!AC470</f>
        <v>b) Poco</v>
      </c>
      <c r="AG470" s="89"/>
      <c r="AH470" s="94">
        <f t="shared" si="41"/>
        <v>0</v>
      </c>
      <c r="AI470" s="89" t="str">
        <f>Registro!AE470</f>
        <v>f) 11 o más horas</v>
      </c>
      <c r="AJ470" s="89" t="str">
        <f>Registro!AF470</f>
        <v>d) Estoy la mayor parte del tiempo en la casa sin hacer nada, e) Suelo ir a algún parque, i) Leo revistas o libros</v>
      </c>
      <c r="AK470" s="94">
        <f t="shared" si="42"/>
        <v>3</v>
      </c>
      <c r="AL470" s="89" t="str">
        <f>Registro!AG470</f>
        <v>a) Muy bueno</v>
      </c>
      <c r="AM470" s="89" t="str">
        <f>Registro!AH470</f>
        <v>b) Buena</v>
      </c>
      <c r="AN470" s="89" t="str">
        <f>Registro!AI470</f>
        <v>a) Muy buena</v>
      </c>
      <c r="AO470" s="89" t="str">
        <f>Registro!AJ470</f>
        <v>a) Muy buena</v>
      </c>
      <c r="AP470" s="89" t="str">
        <f>Registro!AK470</f>
        <v>b) Buena</v>
      </c>
      <c r="AQ470" s="89" t="str">
        <f>Registro!AL470</f>
        <v>a) Muy buena</v>
      </c>
      <c r="AR470" s="89" t="str">
        <f>Registro!AM470</f>
        <v>b) Buena</v>
      </c>
      <c r="AS470" s="89" t="str">
        <f>Registro!AN470</f>
        <v>a) Muy buena</v>
      </c>
      <c r="AT470" s="89" t="str">
        <f>Registro!AO470</f>
        <v>a) Muy buena</v>
      </c>
      <c r="AU470" s="89" t="str">
        <f>Registro!AP470</f>
        <v>b) Buena</v>
      </c>
      <c r="AV470" s="89" t="str">
        <f>Registro!AQ470</f>
        <v>b) Buena</v>
      </c>
      <c r="AW470" s="89" t="str">
        <f>Registro!AR470</f>
        <v>a) El compañerismo</v>
      </c>
      <c r="AX470" s="89" t="str">
        <f>Registro!AS470</f>
        <v>a) Que sea un buen profesional</v>
      </c>
      <c r="AY470" s="89" t="str">
        <f>Registro!AT470</f>
        <v>e) Absolutamente necesaria</v>
      </c>
      <c r="AZ470" s="89" t="str">
        <f>Registro!AU470</f>
        <v>a) No acostumbro a tomarlo nunca</v>
      </c>
      <c r="BA470" s="89" t="str">
        <f>Registro!AV470</f>
        <v>f) Educadores que, además, me han abierto caminos</v>
      </c>
      <c r="BB470" s="89" t="str">
        <f>Registro!AW470</f>
        <v>a) No, en absoluto</v>
      </c>
      <c r="BC470" s="89" t="str">
        <f>Registro!AX470</f>
        <v>a) No me gustan en absoluto</v>
      </c>
      <c r="BD470" s="89" t="str">
        <f>Registro!AY470</f>
        <v>a) Mi padre, b) Mi madre</v>
      </c>
    </row>
    <row r="471" spans="1:56" ht="15" customHeight="1" x14ac:dyDescent="0.25">
      <c r="A471" s="101">
        <f>Registro!A471</f>
        <v>42070.232627314814</v>
      </c>
      <c r="B471" s="89" t="str">
        <f>Registro!B471</f>
        <v>f) Nuestra Señora de Coromoto de Maracaibo</v>
      </c>
      <c r="C471" s="89" t="str">
        <f>Registro!C471</f>
        <v>a) Primer año</v>
      </c>
      <c r="D471" s="89" t="str">
        <f>Registro!D471</f>
        <v>a) Educación Inicial</v>
      </c>
      <c r="E471" s="89" t="str">
        <f>Registro!E471</f>
        <v>a) Masculino</v>
      </c>
      <c r="F471" s="89" t="str">
        <f>Registro!F471</f>
        <v>a) Católica</v>
      </c>
      <c r="G471" s="89" t="str">
        <f>Registro!G471</f>
        <v>a) Mamá, b) Papá, c) Hermanos</v>
      </c>
      <c r="H471" s="89" t="str">
        <f>Registro!H471</f>
        <v>c) Apartamento</v>
      </c>
      <c r="I471" s="89" t="str">
        <f>Registro!I471</f>
        <v>a) Sí</v>
      </c>
      <c r="J471" s="89" t="str">
        <f>Registro!J471</f>
        <v>a) Cónsola videojuegos, b) Lavadora, c) Microondas, i) Computadora, k) Aire acondicionado</v>
      </c>
      <c r="K471" s="89" t="str">
        <f>Registro!K471</f>
        <v>b) Una</v>
      </c>
      <c r="L471" s="89" t="str">
        <f>Registro!L471</f>
        <v>a) La familia, c) Los estudios, j) El deporte</v>
      </c>
      <c r="M471" s="94">
        <f t="shared" si="38"/>
        <v>3</v>
      </c>
      <c r="N471" s="89" t="str">
        <f>Registro!M471</f>
        <v>b) El futuro</v>
      </c>
      <c r="O471" s="89" t="str">
        <f>Registro!N471</f>
        <v>a) Mucho</v>
      </c>
      <c r="P471" s="89" t="str">
        <f>Registro!O471</f>
        <v>b) Suficiente</v>
      </c>
      <c r="Q471" s="89" t="str">
        <f>Registro!P471</f>
        <v>a) Mucho</v>
      </c>
      <c r="R471" s="89" t="str">
        <f>Registro!Q471</f>
        <v>c) Los estudios, f) Mi fe y mi vida cristiana, g) La felicidad</v>
      </c>
      <c r="S471" s="94">
        <f t="shared" si="39"/>
        <v>3</v>
      </c>
      <c r="T471" s="89" t="str">
        <f>Registro!R471</f>
        <v>a) Mucho</v>
      </c>
      <c r="U471" s="89" t="str">
        <f>Registro!S471</f>
        <v>a) La Iglesia, d) Las convivencias, f) Todas las personas, g) Mi familia, h) Algunas personas cercanas a Dios, i) Los necesitados, j) Todas partes, k) La oración, l) Los sacramentos</v>
      </c>
      <c r="V471" s="89" t="str">
        <f>Registro!T471</f>
        <v>a) Suelo rezar por convicción o porque me gusta</v>
      </c>
      <c r="W471" s="89" t="str">
        <f>Registro!U471</f>
        <v>b) Algunos domingos</v>
      </c>
      <c r="X471" s="89" t="str">
        <f>Registro!V471</f>
        <v>b) Suelo bendedir los alimentos antes de comer, c) Suelo ir los domingos y otras fechas especiales a la Iglesia, e) Voy a misa en las fechas de mis familiares difuntos, g) En ocasiones, en mi casa tenemos una oración familiar</v>
      </c>
      <c r="Y471" s="89" t="str">
        <f>Registro!W471</f>
        <v>a) Deportivo</v>
      </c>
      <c r="Z471" s="89" t="str">
        <f>Registro!X471</f>
        <v>a) Un grupo donde profundizo mi fe</v>
      </c>
      <c r="AA471" s="89" t="str">
        <f>Registro!Y471</f>
        <v>b) No</v>
      </c>
      <c r="AB471" s="89" t="str">
        <f>Registro!Z471</f>
        <v>b) No</v>
      </c>
      <c r="AC471" s="89" t="str">
        <f>Registro!AA471</f>
        <v>b) Docencia, d) Ingeniería</v>
      </c>
      <c r="AD471" s="94">
        <f t="shared" si="40"/>
        <v>2</v>
      </c>
      <c r="AE471" s="89" t="str">
        <f>Registro!AB471</f>
        <v>c) Ser un excelente profesional</v>
      </c>
      <c r="AF471" s="89" t="str">
        <f>Registro!AC471</f>
        <v>c) Bastante</v>
      </c>
      <c r="AG471" s="89"/>
      <c r="AH471" s="94">
        <f t="shared" si="41"/>
        <v>0</v>
      </c>
      <c r="AI471" s="89" t="str">
        <f>Registro!AE471</f>
        <v>f) 11 o más horas</v>
      </c>
      <c r="AJ471" s="89" t="str">
        <f>Registro!AF471</f>
        <v>a) Me divierto con juegos para computadoras, h) Suelo ir al cine, k) Practico algún deporte</v>
      </c>
      <c r="AK471" s="94">
        <f t="shared" si="42"/>
        <v>3</v>
      </c>
      <c r="AL471" s="89" t="str">
        <f>Registro!AG471</f>
        <v>b) Bueno</v>
      </c>
      <c r="AM471" s="89" t="str">
        <f>Registro!AH471</f>
        <v>a) Muy buena</v>
      </c>
      <c r="AN471" s="89" t="str">
        <f>Registro!AI471</f>
        <v>a) Muy buena</v>
      </c>
      <c r="AO471" s="89" t="str">
        <f>Registro!AJ471</f>
        <v>a) Muy buena</v>
      </c>
      <c r="AP471" s="89" t="str">
        <f>Registro!AK471</f>
        <v>a) Muy buena</v>
      </c>
      <c r="AQ471" s="89" t="str">
        <f>Registro!AL471</f>
        <v>a) Muy buena</v>
      </c>
      <c r="AR471" s="89" t="str">
        <f>Registro!AM471</f>
        <v>a) Muy buena</v>
      </c>
      <c r="AS471" s="89" t="str">
        <f>Registro!AN471</f>
        <v>b) Buena</v>
      </c>
      <c r="AT471" s="89" t="str">
        <f>Registro!AO471</f>
        <v>a) Muy buena</v>
      </c>
      <c r="AU471" s="89" t="str">
        <f>Registro!AP471</f>
        <v>a) Muy buena</v>
      </c>
      <c r="AV471" s="89" t="str">
        <f>Registro!AQ471</f>
        <v>a) Muy buena</v>
      </c>
      <c r="AW471" s="89" t="str">
        <f>Registro!AR471</f>
        <v>c) El estudio</v>
      </c>
      <c r="AX471" s="89" t="str">
        <f>Registro!AS471</f>
        <v>a) Que sea un buen profesional</v>
      </c>
      <c r="AY471" s="89" t="str">
        <f>Registro!AT471</f>
        <v>d) Bastante necesaria</v>
      </c>
      <c r="AZ471" s="89" t="str">
        <f>Registro!AU471</f>
        <v>a) No acostumbro a tomarlo nunca</v>
      </c>
      <c r="BA471" s="89" t="str">
        <f>Registro!AV471</f>
        <v>e) Educadores que se preocupan de nosotros</v>
      </c>
      <c r="BB471" s="89" t="str">
        <f>Registro!AW471</f>
        <v>d) Mucho o muchísimo</v>
      </c>
      <c r="BC471" s="89" t="str">
        <f>Registro!AX471</f>
        <v>e) Son personas que me gustan y admiro</v>
      </c>
      <c r="BD471" s="89" t="str">
        <f>Registro!AY471</f>
        <v>a) Mi padre, b) Mi madre, c) Un hermano/a, e) Un, una docente, h) Una amiga</v>
      </c>
    </row>
    <row r="472" spans="1:56" ht="15" customHeight="1" x14ac:dyDescent="0.25">
      <c r="A472" s="101">
        <f>Registro!A472</f>
        <v>42070.23269675926</v>
      </c>
      <c r="B472" s="89" t="str">
        <f>Registro!B472</f>
        <v>f) Nuestra Señora de Coromoto de Maracaibo</v>
      </c>
      <c r="C472" s="89" t="str">
        <f>Registro!C472</f>
        <v>a) Primer año</v>
      </c>
      <c r="D472" s="89" t="str">
        <f>Registro!D472</f>
        <v>a) Educación Inicial</v>
      </c>
      <c r="E472" s="89" t="str">
        <f>Registro!E472</f>
        <v>b) Femenino</v>
      </c>
      <c r="F472" s="89" t="str">
        <f>Registro!F472</f>
        <v>a) Católica</v>
      </c>
      <c r="G472" s="89" t="str">
        <f>Registro!G472</f>
        <v>a) Mamá, c) Hermanos</v>
      </c>
      <c r="H472" s="89" t="str">
        <f>Registro!H472</f>
        <v>b) Casa Urbana</v>
      </c>
      <c r="I472" s="89" t="str">
        <f>Registro!I472</f>
        <v>a) Sí</v>
      </c>
      <c r="J472" s="89" t="str">
        <f>Registro!J472</f>
        <v>a) Cónsola videojuegos, b) Lavadora, c) Microondas, h) Carro, i) Computadora, j) Cámara digital, k) Aire acondicionado</v>
      </c>
      <c r="K472" s="89" t="str">
        <f>Registro!K472</f>
        <v>d) Tres</v>
      </c>
      <c r="L472" s="89" t="str">
        <f>Registro!L472</f>
        <v>a) La familia, c) Los estudios, f) Mi fe y vida cristiana</v>
      </c>
      <c r="M472" s="94">
        <f t="shared" si="38"/>
        <v>3</v>
      </c>
      <c r="N472" s="89" t="str">
        <f>Registro!M472</f>
        <v>b) El futuro</v>
      </c>
      <c r="O472" s="89" t="str">
        <f>Registro!N472</f>
        <v>a) Mucho</v>
      </c>
      <c r="P472" s="89" t="str">
        <f>Registro!O472</f>
        <v>b) Suficiente</v>
      </c>
      <c r="Q472" s="89" t="str">
        <f>Registro!P472</f>
        <v>a) Mucho</v>
      </c>
      <c r="R472" s="89" t="str">
        <f>Registro!Q472</f>
        <v>c) Los estudios, f) Mi fe y mi vida cristiana, g) La felicidad</v>
      </c>
      <c r="S472" s="94">
        <f t="shared" si="39"/>
        <v>3</v>
      </c>
      <c r="T472" s="89" t="str">
        <f>Registro!R472</f>
        <v>a) Mucho</v>
      </c>
      <c r="U472" s="89" t="str">
        <f>Registro!S472</f>
        <v>a) La Iglesia, d) Las convivencias, k) La oración</v>
      </c>
      <c r="V472" s="89" t="str">
        <f>Registro!T472</f>
        <v>a) Suelo rezar por convicción o porque me gusta</v>
      </c>
      <c r="W472" s="89" t="str">
        <f>Registro!U472</f>
        <v>a) Todos los domingos</v>
      </c>
      <c r="X472" s="89" t="str">
        <f>Registro!V472</f>
        <v>d) Suelo orar todos los días, g) En ocasiones, en mi casa tenemos una oración familiar</v>
      </c>
      <c r="Y472" s="89" t="str">
        <f>Registro!W472</f>
        <v>a) Deportivo</v>
      </c>
      <c r="Z472" s="89" t="str">
        <f>Registro!X472</f>
        <v>a) Un grupo donde profundizo mi fe</v>
      </c>
      <c r="AA472" s="89" t="str">
        <f>Registro!Y472</f>
        <v>b) No</v>
      </c>
      <c r="AB472" s="89" t="str">
        <f>Registro!Z472</f>
        <v>b) No</v>
      </c>
      <c r="AC472" s="89" t="str">
        <f>Registro!AA472</f>
        <v>b) Docencia, e) Derecho</v>
      </c>
      <c r="AD472" s="94">
        <f t="shared" si="40"/>
        <v>2</v>
      </c>
      <c r="AE472" s="89" t="str">
        <f>Registro!AB472</f>
        <v>c) Ser un excelente profesional</v>
      </c>
      <c r="AF472" s="89" t="str">
        <f>Registro!AC472</f>
        <v>c) Bastante</v>
      </c>
      <c r="AG472" s="89" t="str">
        <f>Registro!AD472</f>
        <v>a) Los deportes y diversiones, g) La relación con los docentes</v>
      </c>
      <c r="AH472" s="94">
        <f t="shared" si="41"/>
        <v>2</v>
      </c>
      <c r="AI472" s="89" t="str">
        <f>Registro!AE472</f>
        <v>c) 5 a 6 horas</v>
      </c>
      <c r="AJ472" s="89" t="str">
        <f>Registro!AF472</f>
        <v>b) Navego en Internet, m) Veo televisión y/o películas</v>
      </c>
      <c r="AK472" s="94">
        <f t="shared" si="42"/>
        <v>2</v>
      </c>
      <c r="AL472" s="89" t="str">
        <f>Registro!AG472</f>
        <v>a) Muy bueno</v>
      </c>
      <c r="AM472" s="89" t="str">
        <f>Registro!AH472</f>
        <v>a) Muy buena</v>
      </c>
      <c r="AN472" s="89" t="str">
        <f>Registro!AI472</f>
        <v>b) Buena</v>
      </c>
      <c r="AO472" s="89" t="str">
        <f>Registro!AJ472</f>
        <v>a) Muy buena</v>
      </c>
      <c r="AP472" s="89" t="str">
        <f>Registro!AK472</f>
        <v>a) Muy buena</v>
      </c>
      <c r="AQ472" s="89" t="str">
        <f>Registro!AL472</f>
        <v>a) Muy buena</v>
      </c>
      <c r="AR472" s="89" t="str">
        <f>Registro!AM472</f>
        <v>a) Muy buena</v>
      </c>
      <c r="AS472" s="89" t="str">
        <f>Registro!AN472</f>
        <v>b) Buena</v>
      </c>
      <c r="AT472" s="89" t="str">
        <f>Registro!AO472</f>
        <v>a) Muy buena</v>
      </c>
      <c r="AU472" s="89" t="str">
        <f>Registro!AP472</f>
        <v>a) Muy buena</v>
      </c>
      <c r="AV472" s="89" t="str">
        <f>Registro!AQ472</f>
        <v>a) Muy buena</v>
      </c>
      <c r="AW472" s="89" t="str">
        <f>Registro!AR472</f>
        <v>c) El estudio</v>
      </c>
      <c r="AX472" s="89" t="str">
        <f>Registro!AS472</f>
        <v>a) Que sea un buen profesional</v>
      </c>
      <c r="AY472" s="89" t="str">
        <f>Registro!AT472</f>
        <v>d) Bastante necesaria</v>
      </c>
      <c r="AZ472" s="89" t="str">
        <f>Registro!AU472</f>
        <v>a) No acostumbro a tomarlo nunca</v>
      </c>
      <c r="BA472" s="89" t="str">
        <f>Registro!AV472</f>
        <v>e) Educadores que se preocupan de nosotros</v>
      </c>
      <c r="BB472" s="89" t="str">
        <f>Registro!AW472</f>
        <v>d) Mucho o muchísimo</v>
      </c>
      <c r="BC472" s="89" t="str">
        <f>Registro!AX472</f>
        <v>e) Son personas que me gustan y admiro</v>
      </c>
      <c r="BD472" s="89" t="str">
        <f>Registro!AY472</f>
        <v>b) Mi madre, c) Un hermano/a, e) Un, una docente, h) Una amiga</v>
      </c>
    </row>
    <row r="473" spans="1:56" ht="15" customHeight="1" x14ac:dyDescent="0.25">
      <c r="A473" s="101">
        <f>Registro!A473</f>
        <v>42070.24658564815</v>
      </c>
      <c r="B473" s="89" t="str">
        <f>Registro!B473</f>
        <v>f) Nuestra Señora de Coromoto de Maracaibo</v>
      </c>
      <c r="C473" s="89" t="str">
        <f>Registro!C473</f>
        <v>a) Primer año</v>
      </c>
      <c r="D473" s="89" t="str">
        <f>Registro!D473</f>
        <v>d) En Cuarto año o posterior</v>
      </c>
      <c r="E473" s="89" t="str">
        <f>Registro!E473</f>
        <v>a) Masculino</v>
      </c>
      <c r="F473" s="89" t="str">
        <f>Registro!F473</f>
        <v>a) Católica</v>
      </c>
      <c r="G473" s="89" t="str">
        <f>Registro!G473</f>
        <v>a) Mamá, b) Papá, c) Hermanos</v>
      </c>
      <c r="H473" s="89" t="str">
        <f>Registro!H473</f>
        <v>d) Casa Rural</v>
      </c>
      <c r="I473" s="89" t="str">
        <f>Registro!I473</f>
        <v>a) Sí</v>
      </c>
      <c r="J473" s="89" t="str">
        <f>Registro!J473</f>
        <v>a) Cónsola videojuegos, b) Lavadora, c) Microondas, d) TV pantalla plana, i) Computadora, k) Aire acondicionado</v>
      </c>
      <c r="K473" s="89" t="str">
        <f>Registro!K473</f>
        <v>c) Dos</v>
      </c>
      <c r="L473" s="89" t="str">
        <f>Registro!L473</f>
        <v>a) La familia, c) Los estudios, d) El cuidado de mi cuerpo</v>
      </c>
      <c r="M473" s="94">
        <f t="shared" si="38"/>
        <v>3</v>
      </c>
      <c r="N473" s="89" t="str">
        <f>Registro!M473</f>
        <v>a) Seguridad personal (la violencia y la delincuencia)</v>
      </c>
      <c r="O473" s="89" t="str">
        <f>Registro!N473</f>
        <v>a) Mucho</v>
      </c>
      <c r="P473" s="89" t="str">
        <f>Registro!O473</f>
        <v>a) Mucho</v>
      </c>
      <c r="Q473" s="89" t="str">
        <f>Registro!P473</f>
        <v>a) Mucho</v>
      </c>
      <c r="R473" s="89"/>
      <c r="S473" s="94">
        <f t="shared" si="39"/>
        <v>0</v>
      </c>
      <c r="T473" s="89" t="str">
        <f>Registro!R473</f>
        <v>a) Mucho</v>
      </c>
      <c r="U473" s="89" t="str">
        <f>Registro!S473</f>
        <v>a) La Iglesia, d) Las convivencias, g) Mi familia, k) La oración</v>
      </c>
      <c r="V473" s="89" t="str">
        <f>Registro!T473</f>
        <v>a) Suelo rezar por convicción o porque me gusta</v>
      </c>
      <c r="W473" s="89" t="str">
        <f>Registro!U473</f>
        <v>b) Algunos domingos</v>
      </c>
      <c r="X473" s="89" t="str">
        <f>Registro!V473</f>
        <v>a) Suelo llevar una cruz o algún objeto religioso, c) Suelo ir los domingos y otras fechas especiales a la Iglesia, e) Voy a misa en las fechas de mis familiares difuntos</v>
      </c>
      <c r="Y473" s="89" t="str">
        <f>Registro!W473</f>
        <v>a) Deportivo</v>
      </c>
      <c r="Z473" s="89" t="str">
        <f>Registro!X473</f>
        <v>a) Un grupo donde profundizo mi fe</v>
      </c>
      <c r="AA473" s="89" t="str">
        <f>Registro!Y473</f>
        <v>b) No</v>
      </c>
      <c r="AB473" s="89" t="str">
        <f>Registro!Z473</f>
        <v>b) No</v>
      </c>
      <c r="AC473" s="89" t="str">
        <f>Registro!AA473</f>
        <v>a) Medicina, e) Derecho</v>
      </c>
      <c r="AD473" s="94">
        <f t="shared" si="40"/>
        <v>2</v>
      </c>
      <c r="AE473" s="89" t="str">
        <f>Registro!AB473</f>
        <v>c) Ser un excelente profesional</v>
      </c>
      <c r="AF473" s="89" t="str">
        <f>Registro!AC473</f>
        <v>a) No, en absoluto</v>
      </c>
      <c r="AG473" s="89" t="str">
        <f>Registro!AD473</f>
        <v>a) Los deportes y diversiones, b) El ambiente de estudio y de trabajo</v>
      </c>
      <c r="AH473" s="94">
        <f t="shared" si="41"/>
        <v>2</v>
      </c>
      <c r="AI473" s="89" t="str">
        <f>Registro!AE473</f>
        <v>a) 0 a 2 horas</v>
      </c>
      <c r="AJ473" s="89" t="str">
        <f>Registro!AF473</f>
        <v>k) Practico algún deporte, l) Escucho música y/o veo videos musicales, n) Estoy conversando con los amigos/as</v>
      </c>
      <c r="AK473" s="94">
        <f t="shared" si="42"/>
        <v>3</v>
      </c>
      <c r="AL473" s="89" t="str">
        <f>Registro!AG473</f>
        <v>a) Muy bueno</v>
      </c>
      <c r="AM473" s="89" t="str">
        <f>Registro!AH473</f>
        <v>a) Muy buena</v>
      </c>
      <c r="AN473" s="89" t="str">
        <f>Registro!AI473</f>
        <v>a) Muy buena</v>
      </c>
      <c r="AO473" s="89" t="str">
        <f>Registro!AJ473</f>
        <v>b) Buena</v>
      </c>
      <c r="AP473" s="89" t="str">
        <f>Registro!AK473</f>
        <v>a) Muy buena</v>
      </c>
      <c r="AQ473" s="89" t="str">
        <f>Registro!AL473</f>
        <v>a) Muy buena</v>
      </c>
      <c r="AR473" s="89" t="str">
        <f>Registro!AM473</f>
        <v>a) Muy buena</v>
      </c>
      <c r="AS473" s="89" t="str">
        <f>Registro!AN473</f>
        <v>a) Muy buena</v>
      </c>
      <c r="AT473" s="89" t="str">
        <f>Registro!AO473</f>
        <v>a) Muy buena</v>
      </c>
      <c r="AU473" s="89" t="str">
        <f>Registro!AP473</f>
        <v>b) Buena</v>
      </c>
      <c r="AV473" s="89" t="str">
        <f>Registro!AQ473</f>
        <v>a) Muy buena</v>
      </c>
      <c r="AW473" s="89" t="str">
        <f>Registro!AR473</f>
        <v>a) El compañerismo</v>
      </c>
      <c r="AX473" s="89" t="str">
        <f>Registro!AS473</f>
        <v>a) Que sea un buen profesional</v>
      </c>
      <c r="AY473" s="89" t="str">
        <f>Registro!AT473</f>
        <v>a) Innecesaria</v>
      </c>
      <c r="AZ473" s="89" t="str">
        <f>Registro!AU473</f>
        <v>a) No acostumbro a tomarlo nunca</v>
      </c>
      <c r="BA473" s="89" t="str">
        <f>Registro!AV473</f>
        <v>f) Educadores que, además, me han abierto caminos</v>
      </c>
      <c r="BB473" s="89" t="str">
        <f>Registro!AW473</f>
        <v>a) No, en absoluto</v>
      </c>
      <c r="BC473" s="89" t="str">
        <f>Registro!AX473</f>
        <v>e) Son personas que me gustan y admiro</v>
      </c>
      <c r="BD473" s="89" t="str">
        <f>Registro!AY473</f>
        <v>a) Mi padre, b) Mi madre, c) Un hermano/a, d) Un escolapio, religioso o religiosa, e) Un, una docente</v>
      </c>
    </row>
    <row r="474" spans="1:56" ht="15" customHeight="1" x14ac:dyDescent="0.25">
      <c r="A474" s="101">
        <f>Registro!A474</f>
        <v>42070.254675925928</v>
      </c>
      <c r="B474" s="89" t="str">
        <f>Registro!B474</f>
        <v>f) Nuestra Señora de Coromoto de Maracaibo</v>
      </c>
      <c r="C474" s="89" t="str">
        <f>Registro!C474</f>
        <v>a) Primer año</v>
      </c>
      <c r="D474" s="89" t="str">
        <f>Registro!D474</f>
        <v>a) Educación Inicial</v>
      </c>
      <c r="E474" s="89" t="str">
        <f>Registro!E474</f>
        <v>a) Masculino</v>
      </c>
      <c r="F474" s="89" t="str">
        <f>Registro!F474</f>
        <v>a) Católica</v>
      </c>
      <c r="G474" s="89" t="str">
        <f>Registro!G474</f>
        <v>a) Mamá, b) Papá, c) Hermanos</v>
      </c>
      <c r="H474" s="89" t="str">
        <f>Registro!H474</f>
        <v>d) Casa Rural</v>
      </c>
      <c r="I474" s="89" t="str">
        <f>Registro!I474</f>
        <v>a) Sí</v>
      </c>
      <c r="J474" s="89" t="str">
        <f>Registro!J474</f>
        <v>b) Lavadora, e) Moto</v>
      </c>
      <c r="K474" s="89" t="str">
        <f>Registro!K474</f>
        <v>f) Más de cuatro</v>
      </c>
      <c r="L474" s="89" t="str">
        <f>Registro!L474</f>
        <v>a) La familia, c) Los estudios, j) El deporte</v>
      </c>
      <c r="M474" s="94">
        <f t="shared" si="38"/>
        <v>3</v>
      </c>
      <c r="N474" s="89" t="str">
        <f>Registro!M474</f>
        <v>g) Mis estudios</v>
      </c>
      <c r="O474" s="89" t="str">
        <f>Registro!N474</f>
        <v>a) Mucho</v>
      </c>
      <c r="P474" s="89" t="str">
        <f>Registro!O474</f>
        <v>c) Poco</v>
      </c>
      <c r="Q474" s="89" t="str">
        <f>Registro!P474</f>
        <v>a) Mucho</v>
      </c>
      <c r="R474" s="89" t="str">
        <f>Registro!Q474</f>
        <v>a) La familia, d) El cuidado de mi cuerpo, f) Mi fe y mi vida cristiana</v>
      </c>
      <c r="S474" s="94">
        <f t="shared" si="39"/>
        <v>3</v>
      </c>
      <c r="T474" s="89" t="str">
        <f>Registro!R474</f>
        <v>a) Mucho</v>
      </c>
      <c r="U474" s="89" t="str">
        <f>Registro!S474</f>
        <v>a) La Iglesia, c) El salón de clase, k) La oración</v>
      </c>
      <c r="V474" s="89" t="str">
        <f>Registro!T474</f>
        <v>a) Suelo rezar por convicción o porque me gusta</v>
      </c>
      <c r="W474" s="89" t="str">
        <f>Registro!U474</f>
        <v>b) Algunos domingos</v>
      </c>
      <c r="X474" s="89" t="str">
        <f>Registro!V474</f>
        <v>b) Suelo bendedir los alimentos antes de comer, e) Voy a misa en las fechas de mis familiares difuntos, i) Tengo en mi cuarto alguna imagen religiosa</v>
      </c>
      <c r="Y474" s="89" t="str">
        <f>Registro!W474</f>
        <v>d) No pertenezco a ninguno</v>
      </c>
      <c r="Z474" s="89" t="str">
        <f>Registro!X474</f>
        <v>c) Un lugar donde me lo paso bien</v>
      </c>
      <c r="AA474" s="89" t="str">
        <f>Registro!Y474</f>
        <v>c) Algo</v>
      </c>
      <c r="AB474" s="89" t="str">
        <f>Registro!Z474</f>
        <v>c) Algo</v>
      </c>
      <c r="AC474" s="89" t="str">
        <f>Registro!AA474</f>
        <v>a) Medicina, j) Trabajador calificado</v>
      </c>
      <c r="AD474" s="94">
        <f t="shared" si="40"/>
        <v>2</v>
      </c>
      <c r="AE474" s="89" t="str">
        <f>Registro!AB474</f>
        <v>c) Ser un excelente profesional</v>
      </c>
      <c r="AF474" s="89" t="str">
        <f>Registro!AC474</f>
        <v>b) Poco</v>
      </c>
      <c r="AG474" s="89" t="str">
        <f>Registro!AD474</f>
        <v>b) El ambiente de estudio y de trabajo, d) Los grupos juveniles cristianos</v>
      </c>
      <c r="AH474" s="94">
        <f t="shared" si="41"/>
        <v>2</v>
      </c>
      <c r="AI474" s="89" t="str">
        <f>Registro!AE474</f>
        <v>a) 0 a 2 horas</v>
      </c>
      <c r="AJ474" s="89" t="str">
        <f>Registro!AF474</f>
        <v>a) Me divierto con juegos para computadoras, j) Estoy en algún grupo juvenil, m) Veo televisión y/o películas</v>
      </c>
      <c r="AK474" s="94">
        <f t="shared" si="42"/>
        <v>3</v>
      </c>
      <c r="AL474" s="89" t="str">
        <f>Registro!AG474</f>
        <v>a) Muy bueno</v>
      </c>
      <c r="AM474" s="89" t="str">
        <f>Registro!AH474</f>
        <v>b) Buena</v>
      </c>
      <c r="AN474" s="89" t="str">
        <f>Registro!AI474</f>
        <v>b) Buena</v>
      </c>
      <c r="AO474" s="89" t="str">
        <f>Registro!AJ474</f>
        <v>a) Muy buena</v>
      </c>
      <c r="AP474" s="89" t="str">
        <f>Registro!AK474</f>
        <v>b) Buena</v>
      </c>
      <c r="AQ474" s="89" t="str">
        <f>Registro!AL474</f>
        <v>b) Buena</v>
      </c>
      <c r="AR474" s="89" t="str">
        <f>Registro!AM474</f>
        <v>b) Buena</v>
      </c>
      <c r="AS474" s="89" t="str">
        <f>Registro!AN474</f>
        <v>b) Buena</v>
      </c>
      <c r="AT474" s="89" t="str">
        <f>Registro!AO474</f>
        <v>b) Buena</v>
      </c>
      <c r="AU474" s="89" t="str">
        <f>Registro!AP474</f>
        <v>b) Buena</v>
      </c>
      <c r="AV474" s="89" t="str">
        <f>Registro!AQ474</f>
        <v>b) Buena</v>
      </c>
      <c r="AW474" s="89" t="str">
        <f>Registro!AR474</f>
        <v>c) El estudio</v>
      </c>
      <c r="AX474" s="89" t="str">
        <f>Registro!AS474</f>
        <v>a) Que sea un buen profesional</v>
      </c>
      <c r="AY474" s="89" t="str">
        <f>Registro!AT474</f>
        <v>c) Conveniente</v>
      </c>
      <c r="AZ474" s="89" t="str">
        <f>Registro!AU474</f>
        <v>c) Alguna vez he bebido más de la cuenta</v>
      </c>
      <c r="BA474" s="89" t="str">
        <f>Registro!AV474</f>
        <v>b) Profesionales que no se preocupan de nosotros</v>
      </c>
      <c r="BB474" s="89" t="str">
        <f>Registro!AW474</f>
        <v>c) Bastante</v>
      </c>
      <c r="BC474" s="89" t="str">
        <f>Registro!AX474</f>
        <v>e) Son personas que me gustan y admiro</v>
      </c>
      <c r="BD474" s="89" t="str">
        <f>Registro!AY474</f>
        <v>a) Mi padre, b) Mi madre, c) Un hermano/a, d) Un escolapio, religioso o religiosa, e) Un, una docente, i) Un, una catequista o responsable de grupo, k) No tengo problemas personales</v>
      </c>
    </row>
    <row r="475" spans="1:56" ht="15" customHeight="1" x14ac:dyDescent="0.25">
      <c r="A475" s="101">
        <f>Registro!A475</f>
        <v>42070.257326388892</v>
      </c>
      <c r="B475" s="89" t="str">
        <f>Registro!B475</f>
        <v>f) Nuestra Señora de Coromoto de Maracaibo</v>
      </c>
      <c r="C475" s="89" t="str">
        <f>Registro!C475</f>
        <v>a) Primer año</v>
      </c>
      <c r="D475" s="89" t="str">
        <f>Registro!D475</f>
        <v>a) Educación Inicial</v>
      </c>
      <c r="E475" s="89" t="str">
        <f>Registro!E475</f>
        <v>a) Masculino</v>
      </c>
      <c r="F475" s="89" t="str">
        <f>Registro!F475</f>
        <v>a) Católica</v>
      </c>
      <c r="G475" s="89">
        <f>Registro!G475</f>
        <v>0</v>
      </c>
      <c r="H475" s="89">
        <f>Registro!H475</f>
        <v>0</v>
      </c>
      <c r="I475" s="89">
        <f>Registro!I475</f>
        <v>0</v>
      </c>
      <c r="J475" s="89">
        <f>Registro!J475</f>
        <v>0</v>
      </c>
      <c r="K475" s="89">
        <f>Registro!K475</f>
        <v>0</v>
      </c>
      <c r="L475" s="89">
        <f>Registro!L475</f>
        <v>0</v>
      </c>
      <c r="M475" s="94">
        <f t="shared" si="38"/>
        <v>0</v>
      </c>
      <c r="N475" s="89">
        <f>Registro!M475</f>
        <v>0</v>
      </c>
      <c r="O475" s="89">
        <f>Registro!N475</f>
        <v>0</v>
      </c>
      <c r="P475" s="89">
        <f>Registro!O475</f>
        <v>0</v>
      </c>
      <c r="Q475" s="89">
        <f>Registro!P475</f>
        <v>0</v>
      </c>
      <c r="R475" s="89">
        <f>Registro!Q475</f>
        <v>0</v>
      </c>
      <c r="S475" s="94">
        <f t="shared" si="39"/>
        <v>0</v>
      </c>
      <c r="T475" s="89">
        <f>Registro!R475</f>
        <v>0</v>
      </c>
      <c r="U475" s="89">
        <f>Registro!S475</f>
        <v>0</v>
      </c>
      <c r="V475" s="89">
        <f>Registro!T475</f>
        <v>0</v>
      </c>
      <c r="W475" s="89">
        <f>Registro!U475</f>
        <v>0</v>
      </c>
      <c r="X475" s="89">
        <f>Registro!V475</f>
        <v>0</v>
      </c>
      <c r="Y475" s="89">
        <f>Registro!W475</f>
        <v>0</v>
      </c>
      <c r="Z475" s="89">
        <f>Registro!X475</f>
        <v>0</v>
      </c>
      <c r="AA475" s="89">
        <f>Registro!Y475</f>
        <v>0</v>
      </c>
      <c r="AB475" s="89">
        <f>Registro!Z475</f>
        <v>0</v>
      </c>
      <c r="AC475" s="89">
        <f>Registro!AA475</f>
        <v>0</v>
      </c>
      <c r="AD475" s="94">
        <f t="shared" si="40"/>
        <v>0</v>
      </c>
      <c r="AE475" s="89">
        <f>Registro!AB475</f>
        <v>0</v>
      </c>
      <c r="AF475" s="89">
        <f>Registro!AC475</f>
        <v>0</v>
      </c>
      <c r="AG475" s="89">
        <f>Registro!AD475</f>
        <v>0</v>
      </c>
      <c r="AH475" s="94">
        <f t="shared" si="41"/>
        <v>0</v>
      </c>
      <c r="AI475" s="89">
        <f>Registro!AE475</f>
        <v>0</v>
      </c>
      <c r="AJ475" s="89">
        <f>Registro!AF475</f>
        <v>0</v>
      </c>
      <c r="AK475" s="94">
        <f t="shared" si="42"/>
        <v>0</v>
      </c>
      <c r="AL475" s="89">
        <f>Registro!AG475</f>
        <v>0</v>
      </c>
      <c r="AM475" s="89">
        <f>Registro!AH475</f>
        <v>0</v>
      </c>
      <c r="AN475" s="89">
        <f>Registro!AI475</f>
        <v>0</v>
      </c>
      <c r="AO475" s="89">
        <f>Registro!AJ475</f>
        <v>0</v>
      </c>
      <c r="AP475" s="89">
        <f>Registro!AK475</f>
        <v>0</v>
      </c>
      <c r="AQ475" s="89">
        <f>Registro!AL475</f>
        <v>0</v>
      </c>
      <c r="AR475" s="89">
        <f>Registro!AM475</f>
        <v>0</v>
      </c>
      <c r="AS475" s="89">
        <f>Registro!AN475</f>
        <v>0</v>
      </c>
      <c r="AT475" s="89">
        <f>Registro!AO475</f>
        <v>0</v>
      </c>
      <c r="AU475" s="89">
        <f>Registro!AP475</f>
        <v>0</v>
      </c>
      <c r="AV475" s="89">
        <f>Registro!AQ475</f>
        <v>0</v>
      </c>
      <c r="AW475" s="89">
        <f>Registro!AR475</f>
        <v>0</v>
      </c>
      <c r="AX475" s="89">
        <f>Registro!AS475</f>
        <v>0</v>
      </c>
      <c r="AY475" s="89">
        <f>Registro!AT475</f>
        <v>0</v>
      </c>
      <c r="AZ475" s="89">
        <f>Registro!AU475</f>
        <v>0</v>
      </c>
      <c r="BA475" s="89">
        <f>Registro!AV475</f>
        <v>0</v>
      </c>
      <c r="BB475" s="89">
        <f>Registro!AW475</f>
        <v>0</v>
      </c>
      <c r="BC475" s="89">
        <f>Registro!AX475</f>
        <v>0</v>
      </c>
      <c r="BD475" s="89">
        <f>Registro!AY475</f>
        <v>0</v>
      </c>
    </row>
    <row r="476" spans="1:56" ht="15" customHeight="1" x14ac:dyDescent="0.25">
      <c r="A476" s="101">
        <f>Registro!A476</f>
        <v>42070.266215277778</v>
      </c>
      <c r="B476" s="89" t="str">
        <f>Registro!B476</f>
        <v>b) Calasanz de Valencia</v>
      </c>
      <c r="C476" s="89" t="str">
        <f>Registro!C476</f>
        <v>a) Primer año</v>
      </c>
      <c r="D476" s="89" t="str">
        <f>Registro!D476</f>
        <v>a) Educación Inicial</v>
      </c>
      <c r="E476" s="89" t="str">
        <f>Registro!E476</f>
        <v>a) Masculino</v>
      </c>
      <c r="F476" s="89" t="str">
        <f>Registro!F476</f>
        <v>b) Evangélica</v>
      </c>
      <c r="G476" s="89" t="str">
        <f>Registro!G476</f>
        <v>a) Mamá, b) Papá, c) Hermanos, d) Abuelos</v>
      </c>
      <c r="H476" s="89" t="str">
        <f>Registro!H476</f>
        <v>b) Casa Urbana</v>
      </c>
      <c r="I476" s="89" t="str">
        <f>Registro!I476</f>
        <v>a) Sí</v>
      </c>
      <c r="J476" s="89" t="str">
        <f>Registro!J476</f>
        <v>a) Cónsola videojuegos, i) Computadora, j) Cámara digital, k) Aire acondicionado</v>
      </c>
      <c r="K476" s="89" t="str">
        <f>Registro!K476</f>
        <v>d) Tres</v>
      </c>
      <c r="L476" s="89" t="str">
        <f>Registro!L476</f>
        <v>a) La familia, d) El cuidado de mi cuerpo, j) El deporte</v>
      </c>
      <c r="M476" s="94">
        <f t="shared" si="38"/>
        <v>3</v>
      </c>
      <c r="N476" s="89" t="str">
        <f>Registro!M476</f>
        <v>g) Mis estudios</v>
      </c>
      <c r="O476" s="89" t="str">
        <f>Registro!N476</f>
        <v>a) Mucho</v>
      </c>
      <c r="P476" s="89" t="str">
        <f>Registro!O476</f>
        <v>a) Mucho</v>
      </c>
      <c r="Q476" s="89" t="str">
        <f>Registro!P476</f>
        <v>b) Suficiente</v>
      </c>
      <c r="R476" s="89" t="str">
        <f>Registro!Q476</f>
        <v>a) La familia</v>
      </c>
      <c r="S476" s="94">
        <f t="shared" si="39"/>
        <v>1</v>
      </c>
      <c r="T476" s="89" t="str">
        <f>Registro!R476</f>
        <v>a) Mucho</v>
      </c>
      <c r="U476" s="89" t="str">
        <f>Registro!S476</f>
        <v>a) La Iglesia, b) La naturaleza, d) Las convivencias, g) Mi familia, j) Todas partes, k) La oración, l) Los sacramentos</v>
      </c>
      <c r="V476" s="89" t="str">
        <f>Registro!T476</f>
        <v>a) Suelo rezar por convicción o porque me gusta</v>
      </c>
      <c r="W476" s="89" t="str">
        <f>Registro!U476</f>
        <v>a) Todos los domingos</v>
      </c>
      <c r="X476" s="89" t="str">
        <f>Registro!V476</f>
        <v>e) Voy a misa en las fechas de mis familiares difuntos, f) En alguna ocasión he rezado el rosario</v>
      </c>
      <c r="Y476" s="89" t="str">
        <f>Registro!W476</f>
        <v>a) Deportivo, b) Cultural (folklórico, musicales, danzas, scout, banda marcial,...) , c) Religioso o parroquial</v>
      </c>
      <c r="Z476" s="89" t="str">
        <f>Registro!X476</f>
        <v>a) Un grupo donde profundizo mi fe</v>
      </c>
      <c r="AA476" s="89" t="str">
        <f>Registro!Y476</f>
        <v>c) Algo</v>
      </c>
      <c r="AB476" s="89" t="str">
        <f>Registro!Z476</f>
        <v>c) Algo</v>
      </c>
      <c r="AC476" s="89" t="str">
        <f>Registro!AA476</f>
        <v>a) Medicina</v>
      </c>
      <c r="AD476" s="94">
        <f t="shared" si="40"/>
        <v>1</v>
      </c>
      <c r="AE476" s="89" t="str">
        <f>Registro!AB476</f>
        <v>b) Tener una buena posición social, ser importante</v>
      </c>
      <c r="AF476" s="89" t="str">
        <f>Registro!AC476</f>
        <v>e) No sé</v>
      </c>
      <c r="AG476" s="89" t="str">
        <f>Registro!AD476</f>
        <v>a) Los deportes y diversiones, b) El ambiente de estudio y de trabajo</v>
      </c>
      <c r="AH476" s="94">
        <f t="shared" si="41"/>
        <v>2</v>
      </c>
      <c r="AI476" s="89" t="str">
        <f>Registro!AE476</f>
        <v>d) 7 a 8 horas</v>
      </c>
      <c r="AJ476" s="89" t="str">
        <f>Registro!AF476</f>
        <v>a) Me divierto con juegos para computadoras</v>
      </c>
      <c r="AK476" s="94">
        <f t="shared" si="42"/>
        <v>1</v>
      </c>
      <c r="AL476" s="89" t="str">
        <f>Registro!AG476</f>
        <v>b) Bueno</v>
      </c>
      <c r="AM476" s="89" t="str">
        <f>Registro!AH476</f>
        <v>a) Muy buena</v>
      </c>
      <c r="AN476" s="89" t="str">
        <f>Registro!AI476</f>
        <v>a) Muy buena</v>
      </c>
      <c r="AO476" s="89" t="str">
        <f>Registro!AJ476</f>
        <v>a) Muy buena</v>
      </c>
      <c r="AP476" s="89" t="str">
        <f>Registro!AK476</f>
        <v>a) Muy buena</v>
      </c>
      <c r="AQ476" s="89" t="str">
        <f>Registro!AL476</f>
        <v>a) Muy buena</v>
      </c>
      <c r="AR476" s="89" t="str">
        <f>Registro!AM476</f>
        <v>a) Muy buena</v>
      </c>
      <c r="AS476" s="89" t="str">
        <f>Registro!AN476</f>
        <v>a) Muy buena</v>
      </c>
      <c r="AT476" s="89" t="str">
        <f>Registro!AO476</f>
        <v>b) Buena</v>
      </c>
      <c r="AU476" s="89" t="str">
        <f>Registro!AP476</f>
        <v>b) Buena</v>
      </c>
      <c r="AV476" s="89" t="str">
        <f>Registro!AQ476</f>
        <v>a) Muy buena</v>
      </c>
      <c r="AW476" s="89" t="str">
        <f>Registro!AR476</f>
        <v>c) El estudio</v>
      </c>
      <c r="AX476" s="89" t="str">
        <f>Registro!AS476</f>
        <v>a) Que sea un buen profesional</v>
      </c>
      <c r="AY476" s="89" t="str">
        <f>Registro!AT476</f>
        <v>a) Innecesaria</v>
      </c>
      <c r="AZ476" s="89" t="str">
        <f>Registro!AU476</f>
        <v>a) No acostumbro a tomarlo nunca</v>
      </c>
      <c r="BA476" s="89" t="str">
        <f>Registro!AV476</f>
        <v>b) Profesionales que no se preocupan de nosotros</v>
      </c>
      <c r="BB476" s="89" t="str">
        <f>Registro!AW476</f>
        <v>c) Bastante</v>
      </c>
      <c r="BC476" s="89" t="str">
        <f>Registro!AX476</f>
        <v>e) Son personas que me gustan y admiro</v>
      </c>
      <c r="BD476" s="89" t="str">
        <f>Registro!AY476</f>
        <v>a) Mi padre, b) Mi madre, c) Un hermano/a, e) Un, una docente</v>
      </c>
    </row>
    <row r="477" spans="1:56" ht="15" customHeight="1" x14ac:dyDescent="0.25">
      <c r="A477" s="101">
        <f>Registro!A477</f>
        <v>42070.267511574071</v>
      </c>
      <c r="B477" s="89" t="str">
        <f>Registro!B477</f>
        <v>f) Nuestra Señora de Coromoto de Maracaibo</v>
      </c>
      <c r="C477" s="89" t="str">
        <f>Registro!C477</f>
        <v>a) Primer año</v>
      </c>
      <c r="D477" s="89" t="str">
        <f>Registro!D477</f>
        <v>b) Primaria</v>
      </c>
      <c r="E477" s="89" t="str">
        <f>Registro!E477</f>
        <v>b) Femenino</v>
      </c>
      <c r="F477" s="89" t="str">
        <f>Registro!F477</f>
        <v>a) Católica</v>
      </c>
      <c r="G477" s="89" t="str">
        <f>Registro!G477</f>
        <v>a) Mamá, b) Papá, c) Hermanos, d) Abuelos, e) Otros familiares</v>
      </c>
      <c r="H477" s="89">
        <f>Registro!H477</f>
        <v>0</v>
      </c>
      <c r="I477" s="89" t="str">
        <f>Registro!I477</f>
        <v>a) Sí</v>
      </c>
      <c r="J477" s="89" t="str">
        <f>Registro!J477</f>
        <v>d) TV pantalla plana, k) Aire acondicionado</v>
      </c>
      <c r="K477" s="89" t="str">
        <f>Registro!K477</f>
        <v>b) Una</v>
      </c>
      <c r="L477" s="89" t="str">
        <f>Registro!L477</f>
        <v>a) La familia, c) Los estudios, d) El cuidado de mi cuerpo</v>
      </c>
      <c r="M477" s="94">
        <f t="shared" si="38"/>
        <v>3</v>
      </c>
      <c r="N477" s="89" t="str">
        <f>Registro!M477</f>
        <v>g) Mis estudios</v>
      </c>
      <c r="O477" s="89" t="str">
        <f>Registro!N477</f>
        <v>b) Suficiente</v>
      </c>
      <c r="P477" s="89" t="str">
        <f>Registro!O477</f>
        <v>c) Poco</v>
      </c>
      <c r="Q477" s="89" t="str">
        <f>Registro!P477</f>
        <v>b) Suficiente</v>
      </c>
      <c r="R477" s="89" t="str">
        <f>Registro!Q477</f>
        <v>c) Los estudios, d) El cuidado de mi cuerpo, g) La felicidad</v>
      </c>
      <c r="S477" s="94">
        <f t="shared" si="39"/>
        <v>3</v>
      </c>
      <c r="T477" s="89" t="str">
        <f>Registro!R477</f>
        <v>a) Mucho</v>
      </c>
      <c r="U477" s="89" t="str">
        <f>Registro!S477</f>
        <v>a) La Iglesia, d) Las convivencias, k) La oración, l) Los sacramentos</v>
      </c>
      <c r="V477" s="89" t="str">
        <f>Registro!T477</f>
        <v>a) Suelo rezar por convicción o porque me gusta</v>
      </c>
      <c r="W477" s="89" t="str">
        <f>Registro!U477</f>
        <v>b) Algunos domingos</v>
      </c>
      <c r="X477" s="89" t="str">
        <f>Registro!V477</f>
        <v>f) En alguna ocasión he rezado el rosario, g) En ocasiones, en mi casa tenemos una oración familiar</v>
      </c>
      <c r="Y477" s="89" t="str">
        <f>Registro!W477</f>
        <v>a) Deportivo</v>
      </c>
      <c r="Z477" s="89" t="str">
        <f>Registro!X477</f>
        <v>a) Un grupo donde profundizo mi fe</v>
      </c>
      <c r="AA477" s="89" t="str">
        <f>Registro!Y477</f>
        <v>b) No</v>
      </c>
      <c r="AB477" s="89" t="str">
        <f>Registro!Z477</f>
        <v>b) No</v>
      </c>
      <c r="AC477" s="89" t="str">
        <f>Registro!AA477</f>
        <v>b) Docencia, g) Artista</v>
      </c>
      <c r="AD477" s="94">
        <f t="shared" si="40"/>
        <v>2</v>
      </c>
      <c r="AE477" s="89" t="str">
        <f>Registro!AB477</f>
        <v>c) Ser un excelente profesional</v>
      </c>
      <c r="AF477" s="89" t="str">
        <f>Registro!AC477</f>
        <v>c) Bastante</v>
      </c>
      <c r="AG477" s="89" t="str">
        <f>Registro!AD477</f>
        <v>a) Los deportes y diversiones, h) Las actividades extraescolares</v>
      </c>
      <c r="AH477" s="94">
        <f t="shared" si="41"/>
        <v>2</v>
      </c>
      <c r="AI477" s="89" t="str">
        <f>Registro!AE477</f>
        <v>c) 5 a 6 horas</v>
      </c>
      <c r="AJ477" s="89" t="str">
        <f>Registro!AF477</f>
        <v>m) Veo televisión y/o películas, n) Estoy conversando con los amigos/as</v>
      </c>
      <c r="AK477" s="94">
        <f t="shared" si="42"/>
        <v>2</v>
      </c>
      <c r="AL477" s="89" t="str">
        <f>Registro!AG477</f>
        <v>a) Muy bueno</v>
      </c>
      <c r="AM477" s="89" t="str">
        <f>Registro!AH477</f>
        <v>a) Muy buena</v>
      </c>
      <c r="AN477" s="89" t="str">
        <f>Registro!AI477</f>
        <v>a) Muy buena</v>
      </c>
      <c r="AO477" s="89" t="str">
        <f>Registro!AJ477</f>
        <v>a) Muy buena</v>
      </c>
      <c r="AP477" s="89" t="str">
        <f>Registro!AK477</f>
        <v>a) Muy buena</v>
      </c>
      <c r="AQ477" s="89" t="str">
        <f>Registro!AL477</f>
        <v>a) Muy buena</v>
      </c>
      <c r="AR477" s="89" t="str">
        <f>Registro!AM477</f>
        <v>a) Muy buena</v>
      </c>
      <c r="AS477" s="89" t="str">
        <f>Registro!AN477</f>
        <v>a) Muy buena</v>
      </c>
      <c r="AT477" s="89" t="str">
        <f>Registro!AO477</f>
        <v>a) Muy buena</v>
      </c>
      <c r="AU477" s="89" t="str">
        <f>Registro!AP477</f>
        <v>a) Muy buena</v>
      </c>
      <c r="AV477" s="89" t="str">
        <f>Registro!AQ477</f>
        <v>a) Muy buena</v>
      </c>
      <c r="AW477" s="89" t="str">
        <f>Registro!AR477</f>
        <v>c) El estudio</v>
      </c>
      <c r="AX477" s="89" t="str">
        <f>Registro!AS477</f>
        <v>b) Darme una buena educación</v>
      </c>
      <c r="AY477" s="89" t="str">
        <f>Registro!AT477</f>
        <v>c) Conveniente</v>
      </c>
      <c r="AZ477" s="89" t="str">
        <f>Registro!AU477</f>
        <v>a) No acostumbro a tomarlo nunca</v>
      </c>
      <c r="BA477" s="89" t="str">
        <f>Registro!AV477</f>
        <v>f) Educadores que, además, me han abierto caminos</v>
      </c>
      <c r="BB477" s="89" t="str">
        <f>Registro!AW477</f>
        <v>d) Mucho o muchísimo</v>
      </c>
      <c r="BC477" s="89" t="str">
        <f>Registro!AX477</f>
        <v>e) Son personas que me gustan y admiro</v>
      </c>
      <c r="BD477" s="89" t="str">
        <f>Registro!AY477</f>
        <v>a) Mi padre, b) Mi madre, g) Un amigo, h) Una amiga</v>
      </c>
    </row>
    <row r="478" spans="1:56" ht="15" customHeight="1" x14ac:dyDescent="0.25">
      <c r="A478" s="101">
        <f>Registro!A478</f>
        <v>42070.27003472222</v>
      </c>
      <c r="B478" s="89" t="str">
        <f>Registro!B478</f>
        <v>f) Nuestra Señora de Coromoto de Maracaibo</v>
      </c>
      <c r="C478" s="89" t="str">
        <f>Registro!C478</f>
        <v>a) Primer año</v>
      </c>
      <c r="D478" s="89" t="str">
        <f>Registro!D478</f>
        <v>a) Educación Inicial</v>
      </c>
      <c r="E478" s="89" t="str">
        <f>Registro!E478</f>
        <v>a) Masculino</v>
      </c>
      <c r="F478" s="89" t="str">
        <f>Registro!F478</f>
        <v>a) Católica</v>
      </c>
      <c r="G478" s="89" t="str">
        <f>Registro!G478</f>
        <v>b) Papá, d) Abuelos, e) Otros familiares</v>
      </c>
      <c r="H478" s="89" t="str">
        <f>Registro!H478</f>
        <v>b) Casa Urbana</v>
      </c>
      <c r="I478" s="89" t="str">
        <f>Registro!I478</f>
        <v>a) Sí</v>
      </c>
      <c r="J478" s="89" t="str">
        <f>Registro!J478</f>
        <v>b) Lavadora, h) Carro, k) Aire acondicionado</v>
      </c>
      <c r="K478" s="89" t="str">
        <f>Registro!K478</f>
        <v>b) Una</v>
      </c>
      <c r="L478" s="89"/>
      <c r="M478" s="94">
        <f t="shared" si="38"/>
        <v>0</v>
      </c>
      <c r="N478" s="89" t="str">
        <f>Registro!M478</f>
        <v>d) Los problemas familiares</v>
      </c>
      <c r="O478" s="89" t="str">
        <f>Registro!N478</f>
        <v>a) Mucho</v>
      </c>
      <c r="P478" s="89" t="str">
        <f>Registro!O478</f>
        <v>c) Poco</v>
      </c>
      <c r="Q478" s="89" t="str">
        <f>Registro!P478</f>
        <v>a) Mucho</v>
      </c>
      <c r="R478" s="89" t="str">
        <f>Registro!Q478</f>
        <v>c) Los estudios, g) La felicidad, j) El deporte</v>
      </c>
      <c r="S478" s="94">
        <f t="shared" si="39"/>
        <v>3</v>
      </c>
      <c r="T478" s="89" t="str">
        <f>Registro!R478</f>
        <v>a) Mucho</v>
      </c>
      <c r="U478" s="89" t="str">
        <f>Registro!S478</f>
        <v>a) La Iglesia, c) El salón de clase, h) Algunas personas cercanas a Dios, j) Todas partes, k) La oración</v>
      </c>
      <c r="V478" s="89" t="str">
        <f>Registro!T478</f>
        <v>c) Rezo solo en situación de dificultad</v>
      </c>
      <c r="W478" s="89" t="str">
        <f>Registro!U478</f>
        <v>c) Solo en fechas especiales</v>
      </c>
      <c r="X478" s="89" t="str">
        <f>Registro!V478</f>
        <v>c) Suelo ir los domingos y otras fechas especiales a la Iglesia, e) Voy a misa en las fechas de mis familiares difuntos, f) En alguna ocasión he rezado el rosario</v>
      </c>
      <c r="Y478" s="89" t="str">
        <f>Registro!W478</f>
        <v>a) Deportivo</v>
      </c>
      <c r="Z478" s="89" t="str">
        <f>Registro!X478</f>
        <v>a) Un grupo donde profundizo mi fe</v>
      </c>
      <c r="AA478" s="89" t="str">
        <f>Registro!Y478</f>
        <v>c) Algo</v>
      </c>
      <c r="AB478" s="89" t="str">
        <f>Registro!Z478</f>
        <v>c) Algo</v>
      </c>
      <c r="AC478" s="89" t="str">
        <f>Registro!AA478</f>
        <v>d) Ingeniería</v>
      </c>
      <c r="AD478" s="94">
        <f t="shared" si="40"/>
        <v>1</v>
      </c>
      <c r="AE478" s="89" t="str">
        <f>Registro!AB478</f>
        <v>e) Servir a los demás</v>
      </c>
      <c r="AF478" s="89" t="str">
        <f>Registro!AC478</f>
        <v>b) Poco</v>
      </c>
      <c r="AG478" s="89" t="str">
        <f>Registro!AD478</f>
        <v>b) El ambiente de estudio y de trabajo</v>
      </c>
      <c r="AH478" s="94">
        <f t="shared" si="41"/>
        <v>1</v>
      </c>
      <c r="AI478" s="89" t="str">
        <f>Registro!AE478</f>
        <v>a) 0 a 2 horas</v>
      </c>
      <c r="AJ478" s="89" t="str">
        <f>Registro!AF478</f>
        <v>b) Navego en Internet</v>
      </c>
      <c r="AK478" s="94">
        <f t="shared" si="42"/>
        <v>1</v>
      </c>
      <c r="AL478" s="89" t="str">
        <f>Registro!AG478</f>
        <v>a) Muy bueno</v>
      </c>
      <c r="AM478" s="89" t="str">
        <f>Registro!AH478</f>
        <v>b) Buena</v>
      </c>
      <c r="AN478" s="89" t="str">
        <f>Registro!AI478</f>
        <v>c) Regular</v>
      </c>
      <c r="AO478" s="89" t="str">
        <f>Registro!AJ478</f>
        <v>a) Muy buena</v>
      </c>
      <c r="AP478" s="89">
        <f>Registro!AK478</f>
        <v>0</v>
      </c>
      <c r="AQ478" s="89" t="str">
        <f>Registro!AL478</f>
        <v>a) Muy buena</v>
      </c>
      <c r="AR478" s="89" t="str">
        <f>Registro!AM478</f>
        <v>a) Muy buena</v>
      </c>
      <c r="AS478" s="89" t="str">
        <f>Registro!AN478</f>
        <v>a) Muy buena</v>
      </c>
      <c r="AT478" s="89" t="str">
        <f>Registro!AO478</f>
        <v>a) Muy buena</v>
      </c>
      <c r="AU478" s="89" t="str">
        <f>Registro!AP478</f>
        <v>a) Muy buena</v>
      </c>
      <c r="AV478" s="89" t="str">
        <f>Registro!AQ478</f>
        <v>a) Muy buena</v>
      </c>
      <c r="AW478" s="89" t="str">
        <f>Registro!AR478</f>
        <v>b) La orientación cristiana</v>
      </c>
      <c r="AX478" s="89" t="str">
        <f>Registro!AS478</f>
        <v>b) Darme una buena educación</v>
      </c>
      <c r="AY478" s="89" t="str">
        <f>Registro!AT478</f>
        <v>c) Conveniente</v>
      </c>
      <c r="AZ478" s="89" t="str">
        <f>Registro!AU478</f>
        <v>b) Las veces que bebo, es con moderación</v>
      </c>
      <c r="BA478" s="89" t="str">
        <f>Registro!AV478</f>
        <v>a) Personas a las que tengo que aguantar</v>
      </c>
      <c r="BB478" s="89" t="str">
        <f>Registro!AW478</f>
        <v>a) No, en absoluto</v>
      </c>
      <c r="BC478" s="89" t="str">
        <f>Registro!AX478</f>
        <v>d) Hay de todo tipo, pero predomina lo positivo</v>
      </c>
      <c r="BD478" s="89" t="str">
        <f>Registro!AY478</f>
        <v>a) Mi padre, b) Mi madre, c) Un hermano/a</v>
      </c>
    </row>
    <row r="479" spans="1:56" ht="15" customHeight="1" x14ac:dyDescent="0.25">
      <c r="A479" s="101">
        <f>Registro!A479</f>
        <v>42070.279965277776</v>
      </c>
      <c r="B479" s="89" t="str">
        <f>Registro!B479</f>
        <v>f) Nuestra Señora de Coromoto de Maracaibo</v>
      </c>
      <c r="C479" s="89" t="str">
        <f>Registro!C479</f>
        <v>a) Primer año</v>
      </c>
      <c r="D479" s="89" t="str">
        <f>Registro!D479</f>
        <v>a) Educación Inicial</v>
      </c>
      <c r="E479" s="89" t="str">
        <f>Registro!E479</f>
        <v>b) Femenino</v>
      </c>
      <c r="F479" s="89" t="str">
        <f>Registro!F479</f>
        <v>a) Católica</v>
      </c>
      <c r="G479" s="89" t="str">
        <f>Registro!G479</f>
        <v>d) Abuelos, e) Otros familiares</v>
      </c>
      <c r="H479" s="89" t="str">
        <f>Registro!H479</f>
        <v>f) Otro</v>
      </c>
      <c r="I479" s="89" t="str">
        <f>Registro!I479</f>
        <v>d) No sé</v>
      </c>
      <c r="J479" s="89" t="str">
        <f>Registro!J479</f>
        <v>a) Cónsola videojuegos, b) Lavadora, c) Microondas, d) TV pantalla plana, h) Carro, i) Computadora, j) Cámara digital, k) Aire acondicionado</v>
      </c>
      <c r="K479" s="89" t="str">
        <f>Registro!K479</f>
        <v>c) Dos</v>
      </c>
      <c r="L479" s="89" t="str">
        <f>Registro!L479</f>
        <v>a) La familia, b) Los amigos, i) La música</v>
      </c>
      <c r="M479" s="94">
        <f t="shared" si="38"/>
        <v>3</v>
      </c>
      <c r="N479" s="89" t="str">
        <f>Registro!M479</f>
        <v>b) El futuro</v>
      </c>
      <c r="O479" s="89" t="str">
        <f>Registro!N479</f>
        <v>d) Nada</v>
      </c>
      <c r="P479" s="89" t="str">
        <f>Registro!O479</f>
        <v>b) Suficiente</v>
      </c>
      <c r="Q479" s="89" t="str">
        <f>Registro!P479</f>
        <v>c) Poco</v>
      </c>
      <c r="R479" s="89" t="str">
        <f>Registro!Q479</f>
        <v>c) Los estudios</v>
      </c>
      <c r="S479" s="94">
        <f t="shared" si="39"/>
        <v>1</v>
      </c>
      <c r="T479" s="89" t="str">
        <f>Registro!R479</f>
        <v>a) Mucho</v>
      </c>
      <c r="U479" s="89" t="str">
        <f>Registro!S479</f>
        <v>a) La Iglesia, b) La naturaleza, h) Algunas personas cercanas a Dios</v>
      </c>
      <c r="V479" s="89" t="str">
        <f>Registro!T479</f>
        <v>b) Rezo por costumbre</v>
      </c>
      <c r="W479" s="89" t="str">
        <f>Registro!U479</f>
        <v>a) Todos los domingos</v>
      </c>
      <c r="X479" s="89" t="str">
        <f>Registro!V479</f>
        <v>c) Suelo ir los domingos y otras fechas especiales a la Iglesia, d) Suelo orar todos los días, e) Voy a misa en las fechas de mis familiares difuntos, f) En alguna ocasión he rezado el rosario</v>
      </c>
      <c r="Y479" s="89" t="str">
        <f>Registro!W479</f>
        <v>a) Deportivo</v>
      </c>
      <c r="Z479" s="89" t="str">
        <f>Registro!X479</f>
        <v>d) No pertenezco a grupos juveniles cristianos</v>
      </c>
      <c r="AA479" s="89" t="str">
        <f>Registro!Y479</f>
        <v>b) No</v>
      </c>
      <c r="AB479" s="89" t="str">
        <f>Registro!Z479</f>
        <v>b) No</v>
      </c>
      <c r="AC479" s="89" t="str">
        <f>Registro!AA479</f>
        <v>a) Medicina, e) Derecho</v>
      </c>
      <c r="AD479" s="94">
        <f t="shared" si="40"/>
        <v>2</v>
      </c>
      <c r="AE479" s="89" t="str">
        <f>Registro!AB479</f>
        <v>c) Ser un excelente profesional</v>
      </c>
      <c r="AF479" s="89" t="str">
        <f>Registro!AC479</f>
        <v>e) No sé</v>
      </c>
      <c r="AG479" s="89" t="str">
        <f>Registro!AD479</f>
        <v>a) Los deportes y diversiones, b) El ambiente de estudio y de trabajo</v>
      </c>
      <c r="AH479" s="94">
        <f t="shared" si="41"/>
        <v>2</v>
      </c>
      <c r="AI479" s="89" t="str">
        <f>Registro!AE479</f>
        <v>a) 0 a 2 horas</v>
      </c>
      <c r="AJ479" s="89" t="str">
        <f>Registro!AF479</f>
        <v>f) Toco un instrumento musical, i) Leo revistas o libros, l) Escucho música y/o veo videos musicales</v>
      </c>
      <c r="AK479" s="94">
        <f t="shared" si="42"/>
        <v>3</v>
      </c>
      <c r="AL479" s="89" t="str">
        <f>Registro!AG479</f>
        <v>a) Muy bueno</v>
      </c>
      <c r="AM479" s="89" t="str">
        <f>Registro!AH479</f>
        <v>b) Buena</v>
      </c>
      <c r="AN479" s="89" t="str">
        <f>Registro!AI479</f>
        <v>a) Muy buena</v>
      </c>
      <c r="AO479" s="89" t="str">
        <f>Registro!AJ479</f>
        <v>a) Muy buena</v>
      </c>
      <c r="AP479" s="89" t="str">
        <f>Registro!AK479</f>
        <v>b) Buena</v>
      </c>
      <c r="AQ479" s="89" t="str">
        <f>Registro!AL479</f>
        <v>b) Buena</v>
      </c>
      <c r="AR479" s="89" t="str">
        <f>Registro!AM479</f>
        <v>b) Buena</v>
      </c>
      <c r="AS479" s="89" t="str">
        <f>Registro!AN479</f>
        <v>b) Buena</v>
      </c>
      <c r="AT479" s="89" t="str">
        <f>Registro!AO479</f>
        <v>a) Muy buena</v>
      </c>
      <c r="AU479" s="89" t="str">
        <f>Registro!AP479</f>
        <v>a) Muy buena</v>
      </c>
      <c r="AV479" s="89" t="str">
        <f>Registro!AQ479</f>
        <v>b) Buena</v>
      </c>
      <c r="AW479" s="89" t="str">
        <f>Registro!AR479</f>
        <v>e) La disciplina y el orden</v>
      </c>
      <c r="AX479" s="89" t="str">
        <f>Registro!AS479</f>
        <v>f) Que tenga honradez en la vida</v>
      </c>
      <c r="AY479" s="89" t="str">
        <f>Registro!AT479</f>
        <v>e) Absolutamente necesaria</v>
      </c>
      <c r="AZ479" s="89" t="str">
        <f>Registro!AU479</f>
        <v>a) No acostumbro a tomarlo nunca</v>
      </c>
      <c r="BA479" s="89" t="str">
        <f>Registro!AV479</f>
        <v>f) Educadores que, además, me han abierto caminos</v>
      </c>
      <c r="BB479" s="89" t="str">
        <f>Registro!AW479</f>
        <v>c) Bastante</v>
      </c>
      <c r="BC479" s="89" t="str">
        <f>Registro!AX479</f>
        <v>e) Son personas que me gustan y admiro</v>
      </c>
      <c r="BD479" s="89" t="str">
        <f>Registro!AY479</f>
        <v>g) Un amigo, h) Una amiga</v>
      </c>
    </row>
    <row r="480" spans="1:56" ht="15" customHeight="1" x14ac:dyDescent="0.25">
      <c r="A480" s="101">
        <f>Registro!A480</f>
        <v>42070.286666666667</v>
      </c>
      <c r="B480" s="89" t="str">
        <f>Registro!B480</f>
        <v>f) Nuestra Señora de Coromoto de Maracaibo</v>
      </c>
      <c r="C480" s="89" t="str">
        <f>Registro!C480</f>
        <v>a) Primer año</v>
      </c>
      <c r="D480" s="89" t="str">
        <f>Registro!D480</f>
        <v>c) Entre Primero y Tercer año</v>
      </c>
      <c r="E480" s="89" t="str">
        <f>Registro!E480</f>
        <v>a) Masculino</v>
      </c>
      <c r="F480" s="89" t="str">
        <f>Registro!F480</f>
        <v>a) Católica</v>
      </c>
      <c r="G480" s="89" t="str">
        <f>Registro!G480</f>
        <v>a) Mamá, b) Papá, c) Hermanos, e) Otros familiares</v>
      </c>
      <c r="H480" s="89" t="str">
        <f>Registro!H480</f>
        <v>b) Casa Urbana</v>
      </c>
      <c r="I480" s="89" t="str">
        <f>Registro!I480</f>
        <v>a) Sí</v>
      </c>
      <c r="J480" s="89" t="str">
        <f>Registro!J480</f>
        <v>b) Lavadora, f) MP3, i) Computadora, k) Aire acondicionado</v>
      </c>
      <c r="K480" s="89" t="str">
        <f>Registro!K480</f>
        <v>c) Dos</v>
      </c>
      <c r="L480" s="89" t="str">
        <f>Registro!L480</f>
        <v>a) La familia, b) Los amigos, c) Los estudios</v>
      </c>
      <c r="M480" s="94">
        <f t="shared" si="38"/>
        <v>3</v>
      </c>
      <c r="N480" s="89" t="str">
        <f>Registro!M480</f>
        <v>d) Los problemas familiares</v>
      </c>
      <c r="O480" s="89" t="str">
        <f>Registro!N480</f>
        <v>a) Mucho</v>
      </c>
      <c r="P480" s="89" t="str">
        <f>Registro!O480</f>
        <v>b) Suficiente</v>
      </c>
      <c r="Q480" s="89" t="str">
        <f>Registro!P480</f>
        <v>a) Mucho</v>
      </c>
      <c r="R480" s="89" t="str">
        <f>Registro!Q480</f>
        <v>b) Los amigos, c) Los estudios, d) El cuidado de mi cuerpo</v>
      </c>
      <c r="S480" s="94">
        <f t="shared" si="39"/>
        <v>3</v>
      </c>
      <c r="T480" s="89" t="str">
        <f>Registro!R480</f>
        <v>a) Mucho</v>
      </c>
      <c r="U480" s="89" t="str">
        <f>Registro!S480</f>
        <v>a) La Iglesia, b) La naturaleza, c) El salón de clase, d) Las convivencias, e) Los amigos, f) Todas las personas, g) Mi familia, h) Algunas personas cercanas a Dios, i) Los necesitados, j) Todas partes, k) La oración, l) Los sacramentos</v>
      </c>
      <c r="V480" s="89" t="str">
        <f>Registro!T480</f>
        <v>a) Suelo rezar por convicción o porque me gusta</v>
      </c>
      <c r="W480" s="89" t="str">
        <f>Registro!U480</f>
        <v>b) Algunos domingos</v>
      </c>
      <c r="X480" s="89" t="str">
        <f>Registro!V480</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 i) Tengo en mi cuarto alguna imagen religiosa</v>
      </c>
      <c r="Y480" s="89" t="str">
        <f>Registro!W480</f>
        <v xml:space="preserve">b) Cultural (folklórico, musicales, danzas, scout, banda marcial,...) </v>
      </c>
      <c r="Z480" s="89" t="str">
        <f>Registro!X480</f>
        <v>a) Un grupo donde profundizo mi fe</v>
      </c>
      <c r="AA480" s="89" t="str">
        <f>Registro!Y480</f>
        <v>b) No</v>
      </c>
      <c r="AB480" s="89" t="str">
        <f>Registro!Z480</f>
        <v>b) No</v>
      </c>
      <c r="AC480" s="89"/>
      <c r="AD480" s="94">
        <f t="shared" si="40"/>
        <v>0</v>
      </c>
      <c r="AE480" s="89" t="str">
        <f>Registro!AB480</f>
        <v>f) Ejecutar una tarea conforme a mi fe</v>
      </c>
      <c r="AF480" s="89" t="str">
        <f>Registro!AC480</f>
        <v>d) Mucho o muchísimo</v>
      </c>
      <c r="AG480" s="89" t="str">
        <f>Registro!AD480</f>
        <v>a) Los deportes y diversiones, b) El ambiente de estudio y de trabajo</v>
      </c>
      <c r="AH480" s="94">
        <f t="shared" si="41"/>
        <v>2</v>
      </c>
      <c r="AI480" s="89" t="str">
        <f>Registro!AE480</f>
        <v>a) 0 a 2 horas</v>
      </c>
      <c r="AJ480" s="89" t="str">
        <f>Registro!AF480</f>
        <v>l) Escucho música y/o veo videos musicales, m) Veo televisión y/o películas, n) Estoy conversando con los amigos/as</v>
      </c>
      <c r="AK480" s="94">
        <f t="shared" si="42"/>
        <v>3</v>
      </c>
      <c r="AL480" s="89" t="str">
        <f>Registro!AG480</f>
        <v>a) Muy bueno</v>
      </c>
      <c r="AM480" s="89" t="str">
        <f>Registro!AH480</f>
        <v>a) Muy buena</v>
      </c>
      <c r="AN480" s="89" t="str">
        <f>Registro!AI480</f>
        <v>a) Muy buena</v>
      </c>
      <c r="AO480" s="89" t="str">
        <f>Registro!AJ480</f>
        <v>a) Muy buena</v>
      </c>
      <c r="AP480" s="89" t="str">
        <f>Registro!AK480</f>
        <v>a) Muy buena</v>
      </c>
      <c r="AQ480" s="89" t="str">
        <f>Registro!AL480</f>
        <v>a) Muy buena</v>
      </c>
      <c r="AR480" s="89" t="str">
        <f>Registro!AM480</f>
        <v>a) Muy buena</v>
      </c>
      <c r="AS480" s="89" t="str">
        <f>Registro!AN480</f>
        <v>a) Muy buena</v>
      </c>
      <c r="AT480" s="89" t="str">
        <f>Registro!AO480</f>
        <v>a) Muy buena</v>
      </c>
      <c r="AU480" s="89" t="str">
        <f>Registro!AP480</f>
        <v>a) Muy buena</v>
      </c>
      <c r="AV480" s="89" t="str">
        <f>Registro!AQ480</f>
        <v>a) Muy buena</v>
      </c>
      <c r="AW480" s="89" t="str">
        <f>Registro!AR480</f>
        <v>a) El compañerismo</v>
      </c>
      <c r="AX480" s="89" t="str">
        <f>Registro!AS480</f>
        <v>b) Darme una buena educación</v>
      </c>
      <c r="AY480" s="89" t="str">
        <f>Registro!AT480</f>
        <v>e) Absolutamente necesaria</v>
      </c>
      <c r="AZ480" s="89" t="str">
        <f>Registro!AU480</f>
        <v>a) No acostumbro a tomarlo nunca</v>
      </c>
      <c r="BA480" s="89" t="str">
        <f>Registro!AV480</f>
        <v>f) Educadores que, además, me han abierto caminos</v>
      </c>
      <c r="BB480" s="89" t="str">
        <f>Registro!AW480</f>
        <v>c) Bastante</v>
      </c>
      <c r="BC480" s="89" t="str">
        <f>Registro!AX480</f>
        <v>e) Son personas que me gustan y admiro</v>
      </c>
      <c r="BD480" s="89" t="str">
        <f>Registro!AY480</f>
        <v>a) Mi padre, b) Mi madre, c) Un hermano/a, d) Un escolapio, religioso o religiosa, e) Un, una docente, f) La orientadora, g) Un amigo, h) Una amiga</v>
      </c>
    </row>
    <row r="481" spans="1:56" ht="15" customHeight="1" x14ac:dyDescent="0.25">
      <c r="A481" s="101">
        <f>Registro!A481</f>
        <v>42070.287280092591</v>
      </c>
      <c r="B481" s="89" t="str">
        <f>Registro!B481</f>
        <v>f) Nuestra Señora de Coromoto de Maracaibo</v>
      </c>
      <c r="C481" s="89" t="str">
        <f>Registro!C481</f>
        <v>a) Primer año</v>
      </c>
      <c r="D481" s="89" t="str">
        <f>Registro!D481</f>
        <v>a) Educación Inicial</v>
      </c>
      <c r="E481" s="89" t="str">
        <f>Registro!E481</f>
        <v>a) Masculino</v>
      </c>
      <c r="F481" s="89" t="str">
        <f>Registro!F481</f>
        <v>a) Católica</v>
      </c>
      <c r="G481" s="89" t="str">
        <f>Registro!G481</f>
        <v>a) Mamá, b) Papá, c) Hermanos, d) Abuelos, e) Otros familiares</v>
      </c>
      <c r="H481" s="89" t="str">
        <f>Registro!H481</f>
        <v>b) Casa Urbana</v>
      </c>
      <c r="I481" s="89" t="str">
        <f>Registro!I481</f>
        <v>a) Sí</v>
      </c>
      <c r="J481" s="89" t="str">
        <f>Registro!J481</f>
        <v>a) Cónsola videojuegos, b) Lavadora, c) Microondas, i) Computadora, k) Aire acondicionado</v>
      </c>
      <c r="K481" s="89" t="str">
        <f>Registro!K481</f>
        <v>e) Cuatro</v>
      </c>
      <c r="L481" s="89" t="str">
        <f>Registro!L481</f>
        <v>a) La familia, c) Los estudios, j) El deporte</v>
      </c>
      <c r="M481" s="94">
        <f t="shared" si="38"/>
        <v>3</v>
      </c>
      <c r="N481" s="89" t="str">
        <f>Registro!M481</f>
        <v>b) El futuro</v>
      </c>
      <c r="O481" s="89" t="str">
        <f>Registro!N481</f>
        <v>a) Mucho</v>
      </c>
      <c r="P481" s="89" t="str">
        <f>Registro!O481</f>
        <v>c) Poco</v>
      </c>
      <c r="Q481" s="89" t="str">
        <f>Registro!P481</f>
        <v>b) Suficiente</v>
      </c>
      <c r="R481" s="89" t="str">
        <f>Registro!Q481</f>
        <v>a) La familia, b) Los amigos, j) El deporte</v>
      </c>
      <c r="S481" s="94">
        <f t="shared" si="39"/>
        <v>3</v>
      </c>
      <c r="T481" s="89" t="str">
        <f>Registro!R481</f>
        <v>a) Mucho</v>
      </c>
      <c r="U481" s="89" t="str">
        <f>Registro!S481</f>
        <v>a) La Iglesia, b) La naturaleza, k) La oración, l) Los sacramentos</v>
      </c>
      <c r="V481" s="89" t="str">
        <f>Registro!T481</f>
        <v>b) Rezo por costumbre</v>
      </c>
      <c r="W481" s="89" t="str">
        <f>Registro!U481</f>
        <v>b) Algunos domingos</v>
      </c>
      <c r="X481" s="89" t="str">
        <f>Registro!V481</f>
        <v>c) Suelo ir los domingos y otras fechas especiales a la Iglesia, e) Voy a misa en las fechas de mis familiares difuntos, f) En alguna ocasión he rezado el rosario, h) En Semana Santa asisto a las procesiones</v>
      </c>
      <c r="Y481" s="89" t="str">
        <f>Registro!W481</f>
        <v>a) Deportivo</v>
      </c>
      <c r="Z481" s="89" t="str">
        <f>Registro!X481</f>
        <v>c) Un lugar donde me lo paso bien</v>
      </c>
      <c r="AA481" s="89" t="str">
        <f>Registro!Y481</f>
        <v>b) No</v>
      </c>
      <c r="AB481" s="89" t="str">
        <f>Registro!Z481</f>
        <v>b) No</v>
      </c>
      <c r="AC481" s="89" t="str">
        <f>Registro!AA481</f>
        <v>b) Docencia, c) Sacerdocio o hermana religiosa</v>
      </c>
      <c r="AD481" s="94">
        <f t="shared" si="40"/>
        <v>2</v>
      </c>
      <c r="AE481" s="89" t="str">
        <f>Registro!AB481</f>
        <v>c) Ser un excelente profesional</v>
      </c>
      <c r="AF481" s="89" t="str">
        <f>Registro!AC481</f>
        <v>d) Mucho o muchísimo</v>
      </c>
      <c r="AG481" s="89" t="str">
        <f>Registro!AD481</f>
        <v>a) Los deportes y diversiones, b) El ambiente de estudio y de trabajo</v>
      </c>
      <c r="AH481" s="94">
        <f t="shared" si="41"/>
        <v>2</v>
      </c>
      <c r="AI481" s="89" t="str">
        <f>Registro!AE481</f>
        <v>a) 0 a 2 horas</v>
      </c>
      <c r="AJ481" s="89" t="str">
        <f>Registro!AF481</f>
        <v>a) Me divierto con juegos para computadoras, e) Suelo ir a algún parque, k) Practico algún deporte</v>
      </c>
      <c r="AK481" s="94">
        <f t="shared" si="42"/>
        <v>3</v>
      </c>
      <c r="AL481" s="89" t="str">
        <f>Registro!AG481</f>
        <v>a) Muy bueno</v>
      </c>
      <c r="AM481" s="89" t="str">
        <f>Registro!AH481</f>
        <v>b) Buena</v>
      </c>
      <c r="AN481" s="89" t="str">
        <f>Registro!AI481</f>
        <v>b) Buena</v>
      </c>
      <c r="AO481" s="89" t="str">
        <f>Registro!AJ481</f>
        <v>a) Muy buena</v>
      </c>
      <c r="AP481" s="89" t="str">
        <f>Registro!AK481</f>
        <v>a) Muy buena</v>
      </c>
      <c r="AQ481" s="89" t="str">
        <f>Registro!AL481</f>
        <v>a) Muy buena</v>
      </c>
      <c r="AR481" s="89" t="str">
        <f>Registro!AM481</f>
        <v>a) Muy buena</v>
      </c>
      <c r="AS481" s="89" t="str">
        <f>Registro!AN481</f>
        <v>a) Muy buena</v>
      </c>
      <c r="AT481" s="89" t="str">
        <f>Registro!AO481</f>
        <v>b) Buena</v>
      </c>
      <c r="AU481" s="89" t="str">
        <f>Registro!AP481</f>
        <v>a) Muy buena</v>
      </c>
      <c r="AV481" s="89" t="str">
        <f>Registro!AQ481</f>
        <v>b) Buena</v>
      </c>
      <c r="AW481" s="89" t="str">
        <f>Registro!AR481</f>
        <v>c) El estudio</v>
      </c>
      <c r="AX481" s="89" t="str">
        <f>Registro!AS481</f>
        <v>b) Darme una buena educación</v>
      </c>
      <c r="AY481" s="89" t="str">
        <f>Registro!AT481</f>
        <v>d) Bastante necesaria</v>
      </c>
      <c r="AZ481" s="89" t="str">
        <f>Registro!AU481</f>
        <v>a) No acostumbro a tomarlo nunca</v>
      </c>
      <c r="BA481" s="89" t="str">
        <f>Registro!AV481</f>
        <v>e) Educadores que se preocupan de nosotros</v>
      </c>
      <c r="BB481" s="89" t="str">
        <f>Registro!AW481</f>
        <v>d) Mucho o muchísimo</v>
      </c>
      <c r="BC481" s="89" t="str">
        <f>Registro!AX481</f>
        <v>d) Hay de todo tipo, pero predomina lo positivo</v>
      </c>
      <c r="BD481" s="89" t="str">
        <f>Registro!AY481</f>
        <v>a) Mi padre, b) Mi madre, c) Un hermano/a</v>
      </c>
    </row>
    <row r="482" spans="1:56" ht="15" customHeight="1" x14ac:dyDescent="0.25">
      <c r="A482" s="101">
        <f>Registro!A482</f>
        <v>42070.295497685183</v>
      </c>
      <c r="B482" s="89" t="str">
        <f>Registro!B482</f>
        <v>f) Nuestra Señora de Coromoto de Maracaibo</v>
      </c>
      <c r="C482" s="89" t="str">
        <f>Registro!C482</f>
        <v>a) Primer año</v>
      </c>
      <c r="D482" s="89" t="str">
        <f>Registro!D482</f>
        <v>b) Primaria</v>
      </c>
      <c r="E482" s="89" t="str">
        <f>Registro!E482</f>
        <v>b) Femenino</v>
      </c>
      <c r="F482" s="89" t="str">
        <f>Registro!F482</f>
        <v>a) Católica</v>
      </c>
      <c r="G482" s="89" t="str">
        <f>Registro!G482</f>
        <v>a) Mamá, b) Papá, c) Hermanos, d) Abuelos</v>
      </c>
      <c r="H482" s="89" t="str">
        <f>Registro!H482</f>
        <v>b) Casa Urbana</v>
      </c>
      <c r="I482" s="89" t="str">
        <f>Registro!I482</f>
        <v>a) Sí</v>
      </c>
      <c r="J482" s="89" t="str">
        <f>Registro!J482</f>
        <v>a) Cónsola videojuegos, b) Lavadora, d) TV pantalla plana, g) MP4, h) Carro, i) Computadora, j) Cámara digital, k) Aire acondicionado</v>
      </c>
      <c r="K482" s="89" t="str">
        <f>Registro!K482</f>
        <v>b) Una</v>
      </c>
      <c r="L482" s="89" t="str">
        <f>Registro!L482</f>
        <v>a) La familia, f) Mi fe y vida cristiana, g) La felicidad</v>
      </c>
      <c r="M482" s="94">
        <f t="shared" si="38"/>
        <v>3</v>
      </c>
      <c r="N482" s="89" t="str">
        <f>Registro!M482</f>
        <v>g) Mis estudios</v>
      </c>
      <c r="O482" s="89" t="str">
        <f>Registro!N482</f>
        <v>a) Mucho</v>
      </c>
      <c r="P482" s="89" t="str">
        <f>Registro!O482</f>
        <v>b) Suficiente</v>
      </c>
      <c r="Q482" s="89" t="str">
        <f>Registro!P482</f>
        <v>b) Suficiente</v>
      </c>
      <c r="R482" s="89" t="str">
        <f>Registro!Q482</f>
        <v>a) La familia, f) Mi fe y mi vida cristiana, g) La felicidad</v>
      </c>
      <c r="S482" s="94">
        <f t="shared" si="39"/>
        <v>3</v>
      </c>
      <c r="T482" s="89" t="str">
        <f>Registro!R482</f>
        <v>a) Mucho</v>
      </c>
      <c r="U482" s="89" t="str">
        <f>Registro!S482</f>
        <v>a) La Iglesia, b) La naturaleza, d) Las convivencias, g) Mi familia, h) Algunas personas cercanas a Dios, i) Los necesitados, j) Todas partes, k) La oración, l) Los sacramentos</v>
      </c>
      <c r="V482" s="89" t="str">
        <f>Registro!T482</f>
        <v>a) Suelo rezar por convicción o porque me gusta</v>
      </c>
      <c r="W482" s="89" t="str">
        <f>Registro!U482</f>
        <v>b) Algunos domingos</v>
      </c>
      <c r="X482" s="89" t="str">
        <f>Registro!V482</f>
        <v>a) Suelo llevar una cruz o algún objeto religioso, 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v>
      </c>
      <c r="Y482" s="89" t="str">
        <f>Registro!W482</f>
        <v xml:space="preserve">a) Deportivo, b) Cultural (folklórico, musicales, danzas, scout, banda marcial,...) </v>
      </c>
      <c r="Z482" s="89" t="str">
        <f>Registro!X482</f>
        <v>a) Un grupo donde profundizo mi fe</v>
      </c>
      <c r="AA482" s="89" t="str">
        <f>Registro!Y482</f>
        <v>a) Sí</v>
      </c>
      <c r="AB482" s="89">
        <f>Registro!Z482</f>
        <v>0</v>
      </c>
      <c r="AC482" s="89" t="str">
        <f>Registro!AA482</f>
        <v>a) Medicina, e) Derecho</v>
      </c>
      <c r="AD482" s="94">
        <f t="shared" si="40"/>
        <v>2</v>
      </c>
      <c r="AE482" s="89" t="str">
        <f>Registro!AB482</f>
        <v>c) Ser un excelente profesional</v>
      </c>
      <c r="AF482" s="89" t="str">
        <f>Registro!AC482</f>
        <v>c) Bastante</v>
      </c>
      <c r="AG482" s="89" t="str">
        <f>Registro!AD482</f>
        <v>a) Los deportes y diversiones, d) Los grupos juveniles cristianos</v>
      </c>
      <c r="AH482" s="94">
        <f t="shared" si="41"/>
        <v>2</v>
      </c>
      <c r="AI482" s="89" t="str">
        <f>Registro!AE482</f>
        <v>b) 3 a 4 horas</v>
      </c>
      <c r="AJ482" s="89" t="str">
        <f>Registro!AF482</f>
        <v>b) Navego en Internet, h) Suelo ir al cine, j) Estoy en algún grupo juvenil</v>
      </c>
      <c r="AK482" s="94">
        <f t="shared" si="42"/>
        <v>3</v>
      </c>
      <c r="AL482" s="89" t="str">
        <f>Registro!AG482</f>
        <v>a) Muy bueno</v>
      </c>
      <c r="AM482" s="89" t="str">
        <f>Registro!AH482</f>
        <v>a) Muy buena</v>
      </c>
      <c r="AN482" s="89" t="str">
        <f>Registro!AI482</f>
        <v>a) Muy buena</v>
      </c>
      <c r="AO482" s="89" t="str">
        <f>Registro!AJ482</f>
        <v>a) Muy buena</v>
      </c>
      <c r="AP482" s="89" t="str">
        <f>Registro!AK482</f>
        <v>a) Muy buena</v>
      </c>
      <c r="AQ482" s="89" t="str">
        <f>Registro!AL482</f>
        <v>a) Muy buena</v>
      </c>
      <c r="AR482" s="89" t="str">
        <f>Registro!AM482</f>
        <v>a) Muy buena</v>
      </c>
      <c r="AS482" s="89" t="str">
        <f>Registro!AN482</f>
        <v>a) Muy buena</v>
      </c>
      <c r="AT482" s="89" t="str">
        <f>Registro!AO482</f>
        <v>a) Muy buena</v>
      </c>
      <c r="AU482" s="89" t="str">
        <f>Registro!AP482</f>
        <v>a) Muy buena</v>
      </c>
      <c r="AV482" s="89" t="str">
        <f>Registro!AQ482</f>
        <v>a) Muy buena</v>
      </c>
      <c r="AW482" s="89" t="str">
        <f>Registro!AR482</f>
        <v>b) La orientación cristiana</v>
      </c>
      <c r="AX482" s="89" t="str">
        <f>Registro!AS482</f>
        <v>b) Darme una buena educación</v>
      </c>
      <c r="AY482" s="89" t="str">
        <f>Registro!AT482</f>
        <v>e) Absolutamente necesaria</v>
      </c>
      <c r="AZ482" s="89" t="str">
        <f>Registro!AU482</f>
        <v>a) No acostumbro a tomarlo nunca</v>
      </c>
      <c r="BA482" s="89" t="str">
        <f>Registro!AV482</f>
        <v>f) Educadores que, además, me han abierto caminos</v>
      </c>
      <c r="BB482" s="89" t="str">
        <f>Registro!AW482</f>
        <v>d) Mucho o muchísimo</v>
      </c>
      <c r="BC482" s="89" t="str">
        <f>Registro!AX482</f>
        <v>e) Son personas que me gustan y admiro</v>
      </c>
      <c r="BD482" s="89" t="str">
        <f>Registro!AY482</f>
        <v>a) Mi padre, b) Mi madre, c) Un hermano/a, d) Un escolapio, religioso o religiosa, f) La orientadora, h) Una amiga, i) Un, una catequista o responsable de grupo</v>
      </c>
    </row>
    <row r="483" spans="1:56" ht="15" customHeight="1" x14ac:dyDescent="0.25">
      <c r="A483" s="101">
        <f>Registro!A483</f>
        <v>42070.304629629631</v>
      </c>
      <c r="B483" s="89" t="str">
        <f>Registro!B483</f>
        <v>f) Nuestra Señora de Coromoto de Maracaibo</v>
      </c>
      <c r="C483" s="89" t="str">
        <f>Registro!C483</f>
        <v>a) Primer año</v>
      </c>
      <c r="D483" s="89" t="str">
        <f>Registro!D483</f>
        <v>b) Primaria</v>
      </c>
      <c r="E483" s="89" t="str">
        <f>Registro!E483</f>
        <v>a) Masculino</v>
      </c>
      <c r="F483" s="89" t="str">
        <f>Registro!F483</f>
        <v>b) Evangélica</v>
      </c>
      <c r="G483" s="89" t="str">
        <f>Registro!G483</f>
        <v>a) Mamá, b) Papá, c) Hermanos</v>
      </c>
      <c r="H483" s="89" t="str">
        <f>Registro!H483</f>
        <v>b) Casa Urbana</v>
      </c>
      <c r="I483" s="89" t="str">
        <f>Registro!I483</f>
        <v>c) Algo</v>
      </c>
      <c r="J483" s="89" t="str">
        <f>Registro!J483</f>
        <v>b) Lavadora, c) Microondas, i) Computadora, j) Cámara digital, k) Aire acondicionado</v>
      </c>
      <c r="K483" s="89" t="str">
        <f>Registro!K483</f>
        <v>c) Dos</v>
      </c>
      <c r="L483" s="89" t="str">
        <f>Registro!L483</f>
        <v>a) La familia, f) Mi fe y vida cristiana, i) La música</v>
      </c>
      <c r="M483" s="94">
        <f t="shared" si="38"/>
        <v>3</v>
      </c>
      <c r="N483" s="89" t="str">
        <f>Registro!M483</f>
        <v>d) Los problemas familiares</v>
      </c>
      <c r="O483" s="89" t="str">
        <f>Registro!N483</f>
        <v>c) Poco</v>
      </c>
      <c r="P483" s="89" t="str">
        <f>Registro!O483</f>
        <v>a) Mucho</v>
      </c>
      <c r="Q483" s="89" t="str">
        <f>Registro!P483</f>
        <v>c) Poco</v>
      </c>
      <c r="R483" s="89" t="str">
        <f>Registro!Q483</f>
        <v>b) Los amigos, h) La sexualidad, k) Internet</v>
      </c>
      <c r="S483" s="94">
        <f t="shared" si="39"/>
        <v>3</v>
      </c>
      <c r="T483" s="89" t="str">
        <f>Registro!R483</f>
        <v>a) Mucho</v>
      </c>
      <c r="U483" s="89" t="str">
        <f>Registro!S483</f>
        <v>a) La Iglesia, d) Las convivencias, h) Algunas personas cercanas a Dios</v>
      </c>
      <c r="V483" s="89" t="str">
        <f>Registro!T483</f>
        <v>a) Suelo rezar por convicción o porque me gusta</v>
      </c>
      <c r="W483" s="89" t="str">
        <f>Registro!U483</f>
        <v>b) Algunos domingos</v>
      </c>
      <c r="X483" s="89" t="str">
        <f>Registro!V483</f>
        <v>b) Suelo bendedir los alimentos antes de comer, c) Suelo ir los domingos y otras fechas especiales a la Iglesia, g) En ocasiones, en mi casa tenemos una oración familiar</v>
      </c>
      <c r="Y483" s="89" t="str">
        <f>Registro!W483</f>
        <v>a) Deportivo, c) Religioso o parroquial</v>
      </c>
      <c r="Z483" s="89" t="str">
        <f>Registro!X483</f>
        <v>c) Un lugar donde me lo paso bien</v>
      </c>
      <c r="AA483" s="89" t="str">
        <f>Registro!Y483</f>
        <v>a) Sí</v>
      </c>
      <c r="AB483" s="89" t="str">
        <f>Registro!Z483</f>
        <v>c) Algo</v>
      </c>
      <c r="AC483" s="89"/>
      <c r="AD483" s="94">
        <f t="shared" si="40"/>
        <v>0</v>
      </c>
      <c r="AE483" s="89" t="str">
        <f>Registro!AB483</f>
        <v>c) Ser un excelente profesional</v>
      </c>
      <c r="AF483" s="89" t="str">
        <f>Registro!AC483</f>
        <v>c) Bastante</v>
      </c>
      <c r="AG483" s="89" t="str">
        <f>Registro!AD483</f>
        <v>a) Los deportes y diversiones, d) Los grupos juveniles cristianos</v>
      </c>
      <c r="AH483" s="94">
        <f t="shared" si="41"/>
        <v>2</v>
      </c>
      <c r="AI483" s="89" t="str">
        <f>Registro!AE483</f>
        <v>b) 3 a 4 horas</v>
      </c>
      <c r="AJ483" s="89" t="str">
        <f>Registro!AF483</f>
        <v>a) Me divierto con juegos para computadoras, b) Navego en Internet, h) Suelo ir al cine</v>
      </c>
      <c r="AK483" s="94">
        <f t="shared" si="42"/>
        <v>3</v>
      </c>
      <c r="AL483" s="89" t="str">
        <f>Registro!AG483</f>
        <v>b) Bueno</v>
      </c>
      <c r="AM483" s="89" t="str">
        <f>Registro!AH483</f>
        <v>b) Buena</v>
      </c>
      <c r="AN483" s="89" t="str">
        <f>Registro!AI483</f>
        <v>b) Buena</v>
      </c>
      <c r="AO483" s="89" t="str">
        <f>Registro!AJ483</f>
        <v>b) Buena</v>
      </c>
      <c r="AP483" s="89" t="str">
        <f>Registro!AK483</f>
        <v>b) Buena</v>
      </c>
      <c r="AQ483" s="89" t="str">
        <f>Registro!AL483</f>
        <v>b) Buena</v>
      </c>
      <c r="AR483" s="89" t="str">
        <f>Registro!AM483</f>
        <v>b) Buena</v>
      </c>
      <c r="AS483" s="89" t="str">
        <f>Registro!AN483</f>
        <v>b) Buena</v>
      </c>
      <c r="AT483" s="89" t="str">
        <f>Registro!AO483</f>
        <v>a) Muy buena</v>
      </c>
      <c r="AU483" s="89" t="str">
        <f>Registro!AP483</f>
        <v>b) Buena</v>
      </c>
      <c r="AV483" s="89" t="str">
        <f>Registro!AQ483</f>
        <v>b) Buena</v>
      </c>
      <c r="AW483" s="89" t="str">
        <f>Registro!AR483</f>
        <v>c) El estudio</v>
      </c>
      <c r="AX483" s="89" t="str">
        <f>Registro!AS483</f>
        <v>b) Darme una buena educación</v>
      </c>
      <c r="AY483" s="89" t="str">
        <f>Registro!AT483</f>
        <v>e) Absolutamente necesaria</v>
      </c>
      <c r="AZ483" s="89" t="str">
        <f>Registro!AU483</f>
        <v>b) Las veces que bebo, es con moderación</v>
      </c>
      <c r="BA483" s="89" t="str">
        <f>Registro!AV483</f>
        <v>d) Buenos profesionales de la educación</v>
      </c>
      <c r="BB483" s="89" t="str">
        <f>Registro!AW483</f>
        <v>c) Bastante</v>
      </c>
      <c r="BC483" s="89" t="str">
        <f>Registro!AX483</f>
        <v>e) Son personas que me gustan y admiro</v>
      </c>
      <c r="BD483" s="89" t="str">
        <f>Registro!AY483</f>
        <v>d) Un escolapio, religioso o religiosa</v>
      </c>
    </row>
    <row r="484" spans="1:56" ht="15" customHeight="1" x14ac:dyDescent="0.25">
      <c r="A484" s="101">
        <f>Registro!A484</f>
        <v>42070.30541666667</v>
      </c>
      <c r="B484" s="89" t="str">
        <f>Registro!B484</f>
        <v>f) Nuestra Señora de Coromoto de Maracaibo</v>
      </c>
      <c r="C484" s="89" t="str">
        <f>Registro!C484</f>
        <v>a) Primer año</v>
      </c>
      <c r="D484" s="89" t="str">
        <f>Registro!D484</f>
        <v>b) Primaria</v>
      </c>
      <c r="E484" s="89" t="str">
        <f>Registro!E484</f>
        <v>a) Masculino</v>
      </c>
      <c r="F484" s="89" t="str">
        <f>Registro!F484</f>
        <v>b) Evangélica</v>
      </c>
      <c r="G484" s="89" t="str">
        <f>Registro!G484</f>
        <v>a) Mamá, b) Papá, c) Hermanos</v>
      </c>
      <c r="H484" s="89" t="str">
        <f>Registro!H484</f>
        <v>b) Casa Urbana</v>
      </c>
      <c r="I484" s="89" t="str">
        <f>Registro!I484</f>
        <v>c) Algo</v>
      </c>
      <c r="J484" s="89" t="str">
        <f>Registro!J484</f>
        <v>b) Lavadora, c) Microondas, i) Computadora, j) Cámara digital, k) Aire acondicionado</v>
      </c>
      <c r="K484" s="89" t="str">
        <f>Registro!K484</f>
        <v>c) Dos</v>
      </c>
      <c r="L484" s="89" t="str">
        <f>Registro!L484</f>
        <v>a) La familia, f) Mi fe y vida cristiana, i) La música</v>
      </c>
      <c r="M484" s="94">
        <f t="shared" si="38"/>
        <v>3</v>
      </c>
      <c r="N484" s="89" t="str">
        <f>Registro!M484</f>
        <v>d) Los problemas familiares</v>
      </c>
      <c r="O484" s="89" t="str">
        <f>Registro!N484</f>
        <v>c) Poco</v>
      </c>
      <c r="P484" s="89" t="str">
        <f>Registro!O484</f>
        <v>a) Mucho</v>
      </c>
      <c r="Q484" s="89" t="str">
        <f>Registro!P484</f>
        <v>c) Poco</v>
      </c>
      <c r="R484" s="89" t="str">
        <f>Registro!Q484</f>
        <v>b) Los amigos, h) La sexualidad, k) Internet</v>
      </c>
      <c r="S484" s="94">
        <f t="shared" si="39"/>
        <v>3</v>
      </c>
      <c r="T484" s="89" t="str">
        <f>Registro!R484</f>
        <v>a) Mucho</v>
      </c>
      <c r="U484" s="89" t="str">
        <f>Registro!S484</f>
        <v>a) La Iglesia, d) Las convivencias, h) Algunas personas cercanas a Dios</v>
      </c>
      <c r="V484" s="89" t="str">
        <f>Registro!T484</f>
        <v>a) Suelo rezar por convicción o porque me gusta</v>
      </c>
      <c r="W484" s="89" t="str">
        <f>Registro!U484</f>
        <v>b) Algunos domingos</v>
      </c>
      <c r="X484" s="89" t="str">
        <f>Registro!V484</f>
        <v>b) Suelo bendedir los alimentos antes de comer, c) Suelo ir los domingos y otras fechas especiales a la Iglesia, g) En ocasiones, en mi casa tenemos una oración familiar</v>
      </c>
      <c r="Y484" s="89" t="str">
        <f>Registro!W484</f>
        <v>a) Deportivo, c) Religioso o parroquial</v>
      </c>
      <c r="Z484" s="89" t="str">
        <f>Registro!X484</f>
        <v>c) Un lugar donde me lo paso bien</v>
      </c>
      <c r="AA484" s="89" t="str">
        <f>Registro!Y484</f>
        <v>a) Sí</v>
      </c>
      <c r="AB484" s="89" t="str">
        <f>Registro!Z484</f>
        <v>c) Algo</v>
      </c>
      <c r="AC484" s="89"/>
      <c r="AD484" s="94">
        <f t="shared" si="40"/>
        <v>0</v>
      </c>
      <c r="AE484" s="89" t="str">
        <f>Registro!AB484</f>
        <v>c) Ser un excelente profesional</v>
      </c>
      <c r="AF484" s="89" t="str">
        <f>Registro!AC484</f>
        <v>c) Bastante</v>
      </c>
      <c r="AG484" s="89" t="str">
        <f>Registro!AD484</f>
        <v>a) Los deportes y diversiones, d) Los grupos juveniles cristianos</v>
      </c>
      <c r="AH484" s="94">
        <f t="shared" si="41"/>
        <v>2</v>
      </c>
      <c r="AI484" s="89" t="str">
        <f>Registro!AE484</f>
        <v>b) 3 a 4 horas</v>
      </c>
      <c r="AJ484" s="89" t="str">
        <f>Registro!AF484</f>
        <v>a) Me divierto con juegos para computadoras, b) Navego en Internet, h) Suelo ir al cine</v>
      </c>
      <c r="AK484" s="94">
        <f t="shared" si="42"/>
        <v>3</v>
      </c>
      <c r="AL484" s="89" t="str">
        <f>Registro!AG484</f>
        <v>b) Bueno</v>
      </c>
      <c r="AM484" s="89" t="str">
        <f>Registro!AH484</f>
        <v>b) Buena</v>
      </c>
      <c r="AN484" s="89" t="str">
        <f>Registro!AI484</f>
        <v>b) Buena</v>
      </c>
      <c r="AO484" s="89" t="str">
        <f>Registro!AJ484</f>
        <v>b) Buena</v>
      </c>
      <c r="AP484" s="89" t="str">
        <f>Registro!AK484</f>
        <v>b) Buena</v>
      </c>
      <c r="AQ484" s="89" t="str">
        <f>Registro!AL484</f>
        <v>b) Buena</v>
      </c>
      <c r="AR484" s="89" t="str">
        <f>Registro!AM484</f>
        <v>b) Buena</v>
      </c>
      <c r="AS484" s="89" t="str">
        <f>Registro!AN484</f>
        <v>b) Buena</v>
      </c>
      <c r="AT484" s="89" t="str">
        <f>Registro!AO484</f>
        <v>a) Muy buena</v>
      </c>
      <c r="AU484" s="89" t="str">
        <f>Registro!AP484</f>
        <v>b) Buena</v>
      </c>
      <c r="AV484" s="89" t="str">
        <f>Registro!AQ484</f>
        <v>b) Buena</v>
      </c>
      <c r="AW484" s="89" t="str">
        <f>Registro!AR484</f>
        <v>c) El estudio</v>
      </c>
      <c r="AX484" s="89" t="str">
        <f>Registro!AS484</f>
        <v>b) Darme una buena educación</v>
      </c>
      <c r="AY484" s="89" t="str">
        <f>Registro!AT484</f>
        <v>e) Absolutamente necesaria</v>
      </c>
      <c r="AZ484" s="89" t="str">
        <f>Registro!AU484</f>
        <v>b) Las veces que bebo, es con moderación</v>
      </c>
      <c r="BA484" s="89" t="str">
        <f>Registro!AV484</f>
        <v>d) Buenos profesionales de la educación</v>
      </c>
      <c r="BB484" s="89" t="str">
        <f>Registro!AW484</f>
        <v>c) Bastante</v>
      </c>
      <c r="BC484" s="89" t="str">
        <f>Registro!AX484</f>
        <v>e) Son personas que me gustan y admiro</v>
      </c>
      <c r="BD484" s="89" t="str">
        <f>Registro!AY484</f>
        <v>d) Un escolapio, religioso o religiosa</v>
      </c>
    </row>
    <row r="485" spans="1:56" ht="15" customHeight="1" x14ac:dyDescent="0.25">
      <c r="A485" s="101">
        <f>Registro!A485</f>
        <v>42070.308796296296</v>
      </c>
      <c r="B485" s="89" t="str">
        <f>Registro!B485</f>
        <v>f) Nuestra Señora de Coromoto de Maracaibo</v>
      </c>
      <c r="C485" s="89" t="str">
        <f>Registro!C485</f>
        <v>a) Primer año</v>
      </c>
      <c r="D485" s="89" t="str">
        <f>Registro!D485</f>
        <v>b) Primaria</v>
      </c>
      <c r="E485" s="89" t="str">
        <f>Registro!E485</f>
        <v>b) Femenino</v>
      </c>
      <c r="F485" s="89" t="str">
        <f>Registro!F485</f>
        <v>a) Católica</v>
      </c>
      <c r="G485" s="89" t="str">
        <f>Registro!G485</f>
        <v>a) Mamá, b) Papá, c) Hermanos, d) Abuelos</v>
      </c>
      <c r="H485" s="89" t="str">
        <f>Registro!H485</f>
        <v>b) Casa Urbana</v>
      </c>
      <c r="I485" s="89" t="str">
        <f>Registro!I485</f>
        <v>a) Sí</v>
      </c>
      <c r="J485" s="89" t="str">
        <f>Registro!J485</f>
        <v>a) Cónsola videojuegos, b) Lavadora, c) Microondas, d) TV pantalla plana, f) MP3, i) Computadora, j) Cámara digital, k) Aire acondicionado</v>
      </c>
      <c r="K485" s="89" t="str">
        <f>Registro!K485</f>
        <v>c) Dos</v>
      </c>
      <c r="L485" s="89" t="str">
        <f>Registro!L485</f>
        <v>a) La familia, f) Mi fe y vida cristiana, i) La música</v>
      </c>
      <c r="M485" s="94">
        <f t="shared" si="38"/>
        <v>3</v>
      </c>
      <c r="N485" s="89" t="str">
        <f>Registro!M485</f>
        <v>b) El futuro</v>
      </c>
      <c r="O485" s="89" t="str">
        <f>Registro!N485</f>
        <v>a) Mucho</v>
      </c>
      <c r="P485" s="89" t="str">
        <f>Registro!O485</f>
        <v>c) Poco</v>
      </c>
      <c r="Q485" s="89" t="str">
        <f>Registro!P485</f>
        <v>b) Suficiente</v>
      </c>
      <c r="R485" s="89" t="str">
        <f>Registro!Q485</f>
        <v>a) La familia, c) Los estudios, f) Mi fe y mi vida cristiana</v>
      </c>
      <c r="S485" s="94">
        <f t="shared" si="39"/>
        <v>3</v>
      </c>
      <c r="T485" s="89" t="str">
        <f>Registro!R485</f>
        <v>a) Mucho</v>
      </c>
      <c r="U485" s="89" t="str">
        <f>Registro!S485</f>
        <v>a) La Iglesia, g) Mi familia, h) Algunas personas cercanas a Dios, j) Todas partes, k) La oración</v>
      </c>
      <c r="V485" s="89" t="str">
        <f>Registro!T485</f>
        <v>b) Rezo por costumbre</v>
      </c>
      <c r="W485" s="89" t="str">
        <f>Registro!U485</f>
        <v>c) Solo en fechas especiales</v>
      </c>
      <c r="X485" s="89" t="str">
        <f>Registro!V485</f>
        <v>f) En alguna ocasión he rezado el rosario, g) En ocasiones, en mi casa tenemos una oración familiar, i) Tengo en mi cuarto alguna imagen religiosa</v>
      </c>
      <c r="Y485" s="89" t="str">
        <f>Registro!W485</f>
        <v xml:space="preserve">b) Cultural (folklórico, musicales, danzas, scout, banda marcial,...) </v>
      </c>
      <c r="Z485" s="89" t="str">
        <f>Registro!X485</f>
        <v>a) Un grupo donde profundizo mi fe</v>
      </c>
      <c r="AA485" s="89" t="str">
        <f>Registro!Y485</f>
        <v>b) No</v>
      </c>
      <c r="AB485" s="89" t="str">
        <f>Registro!Z485</f>
        <v>b) No</v>
      </c>
      <c r="AC485" s="89" t="str">
        <f>Registro!AA485</f>
        <v>a) Medicina, g) Artista</v>
      </c>
      <c r="AD485" s="94">
        <f t="shared" si="40"/>
        <v>2</v>
      </c>
      <c r="AE485" s="89" t="str">
        <f>Registro!AB485</f>
        <v>b) Tener una buena posición social, ser importante</v>
      </c>
      <c r="AF485" s="89" t="str">
        <f>Registro!AC485</f>
        <v>c) Bastante</v>
      </c>
      <c r="AG485" s="89" t="str">
        <f>Registro!AD485</f>
        <v>c) Las instalaciones del Colegio, h) Las actividades extraescolares</v>
      </c>
      <c r="AH485" s="94">
        <f t="shared" si="41"/>
        <v>2</v>
      </c>
      <c r="AI485" s="89" t="str">
        <f>Registro!AE485</f>
        <v>f) 11 o más horas</v>
      </c>
      <c r="AJ485" s="89" t="str">
        <f>Registro!AF485</f>
        <v>b) Navego en Internet, h) Suelo ir al cine, m) Veo televisión y/o películas</v>
      </c>
      <c r="AK485" s="94">
        <f t="shared" si="42"/>
        <v>3</v>
      </c>
      <c r="AL485" s="89" t="str">
        <f>Registro!AG485</f>
        <v>a) Muy bueno</v>
      </c>
      <c r="AM485" s="89">
        <f>Registro!AH485</f>
        <v>0</v>
      </c>
      <c r="AN485" s="89" t="str">
        <f>Registro!AI485</f>
        <v>b) Buena</v>
      </c>
      <c r="AO485" s="89" t="str">
        <f>Registro!AJ485</f>
        <v>a) Muy buena</v>
      </c>
      <c r="AP485" s="89" t="str">
        <f>Registro!AK485</f>
        <v>a) Muy buena</v>
      </c>
      <c r="AQ485" s="89" t="str">
        <f>Registro!AL485</f>
        <v>a) Muy buena</v>
      </c>
      <c r="AR485" s="89" t="str">
        <f>Registro!AM485</f>
        <v>a) Muy buena</v>
      </c>
      <c r="AS485" s="89" t="str">
        <f>Registro!AN485</f>
        <v>a) Muy buena</v>
      </c>
      <c r="AT485" s="89" t="str">
        <f>Registro!AO485</f>
        <v>a) Muy buena</v>
      </c>
      <c r="AU485" s="89" t="str">
        <f>Registro!AP485</f>
        <v>a) Muy buena</v>
      </c>
      <c r="AV485" s="89" t="str">
        <f>Registro!AQ485</f>
        <v>b) Buena</v>
      </c>
      <c r="AW485" s="89" t="str">
        <f>Registro!AR485</f>
        <v>b) La orientación cristiana</v>
      </c>
      <c r="AX485" s="89" t="str">
        <f>Registro!AS485</f>
        <v>f) Que tenga honradez en la vida</v>
      </c>
      <c r="AY485" s="89" t="str">
        <f>Registro!AT485</f>
        <v>e) Absolutamente necesaria</v>
      </c>
      <c r="AZ485" s="89" t="str">
        <f>Registro!AU485</f>
        <v>a) No acostumbro a tomarlo nunca</v>
      </c>
      <c r="BA485" s="89" t="str">
        <f>Registro!AV485</f>
        <v>c) Profesionales que hacen lo que pueden</v>
      </c>
      <c r="BB485" s="89" t="str">
        <f>Registro!AW485</f>
        <v>c) Bastante</v>
      </c>
      <c r="BC485" s="89" t="str">
        <f>Registro!AX485</f>
        <v>e) Son personas que me gustan y admiro</v>
      </c>
      <c r="BD485" s="89" t="str">
        <f>Registro!AY485</f>
        <v>b) Mi madre, c) Un hermano/a, g) Un amigo, h) Una amiga</v>
      </c>
    </row>
    <row r="486" spans="1:56" ht="15" customHeight="1" x14ac:dyDescent="0.25">
      <c r="A486" s="101">
        <f>Registro!A486</f>
        <v>42070.312986111108</v>
      </c>
      <c r="B486" s="89" t="str">
        <f>Registro!B486</f>
        <v>f) Nuestra Señora de Coromoto de Maracaibo</v>
      </c>
      <c r="C486" s="89" t="str">
        <f>Registro!C486</f>
        <v>a) Primer año</v>
      </c>
      <c r="D486" s="89" t="str">
        <f>Registro!D486</f>
        <v>c) Entre Primero y Tercer año</v>
      </c>
      <c r="E486" s="89" t="str">
        <f>Registro!E486</f>
        <v>b) Femenino</v>
      </c>
      <c r="F486" s="89" t="str">
        <f>Registro!F486</f>
        <v>a) Católica</v>
      </c>
      <c r="G486" s="89" t="str">
        <f>Registro!G486</f>
        <v>a) Mamá, b) Papá, c) Hermanos, d) Abuelos, e) Otros familiares</v>
      </c>
      <c r="H486" s="89" t="str">
        <f>Registro!H486</f>
        <v>f) Otro</v>
      </c>
      <c r="I486" s="89" t="str">
        <f>Registro!I486</f>
        <v>a) Sí</v>
      </c>
      <c r="J486" s="89" t="str">
        <f>Registro!J486</f>
        <v>b) Lavadora, g) MP4, i) Computadora, k) Aire acondicionado</v>
      </c>
      <c r="K486" s="89" t="str">
        <f>Registro!K486</f>
        <v>c) Dos</v>
      </c>
      <c r="L486" s="89" t="str">
        <f>Registro!L486</f>
        <v>a) La familia, b) Los amigos, c) Los estudios</v>
      </c>
      <c r="M486" s="94">
        <f t="shared" si="38"/>
        <v>3</v>
      </c>
      <c r="N486" s="89" t="str">
        <f>Registro!M486</f>
        <v>d) Los problemas familiares</v>
      </c>
      <c r="O486" s="89" t="str">
        <f>Registro!N486</f>
        <v>b) Suficiente</v>
      </c>
      <c r="P486" s="89" t="str">
        <f>Registro!O486</f>
        <v>b) Suficiente</v>
      </c>
      <c r="Q486" s="89" t="str">
        <f>Registro!P486</f>
        <v>b) Suficiente</v>
      </c>
      <c r="R486" s="89"/>
      <c r="S486" s="94">
        <f t="shared" si="39"/>
        <v>0</v>
      </c>
      <c r="T486" s="89" t="str">
        <f>Registro!R486</f>
        <v>b) Suficiente</v>
      </c>
      <c r="U486" s="89" t="str">
        <f>Registro!S486</f>
        <v>a) La Iglesia, b) La naturaleza, c) El salón de clase, d) Las convivencias, g) Mi familia, i) Los necesitados</v>
      </c>
      <c r="V486" s="89" t="str">
        <f>Registro!T486</f>
        <v>b) Rezo por costumbre</v>
      </c>
      <c r="W486" s="89" t="str">
        <f>Registro!U486</f>
        <v>a) Todos los domingos</v>
      </c>
      <c r="X486" s="89" t="str">
        <f>Registro!V486</f>
        <v>b) Suelo bendedir los alimentos antes de comer, d) Suelo orar todos los días, g) En ocasiones, en mi casa tenemos una oración familiar</v>
      </c>
      <c r="Y486" s="89" t="str">
        <f>Registro!W486</f>
        <v xml:space="preserve">a) Deportivo, b) Cultural (folklórico, musicales, danzas, scout, banda marcial,...) </v>
      </c>
      <c r="Z486" s="89" t="str">
        <f>Registro!X486</f>
        <v>a) Un grupo donde profundizo mi fe</v>
      </c>
      <c r="AA486" s="89" t="str">
        <f>Registro!Y486</f>
        <v>c) Algo</v>
      </c>
      <c r="AB486" s="89" t="str">
        <f>Registro!Z486</f>
        <v>c) Algo</v>
      </c>
      <c r="AC486" s="89" t="str">
        <f>Registro!AA486</f>
        <v>d) Ingeniería, g) Artista</v>
      </c>
      <c r="AD486" s="94">
        <f t="shared" si="40"/>
        <v>2</v>
      </c>
      <c r="AE486" s="89" t="str">
        <f>Registro!AB486</f>
        <v>d) Desarrollarme personalmente</v>
      </c>
      <c r="AF486" s="89" t="str">
        <f>Registro!AC486</f>
        <v>d) Mucho o muchísimo</v>
      </c>
      <c r="AG486" s="89"/>
      <c r="AH486" s="94">
        <f t="shared" si="41"/>
        <v>0</v>
      </c>
      <c r="AI486" s="89" t="str">
        <f>Registro!AE486</f>
        <v>c) 5 a 6 horas</v>
      </c>
      <c r="AJ486" s="89" t="str">
        <f>Registro!AF486</f>
        <v>b) Navego en Internet, d) Estoy la mayor parte del tiempo en la casa sin hacer nada, k) Practico algún deporte</v>
      </c>
      <c r="AK486" s="94">
        <f t="shared" si="42"/>
        <v>3</v>
      </c>
      <c r="AL486" s="89" t="str">
        <f>Registro!AG486</f>
        <v>a) Muy bueno</v>
      </c>
      <c r="AM486" s="89" t="str">
        <f>Registro!AH486</f>
        <v>a) Muy buena</v>
      </c>
      <c r="AN486" s="89" t="str">
        <f>Registro!AI486</f>
        <v>a) Muy buena</v>
      </c>
      <c r="AO486" s="89" t="str">
        <f>Registro!AJ486</f>
        <v>a) Muy buena</v>
      </c>
      <c r="AP486" s="89" t="str">
        <f>Registro!AK486</f>
        <v>a) Muy buena</v>
      </c>
      <c r="AQ486" s="89" t="str">
        <f>Registro!AL486</f>
        <v>a) Muy buena</v>
      </c>
      <c r="AR486" s="89" t="str">
        <f>Registro!AM486</f>
        <v>a) Muy buena</v>
      </c>
      <c r="AS486" s="89" t="str">
        <f>Registro!AN486</f>
        <v>a) Muy buena</v>
      </c>
      <c r="AT486" s="89" t="str">
        <f>Registro!AO486</f>
        <v>a) Muy buena</v>
      </c>
      <c r="AU486" s="89" t="str">
        <f>Registro!AP486</f>
        <v>a) Muy buena</v>
      </c>
      <c r="AV486" s="89" t="str">
        <f>Registro!AQ486</f>
        <v>a) Muy buena</v>
      </c>
      <c r="AW486" s="89" t="str">
        <f>Registro!AR486</f>
        <v>c) El estudio</v>
      </c>
      <c r="AX486" s="89" t="str">
        <f>Registro!AS486</f>
        <v>d) Que ayude económicamente a la familia</v>
      </c>
      <c r="AY486" s="89" t="str">
        <f>Registro!AT486</f>
        <v>e) Absolutamente necesaria</v>
      </c>
      <c r="AZ486" s="89" t="str">
        <f>Registro!AU486</f>
        <v>a) No acostumbro a tomarlo nunca</v>
      </c>
      <c r="BA486" s="89" t="str">
        <f>Registro!AV486</f>
        <v>f) Educadores que, además, me han abierto caminos</v>
      </c>
      <c r="BB486" s="89" t="str">
        <f>Registro!AW486</f>
        <v>d) Mucho o muchísimo</v>
      </c>
      <c r="BC486" s="89" t="str">
        <f>Registro!AX486</f>
        <v>e) Son personas que me gustan y admiro</v>
      </c>
      <c r="BD486" s="89" t="str">
        <f>Registro!AY486</f>
        <v>a) Mi padre, c) Un hermano/a</v>
      </c>
    </row>
    <row r="487" spans="1:56" ht="15" customHeight="1" x14ac:dyDescent="0.25">
      <c r="A487" s="101">
        <f>Registro!A487</f>
        <v>42070.314236111109</v>
      </c>
      <c r="B487" s="89" t="str">
        <f>Registro!B487</f>
        <v>f) Nuestra Señora de Coromoto de Maracaibo</v>
      </c>
      <c r="C487" s="89" t="str">
        <f>Registro!C487</f>
        <v>a) Primer año</v>
      </c>
      <c r="D487" s="89" t="str">
        <f>Registro!D487</f>
        <v>b) Primaria</v>
      </c>
      <c r="E487" s="89" t="str">
        <f>Registro!E487</f>
        <v>b) Femenino</v>
      </c>
      <c r="F487" s="89" t="str">
        <f>Registro!F487</f>
        <v>a) Católica</v>
      </c>
      <c r="G487" s="89" t="str">
        <f>Registro!G487</f>
        <v>a) Mamá, b) Papá, c) Hermanos</v>
      </c>
      <c r="H487" s="89" t="str">
        <f>Registro!H487</f>
        <v>b) Casa Urbana</v>
      </c>
      <c r="I487" s="89" t="str">
        <f>Registro!I487</f>
        <v>c) Algo</v>
      </c>
      <c r="J487" s="89" t="str">
        <f>Registro!J487</f>
        <v>a) Cónsola videojuegos, b) Lavadora, c) Microondas, d) TV pantalla plana, h) Carro, i) Computadora, k) Aire acondicionado</v>
      </c>
      <c r="K487" s="89" t="str">
        <f>Registro!K487</f>
        <v>d) Tres</v>
      </c>
      <c r="L487" s="89" t="str">
        <f>Registro!L487</f>
        <v>a) La familia, b) Los amigos, f) Mi fe y vida cristiana</v>
      </c>
      <c r="M487" s="94">
        <f t="shared" si="38"/>
        <v>3</v>
      </c>
      <c r="N487" s="89" t="str">
        <f>Registro!M487</f>
        <v>f) La situación política del país</v>
      </c>
      <c r="O487" s="89" t="str">
        <f>Registro!N487</f>
        <v>b) Suficiente</v>
      </c>
      <c r="P487" s="89" t="str">
        <f>Registro!O487</f>
        <v>b) Suficiente</v>
      </c>
      <c r="Q487" s="89" t="str">
        <f>Registro!P487</f>
        <v>a) Mucho</v>
      </c>
      <c r="R487" s="89" t="str">
        <f>Registro!Q487</f>
        <v>a) La familia, f) Mi fe y mi vida cristiana, g) La felicidad</v>
      </c>
      <c r="S487" s="94">
        <f t="shared" si="39"/>
        <v>3</v>
      </c>
      <c r="T487" s="89" t="str">
        <f>Registro!R487</f>
        <v>a) Mucho</v>
      </c>
      <c r="U487" s="89" t="str">
        <f>Registro!S487</f>
        <v>a) La Iglesia, e) Los amigos, g) Mi familia, h) Algunas personas cercanas a Dios, k) La oración, l) Los sacramentos</v>
      </c>
      <c r="V487" s="89" t="str">
        <f>Registro!T487</f>
        <v>a) Suelo rezar por convicción o porque me gusta</v>
      </c>
      <c r="W487" s="89" t="str">
        <f>Registro!U487</f>
        <v>a) Todos los domingos</v>
      </c>
      <c r="X487" s="89" t="str">
        <f>Registro!V487</f>
        <v>a) Suelo llevar una cruz o algún objeto religioso, c) Suelo ir los domingos y otras fechas especiales a la Iglesia, d) Suelo orar todos los días, e) Voy a misa en las fechas de mis familiares difuntos, f) En alguna ocasión he rezado el rosario, g) En ocasiones, en mi casa tenemos una oración familiar, i) Tengo en mi cuarto alguna imagen religiosa</v>
      </c>
      <c r="Y487" s="89" t="str">
        <f>Registro!W487</f>
        <v>b) Cultural (folklórico, musicales, danzas, scout, banda marcial,...) , c) Religioso o parroquial</v>
      </c>
      <c r="Z487" s="89" t="str">
        <f>Registro!X487</f>
        <v>a) Un grupo donde profundizo mi fe</v>
      </c>
      <c r="AA487" s="89" t="str">
        <f>Registro!Y487</f>
        <v>b) No</v>
      </c>
      <c r="AB487" s="89" t="str">
        <f>Registro!Z487</f>
        <v>b) No</v>
      </c>
      <c r="AC487" s="89" t="str">
        <f>Registro!AA487</f>
        <v>a) Medicina, g) Artista</v>
      </c>
      <c r="AD487" s="94">
        <f t="shared" si="40"/>
        <v>2</v>
      </c>
      <c r="AE487" s="89" t="str">
        <f>Registro!AB487</f>
        <v>e) Servir a los demás</v>
      </c>
      <c r="AF487" s="89" t="str">
        <f>Registro!AC487</f>
        <v>a) No, en absoluto</v>
      </c>
      <c r="AG487" s="89" t="str">
        <f>Registro!AD487</f>
        <v>b) El ambiente de estudio y de trabajo, e) La mayor posibilidad de vivir mi fe</v>
      </c>
      <c r="AH487" s="94">
        <f t="shared" si="41"/>
        <v>2</v>
      </c>
      <c r="AI487" s="89" t="str">
        <f>Registro!AE487</f>
        <v>a) 0 a 2 horas</v>
      </c>
      <c r="AJ487" s="89" t="str">
        <f>Registro!AF487</f>
        <v>b) Navego en Internet, l) Escucho música y/o veo videos musicales, n) Estoy conversando con los amigos/as</v>
      </c>
      <c r="AK487" s="94">
        <f t="shared" si="42"/>
        <v>3</v>
      </c>
      <c r="AL487" s="89" t="str">
        <f>Registro!AG487</f>
        <v>b) Bueno</v>
      </c>
      <c r="AM487" s="89" t="str">
        <f>Registro!AH487</f>
        <v>a) Muy buena</v>
      </c>
      <c r="AN487" s="89" t="str">
        <f>Registro!AI487</f>
        <v>a) Muy buena</v>
      </c>
      <c r="AO487" s="89" t="str">
        <f>Registro!AJ487</f>
        <v>a) Muy buena</v>
      </c>
      <c r="AP487" s="89" t="str">
        <f>Registro!AK487</f>
        <v>a) Muy buena</v>
      </c>
      <c r="AQ487" s="89" t="str">
        <f>Registro!AL487</f>
        <v>a) Muy buena</v>
      </c>
      <c r="AR487" s="89" t="str">
        <f>Registro!AM487</f>
        <v>a) Muy buena</v>
      </c>
      <c r="AS487" s="89" t="str">
        <f>Registro!AN487</f>
        <v>a) Muy buena</v>
      </c>
      <c r="AT487" s="89" t="str">
        <f>Registro!AO487</f>
        <v>a) Muy buena</v>
      </c>
      <c r="AU487" s="89" t="str">
        <f>Registro!AP487</f>
        <v>a) Muy buena</v>
      </c>
      <c r="AV487" s="89" t="str">
        <f>Registro!AQ487</f>
        <v>a) Muy buena</v>
      </c>
      <c r="AW487" s="89" t="str">
        <f>Registro!AR487</f>
        <v>f) la práctica religiosa</v>
      </c>
      <c r="AX487" s="89" t="str">
        <f>Registro!AS487</f>
        <v>a) Que sea un buen profesional</v>
      </c>
      <c r="AY487" s="89" t="str">
        <f>Registro!AT487</f>
        <v>e) Absolutamente necesaria</v>
      </c>
      <c r="AZ487" s="89" t="str">
        <f>Registro!AU487</f>
        <v>b) Las veces que bebo, es con moderación</v>
      </c>
      <c r="BA487" s="89" t="str">
        <f>Registro!AV487</f>
        <v>e) Educadores que se preocupan de nosotros</v>
      </c>
      <c r="BB487" s="89" t="str">
        <f>Registro!AW487</f>
        <v>d) Mucho o muchísimo</v>
      </c>
      <c r="BC487" s="89" t="str">
        <f>Registro!AX487</f>
        <v>e) Son personas que me gustan y admiro</v>
      </c>
      <c r="BD487" s="89" t="str">
        <f>Registro!AY487</f>
        <v>d) Un escolapio, religioso o religiosa, g) Un amigo, h) Una amiga</v>
      </c>
    </row>
    <row r="488" spans="1:56" ht="15" customHeight="1" x14ac:dyDescent="0.25">
      <c r="A488" s="101">
        <f>Registro!A488</f>
        <v>42070.318483796298</v>
      </c>
      <c r="B488" s="89" t="str">
        <f>Registro!B488</f>
        <v>f) Nuestra Señora de Coromoto de Maracaibo</v>
      </c>
      <c r="C488" s="89" t="str">
        <f>Registro!C488</f>
        <v>a) Primer año</v>
      </c>
      <c r="D488" s="89" t="str">
        <f>Registro!D488</f>
        <v>b) Primaria</v>
      </c>
      <c r="E488" s="89" t="str">
        <f>Registro!E488</f>
        <v>b) Femenino</v>
      </c>
      <c r="F488" s="89" t="str">
        <f>Registro!F488</f>
        <v>b) Evangélica</v>
      </c>
      <c r="G488" s="89" t="str">
        <f>Registro!G488</f>
        <v>a) Mamá, b) Papá, c) Hermanos</v>
      </c>
      <c r="H488" s="89" t="str">
        <f>Registro!H488</f>
        <v>f) Otro</v>
      </c>
      <c r="I488" s="89" t="str">
        <f>Registro!I488</f>
        <v>a) Sí</v>
      </c>
      <c r="J488" s="89" t="str">
        <f>Registro!J488</f>
        <v>b) Lavadora, c) Microondas, i) Computadora, j) Cámara digital, k) Aire acondicionado</v>
      </c>
      <c r="K488" s="89" t="str">
        <f>Registro!K488</f>
        <v>f) Más de cuatro</v>
      </c>
      <c r="L488" s="89" t="str">
        <f>Registro!L488</f>
        <v>a) La familia, b) Los amigos, c) Los estudios</v>
      </c>
      <c r="M488" s="94">
        <f t="shared" si="38"/>
        <v>3</v>
      </c>
      <c r="N488" s="89" t="str">
        <f>Registro!M488</f>
        <v>a) Seguridad personal (la violencia y la delincuencia)</v>
      </c>
      <c r="O488" s="89" t="str">
        <f>Registro!N488</f>
        <v>a) Mucho</v>
      </c>
      <c r="P488" s="89" t="str">
        <f>Registro!O488</f>
        <v>a) Mucho</v>
      </c>
      <c r="Q488" s="89" t="str">
        <f>Registro!P488</f>
        <v>b) Suficiente</v>
      </c>
      <c r="R488" s="89" t="str">
        <f>Registro!Q488</f>
        <v>a) La familia, b) Los amigos, d) El cuidado de mi cuerpo</v>
      </c>
      <c r="S488" s="94">
        <f t="shared" si="39"/>
        <v>3</v>
      </c>
      <c r="T488" s="89" t="str">
        <f>Registro!R488</f>
        <v>a) Mucho</v>
      </c>
      <c r="U488" s="89" t="str">
        <f>Registro!S488</f>
        <v>a) La Iglesia, g) Mi familia, j) Todas partes</v>
      </c>
      <c r="V488" s="89" t="str">
        <f>Registro!T488</f>
        <v>b) Rezo por costumbre</v>
      </c>
      <c r="W488" s="89" t="str">
        <f>Registro!U488</f>
        <v>a) Todos los domingos</v>
      </c>
      <c r="X488" s="89" t="str">
        <f>Registro!V488</f>
        <v>f) En alguna ocasión he rezado el rosario</v>
      </c>
      <c r="Y488" s="89" t="str">
        <f>Registro!W488</f>
        <v>a) Deportivo</v>
      </c>
      <c r="Z488" s="89" t="str">
        <f>Registro!X488</f>
        <v>b) Un lugar donde comparto con mis compañeros</v>
      </c>
      <c r="AA488" s="89" t="str">
        <f>Registro!Y488</f>
        <v>b) No</v>
      </c>
      <c r="AB488" s="89" t="str">
        <f>Registro!Z488</f>
        <v>b) No</v>
      </c>
      <c r="AC488" s="89" t="str">
        <f>Registro!AA488</f>
        <v>c) Sacerdocio o hermana religiosa, e) Derecho</v>
      </c>
      <c r="AD488" s="94">
        <f t="shared" si="40"/>
        <v>2</v>
      </c>
      <c r="AE488" s="89" t="str">
        <f>Registro!AB488</f>
        <v>c) Ser un excelente profesional</v>
      </c>
      <c r="AF488" s="89" t="str">
        <f>Registro!AC488</f>
        <v>c) Bastante</v>
      </c>
      <c r="AG488" s="89" t="str">
        <f>Registro!AD488</f>
        <v>c) Las instalaciones del Colegio, e) La mayor posibilidad de vivir mi fe</v>
      </c>
      <c r="AH488" s="94">
        <f t="shared" si="41"/>
        <v>2</v>
      </c>
      <c r="AI488" s="89" t="str">
        <f>Registro!AE488</f>
        <v>a) 0 a 2 horas</v>
      </c>
      <c r="AJ488" s="89"/>
      <c r="AK488" s="94">
        <f t="shared" si="42"/>
        <v>0</v>
      </c>
      <c r="AL488" s="89" t="str">
        <f>Registro!AG488</f>
        <v>a) Muy bueno</v>
      </c>
      <c r="AM488" s="89" t="str">
        <f>Registro!AH488</f>
        <v>b) Buena</v>
      </c>
      <c r="AN488" s="89" t="str">
        <f>Registro!AI488</f>
        <v>b) Buena</v>
      </c>
      <c r="AO488" s="89" t="str">
        <f>Registro!AJ488</f>
        <v>a) Muy buena</v>
      </c>
      <c r="AP488" s="89" t="str">
        <f>Registro!AK488</f>
        <v>a) Muy buena</v>
      </c>
      <c r="AQ488" s="89" t="str">
        <f>Registro!AL488</f>
        <v>b) Buena</v>
      </c>
      <c r="AR488" s="89" t="str">
        <f>Registro!AM488</f>
        <v>a) Muy buena</v>
      </c>
      <c r="AS488" s="89" t="str">
        <f>Registro!AN488</f>
        <v>b) Buena</v>
      </c>
      <c r="AT488" s="89" t="str">
        <f>Registro!AO488</f>
        <v>a) Muy buena</v>
      </c>
      <c r="AU488" s="89" t="str">
        <f>Registro!AP488</f>
        <v>a) Muy buena</v>
      </c>
      <c r="AV488" s="89" t="str">
        <f>Registro!AQ488</f>
        <v>a) Muy buena</v>
      </c>
      <c r="AW488" s="89" t="str">
        <f>Registro!AR488</f>
        <v>a) El compañerismo</v>
      </c>
      <c r="AX488" s="89" t="str">
        <f>Registro!AS488</f>
        <v>a) Que sea un buen profesional</v>
      </c>
      <c r="AY488" s="89" t="str">
        <f>Registro!AT488</f>
        <v>d) Bastante necesaria</v>
      </c>
      <c r="AZ488" s="89" t="str">
        <f>Registro!AU488</f>
        <v>a) No acostumbro a tomarlo nunca</v>
      </c>
      <c r="BA488" s="89" t="str">
        <f>Registro!AV488</f>
        <v>d) Buenos profesionales de la educación</v>
      </c>
      <c r="BB488" s="89" t="str">
        <f>Registro!AW488</f>
        <v>c) Bastante</v>
      </c>
      <c r="BC488" s="89" t="str">
        <f>Registro!AX488</f>
        <v>c) Son personas normales y corrientes</v>
      </c>
      <c r="BD488" s="89" t="str">
        <f>Registro!AY488</f>
        <v>b) Mi madre, c) Un hermano/a, e) Un, una docente, g) Un amigo, h) Una amiga</v>
      </c>
    </row>
    <row r="489" spans="1:56" ht="15" customHeight="1" x14ac:dyDescent="0.25">
      <c r="A489" s="101">
        <f>Registro!A489</f>
        <v>42070.323333333334</v>
      </c>
      <c r="B489" s="89" t="str">
        <f>Registro!B489</f>
        <v>f) Nuestra Señora de Coromoto de Maracaibo</v>
      </c>
      <c r="C489" s="89" t="str">
        <f>Registro!C489</f>
        <v>a) Primer año</v>
      </c>
      <c r="D489" s="89" t="str">
        <f>Registro!D489</f>
        <v>d) En Cuarto año o posterior</v>
      </c>
      <c r="E489" s="89" t="str">
        <f>Registro!E489</f>
        <v>a) Masculino</v>
      </c>
      <c r="F489" s="89" t="str">
        <f>Registro!F489</f>
        <v>d) Otra</v>
      </c>
      <c r="G489" s="89" t="str">
        <f>Registro!G489</f>
        <v>a) Mamá, b) Papá</v>
      </c>
      <c r="H489" s="89" t="str">
        <f>Registro!H489</f>
        <v>c) Apartamento</v>
      </c>
      <c r="I489" s="89" t="str">
        <f>Registro!I489</f>
        <v>a) Sí</v>
      </c>
      <c r="J489" s="89" t="str">
        <f>Registro!J489</f>
        <v>a) Cónsola videojuegos, d) TV pantalla plana, f) MP3, i) Computadora, k) Aire acondicionado</v>
      </c>
      <c r="K489" s="89" t="str">
        <f>Registro!K489</f>
        <v>f) Más de cuatro</v>
      </c>
      <c r="L489" s="89" t="str">
        <f>Registro!L489</f>
        <v>a) La familia, b) Los amigos, g) La felicidad</v>
      </c>
      <c r="M489" s="94">
        <f t="shared" si="38"/>
        <v>3</v>
      </c>
      <c r="N489" s="89" t="str">
        <f>Registro!M489</f>
        <v>a) Seguridad personal (la violencia y la delincuencia)</v>
      </c>
      <c r="O489" s="89" t="str">
        <f>Registro!N489</f>
        <v>b) Suficiente</v>
      </c>
      <c r="P489" s="89" t="str">
        <f>Registro!O489</f>
        <v>c) Poco</v>
      </c>
      <c r="Q489" s="89" t="str">
        <f>Registro!P489</f>
        <v>b) Suficiente</v>
      </c>
      <c r="R489" s="89"/>
      <c r="S489" s="94">
        <f t="shared" si="39"/>
        <v>0</v>
      </c>
      <c r="T489" s="89" t="str">
        <f>Registro!R489</f>
        <v>a) Mucho</v>
      </c>
      <c r="U489" s="89" t="str">
        <f>Registro!S489</f>
        <v>a) La Iglesia, b) La naturaleza, c) El salón de clase</v>
      </c>
      <c r="V489" s="89" t="str">
        <f>Registro!T489</f>
        <v>b) Rezo por costumbre</v>
      </c>
      <c r="W489" s="89" t="str">
        <f>Registro!U489</f>
        <v>c) Solo en fechas especiales</v>
      </c>
      <c r="X489" s="89" t="str">
        <f>Registro!V489</f>
        <v>a) Suelo llevar una cruz o algún objeto religioso</v>
      </c>
      <c r="Y489" s="89" t="str">
        <f>Registro!W489</f>
        <v>a) Deportivo</v>
      </c>
      <c r="Z489" s="89" t="str">
        <f>Registro!X489</f>
        <v>b) Un lugar donde comparto con mis compañeros</v>
      </c>
      <c r="AA489" s="89" t="str">
        <f>Registro!Y489</f>
        <v>c) Algo</v>
      </c>
      <c r="AB489" s="89" t="str">
        <f>Registro!Z489</f>
        <v>c) Algo</v>
      </c>
      <c r="AC489" s="89" t="str">
        <f>Registro!AA489</f>
        <v>a) Medicina, g) Artista</v>
      </c>
      <c r="AD489" s="94">
        <f t="shared" si="40"/>
        <v>2</v>
      </c>
      <c r="AE489" s="89" t="str">
        <f>Registro!AB489</f>
        <v>b) Tener una buena posición social, ser importante</v>
      </c>
      <c r="AF489" s="89" t="str">
        <f>Registro!AC489</f>
        <v>c) Bastante</v>
      </c>
      <c r="AG489" s="89" t="str">
        <f>Registro!AD489</f>
        <v>a) Los deportes y diversiones, b) El ambiente de estudio y de trabajo</v>
      </c>
      <c r="AH489" s="94">
        <f t="shared" si="41"/>
        <v>2</v>
      </c>
      <c r="AI489" s="89" t="str">
        <f>Registro!AE489</f>
        <v>a) 0 a 2 horas</v>
      </c>
      <c r="AJ489" s="89" t="str">
        <f>Registro!AF489</f>
        <v>a) Me divierto con juegos para computadoras, b) Navego en Internet, l) Escucho música y/o veo videos musicales</v>
      </c>
      <c r="AK489" s="94">
        <f t="shared" si="42"/>
        <v>3</v>
      </c>
      <c r="AL489" s="89" t="str">
        <f>Registro!AG489</f>
        <v>a) Muy bueno</v>
      </c>
      <c r="AM489" s="89" t="str">
        <f>Registro!AH489</f>
        <v>b) Buena</v>
      </c>
      <c r="AN489" s="89" t="str">
        <f>Registro!AI489</f>
        <v>b) Buena</v>
      </c>
      <c r="AO489" s="89" t="str">
        <f>Registro!AJ489</f>
        <v>a) Muy buena</v>
      </c>
      <c r="AP489" s="89" t="str">
        <f>Registro!AK489</f>
        <v>a) Muy buena</v>
      </c>
      <c r="AQ489" s="89" t="str">
        <f>Registro!AL489</f>
        <v>a) Muy buena</v>
      </c>
      <c r="AR489" s="89" t="str">
        <f>Registro!AM489</f>
        <v>a) Muy buena</v>
      </c>
      <c r="AS489" s="89" t="str">
        <f>Registro!AN489</f>
        <v>b) Buena</v>
      </c>
      <c r="AT489" s="89" t="str">
        <f>Registro!AO489</f>
        <v>b) Buena</v>
      </c>
      <c r="AU489" s="89" t="str">
        <f>Registro!AP489</f>
        <v>f) No aplica</v>
      </c>
      <c r="AV489" s="89" t="str">
        <f>Registro!AQ489</f>
        <v>a) Muy buena</v>
      </c>
      <c r="AW489" s="89" t="str">
        <f>Registro!AR489</f>
        <v>c) El estudio</v>
      </c>
      <c r="AX489" s="89" t="str">
        <f>Registro!AS489</f>
        <v>b) Darme una buena educación</v>
      </c>
      <c r="AY489" s="89" t="str">
        <f>Registro!AT489</f>
        <v>c) Conveniente</v>
      </c>
      <c r="AZ489" s="89" t="str">
        <f>Registro!AU489</f>
        <v>a) No acostumbro a tomarlo nunca</v>
      </c>
      <c r="BA489" s="89" t="str">
        <f>Registro!AV489</f>
        <v>d) Buenos profesionales de la educación</v>
      </c>
      <c r="BB489" s="89" t="str">
        <f>Registro!AW489</f>
        <v>c) Bastante</v>
      </c>
      <c r="BC489" s="89" t="str">
        <f>Registro!AX489</f>
        <v>c) Son personas normales y corrientes</v>
      </c>
      <c r="BD489" s="89" t="str">
        <f>Registro!AY489</f>
        <v>a) Mi padre, b) Mi madre, c) Un hermano/a, d) Un escolapio, religioso o religiosa, g) Un amigo</v>
      </c>
    </row>
    <row r="490" spans="1:56" ht="15" customHeight="1" x14ac:dyDescent="0.25">
      <c r="A490" s="101">
        <f>Registro!A490</f>
        <v>42070.331631944442</v>
      </c>
      <c r="B490" s="89" t="str">
        <f>Registro!B490</f>
        <v>f) Nuestra Señora de Coromoto de Maracaibo</v>
      </c>
      <c r="C490" s="89" t="str">
        <f>Registro!C490</f>
        <v>a) Primer año</v>
      </c>
      <c r="D490" s="89" t="str">
        <f>Registro!D490</f>
        <v>a) Educación Inicial</v>
      </c>
      <c r="E490" s="89" t="str">
        <f>Registro!E490</f>
        <v>a) Masculino</v>
      </c>
      <c r="F490" s="89" t="str">
        <f>Registro!F490</f>
        <v>a) Católica</v>
      </c>
      <c r="G490" s="89" t="str">
        <f>Registro!G490</f>
        <v>a) Mamá, b) Papá, d) Abuelos, e) Otros familiares</v>
      </c>
      <c r="H490" s="89" t="str">
        <f>Registro!H490</f>
        <v>e) Rancho</v>
      </c>
      <c r="I490" s="89" t="str">
        <f>Registro!I490</f>
        <v>d) No sé</v>
      </c>
      <c r="J490" s="89" t="str">
        <f>Registro!J490</f>
        <v>b) Lavadora, c) Microondas, d) TV pantalla plana, f) MP3, g) MP4, i) Computadora, k) Aire acondicionado</v>
      </c>
      <c r="K490" s="89" t="str">
        <f>Registro!K490</f>
        <v>e) Cuatro</v>
      </c>
      <c r="L490" s="89" t="str">
        <f>Registro!L490</f>
        <v>a) La familia, c) Los estudios, g) La felicidad</v>
      </c>
      <c r="M490" s="94">
        <f t="shared" si="38"/>
        <v>3</v>
      </c>
      <c r="N490" s="89" t="str">
        <f>Registro!M490</f>
        <v>b) El futuro</v>
      </c>
      <c r="O490" s="89" t="str">
        <f>Registro!N490</f>
        <v>b) Suficiente</v>
      </c>
      <c r="P490" s="89" t="str">
        <f>Registro!O490</f>
        <v>a) Mucho</v>
      </c>
      <c r="Q490" s="89" t="str">
        <f>Registro!P490</f>
        <v>a) Mucho</v>
      </c>
      <c r="R490" s="89"/>
      <c r="S490" s="94">
        <f t="shared" si="39"/>
        <v>0</v>
      </c>
      <c r="T490" s="89" t="str">
        <f>Registro!R490</f>
        <v>a) Mucho</v>
      </c>
      <c r="U490" s="89" t="str">
        <f>Registro!S490</f>
        <v>a) La Iglesia, b) La naturaleza, c) El salón de clase, g) Mi familia, h) Algunas personas cercanas a Dios, i) Los necesitados, j) Todas partes, l) Los sacramentos</v>
      </c>
      <c r="V490" s="89" t="str">
        <f>Registro!T490</f>
        <v>a) Suelo rezar por convicción o porque me gusta</v>
      </c>
      <c r="W490" s="89" t="str">
        <f>Registro!U490</f>
        <v>a) Todos los domingos</v>
      </c>
      <c r="X490" s="89" t="str">
        <f>Registro!V490</f>
        <v>e) Voy a misa en las fechas de mis familiares difuntos, i) Tengo en mi cuarto alguna imagen religiosa</v>
      </c>
      <c r="Y490" s="89" t="str">
        <f>Registro!W490</f>
        <v>a) Deportivo, c) Religioso o parroquial</v>
      </c>
      <c r="Z490" s="89" t="str">
        <f>Registro!X490</f>
        <v>d) No pertenezco a grupos juveniles cristianos</v>
      </c>
      <c r="AA490" s="89" t="str">
        <f>Registro!Y490</f>
        <v>b) No</v>
      </c>
      <c r="AB490" s="89" t="str">
        <f>Registro!Z490</f>
        <v>c) Algo</v>
      </c>
      <c r="AC490" s="89" t="str">
        <f>Registro!AA490</f>
        <v>j) Trabajador calificado</v>
      </c>
      <c r="AD490" s="94">
        <f t="shared" si="40"/>
        <v>1</v>
      </c>
      <c r="AE490" s="89" t="str">
        <f>Registro!AB490</f>
        <v>c) Ser un excelente profesional</v>
      </c>
      <c r="AF490" s="89" t="str">
        <f>Registro!AC490</f>
        <v>e) No sé</v>
      </c>
      <c r="AG490" s="89"/>
      <c r="AH490" s="94">
        <f t="shared" si="41"/>
        <v>0</v>
      </c>
      <c r="AI490" s="89" t="str">
        <f>Registro!AE490</f>
        <v>d) 7 a 8 horas</v>
      </c>
      <c r="AJ490" s="89" t="str">
        <f>Registro!AF490</f>
        <v>b) Navego en Internet, d) Estoy la mayor parte del tiempo en la casa sin hacer nada, n) Estoy conversando con los amigos/as</v>
      </c>
      <c r="AK490" s="94">
        <f t="shared" si="42"/>
        <v>3</v>
      </c>
      <c r="AL490" s="89" t="str">
        <f>Registro!AG490</f>
        <v>a) Muy bueno</v>
      </c>
      <c r="AM490" s="89" t="str">
        <f>Registro!AH490</f>
        <v>a) Muy buena</v>
      </c>
      <c r="AN490" s="89" t="str">
        <f>Registro!AI490</f>
        <v>a) Muy buena</v>
      </c>
      <c r="AO490" s="89" t="str">
        <f>Registro!AJ490</f>
        <v>a) Muy buena</v>
      </c>
      <c r="AP490" s="89" t="str">
        <f>Registro!AK490</f>
        <v>b) Buena</v>
      </c>
      <c r="AQ490" s="89" t="str">
        <f>Registro!AL490</f>
        <v>b) Buena</v>
      </c>
      <c r="AR490" s="89" t="str">
        <f>Registro!AM490</f>
        <v>a) Muy buena</v>
      </c>
      <c r="AS490" s="89" t="str">
        <f>Registro!AN490</f>
        <v>a) Muy buena</v>
      </c>
      <c r="AT490" s="89" t="str">
        <f>Registro!AO490</f>
        <v>b) Buena</v>
      </c>
      <c r="AU490" s="89" t="str">
        <f>Registro!AP490</f>
        <v>a) Muy buena</v>
      </c>
      <c r="AV490" s="89" t="str">
        <f>Registro!AQ490</f>
        <v>a) Muy buena</v>
      </c>
      <c r="AW490" s="89" t="str">
        <f>Registro!AR490</f>
        <v>c) El estudio</v>
      </c>
      <c r="AX490" s="89" t="str">
        <f>Registro!AS490</f>
        <v>a) Que sea un buen profesional</v>
      </c>
      <c r="AY490" s="89" t="str">
        <f>Registro!AT490</f>
        <v>b) Indiferente</v>
      </c>
      <c r="AZ490" s="89" t="str">
        <f>Registro!AU490</f>
        <v>a) No acostumbro a tomarlo nunca</v>
      </c>
      <c r="BA490" s="89" t="str">
        <f>Registro!AV490</f>
        <v>a) Personas a las que tengo que aguantar</v>
      </c>
      <c r="BB490" s="89" t="str">
        <f>Registro!AW490</f>
        <v>c) Bastante</v>
      </c>
      <c r="BC490" s="89" t="str">
        <f>Registro!AX490</f>
        <v>b) Hay de todo tipo, pero predomina lo negativo</v>
      </c>
      <c r="BD490" s="89" t="str">
        <f>Registro!AY490</f>
        <v>a) Mi padre, b) Mi madre, g) Un amigo</v>
      </c>
    </row>
    <row r="491" spans="1:56" ht="15" customHeight="1" x14ac:dyDescent="0.25">
      <c r="A491" s="101">
        <f>Registro!A491</f>
        <v>42070.335914351854</v>
      </c>
      <c r="B491" s="89" t="str">
        <f>Registro!B491</f>
        <v>f) Nuestra Señora de Coromoto de Maracaibo</v>
      </c>
      <c r="C491" s="89" t="str">
        <f>Registro!C491</f>
        <v>a) Primer año</v>
      </c>
      <c r="D491" s="89" t="str">
        <f>Registro!D491</f>
        <v>b) Primaria</v>
      </c>
      <c r="E491" s="89" t="str">
        <f>Registro!E491</f>
        <v>a) Masculino</v>
      </c>
      <c r="F491" s="89" t="str">
        <f>Registro!F491</f>
        <v>a) Católica</v>
      </c>
      <c r="G491" s="89" t="str">
        <f>Registro!G491</f>
        <v>a) Mamá, b) Papá, c) Hermanos, d) Abuelos</v>
      </c>
      <c r="H491" s="89" t="str">
        <f>Registro!H491</f>
        <v>b) Casa Urbana</v>
      </c>
      <c r="I491" s="89" t="str">
        <f>Registro!I491</f>
        <v>a) Sí</v>
      </c>
      <c r="J491" s="89" t="str">
        <f>Registro!J491</f>
        <v>a) Cónsola videojuegos, b) Lavadora, d) TV pantalla plana, i) Computadora, k) Aire acondicionado</v>
      </c>
      <c r="K491" s="89" t="str">
        <f>Registro!K491</f>
        <v>b) Una</v>
      </c>
      <c r="L491" s="89"/>
      <c r="M491" s="94">
        <f t="shared" si="38"/>
        <v>0</v>
      </c>
      <c r="N491" s="89" t="str">
        <f>Registro!M491</f>
        <v>g) Mis estudios</v>
      </c>
      <c r="O491" s="89" t="str">
        <f>Registro!N491</f>
        <v>a) Mucho</v>
      </c>
      <c r="P491" s="89" t="str">
        <f>Registro!O491</f>
        <v>b) Suficiente</v>
      </c>
      <c r="Q491" s="89" t="str">
        <f>Registro!P491</f>
        <v>b) Suficiente</v>
      </c>
      <c r="R491" s="89"/>
      <c r="S491" s="94">
        <f t="shared" si="39"/>
        <v>0</v>
      </c>
      <c r="T491" s="89" t="str">
        <f>Registro!R491</f>
        <v>a) Mucho</v>
      </c>
      <c r="U491" s="89" t="str">
        <f>Registro!S491</f>
        <v>a) La Iglesia, d) Las convivencias, h) Algunas personas cercanas a Dios, k) La oración</v>
      </c>
      <c r="V491" s="89">
        <f>Registro!T491</f>
        <v>0</v>
      </c>
      <c r="W491" s="89" t="str">
        <f>Registro!U491</f>
        <v>b) Algunos domingos</v>
      </c>
      <c r="X491" s="89" t="str">
        <f>Registro!V491</f>
        <v>a) Suelo llevar una cruz o algún objeto religioso, d) Suelo orar todos los días, e) Voy a misa en las fechas de mis familiares difuntos, f) En alguna ocasión he rezado el rosario, g) En ocasiones, en mi casa tenemos una oración familiar</v>
      </c>
      <c r="Y491" s="89" t="str">
        <f>Registro!W491</f>
        <v>d) No pertenezco a ninguno</v>
      </c>
      <c r="Z491" s="89" t="str">
        <f>Registro!X491</f>
        <v>d) No pertenezco a grupos juveniles cristianos</v>
      </c>
      <c r="AA491" s="89" t="str">
        <f>Registro!Y491</f>
        <v>c) Algo</v>
      </c>
      <c r="AB491" s="89" t="str">
        <f>Registro!Z491</f>
        <v>b) No</v>
      </c>
      <c r="AC491" s="89" t="str">
        <f>Registro!AA491</f>
        <v>a) Medicina, e) Derecho</v>
      </c>
      <c r="AD491" s="94">
        <f t="shared" si="40"/>
        <v>2</v>
      </c>
      <c r="AE491" s="89" t="str">
        <f>Registro!AB491</f>
        <v>b) Tener una buena posición social, ser importante</v>
      </c>
      <c r="AF491" s="89" t="str">
        <f>Registro!AC491</f>
        <v>c) Bastante</v>
      </c>
      <c r="AG491" s="89" t="str">
        <f>Registro!AD491</f>
        <v>a) Los deportes y diversiones, b) El ambiente de estudio y de trabajo</v>
      </c>
      <c r="AH491" s="94">
        <f t="shared" si="41"/>
        <v>2</v>
      </c>
      <c r="AI491" s="89" t="str">
        <f>Registro!AE491</f>
        <v>f) 11 o más horas</v>
      </c>
      <c r="AJ491" s="89" t="str">
        <f>Registro!AF491</f>
        <v>b) Navego en Internet, l) Escucho música y/o veo videos musicales, m) Veo televisión y/o películas</v>
      </c>
      <c r="AK491" s="94">
        <f t="shared" si="42"/>
        <v>3</v>
      </c>
      <c r="AL491" s="89" t="str">
        <f>Registro!AG491</f>
        <v>b) Bueno</v>
      </c>
      <c r="AM491" s="89" t="str">
        <f>Registro!AH491</f>
        <v>b) Buena</v>
      </c>
      <c r="AN491" s="89" t="str">
        <f>Registro!AI491</f>
        <v>b) Buena</v>
      </c>
      <c r="AO491" s="89" t="str">
        <f>Registro!AJ491</f>
        <v>b) Buena</v>
      </c>
      <c r="AP491" s="89" t="str">
        <f>Registro!AK491</f>
        <v>b) Buena</v>
      </c>
      <c r="AQ491" s="89" t="str">
        <f>Registro!AL491</f>
        <v>b) Buena</v>
      </c>
      <c r="AR491" s="89" t="str">
        <f>Registro!AM491</f>
        <v>c) Regular</v>
      </c>
      <c r="AS491" s="89" t="str">
        <f>Registro!AN491</f>
        <v>c) Regular</v>
      </c>
      <c r="AT491" s="89" t="str">
        <f>Registro!AO491</f>
        <v>b) Buena</v>
      </c>
      <c r="AU491" s="89">
        <f>Registro!AP491</f>
        <v>0</v>
      </c>
      <c r="AV491" s="89" t="str">
        <f>Registro!AQ491</f>
        <v>a) Muy buena</v>
      </c>
      <c r="AW491" s="89" t="str">
        <f>Registro!AR491</f>
        <v>f) la práctica religiosa</v>
      </c>
      <c r="AX491" s="89" t="str">
        <f>Registro!AS491</f>
        <v>a) Que sea un buen profesional</v>
      </c>
      <c r="AY491" s="89" t="str">
        <f>Registro!AT491</f>
        <v>d) Bastante necesaria</v>
      </c>
      <c r="AZ491" s="89" t="str">
        <f>Registro!AU491</f>
        <v>a) No acostumbro a tomarlo nunca</v>
      </c>
      <c r="BA491" s="89" t="str">
        <f>Registro!AV491</f>
        <v>d) Buenos profesionales de la educación</v>
      </c>
      <c r="BB491" s="89" t="str">
        <f>Registro!AW491</f>
        <v>c) Bastante</v>
      </c>
      <c r="BC491" s="89" t="str">
        <f>Registro!AX491</f>
        <v>e) Son personas que me gustan y admiro</v>
      </c>
      <c r="BD491" s="89" t="str">
        <f>Registro!AY491</f>
        <v>b) Mi madre, c) Un hermano/a, h) Una amiga</v>
      </c>
    </row>
    <row r="492" spans="1:56" ht="15" customHeight="1" x14ac:dyDescent="0.25">
      <c r="A492" s="101">
        <f>Registro!A492</f>
        <v>42070.337199074071</v>
      </c>
      <c r="B492" s="89" t="str">
        <f>Registro!B492</f>
        <v>f) Nuestra Señora de Coromoto de Maracaibo</v>
      </c>
      <c r="C492" s="89" t="str">
        <f>Registro!C492</f>
        <v>a) Primer año</v>
      </c>
      <c r="D492" s="89" t="str">
        <f>Registro!D492</f>
        <v>b) Primaria</v>
      </c>
      <c r="E492" s="89" t="str">
        <f>Registro!E492</f>
        <v>b) Femenino</v>
      </c>
      <c r="F492" s="89" t="str">
        <f>Registro!F492</f>
        <v>a) Católica</v>
      </c>
      <c r="G492" s="89" t="str">
        <f>Registro!G492</f>
        <v>a) Mamá, d) Abuelos, e) Otros familiares</v>
      </c>
      <c r="H492" s="89" t="str">
        <f>Registro!H492</f>
        <v>b) Casa Urbana</v>
      </c>
      <c r="I492" s="89" t="str">
        <f>Registro!I492</f>
        <v>a) Sí</v>
      </c>
      <c r="J492" s="89" t="str">
        <f>Registro!J492</f>
        <v>a) Cónsola videojuegos, b) Lavadora, c) Microondas, i) Computadora, k) Aire acondicionado</v>
      </c>
      <c r="K492" s="89" t="str">
        <f>Registro!K492</f>
        <v>c) Dos</v>
      </c>
      <c r="L492" s="89" t="str">
        <f>Registro!L492</f>
        <v>a) La familia, b) Los amigos, c) Los estudios</v>
      </c>
      <c r="M492" s="94">
        <f t="shared" si="38"/>
        <v>3</v>
      </c>
      <c r="N492" s="89" t="str">
        <f>Registro!M492</f>
        <v>g) Mis estudios</v>
      </c>
      <c r="O492" s="89" t="str">
        <f>Registro!N492</f>
        <v>a) Mucho</v>
      </c>
      <c r="P492" s="89" t="str">
        <f>Registro!O492</f>
        <v>c) Poco</v>
      </c>
      <c r="Q492" s="89" t="str">
        <f>Registro!P492</f>
        <v>b) Suficiente</v>
      </c>
      <c r="R492" s="89" t="str">
        <f>Registro!Q492</f>
        <v>a) La familia, b) Los amigos, c) Los estudios</v>
      </c>
      <c r="S492" s="94">
        <f t="shared" si="39"/>
        <v>3</v>
      </c>
      <c r="T492" s="89" t="str">
        <f>Registro!R492</f>
        <v>a) Mucho</v>
      </c>
      <c r="U492" s="89" t="str">
        <f>Registro!S492</f>
        <v>a) La Iglesia, g) Mi familia, k) La oración</v>
      </c>
      <c r="V492" s="89" t="str">
        <f>Registro!T492</f>
        <v>a) Suelo rezar por convicción o porque me gusta</v>
      </c>
      <c r="W492" s="89" t="str">
        <f>Registro!U492</f>
        <v>c) Solo en fechas especiales</v>
      </c>
      <c r="X492" s="89" t="str">
        <f>Registro!V492</f>
        <v>a) Suelo llevar una cruz o algún objeto religioso, b) Suelo bendedir los alimentos antes de comer, e) Voy a misa en las fechas de mis familiares difuntos</v>
      </c>
      <c r="Y492" s="89" t="str">
        <f>Registro!W492</f>
        <v>a) Deportivo</v>
      </c>
      <c r="Z492" s="89" t="str">
        <f>Registro!X492</f>
        <v>d) No pertenezco a grupos juveniles cristianos</v>
      </c>
      <c r="AA492" s="89" t="str">
        <f>Registro!Y492</f>
        <v>c) Algo</v>
      </c>
      <c r="AB492" s="89" t="str">
        <f>Registro!Z492</f>
        <v>a) Sí</v>
      </c>
      <c r="AC492" s="89" t="str">
        <f>Registro!AA492</f>
        <v>e) Derecho, f) Ciencias policiales o artes militares</v>
      </c>
      <c r="AD492" s="94">
        <f t="shared" si="40"/>
        <v>2</v>
      </c>
      <c r="AE492" s="89" t="str">
        <f>Registro!AB492</f>
        <v>c) Ser un excelente profesional</v>
      </c>
      <c r="AF492" s="89" t="str">
        <f>Registro!AC492</f>
        <v>d) Mucho o muchísimo</v>
      </c>
      <c r="AG492" s="89" t="str">
        <f>Registro!AD492</f>
        <v>a) Los deportes y diversiones, b) El ambiente de estudio y de trabajo</v>
      </c>
      <c r="AH492" s="94">
        <f t="shared" si="41"/>
        <v>2</v>
      </c>
      <c r="AI492" s="89" t="str">
        <f>Registro!AE492</f>
        <v>f) 11 o más horas</v>
      </c>
      <c r="AJ492" s="89" t="str">
        <f>Registro!AF492</f>
        <v>a) Me divierto con juegos para computadoras, b) Navego en Internet, h) Suelo ir al cine</v>
      </c>
      <c r="AK492" s="94">
        <f t="shared" si="42"/>
        <v>3</v>
      </c>
      <c r="AL492" s="89" t="str">
        <f>Registro!AG492</f>
        <v>c) Regular</v>
      </c>
      <c r="AM492" s="89" t="str">
        <f>Registro!AH492</f>
        <v>a) Muy buena</v>
      </c>
      <c r="AN492" s="89" t="str">
        <f>Registro!AI492</f>
        <v>a) Muy buena</v>
      </c>
      <c r="AO492" s="89" t="str">
        <f>Registro!AJ492</f>
        <v>a) Muy buena</v>
      </c>
      <c r="AP492" s="89" t="str">
        <f>Registro!AK492</f>
        <v>a) Muy buena</v>
      </c>
      <c r="AQ492" s="89" t="str">
        <f>Registro!AL492</f>
        <v>b) Buena</v>
      </c>
      <c r="AR492" s="89" t="str">
        <f>Registro!AM492</f>
        <v>a) Muy buena</v>
      </c>
      <c r="AS492" s="89" t="str">
        <f>Registro!AN492</f>
        <v>a) Muy buena</v>
      </c>
      <c r="AT492" s="89" t="str">
        <f>Registro!AO492</f>
        <v>b) Buena</v>
      </c>
      <c r="AU492" s="89" t="str">
        <f>Registro!AP492</f>
        <v>a) Muy buena</v>
      </c>
      <c r="AV492" s="89" t="str">
        <f>Registro!AQ492</f>
        <v>a) Muy buena</v>
      </c>
      <c r="AW492" s="89" t="str">
        <f>Registro!AR492</f>
        <v>e) La disciplina y el orden</v>
      </c>
      <c r="AX492" s="89" t="str">
        <f>Registro!AS492</f>
        <v>b) Darme una buena educación</v>
      </c>
      <c r="AY492" s="89" t="str">
        <f>Registro!AT492</f>
        <v>d) Bastante necesaria</v>
      </c>
      <c r="AZ492" s="89" t="str">
        <f>Registro!AU492</f>
        <v>a) No acostumbro a tomarlo nunca</v>
      </c>
      <c r="BA492" s="89" t="str">
        <f>Registro!AV492</f>
        <v>f) Educadores que, además, me han abierto caminos</v>
      </c>
      <c r="BB492" s="89" t="str">
        <f>Registro!AW492</f>
        <v>d) Mucho o muchísimo</v>
      </c>
      <c r="BC492" s="89" t="str">
        <f>Registro!AX492</f>
        <v>e) Son personas que me gustan y admiro</v>
      </c>
      <c r="BD492" s="89" t="str">
        <f>Registro!AY492</f>
        <v>b) Mi madre, c) Un hermano/a, e) Un, una docente, g) Un amigo, h) Una amiga</v>
      </c>
    </row>
    <row r="493" spans="1:56" ht="15" customHeight="1" x14ac:dyDescent="0.25">
      <c r="A493" s="101">
        <f>Registro!A493</f>
        <v>42070.343819444446</v>
      </c>
      <c r="B493" s="89" t="str">
        <f>Registro!B493</f>
        <v>f) Nuestra Señora de Coromoto de Maracaibo</v>
      </c>
      <c r="C493" s="89" t="str">
        <f>Registro!C493</f>
        <v>a) Primer año</v>
      </c>
      <c r="D493" s="89" t="str">
        <f>Registro!D493</f>
        <v>c) Entre Primero y Tercer año</v>
      </c>
      <c r="E493" s="89" t="str">
        <f>Registro!E493</f>
        <v>b) Femenino</v>
      </c>
      <c r="F493" s="89" t="str">
        <f>Registro!F493</f>
        <v>a) Católica</v>
      </c>
      <c r="G493" s="89" t="str">
        <f>Registro!G493</f>
        <v>a) Mamá, b) Papá, c) Hermanos</v>
      </c>
      <c r="H493" s="89" t="str">
        <f>Registro!H493</f>
        <v>b) Casa Urbana</v>
      </c>
      <c r="I493" s="89" t="str">
        <f>Registro!I493</f>
        <v>a) Sí</v>
      </c>
      <c r="J493" s="89" t="str">
        <f>Registro!J493</f>
        <v>h) Carro, k) Aire acondicionado</v>
      </c>
      <c r="K493" s="89" t="str">
        <f>Registro!K493</f>
        <v>b) Una</v>
      </c>
      <c r="L493" s="89" t="str">
        <f>Registro!L493</f>
        <v>a) La familia, c) Los estudios, g) La felicidad</v>
      </c>
      <c r="M493" s="94">
        <f t="shared" si="38"/>
        <v>3</v>
      </c>
      <c r="N493" s="89" t="str">
        <f>Registro!M493</f>
        <v>d) Los problemas familiares</v>
      </c>
      <c r="O493" s="89" t="str">
        <f>Registro!N493</f>
        <v>c) Poco</v>
      </c>
      <c r="P493" s="89" t="str">
        <f>Registro!O493</f>
        <v>b) Suficiente</v>
      </c>
      <c r="Q493" s="89" t="str">
        <f>Registro!P493</f>
        <v>b) Suficiente</v>
      </c>
      <c r="R493" s="89" t="str">
        <f>Registro!Q493</f>
        <v>a) La familia, c) Los estudios, d) El cuidado de mi cuerpo</v>
      </c>
      <c r="S493" s="94">
        <f t="shared" si="39"/>
        <v>3</v>
      </c>
      <c r="T493" s="89" t="str">
        <f>Registro!R493</f>
        <v>a) Mucho</v>
      </c>
      <c r="U493" s="89" t="str">
        <f>Registro!S493</f>
        <v>a) La Iglesia, b) La naturaleza, d) Las convivencias, g) Mi familia, i) Los necesitados, k) La oración, l) Los sacramentos</v>
      </c>
      <c r="V493" s="89" t="str">
        <f>Registro!T493</f>
        <v>a) Suelo rezar por convicción o porque me gusta</v>
      </c>
      <c r="W493" s="89" t="str">
        <f>Registro!U493</f>
        <v>d) Nunca</v>
      </c>
      <c r="X493" s="89" t="str">
        <f>Registro!V493</f>
        <v>a) Suelo llevar una cruz o algún objeto religioso, b) Suelo bendedir los alimentos antes de comer, c) Suelo ir los domingos y otras fechas especiales a la Iglesia, g) En ocasiones, en mi casa tenemos una oración familiar, i) Tengo en mi cuarto alguna imagen religiosa</v>
      </c>
      <c r="Y493" s="89" t="str">
        <f>Registro!W493</f>
        <v xml:space="preserve">a) Deportivo, b) Cultural (folklórico, musicales, danzas, scout, banda marcial,...) </v>
      </c>
      <c r="Z493" s="89" t="str">
        <f>Registro!X493</f>
        <v>c) Un lugar donde me lo paso bien</v>
      </c>
      <c r="AA493" s="89" t="str">
        <f>Registro!Y493</f>
        <v>b) No</v>
      </c>
      <c r="AB493" s="89" t="str">
        <f>Registro!Z493</f>
        <v>b) No</v>
      </c>
      <c r="AC493" s="89"/>
      <c r="AD493" s="94">
        <f t="shared" si="40"/>
        <v>0</v>
      </c>
      <c r="AE493" s="89" t="str">
        <f>Registro!AB493</f>
        <v>e) Servir a los demás</v>
      </c>
      <c r="AF493" s="89" t="str">
        <f>Registro!AC493</f>
        <v>c) Bastante</v>
      </c>
      <c r="AG493" s="89" t="str">
        <f>Registro!AD493</f>
        <v>a) Los deportes y diversiones, c) Las instalaciones del Colegio</v>
      </c>
      <c r="AH493" s="94">
        <f t="shared" si="41"/>
        <v>2</v>
      </c>
      <c r="AI493" s="89" t="str">
        <f>Registro!AE493</f>
        <v>c) 5 a 6 horas</v>
      </c>
      <c r="AJ493" s="89"/>
      <c r="AK493" s="94">
        <f t="shared" si="42"/>
        <v>0</v>
      </c>
      <c r="AL493" s="89" t="str">
        <f>Registro!AG493</f>
        <v>a) Muy bueno</v>
      </c>
      <c r="AM493" s="89" t="str">
        <f>Registro!AH493</f>
        <v>a) Muy buena</v>
      </c>
      <c r="AN493" s="89" t="str">
        <f>Registro!AI493</f>
        <v>b) Buena</v>
      </c>
      <c r="AO493" s="89" t="str">
        <f>Registro!AJ493</f>
        <v>a) Muy buena</v>
      </c>
      <c r="AP493" s="89" t="str">
        <f>Registro!AK493</f>
        <v>a) Muy buena</v>
      </c>
      <c r="AQ493" s="89">
        <f>Registro!AL493</f>
        <v>0</v>
      </c>
      <c r="AR493" s="89" t="str">
        <f>Registro!AM493</f>
        <v>a) Muy buena</v>
      </c>
      <c r="AS493" s="89" t="str">
        <f>Registro!AN493</f>
        <v>a) Muy buena</v>
      </c>
      <c r="AT493" s="89">
        <f>Registro!AO493</f>
        <v>0</v>
      </c>
      <c r="AU493" s="89" t="str">
        <f>Registro!AP493</f>
        <v>a) Muy buena</v>
      </c>
      <c r="AV493" s="89" t="str">
        <f>Registro!AQ493</f>
        <v>a) Muy buena</v>
      </c>
      <c r="AW493" s="89" t="str">
        <f>Registro!AR493</f>
        <v>b) La orientación cristiana</v>
      </c>
      <c r="AX493" s="89" t="str">
        <f>Registro!AS493</f>
        <v>b) Darme una buena educación</v>
      </c>
      <c r="AY493" s="89" t="str">
        <f>Registro!AT493</f>
        <v>d) Bastante necesaria</v>
      </c>
      <c r="AZ493" s="89" t="str">
        <f>Registro!AU493</f>
        <v>a) No acostumbro a tomarlo nunca</v>
      </c>
      <c r="BA493" s="89" t="str">
        <f>Registro!AV493</f>
        <v>d) Buenos profesionales de la educación</v>
      </c>
      <c r="BB493" s="89" t="str">
        <f>Registro!AW493</f>
        <v>d) Mucho o muchísimo</v>
      </c>
      <c r="BC493" s="89" t="str">
        <f>Registro!AX493</f>
        <v>b) Hay de todo tipo, pero predomina lo negativo</v>
      </c>
      <c r="BD493" s="89" t="str">
        <f>Registro!AY493</f>
        <v>b) Mi madre, d) Un escolapio, religioso o religiosa, e) Un, una docente, f) La orientadora, g) Un amigo, h) Una amiga</v>
      </c>
    </row>
    <row r="494" spans="1:56" ht="15" customHeight="1" x14ac:dyDescent="0.25">
      <c r="A494" s="101">
        <f>Registro!A494</f>
        <v>42070.356064814812</v>
      </c>
      <c r="B494" s="89" t="str">
        <f>Registro!B494</f>
        <v>f) Nuestra Señora de Coromoto de Maracaibo</v>
      </c>
      <c r="C494" s="89" t="str">
        <f>Registro!C494</f>
        <v>a) Primer año</v>
      </c>
      <c r="D494" s="89" t="str">
        <f>Registro!D494</f>
        <v>b) Primaria</v>
      </c>
      <c r="E494" s="89" t="str">
        <f>Registro!E494</f>
        <v>a) Masculino</v>
      </c>
      <c r="F494" s="89" t="str">
        <f>Registro!F494</f>
        <v>b) Evangélica</v>
      </c>
      <c r="G494" s="89" t="str">
        <f>Registro!G494</f>
        <v>b) Papá, c) Hermanos, e) Otros familiares</v>
      </c>
      <c r="H494" s="89" t="str">
        <f>Registro!H494</f>
        <v>b) Casa Urbana</v>
      </c>
      <c r="I494" s="89" t="str">
        <f>Registro!I494</f>
        <v>a) Sí</v>
      </c>
      <c r="J494" s="89" t="str">
        <f>Registro!J494</f>
        <v>a) Cónsola videojuegos, b) Lavadora, c) Microondas, d) TV pantalla plana, h) Carro, i) Computadora, j) Cámara digital, k) Aire acondicionado</v>
      </c>
      <c r="K494" s="89" t="str">
        <f>Registro!K494</f>
        <v>c) Dos</v>
      </c>
      <c r="L494" s="89" t="str">
        <f>Registro!L494</f>
        <v>a) La familia, b) Los amigos, c) Los estudios</v>
      </c>
      <c r="M494" s="94">
        <f t="shared" si="38"/>
        <v>3</v>
      </c>
      <c r="N494" s="89" t="str">
        <f>Registro!M494</f>
        <v>a) Seguridad personal (la violencia y la delincuencia)</v>
      </c>
      <c r="O494" s="89" t="str">
        <f>Registro!N494</f>
        <v>c) Poco</v>
      </c>
      <c r="P494" s="89" t="str">
        <f>Registro!O494</f>
        <v>b) Suficiente</v>
      </c>
      <c r="Q494" s="89" t="str">
        <f>Registro!P494</f>
        <v>b) Suficiente</v>
      </c>
      <c r="R494" s="89" t="str">
        <f>Registro!Q494</f>
        <v>a) La familia, c) Los estudios, h) La sexualidad</v>
      </c>
      <c r="S494" s="94">
        <f t="shared" si="39"/>
        <v>3</v>
      </c>
      <c r="T494" s="89" t="str">
        <f>Registro!R494</f>
        <v>a) Mucho</v>
      </c>
      <c r="U494" s="89" t="str">
        <f>Registro!S494</f>
        <v>a) La Iglesia, d) Las convivencias, g) Mi familia, j) Todas partes, k) La oración</v>
      </c>
      <c r="V494" s="89" t="str">
        <f>Registro!T494</f>
        <v>a) Suelo rezar por convicción o porque me gusta</v>
      </c>
      <c r="W494" s="89" t="str">
        <f>Registro!U494</f>
        <v>b) Algunos domingos</v>
      </c>
      <c r="X494" s="89" t="str">
        <f>Registro!V494</f>
        <v>c) Suelo ir los domingos y otras fechas especiales a la Iglesia, f) En alguna ocasión he rezado el rosario, g) En ocasiones, en mi casa tenemos una oración familiar, i) Tengo en mi cuarto alguna imagen religiosa</v>
      </c>
      <c r="Y494" s="89" t="str">
        <f>Registro!W494</f>
        <v xml:space="preserve">b) Cultural (folklórico, musicales, danzas, scout, banda marcial,...) </v>
      </c>
      <c r="Z494" s="89" t="str">
        <f>Registro!X494</f>
        <v>a) Un grupo donde profundizo mi fe</v>
      </c>
      <c r="AA494" s="89" t="str">
        <f>Registro!Y494</f>
        <v>c) Algo</v>
      </c>
      <c r="AB494" s="89" t="str">
        <f>Registro!Z494</f>
        <v>b) No</v>
      </c>
      <c r="AC494" s="89" t="str">
        <f>Registro!AA494</f>
        <v>g) Artista, j) Trabajador calificado</v>
      </c>
      <c r="AD494" s="94">
        <f t="shared" si="40"/>
        <v>2</v>
      </c>
      <c r="AE494" s="89" t="str">
        <f>Registro!AB494</f>
        <v>c) Ser un excelente profesional</v>
      </c>
      <c r="AF494" s="89" t="str">
        <f>Registro!AC494</f>
        <v>c) Bastante</v>
      </c>
      <c r="AG494" s="89" t="str">
        <f>Registro!AD494</f>
        <v>a) Los deportes y diversiones, h) Las actividades extraescolares</v>
      </c>
      <c r="AH494" s="94">
        <f t="shared" si="41"/>
        <v>2</v>
      </c>
      <c r="AI494" s="89" t="str">
        <f>Registro!AE494</f>
        <v>c) 5 a 6 horas</v>
      </c>
      <c r="AJ494" s="89" t="str">
        <f>Registro!AF494</f>
        <v>e) Suelo ir a algún parque, k) Practico algún deporte, m) Veo televisión y/o películas</v>
      </c>
      <c r="AK494" s="94">
        <f t="shared" si="42"/>
        <v>3</v>
      </c>
      <c r="AL494" s="89" t="str">
        <f>Registro!AG494</f>
        <v>b) Bueno</v>
      </c>
      <c r="AM494" s="89" t="str">
        <f>Registro!AH494</f>
        <v>b) Buena</v>
      </c>
      <c r="AN494" s="89" t="str">
        <f>Registro!AI494</f>
        <v>b) Buena</v>
      </c>
      <c r="AO494" s="89" t="str">
        <f>Registro!AJ494</f>
        <v>a) Muy buena</v>
      </c>
      <c r="AP494" s="89" t="str">
        <f>Registro!AK494</f>
        <v>b) Buena</v>
      </c>
      <c r="AQ494" s="89" t="str">
        <f>Registro!AL494</f>
        <v>b) Buena</v>
      </c>
      <c r="AR494" s="89" t="str">
        <f>Registro!AM494</f>
        <v>b) Buena</v>
      </c>
      <c r="AS494" s="89" t="str">
        <f>Registro!AN494</f>
        <v>b) Buena</v>
      </c>
      <c r="AT494" s="89" t="str">
        <f>Registro!AO494</f>
        <v>b) Buena</v>
      </c>
      <c r="AU494" s="89" t="str">
        <f>Registro!AP494</f>
        <v>b) Buena</v>
      </c>
      <c r="AV494" s="89" t="str">
        <f>Registro!AQ494</f>
        <v>b) Buena</v>
      </c>
      <c r="AW494" s="89" t="str">
        <f>Registro!AR494</f>
        <v>c) El estudio</v>
      </c>
      <c r="AX494" s="89" t="str">
        <f>Registro!AS494</f>
        <v>b) Darme una buena educación</v>
      </c>
      <c r="AY494" s="89" t="str">
        <f>Registro!AT494</f>
        <v>d) Bastante necesaria</v>
      </c>
      <c r="AZ494" s="89" t="str">
        <f>Registro!AU494</f>
        <v>a) No acostumbro a tomarlo nunca</v>
      </c>
      <c r="BA494" s="89" t="str">
        <f>Registro!AV494</f>
        <v>e) Educadores que se preocupan de nosotros</v>
      </c>
      <c r="BB494" s="89" t="str">
        <f>Registro!AW494</f>
        <v>c) Bastante</v>
      </c>
      <c r="BC494" s="89" t="str">
        <f>Registro!AX494</f>
        <v>e) Son personas que me gustan y admiro</v>
      </c>
      <c r="BD494" s="89" t="str">
        <f>Registro!AY494</f>
        <v>a) Mi padre, b) Mi madre, c) Un hermano/a, g) Un amigo, h) Una amiga</v>
      </c>
    </row>
    <row r="495" spans="1:56" ht="15" customHeight="1" x14ac:dyDescent="0.25">
      <c r="A495" s="101">
        <f>Registro!A495</f>
        <v>42070.358784722222</v>
      </c>
      <c r="B495" s="89" t="str">
        <f>Registro!B495</f>
        <v>f) Nuestra Señora de Coromoto de Maracaibo</v>
      </c>
      <c r="C495" s="89" t="str">
        <f>Registro!C495</f>
        <v>a) Primer año</v>
      </c>
      <c r="D495" s="89" t="str">
        <f>Registro!D495</f>
        <v>c) Entre Primero y Tercer año</v>
      </c>
      <c r="E495" s="89" t="str">
        <f>Registro!E495</f>
        <v>b) Femenino</v>
      </c>
      <c r="F495" s="89" t="str">
        <f>Registro!F495</f>
        <v>a) Católica</v>
      </c>
      <c r="G495" s="89" t="str">
        <f>Registro!G495</f>
        <v>a) Mamá, b) Papá</v>
      </c>
      <c r="H495" s="89" t="str">
        <f>Registro!H495</f>
        <v>c) Apartamento</v>
      </c>
      <c r="I495" s="89" t="str">
        <f>Registro!I495</f>
        <v>a) Sí</v>
      </c>
      <c r="J495" s="89" t="str">
        <f>Registro!J495</f>
        <v>i) Computadora</v>
      </c>
      <c r="K495" s="89" t="str">
        <f>Registro!K495</f>
        <v>c) Dos</v>
      </c>
      <c r="L495" s="89" t="str">
        <f>Registro!L495</f>
        <v>a) La familia, b) Los amigos, c) Los estudios</v>
      </c>
      <c r="M495" s="94">
        <f t="shared" si="38"/>
        <v>3</v>
      </c>
      <c r="N495" s="89" t="str">
        <f>Registro!M495</f>
        <v>d) Los problemas familiares</v>
      </c>
      <c r="O495" s="89" t="str">
        <f>Registro!N495</f>
        <v>c) Poco</v>
      </c>
      <c r="P495" s="89" t="str">
        <f>Registro!O495</f>
        <v>a) Mucho</v>
      </c>
      <c r="Q495" s="89" t="str">
        <f>Registro!P495</f>
        <v>c) Poco</v>
      </c>
      <c r="R495" s="89" t="str">
        <f>Registro!Q495</f>
        <v>c) Los estudios</v>
      </c>
      <c r="S495" s="94">
        <f t="shared" si="39"/>
        <v>1</v>
      </c>
      <c r="T495" s="89" t="str">
        <f>Registro!R495</f>
        <v>a) Mucho</v>
      </c>
      <c r="U495" s="89" t="str">
        <f>Registro!S495</f>
        <v>a) La Iglesia, c) El salón de clase, e) Los amigos, g) Mi familia</v>
      </c>
      <c r="V495" s="89" t="str">
        <f>Registro!T495</f>
        <v>a) Suelo rezar por convicción o porque me gusta</v>
      </c>
      <c r="W495" s="89" t="str">
        <f>Registro!U495</f>
        <v>b) Algunos domingos</v>
      </c>
      <c r="X495" s="89" t="str">
        <f>Registro!V495</f>
        <v>a) Suelo llevar una cruz o algún objeto religioso, c) Suelo ir los domingos y otras fechas especiales a la Iglesia, e) Voy a misa en las fechas de mis familiares difuntos, i) Tengo en mi cuarto alguna imagen religiosa</v>
      </c>
      <c r="Y495" s="89" t="str">
        <f>Registro!W495</f>
        <v xml:space="preserve">a) Deportivo, b) Cultural (folklórico, musicales, danzas, scout, banda marcial,...) </v>
      </c>
      <c r="Z495" s="89" t="str">
        <f>Registro!X495</f>
        <v>d) No pertenezco a grupos juveniles cristianos</v>
      </c>
      <c r="AA495" s="89" t="str">
        <f>Registro!Y495</f>
        <v>b) No</v>
      </c>
      <c r="AB495" s="89" t="str">
        <f>Registro!Z495</f>
        <v>b) No</v>
      </c>
      <c r="AC495" s="89" t="str">
        <f>Registro!AA495</f>
        <v>d) Ingeniería, f) Ciencias policiales o artes militares</v>
      </c>
      <c r="AD495" s="94">
        <f t="shared" si="40"/>
        <v>2</v>
      </c>
      <c r="AE495" s="89" t="str">
        <f>Registro!AB495</f>
        <v>c) Ser un excelente profesional</v>
      </c>
      <c r="AF495" s="89" t="str">
        <f>Registro!AC495</f>
        <v>b) Poco</v>
      </c>
      <c r="AG495" s="89" t="str">
        <f>Registro!AD495</f>
        <v>a) Los deportes y diversiones, b) El ambiente de estudio y de trabajo</v>
      </c>
      <c r="AH495" s="94">
        <f t="shared" si="41"/>
        <v>2</v>
      </c>
      <c r="AI495" s="89" t="str">
        <f>Registro!AE495</f>
        <v>b) 3 a 4 horas</v>
      </c>
      <c r="AJ495" s="89" t="str">
        <f>Registro!AF495</f>
        <v>a) Me divierto con juegos para computadoras, b) Navego en Internet, h) Suelo ir al cine</v>
      </c>
      <c r="AK495" s="94">
        <f t="shared" si="42"/>
        <v>3</v>
      </c>
      <c r="AL495" s="89" t="str">
        <f>Registro!AG495</f>
        <v>d) Deficiente</v>
      </c>
      <c r="AM495" s="89" t="str">
        <f>Registro!AH495</f>
        <v>c) Regular</v>
      </c>
      <c r="AN495" s="89" t="str">
        <f>Registro!AI495</f>
        <v>c) Regular</v>
      </c>
      <c r="AO495" s="89" t="str">
        <f>Registro!AJ495</f>
        <v>e) Muy mala</v>
      </c>
      <c r="AP495" s="89" t="str">
        <f>Registro!AK495</f>
        <v>a) Muy buena</v>
      </c>
      <c r="AQ495" s="89" t="str">
        <f>Registro!AL495</f>
        <v>b) Buena</v>
      </c>
      <c r="AR495" s="89" t="str">
        <f>Registro!AM495</f>
        <v>a) Muy buena</v>
      </c>
      <c r="AS495" s="89" t="str">
        <f>Registro!AN495</f>
        <v>c) Regular</v>
      </c>
      <c r="AT495" s="89" t="str">
        <f>Registro!AO495</f>
        <v>a) Muy buena</v>
      </c>
      <c r="AU495" s="89" t="str">
        <f>Registro!AP495</f>
        <v>c) Regular</v>
      </c>
      <c r="AV495" s="89" t="str">
        <f>Registro!AQ495</f>
        <v>a) Muy buena</v>
      </c>
      <c r="AW495" s="89" t="str">
        <f>Registro!AR495</f>
        <v>e) La disciplina y el orden</v>
      </c>
      <c r="AX495" s="89" t="str">
        <f>Registro!AS495</f>
        <v>a) Que sea un buen profesional</v>
      </c>
      <c r="AY495" s="89" t="str">
        <f>Registro!AT495</f>
        <v>d) Bastante necesaria</v>
      </c>
      <c r="AZ495" s="89" t="str">
        <f>Registro!AU495</f>
        <v>a) No acostumbro a tomarlo nunca</v>
      </c>
      <c r="BA495" s="89" t="str">
        <f>Registro!AV495</f>
        <v>b) Profesionales que no se preocupan de nosotros</v>
      </c>
      <c r="BB495" s="89" t="str">
        <f>Registro!AW495</f>
        <v>c) Bastante</v>
      </c>
      <c r="BC495" s="89" t="str">
        <f>Registro!AX495</f>
        <v>e) Son personas que me gustan y admiro</v>
      </c>
      <c r="BD495" s="89" t="str">
        <f>Registro!AY495</f>
        <v>b) Mi madre, e) Un, una docente, h) Una amiga</v>
      </c>
    </row>
    <row r="496" spans="1:56" ht="15" customHeight="1" x14ac:dyDescent="0.25">
      <c r="A496" s="101">
        <f>Registro!A496</f>
        <v>42070.362222222226</v>
      </c>
      <c r="B496" s="89" t="str">
        <f>Registro!B496</f>
        <v>f) Nuestra Señora de Coromoto de Maracaibo</v>
      </c>
      <c r="C496" s="89" t="str">
        <f>Registro!C496</f>
        <v>a) Primer año</v>
      </c>
      <c r="D496" s="89" t="str">
        <f>Registro!D496</f>
        <v>a) Educación Inicial</v>
      </c>
      <c r="E496" s="89" t="str">
        <f>Registro!E496</f>
        <v>a) Masculino</v>
      </c>
      <c r="F496" s="89" t="str">
        <f>Registro!F496</f>
        <v>a) Católica</v>
      </c>
      <c r="G496" s="89" t="str">
        <f>Registro!G496</f>
        <v>a) Mamá, b) Papá, d) Abuelos, e) Otros familiares</v>
      </c>
      <c r="H496" s="89" t="str">
        <f>Registro!H496</f>
        <v>b) Casa Urbana</v>
      </c>
      <c r="I496" s="89" t="str">
        <f>Registro!I496</f>
        <v>a) Sí</v>
      </c>
      <c r="J496" s="89" t="str">
        <f>Registro!J496</f>
        <v>a) Cónsola videojuegos, b) Lavadora, c) Microondas, d) TV pantalla plana, e) Moto, g) MP4, h) Carro, i) Computadora, j) Cámara digital, k) Aire acondicionado</v>
      </c>
      <c r="K496" s="89" t="str">
        <f>Registro!K496</f>
        <v>f) Más de cuatro</v>
      </c>
      <c r="L496" s="89" t="str">
        <f>Registro!L496</f>
        <v>a) La familia, b) Los amigos, i) La música</v>
      </c>
      <c r="M496" s="94">
        <f t="shared" si="38"/>
        <v>3</v>
      </c>
      <c r="N496" s="89" t="str">
        <f>Registro!M496</f>
        <v>b) El futuro</v>
      </c>
      <c r="O496" s="89" t="str">
        <f>Registro!N496</f>
        <v>a) Mucho</v>
      </c>
      <c r="P496" s="89" t="str">
        <f>Registro!O496</f>
        <v>a) Mucho</v>
      </c>
      <c r="Q496" s="89" t="str">
        <f>Registro!P496</f>
        <v>b) Suficiente</v>
      </c>
      <c r="R496" s="89"/>
      <c r="S496" s="94">
        <f t="shared" si="39"/>
        <v>0</v>
      </c>
      <c r="T496" s="89" t="str">
        <f>Registro!R496</f>
        <v>a) Mucho</v>
      </c>
      <c r="U496" s="89" t="str">
        <f>Registro!S496</f>
        <v>a) La Iglesia, g) Mi familia, h) Algunas personas cercanas a Dios, i) Los necesitados, j) Todas partes, k) La oración, l) Los sacramentos</v>
      </c>
      <c r="V496" s="89" t="str">
        <f>Registro!T496</f>
        <v>b) Rezo por costumbre</v>
      </c>
      <c r="W496" s="89" t="str">
        <f>Registro!U496</f>
        <v>a) Todos los domingos</v>
      </c>
      <c r="X496" s="89" t="str">
        <f>Registro!V496</f>
        <v>d) Suelo orar todos los días, i) Tengo en mi cuarto alguna imagen religiosa</v>
      </c>
      <c r="Y496" s="89" t="str">
        <f>Registro!W496</f>
        <v xml:space="preserve">a) Deportivo, b) Cultural (folklórico, musicales, danzas, scout, banda marcial,...) </v>
      </c>
      <c r="Z496" s="89" t="str">
        <f>Registro!X496</f>
        <v>b) Un lugar donde comparto con mis compañeros</v>
      </c>
      <c r="AA496" s="89" t="str">
        <f>Registro!Y496</f>
        <v>b) No</v>
      </c>
      <c r="AB496" s="89" t="str">
        <f>Registro!Z496</f>
        <v>b) No</v>
      </c>
      <c r="AC496" s="89"/>
      <c r="AD496" s="94">
        <f t="shared" si="40"/>
        <v>0</v>
      </c>
      <c r="AE496" s="89" t="str">
        <f>Registro!AB496</f>
        <v>c) Ser un excelente profesional</v>
      </c>
      <c r="AF496" s="89" t="str">
        <f>Registro!AC496</f>
        <v>b) Poco</v>
      </c>
      <c r="AG496" s="89"/>
      <c r="AH496" s="94">
        <f t="shared" si="41"/>
        <v>0</v>
      </c>
      <c r="AI496" s="89" t="str">
        <f>Registro!AE496</f>
        <v>c) 5 a 6 horas</v>
      </c>
      <c r="AJ496" s="89"/>
      <c r="AK496" s="94">
        <f t="shared" si="42"/>
        <v>0</v>
      </c>
      <c r="AL496" s="89" t="str">
        <f>Registro!AG496</f>
        <v>a) Muy bueno</v>
      </c>
      <c r="AM496" s="89" t="str">
        <f>Registro!AH496</f>
        <v>a) Muy buena</v>
      </c>
      <c r="AN496" s="89" t="str">
        <f>Registro!AI496</f>
        <v>a) Muy buena</v>
      </c>
      <c r="AO496" s="89" t="str">
        <f>Registro!AJ496</f>
        <v>c) Regular</v>
      </c>
      <c r="AP496" s="89" t="str">
        <f>Registro!AK496</f>
        <v>a) Muy buena</v>
      </c>
      <c r="AQ496" s="89" t="str">
        <f>Registro!AL496</f>
        <v>a) Muy buena</v>
      </c>
      <c r="AR496" s="89" t="str">
        <f>Registro!AM496</f>
        <v>a) Muy buena</v>
      </c>
      <c r="AS496" s="89" t="str">
        <f>Registro!AN496</f>
        <v>a) Muy buena</v>
      </c>
      <c r="AT496" s="89" t="str">
        <f>Registro!AO496</f>
        <v>a) Muy buena</v>
      </c>
      <c r="AU496" s="89" t="str">
        <f>Registro!AP496</f>
        <v>a) Muy buena</v>
      </c>
      <c r="AV496" s="89" t="str">
        <f>Registro!AQ496</f>
        <v>a) Muy buena</v>
      </c>
      <c r="AW496" s="89" t="str">
        <f>Registro!AR496</f>
        <v>a) El compañerismo</v>
      </c>
      <c r="AX496" s="89" t="str">
        <f>Registro!AS496</f>
        <v>a) Que sea un buen profesional</v>
      </c>
      <c r="AY496" s="89" t="str">
        <f>Registro!AT496</f>
        <v>e) Absolutamente necesaria</v>
      </c>
      <c r="AZ496" s="89" t="str">
        <f>Registro!AU496</f>
        <v>a) No acostumbro a tomarlo nunca</v>
      </c>
      <c r="BA496" s="89" t="str">
        <f>Registro!AV496</f>
        <v>f) Educadores que, además, me han abierto caminos</v>
      </c>
      <c r="BB496" s="89" t="str">
        <f>Registro!AW496</f>
        <v>c) Bastante</v>
      </c>
      <c r="BC496" s="89" t="str">
        <f>Registro!AX496</f>
        <v>e) Son personas que me gustan y admiro</v>
      </c>
      <c r="BD496" s="89" t="str">
        <f>Registro!AY496</f>
        <v>a) Mi padre, b) Mi madre, c) Un hermano/a, f) La orientadora, g) Un amigo, h) Una amiga, i) Un, una catequista o responsable de grupo</v>
      </c>
    </row>
    <row r="497" spans="1:56" ht="15" customHeight="1" x14ac:dyDescent="0.3">
      <c r="A497" s="101">
        <f>Registro!A497</f>
        <v>42070.367812500001</v>
      </c>
      <c r="B497" s="89" t="str">
        <f>Registro!B497</f>
        <v>f) Nuestra Señora de Coromoto de Maracaibo</v>
      </c>
      <c r="C497" s="89" t="str">
        <f>Registro!C497</f>
        <v>a) Primer año</v>
      </c>
      <c r="D497" s="89" t="str">
        <f>Registro!D497</f>
        <v>a) Educación Inicial</v>
      </c>
      <c r="E497" s="89" t="str">
        <f>Registro!E497</f>
        <v>b) Femenino</v>
      </c>
      <c r="F497" s="89" t="str">
        <f>Registro!F497</f>
        <v>a) Católica</v>
      </c>
      <c r="G497" s="89" t="str">
        <f>Registro!G497</f>
        <v>a) Mamá, b) Papá, c) Hermanos</v>
      </c>
      <c r="H497" s="89" t="str">
        <f>Registro!H497</f>
        <v>a) Quinta</v>
      </c>
      <c r="I497" s="89" t="str">
        <f>Registro!I497</f>
        <v>a) Sí</v>
      </c>
      <c r="J497" s="89" t="str">
        <f>Registro!J497</f>
        <v>b) Lavadora, c) Microondas, d) TV pantalla plana, h) Carro, i) Computadora, j) Cámara digital, k) Aire acondicionado</v>
      </c>
      <c r="K497" s="89" t="str">
        <f>Registro!K497</f>
        <v>b) Una</v>
      </c>
      <c r="L497" s="89" t="str">
        <f>Registro!L497</f>
        <v>a) La familia, f) Mi fe y vida cristiana, g) La felicidad</v>
      </c>
      <c r="M497" s="94">
        <f t="shared" si="38"/>
        <v>3</v>
      </c>
      <c r="N497" s="89" t="str">
        <f>Registro!M497</f>
        <v>e) La situación económica</v>
      </c>
      <c r="O497" s="89" t="str">
        <f>Registro!N497</f>
        <v>a) Mucho</v>
      </c>
      <c r="P497" s="89" t="str">
        <f>Registro!O497</f>
        <v>b) Suficiente</v>
      </c>
      <c r="Q497" s="89" t="str">
        <f>Registro!P497</f>
        <v>b) Suficiente</v>
      </c>
      <c r="R497" s="89" t="str">
        <f>Registro!Q497</f>
        <v>a) La familia, c) Los estudios, f) Mi fe y mi vida cristiana</v>
      </c>
      <c r="S497" s="94">
        <f t="shared" si="39"/>
        <v>3</v>
      </c>
      <c r="T497" s="89" t="str">
        <f>Registro!R497</f>
        <v>a) Mucho</v>
      </c>
      <c r="U497" s="89" t="str">
        <f>Registro!S497</f>
        <v>a) La Iglesia, b) La naturaleza, d) Las convivencias, g) Mi familia, k) La oración, l) Los sacramentos</v>
      </c>
      <c r="V497" s="89" t="str">
        <f>Registro!T497</f>
        <v>a) Suelo rezar por convicción o porque me gusta</v>
      </c>
      <c r="W497" s="89" t="str">
        <f>Registro!U497</f>
        <v>b) Algunos domingos</v>
      </c>
      <c r="X497" s="89" t="str">
        <f>Registro!V497</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 h) En Semana Santa asisto a las procesiones</v>
      </c>
      <c r="Y497" s="89" t="str">
        <f>Registro!W497</f>
        <v>b) Cultural (folklórico, musicales, danzas, scout, banda marcial,...) , c) Religioso o parroquial</v>
      </c>
      <c r="Z497" s="89" t="str">
        <f>Registro!X497</f>
        <v>a) Un grupo donde profundizo mi fe</v>
      </c>
      <c r="AA497" s="89" t="str">
        <f>Registro!Y497</f>
        <v>b) No</v>
      </c>
      <c r="AB497" s="89" t="str">
        <f>Registro!Z497</f>
        <v>b) No</v>
      </c>
      <c r="AC497" s="89" t="str">
        <f>Registro!AA497</f>
        <v>a) Medicina, e) Derecho</v>
      </c>
      <c r="AD497" s="94">
        <f t="shared" si="40"/>
        <v>2</v>
      </c>
      <c r="AE497" s="89" t="str">
        <f>Registro!AB497</f>
        <v>d) Desarrollarme personalmente</v>
      </c>
      <c r="AF497" s="89" t="str">
        <f>Registro!AC497</f>
        <v>c) Bastante</v>
      </c>
      <c r="AG497" s="89" t="str">
        <f>Registro!AD497</f>
        <v>e) La mayor posibilidad de vivir mi fe, h) Las actividades extraescolares</v>
      </c>
      <c r="AH497" s="94">
        <f t="shared" si="41"/>
        <v>2</v>
      </c>
      <c r="AI497" s="89" t="str">
        <f>Registro!AE497</f>
        <v>c) 5 a 6 horas</v>
      </c>
      <c r="AJ497" s="89" t="str">
        <f>Registro!AF497</f>
        <v>b) Navego en Internet, f) Toco un instrumento musical, i) Leo revistas o libros</v>
      </c>
      <c r="AK497" s="94">
        <f t="shared" si="42"/>
        <v>3</v>
      </c>
      <c r="AL497" s="89" t="str">
        <f>Registro!AG497</f>
        <v>b) Bueno</v>
      </c>
      <c r="AM497" s="89" t="str">
        <f>Registro!AH497</f>
        <v>b) Buena</v>
      </c>
      <c r="AN497" s="89" t="str">
        <f>Registro!AI497</f>
        <v>b) Buena</v>
      </c>
      <c r="AO497" s="89" t="str">
        <f>Registro!AJ497</f>
        <v>a) Muy buena</v>
      </c>
      <c r="AP497" s="89" t="str">
        <f>Registro!AK497</f>
        <v>a) Muy buena</v>
      </c>
      <c r="AQ497" s="89" t="str">
        <f>Registro!AL497</f>
        <v>c) Regular</v>
      </c>
      <c r="AR497" s="89" t="str">
        <f>Registro!AM497</f>
        <v>a) Muy buena</v>
      </c>
      <c r="AS497" s="89" t="str">
        <f>Registro!AN497</f>
        <v>b) Buena</v>
      </c>
      <c r="AT497" s="89" t="str">
        <f>Registro!AO497</f>
        <v>b) Buena</v>
      </c>
      <c r="AU497" s="89" t="str">
        <f>Registro!AP497</f>
        <v>b) Buena</v>
      </c>
      <c r="AV497" s="89" t="str">
        <f>Registro!AQ497</f>
        <v>b) Buena</v>
      </c>
      <c r="AW497" s="89" t="str">
        <f>Registro!AR497</f>
        <v>f) la práctica religiosa</v>
      </c>
      <c r="AX497" s="89" t="str">
        <f>Registro!AS497</f>
        <v>a) Que sea un buen profesional</v>
      </c>
      <c r="AY497" s="89" t="str">
        <f>Registro!AT497</f>
        <v>d) Bastante necesaria</v>
      </c>
      <c r="AZ497" s="89">
        <f>Registro!AU497</f>
        <v>0</v>
      </c>
      <c r="BA497" s="89" t="str">
        <f>Registro!AV497</f>
        <v>d) Buenos profesionales de la educación</v>
      </c>
      <c r="BB497" s="89" t="str">
        <f>Registro!AW497</f>
        <v>d) Mucho o muchísimo</v>
      </c>
      <c r="BC497" s="89" t="str">
        <f>Registro!AX497</f>
        <v>e) Son personas que me gustan y admiro</v>
      </c>
      <c r="BD497" s="89" t="str">
        <f>Registro!AY497</f>
        <v>a) Mi padre, b) Mi madre, c) Un hermano/a, h) Una amiga</v>
      </c>
    </row>
    <row r="498" spans="1:56" ht="15" customHeight="1" x14ac:dyDescent="0.3">
      <c r="A498" s="101">
        <f>Registro!A498</f>
        <v>42070.368807870371</v>
      </c>
      <c r="B498" s="89" t="str">
        <f>Registro!B498</f>
        <v>f) Nuestra Señora de Coromoto de Maracaibo</v>
      </c>
      <c r="C498" s="89" t="str">
        <f>Registro!C498</f>
        <v>a) Primer año</v>
      </c>
      <c r="D498" s="89" t="str">
        <f>Registro!D498</f>
        <v>b) Primaria</v>
      </c>
      <c r="E498" s="89" t="str">
        <f>Registro!E498</f>
        <v>b) Femenino</v>
      </c>
      <c r="F498" s="89" t="str">
        <f>Registro!F498</f>
        <v>b) Evangélica</v>
      </c>
      <c r="G498" s="89" t="str">
        <f>Registro!G498</f>
        <v>a) Mamá</v>
      </c>
      <c r="H498" s="89" t="str">
        <f>Registro!H498</f>
        <v>b) Casa Urbana</v>
      </c>
      <c r="I498" s="89" t="str">
        <f>Registro!I498</f>
        <v>a) Sí</v>
      </c>
      <c r="J498" s="89" t="str">
        <f>Registro!J498</f>
        <v>a) Cónsola videojuegos, b) Lavadora, k) Aire acondicionado</v>
      </c>
      <c r="K498" s="89" t="str">
        <f>Registro!K498</f>
        <v>f) Más de cuatro</v>
      </c>
      <c r="L498" s="89" t="str">
        <f>Registro!L498</f>
        <v>a) La familia, c) Los estudios, f) Mi fe y vida cristiana</v>
      </c>
      <c r="M498" s="94">
        <f t="shared" si="38"/>
        <v>3</v>
      </c>
      <c r="N498" s="89" t="str">
        <f>Registro!M498</f>
        <v>b) El futuro</v>
      </c>
      <c r="O498" s="89" t="str">
        <f>Registro!N498</f>
        <v>a) Mucho</v>
      </c>
      <c r="P498" s="89" t="str">
        <f>Registro!O498</f>
        <v>a) Mucho</v>
      </c>
      <c r="Q498" s="89" t="str">
        <f>Registro!P498</f>
        <v>c) Poco</v>
      </c>
      <c r="R498" s="89" t="str">
        <f>Registro!Q498</f>
        <v>c) Los estudios, d) El cuidado de mi cuerpo, f) Mi fe y mi vida cristiana</v>
      </c>
      <c r="S498" s="94">
        <f t="shared" si="39"/>
        <v>3</v>
      </c>
      <c r="T498" s="89" t="str">
        <f>Registro!R498</f>
        <v>a) Mucho</v>
      </c>
      <c r="U498" s="89" t="str">
        <f>Registro!S498</f>
        <v>a) La Iglesia, k) La oración</v>
      </c>
      <c r="V498" s="89" t="str">
        <f>Registro!T498</f>
        <v>b) Rezo por costumbre</v>
      </c>
      <c r="W498" s="89" t="str">
        <f>Registro!U498</f>
        <v>d) Nunca</v>
      </c>
      <c r="X498" s="89" t="str">
        <f>Registro!V498</f>
        <v>d) Suelo orar todos los días</v>
      </c>
      <c r="Y498" s="89" t="str">
        <f>Registro!W498</f>
        <v>d) No pertenezco a ninguno</v>
      </c>
      <c r="Z498" s="89" t="str">
        <f>Registro!X498</f>
        <v>b) Un lugar donde comparto con mis compañeros</v>
      </c>
      <c r="AA498" s="89" t="str">
        <f>Registro!Y498</f>
        <v>b) No</v>
      </c>
      <c r="AB498" s="89" t="str">
        <f>Registro!Z498</f>
        <v>b) No</v>
      </c>
      <c r="AC498" s="89" t="str">
        <f>Registro!AA498</f>
        <v>a) Medicina</v>
      </c>
      <c r="AD498" s="94">
        <f t="shared" si="40"/>
        <v>1</v>
      </c>
      <c r="AE498" s="89" t="str">
        <f>Registro!AB498</f>
        <v>c) Ser un excelente profesional</v>
      </c>
      <c r="AF498" s="89" t="str">
        <f>Registro!AC498</f>
        <v>b) Poco</v>
      </c>
      <c r="AG498" s="89" t="str">
        <f>Registro!AD498</f>
        <v>b) El ambiente de estudio y de trabajo</v>
      </c>
      <c r="AH498" s="94">
        <f t="shared" si="41"/>
        <v>1</v>
      </c>
      <c r="AI498" s="89" t="str">
        <f>Registro!AE498</f>
        <v>a) 0 a 2 horas</v>
      </c>
      <c r="AJ498" s="89" t="str">
        <f>Registro!AF498</f>
        <v>b) Navego en Internet, l) Escucho música y/o veo videos musicales, n) Estoy conversando con los amigos/as</v>
      </c>
      <c r="AK498" s="94">
        <f t="shared" si="42"/>
        <v>3</v>
      </c>
      <c r="AL498" s="89" t="str">
        <f>Registro!AG498</f>
        <v>a) Muy bueno</v>
      </c>
      <c r="AM498" s="89" t="str">
        <f>Registro!AH498</f>
        <v>b) Buena</v>
      </c>
      <c r="AN498" s="89" t="str">
        <f>Registro!AI498</f>
        <v>b) Buena</v>
      </c>
      <c r="AO498" s="89" t="str">
        <f>Registro!AJ498</f>
        <v>a) Muy buena</v>
      </c>
      <c r="AP498" s="89" t="str">
        <f>Registro!AK498</f>
        <v>a) Muy buena</v>
      </c>
      <c r="AQ498" s="89" t="str">
        <f>Registro!AL498</f>
        <v>a) Muy buena</v>
      </c>
      <c r="AR498" s="89" t="str">
        <f>Registro!AM498</f>
        <v>a) Muy buena</v>
      </c>
      <c r="AS498" s="89" t="str">
        <f>Registro!AN498</f>
        <v>a) Muy buena</v>
      </c>
      <c r="AT498" s="89" t="str">
        <f>Registro!AO498</f>
        <v>a) Muy buena</v>
      </c>
      <c r="AU498" s="89" t="str">
        <f>Registro!AP498</f>
        <v>a) Muy buena</v>
      </c>
      <c r="AV498" s="89" t="str">
        <f>Registro!AQ498</f>
        <v>a) Muy buena</v>
      </c>
      <c r="AW498" s="89" t="str">
        <f>Registro!AR498</f>
        <v>a) El compañerismo</v>
      </c>
      <c r="AX498" s="89" t="str">
        <f>Registro!AS498</f>
        <v>a) Que sea un buen profesional</v>
      </c>
      <c r="AY498" s="89" t="str">
        <f>Registro!AT498</f>
        <v>d) Bastante necesaria</v>
      </c>
      <c r="AZ498" s="89" t="str">
        <f>Registro!AU498</f>
        <v>a) No acostumbro a tomarlo nunca</v>
      </c>
      <c r="BA498" s="89" t="str">
        <f>Registro!AV498</f>
        <v>d) Buenos profesionales de la educación</v>
      </c>
      <c r="BB498" s="89" t="str">
        <f>Registro!AW498</f>
        <v>c) Bastante</v>
      </c>
      <c r="BC498" s="89" t="str">
        <f>Registro!AX498</f>
        <v>c) Son personas normales y corrientes</v>
      </c>
      <c r="BD498" s="89" t="str">
        <f>Registro!AY498</f>
        <v>a) Mi padre, b) Mi madre, c) Un hermano/a</v>
      </c>
    </row>
    <row r="499" spans="1:56" ht="15" customHeight="1" x14ac:dyDescent="0.3">
      <c r="A499" s="101">
        <f>Registro!A499</f>
        <v>42070.379502314812</v>
      </c>
      <c r="B499" s="89" t="str">
        <f>Registro!B499</f>
        <v>f) Nuestra Señora de Coromoto de Maracaibo</v>
      </c>
      <c r="C499" s="89" t="str">
        <f>Registro!C499</f>
        <v>a) Primer año</v>
      </c>
      <c r="D499" s="89" t="str">
        <f>Registro!D499</f>
        <v>b) Primaria</v>
      </c>
      <c r="E499" s="89" t="str">
        <f>Registro!E499</f>
        <v>a) Masculino</v>
      </c>
      <c r="F499" s="89" t="str">
        <f>Registro!F499</f>
        <v>a) Católica</v>
      </c>
      <c r="G499" s="89" t="str">
        <f>Registro!G499</f>
        <v>a) Mamá, b) Papá, c) Hermanos</v>
      </c>
      <c r="H499" s="89" t="str">
        <f>Registro!H499</f>
        <v>b) Casa Urbana</v>
      </c>
      <c r="I499" s="89" t="str">
        <f>Registro!I499</f>
        <v>a) Sí</v>
      </c>
      <c r="J499" s="89" t="str">
        <f>Registro!J499</f>
        <v>b) Lavadora, c) Microondas, d) TV pantalla plana, f) MP3, i) Computadora, j) Cámara digital, k) Aire acondicionado</v>
      </c>
      <c r="K499" s="89" t="str">
        <f>Registro!K499</f>
        <v>b) Una</v>
      </c>
      <c r="L499" s="89" t="str">
        <f>Registro!L499</f>
        <v>a) La familia, c) Los estudios, j) El deporte</v>
      </c>
      <c r="M499" s="94">
        <f t="shared" ref="M499:M511" si="43">COUNTIF(L499,"*a)*")+COUNTIF(L499,"*b)*")+COUNTIF(L499,"*c)*")+COUNTIF(L499,"*d)*")+COUNTIF(L499,"*e)*")+COUNTIF(L499,"*f)*")+COUNTIF(L499,"*g)*")+COUNTIF(L499,"*h)*")+COUNTIF(L499,"*i)*")+COUNTIF(L499,"*j)*")+COUNTIF(L499,"*k)*")+COUNTIF(L499,"*l)*")+COUNTIF(L499,"*m)*")+COUNTIF(L499,"*n)*")+COUNTIF(L499,"*o)*")+COUNTIF(L499,"*p)*")</f>
        <v>3</v>
      </c>
      <c r="N499" s="89" t="str">
        <f>Registro!M499</f>
        <v>a) Seguridad personal (la violencia y la delincuencia)</v>
      </c>
      <c r="O499" s="89" t="str">
        <f>Registro!N499</f>
        <v>a) Mucho</v>
      </c>
      <c r="P499" s="89" t="str">
        <f>Registro!O499</f>
        <v>c) Poco</v>
      </c>
      <c r="Q499" s="89" t="str">
        <f>Registro!P499</f>
        <v>b) Suficiente</v>
      </c>
      <c r="R499" s="89" t="str">
        <f>Registro!Q499</f>
        <v>a) La familia, c) Los estudios, g) La felicidad</v>
      </c>
      <c r="S499" s="94">
        <f t="shared" ref="S499:S511" si="44">COUNTIF(R499,"*a)*")+COUNTIF(R499,"*b)*")+COUNTIF(R499,"*c)*")+COUNTIF(R499,"*d)*")+COUNTIF(R499,"*e)*")+COUNTIF(R499,"*f)*")+COUNTIF(R499,"*g)*")+COUNTIF(R499,"*h)*")+COUNTIF(R499,"*i)*")+COUNTIF(R499,"*j)*")+COUNTIF(R499,"*k)*")+COUNTIF(R499,"*l)*")+COUNTIF(R499,"*m)*")+COUNTIF(R499,"*n)*")+COUNTIF(R499,"*o)*")+COUNTIF(R499,"*p)*")</f>
        <v>3</v>
      </c>
      <c r="T499" s="89" t="str">
        <f>Registro!R499</f>
        <v>a) Mucho</v>
      </c>
      <c r="U499" s="89" t="str">
        <f>Registro!S499</f>
        <v>a) La Iglesia, c) El salón de clase, g) Mi familia, i) Los necesitados</v>
      </c>
      <c r="V499" s="89" t="str">
        <f>Registro!T499</f>
        <v>c) Rezo solo en situación de dificultad</v>
      </c>
      <c r="W499" s="89" t="str">
        <f>Registro!U499</f>
        <v>c) Solo en fechas especiales</v>
      </c>
      <c r="X499" s="89" t="str">
        <f>Registro!V499</f>
        <v>a) Suelo llevar una cruz o algún objeto religioso</v>
      </c>
      <c r="Y499" s="89" t="str">
        <f>Registro!W499</f>
        <v>a) Deportivo</v>
      </c>
      <c r="Z499" s="89" t="str">
        <f>Registro!X499</f>
        <v>d) No pertenezco a grupos juveniles cristianos</v>
      </c>
      <c r="AA499" s="89" t="str">
        <f>Registro!Y499</f>
        <v>b) No</v>
      </c>
      <c r="AB499" s="89" t="str">
        <f>Registro!Z499</f>
        <v>b) No</v>
      </c>
      <c r="AC499" s="89" t="str">
        <f>Registro!AA499</f>
        <v>a) Medicina, i) Comerciante</v>
      </c>
      <c r="AD499" s="94">
        <f t="shared" ref="AD499:AD511" si="45">COUNTIF(AC499,"*a)*")+COUNTIF(AC499,"*b)*")+COUNTIF(AC499,"*c)*")+COUNTIF(AC499,"*d)*")+COUNTIF(AC499,"*e)*")+COUNTIF(AC499,"*f)*")+COUNTIF(AC499,"*g)*")+COUNTIF(AC499,"*h)*")+COUNTIF(AC499,"*i)*")+COUNTIF(AC499,"*j)*")+COUNTIF(AC499,"*k)*")+COUNTIF(AC499,"*l)*")+COUNTIF(AC499,"*m)*")+COUNTIF(AC499,"*n)*")+COUNTIF(AC499,"*o)*")+COUNTIF(AC499,"*p)*")</f>
        <v>2</v>
      </c>
      <c r="AE499" s="89" t="str">
        <f>Registro!AB499</f>
        <v>c) Ser un excelente profesional</v>
      </c>
      <c r="AF499" s="89" t="str">
        <f>Registro!AC499</f>
        <v>b) Poco</v>
      </c>
      <c r="AG499" s="89" t="str">
        <f>Registro!AD499</f>
        <v>a) Los deportes y diversiones, c) Las instalaciones del Colegio</v>
      </c>
      <c r="AH499" s="94">
        <f t="shared" si="41"/>
        <v>2</v>
      </c>
      <c r="AI499" s="89" t="str">
        <f>Registro!AE499</f>
        <v>b) 3 a 4 horas</v>
      </c>
      <c r="AJ499" s="89" t="str">
        <f>Registro!AF499</f>
        <v>a) Me divierto con juegos para computadoras, b) Navego en Internet, l) Escucho música y/o veo videos musicales</v>
      </c>
      <c r="AK499" s="94">
        <f t="shared" si="42"/>
        <v>3</v>
      </c>
      <c r="AL499" s="89" t="str">
        <f>Registro!AG499</f>
        <v>a) Muy bueno</v>
      </c>
      <c r="AM499" s="89" t="str">
        <f>Registro!AH499</f>
        <v>a) Muy buena</v>
      </c>
      <c r="AN499" s="89" t="str">
        <f>Registro!AI499</f>
        <v>b) Buena</v>
      </c>
      <c r="AO499" s="89" t="str">
        <f>Registro!AJ499</f>
        <v>a) Muy buena</v>
      </c>
      <c r="AP499" s="89" t="str">
        <f>Registro!AK499</f>
        <v>a) Muy buena</v>
      </c>
      <c r="AQ499" s="89" t="str">
        <f>Registro!AL499</f>
        <v>a) Muy buena</v>
      </c>
      <c r="AR499" s="89" t="str">
        <f>Registro!AM499</f>
        <v>a) Muy buena</v>
      </c>
      <c r="AS499" s="89" t="str">
        <f>Registro!AN499</f>
        <v>b) Buena</v>
      </c>
      <c r="AT499" s="89" t="str">
        <f>Registro!AO499</f>
        <v>b) Buena</v>
      </c>
      <c r="AU499" s="89" t="str">
        <f>Registro!AP499</f>
        <v>b) Buena</v>
      </c>
      <c r="AV499" s="89" t="str">
        <f>Registro!AQ499</f>
        <v>a) Muy buena</v>
      </c>
      <c r="AW499" s="89" t="str">
        <f>Registro!AR499</f>
        <v>a) El compañerismo</v>
      </c>
      <c r="AX499" s="89" t="str">
        <f>Registro!AS499</f>
        <v>b) Darme una buena educación</v>
      </c>
      <c r="AY499" s="89" t="str">
        <f>Registro!AT499</f>
        <v>d) Bastante necesaria</v>
      </c>
      <c r="AZ499" s="89" t="str">
        <f>Registro!AU499</f>
        <v>a) No acostumbro a tomarlo nunca</v>
      </c>
      <c r="BA499" s="89" t="str">
        <f>Registro!AV499</f>
        <v>e) Educadores que se preocupan de nosotros</v>
      </c>
      <c r="BB499" s="89" t="str">
        <f>Registro!AW499</f>
        <v>c) Bastante</v>
      </c>
      <c r="BC499" s="89" t="str">
        <f>Registro!AX499</f>
        <v>d) Hay de todo tipo, pero predomina lo positivo</v>
      </c>
      <c r="BD499" s="89" t="str">
        <f>Registro!AY499</f>
        <v>a) Mi padre, b) Mi madre, c) Un hermano/a, e) Un, una docente, g) Un amigo, h) Una amiga</v>
      </c>
    </row>
    <row r="500" spans="1:56" ht="15" customHeight="1" x14ac:dyDescent="0.3">
      <c r="A500" s="101">
        <f>Registro!A500</f>
        <v>42070.380428240744</v>
      </c>
      <c r="B500" s="89" t="str">
        <f>Registro!B500</f>
        <v>f) Nuestra Señora de Coromoto de Maracaibo</v>
      </c>
      <c r="C500" s="89" t="str">
        <f>Registro!C500</f>
        <v>a) Primer año</v>
      </c>
      <c r="D500" s="89" t="str">
        <f>Registro!D500</f>
        <v>a) Educación Inicial</v>
      </c>
      <c r="E500" s="89" t="str">
        <f>Registro!E500</f>
        <v>a) Masculino</v>
      </c>
      <c r="F500" s="89" t="str">
        <f>Registro!F500</f>
        <v>a) Católica</v>
      </c>
      <c r="G500" s="89" t="str">
        <f>Registro!G500</f>
        <v>b) Papá, e) Otros familiares</v>
      </c>
      <c r="H500" s="89" t="str">
        <f>Registro!H500</f>
        <v>b) Casa Urbana</v>
      </c>
      <c r="I500" s="89" t="str">
        <f>Registro!I500</f>
        <v>a) Sí</v>
      </c>
      <c r="J500" s="89" t="str">
        <f>Registro!J500</f>
        <v>a) Cónsola videojuegos, b) Lavadora, c) Microondas, e) Moto, h) Carro, i) Computadora, j) Cámara digital, k) Aire acondicionado</v>
      </c>
      <c r="K500" s="89" t="str">
        <f>Registro!K500</f>
        <v>f) Más de cuatro</v>
      </c>
      <c r="L500" s="89" t="str">
        <f>Registro!L500</f>
        <v>a) La familia, b) Los amigos, c) Los estudios</v>
      </c>
      <c r="M500" s="94">
        <f t="shared" si="43"/>
        <v>3</v>
      </c>
      <c r="N500" s="89" t="str">
        <f>Registro!M500</f>
        <v>a) Seguridad personal (la violencia y la delincuencia)</v>
      </c>
      <c r="O500" s="89" t="str">
        <f>Registro!N500</f>
        <v>c) Poco</v>
      </c>
      <c r="P500" s="89" t="str">
        <f>Registro!O500</f>
        <v>c) Poco</v>
      </c>
      <c r="Q500" s="89" t="str">
        <f>Registro!P500</f>
        <v>c) Poco</v>
      </c>
      <c r="R500" s="89" t="str">
        <f>Registro!Q500</f>
        <v>a) La familia, c) Los estudios, f) Mi fe y mi vida cristiana</v>
      </c>
      <c r="S500" s="94">
        <f t="shared" si="44"/>
        <v>3</v>
      </c>
      <c r="T500" s="89" t="str">
        <f>Registro!R500</f>
        <v>a) Mucho</v>
      </c>
      <c r="U500" s="89" t="str">
        <f>Registro!S500</f>
        <v>a) La Iglesia, b) La naturaleza, g) Mi familia</v>
      </c>
      <c r="V500" s="89" t="str">
        <f>Registro!T500</f>
        <v>a) Suelo rezar por convicción o porque me gusta</v>
      </c>
      <c r="W500" s="89" t="str">
        <f>Registro!U500</f>
        <v>b) Algunos domingos</v>
      </c>
      <c r="X500" s="89" t="str">
        <f>Registro!V500</f>
        <v>f) En alguna ocasión he rezado el rosario, g) En ocasiones, en mi casa tenemos una oración familiar, h) En Semana Santa asisto a las procesiones</v>
      </c>
      <c r="Y500" s="89" t="str">
        <f>Registro!W500</f>
        <v>a) Deportivo</v>
      </c>
      <c r="Z500" s="89" t="str">
        <f>Registro!X500</f>
        <v>b) Un lugar donde comparto con mis compañeros</v>
      </c>
      <c r="AA500" s="89" t="str">
        <f>Registro!Y500</f>
        <v>b) No</v>
      </c>
      <c r="AB500" s="89" t="str">
        <f>Registro!Z500</f>
        <v>b) No</v>
      </c>
      <c r="AC500" s="89" t="str">
        <f>Registro!AA500</f>
        <v>g) Artista, j) Trabajador calificado</v>
      </c>
      <c r="AD500" s="94">
        <f t="shared" si="45"/>
        <v>2</v>
      </c>
      <c r="AE500" s="89" t="str">
        <f>Registro!AB500</f>
        <v>c) Ser un excelente profesional</v>
      </c>
      <c r="AF500" s="89" t="str">
        <f>Registro!AC500</f>
        <v>d) Mucho o muchísimo</v>
      </c>
      <c r="AG500" s="89"/>
      <c r="AH500" s="94">
        <f t="shared" si="41"/>
        <v>0</v>
      </c>
      <c r="AI500" s="89" t="str">
        <f>Registro!AE500</f>
        <v>a) 0 a 2 horas</v>
      </c>
      <c r="AJ500" s="89" t="str">
        <f>Registro!AF500</f>
        <v>a) Me divierto con juegos para computadoras, d) Estoy la mayor parte del tiempo en la casa sin hacer nada, l) Escucho música y/o veo videos musicales</v>
      </c>
      <c r="AK500" s="94">
        <f t="shared" si="42"/>
        <v>3</v>
      </c>
      <c r="AL500" s="89" t="str">
        <f>Registro!AG500</f>
        <v>a) Muy bueno</v>
      </c>
      <c r="AM500" s="89" t="str">
        <f>Registro!AH500</f>
        <v>a) Muy buena</v>
      </c>
      <c r="AN500" s="89" t="str">
        <f>Registro!AI500</f>
        <v>a) Muy buena</v>
      </c>
      <c r="AO500" s="89" t="str">
        <f>Registro!AJ500</f>
        <v>a) Muy buena</v>
      </c>
      <c r="AP500" s="89" t="str">
        <f>Registro!AK500</f>
        <v>b) Buena</v>
      </c>
      <c r="AQ500" s="89" t="str">
        <f>Registro!AL500</f>
        <v>a) Muy buena</v>
      </c>
      <c r="AR500" s="89" t="str">
        <f>Registro!AM500</f>
        <v>b) Buena</v>
      </c>
      <c r="AS500" s="89" t="str">
        <f>Registro!AN500</f>
        <v>a) Muy buena</v>
      </c>
      <c r="AT500" s="89" t="str">
        <f>Registro!AO500</f>
        <v>b) Buena</v>
      </c>
      <c r="AU500" s="89" t="str">
        <f>Registro!AP500</f>
        <v>a) Muy buena</v>
      </c>
      <c r="AV500" s="89" t="str">
        <f>Registro!AQ500</f>
        <v>a) Muy buena</v>
      </c>
      <c r="AW500" s="89" t="str">
        <f>Registro!AR500</f>
        <v>i) En nada</v>
      </c>
      <c r="AX500" s="89" t="str">
        <f>Registro!AS500</f>
        <v>a) Que sea un buen profesional</v>
      </c>
      <c r="AY500" s="89" t="str">
        <f>Registro!AT500</f>
        <v>d) Bastante necesaria</v>
      </c>
      <c r="AZ500" s="89" t="str">
        <f>Registro!AU500</f>
        <v>a) No acostumbro a tomarlo nunca</v>
      </c>
      <c r="BA500" s="89" t="str">
        <f>Registro!AV500</f>
        <v>d) Buenos profesionales de la educación</v>
      </c>
      <c r="BB500" s="89" t="str">
        <f>Registro!AW500</f>
        <v>a) No, en absoluto</v>
      </c>
      <c r="BC500" s="89" t="str">
        <f>Registro!AX500</f>
        <v>c) Son personas normales y corrientes</v>
      </c>
      <c r="BD500" s="89" t="str">
        <f>Registro!AY500</f>
        <v>a) Mi padre, b) Mi madre, g) Un amigo</v>
      </c>
    </row>
    <row r="501" spans="1:56" ht="15" customHeight="1" x14ac:dyDescent="0.3">
      <c r="A501" s="101">
        <f>Registro!A501</f>
        <v>42070.380706018521</v>
      </c>
      <c r="B501" s="89" t="str">
        <f>Registro!B501</f>
        <v>f) Nuestra Señora de Coromoto de Maracaibo</v>
      </c>
      <c r="C501" s="89" t="str">
        <f>Registro!C501</f>
        <v>a) Primer año</v>
      </c>
      <c r="D501" s="89" t="str">
        <f>Registro!D501</f>
        <v>b) Primaria</v>
      </c>
      <c r="E501" s="89" t="str">
        <f>Registro!E501</f>
        <v>a) Masculino</v>
      </c>
      <c r="F501" s="89" t="str">
        <f>Registro!F501</f>
        <v>a) Católica</v>
      </c>
      <c r="G501" s="89" t="str">
        <f>Registro!G501</f>
        <v>a) Mamá, b) Papá, c) Hermanos, d) Abuelos</v>
      </c>
      <c r="H501" s="89" t="str">
        <f>Registro!H501</f>
        <v>c) Apartamento</v>
      </c>
      <c r="I501" s="89" t="str">
        <f>Registro!I501</f>
        <v>c) Algo</v>
      </c>
      <c r="J501" s="89" t="str">
        <f>Registro!J501</f>
        <v>a) Cónsola videojuegos, b) Lavadora, c) Microondas, d) TV pantalla plana, h) Carro, i) Computadora, j) Cámara digital, k) Aire acondicionado</v>
      </c>
      <c r="K501" s="89" t="str">
        <f>Registro!K501</f>
        <v>c) Dos</v>
      </c>
      <c r="L501" s="89" t="str">
        <f>Registro!L501</f>
        <v>a) La familia, b) Los amigos, g) La felicidad</v>
      </c>
      <c r="M501" s="94">
        <f t="shared" si="43"/>
        <v>3</v>
      </c>
      <c r="N501" s="89" t="str">
        <f>Registro!M501</f>
        <v>a) Seguridad personal (la violencia y la delincuencia)</v>
      </c>
      <c r="O501" s="89" t="str">
        <f>Registro!N501</f>
        <v>c) Poco</v>
      </c>
      <c r="P501" s="89" t="str">
        <f>Registro!O501</f>
        <v>c) Poco</v>
      </c>
      <c r="Q501" s="89" t="str">
        <f>Registro!P501</f>
        <v>c) Poco</v>
      </c>
      <c r="R501" s="89" t="str">
        <f>Registro!Q501</f>
        <v>a) La familia, c) Los estudios, g) La felicidad</v>
      </c>
      <c r="S501" s="94">
        <f t="shared" si="44"/>
        <v>3</v>
      </c>
      <c r="T501" s="89" t="str">
        <f>Registro!R501</f>
        <v>a) Mucho</v>
      </c>
      <c r="U501" s="89" t="str">
        <f>Registro!S501</f>
        <v>a) La Iglesia, b) La naturaleza, c) El salón de clase, d) Las convivencias, h) Algunas personas cercanas a Dios, i) Los necesitados, k) La oración, l) Los sacramentos</v>
      </c>
      <c r="V501" s="89" t="str">
        <f>Registro!T501</f>
        <v>b) Rezo por costumbre</v>
      </c>
      <c r="W501" s="89" t="str">
        <f>Registro!U501</f>
        <v>c) Solo en fechas especiales</v>
      </c>
      <c r="X501" s="89" t="str">
        <f>Registro!V501</f>
        <v>e) Voy a misa en las fechas de mis familiares difuntos</v>
      </c>
      <c r="Y501" s="89" t="str">
        <f>Registro!W501</f>
        <v>d) No pertenezco a ninguno</v>
      </c>
      <c r="Z501" s="89" t="str">
        <f>Registro!X501</f>
        <v>d) No pertenezco a grupos juveniles cristianos</v>
      </c>
      <c r="AA501" s="89" t="str">
        <f>Registro!Y501</f>
        <v>b) No</v>
      </c>
      <c r="AB501" s="89" t="str">
        <f>Registro!Z501</f>
        <v>b) No</v>
      </c>
      <c r="AC501" s="89" t="str">
        <f>Registro!AA501</f>
        <v>b) Docencia, d) Ingeniería</v>
      </c>
      <c r="AD501" s="94">
        <f t="shared" si="45"/>
        <v>2</v>
      </c>
      <c r="AE501" s="89" t="str">
        <f>Registro!AB501</f>
        <v>c) Ser un excelente profesional</v>
      </c>
      <c r="AF501" s="89" t="str">
        <f>Registro!AC501</f>
        <v>b) Poco</v>
      </c>
      <c r="AG501" s="89" t="str">
        <f>Registro!AD501</f>
        <v>a) Los deportes y diversiones, h) Las actividades extraescolares</v>
      </c>
      <c r="AH501" s="94">
        <f t="shared" si="41"/>
        <v>2</v>
      </c>
      <c r="AI501" s="89" t="str">
        <f>Registro!AE501</f>
        <v>a) 0 a 2 horas</v>
      </c>
      <c r="AJ501" s="89" t="str">
        <f>Registro!AF501</f>
        <v>a) Me divierto con juegos para computadoras, b) Navego en Internet, n) Estoy conversando con los amigos/as</v>
      </c>
      <c r="AK501" s="94">
        <f t="shared" si="42"/>
        <v>3</v>
      </c>
      <c r="AL501" s="89" t="str">
        <f>Registro!AG501</f>
        <v>b) Bueno</v>
      </c>
      <c r="AM501" s="89" t="str">
        <f>Registro!AH501</f>
        <v>d) Mala</v>
      </c>
      <c r="AN501" s="89" t="str">
        <f>Registro!AI501</f>
        <v>c) Regular</v>
      </c>
      <c r="AO501" s="89" t="str">
        <f>Registro!AJ501</f>
        <v>b) Buena</v>
      </c>
      <c r="AP501" s="89" t="str">
        <f>Registro!AK501</f>
        <v>a) Muy buena</v>
      </c>
      <c r="AQ501" s="89" t="str">
        <f>Registro!AL501</f>
        <v>b) Buena</v>
      </c>
      <c r="AR501" s="89" t="str">
        <f>Registro!AM501</f>
        <v>a) Muy buena</v>
      </c>
      <c r="AS501" s="89" t="str">
        <f>Registro!AN501</f>
        <v>c) Regular</v>
      </c>
      <c r="AT501" s="89" t="str">
        <f>Registro!AO501</f>
        <v>a) Muy buena</v>
      </c>
      <c r="AU501" s="89" t="str">
        <f>Registro!AP501</f>
        <v>c) Regular</v>
      </c>
      <c r="AV501" s="89" t="str">
        <f>Registro!AQ501</f>
        <v>b) Buena</v>
      </c>
      <c r="AW501" s="89" t="str">
        <f>Registro!AR501</f>
        <v>e) La disciplina y el orden</v>
      </c>
      <c r="AX501" s="89" t="str">
        <f>Registro!AS501</f>
        <v>f) Que tenga honradez en la vida</v>
      </c>
      <c r="AY501" s="89" t="str">
        <f>Registro!AT501</f>
        <v>d) Bastante necesaria</v>
      </c>
      <c r="AZ501" s="89" t="str">
        <f>Registro!AU501</f>
        <v>a) No acostumbro a tomarlo nunca</v>
      </c>
      <c r="BA501" s="89" t="str">
        <f>Registro!AV501</f>
        <v>d) Buenos profesionales de la educación</v>
      </c>
      <c r="BB501" s="89" t="str">
        <f>Registro!AW501</f>
        <v>c) Bastante</v>
      </c>
      <c r="BC501" s="89" t="str">
        <f>Registro!AX501</f>
        <v>d) Hay de todo tipo, pero predomina lo positivo</v>
      </c>
      <c r="BD501" s="89" t="str">
        <f>Registro!AY501</f>
        <v>b) Mi madre</v>
      </c>
    </row>
    <row r="502" spans="1:56" ht="15" customHeight="1" x14ac:dyDescent="0.3">
      <c r="A502" s="101">
        <f>Registro!A502</f>
        <v>42192.210868055554</v>
      </c>
      <c r="B502" s="89" t="str">
        <f>Registro!B502</f>
        <v>f) Nuestra Señora de Coromoto de Maracaibo</v>
      </c>
      <c r="C502" s="89" t="str">
        <f>Registro!C502</f>
        <v>a) Primer año</v>
      </c>
      <c r="D502" s="89" t="str">
        <f>Registro!D502</f>
        <v>b) Primaria</v>
      </c>
      <c r="E502" s="89" t="str">
        <f>Registro!E502</f>
        <v>a) Masculino</v>
      </c>
      <c r="F502" s="89" t="str">
        <f>Registro!F502</f>
        <v>a) Católica</v>
      </c>
      <c r="G502" s="89" t="str">
        <f>Registro!G502</f>
        <v>a) Mamá, b) Papá, c) Hermanos, d) Abuelos, e) Otros familiares</v>
      </c>
      <c r="H502" s="89" t="str">
        <f>Registro!H502</f>
        <v>b) Casa Urbana</v>
      </c>
      <c r="I502" s="89" t="str">
        <f>Registro!I502</f>
        <v>a) Sí</v>
      </c>
      <c r="J502" s="89" t="str">
        <f>Registro!J502</f>
        <v>a) Cónsola videojuegos, b) Lavadora, c) Microondas, d) TV pantalla plana, e) Moto, g) MP4, h) Carro, i) Computadora, j) Cámara digital, k) Aire acondicionado</v>
      </c>
      <c r="K502" s="89" t="str">
        <f>Registro!K502</f>
        <v>f) Más de cuatro</v>
      </c>
      <c r="L502" s="89" t="str">
        <f>Registro!L502</f>
        <v>a) La familia, c) Los estudios, f) Mi fe y vida cristiana</v>
      </c>
      <c r="M502" s="94">
        <f t="shared" si="43"/>
        <v>3</v>
      </c>
      <c r="N502" s="89" t="str">
        <f>Registro!M502</f>
        <v>b) El futuro</v>
      </c>
      <c r="O502" s="89" t="str">
        <f>Registro!N502</f>
        <v>a) Mucho</v>
      </c>
      <c r="P502" s="89" t="str">
        <f>Registro!O502</f>
        <v>a) Mucho</v>
      </c>
      <c r="Q502" s="89" t="str">
        <f>Registro!P502</f>
        <v>b) Suficiente</v>
      </c>
      <c r="R502" s="89" t="str">
        <f>Registro!Q502</f>
        <v>b) Los amigos, c) Los estudios, d) El cuidado de mi cuerpo</v>
      </c>
      <c r="S502" s="94">
        <f t="shared" si="44"/>
        <v>3</v>
      </c>
      <c r="T502" s="89" t="str">
        <f>Registro!R502</f>
        <v>a) Mucho</v>
      </c>
      <c r="U502" s="89" t="str">
        <f>Registro!S502</f>
        <v>j) Todas partes</v>
      </c>
      <c r="V502" s="89" t="str">
        <f>Registro!T502</f>
        <v>a) Suelo rezar por convicción o porque me gusta</v>
      </c>
      <c r="W502" s="89" t="str">
        <f>Registro!U502</f>
        <v>c) Solo en fechas especiales</v>
      </c>
      <c r="X502" s="89" t="str">
        <f>Registro!V502</f>
        <v>e) Voy a misa en las fechas de mis familiares difuntos</v>
      </c>
      <c r="Y502" s="89" t="str">
        <f>Registro!W502</f>
        <v>a) Deportivo</v>
      </c>
      <c r="Z502" s="89" t="str">
        <f>Registro!X502</f>
        <v>b) Un lugar donde comparto con mis compañeros</v>
      </c>
      <c r="AA502" s="89" t="str">
        <f>Registro!Y502</f>
        <v>c) Algo</v>
      </c>
      <c r="AB502" s="89" t="str">
        <f>Registro!Z502</f>
        <v>c) Algo</v>
      </c>
      <c r="AC502" s="89" t="str">
        <f>Registro!AA502</f>
        <v>d) Ingeniería, g) Artista</v>
      </c>
      <c r="AD502" s="94">
        <f t="shared" si="45"/>
        <v>2</v>
      </c>
      <c r="AE502" s="89" t="str">
        <f>Registro!AB502</f>
        <v>d) Desarrollarme personalmente</v>
      </c>
      <c r="AF502" s="89" t="str">
        <f>Registro!AC502</f>
        <v>b) Poco</v>
      </c>
      <c r="AG502" s="89" t="str">
        <f>Registro!AD502</f>
        <v>b) El ambiente de estudio y de trabajo, g) La relación con los docentes</v>
      </c>
      <c r="AH502" s="94">
        <f t="shared" si="41"/>
        <v>2</v>
      </c>
      <c r="AI502" s="89" t="str">
        <f>Registro!AE502</f>
        <v>d) 7 a 8 horas</v>
      </c>
      <c r="AJ502" s="89" t="str">
        <f>Registro!AF502</f>
        <v>a) Me divierto con juegos para computadoras, b) Navego en Internet, n) Estoy conversando con los amigos/as</v>
      </c>
      <c r="AK502" s="94">
        <f t="shared" si="42"/>
        <v>3</v>
      </c>
      <c r="AL502" s="89">
        <f>Registro!AG502</f>
        <v>0</v>
      </c>
      <c r="AM502" s="89" t="str">
        <f>Registro!AH502</f>
        <v>a) Muy buena</v>
      </c>
      <c r="AN502" s="89" t="str">
        <f>Registro!AI502</f>
        <v>a) Muy buena</v>
      </c>
      <c r="AO502" s="89" t="str">
        <f>Registro!AJ502</f>
        <v>a) Muy buena</v>
      </c>
      <c r="AP502" s="89" t="str">
        <f>Registro!AK502</f>
        <v>a) Muy buena</v>
      </c>
      <c r="AQ502" s="89" t="str">
        <f>Registro!AL502</f>
        <v>a) Muy buena</v>
      </c>
      <c r="AR502" s="89" t="str">
        <f>Registro!AM502</f>
        <v>b) Buena</v>
      </c>
      <c r="AS502" s="89" t="str">
        <f>Registro!AN502</f>
        <v>c) Regular</v>
      </c>
      <c r="AT502" s="89" t="str">
        <f>Registro!AO502</f>
        <v>a) Muy buena</v>
      </c>
      <c r="AU502" s="89" t="str">
        <f>Registro!AP502</f>
        <v>c) Regular</v>
      </c>
      <c r="AV502" s="89" t="str">
        <f>Registro!AQ502</f>
        <v>a) Muy buena</v>
      </c>
      <c r="AW502" s="89" t="str">
        <f>Registro!AR502</f>
        <v>c) El estudio</v>
      </c>
      <c r="AX502" s="89" t="str">
        <f>Registro!AS502</f>
        <v>b) Darme una buena educación</v>
      </c>
      <c r="AY502" s="89" t="str">
        <f>Registro!AT502</f>
        <v>e) Absolutamente necesaria</v>
      </c>
      <c r="AZ502" s="89" t="str">
        <f>Registro!AU502</f>
        <v>a) No acostumbro a tomarlo nunca</v>
      </c>
      <c r="BA502" s="89" t="str">
        <f>Registro!AV502</f>
        <v>f) Educadores que, además, me han abierto caminos</v>
      </c>
      <c r="BB502" s="89" t="str">
        <f>Registro!AW502</f>
        <v>d) Mucho o muchísimo</v>
      </c>
      <c r="BC502" s="89" t="str">
        <f>Registro!AX502</f>
        <v>c) Son personas normales y corrientes</v>
      </c>
      <c r="BD502" s="89" t="str">
        <f>Registro!AY502</f>
        <v>a) Mi padre, b) Mi madre, c) Un hermano/a</v>
      </c>
    </row>
    <row r="503" spans="1:56" ht="15" customHeight="1" x14ac:dyDescent="0.3">
      <c r="A503" s="101">
        <f>Registro!A503</f>
        <v>42192.211504629631</v>
      </c>
      <c r="B503" s="89" t="str">
        <f>Registro!B503</f>
        <v>f) Nuestra Señora de Coromoto de Maracaibo</v>
      </c>
      <c r="C503" s="89" t="str">
        <f>Registro!C503</f>
        <v>a) Primer año</v>
      </c>
      <c r="D503" s="89" t="str">
        <f>Registro!D503</f>
        <v>b) Primaria</v>
      </c>
      <c r="E503" s="89" t="str">
        <f>Registro!E503</f>
        <v>a) Masculino</v>
      </c>
      <c r="F503" s="89" t="str">
        <f>Registro!F503</f>
        <v>a) Católica</v>
      </c>
      <c r="G503" s="89" t="str">
        <f>Registro!G503</f>
        <v>a) Mamá, b) Papá, c) Hermanos, d) Abuelos, e) Otros familiares</v>
      </c>
      <c r="H503" s="89" t="str">
        <f>Registro!H503</f>
        <v>b) Casa Urbana</v>
      </c>
      <c r="I503" s="89" t="str">
        <f>Registro!I503</f>
        <v>a) Sí</v>
      </c>
      <c r="J503" s="89" t="str">
        <f>Registro!J503</f>
        <v>a) Cónsola videojuegos, b) Lavadora, c) Microondas, d) TV pantalla plana, e) Moto, g) MP4, h) Carro, i) Computadora, j) Cámara digital, k) Aire acondicionado</v>
      </c>
      <c r="K503" s="89" t="str">
        <f>Registro!K503</f>
        <v>f) Más de cuatro</v>
      </c>
      <c r="L503" s="89" t="str">
        <f>Registro!L503</f>
        <v>a) La familia, c) Los estudios, f) Mi fe y vida cristiana</v>
      </c>
      <c r="M503" s="94">
        <f t="shared" si="43"/>
        <v>3</v>
      </c>
      <c r="N503" s="89" t="str">
        <f>Registro!M503</f>
        <v>b) El futuro</v>
      </c>
      <c r="O503" s="89" t="str">
        <f>Registro!N503</f>
        <v>a) Mucho</v>
      </c>
      <c r="P503" s="89" t="str">
        <f>Registro!O503</f>
        <v>a) Mucho</v>
      </c>
      <c r="Q503" s="89" t="str">
        <f>Registro!P503</f>
        <v>b) Suficiente</v>
      </c>
      <c r="R503" s="89" t="str">
        <f>Registro!Q503</f>
        <v>b) Los amigos, c) Los estudios, d) El cuidado de mi cuerpo</v>
      </c>
      <c r="S503" s="94">
        <f t="shared" si="44"/>
        <v>3</v>
      </c>
      <c r="T503" s="89" t="str">
        <f>Registro!R503</f>
        <v>a) Mucho</v>
      </c>
      <c r="U503" s="89" t="str">
        <f>Registro!S503</f>
        <v>j) Todas partes</v>
      </c>
      <c r="V503" s="89" t="str">
        <f>Registro!T503</f>
        <v>a) Suelo rezar por convicción o porque me gusta</v>
      </c>
      <c r="W503" s="89" t="str">
        <f>Registro!U503</f>
        <v>c) Solo en fechas especiales</v>
      </c>
      <c r="X503" s="89" t="str">
        <f>Registro!V503</f>
        <v>e) Voy a misa en las fechas de mis familiares difuntos</v>
      </c>
      <c r="Y503" s="89" t="str">
        <f>Registro!W503</f>
        <v>a) Deportivo</v>
      </c>
      <c r="Z503" s="89" t="str">
        <f>Registro!X503</f>
        <v>b) Un lugar donde comparto con mis compañeros</v>
      </c>
      <c r="AA503" s="89" t="str">
        <f>Registro!Y503</f>
        <v>c) Algo</v>
      </c>
      <c r="AB503" s="89" t="str">
        <f>Registro!Z503</f>
        <v>c) Algo</v>
      </c>
      <c r="AC503" s="89" t="str">
        <f>Registro!AA503</f>
        <v>d) Ingeniería, g) Artista</v>
      </c>
      <c r="AD503" s="94">
        <f t="shared" si="45"/>
        <v>2</v>
      </c>
      <c r="AE503" s="89" t="str">
        <f>Registro!AB503</f>
        <v>d) Desarrollarme personalmente</v>
      </c>
      <c r="AF503" s="89" t="str">
        <f>Registro!AC503</f>
        <v>b) Poco</v>
      </c>
      <c r="AG503" s="89" t="str">
        <f>Registro!AD503</f>
        <v>b) El ambiente de estudio y de trabajo, g) La relación con los docentes</v>
      </c>
      <c r="AH503" s="94">
        <f t="shared" si="41"/>
        <v>2</v>
      </c>
      <c r="AI503" s="89" t="str">
        <f>Registro!AE503</f>
        <v>d) 7 a 8 horas</v>
      </c>
      <c r="AJ503" s="89" t="str">
        <f>Registro!AF503</f>
        <v>a) Me divierto con juegos para computadoras, b) Navego en Internet, n) Estoy conversando con los amigos/as</v>
      </c>
      <c r="AK503" s="94">
        <f t="shared" si="42"/>
        <v>3</v>
      </c>
      <c r="AL503" s="89">
        <f>Registro!AG503</f>
        <v>0</v>
      </c>
      <c r="AM503" s="89" t="str">
        <f>Registro!AH503</f>
        <v>a) Muy buena</v>
      </c>
      <c r="AN503" s="89" t="str">
        <f>Registro!AI503</f>
        <v>a) Muy buena</v>
      </c>
      <c r="AO503" s="89" t="str">
        <f>Registro!AJ503</f>
        <v>a) Muy buena</v>
      </c>
      <c r="AP503" s="89" t="str">
        <f>Registro!AK503</f>
        <v>a) Muy buena</v>
      </c>
      <c r="AQ503" s="89" t="str">
        <f>Registro!AL503</f>
        <v>a) Muy buena</v>
      </c>
      <c r="AR503" s="89" t="str">
        <f>Registro!AM503</f>
        <v>b) Buena</v>
      </c>
      <c r="AS503" s="89" t="str">
        <f>Registro!AN503</f>
        <v>c) Regular</v>
      </c>
      <c r="AT503" s="89" t="str">
        <f>Registro!AO503</f>
        <v>a) Muy buena</v>
      </c>
      <c r="AU503" s="89" t="str">
        <f>Registro!AP503</f>
        <v>c) Regular</v>
      </c>
      <c r="AV503" s="89" t="str">
        <f>Registro!AQ503</f>
        <v>a) Muy buena</v>
      </c>
      <c r="AW503" s="89" t="str">
        <f>Registro!AR503</f>
        <v>c) El estudio</v>
      </c>
      <c r="AX503" s="89" t="str">
        <f>Registro!AS503</f>
        <v>b) Darme una buena educación</v>
      </c>
      <c r="AY503" s="89" t="str">
        <f>Registro!AT503</f>
        <v>e) Absolutamente necesaria</v>
      </c>
      <c r="AZ503" s="89" t="str">
        <f>Registro!AU503</f>
        <v>a) No acostumbro a tomarlo nunca</v>
      </c>
      <c r="BA503" s="89" t="str">
        <f>Registro!AV503</f>
        <v>f) Educadores que, además, me han abierto caminos</v>
      </c>
      <c r="BB503" s="89" t="str">
        <f>Registro!AW503</f>
        <v>d) Mucho o muchísimo</v>
      </c>
      <c r="BC503" s="89" t="str">
        <f>Registro!AX503</f>
        <v>c) Son personas normales y corrientes</v>
      </c>
      <c r="BD503" s="89" t="str">
        <f>Registro!AY503</f>
        <v>a) Mi padre, b) Mi madre, c) Un hermano/a</v>
      </c>
    </row>
    <row r="504" spans="1:56" ht="15" customHeight="1" x14ac:dyDescent="0.3">
      <c r="A504" s="101">
        <f>Registro!A504</f>
        <v>42192.213182870371</v>
      </c>
      <c r="B504" s="89" t="str">
        <f>Registro!B504</f>
        <v>f) Nuestra Señora de Coromoto de Maracaibo</v>
      </c>
      <c r="C504" s="89" t="str">
        <f>Registro!C504</f>
        <v>a) Primer año</v>
      </c>
      <c r="D504" s="89" t="str">
        <f>Registro!D504</f>
        <v>b) Primaria</v>
      </c>
      <c r="E504" s="89" t="str">
        <f>Registro!E504</f>
        <v>a) Masculino</v>
      </c>
      <c r="F504" s="89" t="str">
        <f>Registro!F504</f>
        <v>a) Católica</v>
      </c>
      <c r="G504" s="89" t="str">
        <f>Registro!G504</f>
        <v>a) Mamá, b) Papá, c) Hermanos</v>
      </c>
      <c r="H504" s="89" t="str">
        <f>Registro!H504</f>
        <v>b) Casa Urbana</v>
      </c>
      <c r="I504" s="89" t="str">
        <f>Registro!I504</f>
        <v>a) Sí</v>
      </c>
      <c r="J504" s="89" t="str">
        <f>Registro!J504</f>
        <v>a) Cónsola videojuegos, d) TV pantalla plana, f) MP3, i) Computadora, j) Cámara digital, k) Aire acondicionado</v>
      </c>
      <c r="K504" s="89" t="str">
        <f>Registro!K504</f>
        <v>b) Una</v>
      </c>
      <c r="L504" s="89" t="str">
        <f>Registro!L504</f>
        <v>a) La familia, b) Los amigos, c) Los estudios</v>
      </c>
      <c r="M504" s="94">
        <f t="shared" si="43"/>
        <v>3</v>
      </c>
      <c r="N504" s="89" t="str">
        <f>Registro!M504</f>
        <v>b) El futuro</v>
      </c>
      <c r="O504" s="89" t="str">
        <f>Registro!N504</f>
        <v>a) Mucho</v>
      </c>
      <c r="P504" s="89" t="str">
        <f>Registro!O504</f>
        <v>b) Suficiente</v>
      </c>
      <c r="Q504" s="89" t="str">
        <f>Registro!P504</f>
        <v>b) Suficiente</v>
      </c>
      <c r="R504" s="89" t="str">
        <f>Registro!Q504</f>
        <v>a) La familia, b) Los amigos, c) Los estudios</v>
      </c>
      <c r="S504" s="94">
        <f t="shared" si="44"/>
        <v>3</v>
      </c>
      <c r="T504" s="89" t="str">
        <f>Registro!R504</f>
        <v>b) Suficiente</v>
      </c>
      <c r="U504" s="89" t="str">
        <f>Registro!S504</f>
        <v>a) La Iglesia, b) La naturaleza, d) Las convivencias, e) Los amigos, g) Mi familia, h) Algunas personas cercanas a Dios, i) Los necesitados, k) La oración, l) Los sacramentos</v>
      </c>
      <c r="V504" s="89" t="str">
        <f>Registro!T504</f>
        <v>a) Suelo rezar por convicción o porque me gusta</v>
      </c>
      <c r="W504" s="89" t="str">
        <f>Registro!U504</f>
        <v>b) Algunos domingos</v>
      </c>
      <c r="X504" s="89" t="str">
        <f>Registro!V504</f>
        <v>c) Suelo ir los domingos y otras fechas especiales a la Iglesia, e) Voy a misa en las fechas de mis familiares difuntos, f) En alguna ocasión he rezado el rosario, h) En Semana Santa asisto a las procesiones</v>
      </c>
      <c r="Y504" s="89" t="str">
        <f>Registro!W504</f>
        <v>d) No pertenezco a ninguno</v>
      </c>
      <c r="Z504" s="89" t="str">
        <f>Registro!X504</f>
        <v>a) Un grupo donde profundizo mi fe</v>
      </c>
      <c r="AA504" s="89" t="str">
        <f>Registro!Y504</f>
        <v>c) Algo</v>
      </c>
      <c r="AB504" s="89" t="str">
        <f>Registro!Z504</f>
        <v>c) Algo</v>
      </c>
      <c r="AC504" s="89" t="str">
        <f>Registro!AA504</f>
        <v>e) Derecho, i) Comerciante</v>
      </c>
      <c r="AD504" s="94">
        <f t="shared" si="45"/>
        <v>2</v>
      </c>
      <c r="AE504" s="89" t="str">
        <f>Registro!AB504</f>
        <v>b) Tener una buena posición social, ser importante</v>
      </c>
      <c r="AF504" s="89" t="str">
        <f>Registro!AC504</f>
        <v>c) Bastante</v>
      </c>
      <c r="AG504" s="89" t="str">
        <f>Registro!AD504</f>
        <v>a) Los deportes y diversiones, c) Las instalaciones del Colegio</v>
      </c>
      <c r="AH504" s="94">
        <f t="shared" si="41"/>
        <v>2</v>
      </c>
      <c r="AI504" s="89" t="str">
        <f>Registro!AE504</f>
        <v>c) 5 a 6 horas</v>
      </c>
      <c r="AJ504" s="89" t="str">
        <f>Registro!AF504</f>
        <v>d) Estoy la mayor parte del tiempo en la casa sin hacer nada, h) Suelo ir al cine, n) Estoy conversando con los amigos/as</v>
      </c>
      <c r="AK504" s="94">
        <f t="shared" si="42"/>
        <v>3</v>
      </c>
      <c r="AL504" s="89" t="str">
        <f>Registro!AG504</f>
        <v>a) Muy bueno</v>
      </c>
      <c r="AM504" s="89" t="str">
        <f>Registro!AH504</f>
        <v>b) Buena</v>
      </c>
      <c r="AN504" s="89" t="str">
        <f>Registro!AI504</f>
        <v>b) Buena</v>
      </c>
      <c r="AO504" s="89" t="str">
        <f>Registro!AJ504</f>
        <v>a) Muy buena</v>
      </c>
      <c r="AP504" s="89" t="str">
        <f>Registro!AK504</f>
        <v>a) Muy buena</v>
      </c>
      <c r="AQ504" s="89" t="str">
        <f>Registro!AL504</f>
        <v>a) Muy buena</v>
      </c>
      <c r="AR504" s="89" t="str">
        <f>Registro!AM504</f>
        <v>a) Muy buena</v>
      </c>
      <c r="AS504" s="89" t="str">
        <f>Registro!AN504</f>
        <v>a) Muy buena</v>
      </c>
      <c r="AT504" s="89" t="str">
        <f>Registro!AO504</f>
        <v>a) Muy buena</v>
      </c>
      <c r="AU504" s="89" t="str">
        <f>Registro!AP504</f>
        <v>a) Muy buena</v>
      </c>
      <c r="AV504" s="89" t="str">
        <f>Registro!AQ504</f>
        <v>b) Buena</v>
      </c>
      <c r="AW504" s="89" t="str">
        <f>Registro!AR504</f>
        <v>a) El compañerismo</v>
      </c>
      <c r="AX504" s="89" t="str">
        <f>Registro!AS504</f>
        <v>b) Darme una buena educación</v>
      </c>
      <c r="AY504" s="89" t="str">
        <f>Registro!AT504</f>
        <v>d) Bastante necesaria</v>
      </c>
      <c r="AZ504" s="89" t="str">
        <f>Registro!AU504</f>
        <v>a) No acostumbro a tomarlo nunca</v>
      </c>
      <c r="BA504" s="89" t="str">
        <f>Registro!AV504</f>
        <v>f) Educadores que, además, me han abierto caminos</v>
      </c>
      <c r="BB504" s="89" t="str">
        <f>Registro!AW504</f>
        <v>d) Mucho o muchísimo</v>
      </c>
      <c r="BC504" s="89" t="str">
        <f>Registro!AX504</f>
        <v>e) Son personas que me gustan y admiro</v>
      </c>
      <c r="BD504" s="89" t="str">
        <f>Registro!AY504</f>
        <v>a) Mi padre, b) Mi madre, c) Un hermano/a, d) Un escolapio, religioso o religiosa, e) Un, una docente, f) La orientadora, g) Un amigo, h) Una amiga, i) Un, una catequista o responsable de grupo</v>
      </c>
    </row>
    <row r="505" spans="1:56" ht="15" customHeight="1" x14ac:dyDescent="0.3">
      <c r="A505" s="101">
        <f>Registro!A505</f>
        <v>42192.226898148147</v>
      </c>
      <c r="B505" s="89" t="str">
        <f>Registro!B505</f>
        <v>f) Nuestra Señora de Coromoto de Maracaibo</v>
      </c>
      <c r="C505" s="89" t="str">
        <f>Registro!C505</f>
        <v>a) Primer año</v>
      </c>
      <c r="D505" s="89" t="str">
        <f>Registro!D505</f>
        <v>a) Educación Inicial</v>
      </c>
      <c r="E505" s="89" t="str">
        <f>Registro!E505</f>
        <v>b) Femenino</v>
      </c>
      <c r="F505" s="89" t="str">
        <f>Registro!F505</f>
        <v>a) Católica</v>
      </c>
      <c r="G505" s="89" t="str">
        <f>Registro!G505</f>
        <v>a) Mamá, b) Papá, c) Hermanos, d) Abuelos</v>
      </c>
      <c r="H505" s="89" t="str">
        <f>Registro!H505</f>
        <v>c) Apartamento</v>
      </c>
      <c r="I505" s="89" t="str">
        <f>Registro!I505</f>
        <v>c) Algo</v>
      </c>
      <c r="J505" s="89" t="str">
        <f>Registro!J505</f>
        <v>a) Cónsola videojuegos, b) Lavadora, c) Microondas, d) TV pantalla plana, f) MP3, g) MP4, i) Computadora, j) Cámara digital, k) Aire acondicionado</v>
      </c>
      <c r="K505" s="89" t="str">
        <f>Registro!K505</f>
        <v>b) Una</v>
      </c>
      <c r="L505" s="89" t="str">
        <f>Registro!L505</f>
        <v>a) La familia, b) Los amigos, c) Los estudios</v>
      </c>
      <c r="M505" s="94">
        <f t="shared" si="43"/>
        <v>3</v>
      </c>
      <c r="N505" s="89" t="str">
        <f>Registro!M505</f>
        <v>d) Los problemas familiares</v>
      </c>
      <c r="O505" s="89" t="str">
        <f>Registro!N505</f>
        <v>c) Poco</v>
      </c>
      <c r="P505" s="89" t="str">
        <f>Registro!O505</f>
        <v>d) Nada</v>
      </c>
      <c r="Q505" s="89" t="str">
        <f>Registro!P505</f>
        <v>c) Poco</v>
      </c>
      <c r="R505" s="89" t="str">
        <f>Registro!Q505</f>
        <v>a) La familia, b) Los amigos, c) Los estudios</v>
      </c>
      <c r="S505" s="94">
        <f t="shared" si="44"/>
        <v>3</v>
      </c>
      <c r="T505" s="89" t="str">
        <f>Registro!R505</f>
        <v>a) Mucho</v>
      </c>
      <c r="U505" s="89" t="str">
        <f>Registro!S505</f>
        <v>b) La naturaleza, c) El salón de clase, g) Mi familia</v>
      </c>
      <c r="V505" s="89" t="str">
        <f>Registro!T505</f>
        <v>c) Rezo solo en situación de dificultad</v>
      </c>
      <c r="W505" s="89" t="str">
        <f>Registro!U505</f>
        <v>d) Nunca</v>
      </c>
      <c r="X505" s="89" t="str">
        <f>Registro!V505</f>
        <v>e) Voy a misa en las fechas de mis familiares difuntos, f) En alguna ocasión he rezado el rosario</v>
      </c>
      <c r="Y505" s="89" t="str">
        <f>Registro!W505</f>
        <v>d) No pertenezco a ninguno</v>
      </c>
      <c r="Z505" s="89" t="str">
        <f>Registro!X505</f>
        <v>d) No pertenezco a grupos juveniles cristianos</v>
      </c>
      <c r="AA505" s="89" t="str">
        <f>Registro!Y505</f>
        <v>b) No</v>
      </c>
      <c r="AB505" s="89" t="str">
        <f>Registro!Z505</f>
        <v>b) No</v>
      </c>
      <c r="AC505" s="89" t="str">
        <f>Registro!AA505</f>
        <v>a) Medicina, g) Artista</v>
      </c>
      <c r="AD505" s="94">
        <f t="shared" si="45"/>
        <v>2</v>
      </c>
      <c r="AE505" s="89" t="str">
        <f>Registro!AB505</f>
        <v>a) Ganar mucho dinero</v>
      </c>
      <c r="AF505" s="89" t="str">
        <f>Registro!AC505</f>
        <v>e) No sé</v>
      </c>
      <c r="AG505" s="89" t="str">
        <f>Registro!AD505</f>
        <v>i) No me gusta nada</v>
      </c>
      <c r="AH505" s="94">
        <f t="shared" si="41"/>
        <v>1</v>
      </c>
      <c r="AI505" s="89" t="str">
        <f>Registro!AE505</f>
        <v>a) 0 a 2 horas</v>
      </c>
      <c r="AJ505" s="89" t="str">
        <f>Registro!AF505</f>
        <v>b) Navego en Internet, g) Suelo ir a discotecas o a fiestas, h) Suelo ir al cine</v>
      </c>
      <c r="AK505" s="94">
        <f t="shared" si="42"/>
        <v>3</v>
      </c>
      <c r="AL505" s="89" t="str">
        <f>Registro!AG505</f>
        <v>c) Regular</v>
      </c>
      <c r="AM505" s="89" t="str">
        <f>Registro!AH505</f>
        <v>b) Buena</v>
      </c>
      <c r="AN505" s="89" t="str">
        <f>Registro!AI505</f>
        <v>b) Buena</v>
      </c>
      <c r="AO505" s="89" t="str">
        <f>Registro!AJ505</f>
        <v>c) Regular</v>
      </c>
      <c r="AP505" s="89" t="str">
        <f>Registro!AK505</f>
        <v>a) Muy buena</v>
      </c>
      <c r="AQ505" s="89" t="str">
        <f>Registro!AL505</f>
        <v>c) Regular</v>
      </c>
      <c r="AR505" s="89" t="str">
        <f>Registro!AM505</f>
        <v>b) Buena</v>
      </c>
      <c r="AS505" s="89" t="str">
        <f>Registro!AN505</f>
        <v>f) No aplica</v>
      </c>
      <c r="AT505" s="89" t="str">
        <f>Registro!AO505</f>
        <v>c) Regular</v>
      </c>
      <c r="AU505" s="89" t="str">
        <f>Registro!AP505</f>
        <v>f) No aplica</v>
      </c>
      <c r="AV505" s="89" t="str">
        <f>Registro!AQ505</f>
        <v>c) Regular</v>
      </c>
      <c r="AW505" s="89" t="str">
        <f>Registro!AR505</f>
        <v>a) El compañerismo</v>
      </c>
      <c r="AX505" s="89" t="str">
        <f>Registro!AS505</f>
        <v>a) Que sea un buen profesional</v>
      </c>
      <c r="AY505" s="89" t="str">
        <f>Registro!AT505</f>
        <v>d) Bastante necesaria</v>
      </c>
      <c r="AZ505" s="89" t="str">
        <f>Registro!AU505</f>
        <v>d) Con frecuencia (fines de semana u otros momentos) suelo beber más de la cuenta</v>
      </c>
      <c r="BA505" s="89" t="str">
        <f>Registro!AV505</f>
        <v>a) Personas a las que tengo que aguantar</v>
      </c>
      <c r="BB505" s="89" t="str">
        <f>Registro!AW505</f>
        <v>b) Poco</v>
      </c>
      <c r="BC505" s="89" t="str">
        <f>Registro!AX505</f>
        <v>c) Son personas normales y corrientes</v>
      </c>
      <c r="BD505" s="89" t="str">
        <f>Registro!AY505</f>
        <v>j) Nadie</v>
      </c>
    </row>
    <row r="506" spans="1:56" ht="15" customHeight="1" x14ac:dyDescent="0.3">
      <c r="A506" s="101">
        <f>Registro!A506</f>
        <v>42192.232719907406</v>
      </c>
      <c r="B506" s="89" t="str">
        <f>Registro!B506</f>
        <v>f) Nuestra Señora de Coromoto de Maracaibo</v>
      </c>
      <c r="C506" s="89" t="str">
        <f>Registro!C506</f>
        <v>a) Primer año</v>
      </c>
      <c r="D506" s="89" t="str">
        <f>Registro!D506</f>
        <v>a) Educación Inicial</v>
      </c>
      <c r="E506" s="89" t="str">
        <f>Registro!E506</f>
        <v>b) Femenino</v>
      </c>
      <c r="F506" s="89" t="str">
        <f>Registro!F506</f>
        <v>b) Evangélica</v>
      </c>
      <c r="G506" s="89" t="str">
        <f>Registro!G506</f>
        <v>a) Mamá, b) Papá, c) Hermanos, e) Otros familiares</v>
      </c>
      <c r="H506" s="89" t="str">
        <f>Registro!H506</f>
        <v>b) Casa Urbana</v>
      </c>
      <c r="I506" s="89" t="str">
        <f>Registro!I506</f>
        <v>a) Sí</v>
      </c>
      <c r="J506" s="89" t="str">
        <f>Registro!J506</f>
        <v>b) Lavadora, i) Computadora, k) Aire acondicionado</v>
      </c>
      <c r="K506" s="89" t="str">
        <f>Registro!K506</f>
        <v>d) Tres</v>
      </c>
      <c r="L506" s="89" t="str">
        <f>Registro!L506</f>
        <v>a) La familia, c) Los estudios, f) Mi fe y vida cristiana</v>
      </c>
      <c r="M506" s="94">
        <f t="shared" si="43"/>
        <v>3</v>
      </c>
      <c r="N506" s="89" t="str">
        <f>Registro!M506</f>
        <v>e) La situación económica</v>
      </c>
      <c r="O506" s="89" t="str">
        <f>Registro!N506</f>
        <v>a) Mucho</v>
      </c>
      <c r="P506" s="89" t="str">
        <f>Registro!O506</f>
        <v>b) Suficiente</v>
      </c>
      <c r="Q506" s="89" t="str">
        <f>Registro!P506</f>
        <v>a) Mucho</v>
      </c>
      <c r="R506" s="89" t="str">
        <f>Registro!Q506</f>
        <v>a) La familia, c) Los estudios, f) Mi fe y mi vida cristiana</v>
      </c>
      <c r="S506" s="94">
        <f t="shared" si="44"/>
        <v>3</v>
      </c>
      <c r="T506" s="89" t="str">
        <f>Registro!R506</f>
        <v>a) Mucho</v>
      </c>
      <c r="U506" s="89" t="str">
        <f>Registro!S506</f>
        <v>a) La Iglesia, d) Las convivencias, e) Los amigos, g) Mi familia, h) Algunas personas cercanas a Dios, i) Los necesitados, k) La oración</v>
      </c>
      <c r="V506" s="89" t="str">
        <f>Registro!T506</f>
        <v>a) Suelo rezar por convicción o porque me gusta</v>
      </c>
      <c r="W506" s="89" t="str">
        <f>Registro!U506</f>
        <v>a) Todos los domingos</v>
      </c>
      <c r="X506" s="89" t="str">
        <f>Registro!V506</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v>
      </c>
      <c r="Y506" s="89" t="str">
        <f>Registro!W506</f>
        <v>a) Deportivo, b) Cultural (folklórico, musicales, danzas, scout, banda marcial,...) , c) Religioso o parroquial</v>
      </c>
      <c r="Z506" s="89">
        <f>Registro!X506</f>
        <v>0</v>
      </c>
      <c r="AA506" s="89" t="str">
        <f>Registro!Y506</f>
        <v>b) No</v>
      </c>
      <c r="AB506" s="89" t="str">
        <f>Registro!Z506</f>
        <v>b) No</v>
      </c>
      <c r="AC506" s="89" t="str">
        <f>Registro!AA506</f>
        <v>a) Medicina, e) Derecho</v>
      </c>
      <c r="AD506" s="94">
        <f t="shared" si="45"/>
        <v>2</v>
      </c>
      <c r="AE506" s="89" t="str">
        <f>Registro!AB506</f>
        <v>e) Servir a los demás</v>
      </c>
      <c r="AF506" s="89" t="str">
        <f>Registro!AC506</f>
        <v>d) Mucho o muchísimo</v>
      </c>
      <c r="AG506" s="89" t="str">
        <f>Registro!AD506</f>
        <v>a) Los deportes y diversiones, b) El ambiente de estudio y de trabajo</v>
      </c>
      <c r="AH506" s="94">
        <f t="shared" si="41"/>
        <v>2</v>
      </c>
      <c r="AI506" s="89" t="str">
        <f>Registro!AE506</f>
        <v>b) 3 a 4 horas</v>
      </c>
      <c r="AJ506" s="89" t="str">
        <f>Registro!AF506</f>
        <v>i) Leo revistas o libros, k) Practico algún deporte, m) Veo televisión y/o películas</v>
      </c>
      <c r="AK506" s="94">
        <f t="shared" si="42"/>
        <v>3</v>
      </c>
      <c r="AL506" s="89" t="str">
        <f>Registro!AG506</f>
        <v>a) Muy bueno</v>
      </c>
      <c r="AM506" s="89" t="str">
        <f>Registro!AH506</f>
        <v>a) Muy buena</v>
      </c>
      <c r="AN506" s="89" t="str">
        <f>Registro!AI506</f>
        <v>a) Muy buena</v>
      </c>
      <c r="AO506" s="89" t="str">
        <f>Registro!AJ506</f>
        <v>a) Muy buena</v>
      </c>
      <c r="AP506" s="89" t="str">
        <f>Registro!AK506</f>
        <v>a) Muy buena</v>
      </c>
      <c r="AQ506" s="89" t="str">
        <f>Registro!AL506</f>
        <v>a) Muy buena</v>
      </c>
      <c r="AR506" s="89" t="str">
        <f>Registro!AM506</f>
        <v>a) Muy buena</v>
      </c>
      <c r="AS506" s="89" t="str">
        <f>Registro!AN506</f>
        <v>a) Muy buena</v>
      </c>
      <c r="AT506" s="89" t="str">
        <f>Registro!AO506</f>
        <v>a) Muy buena</v>
      </c>
      <c r="AU506" s="89" t="str">
        <f>Registro!AP506</f>
        <v>a) Muy buena</v>
      </c>
      <c r="AV506" s="89" t="str">
        <f>Registro!AQ506</f>
        <v>a) Muy buena</v>
      </c>
      <c r="AW506" s="89" t="str">
        <f>Registro!AR506</f>
        <v>c) El estudio</v>
      </c>
      <c r="AX506" s="89" t="str">
        <f>Registro!AS506</f>
        <v>a) Que sea un buen profesional</v>
      </c>
      <c r="AY506" s="89" t="str">
        <f>Registro!AT506</f>
        <v>d) Bastante necesaria</v>
      </c>
      <c r="AZ506" s="89" t="str">
        <f>Registro!AU506</f>
        <v>a) No acostumbro a tomarlo nunca</v>
      </c>
      <c r="BA506" s="89" t="str">
        <f>Registro!AV506</f>
        <v>e) Educadores que se preocupan de nosotros</v>
      </c>
      <c r="BB506" s="89" t="str">
        <f>Registro!AW506</f>
        <v>d) Mucho o muchísimo</v>
      </c>
      <c r="BC506" s="89" t="str">
        <f>Registro!AX506</f>
        <v>c) Son personas normales y corrientes</v>
      </c>
      <c r="BD506" s="89" t="str">
        <f>Registro!AY506</f>
        <v>a) Mi padre, b) Mi madre, h) Una amiga</v>
      </c>
    </row>
    <row r="507" spans="1:56" ht="15" customHeight="1" x14ac:dyDescent="0.3">
      <c r="A507" s="101">
        <f>Registro!A507</f>
        <v>42192.239525462966</v>
      </c>
      <c r="B507" s="89" t="str">
        <f>Registro!B507</f>
        <v>f) Nuestra Señora de Coromoto de Maracaibo</v>
      </c>
      <c r="C507" s="89" t="str">
        <f>Registro!C507</f>
        <v>a) Primer año</v>
      </c>
      <c r="D507" s="89" t="str">
        <f>Registro!D507</f>
        <v>a) Educación Inicial</v>
      </c>
      <c r="E507" s="89" t="str">
        <f>Registro!E507</f>
        <v>b) Femenino</v>
      </c>
      <c r="F507" s="89" t="str">
        <f>Registro!F507</f>
        <v>b) Evangélica</v>
      </c>
      <c r="G507" s="89" t="str">
        <f>Registro!G507</f>
        <v>a) Mamá, b) Papá, c) Hermanos, e) Otros familiares</v>
      </c>
      <c r="H507" s="89" t="str">
        <f>Registro!H507</f>
        <v>b) Casa Urbana</v>
      </c>
      <c r="I507" s="89" t="str">
        <f>Registro!I507</f>
        <v>a) Sí</v>
      </c>
      <c r="J507" s="89" t="str">
        <f>Registro!J507</f>
        <v>b) Lavadora, i) Computadora, k) Aire acondicionado</v>
      </c>
      <c r="K507" s="89" t="str">
        <f>Registro!K507</f>
        <v>d) Tres</v>
      </c>
      <c r="L507" s="89" t="str">
        <f>Registro!L507</f>
        <v>a) La familia, c) Los estudios, f) Mi fe y vida cristiana</v>
      </c>
      <c r="M507" s="94">
        <f t="shared" si="43"/>
        <v>3</v>
      </c>
      <c r="N507" s="89" t="str">
        <f>Registro!M507</f>
        <v>e) La situación económica</v>
      </c>
      <c r="O507" s="89" t="str">
        <f>Registro!N507</f>
        <v>a) Mucho</v>
      </c>
      <c r="P507" s="89" t="str">
        <f>Registro!O507</f>
        <v>b) Suficiente</v>
      </c>
      <c r="Q507" s="89" t="str">
        <f>Registro!P507</f>
        <v>a) Mucho</v>
      </c>
      <c r="R507" s="89" t="str">
        <f>Registro!Q507</f>
        <v>a) La familia, c) Los estudios, f) Mi fe y mi vida cristiana</v>
      </c>
      <c r="S507" s="94">
        <f t="shared" si="44"/>
        <v>3</v>
      </c>
      <c r="T507" s="89" t="str">
        <f>Registro!R507</f>
        <v>a) Mucho</v>
      </c>
      <c r="U507" s="89" t="str">
        <f>Registro!S507</f>
        <v>a) La Iglesia, d) Las convivencias, e) Los amigos, g) Mi familia, h) Algunas personas cercanas a Dios, i) Los necesitados, k) La oración</v>
      </c>
      <c r="V507" s="89" t="str">
        <f>Registro!T507</f>
        <v>a) Suelo rezar por convicción o porque me gusta</v>
      </c>
      <c r="W507" s="89" t="str">
        <f>Registro!U507</f>
        <v>a) Todos los domingos</v>
      </c>
      <c r="X507" s="89" t="str">
        <f>Registro!V507</f>
        <v>b) Suelo bendedir los alimentos antes de comer, c) Suelo ir los domingos y otras fechas especiales a la Iglesia, d) Suelo orar todos los días, e) Voy a misa en las fechas de mis familiares difuntos, f) En alguna ocasión he rezado el rosario, g) En ocasiones, en mi casa tenemos una oración familiar</v>
      </c>
      <c r="Y507" s="89" t="str">
        <f>Registro!W507</f>
        <v>a) Deportivo, b) Cultural (folklórico, musicales, danzas, scout, banda marcial,...) , c) Religioso o parroquial</v>
      </c>
      <c r="Z507" s="89">
        <f>Registro!X507</f>
        <v>0</v>
      </c>
      <c r="AA507" s="89" t="str">
        <f>Registro!Y507</f>
        <v>b) No</v>
      </c>
      <c r="AB507" s="89" t="str">
        <f>Registro!Z507</f>
        <v>b) No</v>
      </c>
      <c r="AC507" s="89" t="str">
        <f>Registro!AA507</f>
        <v>a) Medicina, e) Derecho</v>
      </c>
      <c r="AD507" s="94">
        <f t="shared" si="45"/>
        <v>2</v>
      </c>
      <c r="AE507" s="89" t="str">
        <f>Registro!AB507</f>
        <v>e) Servir a los demás</v>
      </c>
      <c r="AF507" s="89" t="str">
        <f>Registro!AC507</f>
        <v>d) Mucho o muchísimo</v>
      </c>
      <c r="AG507" s="89" t="str">
        <f>Registro!AD507</f>
        <v>a) Los deportes y diversiones, b) El ambiente de estudio y de trabajo</v>
      </c>
      <c r="AH507" s="94">
        <f t="shared" si="41"/>
        <v>2</v>
      </c>
      <c r="AI507" s="89" t="str">
        <f>Registro!AE507</f>
        <v>b) 3 a 4 horas</v>
      </c>
      <c r="AJ507" s="89" t="str">
        <f>Registro!AF507</f>
        <v>i) Leo revistas o libros, k) Practico algún deporte, m) Veo televisión y/o películas</v>
      </c>
      <c r="AK507" s="94">
        <f t="shared" si="42"/>
        <v>3</v>
      </c>
      <c r="AL507" s="89" t="str">
        <f>Registro!AG507</f>
        <v>a) Muy bueno</v>
      </c>
      <c r="AM507" s="89" t="str">
        <f>Registro!AH507</f>
        <v>a) Muy buena</v>
      </c>
      <c r="AN507" s="89" t="str">
        <f>Registro!AI507</f>
        <v>a) Muy buena</v>
      </c>
      <c r="AO507" s="89" t="str">
        <f>Registro!AJ507</f>
        <v>a) Muy buena</v>
      </c>
      <c r="AP507" s="89" t="str">
        <f>Registro!AK507</f>
        <v>a) Muy buena</v>
      </c>
      <c r="AQ507" s="89" t="str">
        <f>Registro!AL507</f>
        <v>a) Muy buena</v>
      </c>
      <c r="AR507" s="89" t="str">
        <f>Registro!AM507</f>
        <v>a) Muy buena</v>
      </c>
      <c r="AS507" s="89" t="str">
        <f>Registro!AN507</f>
        <v>a) Muy buena</v>
      </c>
      <c r="AT507" s="89" t="str">
        <f>Registro!AO507</f>
        <v>a) Muy buena</v>
      </c>
      <c r="AU507" s="89" t="str">
        <f>Registro!AP507</f>
        <v>a) Muy buena</v>
      </c>
      <c r="AV507" s="89" t="str">
        <f>Registro!AQ507</f>
        <v>a) Muy buena</v>
      </c>
      <c r="AW507" s="89" t="str">
        <f>Registro!AR507</f>
        <v>c) El estudio</v>
      </c>
      <c r="AX507" s="89" t="str">
        <f>Registro!AS507</f>
        <v>a) Que sea un buen profesional</v>
      </c>
      <c r="AY507" s="89" t="str">
        <f>Registro!AT507</f>
        <v>d) Bastante necesaria</v>
      </c>
      <c r="AZ507" s="89" t="str">
        <f>Registro!AU507</f>
        <v>a) No acostumbro a tomarlo nunca</v>
      </c>
      <c r="BA507" s="89" t="str">
        <f>Registro!AV507</f>
        <v>e) Educadores que se preocupan de nosotros</v>
      </c>
      <c r="BB507" s="89" t="str">
        <f>Registro!AW507</f>
        <v>d) Mucho o muchísimo</v>
      </c>
      <c r="BC507" s="89" t="str">
        <f>Registro!AX507</f>
        <v>c) Son personas normales y corrientes</v>
      </c>
      <c r="BD507" s="89" t="str">
        <f>Registro!AY507</f>
        <v>a) Mi padre, b) Mi madre, h) Una amiga</v>
      </c>
    </row>
    <row r="508" spans="1:56" ht="15" customHeight="1" x14ac:dyDescent="0.3">
      <c r="A508" s="101">
        <f>Registro!A508</f>
        <v>42192.256643518522</v>
      </c>
      <c r="B508" s="89" t="str">
        <f>Registro!B508</f>
        <v>f) Nuestra Señora de Coromoto de Maracaibo</v>
      </c>
      <c r="C508" s="89" t="str">
        <f>Registro!C508</f>
        <v>a) Primer año</v>
      </c>
      <c r="D508" s="89" t="str">
        <f>Registro!D508</f>
        <v>b) Primaria</v>
      </c>
      <c r="E508" s="89" t="str">
        <f>Registro!E508</f>
        <v>a) Masculino</v>
      </c>
      <c r="F508" s="89" t="str">
        <f>Registro!F508</f>
        <v>a) Católica</v>
      </c>
      <c r="G508" s="89" t="str">
        <f>Registro!G508</f>
        <v>a) Mamá, b) Papá, c) Hermanos, d) Abuelos, e) Otros familiares</v>
      </c>
      <c r="H508" s="89" t="str">
        <f>Registro!H508</f>
        <v>f) Otro</v>
      </c>
      <c r="I508" s="89" t="str">
        <f>Registro!I508</f>
        <v>a) Sí</v>
      </c>
      <c r="J508" s="89" t="str">
        <f>Registro!J508</f>
        <v>b) Lavadora, c) Microondas, d) TV pantalla plana, g) MP4, i) Computadora, k) Aire acondicionado</v>
      </c>
      <c r="K508" s="89" t="str">
        <f>Registro!K508</f>
        <v>f) Más de cuatro</v>
      </c>
      <c r="L508" s="89" t="str">
        <f>Registro!L508</f>
        <v>a) La familia, b) Los amigos, f) Mi fe y vida cristiana</v>
      </c>
      <c r="M508" s="94">
        <f t="shared" si="43"/>
        <v>3</v>
      </c>
      <c r="N508" s="89" t="str">
        <f>Registro!M508</f>
        <v>b) El futuro</v>
      </c>
      <c r="O508" s="89" t="str">
        <f>Registro!N508</f>
        <v>b) Suficiente</v>
      </c>
      <c r="P508" s="89" t="str">
        <f>Registro!O508</f>
        <v>b) Suficiente</v>
      </c>
      <c r="Q508" s="89" t="str">
        <f>Registro!P508</f>
        <v>b) Suficiente</v>
      </c>
      <c r="R508" s="89" t="str">
        <f>Registro!Q508</f>
        <v>b) Los amigos, c) Los estudios, g) La felicidad</v>
      </c>
      <c r="S508" s="94">
        <f t="shared" si="44"/>
        <v>3</v>
      </c>
      <c r="T508" s="89" t="str">
        <f>Registro!R508</f>
        <v>a) Mucho</v>
      </c>
      <c r="U508" s="89" t="str">
        <f>Registro!S508</f>
        <v>a) La Iglesia, b) La naturaleza, c) El salón de clase, d) Las convivencias, e) Los amigos, f) Todas las personas, g) Mi familia, i) Los necesitados, j) Todas partes, k) La oración, l) Los sacramentos</v>
      </c>
      <c r="V508" s="89" t="str">
        <f>Registro!T508</f>
        <v>a) Suelo rezar por convicción o porque me gusta</v>
      </c>
      <c r="W508" s="89" t="str">
        <f>Registro!U508</f>
        <v>b) Algunos domingos</v>
      </c>
      <c r="X508" s="89" t="str">
        <f>Registro!V508</f>
        <v>d) Suelo orar todos los días, f) En alguna ocasión he rezado el rosario, g) En ocasiones, en mi casa tenemos una oración familiar</v>
      </c>
      <c r="Y508" s="89" t="str">
        <f>Registro!W508</f>
        <v>c) Religioso o parroquial</v>
      </c>
      <c r="Z508" s="89" t="str">
        <f>Registro!X508</f>
        <v>a) Un grupo donde profundizo mi fe</v>
      </c>
      <c r="AA508" s="89" t="str">
        <f>Registro!Y508</f>
        <v>a) Sí</v>
      </c>
      <c r="AB508" s="89" t="str">
        <f>Registro!Z508</f>
        <v>b) No</v>
      </c>
      <c r="AC508" s="89" t="str">
        <f>Registro!AA508</f>
        <v>a) Medicina, c) Sacerdocio o hermana religiosa</v>
      </c>
      <c r="AD508" s="94">
        <f t="shared" si="45"/>
        <v>2</v>
      </c>
      <c r="AE508" s="89" t="str">
        <f>Registro!AB508</f>
        <v>f) Ejecutar una tarea conforme a mi fe</v>
      </c>
      <c r="AF508" s="89" t="str">
        <f>Registro!AC508</f>
        <v>c) Bastante</v>
      </c>
      <c r="AG508" s="89" t="str">
        <f>Registro!AD508</f>
        <v>b) El ambiente de estudio y de trabajo, f) La igualdad de trato que se da a todos</v>
      </c>
      <c r="AH508" s="94">
        <f t="shared" si="41"/>
        <v>2</v>
      </c>
      <c r="AI508" s="89" t="str">
        <f>Registro!AE508</f>
        <v>b) 3 a 4 horas</v>
      </c>
      <c r="AJ508" s="89" t="str">
        <f>Registro!AF508</f>
        <v>a) Me divierto con juegos para computadoras, b) Navego en Internet, m) Veo televisión y/o películas</v>
      </c>
      <c r="AK508" s="94">
        <f t="shared" si="42"/>
        <v>3</v>
      </c>
      <c r="AL508" s="89" t="str">
        <f>Registro!AG508</f>
        <v>b) Bueno</v>
      </c>
      <c r="AM508" s="89" t="str">
        <f>Registro!AH508</f>
        <v>b) Buena</v>
      </c>
      <c r="AN508" s="89" t="str">
        <f>Registro!AI508</f>
        <v>c) Regular</v>
      </c>
      <c r="AO508" s="89" t="str">
        <f>Registro!AJ508</f>
        <v>a) Muy buena</v>
      </c>
      <c r="AP508" s="89" t="str">
        <f>Registro!AK508</f>
        <v>b) Buena</v>
      </c>
      <c r="AQ508" s="89" t="str">
        <f>Registro!AL508</f>
        <v>b) Buena</v>
      </c>
      <c r="AR508" s="89" t="str">
        <f>Registro!AM508</f>
        <v>b) Buena</v>
      </c>
      <c r="AS508" s="89" t="str">
        <f>Registro!AN508</f>
        <v>b) Buena</v>
      </c>
      <c r="AT508" s="89" t="str">
        <f>Registro!AO508</f>
        <v>b) Buena</v>
      </c>
      <c r="AU508" s="89" t="str">
        <f>Registro!AP508</f>
        <v>b) Buena</v>
      </c>
      <c r="AV508" s="89" t="str">
        <f>Registro!AQ508</f>
        <v>a) Muy buena</v>
      </c>
      <c r="AW508" s="89" t="str">
        <f>Registro!AR508</f>
        <v>a) El compañerismo</v>
      </c>
      <c r="AX508" s="89" t="str">
        <f>Registro!AS508</f>
        <v>b) Darme una buena educación</v>
      </c>
      <c r="AY508" s="89" t="str">
        <f>Registro!AT508</f>
        <v>d) Bastante necesaria</v>
      </c>
      <c r="AZ508" s="89" t="str">
        <f>Registro!AU508</f>
        <v>a) No acostumbro a tomarlo nunca</v>
      </c>
      <c r="BA508" s="89" t="str">
        <f>Registro!AV508</f>
        <v>f) Educadores que, además, me han abierto caminos</v>
      </c>
      <c r="BB508" s="89" t="str">
        <f>Registro!AW508</f>
        <v>c) Bastante</v>
      </c>
      <c r="BC508" s="89">
        <f>Registro!AX508</f>
        <v>0</v>
      </c>
      <c r="BD508" s="89" t="str">
        <f>Registro!AY508</f>
        <v>a) Mi padre, b) Mi madre, c) Un hermano/a, e) Un, una docente, f) La orientadora, g) Un amigo, h) Una amiga, i) Un, una catequista o responsable de grupo, k) No tengo problemas personales</v>
      </c>
    </row>
    <row r="509" spans="1:56" ht="15" customHeight="1" x14ac:dyDescent="0.3">
      <c r="A509" s="101">
        <f>Registro!A509</f>
        <v>42192.257037037038</v>
      </c>
      <c r="B509" s="89" t="str">
        <f>Registro!B509</f>
        <v>f) Nuestra Señora de Coromoto de Maracaibo</v>
      </c>
      <c r="C509" s="89" t="str">
        <f>Registro!C509</f>
        <v>a) Primer año</v>
      </c>
      <c r="D509" s="89" t="str">
        <f>Registro!D509</f>
        <v>b) Primaria</v>
      </c>
      <c r="E509" s="89" t="str">
        <f>Registro!E509</f>
        <v>a) Masculino</v>
      </c>
      <c r="F509" s="89" t="str">
        <f>Registro!F509</f>
        <v>a) Católica</v>
      </c>
      <c r="G509" s="89" t="str">
        <f>Registro!G509</f>
        <v>a) Mamá, b) Papá, d) Abuelos, e) Otros familiares</v>
      </c>
      <c r="H509" s="89" t="str">
        <f>Registro!H509</f>
        <v>b) Casa Urbana</v>
      </c>
      <c r="I509" s="89" t="str">
        <f>Registro!I509</f>
        <v>a) Sí</v>
      </c>
      <c r="J509" s="89" t="str">
        <f>Registro!J509</f>
        <v>a) Cónsola videojuegos, d) TV pantalla plana, i) Computadora, j) Cámara digital, k) Aire acondicionado</v>
      </c>
      <c r="K509" s="89" t="str">
        <f>Registro!K509</f>
        <v>f) Más de cuatro</v>
      </c>
      <c r="L509" s="89" t="str">
        <f>Registro!L509</f>
        <v>a) La familia, b) Los amigos, c) Los estudios</v>
      </c>
      <c r="M509" s="94">
        <f t="shared" si="43"/>
        <v>3</v>
      </c>
      <c r="N509" s="89" t="str">
        <f>Registro!M509</f>
        <v>d) Los problemas familiares</v>
      </c>
      <c r="O509" s="89" t="str">
        <f>Registro!N509</f>
        <v>a) Mucho</v>
      </c>
      <c r="P509" s="89" t="str">
        <f>Registro!O509</f>
        <v>c) Poco</v>
      </c>
      <c r="Q509" s="89" t="str">
        <f>Registro!P509</f>
        <v>a) Mucho</v>
      </c>
      <c r="R509" s="89" t="str">
        <f>Registro!Q509</f>
        <v>a) La familia, c) Los estudios, d) El cuidado de mi cuerpo</v>
      </c>
      <c r="S509" s="94">
        <f t="shared" si="44"/>
        <v>3</v>
      </c>
      <c r="T509" s="89" t="str">
        <f>Registro!R509</f>
        <v>a) Mucho</v>
      </c>
      <c r="U509" s="89" t="str">
        <f>Registro!S509</f>
        <v>a) La Iglesia, e) Los amigos, g) Mi familia, i) Los necesitados, k) La oración</v>
      </c>
      <c r="V509" s="89" t="str">
        <f>Registro!T509</f>
        <v>a) Suelo rezar por convicción o porque me gusta</v>
      </c>
      <c r="W509" s="89" t="str">
        <f>Registro!U509</f>
        <v>c) Solo en fechas especiales</v>
      </c>
      <c r="X509" s="89" t="str">
        <f>Registro!V509</f>
        <v>c) Suelo ir los domingos y otras fechas especiales a la Iglesia, d) Suelo orar todos los días, e) Voy a misa en las fechas de mis familiares difuntos, f) En alguna ocasión he rezado el rosario, h) En Semana Santa asisto a las procesiones</v>
      </c>
      <c r="Y509" s="89" t="str">
        <f>Registro!W509</f>
        <v>d) No pertenezco a ninguno</v>
      </c>
      <c r="Z509" s="89" t="str">
        <f>Registro!X509</f>
        <v>a) Un grupo donde profundizo mi fe</v>
      </c>
      <c r="AA509" s="89" t="str">
        <f>Registro!Y509</f>
        <v>b) No</v>
      </c>
      <c r="AB509" s="89" t="str">
        <f>Registro!Z509</f>
        <v>b) No</v>
      </c>
      <c r="AC509" s="89" t="str">
        <f>Registro!AA509</f>
        <v>a) Medicina, d) Ingeniería</v>
      </c>
      <c r="AD509" s="94">
        <f t="shared" si="45"/>
        <v>2</v>
      </c>
      <c r="AE509" s="89" t="str">
        <f>Registro!AB509</f>
        <v>b) Tener una buena posición social, ser importante</v>
      </c>
      <c r="AF509" s="89" t="str">
        <f>Registro!AC509</f>
        <v>d) Mucho o muchísimo</v>
      </c>
      <c r="AG509" s="89" t="str">
        <f>Registro!AD509</f>
        <v>a) Los deportes y diversiones, b) El ambiente de estudio y de trabajo</v>
      </c>
      <c r="AH509" s="94">
        <f t="shared" si="41"/>
        <v>2</v>
      </c>
      <c r="AI509" s="89" t="str">
        <f>Registro!AE509</f>
        <v>a) 0 a 2 horas</v>
      </c>
      <c r="AJ509" s="89" t="str">
        <f>Registro!AF509</f>
        <v>a) Me divierto con juegos para computadoras, d) Estoy la mayor parte del tiempo en la casa sin hacer nada, n) Estoy conversando con los amigos/as</v>
      </c>
      <c r="AK509" s="94">
        <f t="shared" si="42"/>
        <v>3</v>
      </c>
      <c r="AL509" s="89" t="str">
        <f>Registro!AG509</f>
        <v>b) Bueno</v>
      </c>
      <c r="AM509" s="89" t="str">
        <f>Registro!AH509</f>
        <v>a) Muy buena</v>
      </c>
      <c r="AN509" s="89" t="str">
        <f>Registro!AI509</f>
        <v>a) Muy buena</v>
      </c>
      <c r="AO509" s="89" t="str">
        <f>Registro!AJ509</f>
        <v>a) Muy buena</v>
      </c>
      <c r="AP509" s="89" t="str">
        <f>Registro!AK509</f>
        <v>a) Muy buena</v>
      </c>
      <c r="AQ509" s="89" t="str">
        <f>Registro!AL509</f>
        <v>a) Muy buena</v>
      </c>
      <c r="AR509" s="89" t="str">
        <f>Registro!AM509</f>
        <v>a) Muy buena</v>
      </c>
      <c r="AS509" s="89" t="str">
        <f>Registro!AN509</f>
        <v>a) Muy buena</v>
      </c>
      <c r="AT509" s="89" t="str">
        <f>Registro!AO509</f>
        <v>a) Muy buena</v>
      </c>
      <c r="AU509" s="89" t="str">
        <f>Registro!AP509</f>
        <v>a) Muy buena</v>
      </c>
      <c r="AV509" s="89" t="str">
        <f>Registro!AQ509</f>
        <v>a) Muy buena</v>
      </c>
      <c r="AW509" s="89" t="str">
        <f>Registro!AR509</f>
        <v>c) El estudio</v>
      </c>
      <c r="AX509" s="89" t="str">
        <f>Registro!AS509</f>
        <v>b) Darme una buena educación</v>
      </c>
      <c r="AY509" s="89" t="str">
        <f>Registro!AT509</f>
        <v>d) Bastante necesaria</v>
      </c>
      <c r="AZ509" s="89" t="str">
        <f>Registro!AU509</f>
        <v>a) No acostumbro a tomarlo nunca</v>
      </c>
      <c r="BA509" s="89" t="str">
        <f>Registro!AV509</f>
        <v>e) Educadores que se preocupan de nosotros</v>
      </c>
      <c r="BB509" s="89" t="str">
        <f>Registro!AW509</f>
        <v>d) Mucho o muchísimo</v>
      </c>
      <c r="BC509" s="89" t="str">
        <f>Registro!AX509</f>
        <v>e) Son personas que me gustan y admiro</v>
      </c>
      <c r="BD509" s="89" t="str">
        <f>Registro!AY509</f>
        <v>a) Mi padre, b) Mi madre, c) Un hermano/a, g) Un amigo, h) Una amiga</v>
      </c>
    </row>
    <row r="510" spans="1:56" ht="15" customHeight="1" x14ac:dyDescent="0.3">
      <c r="A510" s="101">
        <f>Registro!A510</f>
        <v>42192.285416666666</v>
      </c>
      <c r="B510" s="89" t="str">
        <f>Registro!B510</f>
        <v>f) Nuestra Señora de Coromoto de Maracaibo</v>
      </c>
      <c r="C510" s="89" t="str">
        <f>Registro!C510</f>
        <v>a) Primer año</v>
      </c>
      <c r="D510" s="89" t="str">
        <f>Registro!D510</f>
        <v>c) Entre Primero y Tercer año</v>
      </c>
      <c r="E510" s="89" t="str">
        <f>Registro!E510</f>
        <v>b) Femenino</v>
      </c>
      <c r="F510" s="89" t="str">
        <f>Registro!F510</f>
        <v>a) Católica</v>
      </c>
      <c r="G510" s="89" t="str">
        <f>Registro!G510</f>
        <v>a) Mamá, b) Papá</v>
      </c>
      <c r="H510" s="89" t="str">
        <f>Registro!H510</f>
        <v>f) Otro</v>
      </c>
      <c r="I510" s="89" t="str">
        <f>Registro!I510</f>
        <v>a) Sí</v>
      </c>
      <c r="J510" s="89" t="str">
        <f>Registro!J510</f>
        <v>a) Cónsola videojuegos, b) Lavadora, f) MP3, i) Computadora, k) Aire acondicionado</v>
      </c>
      <c r="K510" s="89" t="str">
        <f>Registro!K510</f>
        <v>c) Dos</v>
      </c>
      <c r="L510" s="89" t="str">
        <f>Registro!L510</f>
        <v>a) La familia, b) Los amigos, f) Mi fe y vida cristiana</v>
      </c>
      <c r="M510" s="94">
        <f t="shared" si="43"/>
        <v>3</v>
      </c>
      <c r="N510" s="89">
        <f>Registro!M510</f>
        <v>0</v>
      </c>
      <c r="O510" s="89" t="str">
        <f>Registro!N510</f>
        <v>a) Mucho</v>
      </c>
      <c r="P510" s="89" t="str">
        <f>Registro!O510</f>
        <v>b) Suficiente</v>
      </c>
      <c r="Q510" s="89" t="str">
        <f>Registro!P510</f>
        <v>b) Suficiente</v>
      </c>
      <c r="R510" s="89" t="str">
        <f>Registro!Q510</f>
        <v>c) Los estudios, d) El cuidado de mi cuerpo, f) Mi fe y mi vida cristiana</v>
      </c>
      <c r="S510" s="94">
        <f t="shared" si="44"/>
        <v>3</v>
      </c>
      <c r="T510" s="89" t="str">
        <f>Registro!R510</f>
        <v>a) Mucho</v>
      </c>
      <c r="U510" s="89" t="str">
        <f>Registro!S510</f>
        <v>a) La Iglesia, b) La naturaleza, c) El salón de clase, d) Las convivencias, e) Los amigos, f) Todas las personas, g) Mi familia, h) Algunas personas cercanas a Dios, i) Los necesitados, j) Todas partes, k) La oración, l) Los sacramentos</v>
      </c>
      <c r="V510" s="89" t="str">
        <f>Registro!T510</f>
        <v>a) Suelo rezar por convicción o porque me gusta</v>
      </c>
      <c r="W510" s="89" t="str">
        <f>Registro!U510</f>
        <v>d) Nunca</v>
      </c>
      <c r="X510" s="89" t="str">
        <f>Registro!V510</f>
        <v>a) Suelo llevar una cruz o algún objeto religioso, b) Suelo bendedir los alimentos antes de comer, e) Voy a misa en las fechas de mis familiares difuntos, f) En alguna ocasión he rezado el rosario, i) Tengo en mi cuarto alguna imagen religiosa</v>
      </c>
      <c r="Y510" s="89" t="str">
        <f>Registro!W510</f>
        <v xml:space="preserve">a) Deportivo, b) Cultural (folklórico, musicales, danzas, scout, banda marcial,...) </v>
      </c>
      <c r="Z510" s="89" t="str">
        <f>Registro!X510</f>
        <v>c) Un lugar donde me lo paso bien</v>
      </c>
      <c r="AA510" s="89" t="str">
        <f>Registro!Y510</f>
        <v>b) No</v>
      </c>
      <c r="AB510" s="89" t="str">
        <f>Registro!Z510</f>
        <v>b) No</v>
      </c>
      <c r="AC510" s="89" t="str">
        <f>Registro!AA510</f>
        <v>e) Derecho, h) Ciencias políticas</v>
      </c>
      <c r="AD510" s="94">
        <f t="shared" si="45"/>
        <v>2</v>
      </c>
      <c r="AE510" s="89" t="str">
        <f>Registro!AB510</f>
        <v>c) Ser un excelente profesional</v>
      </c>
      <c r="AF510" s="89" t="str">
        <f>Registro!AC510</f>
        <v>d) Mucho o muchísimo</v>
      </c>
      <c r="AG510" s="89" t="str">
        <f>Registro!AD510</f>
        <v>b) El ambiente de estudio y de trabajo, h) Las actividades extraescolares</v>
      </c>
      <c r="AH510" s="94">
        <f t="shared" si="41"/>
        <v>2</v>
      </c>
      <c r="AI510" s="89" t="str">
        <f>Registro!AE510</f>
        <v>a) 0 a 2 horas</v>
      </c>
      <c r="AJ510" s="89" t="str">
        <f>Registro!AF510</f>
        <v>a) Me divierto con juegos para computadoras, b) Navego en Internet, d) Estoy la mayor parte del tiempo en la casa sin hacer nada</v>
      </c>
      <c r="AK510" s="94">
        <f t="shared" si="42"/>
        <v>3</v>
      </c>
      <c r="AL510" s="89" t="str">
        <f>Registro!AG510</f>
        <v>a) Muy bueno</v>
      </c>
      <c r="AM510" s="89" t="str">
        <f>Registro!AH510</f>
        <v>a) Muy buena</v>
      </c>
      <c r="AN510" s="89" t="str">
        <f>Registro!AI510</f>
        <v>a) Muy buena</v>
      </c>
      <c r="AO510" s="89" t="str">
        <f>Registro!AJ510</f>
        <v>b) Buena</v>
      </c>
      <c r="AP510" s="89" t="str">
        <f>Registro!AK510</f>
        <v>a) Muy buena</v>
      </c>
      <c r="AQ510" s="89" t="str">
        <f>Registro!AL510</f>
        <v>a) Muy buena</v>
      </c>
      <c r="AR510" s="89" t="str">
        <f>Registro!AM510</f>
        <v>a) Muy buena</v>
      </c>
      <c r="AS510" s="89" t="str">
        <f>Registro!AN510</f>
        <v>a) Muy buena</v>
      </c>
      <c r="AT510" s="89" t="str">
        <f>Registro!AO510</f>
        <v>b) Buena</v>
      </c>
      <c r="AU510" s="89" t="str">
        <f>Registro!AP510</f>
        <v>a) Muy buena</v>
      </c>
      <c r="AV510" s="89" t="str">
        <f>Registro!AQ510</f>
        <v>b) Buena</v>
      </c>
      <c r="AW510" s="89" t="str">
        <f>Registro!AR510</f>
        <v>c) El estudio</v>
      </c>
      <c r="AX510" s="89" t="str">
        <f>Registro!AS510</f>
        <v>a) Que sea un buen profesional</v>
      </c>
      <c r="AY510" s="89" t="str">
        <f>Registro!AT510</f>
        <v>e) Absolutamente necesaria</v>
      </c>
      <c r="AZ510" s="89" t="str">
        <f>Registro!AU510</f>
        <v>a) No acostumbro a tomarlo nunca</v>
      </c>
      <c r="BA510" s="89" t="str">
        <f>Registro!AV510</f>
        <v>e) Educadores que se preocupan de nosotros</v>
      </c>
      <c r="BB510" s="89" t="str">
        <f>Registro!AW510</f>
        <v>c) Bastante</v>
      </c>
      <c r="BC510" s="89" t="str">
        <f>Registro!AX510</f>
        <v>e) Son personas que me gustan y admiro</v>
      </c>
      <c r="BD510" s="89" t="str">
        <f>Registro!AY510</f>
        <v>a) Mi padre, b) Mi madre, d) Un escolapio, religioso o religiosa, e) Un, una docente, f) La orientadora, g) Un amigo, h) Una amiga, i) Un, una catequista o responsable de grupo</v>
      </c>
    </row>
    <row r="511" spans="1:56" ht="15" customHeight="1" x14ac:dyDescent="0.3">
      <c r="A511" s="101">
        <f>Registro!A511</f>
        <v>42192.286249999997</v>
      </c>
      <c r="B511" s="89" t="str">
        <f>Registro!B511</f>
        <v>f) Nuestra Señora de Coromoto de Maracaibo</v>
      </c>
      <c r="C511" s="89" t="str">
        <f>Registro!C511</f>
        <v>a) Primer año</v>
      </c>
      <c r="D511" s="89" t="str">
        <f>Registro!D511</f>
        <v>b) Primaria</v>
      </c>
      <c r="E511" s="89" t="str">
        <f>Registro!E511</f>
        <v>b) Femenino</v>
      </c>
      <c r="F511" s="89" t="str">
        <f>Registro!F511</f>
        <v>a) Católica</v>
      </c>
      <c r="G511" s="89" t="str">
        <f>Registro!G511</f>
        <v>b) Papá, d) Abuelos, e) Otros familiares</v>
      </c>
      <c r="H511" s="89" t="str">
        <f>Registro!H511</f>
        <v>a) Quinta</v>
      </c>
      <c r="I511" s="89" t="str">
        <f>Registro!I511</f>
        <v>c) Algo</v>
      </c>
      <c r="J511" s="89" t="str">
        <f>Registro!J511</f>
        <v>b) Lavadora, i) Computadora, k) Aire acondicionado</v>
      </c>
      <c r="K511" s="89" t="str">
        <f>Registro!K511</f>
        <v>e) Cuatro</v>
      </c>
      <c r="L511" s="89" t="str">
        <f>Registro!L511</f>
        <v>a) La familia, b) Los amigos, g) La felicidad</v>
      </c>
      <c r="M511" s="94">
        <f t="shared" si="43"/>
        <v>3</v>
      </c>
      <c r="N511" s="89" t="str">
        <f>Registro!M511</f>
        <v>d) Los problemas familiares</v>
      </c>
      <c r="O511" s="89" t="str">
        <f>Registro!N511</f>
        <v>c) Poco</v>
      </c>
      <c r="P511" s="89" t="str">
        <f>Registro!O511</f>
        <v>c) Poco</v>
      </c>
      <c r="Q511" s="89" t="str">
        <f>Registro!P511</f>
        <v>d) Nada</v>
      </c>
      <c r="R511" s="89" t="str">
        <f>Registro!Q511</f>
        <v>a) La familia, c) Los estudios, g) La felicidad</v>
      </c>
      <c r="S511" s="94">
        <f t="shared" si="44"/>
        <v>3</v>
      </c>
      <c r="T511" s="89" t="str">
        <f>Registro!R511</f>
        <v>a) Mucho</v>
      </c>
      <c r="U511" s="89" t="str">
        <f>Registro!S511</f>
        <v>a) La Iglesia, d) Las convivencias, g) Mi familia, i) Los necesitados, j) Todas partes, k) La oración</v>
      </c>
      <c r="V511" s="89" t="str">
        <f>Registro!T511</f>
        <v>b) Rezo por costumbre</v>
      </c>
      <c r="W511" s="89" t="str">
        <f>Registro!U511</f>
        <v>c) Solo en fechas especiales</v>
      </c>
      <c r="X511" s="89" t="str">
        <f>Registro!V511</f>
        <v>d) Suelo orar todos los días, i) Tengo en mi cuarto alguna imagen religiosa</v>
      </c>
      <c r="Y511" s="89" t="str">
        <f>Registro!W511</f>
        <v>d) No pertenezco a ninguno</v>
      </c>
      <c r="Z511" s="89" t="str">
        <f>Registro!X511</f>
        <v>d) No pertenezco a grupos juveniles cristianos</v>
      </c>
      <c r="AA511" s="89" t="str">
        <f>Registro!Y511</f>
        <v>b) No</v>
      </c>
      <c r="AB511" s="89" t="str">
        <f>Registro!Z511</f>
        <v>b) No</v>
      </c>
      <c r="AC511" s="89" t="str">
        <f>Registro!AA511</f>
        <v>g) Artista, j) Trabajador calificado</v>
      </c>
      <c r="AD511" s="94">
        <f t="shared" si="45"/>
        <v>2</v>
      </c>
      <c r="AE511" s="89" t="str">
        <f>Registro!AB511</f>
        <v>c) Ser un excelente profesional</v>
      </c>
      <c r="AF511" s="89" t="str">
        <f>Registro!AC511</f>
        <v>b) Poco</v>
      </c>
      <c r="AG511" s="89" t="str">
        <f>Registro!AD511</f>
        <v>a) Los deportes y diversiones, b) El ambiente de estudio y de trabajo</v>
      </c>
      <c r="AH511" s="94">
        <f t="shared" si="41"/>
        <v>2</v>
      </c>
      <c r="AI511" s="89" t="str">
        <f>Registro!AE511</f>
        <v>a) 0 a 2 horas</v>
      </c>
      <c r="AJ511" s="89" t="str">
        <f>Registro!AF511</f>
        <v>b) Navego en Internet, l) Escucho música y/o veo videos musicales, n) Estoy conversando con los amigos/as</v>
      </c>
      <c r="AK511" s="94">
        <f t="shared" si="42"/>
        <v>3</v>
      </c>
      <c r="AL511" s="89" t="str">
        <f>Registro!AG511</f>
        <v>d) Deficiente</v>
      </c>
      <c r="AM511" s="89" t="str">
        <f>Registro!AH511</f>
        <v>b) Buena</v>
      </c>
      <c r="AN511" s="89" t="str">
        <f>Registro!AI511</f>
        <v>c) Regular</v>
      </c>
      <c r="AO511" s="89" t="str">
        <f>Registro!AJ511</f>
        <v>b) Buena</v>
      </c>
      <c r="AP511" s="89" t="str">
        <f>Registro!AK511</f>
        <v>b) Buena</v>
      </c>
      <c r="AQ511" s="89" t="str">
        <f>Registro!AL511</f>
        <v>b) Buena</v>
      </c>
      <c r="AR511" s="89" t="str">
        <f>Registro!AM511</f>
        <v>a) Muy buena</v>
      </c>
      <c r="AS511" s="89" t="str">
        <f>Registro!AN511</f>
        <v>b) Buena</v>
      </c>
      <c r="AT511" s="89" t="str">
        <f>Registro!AO511</f>
        <v>a) Muy buena</v>
      </c>
      <c r="AU511" s="89" t="str">
        <f>Registro!AP511</f>
        <v>b) Buena</v>
      </c>
      <c r="AV511" s="89" t="str">
        <f>Registro!AQ511</f>
        <v>c) Regular</v>
      </c>
      <c r="AW511" s="89" t="str">
        <f>Registro!AR511</f>
        <v>e) La disciplina y el orden</v>
      </c>
      <c r="AX511" s="89" t="str">
        <f>Registro!AS511</f>
        <v>a) Que sea un buen profesional</v>
      </c>
      <c r="AY511" s="89" t="str">
        <f>Registro!AT511</f>
        <v>b) Indiferente</v>
      </c>
      <c r="AZ511" s="89" t="str">
        <f>Registro!AU511</f>
        <v>a) No acostumbro a tomarlo nunca</v>
      </c>
      <c r="BA511" s="89" t="str">
        <f>Registro!AV511</f>
        <v>c) Profesionales que hacen lo que pueden</v>
      </c>
      <c r="BB511" s="89" t="str">
        <f>Registro!AW511</f>
        <v>c) Bastante</v>
      </c>
      <c r="BC511" s="89" t="str">
        <f>Registro!AX511</f>
        <v>c) Son personas normales y corrientes</v>
      </c>
      <c r="BD511" s="89" t="str">
        <f>Registro!AY511</f>
        <v>a) Mi padre, b) Mi madre, c) Un hermano/a, g) Un amigo, h) Una amiga</v>
      </c>
    </row>
    <row r="512" spans="1:56" ht="15" customHeight="1" x14ac:dyDescent="0.3">
      <c r="A512" s="101"/>
      <c r="B512" s="89"/>
      <c r="C512" s="89"/>
      <c r="D512" s="89"/>
      <c r="E512" s="89"/>
      <c r="F512" s="89"/>
      <c r="G512" s="89"/>
      <c r="H512" s="89"/>
      <c r="I512" s="89"/>
      <c r="J512" s="89"/>
      <c r="K512" s="89"/>
      <c r="L512" s="89"/>
      <c r="N512" s="89"/>
      <c r="O512" s="89"/>
      <c r="P512" s="89"/>
      <c r="Q512" s="89"/>
      <c r="R512" s="89"/>
      <c r="T512" s="89"/>
      <c r="U512" s="89"/>
      <c r="V512" s="89"/>
      <c r="W512" s="89"/>
      <c r="X512" s="89"/>
      <c r="Y512" s="89"/>
      <c r="Z512" s="89"/>
      <c r="AA512" s="89"/>
      <c r="AB512" s="89"/>
      <c r="AC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89"/>
      <c r="BB512" s="89"/>
      <c r="BC512" s="89"/>
      <c r="BD512" s="89"/>
    </row>
    <row r="513" spans="1:56" ht="15" customHeight="1" x14ac:dyDescent="0.3">
      <c r="A513" s="101"/>
      <c r="B513" s="89"/>
      <c r="C513" s="89"/>
      <c r="D513" s="89"/>
      <c r="E513" s="89"/>
      <c r="F513" s="89"/>
      <c r="G513" s="89"/>
      <c r="H513" s="89"/>
      <c r="I513" s="89"/>
      <c r="J513" s="89"/>
      <c r="K513" s="89"/>
      <c r="L513" s="89"/>
      <c r="N513" s="89"/>
      <c r="O513" s="89"/>
      <c r="P513" s="89"/>
      <c r="Q513" s="89"/>
      <c r="R513" s="89"/>
      <c r="T513" s="89"/>
      <c r="U513" s="89"/>
      <c r="V513" s="89"/>
      <c r="W513" s="89"/>
      <c r="X513" s="89"/>
      <c r="Y513" s="89"/>
      <c r="Z513" s="89"/>
      <c r="AA513" s="89"/>
      <c r="AB513" s="89"/>
      <c r="AC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89"/>
      <c r="BB513" s="89"/>
      <c r="BC513" s="89"/>
      <c r="BD513" s="89"/>
    </row>
    <row r="514" spans="1:56" ht="15" customHeight="1" x14ac:dyDescent="0.3">
      <c r="A514" s="101"/>
      <c r="B514" s="89"/>
      <c r="C514" s="89"/>
      <c r="D514" s="89"/>
      <c r="E514" s="89"/>
      <c r="F514" s="89"/>
      <c r="G514" s="89"/>
      <c r="H514" s="89"/>
      <c r="I514" s="89"/>
      <c r="J514" s="89"/>
      <c r="K514" s="89"/>
      <c r="L514" s="89"/>
      <c r="N514" s="89"/>
      <c r="O514" s="89"/>
      <c r="P514" s="89"/>
      <c r="Q514" s="89"/>
      <c r="R514" s="89"/>
      <c r="T514" s="89"/>
      <c r="U514" s="89"/>
      <c r="V514" s="89"/>
      <c r="W514" s="89"/>
      <c r="X514" s="89"/>
      <c r="Y514" s="89"/>
      <c r="Z514" s="89"/>
      <c r="AA514" s="89"/>
      <c r="AB514" s="89"/>
      <c r="AC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89"/>
      <c r="BB514" s="89"/>
      <c r="BC514" s="89"/>
      <c r="BD514" s="89"/>
    </row>
    <row r="515" spans="1:56" ht="15" customHeight="1" x14ac:dyDescent="0.3">
      <c r="A515" s="101"/>
      <c r="B515" s="89"/>
      <c r="C515" s="89"/>
      <c r="D515" s="89"/>
      <c r="E515" s="89"/>
      <c r="F515" s="89"/>
      <c r="G515" s="89"/>
      <c r="H515" s="89"/>
      <c r="I515" s="89"/>
      <c r="J515" s="89"/>
      <c r="K515" s="89"/>
      <c r="L515" s="89"/>
      <c r="N515" s="89"/>
      <c r="O515" s="89"/>
      <c r="P515" s="89"/>
      <c r="Q515" s="89"/>
      <c r="R515" s="89"/>
      <c r="T515" s="89"/>
      <c r="U515" s="89"/>
      <c r="V515" s="89"/>
      <c r="W515" s="89"/>
      <c r="X515" s="89"/>
      <c r="Y515" s="89"/>
      <c r="Z515" s="89"/>
      <c r="AA515" s="89"/>
      <c r="AB515" s="89"/>
      <c r="AC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89"/>
      <c r="BB515" s="89"/>
      <c r="BC515" s="89"/>
      <c r="BD515" s="89"/>
    </row>
    <row r="516" spans="1:56" ht="15" customHeight="1" x14ac:dyDescent="0.3">
      <c r="A516" s="101"/>
      <c r="B516" s="89"/>
      <c r="C516" s="89"/>
      <c r="D516" s="89"/>
      <c r="E516" s="89"/>
      <c r="F516" s="89"/>
      <c r="G516" s="89"/>
      <c r="H516" s="89"/>
      <c r="I516" s="89"/>
      <c r="J516" s="89"/>
      <c r="K516" s="89"/>
      <c r="L516" s="89"/>
      <c r="N516" s="89"/>
      <c r="O516" s="89"/>
      <c r="P516" s="89"/>
      <c r="Q516" s="89"/>
      <c r="R516" s="89"/>
      <c r="T516" s="89"/>
      <c r="U516" s="89"/>
      <c r="V516" s="89"/>
      <c r="W516" s="89"/>
      <c r="X516" s="89"/>
      <c r="Y516" s="89"/>
      <c r="Z516" s="89"/>
      <c r="AA516" s="89"/>
      <c r="AB516" s="89"/>
      <c r="AC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89"/>
      <c r="BB516" s="89"/>
      <c r="BC516" s="89"/>
      <c r="BD516" s="89"/>
    </row>
    <row r="517" spans="1:56" ht="15" customHeight="1" x14ac:dyDescent="0.3">
      <c r="A517" s="101"/>
      <c r="B517" s="89"/>
      <c r="C517" s="89"/>
      <c r="D517" s="89"/>
      <c r="E517" s="89"/>
      <c r="F517" s="89"/>
      <c r="G517" s="89"/>
      <c r="H517" s="89"/>
      <c r="I517" s="89"/>
      <c r="J517" s="89"/>
      <c r="K517" s="89"/>
      <c r="L517" s="89"/>
      <c r="N517" s="89"/>
      <c r="O517" s="89"/>
      <c r="P517" s="89"/>
      <c r="Q517" s="89"/>
      <c r="R517" s="89"/>
      <c r="T517" s="89"/>
      <c r="U517" s="89"/>
      <c r="V517" s="89"/>
      <c r="W517" s="89"/>
      <c r="X517" s="89"/>
      <c r="Y517" s="89"/>
      <c r="Z517" s="89"/>
      <c r="AA517" s="89"/>
      <c r="AB517" s="89"/>
      <c r="AC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89"/>
      <c r="BB517" s="89"/>
      <c r="BC517" s="89"/>
      <c r="BD517" s="89"/>
    </row>
    <row r="518" spans="1:56" ht="15" customHeight="1" x14ac:dyDescent="0.3">
      <c r="A518" s="101"/>
      <c r="B518" s="89"/>
      <c r="C518" s="89"/>
      <c r="D518" s="89"/>
      <c r="E518" s="89"/>
      <c r="F518" s="89"/>
      <c r="G518" s="89"/>
      <c r="H518" s="89"/>
      <c r="I518" s="89"/>
      <c r="J518" s="89"/>
      <c r="K518" s="89"/>
      <c r="L518" s="89"/>
      <c r="N518" s="89"/>
      <c r="O518" s="89"/>
      <c r="P518" s="89"/>
      <c r="Q518" s="89"/>
      <c r="R518" s="89"/>
      <c r="T518" s="89"/>
      <c r="U518" s="89"/>
      <c r="V518" s="89"/>
      <c r="W518" s="89"/>
      <c r="X518" s="89"/>
      <c r="Y518" s="89"/>
      <c r="Z518" s="89"/>
      <c r="AA518" s="89"/>
      <c r="AB518" s="89"/>
      <c r="AC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89"/>
      <c r="BB518" s="89"/>
      <c r="BC518" s="89"/>
      <c r="BD518" s="89"/>
    </row>
    <row r="519" spans="1:56" ht="15" customHeight="1" x14ac:dyDescent="0.3">
      <c r="A519" s="101"/>
      <c r="B519" s="89"/>
      <c r="C519" s="89"/>
      <c r="D519" s="89"/>
      <c r="E519" s="89"/>
      <c r="F519" s="89"/>
      <c r="G519" s="89"/>
      <c r="H519" s="89"/>
      <c r="I519" s="89"/>
      <c r="J519" s="89"/>
      <c r="K519" s="89"/>
      <c r="L519" s="89"/>
      <c r="N519" s="89"/>
      <c r="O519" s="89"/>
      <c r="P519" s="89"/>
      <c r="Q519" s="89"/>
      <c r="R519" s="89"/>
      <c r="T519" s="89"/>
      <c r="U519" s="89"/>
      <c r="V519" s="89"/>
      <c r="W519" s="89"/>
      <c r="X519" s="89"/>
      <c r="Y519" s="89"/>
      <c r="Z519" s="89"/>
      <c r="AA519" s="89"/>
      <c r="AB519" s="89"/>
      <c r="AC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89"/>
      <c r="BB519" s="89"/>
      <c r="BC519" s="89"/>
      <c r="BD519" s="89"/>
    </row>
    <row r="520" spans="1:56" ht="15" customHeight="1" x14ac:dyDescent="0.3">
      <c r="A520" s="101"/>
      <c r="B520" s="89"/>
      <c r="C520" s="89"/>
      <c r="D520" s="89"/>
      <c r="E520" s="89"/>
      <c r="F520" s="89"/>
      <c r="G520" s="89"/>
      <c r="H520" s="89"/>
      <c r="I520" s="89"/>
      <c r="J520" s="89"/>
      <c r="K520" s="89"/>
      <c r="L520" s="89"/>
      <c r="N520" s="89"/>
      <c r="O520" s="89"/>
      <c r="P520" s="89"/>
      <c r="Q520" s="89"/>
      <c r="R520" s="89"/>
      <c r="T520" s="89"/>
      <c r="U520" s="89"/>
      <c r="V520" s="89"/>
      <c r="W520" s="89"/>
      <c r="X520" s="89"/>
      <c r="Y520" s="89"/>
      <c r="Z520" s="89"/>
      <c r="AA520" s="89"/>
      <c r="AB520" s="89"/>
      <c r="AC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89"/>
      <c r="BB520" s="89"/>
      <c r="BC520" s="89"/>
      <c r="BD520" s="89"/>
    </row>
    <row r="521" spans="1:56" ht="15" customHeight="1" x14ac:dyDescent="0.3">
      <c r="A521" s="101"/>
      <c r="B521" s="89"/>
      <c r="C521" s="89"/>
      <c r="D521" s="89"/>
      <c r="E521" s="89"/>
      <c r="F521" s="89"/>
      <c r="G521" s="89"/>
      <c r="H521" s="89"/>
      <c r="I521" s="89"/>
      <c r="J521" s="89"/>
      <c r="K521" s="89"/>
      <c r="L521" s="89"/>
      <c r="N521" s="89"/>
      <c r="O521" s="89"/>
      <c r="P521" s="89"/>
      <c r="Q521" s="89"/>
      <c r="R521" s="89"/>
      <c r="T521" s="89"/>
      <c r="U521" s="89"/>
      <c r="V521" s="89"/>
      <c r="W521" s="89"/>
      <c r="X521" s="89"/>
      <c r="Y521" s="89"/>
      <c r="Z521" s="89"/>
      <c r="AA521" s="89"/>
      <c r="AB521" s="89"/>
      <c r="AC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89"/>
      <c r="BB521" s="89"/>
      <c r="BC521" s="89"/>
      <c r="BD521" s="89"/>
    </row>
    <row r="522" spans="1:56" ht="15" customHeight="1" x14ac:dyDescent="0.3">
      <c r="A522" s="101"/>
      <c r="B522" s="89"/>
      <c r="C522" s="89"/>
      <c r="D522" s="89"/>
      <c r="E522" s="89"/>
      <c r="F522" s="89"/>
      <c r="G522" s="89"/>
      <c r="H522" s="89"/>
      <c r="I522" s="89"/>
      <c r="J522" s="89"/>
      <c r="K522" s="89"/>
      <c r="L522" s="89"/>
      <c r="N522" s="89"/>
      <c r="O522" s="89"/>
      <c r="P522" s="89"/>
      <c r="Q522" s="89"/>
      <c r="R522" s="89"/>
      <c r="T522" s="89"/>
      <c r="U522" s="89"/>
      <c r="V522" s="89"/>
      <c r="W522" s="89"/>
      <c r="X522" s="89"/>
      <c r="Y522" s="89"/>
      <c r="Z522" s="89"/>
      <c r="AA522" s="89"/>
      <c r="AB522" s="89"/>
      <c r="AC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89"/>
      <c r="BB522" s="89"/>
      <c r="BC522" s="89"/>
      <c r="BD522" s="89"/>
    </row>
    <row r="523" spans="1:56" ht="15" customHeight="1" x14ac:dyDescent="0.3">
      <c r="A523" s="101"/>
      <c r="B523" s="89"/>
      <c r="C523" s="89"/>
      <c r="D523" s="89"/>
      <c r="E523" s="89"/>
      <c r="F523" s="89"/>
      <c r="G523" s="89"/>
      <c r="H523" s="89"/>
      <c r="I523" s="89"/>
      <c r="J523" s="89"/>
      <c r="K523" s="89"/>
      <c r="L523" s="89"/>
      <c r="N523" s="89"/>
      <c r="O523" s="89"/>
      <c r="P523" s="89"/>
      <c r="Q523" s="89"/>
      <c r="R523" s="89"/>
      <c r="T523" s="89"/>
      <c r="U523" s="89"/>
      <c r="V523" s="89"/>
      <c r="W523" s="89"/>
      <c r="X523" s="89"/>
      <c r="Y523" s="89"/>
      <c r="Z523" s="89"/>
      <c r="AA523" s="89"/>
      <c r="AB523" s="89"/>
      <c r="AC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89"/>
      <c r="BB523" s="89"/>
      <c r="BC523" s="89"/>
      <c r="BD523" s="89"/>
    </row>
    <row r="524" spans="1:56" ht="15" customHeight="1" x14ac:dyDescent="0.3">
      <c r="A524" s="101"/>
      <c r="B524" s="89"/>
      <c r="C524" s="89"/>
      <c r="D524" s="89"/>
      <c r="E524" s="89"/>
      <c r="F524" s="89"/>
      <c r="G524" s="89"/>
      <c r="H524" s="89"/>
      <c r="I524" s="89"/>
      <c r="J524" s="89"/>
      <c r="K524" s="89"/>
      <c r="L524" s="89"/>
      <c r="N524" s="89"/>
      <c r="O524" s="89"/>
      <c r="P524" s="89"/>
      <c r="Q524" s="89"/>
      <c r="R524" s="89"/>
      <c r="T524" s="89"/>
      <c r="U524" s="89"/>
      <c r="V524" s="89"/>
      <c r="W524" s="89"/>
      <c r="X524" s="89"/>
      <c r="Y524" s="89"/>
      <c r="Z524" s="89"/>
      <c r="AA524" s="89"/>
      <c r="AB524" s="89"/>
      <c r="AC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89"/>
      <c r="BB524" s="89"/>
      <c r="BC524" s="89"/>
      <c r="BD524" s="89"/>
    </row>
    <row r="525" spans="1:56" ht="15" customHeight="1" x14ac:dyDescent="0.3">
      <c r="A525" s="101"/>
      <c r="B525" s="89"/>
      <c r="C525" s="89"/>
      <c r="D525" s="89"/>
      <c r="E525" s="89"/>
      <c r="F525" s="89"/>
      <c r="G525" s="89"/>
      <c r="H525" s="89"/>
      <c r="I525" s="89"/>
      <c r="J525" s="89"/>
      <c r="K525" s="89"/>
      <c r="L525" s="89"/>
      <c r="N525" s="89"/>
      <c r="O525" s="89"/>
      <c r="P525" s="89"/>
      <c r="Q525" s="89"/>
      <c r="R525" s="89"/>
      <c r="T525" s="89"/>
      <c r="U525" s="89"/>
      <c r="V525" s="89"/>
      <c r="W525" s="89"/>
      <c r="X525" s="89"/>
      <c r="Y525" s="89"/>
      <c r="Z525" s="89"/>
      <c r="AA525" s="89"/>
      <c r="AB525" s="89"/>
      <c r="AC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89"/>
      <c r="BB525" s="89"/>
      <c r="BC525" s="89"/>
      <c r="BD525" s="89"/>
    </row>
    <row r="526" spans="1:56" ht="15" customHeight="1" x14ac:dyDescent="0.3">
      <c r="A526" s="101"/>
      <c r="B526" s="89"/>
      <c r="C526" s="89"/>
      <c r="D526" s="89"/>
      <c r="E526" s="89"/>
      <c r="F526" s="89"/>
      <c r="G526" s="89"/>
      <c r="H526" s="89"/>
      <c r="I526" s="89"/>
      <c r="J526" s="89"/>
      <c r="K526" s="89"/>
      <c r="L526" s="89"/>
      <c r="N526" s="89"/>
      <c r="O526" s="89"/>
      <c r="P526" s="89"/>
      <c r="Q526" s="89"/>
      <c r="R526" s="89"/>
      <c r="T526" s="89"/>
      <c r="U526" s="89"/>
      <c r="V526" s="89"/>
      <c r="W526" s="89"/>
      <c r="X526" s="89"/>
      <c r="Y526" s="89"/>
      <c r="Z526" s="89"/>
      <c r="AA526" s="89"/>
      <c r="AB526" s="89"/>
      <c r="AC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89"/>
      <c r="BB526" s="89"/>
      <c r="BC526" s="89"/>
      <c r="BD526" s="89"/>
    </row>
    <row r="527" spans="1:56" ht="15" customHeight="1" x14ac:dyDescent="0.3">
      <c r="A527" s="101"/>
      <c r="B527" s="89"/>
      <c r="C527" s="89"/>
      <c r="D527" s="89"/>
      <c r="E527" s="89"/>
      <c r="F527" s="89"/>
      <c r="G527" s="89"/>
      <c r="H527" s="89"/>
      <c r="I527" s="89"/>
      <c r="J527" s="89"/>
      <c r="K527" s="89"/>
      <c r="L527" s="89"/>
      <c r="N527" s="89"/>
      <c r="O527" s="89"/>
      <c r="P527" s="89"/>
      <c r="Q527" s="89"/>
      <c r="R527" s="89"/>
      <c r="T527" s="89"/>
      <c r="U527" s="89"/>
      <c r="V527" s="89"/>
      <c r="W527" s="89"/>
      <c r="X527" s="89"/>
      <c r="Y527" s="89"/>
      <c r="Z527" s="89"/>
      <c r="AA527" s="89"/>
      <c r="AB527" s="89"/>
      <c r="AC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89"/>
      <c r="BB527" s="89"/>
      <c r="BC527" s="89"/>
      <c r="BD527" s="89"/>
    </row>
    <row r="528" spans="1:56" ht="15" customHeight="1" x14ac:dyDescent="0.3">
      <c r="A528" s="101"/>
      <c r="B528" s="89"/>
      <c r="C528" s="89"/>
      <c r="D528" s="89"/>
      <c r="E528" s="89"/>
      <c r="F528" s="89"/>
      <c r="G528" s="89"/>
      <c r="H528" s="89"/>
      <c r="I528" s="89"/>
      <c r="J528" s="89"/>
      <c r="K528" s="89"/>
      <c r="L528" s="89"/>
      <c r="N528" s="89"/>
      <c r="O528" s="89"/>
      <c r="P528" s="89"/>
      <c r="Q528" s="89"/>
      <c r="R528" s="89"/>
      <c r="T528" s="89"/>
      <c r="U528" s="89"/>
      <c r="V528" s="89"/>
      <c r="W528" s="89"/>
      <c r="X528" s="89"/>
      <c r="Y528" s="89"/>
      <c r="Z528" s="89"/>
      <c r="AA528" s="89"/>
      <c r="AB528" s="89"/>
      <c r="AC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89"/>
      <c r="BB528" s="89"/>
      <c r="BC528" s="89"/>
      <c r="BD528" s="89"/>
    </row>
    <row r="529" spans="1:56" ht="15" customHeight="1" x14ac:dyDescent="0.3">
      <c r="A529" s="101"/>
      <c r="B529" s="89"/>
      <c r="C529" s="89"/>
      <c r="D529" s="89"/>
      <c r="E529" s="89"/>
      <c r="F529" s="89"/>
      <c r="G529" s="89"/>
      <c r="H529" s="89"/>
      <c r="I529" s="89"/>
      <c r="J529" s="89"/>
      <c r="K529" s="89"/>
      <c r="L529" s="89"/>
      <c r="N529" s="89"/>
      <c r="O529" s="89"/>
      <c r="P529" s="89"/>
      <c r="Q529" s="89"/>
      <c r="R529" s="89"/>
      <c r="T529" s="89"/>
      <c r="U529" s="89"/>
      <c r="V529" s="89"/>
      <c r="W529" s="89"/>
      <c r="X529" s="89"/>
      <c r="Y529" s="89"/>
      <c r="Z529" s="89"/>
      <c r="AA529" s="89"/>
      <c r="AB529" s="89"/>
      <c r="AC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89"/>
      <c r="BB529" s="89"/>
      <c r="BC529" s="89"/>
      <c r="BD529" s="89"/>
    </row>
    <row r="530" spans="1:56" ht="15" customHeight="1" x14ac:dyDescent="0.3">
      <c r="A530" s="101"/>
      <c r="B530" s="89"/>
      <c r="C530" s="89"/>
      <c r="D530" s="89"/>
      <c r="E530" s="89"/>
      <c r="F530" s="89"/>
      <c r="G530" s="89"/>
      <c r="H530" s="89"/>
      <c r="I530" s="89"/>
      <c r="J530" s="89"/>
      <c r="K530" s="89"/>
      <c r="L530" s="89"/>
      <c r="N530" s="89"/>
      <c r="O530" s="89"/>
      <c r="P530" s="89"/>
      <c r="Q530" s="89"/>
      <c r="R530" s="89"/>
      <c r="T530" s="89"/>
      <c r="U530" s="89"/>
      <c r="V530" s="89"/>
      <c r="W530" s="89"/>
      <c r="X530" s="89"/>
      <c r="Y530" s="89"/>
      <c r="Z530" s="89"/>
      <c r="AA530" s="89"/>
      <c r="AB530" s="89"/>
      <c r="AC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89"/>
      <c r="BB530" s="89"/>
      <c r="BC530" s="89"/>
      <c r="BD530" s="89"/>
    </row>
    <row r="531" spans="1:56" ht="15" customHeight="1" x14ac:dyDescent="0.3">
      <c r="A531" s="101"/>
      <c r="B531" s="89"/>
      <c r="C531" s="89"/>
      <c r="D531" s="89"/>
      <c r="E531" s="89"/>
      <c r="F531" s="89"/>
      <c r="G531" s="89"/>
      <c r="H531" s="89"/>
      <c r="I531" s="89"/>
      <c r="J531" s="89"/>
      <c r="K531" s="89"/>
      <c r="L531" s="89"/>
      <c r="N531" s="89"/>
      <c r="O531" s="89"/>
      <c r="P531" s="89"/>
      <c r="Q531" s="89"/>
      <c r="R531" s="89"/>
      <c r="T531" s="89"/>
      <c r="U531" s="89"/>
      <c r="V531" s="89"/>
      <c r="W531" s="89"/>
      <c r="X531" s="89"/>
      <c r="Y531" s="89"/>
      <c r="Z531" s="89"/>
      <c r="AA531" s="89"/>
      <c r="AB531" s="89"/>
      <c r="AC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89"/>
      <c r="BB531" s="89"/>
      <c r="BC531" s="89"/>
      <c r="BD531" s="89"/>
    </row>
    <row r="532" spans="1:56" ht="15" customHeight="1" x14ac:dyDescent="0.3">
      <c r="A532" s="101"/>
      <c r="B532" s="89"/>
      <c r="C532" s="89"/>
      <c r="D532" s="89"/>
      <c r="E532" s="89"/>
      <c r="F532" s="89"/>
      <c r="G532" s="89"/>
      <c r="H532" s="89"/>
      <c r="I532" s="89"/>
      <c r="J532" s="89"/>
      <c r="K532" s="89"/>
      <c r="L532" s="89"/>
      <c r="N532" s="89"/>
      <c r="O532" s="89"/>
      <c r="P532" s="89"/>
      <c r="Q532" s="89"/>
      <c r="R532" s="89"/>
      <c r="T532" s="89"/>
      <c r="U532" s="89"/>
      <c r="V532" s="89"/>
      <c r="W532" s="89"/>
      <c r="X532" s="89"/>
      <c r="Y532" s="89"/>
      <c r="Z532" s="89"/>
      <c r="AA532" s="89"/>
      <c r="AB532" s="89"/>
      <c r="AC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89"/>
      <c r="BB532" s="89"/>
      <c r="BC532" s="89"/>
      <c r="BD532" s="89"/>
    </row>
    <row r="533" spans="1:56" ht="15" customHeight="1" x14ac:dyDescent="0.3">
      <c r="A533" s="101"/>
      <c r="B533" s="89"/>
      <c r="C533" s="89"/>
      <c r="D533" s="89"/>
      <c r="E533" s="89"/>
      <c r="F533" s="89"/>
      <c r="G533" s="89"/>
      <c r="H533" s="89"/>
      <c r="I533" s="89"/>
      <c r="J533" s="89"/>
      <c r="K533" s="89"/>
      <c r="L533" s="89"/>
      <c r="N533" s="89"/>
      <c r="O533" s="89"/>
      <c r="P533" s="89"/>
      <c r="Q533" s="89"/>
      <c r="R533" s="89"/>
      <c r="T533" s="89"/>
      <c r="U533" s="89"/>
      <c r="V533" s="89"/>
      <c r="W533" s="89"/>
      <c r="X533" s="89"/>
      <c r="Y533" s="89"/>
      <c r="Z533" s="89"/>
      <c r="AA533" s="89"/>
      <c r="AB533" s="89"/>
      <c r="AC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89"/>
      <c r="BB533" s="89"/>
      <c r="BC533" s="89"/>
      <c r="BD533" s="89"/>
    </row>
    <row r="534" spans="1:56" ht="15" customHeight="1" x14ac:dyDescent="0.3">
      <c r="A534" s="101"/>
      <c r="B534" s="89"/>
      <c r="C534" s="89"/>
      <c r="D534" s="89"/>
      <c r="E534" s="89"/>
      <c r="F534" s="89"/>
      <c r="G534" s="89"/>
      <c r="H534" s="89"/>
      <c r="I534" s="89"/>
      <c r="J534" s="89"/>
      <c r="K534" s="89"/>
      <c r="L534" s="89"/>
      <c r="N534" s="89"/>
      <c r="O534" s="89"/>
      <c r="P534" s="89"/>
      <c r="Q534" s="89"/>
      <c r="R534" s="89"/>
      <c r="T534" s="89"/>
      <c r="U534" s="89"/>
      <c r="V534" s="89"/>
      <c r="W534" s="89"/>
      <c r="X534" s="89"/>
      <c r="Y534" s="89"/>
      <c r="Z534" s="89"/>
      <c r="AA534" s="89"/>
      <c r="AB534" s="89"/>
      <c r="AC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89"/>
      <c r="BB534" s="89"/>
      <c r="BC534" s="89"/>
      <c r="BD534" s="89"/>
    </row>
    <row r="535" spans="1:56" ht="15" customHeight="1" x14ac:dyDescent="0.3">
      <c r="A535" s="101"/>
      <c r="B535" s="89"/>
      <c r="C535" s="89"/>
      <c r="D535" s="89"/>
      <c r="E535" s="89"/>
      <c r="F535" s="89"/>
      <c r="G535" s="89"/>
      <c r="H535" s="89"/>
      <c r="I535" s="89"/>
      <c r="J535" s="89"/>
      <c r="K535" s="89"/>
      <c r="L535" s="89"/>
      <c r="N535" s="89"/>
      <c r="O535" s="89"/>
      <c r="P535" s="89"/>
      <c r="Q535" s="89"/>
      <c r="R535" s="89"/>
      <c r="T535" s="89"/>
      <c r="U535" s="89"/>
      <c r="V535" s="89"/>
      <c r="W535" s="89"/>
      <c r="X535" s="89"/>
      <c r="Y535" s="89"/>
      <c r="Z535" s="89"/>
      <c r="AA535" s="89"/>
      <c r="AB535" s="89"/>
      <c r="AC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89"/>
      <c r="BB535" s="89"/>
      <c r="BC535" s="89"/>
      <c r="BD535" s="89"/>
    </row>
    <row r="536" spans="1:56" ht="15" customHeight="1" x14ac:dyDescent="0.3">
      <c r="A536" s="101"/>
      <c r="B536" s="89"/>
      <c r="C536" s="89"/>
      <c r="D536" s="89"/>
      <c r="E536" s="89"/>
      <c r="F536" s="89"/>
      <c r="G536" s="89"/>
      <c r="H536" s="89"/>
      <c r="I536" s="89"/>
      <c r="J536" s="89"/>
      <c r="K536" s="89"/>
      <c r="L536" s="89"/>
      <c r="N536" s="89"/>
      <c r="O536" s="89"/>
      <c r="P536" s="89"/>
      <c r="Q536" s="89"/>
      <c r="R536" s="89"/>
      <c r="T536" s="89"/>
      <c r="U536" s="89"/>
      <c r="V536" s="89"/>
      <c r="W536" s="89"/>
      <c r="X536" s="89"/>
      <c r="Y536" s="89"/>
      <c r="Z536" s="89"/>
      <c r="AA536" s="89"/>
      <c r="AB536" s="89"/>
      <c r="AC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89"/>
      <c r="BB536" s="89"/>
      <c r="BC536" s="89"/>
      <c r="BD536" s="89"/>
    </row>
    <row r="537" spans="1:56" ht="15" customHeight="1" x14ac:dyDescent="0.3">
      <c r="A537" s="101"/>
      <c r="B537" s="89"/>
      <c r="C537" s="89"/>
      <c r="D537" s="89"/>
      <c r="E537" s="89"/>
      <c r="F537" s="89"/>
      <c r="G537" s="89"/>
      <c r="H537" s="89"/>
      <c r="I537" s="89"/>
      <c r="J537" s="89"/>
      <c r="K537" s="89"/>
      <c r="L537" s="89"/>
      <c r="N537" s="89"/>
      <c r="O537" s="89"/>
      <c r="P537" s="89"/>
      <c r="Q537" s="89"/>
      <c r="R537" s="89"/>
      <c r="T537" s="89"/>
      <c r="U537" s="89"/>
      <c r="V537" s="89"/>
      <c r="W537" s="89"/>
      <c r="X537" s="89"/>
      <c r="Y537" s="89"/>
      <c r="Z537" s="89"/>
      <c r="AA537" s="89"/>
      <c r="AB537" s="89"/>
      <c r="AC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89"/>
      <c r="BB537" s="89"/>
      <c r="BC537" s="89"/>
      <c r="BD537" s="89"/>
    </row>
    <row r="538" spans="1:56" ht="15" customHeight="1" x14ac:dyDescent="0.3">
      <c r="A538" s="101"/>
      <c r="B538" s="89"/>
      <c r="C538" s="89"/>
      <c r="D538" s="89"/>
      <c r="E538" s="89"/>
      <c r="F538" s="89"/>
      <c r="G538" s="89"/>
      <c r="H538" s="89"/>
      <c r="I538" s="89"/>
      <c r="J538" s="89"/>
      <c r="K538" s="89"/>
      <c r="L538" s="89"/>
      <c r="N538" s="89"/>
      <c r="O538" s="89"/>
      <c r="P538" s="89"/>
      <c r="Q538" s="89"/>
      <c r="R538" s="89"/>
      <c r="T538" s="89"/>
      <c r="U538" s="89"/>
      <c r="V538" s="89"/>
      <c r="W538" s="89"/>
      <c r="X538" s="89"/>
      <c r="Y538" s="89"/>
      <c r="Z538" s="89"/>
      <c r="AA538" s="89"/>
      <c r="AB538" s="89"/>
      <c r="AC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89"/>
      <c r="BB538" s="89"/>
      <c r="BC538" s="89"/>
      <c r="BD538" s="89"/>
    </row>
    <row r="539" spans="1:56" ht="15" customHeight="1" x14ac:dyDescent="0.3">
      <c r="A539" s="101"/>
      <c r="B539" s="89"/>
      <c r="C539" s="89"/>
      <c r="D539" s="89"/>
      <c r="E539" s="89"/>
      <c r="F539" s="89"/>
      <c r="G539" s="89"/>
      <c r="H539" s="89"/>
      <c r="I539" s="89"/>
      <c r="J539" s="89"/>
      <c r="K539" s="89"/>
      <c r="L539" s="89"/>
      <c r="N539" s="89"/>
      <c r="O539" s="89"/>
      <c r="P539" s="89"/>
      <c r="Q539" s="89"/>
      <c r="R539" s="89"/>
      <c r="T539" s="89"/>
      <c r="U539" s="89"/>
      <c r="V539" s="89"/>
      <c r="W539" s="89"/>
      <c r="X539" s="89"/>
      <c r="Y539" s="89"/>
      <c r="Z539" s="89"/>
      <c r="AA539" s="89"/>
      <c r="AB539" s="89"/>
      <c r="AC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89"/>
      <c r="BB539" s="89"/>
      <c r="BC539" s="89"/>
      <c r="BD539" s="89"/>
    </row>
    <row r="540" spans="1:56" ht="15" customHeight="1" x14ac:dyDescent="0.3">
      <c r="A540" s="101"/>
      <c r="B540" s="89"/>
      <c r="C540" s="89"/>
      <c r="D540" s="89"/>
      <c r="E540" s="89"/>
      <c r="F540" s="89"/>
      <c r="G540" s="89"/>
      <c r="H540" s="89"/>
      <c r="I540" s="89"/>
      <c r="J540" s="89"/>
      <c r="K540" s="89"/>
      <c r="L540" s="89"/>
      <c r="N540" s="89"/>
      <c r="O540" s="89"/>
      <c r="P540" s="89"/>
      <c r="Q540" s="89"/>
      <c r="R540" s="89"/>
      <c r="T540" s="89"/>
      <c r="U540" s="89"/>
      <c r="V540" s="89"/>
      <c r="W540" s="89"/>
      <c r="X540" s="89"/>
      <c r="Y540" s="89"/>
      <c r="Z540" s="89"/>
      <c r="AA540" s="89"/>
      <c r="AB540" s="89"/>
      <c r="AC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89"/>
      <c r="BB540" s="89"/>
      <c r="BC540" s="89"/>
      <c r="BD540" s="89"/>
    </row>
    <row r="541" spans="1:56" ht="15" customHeight="1" x14ac:dyDescent="0.3">
      <c r="A541" s="101"/>
      <c r="B541" s="89"/>
      <c r="C541" s="89"/>
      <c r="D541" s="89"/>
      <c r="E541" s="89"/>
      <c r="F541" s="89"/>
      <c r="G541" s="89"/>
      <c r="H541" s="89"/>
      <c r="I541" s="89"/>
      <c r="J541" s="89"/>
      <c r="K541" s="89"/>
      <c r="L541" s="89"/>
      <c r="N541" s="89"/>
      <c r="O541" s="89"/>
      <c r="P541" s="89"/>
      <c r="Q541" s="89"/>
      <c r="R541" s="89"/>
      <c r="T541" s="89"/>
      <c r="U541" s="89"/>
      <c r="V541" s="89"/>
      <c r="W541" s="89"/>
      <c r="X541" s="89"/>
      <c r="Y541" s="89"/>
      <c r="Z541" s="89"/>
      <c r="AA541" s="89"/>
      <c r="AB541" s="89"/>
      <c r="AC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89"/>
      <c r="BB541" s="89"/>
      <c r="BC541" s="89"/>
      <c r="BD541" s="89"/>
    </row>
    <row r="542" spans="1:56" ht="15" customHeight="1" x14ac:dyDescent="0.3">
      <c r="A542" s="101"/>
      <c r="B542" s="89"/>
      <c r="C542" s="89"/>
      <c r="D542" s="89"/>
      <c r="E542" s="89"/>
      <c r="F542" s="89"/>
      <c r="G542" s="89"/>
      <c r="H542" s="89"/>
      <c r="I542" s="89"/>
      <c r="J542" s="89"/>
      <c r="K542" s="89"/>
      <c r="L542" s="89"/>
      <c r="N542" s="89"/>
      <c r="O542" s="89"/>
      <c r="P542" s="89"/>
      <c r="Q542" s="89"/>
      <c r="R542" s="89"/>
      <c r="T542" s="89"/>
      <c r="U542" s="89"/>
      <c r="V542" s="89"/>
      <c r="W542" s="89"/>
      <c r="X542" s="89"/>
      <c r="Y542" s="89"/>
      <c r="Z542" s="89"/>
      <c r="AA542" s="89"/>
      <c r="AB542" s="89"/>
      <c r="AC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89"/>
      <c r="BB542" s="89"/>
      <c r="BC542" s="89"/>
      <c r="BD542" s="89"/>
    </row>
    <row r="543" spans="1:56" ht="15" customHeight="1" x14ac:dyDescent="0.3">
      <c r="A543" s="101"/>
      <c r="B543" s="89"/>
      <c r="C543" s="89"/>
      <c r="D543" s="89"/>
      <c r="E543" s="89"/>
      <c r="F543" s="89"/>
      <c r="G543" s="89"/>
      <c r="H543" s="89"/>
      <c r="I543" s="89"/>
      <c r="J543" s="89"/>
      <c r="K543" s="89"/>
      <c r="L543" s="89"/>
      <c r="N543" s="89"/>
      <c r="O543" s="89"/>
      <c r="P543" s="89"/>
      <c r="Q543" s="89"/>
      <c r="R543" s="89"/>
      <c r="T543" s="89"/>
      <c r="U543" s="89"/>
      <c r="V543" s="89"/>
      <c r="W543" s="89"/>
      <c r="X543" s="89"/>
      <c r="Y543" s="89"/>
      <c r="Z543" s="89"/>
      <c r="AA543" s="89"/>
      <c r="AB543" s="89"/>
      <c r="AC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89"/>
      <c r="BB543" s="89"/>
      <c r="BC543" s="89"/>
      <c r="BD543" s="89"/>
    </row>
    <row r="544" spans="1:56" ht="15" customHeight="1" x14ac:dyDescent="0.3">
      <c r="A544" s="101"/>
      <c r="B544" s="89"/>
      <c r="C544" s="89"/>
      <c r="D544" s="89"/>
      <c r="E544" s="89"/>
      <c r="F544" s="89"/>
      <c r="G544" s="89"/>
      <c r="H544" s="89"/>
      <c r="I544" s="89"/>
      <c r="J544" s="89"/>
      <c r="K544" s="89"/>
      <c r="L544" s="89"/>
      <c r="N544" s="89"/>
      <c r="O544" s="89"/>
      <c r="P544" s="89"/>
      <c r="Q544" s="89"/>
      <c r="R544" s="89"/>
      <c r="T544" s="89"/>
      <c r="U544" s="89"/>
      <c r="V544" s="89"/>
      <c r="W544" s="89"/>
      <c r="X544" s="89"/>
      <c r="Y544" s="89"/>
      <c r="Z544" s="89"/>
      <c r="AA544" s="89"/>
      <c r="AB544" s="89"/>
      <c r="AC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89"/>
      <c r="BB544" s="89"/>
      <c r="BC544" s="89"/>
      <c r="BD544" s="89"/>
    </row>
    <row r="545" spans="1:56" ht="15" customHeight="1" x14ac:dyDescent="0.3">
      <c r="A545" s="101"/>
      <c r="B545" s="89"/>
      <c r="C545" s="89"/>
      <c r="D545" s="89"/>
      <c r="E545" s="89"/>
      <c r="F545" s="89"/>
      <c r="G545" s="89"/>
      <c r="H545" s="89"/>
      <c r="I545" s="89"/>
      <c r="J545" s="89"/>
      <c r="K545" s="89"/>
      <c r="L545" s="89"/>
      <c r="N545" s="89"/>
      <c r="O545" s="89"/>
      <c r="P545" s="89"/>
      <c r="Q545" s="89"/>
      <c r="R545" s="89"/>
      <c r="T545" s="89"/>
      <c r="U545" s="89"/>
      <c r="V545" s="89"/>
      <c r="W545" s="89"/>
      <c r="X545" s="89"/>
      <c r="Y545" s="89"/>
      <c r="Z545" s="89"/>
      <c r="AA545" s="89"/>
      <c r="AB545" s="89"/>
      <c r="AC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89"/>
      <c r="BB545" s="89"/>
      <c r="BC545" s="89"/>
      <c r="BD545" s="89"/>
    </row>
    <row r="546" spans="1:56" ht="15" customHeight="1" x14ac:dyDescent="0.3">
      <c r="A546" s="101"/>
      <c r="B546" s="89"/>
      <c r="C546" s="89"/>
      <c r="D546" s="89"/>
      <c r="E546" s="89"/>
      <c r="F546" s="89"/>
      <c r="G546" s="89"/>
      <c r="H546" s="89"/>
      <c r="I546" s="89"/>
      <c r="J546" s="89"/>
      <c r="K546" s="89"/>
      <c r="L546" s="89"/>
      <c r="N546" s="89"/>
      <c r="O546" s="89"/>
      <c r="P546" s="89"/>
      <c r="Q546" s="89"/>
      <c r="R546" s="89"/>
      <c r="T546" s="89"/>
      <c r="U546" s="89"/>
      <c r="V546" s="89"/>
      <c r="W546" s="89"/>
      <c r="X546" s="89"/>
      <c r="Y546" s="89"/>
      <c r="Z546" s="89"/>
      <c r="AA546" s="89"/>
      <c r="AB546" s="89"/>
      <c r="AC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89"/>
      <c r="BB546" s="89"/>
      <c r="BC546" s="89"/>
      <c r="BD546" s="89"/>
    </row>
    <row r="547" spans="1:56" ht="15" customHeight="1" x14ac:dyDescent="0.3">
      <c r="A547" s="101"/>
      <c r="B547" s="89"/>
      <c r="C547" s="89"/>
      <c r="D547" s="89"/>
      <c r="E547" s="89"/>
      <c r="F547" s="89"/>
      <c r="G547" s="89"/>
      <c r="H547" s="89"/>
      <c r="I547" s="89"/>
      <c r="J547" s="89"/>
      <c r="K547" s="89"/>
      <c r="L547" s="89"/>
      <c r="N547" s="89"/>
      <c r="O547" s="89"/>
      <c r="P547" s="89"/>
      <c r="Q547" s="89"/>
      <c r="R547" s="89"/>
      <c r="T547" s="89"/>
      <c r="U547" s="89"/>
      <c r="V547" s="89"/>
      <c r="W547" s="89"/>
      <c r="X547" s="89"/>
      <c r="Y547" s="89"/>
      <c r="Z547" s="89"/>
      <c r="AA547" s="89"/>
      <c r="AB547" s="89"/>
      <c r="AC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89"/>
      <c r="BB547" s="89"/>
      <c r="BC547" s="89"/>
      <c r="BD547" s="89"/>
    </row>
    <row r="548" spans="1:56" ht="15" customHeight="1" x14ac:dyDescent="0.3">
      <c r="A548" s="101"/>
      <c r="B548" s="89"/>
      <c r="C548" s="89"/>
      <c r="D548" s="89"/>
      <c r="E548" s="89"/>
      <c r="F548" s="89"/>
      <c r="G548" s="89"/>
      <c r="H548" s="89"/>
      <c r="I548" s="89"/>
      <c r="J548" s="89"/>
      <c r="K548" s="89"/>
      <c r="L548" s="89"/>
      <c r="N548" s="89"/>
      <c r="O548" s="89"/>
      <c r="P548" s="89"/>
      <c r="Q548" s="89"/>
      <c r="R548" s="89"/>
      <c r="T548" s="89"/>
      <c r="U548" s="89"/>
      <c r="V548" s="89"/>
      <c r="W548" s="89"/>
      <c r="X548" s="89"/>
      <c r="Y548" s="89"/>
      <c r="Z548" s="89"/>
      <c r="AA548" s="89"/>
      <c r="AB548" s="89"/>
      <c r="AC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89"/>
      <c r="BB548" s="89"/>
      <c r="BC548" s="89"/>
      <c r="BD548" s="89"/>
    </row>
    <row r="549" spans="1:56" ht="15" customHeight="1" x14ac:dyDescent="0.3">
      <c r="A549" s="101"/>
      <c r="B549" s="89"/>
      <c r="C549" s="89"/>
      <c r="D549" s="89"/>
      <c r="E549" s="89"/>
      <c r="F549" s="89"/>
      <c r="G549" s="89"/>
      <c r="H549" s="89"/>
      <c r="I549" s="89"/>
      <c r="J549" s="89"/>
      <c r="K549" s="89"/>
      <c r="L549" s="89"/>
      <c r="N549" s="89"/>
      <c r="O549" s="89"/>
      <c r="P549" s="89"/>
      <c r="Q549" s="89"/>
      <c r="R549" s="89"/>
      <c r="T549" s="89"/>
      <c r="U549" s="89"/>
      <c r="V549" s="89"/>
      <c r="W549" s="89"/>
      <c r="X549" s="89"/>
      <c r="Y549" s="89"/>
      <c r="Z549" s="89"/>
      <c r="AA549" s="89"/>
      <c r="AB549" s="89"/>
      <c r="AC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89"/>
      <c r="BB549" s="89"/>
      <c r="BC549" s="89"/>
      <c r="BD549" s="89"/>
    </row>
    <row r="550" spans="1:56" ht="15" customHeight="1" x14ac:dyDescent="0.3">
      <c r="A550" s="101"/>
      <c r="B550" s="89"/>
      <c r="C550" s="89"/>
      <c r="D550" s="89"/>
      <c r="E550" s="89"/>
      <c r="F550" s="89"/>
      <c r="G550" s="89"/>
      <c r="H550" s="89"/>
      <c r="I550" s="89"/>
      <c r="J550" s="89"/>
      <c r="K550" s="89"/>
      <c r="L550" s="89"/>
      <c r="N550" s="89"/>
      <c r="O550" s="89"/>
      <c r="P550" s="89"/>
      <c r="Q550" s="89"/>
      <c r="R550" s="89"/>
      <c r="T550" s="89"/>
      <c r="U550" s="89"/>
      <c r="V550" s="89"/>
      <c r="W550" s="89"/>
      <c r="X550" s="89"/>
      <c r="Y550" s="89"/>
      <c r="Z550" s="89"/>
      <c r="AA550" s="89"/>
      <c r="AB550" s="89"/>
      <c r="AC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89"/>
      <c r="BB550" s="89"/>
      <c r="BC550" s="89"/>
      <c r="BD550" s="89"/>
    </row>
    <row r="551" spans="1:56" ht="15" customHeight="1" x14ac:dyDescent="0.3">
      <c r="A551" s="101"/>
      <c r="B551" s="89"/>
      <c r="C551" s="89"/>
      <c r="D551" s="89"/>
      <c r="E551" s="89"/>
      <c r="F551" s="89"/>
      <c r="G551" s="89"/>
      <c r="H551" s="89"/>
      <c r="I551" s="89"/>
      <c r="J551" s="89"/>
      <c r="K551" s="89"/>
      <c r="L551" s="89"/>
      <c r="N551" s="89"/>
      <c r="O551" s="89"/>
      <c r="P551" s="89"/>
      <c r="Q551" s="89"/>
      <c r="R551" s="89"/>
      <c r="T551" s="89"/>
      <c r="U551" s="89"/>
      <c r="V551" s="89"/>
      <c r="W551" s="89"/>
      <c r="X551" s="89"/>
      <c r="Y551" s="89"/>
      <c r="Z551" s="89"/>
      <c r="AA551" s="89"/>
      <c r="AB551" s="89"/>
      <c r="AC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89"/>
      <c r="BB551" s="89"/>
      <c r="BC551" s="89"/>
      <c r="BD551" s="89"/>
    </row>
    <row r="552" spans="1:56" ht="15" customHeight="1" x14ac:dyDescent="0.3">
      <c r="A552" s="101"/>
      <c r="B552" s="89"/>
      <c r="C552" s="89"/>
      <c r="D552" s="89"/>
      <c r="E552" s="89"/>
      <c r="F552" s="89"/>
      <c r="G552" s="89"/>
      <c r="H552" s="89"/>
      <c r="I552" s="89"/>
      <c r="J552" s="89"/>
      <c r="K552" s="89"/>
      <c r="L552" s="89"/>
      <c r="N552" s="89"/>
      <c r="O552" s="89"/>
      <c r="P552" s="89"/>
      <c r="Q552" s="89"/>
      <c r="R552" s="89"/>
      <c r="T552" s="89"/>
      <c r="U552" s="89"/>
      <c r="V552" s="89"/>
      <c r="W552" s="89"/>
      <c r="X552" s="89"/>
      <c r="Y552" s="89"/>
      <c r="Z552" s="89"/>
      <c r="AA552" s="89"/>
      <c r="AB552" s="89"/>
      <c r="AC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89"/>
      <c r="BB552" s="89"/>
      <c r="BC552" s="89"/>
      <c r="BD552" s="89"/>
    </row>
    <row r="553" spans="1:56" ht="15" customHeight="1" x14ac:dyDescent="0.3">
      <c r="A553" s="101"/>
      <c r="B553" s="89"/>
      <c r="C553" s="89"/>
      <c r="D553" s="89"/>
      <c r="E553" s="89"/>
      <c r="F553" s="89"/>
      <c r="G553" s="89"/>
      <c r="H553" s="89"/>
      <c r="I553" s="89"/>
      <c r="J553" s="89"/>
      <c r="K553" s="89"/>
      <c r="L553" s="89"/>
      <c r="N553" s="89"/>
      <c r="O553" s="89"/>
      <c r="P553" s="89"/>
      <c r="Q553" s="89"/>
      <c r="R553" s="89"/>
      <c r="T553" s="89"/>
      <c r="U553" s="89"/>
      <c r="V553" s="89"/>
      <c r="W553" s="89"/>
      <c r="X553" s="89"/>
      <c r="Y553" s="89"/>
      <c r="Z553" s="89"/>
      <c r="AA553" s="89"/>
      <c r="AB553" s="89"/>
      <c r="AC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89"/>
      <c r="BB553" s="89"/>
      <c r="BC553" s="89"/>
      <c r="BD553" s="89"/>
    </row>
    <row r="554" spans="1:56" ht="15" customHeight="1" x14ac:dyDescent="0.3">
      <c r="A554" s="101"/>
      <c r="B554" s="89"/>
      <c r="C554" s="89"/>
      <c r="D554" s="89"/>
      <c r="E554" s="89"/>
      <c r="F554" s="89"/>
      <c r="G554" s="89"/>
      <c r="H554" s="89"/>
      <c r="I554" s="89"/>
      <c r="J554" s="89"/>
      <c r="K554" s="89"/>
      <c r="L554" s="89"/>
      <c r="N554" s="89"/>
      <c r="O554" s="89"/>
      <c r="P554" s="89"/>
      <c r="Q554" s="89"/>
      <c r="R554" s="89"/>
      <c r="T554" s="89"/>
      <c r="U554" s="89"/>
      <c r="V554" s="89"/>
      <c r="W554" s="89"/>
      <c r="X554" s="89"/>
      <c r="Y554" s="89"/>
      <c r="Z554" s="89"/>
      <c r="AA554" s="89"/>
      <c r="AB554" s="89"/>
      <c r="AC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89"/>
      <c r="BB554" s="89"/>
      <c r="BC554" s="89"/>
      <c r="BD554" s="89"/>
    </row>
    <row r="555" spans="1:56" ht="15" customHeight="1" x14ac:dyDescent="0.3">
      <c r="A555" s="101"/>
      <c r="B555" s="89"/>
      <c r="C555" s="89"/>
      <c r="D555" s="89"/>
      <c r="E555" s="89"/>
      <c r="F555" s="89"/>
      <c r="G555" s="89"/>
      <c r="H555" s="89"/>
      <c r="I555" s="89"/>
      <c r="J555" s="89"/>
      <c r="K555" s="89"/>
      <c r="L555" s="89"/>
      <c r="N555" s="89"/>
      <c r="O555" s="89"/>
      <c r="P555" s="89"/>
      <c r="Q555" s="89"/>
      <c r="R555" s="89"/>
      <c r="T555" s="89"/>
      <c r="U555" s="89"/>
      <c r="V555" s="89"/>
      <c r="W555" s="89"/>
      <c r="X555" s="89"/>
      <c r="Y555" s="89"/>
      <c r="Z555" s="89"/>
      <c r="AA555" s="89"/>
      <c r="AB555" s="89"/>
      <c r="AC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89"/>
      <c r="BB555" s="89"/>
      <c r="BC555" s="89"/>
      <c r="BD555" s="89"/>
    </row>
    <row r="556" spans="1:56" ht="15" customHeight="1" x14ac:dyDescent="0.3">
      <c r="A556" s="101"/>
      <c r="B556" s="89"/>
      <c r="C556" s="89"/>
      <c r="D556" s="89"/>
      <c r="E556" s="89"/>
      <c r="F556" s="89"/>
      <c r="G556" s="89"/>
      <c r="H556" s="89"/>
      <c r="I556" s="89"/>
      <c r="J556" s="89"/>
      <c r="K556" s="89"/>
      <c r="L556" s="89"/>
      <c r="N556" s="89"/>
      <c r="O556" s="89"/>
      <c r="P556" s="89"/>
      <c r="Q556" s="89"/>
      <c r="R556" s="89"/>
      <c r="T556" s="89"/>
      <c r="U556" s="89"/>
      <c r="V556" s="89"/>
      <c r="W556" s="89"/>
      <c r="X556" s="89"/>
      <c r="Y556" s="89"/>
      <c r="Z556" s="89"/>
      <c r="AA556" s="89"/>
      <c r="AB556" s="89"/>
      <c r="AC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89"/>
      <c r="BB556" s="89"/>
      <c r="BC556" s="89"/>
      <c r="BD556" s="89"/>
    </row>
    <row r="557" spans="1:56" ht="15" customHeight="1" x14ac:dyDescent="0.3">
      <c r="A557" s="101"/>
      <c r="B557" s="89"/>
      <c r="C557" s="89"/>
      <c r="D557" s="89"/>
      <c r="E557" s="89"/>
      <c r="F557" s="89"/>
      <c r="G557" s="89"/>
      <c r="H557" s="89"/>
      <c r="I557" s="89"/>
      <c r="J557" s="89"/>
      <c r="K557" s="89"/>
      <c r="L557" s="89"/>
      <c r="N557" s="89"/>
      <c r="O557" s="89"/>
      <c r="P557" s="89"/>
      <c r="Q557" s="89"/>
      <c r="R557" s="89"/>
      <c r="T557" s="89"/>
      <c r="U557" s="89"/>
      <c r="V557" s="89"/>
      <c r="W557" s="89"/>
      <c r="X557" s="89"/>
      <c r="Y557" s="89"/>
      <c r="Z557" s="89"/>
      <c r="AA557" s="89"/>
      <c r="AB557" s="89"/>
      <c r="AC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89"/>
      <c r="BB557" s="89"/>
      <c r="BC557" s="89"/>
      <c r="BD557" s="89"/>
    </row>
    <row r="558" spans="1:56" ht="15" customHeight="1" x14ac:dyDescent="0.3">
      <c r="A558" s="101"/>
      <c r="B558" s="89"/>
      <c r="C558" s="89"/>
      <c r="D558" s="89"/>
      <c r="E558" s="89"/>
      <c r="F558" s="89"/>
      <c r="G558" s="89"/>
      <c r="H558" s="89"/>
      <c r="I558" s="89"/>
      <c r="J558" s="89"/>
      <c r="K558" s="89"/>
      <c r="L558" s="89"/>
      <c r="N558" s="89"/>
      <c r="O558" s="89"/>
      <c r="P558" s="89"/>
      <c r="Q558" s="89"/>
      <c r="R558" s="89"/>
      <c r="T558" s="89"/>
      <c r="U558" s="89"/>
      <c r="V558" s="89"/>
      <c r="W558" s="89"/>
      <c r="X558" s="89"/>
      <c r="Y558" s="89"/>
      <c r="Z558" s="89"/>
      <c r="AA558" s="89"/>
      <c r="AB558" s="89"/>
      <c r="AC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89"/>
      <c r="BB558" s="89"/>
      <c r="BC558" s="89"/>
      <c r="BD558" s="89"/>
    </row>
    <row r="559" spans="1:56" ht="15" customHeight="1" x14ac:dyDescent="0.3">
      <c r="A559" s="101"/>
      <c r="B559" s="89"/>
      <c r="C559" s="89"/>
      <c r="D559" s="89"/>
      <c r="E559" s="89"/>
      <c r="F559" s="89"/>
      <c r="G559" s="89"/>
      <c r="H559" s="89"/>
      <c r="I559" s="89"/>
      <c r="J559" s="89"/>
      <c r="K559" s="89"/>
      <c r="L559" s="89"/>
      <c r="N559" s="89"/>
      <c r="O559" s="89"/>
      <c r="P559" s="89"/>
      <c r="Q559" s="89"/>
      <c r="R559" s="89"/>
      <c r="T559" s="89"/>
      <c r="U559" s="89"/>
      <c r="V559" s="89"/>
      <c r="W559" s="89"/>
      <c r="X559" s="89"/>
      <c r="Y559" s="89"/>
      <c r="Z559" s="89"/>
      <c r="AA559" s="89"/>
      <c r="AB559" s="89"/>
      <c r="AC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89"/>
      <c r="BB559" s="89"/>
      <c r="BC559" s="89"/>
      <c r="BD559" s="89"/>
    </row>
    <row r="560" spans="1:56" ht="15" customHeight="1" x14ac:dyDescent="0.3">
      <c r="A560" s="101"/>
      <c r="B560" s="89"/>
      <c r="C560" s="89"/>
      <c r="D560" s="89"/>
      <c r="E560" s="89"/>
      <c r="F560" s="89"/>
      <c r="G560" s="89"/>
      <c r="H560" s="89"/>
      <c r="I560" s="89"/>
      <c r="J560" s="89"/>
      <c r="K560" s="89"/>
      <c r="L560" s="89"/>
      <c r="N560" s="89"/>
      <c r="O560" s="89"/>
      <c r="P560" s="89"/>
      <c r="Q560" s="89"/>
      <c r="R560" s="89"/>
      <c r="T560" s="89"/>
      <c r="U560" s="89"/>
      <c r="V560" s="89"/>
      <c r="W560" s="89"/>
      <c r="X560" s="89"/>
      <c r="Y560" s="89"/>
      <c r="Z560" s="89"/>
      <c r="AA560" s="89"/>
      <c r="AB560" s="89"/>
      <c r="AC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89"/>
      <c r="BB560" s="89"/>
      <c r="BC560" s="89"/>
      <c r="BD560" s="89"/>
    </row>
    <row r="561" spans="1:56" ht="15" customHeight="1" x14ac:dyDescent="0.3">
      <c r="A561" s="101"/>
      <c r="B561" s="89"/>
      <c r="C561" s="89"/>
      <c r="D561" s="89"/>
      <c r="E561" s="89"/>
      <c r="F561" s="89"/>
      <c r="G561" s="89"/>
      <c r="H561" s="89"/>
      <c r="I561" s="89"/>
      <c r="J561" s="89"/>
      <c r="K561" s="89"/>
      <c r="L561" s="89"/>
      <c r="N561" s="89"/>
      <c r="O561" s="89"/>
      <c r="P561" s="89"/>
      <c r="Q561" s="89"/>
      <c r="R561" s="89"/>
      <c r="T561" s="89"/>
      <c r="U561" s="89"/>
      <c r="V561" s="89"/>
      <c r="W561" s="89"/>
      <c r="X561" s="89"/>
      <c r="Y561" s="89"/>
      <c r="Z561" s="89"/>
      <c r="AA561" s="89"/>
      <c r="AB561" s="89"/>
      <c r="AC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89"/>
      <c r="BB561" s="89"/>
      <c r="BC561" s="89"/>
      <c r="BD561" s="89"/>
    </row>
    <row r="562" spans="1:56" ht="15" customHeight="1" x14ac:dyDescent="0.3">
      <c r="A562" s="101"/>
      <c r="B562" s="89"/>
      <c r="C562" s="89"/>
      <c r="D562" s="89"/>
      <c r="E562" s="89"/>
      <c r="F562" s="89"/>
      <c r="G562" s="89"/>
      <c r="H562" s="89"/>
      <c r="I562" s="89"/>
      <c r="J562" s="89"/>
      <c r="K562" s="89"/>
      <c r="L562" s="89"/>
      <c r="N562" s="89"/>
      <c r="O562" s="89"/>
      <c r="P562" s="89"/>
      <c r="Q562" s="89"/>
      <c r="R562" s="89"/>
      <c r="T562" s="89"/>
      <c r="U562" s="89"/>
      <c r="V562" s="89"/>
      <c r="W562" s="89"/>
      <c r="X562" s="89"/>
      <c r="Y562" s="89"/>
      <c r="Z562" s="89"/>
      <c r="AA562" s="89"/>
      <c r="AB562" s="89"/>
      <c r="AC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89"/>
      <c r="BB562" s="89"/>
      <c r="BC562" s="89"/>
      <c r="BD562" s="89"/>
    </row>
    <row r="563" spans="1:56" ht="15" customHeight="1" x14ac:dyDescent="0.3">
      <c r="A563" s="101"/>
      <c r="B563" s="89"/>
      <c r="C563" s="89"/>
      <c r="D563" s="89"/>
      <c r="E563" s="89"/>
      <c r="F563" s="89"/>
      <c r="G563" s="89"/>
      <c r="H563" s="89"/>
      <c r="I563" s="89"/>
      <c r="J563" s="89"/>
      <c r="K563" s="89"/>
      <c r="L563" s="89"/>
      <c r="N563" s="89"/>
      <c r="O563" s="89"/>
      <c r="P563" s="89"/>
      <c r="Q563" s="89"/>
      <c r="R563" s="89"/>
      <c r="T563" s="89"/>
      <c r="U563" s="89"/>
      <c r="V563" s="89"/>
      <c r="W563" s="89"/>
      <c r="X563" s="89"/>
      <c r="Y563" s="89"/>
      <c r="Z563" s="89"/>
      <c r="AA563" s="89"/>
      <c r="AB563" s="89"/>
      <c r="AC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89"/>
      <c r="BB563" s="89"/>
      <c r="BC563" s="89"/>
      <c r="BD563" s="89"/>
    </row>
    <row r="564" spans="1:56" ht="15" customHeight="1" x14ac:dyDescent="0.3">
      <c r="A564" s="101"/>
      <c r="B564" s="89"/>
      <c r="C564" s="89"/>
      <c r="D564" s="89"/>
      <c r="E564" s="89"/>
      <c r="F564" s="89"/>
      <c r="G564" s="89"/>
      <c r="H564" s="89"/>
      <c r="I564" s="89"/>
      <c r="J564" s="89"/>
      <c r="K564" s="89"/>
      <c r="L564" s="89"/>
      <c r="N564" s="89"/>
      <c r="O564" s="89"/>
      <c r="P564" s="89"/>
      <c r="Q564" s="89"/>
      <c r="R564" s="89"/>
      <c r="T564" s="89"/>
      <c r="U564" s="89"/>
      <c r="V564" s="89"/>
      <c r="W564" s="89"/>
      <c r="X564" s="89"/>
      <c r="Y564" s="89"/>
      <c r="Z564" s="89"/>
      <c r="AA564" s="89"/>
      <c r="AB564" s="89"/>
      <c r="AC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89"/>
      <c r="BB564" s="89"/>
      <c r="BC564" s="89"/>
      <c r="BD564" s="89"/>
    </row>
    <row r="565" spans="1:56" ht="15" customHeight="1" x14ac:dyDescent="0.3">
      <c r="A565" s="101"/>
      <c r="B565" s="89"/>
      <c r="C565" s="89"/>
      <c r="D565" s="89"/>
      <c r="E565" s="89"/>
      <c r="F565" s="89"/>
      <c r="G565" s="89"/>
      <c r="H565" s="89"/>
      <c r="I565" s="89"/>
      <c r="J565" s="89"/>
      <c r="K565" s="89"/>
      <c r="L565" s="89"/>
      <c r="N565" s="89"/>
      <c r="O565" s="89"/>
      <c r="P565" s="89"/>
      <c r="Q565" s="89"/>
      <c r="R565" s="89"/>
      <c r="T565" s="89"/>
      <c r="U565" s="89"/>
      <c r="V565" s="89"/>
      <c r="W565" s="89"/>
      <c r="X565" s="89"/>
      <c r="Y565" s="89"/>
      <c r="Z565" s="89"/>
      <c r="AA565" s="89"/>
      <c r="AB565" s="89"/>
      <c r="AC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89"/>
      <c r="BB565" s="89"/>
      <c r="BC565" s="89"/>
      <c r="BD565" s="89"/>
    </row>
    <row r="566" spans="1:56" ht="15" customHeight="1" x14ac:dyDescent="0.3">
      <c r="A566" s="101"/>
      <c r="B566" s="89"/>
      <c r="C566" s="89"/>
      <c r="D566" s="89"/>
      <c r="E566" s="89"/>
      <c r="F566" s="89"/>
      <c r="G566" s="89"/>
      <c r="H566" s="89"/>
      <c r="I566" s="89"/>
      <c r="J566" s="89"/>
      <c r="K566" s="89"/>
      <c r="L566" s="89"/>
      <c r="N566" s="89"/>
      <c r="O566" s="89"/>
      <c r="P566" s="89"/>
      <c r="Q566" s="89"/>
      <c r="R566" s="89"/>
      <c r="T566" s="89"/>
      <c r="U566" s="89"/>
      <c r="V566" s="89"/>
      <c r="W566" s="89"/>
      <c r="X566" s="89"/>
      <c r="Y566" s="89"/>
      <c r="Z566" s="89"/>
      <c r="AA566" s="89"/>
      <c r="AB566" s="89"/>
      <c r="AC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89"/>
      <c r="BB566" s="89"/>
      <c r="BC566" s="89"/>
      <c r="BD566" s="89"/>
    </row>
    <row r="567" spans="1:56" ht="15" customHeight="1" x14ac:dyDescent="0.3">
      <c r="A567" s="101"/>
      <c r="B567" s="89"/>
      <c r="C567" s="89"/>
      <c r="D567" s="89"/>
      <c r="E567" s="89"/>
      <c r="F567" s="89"/>
      <c r="G567" s="89"/>
      <c r="H567" s="89"/>
      <c r="I567" s="89"/>
      <c r="J567" s="89"/>
      <c r="K567" s="89"/>
      <c r="L567" s="89"/>
      <c r="N567" s="89"/>
      <c r="O567" s="89"/>
      <c r="P567" s="89"/>
      <c r="Q567" s="89"/>
      <c r="R567" s="89"/>
      <c r="T567" s="89"/>
      <c r="U567" s="89"/>
      <c r="V567" s="89"/>
      <c r="W567" s="89"/>
      <c r="X567" s="89"/>
      <c r="Y567" s="89"/>
      <c r="Z567" s="89"/>
      <c r="AA567" s="89"/>
      <c r="AB567" s="89"/>
      <c r="AC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89"/>
      <c r="BB567" s="89"/>
      <c r="BC567" s="89"/>
      <c r="BD567" s="89"/>
    </row>
    <row r="568" spans="1:56" ht="15" customHeight="1" x14ac:dyDescent="0.3">
      <c r="A568" s="101"/>
      <c r="B568" s="89"/>
      <c r="C568" s="89"/>
      <c r="D568" s="89"/>
      <c r="E568" s="89"/>
      <c r="F568" s="89"/>
      <c r="G568" s="89"/>
      <c r="H568" s="89"/>
      <c r="I568" s="89"/>
      <c r="J568" s="89"/>
      <c r="K568" s="89"/>
      <c r="L568" s="89"/>
      <c r="N568" s="89"/>
      <c r="O568" s="89"/>
      <c r="P568" s="89"/>
      <c r="Q568" s="89"/>
      <c r="R568" s="89"/>
      <c r="T568" s="89"/>
      <c r="U568" s="89"/>
      <c r="V568" s="89"/>
      <c r="W568" s="89"/>
      <c r="X568" s="89"/>
      <c r="Y568" s="89"/>
      <c r="Z568" s="89"/>
      <c r="AA568" s="89"/>
      <c r="AB568" s="89"/>
      <c r="AC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89"/>
      <c r="BB568" s="89"/>
      <c r="BC568" s="89"/>
      <c r="BD568" s="89"/>
    </row>
    <row r="569" spans="1:56" ht="15" customHeight="1" x14ac:dyDescent="0.3">
      <c r="A569" s="101"/>
      <c r="B569" s="89"/>
      <c r="C569" s="89"/>
      <c r="D569" s="89"/>
      <c r="E569" s="89"/>
      <c r="F569" s="89"/>
      <c r="G569" s="89"/>
      <c r="H569" s="89"/>
      <c r="I569" s="89"/>
      <c r="J569" s="89"/>
      <c r="K569" s="89"/>
      <c r="L569" s="89"/>
      <c r="N569" s="89"/>
      <c r="O569" s="89"/>
      <c r="P569" s="89"/>
      <c r="Q569" s="89"/>
      <c r="R569" s="89"/>
      <c r="T569" s="89"/>
      <c r="U569" s="89"/>
      <c r="V569" s="89"/>
      <c r="W569" s="89"/>
      <c r="X569" s="89"/>
      <c r="Y569" s="89"/>
      <c r="Z569" s="89"/>
      <c r="AA569" s="89"/>
      <c r="AB569" s="89"/>
      <c r="AC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89"/>
      <c r="BB569" s="89"/>
      <c r="BC569" s="89"/>
      <c r="BD569" s="89"/>
    </row>
    <row r="570" spans="1:56" ht="15" customHeight="1" x14ac:dyDescent="0.3">
      <c r="A570" s="101"/>
      <c r="B570" s="89"/>
      <c r="C570" s="89"/>
      <c r="D570" s="89"/>
      <c r="E570" s="89"/>
      <c r="F570" s="89"/>
      <c r="G570" s="89"/>
      <c r="H570" s="89"/>
      <c r="I570" s="89"/>
      <c r="J570" s="89"/>
      <c r="K570" s="89"/>
      <c r="L570" s="89"/>
      <c r="N570" s="89"/>
      <c r="O570" s="89"/>
      <c r="P570" s="89"/>
      <c r="Q570" s="89"/>
      <c r="R570" s="89"/>
      <c r="T570" s="89"/>
      <c r="U570" s="89"/>
      <c r="V570" s="89"/>
      <c r="W570" s="89"/>
      <c r="X570" s="89"/>
      <c r="Y570" s="89"/>
      <c r="Z570" s="89"/>
      <c r="AA570" s="89"/>
      <c r="AB570" s="89"/>
      <c r="AC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89"/>
      <c r="BB570" s="89"/>
      <c r="BC570" s="89"/>
      <c r="BD570" s="89"/>
    </row>
    <row r="571" spans="1:56" ht="15" customHeight="1" x14ac:dyDescent="0.3">
      <c r="A571" s="101"/>
      <c r="B571" s="89"/>
      <c r="C571" s="89"/>
      <c r="D571" s="89"/>
      <c r="E571" s="89"/>
      <c r="F571" s="89"/>
      <c r="G571" s="89"/>
      <c r="H571" s="89"/>
      <c r="I571" s="89"/>
      <c r="J571" s="89"/>
      <c r="K571" s="89"/>
      <c r="L571" s="89"/>
      <c r="N571" s="89"/>
      <c r="O571" s="89"/>
      <c r="P571" s="89"/>
      <c r="Q571" s="89"/>
      <c r="R571" s="89"/>
      <c r="T571" s="89"/>
      <c r="U571" s="89"/>
      <c r="V571" s="89"/>
      <c r="W571" s="89"/>
      <c r="X571" s="89"/>
      <c r="Y571" s="89"/>
      <c r="Z571" s="89"/>
      <c r="AA571" s="89"/>
      <c r="AB571" s="89"/>
      <c r="AC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89"/>
      <c r="BB571" s="89"/>
      <c r="BC571" s="89"/>
      <c r="BD571" s="89"/>
    </row>
    <row r="572" spans="1:56" ht="15" customHeight="1" x14ac:dyDescent="0.3">
      <c r="A572" s="101"/>
      <c r="B572" s="89"/>
      <c r="C572" s="89"/>
      <c r="D572" s="89"/>
      <c r="E572" s="89"/>
      <c r="F572" s="89"/>
      <c r="G572" s="89"/>
      <c r="H572" s="89"/>
      <c r="I572" s="89"/>
      <c r="J572" s="89"/>
      <c r="K572" s="89"/>
      <c r="L572" s="89"/>
      <c r="N572" s="89"/>
      <c r="O572" s="89"/>
      <c r="P572" s="89"/>
      <c r="Q572" s="89"/>
      <c r="R572" s="89"/>
      <c r="T572" s="89"/>
      <c r="U572" s="89"/>
      <c r="V572" s="89"/>
      <c r="W572" s="89"/>
      <c r="X572" s="89"/>
      <c r="Y572" s="89"/>
      <c r="Z572" s="89"/>
      <c r="AA572" s="89"/>
      <c r="AB572" s="89"/>
      <c r="AC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89"/>
      <c r="BB572" s="89"/>
      <c r="BC572" s="89"/>
      <c r="BD572" s="89"/>
    </row>
    <row r="573" spans="1:56" ht="15" customHeight="1" x14ac:dyDescent="0.3">
      <c r="A573" s="101"/>
      <c r="B573" s="89"/>
      <c r="C573" s="89"/>
      <c r="D573" s="89"/>
      <c r="E573" s="89"/>
      <c r="F573" s="89"/>
      <c r="G573" s="89"/>
      <c r="H573" s="89"/>
      <c r="I573" s="89"/>
      <c r="J573" s="89"/>
      <c r="K573" s="89"/>
      <c r="L573" s="89"/>
      <c r="N573" s="89"/>
      <c r="O573" s="89"/>
      <c r="P573" s="89"/>
      <c r="Q573" s="89"/>
      <c r="R573" s="89"/>
      <c r="T573" s="89"/>
      <c r="U573" s="89"/>
      <c r="V573" s="89"/>
      <c r="W573" s="89"/>
      <c r="X573" s="89"/>
      <c r="Y573" s="89"/>
      <c r="Z573" s="89"/>
      <c r="AA573" s="89"/>
      <c r="AB573" s="89"/>
      <c r="AC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89"/>
      <c r="BB573" s="89"/>
      <c r="BC573" s="89"/>
      <c r="BD573" s="89"/>
    </row>
    <row r="574" spans="1:56" ht="15" customHeight="1" x14ac:dyDescent="0.3">
      <c r="A574" s="101"/>
      <c r="B574" s="89"/>
      <c r="C574" s="89"/>
      <c r="D574" s="89"/>
      <c r="E574" s="89"/>
      <c r="F574" s="89"/>
      <c r="G574" s="89"/>
      <c r="H574" s="89"/>
      <c r="I574" s="89"/>
      <c r="J574" s="89"/>
      <c r="K574" s="89"/>
      <c r="L574" s="89"/>
      <c r="N574" s="89"/>
      <c r="O574" s="89"/>
      <c r="P574" s="89"/>
      <c r="Q574" s="89"/>
      <c r="R574" s="89"/>
      <c r="T574" s="89"/>
      <c r="U574" s="89"/>
      <c r="V574" s="89"/>
      <c r="W574" s="89"/>
      <c r="X574" s="89"/>
      <c r="Y574" s="89"/>
      <c r="Z574" s="89"/>
      <c r="AA574" s="89"/>
      <c r="AB574" s="89"/>
      <c r="AC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89"/>
      <c r="BB574" s="89"/>
      <c r="BC574" s="89"/>
      <c r="BD574" s="89"/>
    </row>
    <row r="575" spans="1:56" ht="15" customHeight="1" x14ac:dyDescent="0.3">
      <c r="A575" s="101"/>
      <c r="B575" s="89"/>
      <c r="C575" s="89"/>
      <c r="D575" s="89"/>
      <c r="E575" s="89"/>
      <c r="F575" s="89"/>
      <c r="G575" s="89"/>
      <c r="H575" s="89"/>
      <c r="I575" s="89"/>
      <c r="J575" s="89"/>
      <c r="K575" s="89"/>
      <c r="L575" s="89"/>
      <c r="N575" s="89"/>
      <c r="O575" s="89"/>
      <c r="P575" s="89"/>
      <c r="Q575" s="89"/>
      <c r="R575" s="89"/>
      <c r="T575" s="89"/>
      <c r="U575" s="89"/>
      <c r="V575" s="89"/>
      <c r="W575" s="89"/>
      <c r="X575" s="89"/>
      <c r="Y575" s="89"/>
      <c r="Z575" s="89"/>
      <c r="AA575" s="89"/>
      <c r="AB575" s="89"/>
      <c r="AC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89"/>
      <c r="BB575" s="89"/>
      <c r="BC575" s="89"/>
      <c r="BD575" s="89"/>
    </row>
    <row r="576" spans="1:56" ht="15" customHeight="1" x14ac:dyDescent="0.3">
      <c r="A576" s="101"/>
      <c r="B576" s="89"/>
      <c r="C576" s="89"/>
      <c r="D576" s="89"/>
      <c r="E576" s="89"/>
      <c r="F576" s="89"/>
      <c r="G576" s="89"/>
      <c r="H576" s="89"/>
      <c r="I576" s="89"/>
      <c r="J576" s="89"/>
      <c r="K576" s="89"/>
      <c r="L576" s="89"/>
      <c r="N576" s="89"/>
      <c r="O576" s="89"/>
      <c r="P576" s="89"/>
      <c r="Q576" s="89"/>
      <c r="R576" s="89"/>
      <c r="T576" s="89"/>
      <c r="U576" s="89"/>
      <c r="V576" s="89"/>
      <c r="W576" s="89"/>
      <c r="X576" s="89"/>
      <c r="Y576" s="89"/>
      <c r="Z576" s="89"/>
      <c r="AA576" s="89"/>
      <c r="AB576" s="89"/>
      <c r="AC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89"/>
      <c r="BB576" s="89"/>
      <c r="BC576" s="89"/>
      <c r="BD576" s="89"/>
    </row>
    <row r="577" spans="1:56" ht="15" customHeight="1" x14ac:dyDescent="0.3">
      <c r="A577" s="101"/>
      <c r="B577" s="89"/>
      <c r="C577" s="89"/>
      <c r="D577" s="89"/>
      <c r="E577" s="89"/>
      <c r="F577" s="89"/>
      <c r="G577" s="89"/>
      <c r="H577" s="89"/>
      <c r="I577" s="89"/>
      <c r="J577" s="89"/>
      <c r="K577" s="89"/>
      <c r="L577" s="89"/>
      <c r="N577" s="89"/>
      <c r="O577" s="89"/>
      <c r="P577" s="89"/>
      <c r="Q577" s="89"/>
      <c r="R577" s="89"/>
      <c r="T577" s="89"/>
      <c r="U577" s="89"/>
      <c r="V577" s="89"/>
      <c r="W577" s="89"/>
      <c r="X577" s="89"/>
      <c r="Y577" s="89"/>
      <c r="Z577" s="89"/>
      <c r="AA577" s="89"/>
      <c r="AB577" s="89"/>
      <c r="AC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89"/>
      <c r="BB577" s="89"/>
      <c r="BC577" s="89"/>
      <c r="BD577" s="89"/>
    </row>
    <row r="578" spans="1:56" ht="15" customHeight="1" x14ac:dyDescent="0.3">
      <c r="A578" s="101"/>
      <c r="B578" s="89"/>
      <c r="C578" s="89"/>
      <c r="D578" s="89"/>
      <c r="E578" s="89"/>
      <c r="F578" s="89"/>
      <c r="G578" s="89"/>
      <c r="H578" s="89"/>
      <c r="I578" s="89"/>
      <c r="J578" s="89"/>
      <c r="K578" s="89"/>
      <c r="L578" s="89"/>
      <c r="N578" s="89"/>
      <c r="O578" s="89"/>
      <c r="P578" s="89"/>
      <c r="Q578" s="89"/>
      <c r="R578" s="89"/>
      <c r="T578" s="89"/>
      <c r="U578" s="89"/>
      <c r="V578" s="89"/>
      <c r="W578" s="89"/>
      <c r="X578" s="89"/>
      <c r="Y578" s="89"/>
      <c r="Z578" s="89"/>
      <c r="AA578" s="89"/>
      <c r="AB578" s="89"/>
      <c r="AC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89"/>
      <c r="BB578" s="89"/>
      <c r="BC578" s="89"/>
      <c r="BD578" s="89"/>
    </row>
    <row r="579" spans="1:56" ht="15" customHeight="1" x14ac:dyDescent="0.3">
      <c r="A579" s="101"/>
      <c r="B579" s="89"/>
      <c r="C579" s="89"/>
      <c r="D579" s="89"/>
      <c r="E579" s="89"/>
      <c r="F579" s="89"/>
      <c r="G579" s="89"/>
      <c r="H579" s="89"/>
      <c r="I579" s="89"/>
      <c r="J579" s="89"/>
      <c r="K579" s="89"/>
      <c r="L579" s="89"/>
      <c r="N579" s="89"/>
      <c r="O579" s="89"/>
      <c r="P579" s="89"/>
      <c r="Q579" s="89"/>
      <c r="R579" s="89"/>
      <c r="T579" s="89"/>
      <c r="U579" s="89"/>
      <c r="V579" s="89"/>
      <c r="W579" s="89"/>
      <c r="X579" s="89"/>
      <c r="Y579" s="89"/>
      <c r="Z579" s="89"/>
      <c r="AA579" s="89"/>
      <c r="AB579" s="89"/>
      <c r="AC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89"/>
      <c r="BB579" s="89"/>
      <c r="BC579" s="89"/>
      <c r="BD579" s="89"/>
    </row>
    <row r="580" spans="1:56" ht="15" customHeight="1" x14ac:dyDescent="0.3">
      <c r="A580" s="101"/>
      <c r="B580" s="89"/>
      <c r="C580" s="89"/>
      <c r="D580" s="89"/>
      <c r="E580" s="89"/>
      <c r="F580" s="89"/>
      <c r="G580" s="89"/>
      <c r="H580" s="89"/>
      <c r="I580" s="89"/>
      <c r="J580" s="89"/>
      <c r="K580" s="89"/>
      <c r="L580" s="89"/>
      <c r="N580" s="89"/>
      <c r="O580" s="89"/>
      <c r="P580" s="89"/>
      <c r="Q580" s="89"/>
      <c r="R580" s="89"/>
      <c r="T580" s="89"/>
      <c r="U580" s="89"/>
      <c r="V580" s="89"/>
      <c r="W580" s="89"/>
      <c r="X580" s="89"/>
      <c r="Y580" s="89"/>
      <c r="Z580" s="89"/>
      <c r="AA580" s="89"/>
      <c r="AB580" s="89"/>
      <c r="AC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89"/>
      <c r="BB580" s="89"/>
      <c r="BC580" s="89"/>
      <c r="BD580" s="89"/>
    </row>
    <row r="581" spans="1:56" ht="15" customHeight="1" x14ac:dyDescent="0.3">
      <c r="A581" s="101"/>
      <c r="B581" s="89"/>
      <c r="C581" s="89"/>
      <c r="D581" s="89"/>
      <c r="E581" s="89"/>
      <c r="F581" s="89"/>
      <c r="G581" s="89"/>
      <c r="H581" s="89"/>
      <c r="I581" s="89"/>
      <c r="J581" s="89"/>
      <c r="K581" s="89"/>
      <c r="L581" s="89"/>
      <c r="N581" s="89"/>
      <c r="O581" s="89"/>
      <c r="P581" s="89"/>
      <c r="Q581" s="89"/>
      <c r="R581" s="89"/>
      <c r="T581" s="89"/>
      <c r="U581" s="89"/>
      <c r="V581" s="89"/>
      <c r="W581" s="89"/>
      <c r="X581" s="89"/>
      <c r="Y581" s="89"/>
      <c r="Z581" s="89"/>
      <c r="AA581" s="89"/>
      <c r="AB581" s="89"/>
      <c r="AC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89"/>
      <c r="BB581" s="89"/>
      <c r="BC581" s="89"/>
      <c r="BD581" s="89"/>
    </row>
    <row r="582" spans="1:56" ht="15" customHeight="1" x14ac:dyDescent="0.3">
      <c r="A582" s="101"/>
      <c r="B582" s="89"/>
      <c r="C582" s="89"/>
      <c r="D582" s="89"/>
      <c r="E582" s="89"/>
      <c r="F582" s="89"/>
      <c r="G582" s="89"/>
      <c r="H582" s="89"/>
      <c r="I582" s="89"/>
      <c r="J582" s="89"/>
      <c r="K582" s="89"/>
      <c r="L582" s="89"/>
      <c r="N582" s="89"/>
      <c r="O582" s="89"/>
      <c r="P582" s="89"/>
      <c r="Q582" s="89"/>
      <c r="R582" s="89"/>
      <c r="T582" s="89"/>
      <c r="U582" s="89"/>
      <c r="V582" s="89"/>
      <c r="W582" s="89"/>
      <c r="X582" s="89"/>
      <c r="Y582" s="89"/>
      <c r="Z582" s="89"/>
      <c r="AA582" s="89"/>
      <c r="AB582" s="89"/>
      <c r="AC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89"/>
      <c r="BB582" s="89"/>
      <c r="BC582" s="89"/>
      <c r="BD582" s="89"/>
    </row>
    <row r="583" spans="1:56" ht="15" customHeight="1" x14ac:dyDescent="0.3">
      <c r="A583" s="101"/>
      <c r="B583" s="89"/>
      <c r="C583" s="89"/>
      <c r="D583" s="89"/>
      <c r="E583" s="89"/>
      <c r="F583" s="89"/>
      <c r="G583" s="89"/>
      <c r="H583" s="89"/>
      <c r="I583" s="89"/>
      <c r="J583" s="89"/>
      <c r="K583" s="89"/>
      <c r="L583" s="89"/>
      <c r="N583" s="89"/>
      <c r="O583" s="89"/>
      <c r="P583" s="89"/>
      <c r="Q583" s="89"/>
      <c r="R583" s="89"/>
      <c r="T583" s="89"/>
      <c r="U583" s="89"/>
      <c r="V583" s="89"/>
      <c r="W583" s="89"/>
      <c r="X583" s="89"/>
      <c r="Y583" s="89"/>
      <c r="Z583" s="89"/>
      <c r="AA583" s="89"/>
      <c r="AB583" s="89"/>
      <c r="AC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89"/>
      <c r="BB583" s="89"/>
      <c r="BC583" s="89"/>
      <c r="BD583" s="89"/>
    </row>
    <row r="584" spans="1:56" ht="15" customHeight="1" x14ac:dyDescent="0.3">
      <c r="A584" s="101"/>
      <c r="B584" s="89"/>
      <c r="C584" s="89"/>
      <c r="D584" s="89"/>
      <c r="E584" s="89"/>
      <c r="F584" s="89"/>
      <c r="G584" s="89"/>
      <c r="H584" s="89"/>
      <c r="I584" s="89"/>
      <c r="J584" s="89"/>
      <c r="K584" s="89"/>
      <c r="L584" s="89"/>
      <c r="N584" s="89"/>
      <c r="O584" s="89"/>
      <c r="P584" s="89"/>
      <c r="Q584" s="89"/>
      <c r="R584" s="89"/>
      <c r="T584" s="89"/>
      <c r="U584" s="89"/>
      <c r="V584" s="89"/>
      <c r="W584" s="89"/>
      <c r="X584" s="89"/>
      <c r="Y584" s="89"/>
      <c r="Z584" s="89"/>
      <c r="AA584" s="89"/>
      <c r="AB584" s="89"/>
      <c r="AC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89"/>
      <c r="BB584" s="89"/>
      <c r="BC584" s="89"/>
      <c r="BD584" s="89"/>
    </row>
    <row r="585" spans="1:56" ht="15" customHeight="1" x14ac:dyDescent="0.3">
      <c r="A585" s="101"/>
      <c r="B585" s="89"/>
      <c r="C585" s="89"/>
      <c r="D585" s="89"/>
      <c r="E585" s="89"/>
      <c r="F585" s="89"/>
      <c r="G585" s="89"/>
      <c r="H585" s="89"/>
      <c r="I585" s="89"/>
      <c r="J585" s="89"/>
      <c r="K585" s="89"/>
      <c r="L585" s="89"/>
      <c r="N585" s="89"/>
      <c r="O585" s="89"/>
      <c r="P585" s="89"/>
      <c r="Q585" s="89"/>
      <c r="R585" s="89"/>
      <c r="T585" s="89"/>
      <c r="U585" s="89"/>
      <c r="V585" s="89"/>
      <c r="W585" s="89"/>
      <c r="X585" s="89"/>
      <c r="Y585" s="89"/>
      <c r="Z585" s="89"/>
      <c r="AA585" s="89"/>
      <c r="AB585" s="89"/>
      <c r="AC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89"/>
      <c r="BB585" s="89"/>
      <c r="BC585" s="89"/>
      <c r="BD585" s="89"/>
    </row>
    <row r="586" spans="1:56" ht="15" customHeight="1" x14ac:dyDescent="0.3">
      <c r="A586" s="101"/>
      <c r="B586" s="89"/>
      <c r="C586" s="89"/>
      <c r="D586" s="89"/>
      <c r="E586" s="89"/>
      <c r="F586" s="89"/>
      <c r="G586" s="89"/>
      <c r="H586" s="89"/>
      <c r="I586" s="89"/>
      <c r="J586" s="89"/>
      <c r="K586" s="89"/>
      <c r="L586" s="89"/>
      <c r="N586" s="89"/>
      <c r="O586" s="89"/>
      <c r="P586" s="89"/>
      <c r="Q586" s="89"/>
      <c r="R586" s="89"/>
      <c r="T586" s="89"/>
      <c r="U586" s="89"/>
      <c r="V586" s="89"/>
      <c r="W586" s="89"/>
      <c r="X586" s="89"/>
      <c r="Y586" s="89"/>
      <c r="Z586" s="89"/>
      <c r="AA586" s="89"/>
      <c r="AB586" s="89"/>
      <c r="AC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89"/>
      <c r="BB586" s="89"/>
      <c r="BC586" s="89"/>
      <c r="BD586" s="89"/>
    </row>
    <row r="587" spans="1:56" ht="15" customHeight="1" x14ac:dyDescent="0.3">
      <c r="A587" s="101"/>
      <c r="B587" s="89"/>
      <c r="C587" s="89"/>
      <c r="D587" s="89"/>
      <c r="E587" s="89"/>
      <c r="F587" s="89"/>
      <c r="G587" s="89"/>
      <c r="H587" s="89"/>
      <c r="I587" s="89"/>
      <c r="J587" s="89"/>
      <c r="K587" s="89"/>
      <c r="L587" s="89"/>
      <c r="N587" s="89"/>
      <c r="O587" s="89"/>
      <c r="P587" s="89"/>
      <c r="Q587" s="89"/>
      <c r="R587" s="89"/>
      <c r="T587" s="89"/>
      <c r="U587" s="89"/>
      <c r="V587" s="89"/>
      <c r="W587" s="89"/>
      <c r="X587" s="89"/>
      <c r="Y587" s="89"/>
      <c r="Z587" s="89"/>
      <c r="AA587" s="89"/>
      <c r="AB587" s="89"/>
      <c r="AC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89"/>
      <c r="BB587" s="89"/>
      <c r="BC587" s="89"/>
      <c r="BD587" s="89"/>
    </row>
    <row r="588" spans="1:56" ht="15" customHeight="1" x14ac:dyDescent="0.3">
      <c r="A588" s="101"/>
      <c r="B588" s="89"/>
      <c r="C588" s="89"/>
      <c r="D588" s="89"/>
      <c r="E588" s="89"/>
      <c r="F588" s="89"/>
      <c r="G588" s="89"/>
      <c r="H588" s="89"/>
      <c r="I588" s="89"/>
      <c r="J588" s="89"/>
      <c r="K588" s="89"/>
      <c r="L588" s="89"/>
      <c r="N588" s="89"/>
      <c r="O588" s="89"/>
      <c r="P588" s="89"/>
      <c r="Q588" s="89"/>
      <c r="R588" s="89"/>
      <c r="T588" s="89"/>
      <c r="U588" s="89"/>
      <c r="V588" s="89"/>
      <c r="W588" s="89"/>
      <c r="X588" s="89"/>
      <c r="Y588" s="89"/>
      <c r="Z588" s="89"/>
      <c r="AA588" s="89"/>
      <c r="AB588" s="89"/>
      <c r="AC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89"/>
      <c r="BB588" s="89"/>
      <c r="BC588" s="89"/>
      <c r="BD588" s="89"/>
    </row>
    <row r="589" spans="1:56" ht="15" customHeight="1" x14ac:dyDescent="0.3">
      <c r="A589" s="101"/>
      <c r="B589" s="89"/>
      <c r="C589" s="89"/>
      <c r="D589" s="89"/>
      <c r="E589" s="89"/>
      <c r="F589" s="89"/>
      <c r="G589" s="89"/>
      <c r="H589" s="89"/>
      <c r="I589" s="89"/>
      <c r="J589" s="89"/>
      <c r="K589" s="89"/>
      <c r="L589" s="89"/>
      <c r="N589" s="89"/>
      <c r="O589" s="89"/>
      <c r="P589" s="89"/>
      <c r="Q589" s="89"/>
      <c r="R589" s="89"/>
      <c r="T589" s="89"/>
      <c r="U589" s="89"/>
      <c r="V589" s="89"/>
      <c r="W589" s="89"/>
      <c r="X589" s="89"/>
      <c r="Y589" s="89"/>
      <c r="Z589" s="89"/>
      <c r="AA589" s="89"/>
      <c r="AB589" s="89"/>
      <c r="AC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89"/>
      <c r="BB589" s="89"/>
      <c r="BC589" s="89"/>
      <c r="BD589" s="89"/>
    </row>
    <row r="590" spans="1:56" ht="15" customHeight="1" x14ac:dyDescent="0.3">
      <c r="A590" s="101"/>
      <c r="B590" s="89"/>
      <c r="C590" s="89"/>
      <c r="D590" s="89"/>
      <c r="E590" s="89"/>
      <c r="F590" s="89"/>
      <c r="G590" s="89"/>
      <c r="H590" s="89"/>
      <c r="I590" s="89"/>
      <c r="J590" s="89"/>
      <c r="K590" s="89"/>
      <c r="L590" s="89"/>
      <c r="N590" s="89"/>
      <c r="O590" s="89"/>
      <c r="P590" s="89"/>
      <c r="Q590" s="89"/>
      <c r="R590" s="89"/>
      <c r="T590" s="89"/>
      <c r="U590" s="89"/>
      <c r="V590" s="89"/>
      <c r="W590" s="89"/>
      <c r="X590" s="89"/>
      <c r="Y590" s="89"/>
      <c r="Z590" s="89"/>
      <c r="AA590" s="89"/>
      <c r="AB590" s="89"/>
      <c r="AC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89"/>
      <c r="BB590" s="89"/>
      <c r="BC590" s="89"/>
      <c r="BD590" s="89"/>
    </row>
    <row r="591" spans="1:56" ht="15" customHeight="1" x14ac:dyDescent="0.3">
      <c r="A591" s="101"/>
      <c r="B591" s="89"/>
      <c r="C591" s="89"/>
      <c r="D591" s="89"/>
      <c r="E591" s="89"/>
      <c r="F591" s="89"/>
      <c r="G591" s="89"/>
      <c r="H591" s="89"/>
      <c r="I591" s="89"/>
      <c r="J591" s="89"/>
      <c r="K591" s="89"/>
      <c r="L591" s="89"/>
      <c r="N591" s="89"/>
      <c r="O591" s="89"/>
      <c r="P591" s="89"/>
      <c r="Q591" s="89"/>
      <c r="R591" s="89"/>
      <c r="T591" s="89"/>
      <c r="U591" s="89"/>
      <c r="V591" s="89"/>
      <c r="W591" s="89"/>
      <c r="X591" s="89"/>
      <c r="Y591" s="89"/>
      <c r="Z591" s="89"/>
      <c r="AA591" s="89"/>
      <c r="AB591" s="89"/>
      <c r="AC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89"/>
      <c r="BB591" s="89"/>
      <c r="BC591" s="89"/>
      <c r="BD591" s="89"/>
    </row>
    <row r="592" spans="1:56" ht="15" customHeight="1" x14ac:dyDescent="0.3">
      <c r="A592" s="101"/>
      <c r="B592" s="89"/>
      <c r="C592" s="89"/>
      <c r="D592" s="89"/>
      <c r="E592" s="89"/>
      <c r="F592" s="89"/>
      <c r="G592" s="89"/>
      <c r="H592" s="89"/>
      <c r="I592" s="89"/>
      <c r="J592" s="89"/>
      <c r="K592" s="89"/>
      <c r="L592" s="89"/>
      <c r="N592" s="89"/>
      <c r="O592" s="89"/>
      <c r="P592" s="89"/>
      <c r="Q592" s="89"/>
      <c r="R592" s="89"/>
      <c r="T592" s="89"/>
      <c r="U592" s="89"/>
      <c r="V592" s="89"/>
      <c r="W592" s="89"/>
      <c r="X592" s="89"/>
      <c r="Y592" s="89"/>
      <c r="Z592" s="89"/>
      <c r="AA592" s="89"/>
      <c r="AB592" s="89"/>
      <c r="AC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89"/>
      <c r="BB592" s="89"/>
      <c r="BC592" s="89"/>
      <c r="BD592" s="89"/>
    </row>
    <row r="593" spans="1:56" ht="15" customHeight="1" x14ac:dyDescent="0.3">
      <c r="A593" s="101"/>
      <c r="B593" s="89"/>
      <c r="C593" s="89"/>
      <c r="D593" s="89"/>
      <c r="E593" s="89"/>
      <c r="F593" s="89"/>
      <c r="G593" s="89"/>
      <c r="H593" s="89"/>
      <c r="I593" s="89"/>
      <c r="J593" s="89"/>
      <c r="K593" s="89"/>
      <c r="L593" s="89"/>
      <c r="N593" s="89"/>
      <c r="O593" s="89"/>
      <c r="P593" s="89"/>
      <c r="Q593" s="89"/>
      <c r="R593" s="89"/>
      <c r="T593" s="89"/>
      <c r="U593" s="89"/>
      <c r="V593" s="89"/>
      <c r="W593" s="89"/>
      <c r="X593" s="89"/>
      <c r="Y593" s="89"/>
      <c r="Z593" s="89"/>
      <c r="AA593" s="89"/>
      <c r="AB593" s="89"/>
      <c r="AC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89"/>
      <c r="BB593" s="89"/>
      <c r="BC593" s="89"/>
      <c r="BD593" s="89"/>
    </row>
    <row r="594" spans="1:56" ht="15" customHeight="1" x14ac:dyDescent="0.3">
      <c r="A594" s="101"/>
      <c r="B594" s="89"/>
      <c r="C594" s="89"/>
      <c r="D594" s="89"/>
      <c r="E594" s="89"/>
      <c r="F594" s="89"/>
      <c r="G594" s="89"/>
      <c r="H594" s="89"/>
      <c r="I594" s="89"/>
      <c r="J594" s="89"/>
      <c r="K594" s="89"/>
      <c r="L594" s="89"/>
      <c r="N594" s="89"/>
      <c r="O594" s="89"/>
      <c r="P594" s="89"/>
      <c r="Q594" s="89"/>
      <c r="R594" s="89"/>
      <c r="T594" s="89"/>
      <c r="U594" s="89"/>
      <c r="V594" s="89"/>
      <c r="W594" s="89"/>
      <c r="X594" s="89"/>
      <c r="Y594" s="89"/>
      <c r="Z594" s="89"/>
      <c r="AA594" s="89"/>
      <c r="AB594" s="89"/>
      <c r="AC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89"/>
      <c r="BB594" s="89"/>
      <c r="BC594" s="89"/>
      <c r="BD594" s="89"/>
    </row>
    <row r="595" spans="1:56" ht="15" customHeight="1" x14ac:dyDescent="0.3">
      <c r="A595" s="101"/>
      <c r="B595" s="89"/>
      <c r="C595" s="89"/>
      <c r="D595" s="89"/>
      <c r="E595" s="89"/>
      <c r="F595" s="89"/>
      <c r="G595" s="89"/>
      <c r="H595" s="89"/>
      <c r="I595" s="89"/>
      <c r="J595" s="89"/>
      <c r="K595" s="89"/>
      <c r="L595" s="89"/>
      <c r="N595" s="89"/>
      <c r="O595" s="89"/>
      <c r="P595" s="89"/>
      <c r="Q595" s="89"/>
      <c r="R595" s="89"/>
      <c r="T595" s="89"/>
      <c r="U595" s="89"/>
      <c r="V595" s="89"/>
      <c r="W595" s="89"/>
      <c r="X595" s="89"/>
      <c r="Y595" s="89"/>
      <c r="Z595" s="89"/>
      <c r="AA595" s="89"/>
      <c r="AB595" s="89"/>
      <c r="AC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89"/>
      <c r="BB595" s="89"/>
      <c r="BC595" s="89"/>
      <c r="BD595" s="89"/>
    </row>
    <row r="596" spans="1:56" ht="15" customHeight="1" x14ac:dyDescent="0.3">
      <c r="A596" s="101"/>
      <c r="B596" s="89"/>
      <c r="C596" s="89"/>
      <c r="D596" s="89"/>
      <c r="E596" s="89"/>
      <c r="F596" s="89"/>
      <c r="G596" s="89"/>
      <c r="H596" s="89"/>
      <c r="I596" s="89"/>
      <c r="J596" s="89"/>
      <c r="K596" s="89"/>
      <c r="L596" s="89"/>
      <c r="N596" s="89"/>
      <c r="O596" s="89"/>
      <c r="P596" s="89"/>
      <c r="Q596" s="89"/>
      <c r="R596" s="89"/>
      <c r="T596" s="89"/>
      <c r="U596" s="89"/>
      <c r="V596" s="89"/>
      <c r="W596" s="89"/>
      <c r="X596" s="89"/>
      <c r="Y596" s="89"/>
      <c r="Z596" s="89"/>
      <c r="AA596" s="89"/>
      <c r="AB596" s="89"/>
      <c r="AC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89"/>
      <c r="BB596" s="89"/>
      <c r="BC596" s="89"/>
      <c r="BD596" s="89"/>
    </row>
    <row r="597" spans="1:56" ht="15" customHeight="1" x14ac:dyDescent="0.3">
      <c r="A597" s="101"/>
      <c r="B597" s="89"/>
      <c r="C597" s="89"/>
      <c r="D597" s="89"/>
      <c r="E597" s="89"/>
      <c r="F597" s="89"/>
      <c r="G597" s="89"/>
      <c r="H597" s="89"/>
      <c r="I597" s="89"/>
      <c r="J597" s="89"/>
      <c r="K597" s="89"/>
      <c r="L597" s="89"/>
      <c r="N597" s="89"/>
      <c r="O597" s="89"/>
      <c r="P597" s="89"/>
      <c r="Q597" s="89"/>
      <c r="R597" s="89"/>
      <c r="T597" s="89"/>
      <c r="U597" s="89"/>
      <c r="V597" s="89"/>
      <c r="W597" s="89"/>
      <c r="X597" s="89"/>
      <c r="Y597" s="89"/>
      <c r="Z597" s="89"/>
      <c r="AA597" s="89"/>
      <c r="AB597" s="89"/>
      <c r="AC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89"/>
      <c r="BB597" s="89"/>
      <c r="BC597" s="89"/>
      <c r="BD597" s="89"/>
    </row>
    <row r="598" spans="1:56" ht="15" customHeight="1" x14ac:dyDescent="0.3">
      <c r="A598" s="101"/>
      <c r="B598" s="89"/>
      <c r="C598" s="89"/>
      <c r="D598" s="89"/>
      <c r="E598" s="89"/>
      <c r="F598" s="89"/>
      <c r="G598" s="89"/>
      <c r="H598" s="89"/>
      <c r="I598" s="89"/>
      <c r="J598" s="89"/>
      <c r="K598" s="89"/>
      <c r="L598" s="89"/>
      <c r="N598" s="89"/>
      <c r="O598" s="89"/>
      <c r="P598" s="89"/>
      <c r="Q598" s="89"/>
      <c r="R598" s="89"/>
      <c r="T598" s="89"/>
      <c r="U598" s="89"/>
      <c r="V598" s="89"/>
      <c r="W598" s="89"/>
      <c r="X598" s="89"/>
      <c r="Y598" s="89"/>
      <c r="Z598" s="89"/>
      <c r="AA598" s="89"/>
      <c r="AB598" s="89"/>
      <c r="AC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89"/>
      <c r="BB598" s="89"/>
      <c r="BC598" s="89"/>
      <c r="BD598" s="89"/>
    </row>
    <row r="599" spans="1:56" ht="15" customHeight="1" x14ac:dyDescent="0.3">
      <c r="A599" s="101"/>
      <c r="B599" s="89"/>
      <c r="C599" s="89"/>
      <c r="D599" s="89"/>
      <c r="E599" s="89"/>
      <c r="F599" s="89"/>
      <c r="G599" s="89"/>
      <c r="H599" s="89"/>
      <c r="I599" s="89"/>
      <c r="J599" s="89"/>
      <c r="K599" s="89"/>
      <c r="L599" s="89"/>
      <c r="N599" s="89"/>
      <c r="O599" s="89"/>
      <c r="P599" s="89"/>
      <c r="Q599" s="89"/>
      <c r="R599" s="89"/>
      <c r="T599" s="89"/>
      <c r="U599" s="89"/>
      <c r="V599" s="89"/>
      <c r="W599" s="89"/>
      <c r="X599" s="89"/>
      <c r="Y599" s="89"/>
      <c r="Z599" s="89"/>
      <c r="AA599" s="89"/>
      <c r="AB599" s="89"/>
      <c r="AC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89"/>
      <c r="BB599" s="89"/>
      <c r="BC599" s="89"/>
      <c r="BD599" s="89"/>
    </row>
    <row r="600" spans="1:56" ht="15" customHeight="1" x14ac:dyDescent="0.3">
      <c r="A600" s="101"/>
      <c r="B600" s="89"/>
      <c r="C600" s="89"/>
      <c r="D600" s="89"/>
      <c r="E600" s="89"/>
      <c r="F600" s="89"/>
      <c r="G600" s="89"/>
      <c r="H600" s="89"/>
      <c r="I600" s="89"/>
      <c r="J600" s="89"/>
      <c r="K600" s="89"/>
      <c r="L600" s="89"/>
      <c r="N600" s="89"/>
      <c r="O600" s="89"/>
      <c r="P600" s="89"/>
      <c r="Q600" s="89"/>
      <c r="R600" s="89"/>
      <c r="T600" s="89"/>
      <c r="U600" s="89"/>
      <c r="V600" s="89"/>
      <c r="W600" s="89"/>
      <c r="X600" s="89"/>
      <c r="Y600" s="89"/>
      <c r="Z600" s="89"/>
      <c r="AA600" s="89"/>
      <c r="AB600" s="89"/>
      <c r="AC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89"/>
      <c r="BB600" s="89"/>
      <c r="BC600" s="89"/>
      <c r="BD600" s="89"/>
    </row>
    <row r="601" spans="1:56" ht="15" customHeight="1" x14ac:dyDescent="0.3">
      <c r="A601" s="101"/>
      <c r="B601" s="89"/>
      <c r="C601" s="89"/>
      <c r="D601" s="89"/>
      <c r="E601" s="89"/>
      <c r="F601" s="89"/>
      <c r="G601" s="89"/>
      <c r="H601" s="89"/>
      <c r="I601" s="89"/>
      <c r="J601" s="89"/>
      <c r="K601" s="89"/>
      <c r="L601" s="89"/>
      <c r="N601" s="89"/>
      <c r="O601" s="89"/>
      <c r="P601" s="89"/>
      <c r="Q601" s="89"/>
      <c r="R601" s="89"/>
      <c r="T601" s="89"/>
      <c r="U601" s="89"/>
      <c r="V601" s="89"/>
      <c r="W601" s="89"/>
      <c r="X601" s="89"/>
      <c r="Y601" s="89"/>
      <c r="Z601" s="89"/>
      <c r="AA601" s="89"/>
      <c r="AB601" s="89"/>
      <c r="AC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89"/>
      <c r="BB601" s="89"/>
      <c r="BC601" s="89"/>
      <c r="BD601" s="89"/>
    </row>
    <row r="602" spans="1:56" ht="15" customHeight="1" x14ac:dyDescent="0.3">
      <c r="A602" s="101"/>
      <c r="B602" s="89"/>
      <c r="C602" s="89"/>
      <c r="D602" s="89"/>
      <c r="E602" s="89"/>
      <c r="F602" s="89"/>
      <c r="G602" s="89"/>
      <c r="H602" s="89"/>
      <c r="I602" s="89"/>
      <c r="J602" s="89"/>
      <c r="K602" s="89"/>
      <c r="L602" s="89"/>
      <c r="N602" s="89"/>
      <c r="O602" s="89"/>
      <c r="P602" s="89"/>
      <c r="Q602" s="89"/>
      <c r="R602" s="89"/>
      <c r="T602" s="89"/>
      <c r="U602" s="89"/>
      <c r="V602" s="89"/>
      <c r="W602" s="89"/>
      <c r="X602" s="89"/>
      <c r="Y602" s="89"/>
      <c r="Z602" s="89"/>
      <c r="AA602" s="89"/>
      <c r="AB602" s="89"/>
      <c r="AC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89"/>
      <c r="BB602" s="89"/>
      <c r="BC602" s="89"/>
      <c r="BD602" s="89"/>
    </row>
    <row r="603" spans="1:56" ht="15" customHeight="1" x14ac:dyDescent="0.3">
      <c r="A603" s="101"/>
      <c r="B603" s="89"/>
      <c r="C603" s="89"/>
      <c r="D603" s="89"/>
      <c r="E603" s="89"/>
      <c r="F603" s="89"/>
      <c r="G603" s="89"/>
      <c r="H603" s="89"/>
      <c r="I603" s="89"/>
      <c r="J603" s="89"/>
      <c r="K603" s="89"/>
      <c r="L603" s="89"/>
      <c r="N603" s="89"/>
      <c r="O603" s="89"/>
      <c r="P603" s="89"/>
      <c r="Q603" s="89"/>
      <c r="R603" s="89"/>
      <c r="T603" s="89"/>
      <c r="U603" s="89"/>
      <c r="V603" s="89"/>
      <c r="W603" s="89"/>
      <c r="X603" s="89"/>
      <c r="Y603" s="89"/>
      <c r="Z603" s="89"/>
      <c r="AA603" s="89"/>
      <c r="AB603" s="89"/>
      <c r="AC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89"/>
      <c r="BB603" s="89"/>
      <c r="BC603" s="89"/>
      <c r="BD603" s="89"/>
    </row>
    <row r="604" spans="1:56" ht="15" customHeight="1" x14ac:dyDescent="0.3">
      <c r="A604" s="101"/>
      <c r="B604" s="89"/>
      <c r="C604" s="89"/>
      <c r="D604" s="89"/>
      <c r="E604" s="89"/>
      <c r="F604" s="89"/>
      <c r="G604" s="89"/>
      <c r="H604" s="89"/>
      <c r="I604" s="89"/>
      <c r="J604" s="89"/>
      <c r="K604" s="89"/>
      <c r="L604" s="89"/>
      <c r="N604" s="89"/>
      <c r="O604" s="89"/>
      <c r="P604" s="89"/>
      <c r="Q604" s="89"/>
      <c r="R604" s="89"/>
      <c r="T604" s="89"/>
      <c r="U604" s="89"/>
      <c r="V604" s="89"/>
      <c r="W604" s="89"/>
      <c r="X604" s="89"/>
      <c r="Y604" s="89"/>
      <c r="Z604" s="89"/>
      <c r="AA604" s="89"/>
      <c r="AB604" s="89"/>
      <c r="AC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89"/>
      <c r="BB604" s="89"/>
      <c r="BC604" s="89"/>
      <c r="BD604" s="89"/>
    </row>
    <row r="605" spans="1:56" ht="15" customHeight="1" x14ac:dyDescent="0.3">
      <c r="A605" s="101"/>
      <c r="B605" s="89"/>
      <c r="C605" s="89"/>
      <c r="D605" s="89"/>
      <c r="E605" s="89"/>
      <c r="F605" s="89"/>
      <c r="G605" s="89"/>
      <c r="H605" s="89"/>
      <c r="I605" s="89"/>
      <c r="J605" s="89"/>
      <c r="K605" s="89"/>
      <c r="L605" s="89"/>
      <c r="N605" s="89"/>
      <c r="O605" s="89"/>
      <c r="P605" s="89"/>
      <c r="Q605" s="89"/>
      <c r="R605" s="89"/>
      <c r="T605" s="89"/>
      <c r="U605" s="89"/>
      <c r="V605" s="89"/>
      <c r="W605" s="89"/>
      <c r="X605" s="89"/>
      <c r="Y605" s="89"/>
      <c r="Z605" s="89"/>
      <c r="AA605" s="89"/>
      <c r="AB605" s="89"/>
      <c r="AC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89"/>
      <c r="BB605" s="89"/>
      <c r="BC605" s="89"/>
      <c r="BD605" s="89"/>
    </row>
    <row r="606" spans="1:56" ht="15" customHeight="1" x14ac:dyDescent="0.3">
      <c r="A606" s="101"/>
      <c r="B606" s="89"/>
      <c r="C606" s="89"/>
      <c r="D606" s="89"/>
      <c r="E606" s="89"/>
      <c r="F606" s="89"/>
      <c r="G606" s="89"/>
      <c r="H606" s="89"/>
      <c r="I606" s="89"/>
      <c r="J606" s="89"/>
      <c r="K606" s="89"/>
      <c r="L606" s="89"/>
      <c r="N606" s="89"/>
      <c r="O606" s="89"/>
      <c r="P606" s="89"/>
      <c r="Q606" s="89"/>
      <c r="R606" s="89"/>
      <c r="T606" s="89"/>
      <c r="U606" s="89"/>
      <c r="V606" s="89"/>
      <c r="W606" s="89"/>
      <c r="X606" s="89"/>
      <c r="Y606" s="89"/>
      <c r="Z606" s="89"/>
      <c r="AA606" s="89"/>
      <c r="AB606" s="89"/>
      <c r="AC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89"/>
      <c r="BB606" s="89"/>
      <c r="BC606" s="89"/>
      <c r="BD606" s="89"/>
    </row>
    <row r="607" spans="1:56" ht="15" customHeight="1" x14ac:dyDescent="0.3">
      <c r="A607" s="101"/>
      <c r="B607" s="89"/>
      <c r="C607" s="89"/>
      <c r="D607" s="89"/>
      <c r="E607" s="89"/>
      <c r="F607" s="89"/>
      <c r="G607" s="89"/>
      <c r="H607" s="89"/>
      <c r="I607" s="89"/>
      <c r="J607" s="89"/>
      <c r="K607" s="89"/>
      <c r="L607" s="89"/>
      <c r="N607" s="89"/>
      <c r="O607" s="89"/>
      <c r="P607" s="89"/>
      <c r="Q607" s="89"/>
      <c r="R607" s="89"/>
      <c r="T607" s="89"/>
      <c r="U607" s="89"/>
      <c r="V607" s="89"/>
      <c r="W607" s="89"/>
      <c r="X607" s="89"/>
      <c r="Y607" s="89"/>
      <c r="Z607" s="89"/>
      <c r="AA607" s="89"/>
      <c r="AB607" s="89"/>
      <c r="AC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89"/>
      <c r="BB607" s="89"/>
      <c r="BC607" s="89"/>
      <c r="BD607" s="89"/>
    </row>
    <row r="608" spans="1:56" ht="15" customHeight="1" x14ac:dyDescent="0.3">
      <c r="A608" s="101"/>
      <c r="B608" s="89"/>
      <c r="C608" s="89"/>
      <c r="D608" s="89"/>
      <c r="E608" s="89"/>
      <c r="F608" s="89"/>
      <c r="G608" s="89"/>
      <c r="H608" s="89"/>
      <c r="I608" s="89"/>
      <c r="J608" s="89"/>
      <c r="K608" s="89"/>
      <c r="L608" s="89"/>
      <c r="N608" s="89"/>
      <c r="O608" s="89"/>
      <c r="P608" s="89"/>
      <c r="Q608" s="89"/>
      <c r="R608" s="89"/>
      <c r="T608" s="89"/>
      <c r="U608" s="89"/>
      <c r="V608" s="89"/>
      <c r="W608" s="89"/>
      <c r="X608" s="89"/>
      <c r="Y608" s="89"/>
      <c r="Z608" s="89"/>
      <c r="AA608" s="89"/>
      <c r="AB608" s="89"/>
      <c r="AC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89"/>
      <c r="BB608" s="89"/>
      <c r="BC608" s="89"/>
      <c r="BD608" s="89"/>
    </row>
    <row r="609" spans="1:56" ht="15" customHeight="1" x14ac:dyDescent="0.3">
      <c r="A609" s="101"/>
      <c r="B609" s="89"/>
      <c r="C609" s="89"/>
      <c r="D609" s="89"/>
      <c r="E609" s="89"/>
      <c r="F609" s="89"/>
      <c r="G609" s="89"/>
      <c r="H609" s="89"/>
      <c r="I609" s="89"/>
      <c r="J609" s="89"/>
      <c r="K609" s="89"/>
      <c r="L609" s="89"/>
      <c r="N609" s="89"/>
      <c r="O609" s="89"/>
      <c r="P609" s="89"/>
      <c r="Q609" s="89"/>
      <c r="R609" s="89"/>
      <c r="T609" s="89"/>
      <c r="U609" s="89"/>
      <c r="V609" s="89"/>
      <c r="W609" s="89"/>
      <c r="X609" s="89"/>
      <c r="Y609" s="89"/>
      <c r="Z609" s="89"/>
      <c r="AA609" s="89"/>
      <c r="AB609" s="89"/>
      <c r="AC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89"/>
      <c r="BB609" s="89"/>
      <c r="BC609" s="89"/>
      <c r="BD609" s="89"/>
    </row>
    <row r="610" spans="1:56" ht="15" customHeight="1" x14ac:dyDescent="0.3">
      <c r="A610" s="101"/>
      <c r="B610" s="89"/>
      <c r="C610" s="89"/>
      <c r="D610" s="89"/>
      <c r="E610" s="89"/>
      <c r="F610" s="89"/>
      <c r="G610" s="89"/>
      <c r="H610" s="89"/>
      <c r="I610" s="89"/>
      <c r="J610" s="89"/>
      <c r="K610" s="89"/>
      <c r="L610" s="89"/>
      <c r="N610" s="89"/>
      <c r="O610" s="89"/>
      <c r="P610" s="89"/>
      <c r="Q610" s="89"/>
      <c r="R610" s="89"/>
      <c r="T610" s="89"/>
      <c r="U610" s="89"/>
      <c r="V610" s="89"/>
      <c r="W610" s="89"/>
      <c r="X610" s="89"/>
      <c r="Y610" s="89"/>
      <c r="Z610" s="89"/>
      <c r="AA610" s="89"/>
      <c r="AB610" s="89"/>
      <c r="AC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89"/>
      <c r="BB610" s="89"/>
      <c r="BC610" s="89"/>
      <c r="BD610" s="89"/>
    </row>
    <row r="611" spans="1:56" ht="15" customHeight="1" x14ac:dyDescent="0.3">
      <c r="A611" s="101"/>
      <c r="B611" s="89"/>
      <c r="C611" s="89"/>
      <c r="D611" s="89"/>
      <c r="E611" s="89"/>
      <c r="F611" s="89"/>
      <c r="G611" s="89"/>
      <c r="H611" s="89"/>
      <c r="I611" s="89"/>
      <c r="J611" s="89"/>
      <c r="K611" s="89"/>
      <c r="L611" s="89"/>
      <c r="N611" s="89"/>
      <c r="O611" s="89"/>
      <c r="P611" s="89"/>
      <c r="Q611" s="89"/>
      <c r="R611" s="89"/>
      <c r="T611" s="89"/>
      <c r="U611" s="89"/>
      <c r="V611" s="89"/>
      <c r="W611" s="89"/>
      <c r="X611" s="89"/>
      <c r="Y611" s="89"/>
      <c r="Z611" s="89"/>
      <c r="AA611" s="89"/>
      <c r="AB611" s="89"/>
      <c r="AC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89"/>
      <c r="BB611" s="89"/>
      <c r="BC611" s="89"/>
      <c r="BD611" s="89"/>
    </row>
    <row r="612" spans="1:56" ht="15" customHeight="1" x14ac:dyDescent="0.3">
      <c r="A612" s="101"/>
      <c r="B612" s="89"/>
      <c r="C612" s="89"/>
      <c r="D612" s="89"/>
      <c r="E612" s="89"/>
      <c r="F612" s="89"/>
      <c r="G612" s="89"/>
      <c r="H612" s="89"/>
      <c r="I612" s="89"/>
      <c r="J612" s="89"/>
      <c r="K612" s="89"/>
      <c r="L612" s="89"/>
      <c r="N612" s="89"/>
      <c r="O612" s="89"/>
      <c r="P612" s="89"/>
      <c r="Q612" s="89"/>
      <c r="R612" s="89"/>
      <c r="T612" s="89"/>
      <c r="U612" s="89"/>
      <c r="V612" s="89"/>
      <c r="W612" s="89"/>
      <c r="X612" s="89"/>
      <c r="Y612" s="89"/>
      <c r="Z612" s="89"/>
      <c r="AA612" s="89"/>
      <c r="AB612" s="89"/>
      <c r="AC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89"/>
      <c r="BB612" s="89"/>
      <c r="BC612" s="89"/>
      <c r="BD612" s="89"/>
    </row>
    <row r="613" spans="1:56" ht="15" customHeight="1" x14ac:dyDescent="0.3">
      <c r="A613" s="101"/>
      <c r="B613" s="89"/>
      <c r="C613" s="89"/>
      <c r="D613" s="89"/>
      <c r="E613" s="89"/>
      <c r="F613" s="89"/>
      <c r="G613" s="89"/>
      <c r="H613" s="89"/>
      <c r="I613" s="89"/>
      <c r="J613" s="89"/>
      <c r="K613" s="89"/>
      <c r="L613" s="89"/>
      <c r="N613" s="89"/>
      <c r="O613" s="89"/>
      <c r="P613" s="89"/>
      <c r="Q613" s="89"/>
      <c r="R613" s="89"/>
      <c r="T613" s="89"/>
      <c r="U613" s="89"/>
      <c r="V613" s="89"/>
      <c r="W613" s="89"/>
      <c r="X613" s="89"/>
      <c r="Y613" s="89"/>
      <c r="Z613" s="89"/>
      <c r="AA613" s="89"/>
      <c r="AB613" s="89"/>
      <c r="AC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89"/>
      <c r="BB613" s="89"/>
      <c r="BC613" s="89"/>
      <c r="BD613" s="89"/>
    </row>
    <row r="614" spans="1:56" ht="15" customHeight="1" x14ac:dyDescent="0.3">
      <c r="A614" s="101"/>
      <c r="B614" s="89"/>
      <c r="C614" s="89"/>
      <c r="D614" s="89"/>
      <c r="E614" s="89"/>
      <c r="F614" s="89"/>
      <c r="G614" s="89"/>
      <c r="H614" s="89"/>
      <c r="I614" s="89"/>
      <c r="J614" s="89"/>
      <c r="K614" s="89"/>
      <c r="L614" s="89"/>
      <c r="N614" s="89"/>
      <c r="O614" s="89"/>
      <c r="P614" s="89"/>
      <c r="Q614" s="89"/>
      <c r="R614" s="89"/>
      <c r="T614" s="89"/>
      <c r="U614" s="89"/>
      <c r="V614" s="89"/>
      <c r="W614" s="89"/>
      <c r="X614" s="89"/>
      <c r="Y614" s="89"/>
      <c r="Z614" s="89"/>
      <c r="AA614" s="89"/>
      <c r="AB614" s="89"/>
      <c r="AC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89"/>
      <c r="BB614" s="89"/>
      <c r="BC614" s="89"/>
      <c r="BD614" s="89"/>
    </row>
    <row r="615" spans="1:56" ht="15" customHeight="1" x14ac:dyDescent="0.3">
      <c r="A615" s="101"/>
      <c r="B615" s="89"/>
      <c r="C615" s="89"/>
      <c r="D615" s="89"/>
      <c r="E615" s="89"/>
      <c r="F615" s="89"/>
      <c r="G615" s="89"/>
      <c r="H615" s="89"/>
      <c r="I615" s="89"/>
      <c r="J615" s="89"/>
      <c r="K615" s="89"/>
      <c r="L615" s="89"/>
      <c r="N615" s="89"/>
      <c r="O615" s="89"/>
      <c r="P615" s="89"/>
      <c r="Q615" s="89"/>
      <c r="R615" s="89"/>
      <c r="T615" s="89"/>
      <c r="U615" s="89"/>
      <c r="V615" s="89"/>
      <c r="W615" s="89"/>
      <c r="X615" s="89"/>
      <c r="Y615" s="89"/>
      <c r="Z615" s="89"/>
      <c r="AA615" s="89"/>
      <c r="AB615" s="89"/>
      <c r="AC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89"/>
      <c r="BB615" s="89"/>
      <c r="BC615" s="89"/>
      <c r="BD615" s="89"/>
    </row>
    <row r="616" spans="1:56" ht="15" customHeight="1" x14ac:dyDescent="0.3">
      <c r="A616" s="101"/>
      <c r="B616" s="89"/>
      <c r="C616" s="89"/>
      <c r="D616" s="89"/>
      <c r="E616" s="89"/>
      <c r="F616" s="89"/>
      <c r="G616" s="89"/>
      <c r="H616" s="89"/>
      <c r="I616" s="89"/>
      <c r="J616" s="89"/>
      <c r="K616" s="89"/>
      <c r="L616" s="89"/>
      <c r="N616" s="89"/>
      <c r="O616" s="89"/>
      <c r="P616" s="89"/>
      <c r="Q616" s="89"/>
      <c r="R616" s="89"/>
      <c r="T616" s="89"/>
      <c r="U616" s="89"/>
      <c r="V616" s="89"/>
      <c r="W616" s="89"/>
      <c r="X616" s="89"/>
      <c r="Y616" s="89"/>
      <c r="Z616" s="89"/>
      <c r="AA616" s="89"/>
      <c r="AB616" s="89"/>
      <c r="AC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89"/>
      <c r="BB616" s="89"/>
      <c r="BC616" s="89"/>
      <c r="BD616" s="89"/>
    </row>
    <row r="617" spans="1:56" ht="15" customHeight="1" x14ac:dyDescent="0.3">
      <c r="A617" s="101"/>
      <c r="B617" s="89"/>
      <c r="C617" s="89"/>
      <c r="D617" s="89"/>
      <c r="E617" s="89"/>
      <c r="F617" s="89"/>
      <c r="G617" s="89"/>
      <c r="H617" s="89"/>
      <c r="I617" s="89"/>
      <c r="J617" s="89"/>
      <c r="K617" s="89"/>
      <c r="L617" s="89"/>
      <c r="N617" s="89"/>
      <c r="O617" s="89"/>
      <c r="P617" s="89"/>
      <c r="Q617" s="89"/>
      <c r="R617" s="89"/>
      <c r="T617" s="89"/>
      <c r="U617" s="89"/>
      <c r="V617" s="89"/>
      <c r="W617" s="89"/>
      <c r="X617" s="89"/>
      <c r="Y617" s="89"/>
      <c r="Z617" s="89"/>
      <c r="AA617" s="89"/>
      <c r="AB617" s="89"/>
      <c r="AC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89"/>
      <c r="BB617" s="89"/>
      <c r="BC617" s="89"/>
      <c r="BD617" s="89"/>
    </row>
    <row r="618" spans="1:56" ht="15" customHeight="1" x14ac:dyDescent="0.3">
      <c r="A618" s="101"/>
      <c r="B618" s="89"/>
      <c r="C618" s="89"/>
      <c r="D618" s="89"/>
      <c r="E618" s="89"/>
      <c r="F618" s="89"/>
      <c r="G618" s="89"/>
      <c r="H618" s="89"/>
      <c r="I618" s="89"/>
      <c r="J618" s="89"/>
      <c r="K618" s="89"/>
      <c r="L618" s="89"/>
      <c r="N618" s="89"/>
      <c r="O618" s="89"/>
      <c r="P618" s="89"/>
      <c r="Q618" s="89"/>
      <c r="R618" s="89"/>
      <c r="T618" s="89"/>
      <c r="U618" s="89"/>
      <c r="V618" s="89"/>
      <c r="W618" s="89"/>
      <c r="X618" s="89"/>
      <c r="Y618" s="89"/>
      <c r="Z618" s="89"/>
      <c r="AA618" s="89"/>
      <c r="AB618" s="89"/>
      <c r="AC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89"/>
      <c r="BB618" s="89"/>
      <c r="BC618" s="89"/>
      <c r="BD618" s="89"/>
    </row>
    <row r="619" spans="1:56" ht="15" customHeight="1" x14ac:dyDescent="0.3">
      <c r="A619" s="101"/>
      <c r="B619" s="89"/>
      <c r="C619" s="89"/>
      <c r="D619" s="89"/>
      <c r="E619" s="89"/>
      <c r="F619" s="89"/>
      <c r="G619" s="89"/>
      <c r="H619" s="89"/>
      <c r="I619" s="89"/>
      <c r="J619" s="89"/>
      <c r="K619" s="89"/>
      <c r="L619" s="89"/>
      <c r="N619" s="89"/>
      <c r="O619" s="89"/>
      <c r="P619" s="89"/>
      <c r="Q619" s="89"/>
      <c r="R619" s="89"/>
      <c r="T619" s="89"/>
      <c r="U619" s="89"/>
      <c r="V619" s="89"/>
      <c r="W619" s="89"/>
      <c r="X619" s="89"/>
      <c r="Y619" s="89"/>
      <c r="Z619" s="89"/>
      <c r="AA619" s="89"/>
      <c r="AB619" s="89"/>
      <c r="AC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89"/>
      <c r="BB619" s="89"/>
      <c r="BC619" s="89"/>
      <c r="BD619" s="89"/>
    </row>
    <row r="620" spans="1:56" ht="15" customHeight="1" x14ac:dyDescent="0.3">
      <c r="A620" s="101"/>
      <c r="B620" s="89"/>
      <c r="C620" s="89"/>
      <c r="D620" s="89"/>
      <c r="E620" s="89"/>
      <c r="F620" s="89"/>
      <c r="G620" s="89"/>
      <c r="H620" s="89"/>
      <c r="I620" s="89"/>
      <c r="J620" s="89"/>
      <c r="K620" s="89"/>
      <c r="L620" s="89"/>
      <c r="N620" s="89"/>
      <c r="O620" s="89"/>
      <c r="P620" s="89"/>
      <c r="Q620" s="89"/>
      <c r="R620" s="89"/>
      <c r="T620" s="89"/>
      <c r="U620" s="89"/>
      <c r="V620" s="89"/>
      <c r="W620" s="89"/>
      <c r="X620" s="89"/>
      <c r="Y620" s="89"/>
      <c r="Z620" s="89"/>
      <c r="AA620" s="89"/>
      <c r="AB620" s="89"/>
      <c r="AC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89"/>
      <c r="BB620" s="89"/>
      <c r="BC620" s="89"/>
      <c r="BD620" s="89"/>
    </row>
    <row r="621" spans="1:56" ht="15" customHeight="1" x14ac:dyDescent="0.3">
      <c r="A621" s="101"/>
      <c r="B621" s="89"/>
      <c r="C621" s="89"/>
      <c r="D621" s="89"/>
      <c r="E621" s="89"/>
      <c r="F621" s="89"/>
      <c r="G621" s="89"/>
      <c r="H621" s="89"/>
      <c r="I621" s="89"/>
      <c r="J621" s="89"/>
      <c r="K621" s="89"/>
      <c r="L621" s="89"/>
      <c r="N621" s="89"/>
      <c r="O621" s="89"/>
      <c r="P621" s="89"/>
      <c r="Q621" s="89"/>
      <c r="R621" s="89"/>
      <c r="T621" s="89"/>
      <c r="U621" s="89"/>
      <c r="V621" s="89"/>
      <c r="W621" s="89"/>
      <c r="X621" s="89"/>
      <c r="Y621" s="89"/>
      <c r="Z621" s="89"/>
      <c r="AA621" s="89"/>
      <c r="AB621" s="89"/>
      <c r="AC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89"/>
      <c r="BB621" s="89"/>
      <c r="BC621" s="89"/>
      <c r="BD621" s="89"/>
    </row>
    <row r="622" spans="1:56" ht="15" customHeight="1" x14ac:dyDescent="0.3">
      <c r="A622" s="101"/>
      <c r="B622" s="89"/>
      <c r="C622" s="89"/>
      <c r="D622" s="89"/>
      <c r="E622" s="89"/>
      <c r="F622" s="89"/>
      <c r="G622" s="89"/>
      <c r="H622" s="89"/>
      <c r="I622" s="89"/>
      <c r="J622" s="89"/>
      <c r="K622" s="89"/>
      <c r="L622" s="89"/>
      <c r="N622" s="89"/>
      <c r="O622" s="89"/>
      <c r="P622" s="89"/>
      <c r="Q622" s="89"/>
      <c r="R622" s="89"/>
      <c r="T622" s="89"/>
      <c r="U622" s="89"/>
      <c r="V622" s="89"/>
      <c r="W622" s="89"/>
      <c r="X622" s="89"/>
      <c r="Y622" s="89"/>
      <c r="Z622" s="89"/>
      <c r="AA622" s="89"/>
      <c r="AB622" s="89"/>
      <c r="AC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89"/>
      <c r="BB622" s="89"/>
      <c r="BC622" s="89"/>
      <c r="BD622" s="89"/>
    </row>
    <row r="623" spans="1:56" ht="15" customHeight="1" x14ac:dyDescent="0.3">
      <c r="A623" s="101"/>
      <c r="B623" s="89"/>
      <c r="C623" s="89"/>
      <c r="D623" s="89"/>
      <c r="E623" s="89"/>
      <c r="F623" s="89"/>
      <c r="G623" s="89"/>
      <c r="H623" s="89"/>
      <c r="I623" s="89"/>
      <c r="J623" s="89"/>
      <c r="K623" s="89"/>
      <c r="L623" s="89"/>
      <c r="N623" s="89"/>
      <c r="O623" s="89"/>
      <c r="P623" s="89"/>
      <c r="Q623" s="89"/>
      <c r="R623" s="89"/>
      <c r="T623" s="89"/>
      <c r="U623" s="89"/>
      <c r="V623" s="89"/>
      <c r="W623" s="89"/>
      <c r="X623" s="89"/>
      <c r="Y623" s="89"/>
      <c r="Z623" s="89"/>
      <c r="AA623" s="89"/>
      <c r="AB623" s="89"/>
      <c r="AC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89"/>
      <c r="BB623" s="89"/>
      <c r="BC623" s="89"/>
      <c r="BD623" s="89"/>
    </row>
    <row r="624" spans="1:56" ht="15" customHeight="1" x14ac:dyDescent="0.3">
      <c r="A624" s="101"/>
      <c r="B624" s="89"/>
      <c r="C624" s="89"/>
      <c r="D624" s="89"/>
      <c r="E624" s="89"/>
      <c r="F624" s="89"/>
      <c r="G624" s="89"/>
      <c r="H624" s="89"/>
      <c r="I624" s="89"/>
      <c r="J624" s="89"/>
      <c r="K624" s="89"/>
      <c r="L624" s="89"/>
      <c r="N624" s="89"/>
      <c r="O624" s="89"/>
      <c r="P624" s="89"/>
      <c r="Q624" s="89"/>
      <c r="R624" s="89"/>
      <c r="T624" s="89"/>
      <c r="U624" s="89"/>
      <c r="V624" s="89"/>
      <c r="W624" s="89"/>
      <c r="X624" s="89"/>
      <c r="Y624" s="89"/>
      <c r="Z624" s="89"/>
      <c r="AA624" s="89"/>
      <c r="AB624" s="89"/>
      <c r="AC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89"/>
      <c r="BB624" s="89"/>
      <c r="BC624" s="89"/>
      <c r="BD624" s="89"/>
    </row>
    <row r="625" spans="1:56" ht="15" customHeight="1" x14ac:dyDescent="0.3">
      <c r="A625" s="101"/>
      <c r="B625" s="89"/>
      <c r="C625" s="89"/>
      <c r="D625" s="89"/>
      <c r="E625" s="89"/>
      <c r="F625" s="89"/>
      <c r="G625" s="89"/>
      <c r="H625" s="89"/>
      <c r="I625" s="89"/>
      <c r="J625" s="89"/>
      <c r="K625" s="89"/>
      <c r="L625" s="89"/>
      <c r="N625" s="89"/>
      <c r="O625" s="89"/>
      <c r="P625" s="89"/>
      <c r="Q625" s="89"/>
      <c r="R625" s="89"/>
      <c r="T625" s="89"/>
      <c r="U625" s="89"/>
      <c r="V625" s="89"/>
      <c r="W625" s="89"/>
      <c r="X625" s="89"/>
      <c r="Y625" s="89"/>
      <c r="Z625" s="89"/>
      <c r="AA625" s="89"/>
      <c r="AB625" s="89"/>
      <c r="AC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89"/>
      <c r="BB625" s="89"/>
      <c r="BC625" s="89"/>
      <c r="BD625" s="89"/>
    </row>
    <row r="626" spans="1:56" ht="15" customHeight="1" x14ac:dyDescent="0.3">
      <c r="A626" s="101"/>
      <c r="B626" s="89"/>
      <c r="C626" s="89"/>
      <c r="D626" s="89"/>
      <c r="E626" s="89"/>
      <c r="F626" s="89"/>
      <c r="G626" s="89"/>
      <c r="H626" s="89"/>
      <c r="I626" s="89"/>
      <c r="J626" s="89"/>
      <c r="K626" s="89"/>
      <c r="L626" s="89"/>
      <c r="N626" s="89"/>
      <c r="O626" s="89"/>
      <c r="P626" s="89"/>
      <c r="Q626" s="89"/>
      <c r="R626" s="89"/>
      <c r="T626" s="89"/>
      <c r="U626" s="89"/>
      <c r="V626" s="89"/>
      <c r="W626" s="89"/>
      <c r="X626" s="89"/>
      <c r="Y626" s="89"/>
      <c r="Z626" s="89"/>
      <c r="AA626" s="89"/>
      <c r="AB626" s="89"/>
      <c r="AC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89"/>
      <c r="BB626" s="89"/>
      <c r="BC626" s="89"/>
      <c r="BD626" s="89"/>
    </row>
    <row r="627" spans="1:56" ht="15" customHeight="1" x14ac:dyDescent="0.3">
      <c r="A627" s="101"/>
      <c r="B627" s="89"/>
      <c r="C627" s="89"/>
      <c r="D627" s="89"/>
      <c r="E627" s="89"/>
      <c r="F627" s="89"/>
      <c r="G627" s="89"/>
      <c r="H627" s="89"/>
      <c r="I627" s="89"/>
      <c r="J627" s="89"/>
      <c r="K627" s="89"/>
      <c r="L627" s="89"/>
      <c r="N627" s="89"/>
      <c r="O627" s="89"/>
      <c r="P627" s="89"/>
      <c r="Q627" s="89"/>
      <c r="R627" s="89"/>
      <c r="T627" s="89"/>
      <c r="U627" s="89"/>
      <c r="V627" s="89"/>
      <c r="W627" s="89"/>
      <c r="X627" s="89"/>
      <c r="Y627" s="89"/>
      <c r="Z627" s="89"/>
      <c r="AA627" s="89"/>
      <c r="AB627" s="89"/>
      <c r="AC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89"/>
      <c r="BB627" s="89"/>
      <c r="BC627" s="89"/>
      <c r="BD627" s="89"/>
    </row>
    <row r="628" spans="1:56" ht="15" customHeight="1" x14ac:dyDescent="0.3">
      <c r="A628" s="101"/>
      <c r="B628" s="89"/>
      <c r="C628" s="89"/>
      <c r="D628" s="89"/>
      <c r="E628" s="89"/>
      <c r="F628" s="89"/>
      <c r="G628" s="89"/>
      <c r="H628" s="89"/>
      <c r="I628" s="89"/>
      <c r="J628" s="89"/>
      <c r="K628" s="89"/>
      <c r="L628" s="89"/>
      <c r="N628" s="89"/>
      <c r="O628" s="89"/>
      <c r="P628" s="89"/>
      <c r="Q628" s="89"/>
      <c r="R628" s="89"/>
      <c r="T628" s="89"/>
      <c r="U628" s="89"/>
      <c r="V628" s="89"/>
      <c r="W628" s="89"/>
      <c r="X628" s="89"/>
      <c r="Y628" s="89"/>
      <c r="Z628" s="89"/>
      <c r="AA628" s="89"/>
      <c r="AB628" s="89"/>
      <c r="AC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89"/>
      <c r="BB628" s="89"/>
      <c r="BC628" s="89"/>
      <c r="BD628" s="89"/>
    </row>
    <row r="629" spans="1:56" ht="15" customHeight="1" x14ac:dyDescent="0.3">
      <c r="A629" s="101"/>
      <c r="B629" s="89"/>
      <c r="C629" s="89"/>
      <c r="D629" s="89"/>
      <c r="E629" s="89"/>
      <c r="F629" s="89"/>
      <c r="G629" s="89"/>
      <c r="H629" s="89"/>
      <c r="I629" s="89"/>
      <c r="J629" s="89"/>
      <c r="K629" s="89"/>
      <c r="L629" s="89"/>
      <c r="N629" s="89"/>
      <c r="O629" s="89"/>
      <c r="P629" s="89"/>
      <c r="Q629" s="89"/>
      <c r="R629" s="89"/>
      <c r="T629" s="89"/>
      <c r="U629" s="89"/>
      <c r="V629" s="89"/>
      <c r="W629" s="89"/>
      <c r="X629" s="89"/>
      <c r="Y629" s="89"/>
      <c r="Z629" s="89"/>
      <c r="AA629" s="89"/>
      <c r="AB629" s="89"/>
      <c r="AC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89"/>
      <c r="BB629" s="89"/>
      <c r="BC629" s="89"/>
      <c r="BD629" s="89"/>
    </row>
    <row r="630" spans="1:56" ht="15" customHeight="1" x14ac:dyDescent="0.3">
      <c r="A630" s="101"/>
      <c r="B630" s="89"/>
      <c r="C630" s="89"/>
      <c r="D630" s="89"/>
      <c r="E630" s="89"/>
      <c r="F630" s="89"/>
      <c r="G630" s="89"/>
      <c r="H630" s="89"/>
      <c r="I630" s="89"/>
      <c r="J630" s="89"/>
      <c r="K630" s="89"/>
      <c r="L630" s="89"/>
      <c r="N630" s="89"/>
      <c r="O630" s="89"/>
      <c r="P630" s="89"/>
      <c r="Q630" s="89"/>
      <c r="R630" s="89"/>
      <c r="T630" s="89"/>
      <c r="U630" s="89"/>
      <c r="V630" s="89"/>
      <c r="W630" s="89"/>
      <c r="X630" s="89"/>
      <c r="Y630" s="89"/>
      <c r="Z630" s="89"/>
      <c r="AA630" s="89"/>
      <c r="AB630" s="89"/>
      <c r="AC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89"/>
      <c r="BB630" s="89"/>
      <c r="BC630" s="89"/>
      <c r="BD630" s="89"/>
    </row>
    <row r="631" spans="1:56" ht="15" customHeight="1" x14ac:dyDescent="0.3">
      <c r="A631" s="101"/>
      <c r="B631" s="89"/>
      <c r="C631" s="89"/>
      <c r="D631" s="89"/>
      <c r="E631" s="89"/>
      <c r="F631" s="89"/>
      <c r="G631" s="89"/>
      <c r="H631" s="89"/>
      <c r="I631" s="89"/>
      <c r="J631" s="89"/>
      <c r="K631" s="89"/>
      <c r="L631" s="89"/>
      <c r="N631" s="89"/>
      <c r="O631" s="89"/>
      <c r="P631" s="89"/>
      <c r="Q631" s="89"/>
      <c r="R631" s="89"/>
      <c r="T631" s="89"/>
      <c r="U631" s="89"/>
      <c r="V631" s="89"/>
      <c r="W631" s="89"/>
      <c r="X631" s="89"/>
      <c r="Y631" s="89"/>
      <c r="Z631" s="89"/>
      <c r="AA631" s="89"/>
      <c r="AB631" s="89"/>
      <c r="AC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89"/>
      <c r="BB631" s="89"/>
      <c r="BC631" s="89"/>
      <c r="BD631" s="89"/>
    </row>
    <row r="632" spans="1:56" ht="15" customHeight="1" x14ac:dyDescent="0.3">
      <c r="A632" s="101"/>
      <c r="B632" s="89"/>
      <c r="C632" s="89"/>
      <c r="D632" s="89"/>
      <c r="E632" s="89"/>
      <c r="F632" s="89"/>
      <c r="G632" s="89"/>
      <c r="H632" s="89"/>
      <c r="I632" s="89"/>
      <c r="J632" s="89"/>
      <c r="K632" s="89"/>
      <c r="L632" s="89"/>
      <c r="N632" s="89"/>
      <c r="O632" s="89"/>
      <c r="P632" s="89"/>
      <c r="Q632" s="89"/>
      <c r="R632" s="89"/>
      <c r="T632" s="89"/>
      <c r="U632" s="89"/>
      <c r="V632" s="89"/>
      <c r="W632" s="89"/>
      <c r="X632" s="89"/>
      <c r="Y632" s="89"/>
      <c r="Z632" s="89"/>
      <c r="AA632" s="89"/>
      <c r="AB632" s="89"/>
      <c r="AC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89"/>
      <c r="BB632" s="89"/>
      <c r="BC632" s="89"/>
      <c r="BD632" s="89"/>
    </row>
    <row r="633" spans="1:56" ht="15" customHeight="1" x14ac:dyDescent="0.3">
      <c r="A633" s="101"/>
      <c r="B633" s="89"/>
      <c r="C633" s="89"/>
      <c r="D633" s="89"/>
      <c r="E633" s="89"/>
      <c r="F633" s="89"/>
      <c r="G633" s="89"/>
      <c r="H633" s="89"/>
      <c r="I633" s="89"/>
      <c r="J633" s="89"/>
      <c r="K633" s="89"/>
      <c r="L633" s="89"/>
      <c r="N633" s="89"/>
      <c r="O633" s="89"/>
      <c r="P633" s="89"/>
      <c r="Q633" s="89"/>
      <c r="R633" s="89"/>
      <c r="T633" s="89"/>
      <c r="U633" s="89"/>
      <c r="V633" s="89"/>
      <c r="W633" s="89"/>
      <c r="X633" s="89"/>
      <c r="Y633" s="89"/>
      <c r="Z633" s="89"/>
      <c r="AA633" s="89"/>
      <c r="AB633" s="89"/>
      <c r="AC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89"/>
      <c r="BB633" s="89"/>
      <c r="BC633" s="89"/>
      <c r="BD633" s="89"/>
    </row>
    <row r="634" spans="1:56" ht="15" customHeight="1" x14ac:dyDescent="0.3">
      <c r="A634" s="101"/>
      <c r="B634" s="89"/>
      <c r="C634" s="89"/>
      <c r="D634" s="89"/>
      <c r="E634" s="89"/>
      <c r="F634" s="89"/>
      <c r="G634" s="89"/>
      <c r="H634" s="89"/>
      <c r="I634" s="89"/>
      <c r="J634" s="89"/>
      <c r="K634" s="89"/>
      <c r="L634" s="89"/>
      <c r="N634" s="89"/>
      <c r="O634" s="89"/>
      <c r="P634" s="89"/>
      <c r="Q634" s="89"/>
      <c r="R634" s="89"/>
      <c r="T634" s="89"/>
      <c r="U634" s="89"/>
      <c r="V634" s="89"/>
      <c r="W634" s="89"/>
      <c r="X634" s="89"/>
      <c r="Y634" s="89"/>
      <c r="Z634" s="89"/>
      <c r="AA634" s="89"/>
      <c r="AB634" s="89"/>
      <c r="AC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89"/>
      <c r="BB634" s="89"/>
      <c r="BC634" s="89"/>
      <c r="BD634" s="89"/>
    </row>
    <row r="635" spans="1:56" ht="15" customHeight="1" x14ac:dyDescent="0.3">
      <c r="A635" s="101"/>
      <c r="B635" s="89"/>
      <c r="C635" s="89"/>
      <c r="D635" s="89"/>
      <c r="E635" s="89"/>
      <c r="F635" s="89"/>
      <c r="G635" s="89"/>
      <c r="H635" s="89"/>
      <c r="I635" s="89"/>
      <c r="J635" s="89"/>
      <c r="K635" s="89"/>
      <c r="L635" s="89"/>
      <c r="N635" s="89"/>
      <c r="O635" s="89"/>
      <c r="P635" s="89"/>
      <c r="Q635" s="89"/>
      <c r="R635" s="89"/>
      <c r="T635" s="89"/>
      <c r="U635" s="89"/>
      <c r="V635" s="89"/>
      <c r="W635" s="89"/>
      <c r="X635" s="89"/>
      <c r="Y635" s="89"/>
      <c r="Z635" s="89"/>
      <c r="AA635" s="89"/>
      <c r="AB635" s="89"/>
      <c r="AC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89"/>
      <c r="BB635" s="89"/>
      <c r="BC635" s="89"/>
      <c r="BD635" s="89"/>
    </row>
    <row r="636" spans="1:56" ht="15" customHeight="1" x14ac:dyDescent="0.3">
      <c r="A636" s="101"/>
      <c r="B636" s="89"/>
      <c r="C636" s="89"/>
      <c r="D636" s="89"/>
      <c r="E636" s="89"/>
      <c r="F636" s="89"/>
      <c r="G636" s="89"/>
      <c r="H636" s="89"/>
      <c r="I636" s="89"/>
      <c r="J636" s="89"/>
      <c r="K636" s="89"/>
      <c r="L636" s="89"/>
      <c r="N636" s="89"/>
      <c r="O636" s="89"/>
      <c r="P636" s="89"/>
      <c r="Q636" s="89"/>
      <c r="R636" s="89"/>
      <c r="T636" s="89"/>
      <c r="U636" s="89"/>
      <c r="V636" s="89"/>
      <c r="W636" s="89"/>
      <c r="X636" s="89"/>
      <c r="Y636" s="89"/>
      <c r="Z636" s="89"/>
      <c r="AA636" s="89"/>
      <c r="AB636" s="89"/>
      <c r="AC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89"/>
      <c r="BB636" s="89"/>
      <c r="BC636" s="89"/>
      <c r="BD636" s="89"/>
    </row>
    <row r="637" spans="1:56" ht="15" customHeight="1" x14ac:dyDescent="0.3">
      <c r="A637" s="101"/>
      <c r="B637" s="89"/>
      <c r="C637" s="89"/>
      <c r="D637" s="89"/>
      <c r="E637" s="89"/>
      <c r="F637" s="89"/>
      <c r="G637" s="89"/>
      <c r="H637" s="89"/>
      <c r="I637" s="89"/>
      <c r="J637" s="89"/>
      <c r="K637" s="89"/>
      <c r="L637" s="89"/>
      <c r="N637" s="89"/>
      <c r="O637" s="89"/>
      <c r="P637" s="89"/>
      <c r="Q637" s="89"/>
      <c r="R637" s="89"/>
      <c r="T637" s="89"/>
      <c r="U637" s="89"/>
      <c r="V637" s="89"/>
      <c r="W637" s="89"/>
      <c r="X637" s="89"/>
      <c r="Y637" s="89"/>
      <c r="Z637" s="89"/>
      <c r="AA637" s="89"/>
      <c r="AB637" s="89"/>
      <c r="AC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89"/>
      <c r="BB637" s="89"/>
      <c r="BC637" s="89"/>
      <c r="BD637" s="89"/>
    </row>
    <row r="638" spans="1:56" ht="15" customHeight="1" x14ac:dyDescent="0.3">
      <c r="A638" s="101"/>
      <c r="B638" s="89"/>
      <c r="C638" s="89"/>
      <c r="D638" s="89"/>
      <c r="E638" s="89"/>
      <c r="F638" s="89"/>
      <c r="G638" s="89"/>
      <c r="H638" s="89"/>
      <c r="I638" s="89"/>
      <c r="J638" s="89"/>
      <c r="K638" s="89"/>
      <c r="L638" s="89"/>
      <c r="N638" s="89"/>
      <c r="O638" s="89"/>
      <c r="P638" s="89"/>
      <c r="Q638" s="89"/>
      <c r="R638" s="89"/>
      <c r="T638" s="89"/>
      <c r="U638" s="89"/>
      <c r="V638" s="89"/>
      <c r="W638" s="89"/>
      <c r="X638" s="89"/>
      <c r="Y638" s="89"/>
      <c r="Z638" s="89"/>
      <c r="AA638" s="89"/>
      <c r="AB638" s="89"/>
      <c r="AC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89"/>
      <c r="BB638" s="89"/>
      <c r="BC638" s="89"/>
      <c r="BD638" s="89"/>
    </row>
    <row r="639" spans="1:56" ht="15" customHeight="1" x14ac:dyDescent="0.3">
      <c r="A639" s="101"/>
      <c r="B639" s="89"/>
      <c r="C639" s="89"/>
      <c r="D639" s="89"/>
      <c r="E639" s="89"/>
      <c r="F639" s="89"/>
      <c r="G639" s="89"/>
      <c r="H639" s="89"/>
      <c r="I639" s="89"/>
      <c r="J639" s="89"/>
      <c r="K639" s="89"/>
      <c r="L639" s="89"/>
      <c r="N639" s="89"/>
      <c r="O639" s="89"/>
      <c r="P639" s="89"/>
      <c r="Q639" s="89"/>
      <c r="R639" s="89"/>
      <c r="T639" s="89"/>
      <c r="U639" s="89"/>
      <c r="V639" s="89"/>
      <c r="W639" s="89"/>
      <c r="X639" s="89"/>
      <c r="Y639" s="89"/>
      <c r="Z639" s="89"/>
      <c r="AA639" s="89"/>
      <c r="AB639" s="89"/>
      <c r="AC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89"/>
      <c r="BB639" s="89"/>
      <c r="BC639" s="89"/>
      <c r="BD639" s="89"/>
    </row>
    <row r="640" spans="1:56" ht="15" customHeight="1" x14ac:dyDescent="0.3">
      <c r="A640" s="101"/>
      <c r="B640" s="89"/>
      <c r="C640" s="89"/>
      <c r="D640" s="89"/>
      <c r="E640" s="89"/>
      <c r="F640" s="89"/>
      <c r="G640" s="89"/>
      <c r="H640" s="89"/>
      <c r="I640" s="89"/>
      <c r="J640" s="89"/>
      <c r="K640" s="89"/>
      <c r="L640" s="89"/>
      <c r="N640" s="89"/>
      <c r="O640" s="89"/>
      <c r="P640" s="89"/>
      <c r="Q640" s="89"/>
      <c r="R640" s="89"/>
      <c r="T640" s="89"/>
      <c r="U640" s="89"/>
      <c r="V640" s="89"/>
      <c r="W640" s="89"/>
      <c r="X640" s="89"/>
      <c r="Y640" s="89"/>
      <c r="Z640" s="89"/>
      <c r="AA640" s="89"/>
      <c r="AB640" s="89"/>
      <c r="AC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89"/>
      <c r="BB640" s="89"/>
      <c r="BC640" s="89"/>
      <c r="BD640" s="89"/>
    </row>
    <row r="641" spans="1:56" ht="15" customHeight="1" x14ac:dyDescent="0.3">
      <c r="A641" s="101"/>
      <c r="B641" s="89"/>
      <c r="C641" s="89"/>
      <c r="D641" s="89"/>
      <c r="E641" s="89"/>
      <c r="F641" s="89"/>
      <c r="G641" s="89"/>
      <c r="H641" s="89"/>
      <c r="I641" s="89"/>
      <c r="J641" s="89"/>
      <c r="K641" s="89"/>
      <c r="L641" s="89"/>
      <c r="N641" s="89"/>
      <c r="O641" s="89"/>
      <c r="P641" s="89"/>
      <c r="Q641" s="89"/>
      <c r="R641" s="89"/>
      <c r="T641" s="89"/>
      <c r="U641" s="89"/>
      <c r="V641" s="89"/>
      <c r="W641" s="89"/>
      <c r="X641" s="89"/>
      <c r="Y641" s="89"/>
      <c r="Z641" s="89"/>
      <c r="AA641" s="89"/>
      <c r="AB641" s="89"/>
      <c r="AC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89"/>
      <c r="BB641" s="89"/>
      <c r="BC641" s="89"/>
      <c r="BD641" s="89"/>
    </row>
    <row r="642" spans="1:56" ht="15" customHeight="1" x14ac:dyDescent="0.3">
      <c r="A642" s="101"/>
      <c r="B642" s="89"/>
      <c r="C642" s="89"/>
      <c r="D642" s="89"/>
      <c r="E642" s="89"/>
      <c r="F642" s="89"/>
      <c r="G642" s="89"/>
      <c r="H642" s="89"/>
      <c r="I642" s="89"/>
      <c r="J642" s="89"/>
      <c r="K642" s="89"/>
      <c r="L642" s="89"/>
      <c r="N642" s="89"/>
      <c r="O642" s="89"/>
      <c r="P642" s="89"/>
      <c r="Q642" s="89"/>
      <c r="R642" s="89"/>
      <c r="T642" s="89"/>
      <c r="U642" s="89"/>
      <c r="V642" s="89"/>
      <c r="W642" s="89"/>
      <c r="X642" s="89"/>
      <c r="Y642" s="89"/>
      <c r="Z642" s="89"/>
      <c r="AA642" s="89"/>
      <c r="AB642" s="89"/>
      <c r="AC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89"/>
      <c r="BB642" s="89"/>
      <c r="BC642" s="89"/>
      <c r="BD642" s="89"/>
    </row>
    <row r="643" spans="1:56" ht="15" customHeight="1" x14ac:dyDescent="0.3">
      <c r="A643" s="101"/>
      <c r="B643" s="89"/>
      <c r="C643" s="89"/>
      <c r="D643" s="89"/>
      <c r="E643" s="89"/>
      <c r="F643" s="89"/>
      <c r="G643" s="89"/>
      <c r="H643" s="89"/>
      <c r="I643" s="89"/>
      <c r="J643" s="89"/>
      <c r="K643" s="89"/>
      <c r="L643" s="89"/>
      <c r="N643" s="89"/>
      <c r="O643" s="89"/>
      <c r="P643" s="89"/>
      <c r="Q643" s="89"/>
      <c r="R643" s="89"/>
      <c r="T643" s="89"/>
      <c r="U643" s="89"/>
      <c r="V643" s="89"/>
      <c r="W643" s="89"/>
      <c r="X643" s="89"/>
      <c r="Y643" s="89"/>
      <c r="Z643" s="89"/>
      <c r="AA643" s="89"/>
      <c r="AB643" s="89"/>
      <c r="AC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89"/>
      <c r="BB643" s="89"/>
      <c r="BC643" s="89"/>
      <c r="BD643" s="89"/>
    </row>
    <row r="644" spans="1:56" ht="15" customHeight="1" x14ac:dyDescent="0.3">
      <c r="A644" s="101"/>
      <c r="B644" s="89"/>
      <c r="C644" s="89"/>
      <c r="D644" s="89"/>
      <c r="E644" s="89"/>
      <c r="F644" s="89"/>
      <c r="G644" s="89"/>
      <c r="H644" s="89"/>
      <c r="I644" s="89"/>
      <c r="J644" s="89"/>
      <c r="K644" s="89"/>
      <c r="L644" s="89"/>
      <c r="N644" s="89"/>
      <c r="O644" s="89"/>
      <c r="P644" s="89"/>
      <c r="Q644" s="89"/>
      <c r="R644" s="89"/>
      <c r="T644" s="89"/>
      <c r="U644" s="89"/>
      <c r="V644" s="89"/>
      <c r="W644" s="89"/>
      <c r="X644" s="89"/>
      <c r="Y644" s="89"/>
      <c r="Z644" s="89"/>
      <c r="AA644" s="89"/>
      <c r="AB644" s="89"/>
      <c r="AC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89"/>
      <c r="BB644" s="89"/>
      <c r="BC644" s="89"/>
      <c r="BD644" s="89"/>
    </row>
    <row r="645" spans="1:56" ht="15" customHeight="1" x14ac:dyDescent="0.3">
      <c r="A645" s="101"/>
      <c r="B645" s="89"/>
      <c r="C645" s="89"/>
      <c r="D645" s="89"/>
      <c r="E645" s="89"/>
      <c r="F645" s="89"/>
      <c r="G645" s="89"/>
      <c r="H645" s="89"/>
      <c r="I645" s="89"/>
      <c r="J645" s="89"/>
      <c r="K645" s="89"/>
      <c r="L645" s="89"/>
      <c r="N645" s="89"/>
      <c r="O645" s="89"/>
      <c r="P645" s="89"/>
      <c r="Q645" s="89"/>
      <c r="R645" s="89"/>
      <c r="T645" s="89"/>
      <c r="U645" s="89"/>
      <c r="V645" s="89"/>
      <c r="W645" s="89"/>
      <c r="X645" s="89"/>
      <c r="Y645" s="89"/>
      <c r="Z645" s="89"/>
      <c r="AA645" s="89"/>
      <c r="AB645" s="89"/>
      <c r="AC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89"/>
      <c r="BB645" s="89"/>
      <c r="BC645" s="89"/>
      <c r="BD645" s="89"/>
    </row>
    <row r="646" spans="1:56" ht="15" customHeight="1" x14ac:dyDescent="0.3">
      <c r="A646" s="101"/>
      <c r="B646" s="89"/>
      <c r="C646" s="89"/>
      <c r="D646" s="89"/>
      <c r="E646" s="89"/>
      <c r="F646" s="89"/>
      <c r="G646" s="89"/>
      <c r="H646" s="89"/>
      <c r="I646" s="89"/>
      <c r="J646" s="89"/>
      <c r="K646" s="89"/>
      <c r="L646" s="89"/>
      <c r="N646" s="89"/>
      <c r="O646" s="89"/>
      <c r="P646" s="89"/>
      <c r="Q646" s="89"/>
      <c r="R646" s="89"/>
      <c r="T646" s="89"/>
      <c r="U646" s="89"/>
      <c r="V646" s="89"/>
      <c r="W646" s="89"/>
      <c r="X646" s="89"/>
      <c r="Y646" s="89"/>
      <c r="Z646" s="89"/>
      <c r="AA646" s="89"/>
      <c r="AB646" s="89"/>
      <c r="AC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89"/>
      <c r="BB646" s="89"/>
      <c r="BC646" s="89"/>
      <c r="BD646" s="89"/>
    </row>
    <row r="647" spans="1:56" ht="15" customHeight="1" x14ac:dyDescent="0.3">
      <c r="A647" s="101"/>
      <c r="B647" s="89"/>
      <c r="C647" s="89"/>
      <c r="D647" s="89"/>
      <c r="E647" s="89"/>
      <c r="F647" s="89"/>
      <c r="G647" s="89"/>
      <c r="H647" s="89"/>
      <c r="I647" s="89"/>
      <c r="J647" s="89"/>
      <c r="K647" s="89"/>
      <c r="L647" s="89"/>
      <c r="N647" s="89"/>
      <c r="O647" s="89"/>
      <c r="P647" s="89"/>
      <c r="Q647" s="89"/>
      <c r="R647" s="89"/>
      <c r="T647" s="89"/>
      <c r="U647" s="89"/>
      <c r="V647" s="89"/>
      <c r="W647" s="89"/>
      <c r="X647" s="89"/>
      <c r="Y647" s="89"/>
      <c r="Z647" s="89"/>
      <c r="AA647" s="89"/>
      <c r="AB647" s="89"/>
      <c r="AC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89"/>
      <c r="BB647" s="89"/>
      <c r="BC647" s="89"/>
      <c r="BD647" s="89"/>
    </row>
    <row r="648" spans="1:56" ht="15" customHeight="1" x14ac:dyDescent="0.3">
      <c r="A648" s="101"/>
      <c r="B648" s="89"/>
      <c r="C648" s="89"/>
      <c r="D648" s="89"/>
      <c r="E648" s="89"/>
      <c r="F648" s="89"/>
      <c r="G648" s="89"/>
      <c r="H648" s="89"/>
      <c r="I648" s="89"/>
      <c r="J648" s="89"/>
      <c r="K648" s="89"/>
      <c r="L648" s="89"/>
      <c r="N648" s="89"/>
      <c r="O648" s="89"/>
      <c r="P648" s="89"/>
      <c r="Q648" s="89"/>
      <c r="R648" s="89"/>
      <c r="T648" s="89"/>
      <c r="U648" s="89"/>
      <c r="V648" s="89"/>
      <c r="W648" s="89"/>
      <c r="X648" s="89"/>
      <c r="Y648" s="89"/>
      <c r="Z648" s="89"/>
      <c r="AA648" s="89"/>
      <c r="AB648" s="89"/>
      <c r="AC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89"/>
      <c r="BB648" s="89"/>
      <c r="BC648" s="89"/>
      <c r="BD648" s="89"/>
    </row>
    <row r="649" spans="1:56" ht="15" customHeight="1" x14ac:dyDescent="0.3">
      <c r="A649" s="101"/>
      <c r="B649" s="89"/>
      <c r="C649" s="89"/>
      <c r="D649" s="89"/>
      <c r="E649" s="89"/>
      <c r="F649" s="89"/>
      <c r="G649" s="89"/>
      <c r="H649" s="89"/>
      <c r="I649" s="89"/>
      <c r="J649" s="89"/>
      <c r="K649" s="89"/>
      <c r="L649" s="89"/>
      <c r="N649" s="89"/>
      <c r="O649" s="89"/>
      <c r="P649" s="89"/>
      <c r="Q649" s="89"/>
      <c r="R649" s="89"/>
      <c r="T649" s="89"/>
      <c r="U649" s="89"/>
      <c r="V649" s="89"/>
      <c r="W649" s="89"/>
      <c r="X649" s="89"/>
      <c r="Y649" s="89"/>
      <c r="Z649" s="89"/>
      <c r="AA649" s="89"/>
      <c r="AB649" s="89"/>
      <c r="AC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89"/>
      <c r="BB649" s="89"/>
      <c r="BC649" s="89"/>
      <c r="BD649" s="89"/>
    </row>
    <row r="650" spans="1:56" ht="15" customHeight="1" x14ac:dyDescent="0.3">
      <c r="A650" s="101"/>
      <c r="B650" s="89"/>
      <c r="C650" s="89"/>
      <c r="D650" s="89"/>
      <c r="E650" s="89"/>
      <c r="F650" s="89"/>
      <c r="G650" s="89"/>
      <c r="H650" s="89"/>
      <c r="I650" s="89"/>
      <c r="J650" s="89"/>
      <c r="K650" s="89"/>
      <c r="L650" s="89"/>
      <c r="N650" s="89"/>
      <c r="O650" s="89"/>
      <c r="P650" s="89"/>
      <c r="Q650" s="89"/>
      <c r="R650" s="89"/>
      <c r="T650" s="89"/>
      <c r="U650" s="89"/>
      <c r="V650" s="89"/>
      <c r="W650" s="89"/>
      <c r="X650" s="89"/>
      <c r="Y650" s="89"/>
      <c r="Z650" s="89"/>
      <c r="AA650" s="89"/>
      <c r="AB650" s="89"/>
      <c r="AC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89"/>
      <c r="BB650" s="89"/>
      <c r="BC650" s="89"/>
      <c r="BD650" s="89"/>
    </row>
    <row r="651" spans="1:56" ht="15" customHeight="1" x14ac:dyDescent="0.3">
      <c r="A651" s="101"/>
      <c r="B651" s="89"/>
      <c r="C651" s="89"/>
      <c r="D651" s="89"/>
      <c r="E651" s="89"/>
      <c r="F651" s="89"/>
      <c r="G651" s="89"/>
      <c r="H651" s="89"/>
      <c r="I651" s="89"/>
      <c r="J651" s="89"/>
      <c r="K651" s="89"/>
      <c r="L651" s="89"/>
      <c r="N651" s="89"/>
      <c r="O651" s="89"/>
      <c r="P651" s="89"/>
      <c r="Q651" s="89"/>
      <c r="R651" s="89"/>
      <c r="T651" s="89"/>
      <c r="U651" s="89"/>
      <c r="V651" s="89"/>
      <c r="W651" s="89"/>
      <c r="X651" s="89"/>
      <c r="Y651" s="89"/>
      <c r="Z651" s="89"/>
      <c r="AA651" s="89"/>
      <c r="AB651" s="89"/>
      <c r="AC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89"/>
      <c r="BB651" s="89"/>
      <c r="BC651" s="89"/>
      <c r="BD651" s="89"/>
    </row>
    <row r="652" spans="1:56" ht="15" customHeight="1" x14ac:dyDescent="0.3">
      <c r="A652" s="101"/>
      <c r="B652" s="89"/>
      <c r="C652" s="89"/>
      <c r="D652" s="89"/>
      <c r="E652" s="89"/>
      <c r="F652" s="89"/>
      <c r="G652" s="89"/>
      <c r="H652" s="89"/>
      <c r="I652" s="89"/>
      <c r="J652" s="89"/>
      <c r="K652" s="89"/>
      <c r="L652" s="89"/>
      <c r="N652" s="89"/>
      <c r="O652" s="89"/>
      <c r="P652" s="89"/>
      <c r="Q652" s="89"/>
      <c r="R652" s="89"/>
      <c r="T652" s="89"/>
      <c r="U652" s="89"/>
      <c r="V652" s="89"/>
      <c r="W652" s="89"/>
      <c r="X652" s="89"/>
      <c r="Y652" s="89"/>
      <c r="Z652" s="89"/>
      <c r="AA652" s="89"/>
      <c r="AB652" s="89"/>
      <c r="AC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89"/>
      <c r="BB652" s="89"/>
      <c r="BC652" s="89"/>
      <c r="BD652" s="89"/>
    </row>
    <row r="653" spans="1:56" ht="15" customHeight="1" x14ac:dyDescent="0.3">
      <c r="A653" s="101"/>
      <c r="B653" s="89"/>
      <c r="C653" s="89"/>
      <c r="D653" s="89"/>
      <c r="E653" s="89"/>
      <c r="F653" s="89"/>
      <c r="G653" s="89"/>
      <c r="H653" s="89"/>
      <c r="I653" s="89"/>
      <c r="J653" s="89"/>
      <c r="K653" s="89"/>
      <c r="L653" s="89"/>
      <c r="N653" s="89"/>
      <c r="O653" s="89"/>
      <c r="P653" s="89"/>
      <c r="Q653" s="89"/>
      <c r="R653" s="89"/>
      <c r="T653" s="89"/>
      <c r="U653" s="89"/>
      <c r="V653" s="89"/>
      <c r="W653" s="89"/>
      <c r="X653" s="89"/>
      <c r="Y653" s="89"/>
      <c r="Z653" s="89"/>
      <c r="AA653" s="89"/>
      <c r="AB653" s="89"/>
      <c r="AC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89"/>
      <c r="BB653" s="89"/>
      <c r="BC653" s="89"/>
      <c r="BD653" s="89"/>
    </row>
    <row r="654" spans="1:56" ht="15" customHeight="1" x14ac:dyDescent="0.3">
      <c r="A654" s="101"/>
      <c r="B654" s="89"/>
      <c r="C654" s="89"/>
      <c r="D654" s="89"/>
      <c r="E654" s="89"/>
      <c r="F654" s="89"/>
      <c r="G654" s="89"/>
      <c r="H654" s="89"/>
      <c r="I654" s="89"/>
      <c r="J654" s="89"/>
      <c r="K654" s="89"/>
      <c r="L654" s="89"/>
      <c r="N654" s="89"/>
      <c r="O654" s="89"/>
      <c r="P654" s="89"/>
      <c r="Q654" s="89"/>
      <c r="R654" s="89"/>
      <c r="T654" s="89"/>
      <c r="U654" s="89"/>
      <c r="V654" s="89"/>
      <c r="W654" s="89"/>
      <c r="X654" s="89"/>
      <c r="Y654" s="89"/>
      <c r="Z654" s="89"/>
      <c r="AA654" s="89"/>
      <c r="AB654" s="89"/>
      <c r="AC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89"/>
      <c r="BB654" s="89"/>
      <c r="BC654" s="89"/>
      <c r="BD654" s="89"/>
    </row>
    <row r="655" spans="1:56" ht="15" customHeight="1" x14ac:dyDescent="0.3">
      <c r="A655" s="101"/>
      <c r="B655" s="89"/>
      <c r="C655" s="89"/>
      <c r="D655" s="89"/>
      <c r="E655" s="89"/>
      <c r="F655" s="89"/>
      <c r="G655" s="89"/>
      <c r="H655" s="89"/>
      <c r="I655" s="89"/>
      <c r="J655" s="89"/>
      <c r="K655" s="89"/>
      <c r="L655" s="89"/>
      <c r="N655" s="89"/>
      <c r="O655" s="89"/>
      <c r="P655" s="89"/>
      <c r="Q655" s="89"/>
      <c r="R655" s="89"/>
      <c r="T655" s="89"/>
      <c r="U655" s="89"/>
      <c r="V655" s="89"/>
      <c r="W655" s="89"/>
      <c r="X655" s="89"/>
      <c r="Y655" s="89"/>
      <c r="Z655" s="89"/>
      <c r="AA655" s="89"/>
      <c r="AB655" s="89"/>
      <c r="AC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89"/>
      <c r="BB655" s="89"/>
      <c r="BC655" s="89"/>
      <c r="BD655" s="89"/>
    </row>
    <row r="656" spans="1:56" ht="15" customHeight="1" x14ac:dyDescent="0.3">
      <c r="A656" s="101"/>
      <c r="B656" s="89"/>
      <c r="C656" s="89"/>
      <c r="D656" s="89"/>
      <c r="E656" s="89"/>
      <c r="F656" s="89"/>
      <c r="G656" s="89"/>
      <c r="H656" s="89"/>
      <c r="I656" s="89"/>
      <c r="J656" s="89"/>
      <c r="K656" s="89"/>
      <c r="L656" s="89"/>
      <c r="N656" s="89"/>
      <c r="O656" s="89"/>
      <c r="P656" s="89"/>
      <c r="Q656" s="89"/>
      <c r="R656" s="89"/>
      <c r="T656" s="89"/>
      <c r="U656" s="89"/>
      <c r="V656" s="89"/>
      <c r="W656" s="89"/>
      <c r="X656" s="89"/>
      <c r="Y656" s="89"/>
      <c r="Z656" s="89"/>
      <c r="AA656" s="89"/>
      <c r="AB656" s="89"/>
      <c r="AC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89"/>
      <c r="BB656" s="89"/>
      <c r="BC656" s="89"/>
      <c r="BD656" s="89"/>
    </row>
    <row r="657" spans="1:56" ht="15" customHeight="1" x14ac:dyDescent="0.3">
      <c r="A657" s="101"/>
      <c r="B657" s="89"/>
      <c r="C657" s="89"/>
      <c r="D657" s="89"/>
      <c r="E657" s="89"/>
      <c r="F657" s="89"/>
      <c r="G657" s="89"/>
      <c r="H657" s="89"/>
      <c r="I657" s="89"/>
      <c r="J657" s="89"/>
      <c r="K657" s="89"/>
      <c r="L657" s="89"/>
      <c r="N657" s="89"/>
      <c r="O657" s="89"/>
      <c r="P657" s="89"/>
      <c r="Q657" s="89"/>
      <c r="R657" s="89"/>
      <c r="T657" s="89"/>
      <c r="U657" s="89"/>
      <c r="V657" s="89"/>
      <c r="W657" s="89"/>
      <c r="X657" s="89"/>
      <c r="Y657" s="89"/>
      <c r="Z657" s="89"/>
      <c r="AA657" s="89"/>
      <c r="AB657" s="89"/>
      <c r="AC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89"/>
      <c r="BB657" s="89"/>
      <c r="BC657" s="89"/>
      <c r="BD657" s="89"/>
    </row>
    <row r="658" spans="1:56" ht="15" customHeight="1" x14ac:dyDescent="0.3">
      <c r="A658" s="101"/>
      <c r="B658" s="89"/>
      <c r="C658" s="89"/>
      <c r="D658" s="89"/>
      <c r="E658" s="89"/>
      <c r="F658" s="89"/>
      <c r="G658" s="89"/>
      <c r="H658" s="89"/>
      <c r="I658" s="89"/>
      <c r="J658" s="89"/>
      <c r="K658" s="89"/>
      <c r="L658" s="89"/>
      <c r="N658" s="89"/>
      <c r="O658" s="89"/>
      <c r="P658" s="89"/>
      <c r="Q658" s="89"/>
      <c r="R658" s="89"/>
      <c r="T658" s="89"/>
      <c r="U658" s="89"/>
      <c r="V658" s="89"/>
      <c r="W658" s="89"/>
      <c r="X658" s="89"/>
      <c r="Y658" s="89"/>
      <c r="Z658" s="89"/>
      <c r="AA658" s="89"/>
      <c r="AB658" s="89"/>
      <c r="AC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89"/>
      <c r="BB658" s="89"/>
      <c r="BC658" s="89"/>
      <c r="BD658" s="89"/>
    </row>
    <row r="659" spans="1:56" ht="15" customHeight="1" x14ac:dyDescent="0.3">
      <c r="A659" s="101"/>
      <c r="B659" s="89"/>
      <c r="C659" s="89"/>
      <c r="D659" s="89"/>
      <c r="E659" s="89"/>
      <c r="F659" s="89"/>
      <c r="G659" s="89"/>
      <c r="H659" s="89"/>
      <c r="I659" s="89"/>
      <c r="J659" s="89"/>
      <c r="K659" s="89"/>
      <c r="L659" s="89"/>
      <c r="N659" s="89"/>
      <c r="O659" s="89"/>
      <c r="P659" s="89"/>
      <c r="Q659" s="89"/>
      <c r="R659" s="89"/>
      <c r="T659" s="89"/>
      <c r="U659" s="89"/>
      <c r="V659" s="89"/>
      <c r="W659" s="89"/>
      <c r="X659" s="89"/>
      <c r="Y659" s="89"/>
      <c r="Z659" s="89"/>
      <c r="AA659" s="89"/>
      <c r="AB659" s="89"/>
      <c r="AC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89"/>
      <c r="BB659" s="89"/>
      <c r="BC659" s="89"/>
      <c r="BD659" s="89"/>
    </row>
    <row r="660" spans="1:56" ht="15" customHeight="1" x14ac:dyDescent="0.3">
      <c r="A660" s="101"/>
      <c r="B660" s="89"/>
      <c r="C660" s="89"/>
      <c r="D660" s="89"/>
      <c r="E660" s="89"/>
      <c r="F660" s="89"/>
      <c r="G660" s="89"/>
      <c r="H660" s="89"/>
      <c r="I660" s="89"/>
      <c r="J660" s="89"/>
      <c r="K660" s="89"/>
      <c r="L660" s="89"/>
      <c r="N660" s="89"/>
      <c r="O660" s="89"/>
      <c r="P660" s="89"/>
      <c r="Q660" s="89"/>
      <c r="R660" s="89"/>
      <c r="T660" s="89"/>
      <c r="U660" s="89"/>
      <c r="V660" s="89"/>
      <c r="W660" s="89"/>
      <c r="X660" s="89"/>
      <c r="Y660" s="89"/>
      <c r="Z660" s="89"/>
      <c r="AA660" s="89"/>
      <c r="AB660" s="89"/>
      <c r="AC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89"/>
      <c r="BB660" s="89"/>
      <c r="BC660" s="89"/>
      <c r="BD660" s="89"/>
    </row>
    <row r="661" spans="1:56" ht="15" customHeight="1" x14ac:dyDescent="0.3">
      <c r="A661" s="101"/>
      <c r="B661" s="89"/>
      <c r="C661" s="89"/>
      <c r="D661" s="89"/>
      <c r="E661" s="89"/>
      <c r="F661" s="89"/>
      <c r="G661" s="89"/>
      <c r="H661" s="89"/>
      <c r="I661" s="89"/>
      <c r="J661" s="89"/>
      <c r="K661" s="89"/>
      <c r="L661" s="89"/>
      <c r="N661" s="89"/>
      <c r="O661" s="89"/>
      <c r="P661" s="89"/>
      <c r="Q661" s="89"/>
      <c r="R661" s="89"/>
      <c r="T661" s="89"/>
      <c r="U661" s="89"/>
      <c r="V661" s="89"/>
      <c r="W661" s="89"/>
      <c r="X661" s="89"/>
      <c r="Y661" s="89"/>
      <c r="Z661" s="89"/>
      <c r="AA661" s="89"/>
      <c r="AB661" s="89"/>
      <c r="AC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89"/>
      <c r="BB661" s="89"/>
      <c r="BC661" s="89"/>
      <c r="BD661" s="89"/>
    </row>
    <row r="662" spans="1:56" ht="15" customHeight="1" x14ac:dyDescent="0.3">
      <c r="A662" s="101"/>
      <c r="B662" s="89"/>
      <c r="C662" s="89"/>
      <c r="D662" s="89"/>
      <c r="E662" s="89"/>
      <c r="F662" s="89"/>
      <c r="G662" s="89"/>
      <c r="H662" s="89"/>
      <c r="I662" s="89"/>
      <c r="J662" s="89"/>
      <c r="K662" s="89"/>
      <c r="L662" s="89"/>
      <c r="N662" s="89"/>
      <c r="O662" s="89"/>
      <c r="P662" s="89"/>
      <c r="Q662" s="89"/>
      <c r="R662" s="89"/>
      <c r="T662" s="89"/>
      <c r="U662" s="89"/>
      <c r="V662" s="89"/>
      <c r="W662" s="89"/>
      <c r="X662" s="89"/>
      <c r="Y662" s="89"/>
      <c r="Z662" s="89"/>
      <c r="AA662" s="89"/>
      <c r="AB662" s="89"/>
      <c r="AC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89"/>
      <c r="BB662" s="89"/>
      <c r="BC662" s="89"/>
      <c r="BD662" s="89"/>
    </row>
    <row r="663" spans="1:56" ht="15" customHeight="1" x14ac:dyDescent="0.3">
      <c r="A663" s="101"/>
      <c r="B663" s="89"/>
      <c r="C663" s="89"/>
      <c r="D663" s="89"/>
      <c r="E663" s="89"/>
      <c r="F663" s="89"/>
      <c r="G663" s="89"/>
      <c r="H663" s="89"/>
      <c r="I663" s="89"/>
      <c r="J663" s="89"/>
      <c r="K663" s="89"/>
      <c r="L663" s="89"/>
      <c r="N663" s="89"/>
      <c r="O663" s="89"/>
      <c r="P663" s="89"/>
      <c r="Q663" s="89"/>
      <c r="R663" s="89"/>
      <c r="T663" s="89"/>
      <c r="U663" s="89"/>
      <c r="V663" s="89"/>
      <c r="W663" s="89"/>
      <c r="X663" s="89"/>
      <c r="Y663" s="89"/>
      <c r="Z663" s="89"/>
      <c r="AA663" s="89"/>
      <c r="AB663" s="89"/>
      <c r="AC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89"/>
      <c r="BB663" s="89"/>
      <c r="BC663" s="89"/>
      <c r="BD663" s="89"/>
    </row>
    <row r="664" spans="1:56" ht="15" customHeight="1" x14ac:dyDescent="0.3">
      <c r="A664" s="101"/>
      <c r="B664" s="89"/>
      <c r="C664" s="89"/>
      <c r="D664" s="89"/>
      <c r="E664" s="89"/>
      <c r="F664" s="89"/>
      <c r="G664" s="89"/>
      <c r="H664" s="89"/>
      <c r="I664" s="89"/>
      <c r="J664" s="89"/>
      <c r="K664" s="89"/>
      <c r="L664" s="89"/>
      <c r="N664" s="89"/>
      <c r="O664" s="89"/>
      <c r="P664" s="89"/>
      <c r="Q664" s="89"/>
      <c r="R664" s="89"/>
      <c r="T664" s="89"/>
      <c r="U664" s="89"/>
      <c r="V664" s="89"/>
      <c r="W664" s="89"/>
      <c r="X664" s="89"/>
      <c r="Y664" s="89"/>
      <c r="Z664" s="89"/>
      <c r="AA664" s="89"/>
      <c r="AB664" s="89"/>
      <c r="AC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89"/>
      <c r="BB664" s="89"/>
      <c r="BC664" s="89"/>
      <c r="BD664" s="89"/>
    </row>
    <row r="665" spans="1:56" ht="15" customHeight="1" x14ac:dyDescent="0.3">
      <c r="A665" s="101"/>
      <c r="B665" s="89"/>
      <c r="C665" s="89"/>
      <c r="D665" s="89"/>
      <c r="E665" s="89"/>
      <c r="F665" s="89"/>
      <c r="G665" s="89"/>
      <c r="H665" s="89"/>
      <c r="I665" s="89"/>
      <c r="J665" s="89"/>
      <c r="K665" s="89"/>
      <c r="L665" s="89"/>
      <c r="N665" s="89"/>
      <c r="O665" s="89"/>
      <c r="P665" s="89"/>
      <c r="Q665" s="89"/>
      <c r="R665" s="89"/>
      <c r="T665" s="89"/>
      <c r="U665" s="89"/>
      <c r="V665" s="89"/>
      <c r="W665" s="89"/>
      <c r="X665" s="89"/>
      <c r="Y665" s="89"/>
      <c r="Z665" s="89"/>
      <c r="AA665" s="89"/>
      <c r="AB665" s="89"/>
      <c r="AC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89"/>
      <c r="BB665" s="89"/>
      <c r="BC665" s="89"/>
      <c r="BD665" s="89"/>
    </row>
    <row r="666" spans="1:56" ht="15" customHeight="1" x14ac:dyDescent="0.3">
      <c r="A666" s="101"/>
      <c r="B666" s="89"/>
      <c r="C666" s="89"/>
      <c r="D666" s="89"/>
      <c r="E666" s="89"/>
      <c r="F666" s="89"/>
      <c r="G666" s="89"/>
      <c r="H666" s="89"/>
      <c r="I666" s="89"/>
      <c r="J666" s="89"/>
      <c r="K666" s="89"/>
      <c r="L666" s="89"/>
      <c r="N666" s="89"/>
      <c r="O666" s="89"/>
      <c r="P666" s="89"/>
      <c r="Q666" s="89"/>
      <c r="R666" s="89"/>
      <c r="T666" s="89"/>
      <c r="U666" s="89"/>
      <c r="V666" s="89"/>
      <c r="W666" s="89"/>
      <c r="X666" s="89"/>
      <c r="Y666" s="89"/>
      <c r="Z666" s="89"/>
      <c r="AA666" s="89"/>
      <c r="AB666" s="89"/>
      <c r="AC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89"/>
      <c r="BB666" s="89"/>
      <c r="BC666" s="89"/>
      <c r="BD666" s="89"/>
    </row>
    <row r="667" spans="1:56" ht="15" customHeight="1" x14ac:dyDescent="0.3">
      <c r="A667" s="101"/>
      <c r="B667" s="89"/>
      <c r="C667" s="89"/>
      <c r="D667" s="89"/>
      <c r="E667" s="89"/>
      <c r="F667" s="89"/>
      <c r="G667" s="89"/>
      <c r="H667" s="89"/>
      <c r="I667" s="89"/>
      <c r="J667" s="89"/>
      <c r="K667" s="89"/>
      <c r="L667" s="89"/>
      <c r="N667" s="89"/>
      <c r="O667" s="89"/>
      <c r="P667" s="89"/>
      <c r="Q667" s="89"/>
      <c r="R667" s="89"/>
      <c r="T667" s="89"/>
      <c r="U667" s="89"/>
      <c r="V667" s="89"/>
      <c r="W667" s="89"/>
      <c r="X667" s="89"/>
      <c r="Y667" s="89"/>
      <c r="Z667" s="89"/>
      <c r="AA667" s="89"/>
      <c r="AB667" s="89"/>
      <c r="AC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89"/>
      <c r="BB667" s="89"/>
      <c r="BC667" s="89"/>
      <c r="BD667" s="89"/>
    </row>
    <row r="668" spans="1:56" ht="15" customHeight="1" x14ac:dyDescent="0.3">
      <c r="A668" s="101"/>
      <c r="B668" s="89"/>
      <c r="C668" s="89"/>
      <c r="D668" s="89"/>
      <c r="E668" s="89"/>
      <c r="F668" s="89"/>
      <c r="G668" s="89"/>
      <c r="H668" s="89"/>
      <c r="I668" s="89"/>
      <c r="J668" s="89"/>
      <c r="K668" s="89"/>
      <c r="L668" s="89"/>
      <c r="N668" s="89"/>
      <c r="O668" s="89"/>
      <c r="P668" s="89"/>
      <c r="Q668" s="89"/>
      <c r="R668" s="89"/>
      <c r="T668" s="89"/>
      <c r="U668" s="89"/>
      <c r="V668" s="89"/>
      <c r="W668" s="89"/>
      <c r="X668" s="89"/>
      <c r="Y668" s="89"/>
      <c r="Z668" s="89"/>
      <c r="AA668" s="89"/>
      <c r="AB668" s="89"/>
      <c r="AC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89"/>
      <c r="BB668" s="89"/>
      <c r="BC668" s="89"/>
      <c r="BD668" s="89"/>
    </row>
    <row r="669" spans="1:56" ht="15" customHeight="1" x14ac:dyDescent="0.3">
      <c r="A669" s="101"/>
      <c r="B669" s="89"/>
      <c r="C669" s="89"/>
      <c r="D669" s="89"/>
      <c r="E669" s="89"/>
      <c r="F669" s="89"/>
      <c r="G669" s="89"/>
      <c r="H669" s="89"/>
      <c r="I669" s="89"/>
      <c r="J669" s="89"/>
      <c r="K669" s="89"/>
      <c r="L669" s="89"/>
      <c r="N669" s="89"/>
      <c r="O669" s="89"/>
      <c r="P669" s="89"/>
      <c r="Q669" s="89"/>
      <c r="R669" s="89"/>
      <c r="T669" s="89"/>
      <c r="U669" s="89"/>
      <c r="V669" s="89"/>
      <c r="W669" s="89"/>
      <c r="X669" s="89"/>
      <c r="Y669" s="89"/>
      <c r="Z669" s="89"/>
      <c r="AA669" s="89"/>
      <c r="AB669" s="89"/>
      <c r="AC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89"/>
      <c r="BB669" s="89"/>
      <c r="BC669" s="89"/>
      <c r="BD669" s="89"/>
    </row>
    <row r="670" spans="1:56" ht="15" customHeight="1" x14ac:dyDescent="0.3">
      <c r="A670" s="101"/>
      <c r="B670" s="89"/>
      <c r="C670" s="89"/>
      <c r="D670" s="89"/>
      <c r="E670" s="89"/>
      <c r="F670" s="89"/>
      <c r="G670" s="89"/>
      <c r="H670" s="89"/>
      <c r="I670" s="89"/>
      <c r="J670" s="89"/>
      <c r="K670" s="89"/>
      <c r="L670" s="89"/>
      <c r="N670" s="89"/>
      <c r="O670" s="89"/>
      <c r="P670" s="89"/>
      <c r="Q670" s="89"/>
      <c r="R670" s="89"/>
      <c r="T670" s="89"/>
      <c r="U670" s="89"/>
      <c r="V670" s="89"/>
      <c r="W670" s="89"/>
      <c r="X670" s="89"/>
      <c r="Y670" s="89"/>
      <c r="Z670" s="89"/>
      <c r="AA670" s="89"/>
      <c r="AB670" s="89"/>
      <c r="AC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89"/>
      <c r="BB670" s="89"/>
      <c r="BC670" s="89"/>
      <c r="BD670" s="89"/>
    </row>
    <row r="671" spans="1:56" ht="15" customHeight="1" x14ac:dyDescent="0.3">
      <c r="A671" s="101"/>
      <c r="B671" s="89"/>
      <c r="C671" s="89"/>
      <c r="D671" s="89"/>
      <c r="E671" s="89"/>
      <c r="F671" s="89"/>
      <c r="G671" s="89"/>
      <c r="H671" s="89"/>
      <c r="I671" s="89"/>
      <c r="J671" s="89"/>
      <c r="K671" s="89"/>
      <c r="L671" s="89"/>
      <c r="N671" s="89"/>
      <c r="O671" s="89"/>
      <c r="P671" s="89"/>
      <c r="Q671" s="89"/>
      <c r="R671" s="89"/>
      <c r="T671" s="89"/>
      <c r="U671" s="89"/>
      <c r="V671" s="89"/>
      <c r="W671" s="89"/>
      <c r="X671" s="89"/>
      <c r="Y671" s="89"/>
      <c r="Z671" s="89"/>
      <c r="AA671" s="89"/>
      <c r="AB671" s="89"/>
      <c r="AC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89"/>
      <c r="BB671" s="89"/>
      <c r="BC671" s="89"/>
      <c r="BD671" s="89"/>
    </row>
    <row r="672" spans="1:56" ht="15" customHeight="1" x14ac:dyDescent="0.3">
      <c r="A672" s="101"/>
      <c r="B672" s="89"/>
      <c r="C672" s="89"/>
      <c r="D672" s="89"/>
      <c r="E672" s="89"/>
      <c r="F672" s="89"/>
      <c r="G672" s="89"/>
      <c r="H672" s="89"/>
      <c r="I672" s="89"/>
      <c r="J672" s="89"/>
      <c r="K672" s="89"/>
      <c r="L672" s="89"/>
      <c r="N672" s="89"/>
      <c r="O672" s="89"/>
      <c r="P672" s="89"/>
      <c r="Q672" s="89"/>
      <c r="R672" s="89"/>
      <c r="T672" s="89"/>
      <c r="U672" s="89"/>
      <c r="V672" s="89"/>
      <c r="W672" s="89"/>
      <c r="X672" s="89"/>
      <c r="Y672" s="89"/>
      <c r="Z672" s="89"/>
      <c r="AA672" s="89"/>
      <c r="AB672" s="89"/>
      <c r="AC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89"/>
      <c r="BB672" s="89"/>
      <c r="BC672" s="89"/>
      <c r="BD672" s="89"/>
    </row>
    <row r="673" spans="1:56" ht="15" customHeight="1" x14ac:dyDescent="0.3">
      <c r="A673" s="101"/>
      <c r="B673" s="89"/>
      <c r="C673" s="89"/>
      <c r="D673" s="89"/>
      <c r="E673" s="89"/>
      <c r="F673" s="89"/>
      <c r="G673" s="89"/>
      <c r="H673" s="89"/>
      <c r="I673" s="89"/>
      <c r="J673" s="89"/>
      <c r="K673" s="89"/>
      <c r="L673" s="89"/>
      <c r="N673" s="89"/>
      <c r="O673" s="89"/>
      <c r="P673" s="89"/>
      <c r="Q673" s="89"/>
      <c r="R673" s="89"/>
      <c r="T673" s="89"/>
      <c r="U673" s="89"/>
      <c r="V673" s="89"/>
      <c r="W673" s="89"/>
      <c r="X673" s="89"/>
      <c r="Y673" s="89"/>
      <c r="Z673" s="89"/>
      <c r="AA673" s="89"/>
      <c r="AB673" s="89"/>
      <c r="AC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89"/>
      <c r="BB673" s="89"/>
      <c r="BC673" s="89"/>
      <c r="BD673" s="89"/>
    </row>
    <row r="674" spans="1:56" ht="15" customHeight="1" x14ac:dyDescent="0.3">
      <c r="A674" s="101"/>
      <c r="B674" s="89"/>
      <c r="C674" s="89"/>
      <c r="D674" s="89"/>
      <c r="E674" s="89"/>
      <c r="F674" s="89"/>
      <c r="G674" s="89"/>
      <c r="H674" s="89"/>
      <c r="I674" s="89"/>
      <c r="J674" s="89"/>
      <c r="K674" s="89"/>
      <c r="L674" s="89"/>
      <c r="N674" s="89"/>
      <c r="O674" s="89"/>
      <c r="P674" s="89"/>
      <c r="Q674" s="89"/>
      <c r="R674" s="89"/>
      <c r="T674" s="89"/>
      <c r="U674" s="89"/>
      <c r="V674" s="89"/>
      <c r="W674" s="89"/>
      <c r="X674" s="89"/>
      <c r="Y674" s="89"/>
      <c r="Z674" s="89"/>
      <c r="AA674" s="89"/>
      <c r="AB674" s="89"/>
      <c r="AC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89"/>
      <c r="BB674" s="89"/>
      <c r="BC674" s="89"/>
      <c r="BD674" s="89"/>
    </row>
    <row r="675" spans="1:56" ht="15" customHeight="1" x14ac:dyDescent="0.3">
      <c r="A675" s="101"/>
      <c r="B675" s="89"/>
      <c r="C675" s="89"/>
      <c r="D675" s="89"/>
      <c r="E675" s="89"/>
      <c r="F675" s="89"/>
      <c r="G675" s="89"/>
      <c r="H675" s="89"/>
      <c r="I675" s="89"/>
      <c r="J675" s="89"/>
      <c r="K675" s="89"/>
      <c r="L675" s="89"/>
      <c r="N675" s="89"/>
      <c r="O675" s="89"/>
      <c r="P675" s="89"/>
      <c r="Q675" s="89"/>
      <c r="R675" s="89"/>
      <c r="T675" s="89"/>
      <c r="U675" s="89"/>
      <c r="V675" s="89"/>
      <c r="W675" s="89"/>
      <c r="X675" s="89"/>
      <c r="Y675" s="89"/>
      <c r="Z675" s="89"/>
      <c r="AA675" s="89"/>
      <c r="AB675" s="89"/>
      <c r="AC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89"/>
      <c r="BB675" s="89"/>
      <c r="BC675" s="89"/>
      <c r="BD675" s="89"/>
    </row>
    <row r="676" spans="1:56" ht="15" customHeight="1" x14ac:dyDescent="0.3">
      <c r="A676" s="101"/>
      <c r="B676" s="89"/>
      <c r="C676" s="89"/>
      <c r="D676" s="89"/>
      <c r="E676" s="89"/>
      <c r="F676" s="89"/>
      <c r="G676" s="89"/>
      <c r="H676" s="89"/>
      <c r="I676" s="89"/>
      <c r="J676" s="89"/>
      <c r="K676" s="89"/>
      <c r="L676" s="89"/>
      <c r="N676" s="89"/>
      <c r="O676" s="89"/>
      <c r="P676" s="89"/>
      <c r="Q676" s="89"/>
      <c r="R676" s="89"/>
      <c r="T676" s="89"/>
      <c r="U676" s="89"/>
      <c r="V676" s="89"/>
      <c r="W676" s="89"/>
      <c r="X676" s="89"/>
      <c r="Y676" s="89"/>
      <c r="Z676" s="89"/>
      <c r="AA676" s="89"/>
      <c r="AB676" s="89"/>
      <c r="AC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89"/>
      <c r="BB676" s="89"/>
      <c r="BC676" s="89"/>
      <c r="BD676" s="89"/>
    </row>
    <row r="677" spans="1:56" ht="15" customHeight="1" x14ac:dyDescent="0.3">
      <c r="A677" s="101"/>
      <c r="B677" s="89"/>
      <c r="C677" s="89"/>
      <c r="D677" s="89"/>
      <c r="E677" s="89"/>
      <c r="F677" s="89"/>
      <c r="G677" s="89"/>
      <c r="H677" s="89"/>
      <c r="I677" s="89"/>
      <c r="J677" s="89"/>
      <c r="K677" s="89"/>
      <c r="L677" s="89"/>
      <c r="N677" s="89"/>
      <c r="O677" s="89"/>
      <c r="P677" s="89"/>
      <c r="Q677" s="89"/>
      <c r="R677" s="89"/>
      <c r="T677" s="89"/>
      <c r="U677" s="89"/>
      <c r="V677" s="89"/>
      <c r="W677" s="89"/>
      <c r="X677" s="89"/>
      <c r="Y677" s="89"/>
      <c r="Z677" s="89"/>
      <c r="AA677" s="89"/>
      <c r="AB677" s="89"/>
      <c r="AC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89"/>
      <c r="BB677" s="89"/>
      <c r="BC677" s="89"/>
      <c r="BD677" s="89"/>
    </row>
    <row r="678" spans="1:56" ht="15" customHeight="1" x14ac:dyDescent="0.3">
      <c r="A678" s="101"/>
      <c r="B678" s="89"/>
      <c r="C678" s="89"/>
      <c r="D678" s="89"/>
      <c r="E678" s="89"/>
      <c r="F678" s="89"/>
      <c r="G678" s="89"/>
      <c r="H678" s="89"/>
      <c r="I678" s="89"/>
      <c r="J678" s="89"/>
      <c r="K678" s="89"/>
      <c r="L678" s="89"/>
      <c r="N678" s="89"/>
      <c r="O678" s="89"/>
      <c r="P678" s="89"/>
      <c r="Q678" s="89"/>
      <c r="R678" s="89"/>
      <c r="T678" s="89"/>
      <c r="U678" s="89"/>
      <c r="V678" s="89"/>
      <c r="W678" s="89"/>
      <c r="X678" s="89"/>
      <c r="Y678" s="89"/>
      <c r="Z678" s="89"/>
      <c r="AA678" s="89"/>
      <c r="AB678" s="89"/>
      <c r="AC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89"/>
      <c r="BB678" s="89"/>
      <c r="BC678" s="89"/>
      <c r="BD678" s="89"/>
    </row>
    <row r="679" spans="1:56" ht="15" customHeight="1" x14ac:dyDescent="0.3">
      <c r="A679" s="101"/>
      <c r="B679" s="89"/>
      <c r="C679" s="89"/>
      <c r="D679" s="89"/>
      <c r="E679" s="89"/>
      <c r="F679" s="89"/>
      <c r="G679" s="89"/>
      <c r="H679" s="89"/>
      <c r="I679" s="89"/>
      <c r="J679" s="89"/>
      <c r="K679" s="89"/>
      <c r="L679" s="89"/>
      <c r="N679" s="89"/>
      <c r="O679" s="89"/>
      <c r="P679" s="89"/>
      <c r="Q679" s="89"/>
      <c r="R679" s="89"/>
      <c r="T679" s="89"/>
      <c r="U679" s="89"/>
      <c r="V679" s="89"/>
      <c r="W679" s="89"/>
      <c r="X679" s="89"/>
      <c r="Y679" s="89"/>
      <c r="Z679" s="89"/>
      <c r="AA679" s="89"/>
      <c r="AB679" s="89"/>
      <c r="AC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89"/>
      <c r="BB679" s="89"/>
      <c r="BC679" s="89"/>
      <c r="BD679" s="89"/>
    </row>
    <row r="680" spans="1:56" ht="15" customHeight="1" x14ac:dyDescent="0.3">
      <c r="A680" s="101"/>
      <c r="B680" s="89"/>
      <c r="C680" s="89"/>
      <c r="D680" s="89"/>
      <c r="E680" s="89"/>
      <c r="F680" s="89"/>
      <c r="G680" s="89"/>
      <c r="H680" s="89"/>
      <c r="I680" s="89"/>
      <c r="J680" s="89"/>
      <c r="K680" s="89"/>
      <c r="L680" s="89"/>
      <c r="N680" s="89"/>
      <c r="O680" s="89"/>
      <c r="P680" s="89"/>
      <c r="Q680" s="89"/>
      <c r="R680" s="89"/>
      <c r="T680" s="89"/>
      <c r="U680" s="89"/>
      <c r="V680" s="89"/>
      <c r="W680" s="89"/>
      <c r="X680" s="89"/>
      <c r="Y680" s="89"/>
      <c r="Z680" s="89"/>
      <c r="AA680" s="89"/>
      <c r="AB680" s="89"/>
      <c r="AC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89"/>
      <c r="BB680" s="89"/>
      <c r="BC680" s="89"/>
      <c r="BD680" s="89"/>
    </row>
    <row r="681" spans="1:56" ht="15" customHeight="1" x14ac:dyDescent="0.3">
      <c r="A681" s="101"/>
      <c r="B681" s="89"/>
      <c r="C681" s="89"/>
      <c r="D681" s="89"/>
      <c r="E681" s="89"/>
      <c r="F681" s="89"/>
      <c r="G681" s="89"/>
      <c r="H681" s="89"/>
      <c r="I681" s="89"/>
      <c r="J681" s="89"/>
      <c r="K681" s="89"/>
      <c r="L681" s="89"/>
      <c r="N681" s="89"/>
      <c r="O681" s="89"/>
      <c r="P681" s="89"/>
      <c r="Q681" s="89"/>
      <c r="R681" s="89"/>
      <c r="T681" s="89"/>
      <c r="U681" s="89"/>
      <c r="V681" s="89"/>
      <c r="W681" s="89"/>
      <c r="X681" s="89"/>
      <c r="Y681" s="89"/>
      <c r="Z681" s="89"/>
      <c r="AA681" s="89"/>
      <c r="AB681" s="89"/>
      <c r="AC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89"/>
      <c r="BB681" s="89"/>
      <c r="BC681" s="89"/>
      <c r="BD681" s="89"/>
    </row>
    <row r="682" spans="1:56" ht="15" customHeight="1" x14ac:dyDescent="0.3">
      <c r="A682" s="101"/>
      <c r="B682" s="89"/>
      <c r="C682" s="89"/>
      <c r="D682" s="89"/>
      <c r="E682" s="89"/>
      <c r="F682" s="89"/>
      <c r="G682" s="89"/>
      <c r="H682" s="89"/>
      <c r="I682" s="89"/>
      <c r="J682" s="89"/>
      <c r="K682" s="89"/>
      <c r="L682" s="89"/>
      <c r="N682" s="89"/>
      <c r="O682" s="89"/>
      <c r="P682" s="89"/>
      <c r="Q682" s="89"/>
      <c r="R682" s="89"/>
      <c r="T682" s="89"/>
      <c r="U682" s="89"/>
      <c r="V682" s="89"/>
      <c r="W682" s="89"/>
      <c r="X682" s="89"/>
      <c r="Y682" s="89"/>
      <c r="Z682" s="89"/>
      <c r="AA682" s="89"/>
      <c r="AB682" s="89"/>
      <c r="AC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89"/>
      <c r="BB682" s="89"/>
      <c r="BC682" s="89"/>
      <c r="BD682" s="89"/>
    </row>
    <row r="683" spans="1:56" ht="15" customHeight="1" x14ac:dyDescent="0.3">
      <c r="A683" s="101"/>
      <c r="B683" s="89"/>
      <c r="C683" s="89"/>
      <c r="D683" s="89"/>
      <c r="E683" s="89"/>
      <c r="F683" s="89"/>
      <c r="G683" s="89"/>
      <c r="H683" s="89"/>
      <c r="I683" s="89"/>
      <c r="J683" s="89"/>
      <c r="K683" s="89"/>
      <c r="L683" s="89"/>
      <c r="N683" s="89"/>
      <c r="O683" s="89"/>
      <c r="P683" s="89"/>
      <c r="Q683" s="89"/>
      <c r="R683" s="89"/>
      <c r="T683" s="89"/>
      <c r="U683" s="89"/>
      <c r="V683" s="89"/>
      <c r="W683" s="89"/>
      <c r="X683" s="89"/>
      <c r="Y683" s="89"/>
      <c r="Z683" s="89"/>
      <c r="AA683" s="89"/>
      <c r="AB683" s="89"/>
      <c r="AC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89"/>
      <c r="BB683" s="89"/>
      <c r="BC683" s="89"/>
      <c r="BD683" s="89"/>
    </row>
    <row r="684" spans="1:56" ht="15" customHeight="1" x14ac:dyDescent="0.3">
      <c r="A684" s="101"/>
      <c r="B684" s="89"/>
      <c r="C684" s="89"/>
      <c r="D684" s="89"/>
      <c r="E684" s="89"/>
      <c r="F684" s="89"/>
      <c r="G684" s="89"/>
      <c r="H684" s="89"/>
      <c r="I684" s="89"/>
      <c r="J684" s="89"/>
      <c r="K684" s="89"/>
      <c r="L684" s="89"/>
      <c r="N684" s="89"/>
      <c r="O684" s="89"/>
      <c r="P684" s="89"/>
      <c r="Q684" s="89"/>
      <c r="R684" s="89"/>
      <c r="T684" s="89"/>
      <c r="U684" s="89"/>
      <c r="V684" s="89"/>
      <c r="W684" s="89"/>
      <c r="X684" s="89"/>
      <c r="Y684" s="89"/>
      <c r="Z684" s="89"/>
      <c r="AA684" s="89"/>
      <c r="AB684" s="89"/>
      <c r="AC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89"/>
      <c r="BB684" s="89"/>
      <c r="BC684" s="89"/>
      <c r="BD684" s="89"/>
    </row>
    <row r="685" spans="1:56" ht="15" customHeight="1" x14ac:dyDescent="0.3">
      <c r="A685" s="101"/>
      <c r="B685" s="89"/>
      <c r="C685" s="89"/>
      <c r="D685" s="89"/>
      <c r="E685" s="89"/>
      <c r="F685" s="89"/>
      <c r="G685" s="89"/>
      <c r="H685" s="89"/>
      <c r="I685" s="89"/>
      <c r="J685" s="89"/>
      <c r="K685" s="89"/>
      <c r="L685" s="89"/>
      <c r="N685" s="89"/>
      <c r="O685" s="89"/>
      <c r="P685" s="89"/>
      <c r="Q685" s="89"/>
      <c r="R685" s="89"/>
      <c r="T685" s="89"/>
      <c r="U685" s="89"/>
      <c r="V685" s="89"/>
      <c r="W685" s="89"/>
      <c r="X685" s="89"/>
      <c r="Y685" s="89"/>
      <c r="Z685" s="89"/>
      <c r="AA685" s="89"/>
      <c r="AB685" s="89"/>
      <c r="AC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89"/>
      <c r="BB685" s="89"/>
      <c r="BC685" s="89"/>
      <c r="BD685" s="89"/>
    </row>
    <row r="686" spans="1:56" ht="15" customHeight="1" x14ac:dyDescent="0.3">
      <c r="A686" s="101"/>
      <c r="B686" s="89"/>
      <c r="C686" s="89"/>
      <c r="D686" s="89"/>
      <c r="E686" s="89"/>
      <c r="F686" s="89"/>
      <c r="G686" s="89"/>
      <c r="H686" s="89"/>
      <c r="I686" s="89"/>
      <c r="J686" s="89"/>
      <c r="K686" s="89"/>
      <c r="L686" s="89"/>
      <c r="N686" s="89"/>
      <c r="O686" s="89"/>
      <c r="P686" s="89"/>
      <c r="Q686" s="89"/>
      <c r="R686" s="89"/>
      <c r="T686" s="89"/>
      <c r="U686" s="89"/>
      <c r="V686" s="89"/>
      <c r="W686" s="89"/>
      <c r="X686" s="89"/>
      <c r="Y686" s="89"/>
      <c r="Z686" s="89"/>
      <c r="AA686" s="89"/>
      <c r="AB686" s="89"/>
      <c r="AC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89"/>
      <c r="BB686" s="89"/>
      <c r="BC686" s="89"/>
      <c r="BD686" s="89"/>
    </row>
    <row r="687" spans="1:56" ht="15" customHeight="1" x14ac:dyDescent="0.3">
      <c r="A687" s="101"/>
      <c r="B687" s="89"/>
      <c r="C687" s="89"/>
      <c r="D687" s="89"/>
      <c r="E687" s="89"/>
      <c r="F687" s="89"/>
      <c r="G687" s="89"/>
      <c r="H687" s="89"/>
      <c r="I687" s="89"/>
      <c r="J687" s="89"/>
      <c r="K687" s="89"/>
      <c r="L687" s="89"/>
      <c r="N687" s="89"/>
      <c r="O687" s="89"/>
      <c r="P687" s="89"/>
      <c r="Q687" s="89"/>
      <c r="R687" s="89"/>
      <c r="T687" s="89"/>
      <c r="U687" s="89"/>
      <c r="V687" s="89"/>
      <c r="W687" s="89"/>
      <c r="X687" s="89"/>
      <c r="Y687" s="89"/>
      <c r="Z687" s="89"/>
      <c r="AA687" s="89"/>
      <c r="AB687" s="89"/>
      <c r="AC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89"/>
      <c r="BB687" s="89"/>
      <c r="BC687" s="89"/>
      <c r="BD687" s="89"/>
    </row>
    <row r="688" spans="1:56" ht="15" customHeight="1" x14ac:dyDescent="0.3">
      <c r="A688" s="101"/>
      <c r="B688" s="89"/>
      <c r="C688" s="89"/>
      <c r="D688" s="89"/>
      <c r="E688" s="89"/>
      <c r="F688" s="89"/>
      <c r="G688" s="89"/>
      <c r="H688" s="89"/>
      <c r="I688" s="89"/>
      <c r="J688" s="89"/>
      <c r="K688" s="89"/>
      <c r="L688" s="89"/>
      <c r="N688" s="89"/>
      <c r="O688" s="89"/>
      <c r="P688" s="89"/>
      <c r="Q688" s="89"/>
      <c r="R688" s="89"/>
      <c r="T688" s="89"/>
      <c r="U688" s="89"/>
      <c r="V688" s="89"/>
      <c r="W688" s="89"/>
      <c r="X688" s="89"/>
      <c r="Y688" s="89"/>
      <c r="Z688" s="89"/>
      <c r="AA688" s="89"/>
      <c r="AB688" s="89"/>
      <c r="AC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89"/>
      <c r="BB688" s="89"/>
      <c r="BC688" s="89"/>
      <c r="BD688" s="89"/>
    </row>
    <row r="689" spans="1:56" ht="15" customHeight="1" x14ac:dyDescent="0.3">
      <c r="A689" s="101"/>
      <c r="B689" s="89"/>
      <c r="C689" s="89"/>
      <c r="D689" s="89"/>
      <c r="E689" s="89"/>
      <c r="F689" s="89"/>
      <c r="G689" s="89"/>
      <c r="H689" s="89"/>
      <c r="I689" s="89"/>
      <c r="J689" s="89"/>
      <c r="K689" s="89"/>
      <c r="L689" s="89"/>
      <c r="N689" s="89"/>
      <c r="O689" s="89"/>
      <c r="P689" s="89"/>
      <c r="Q689" s="89"/>
      <c r="R689" s="89"/>
      <c r="T689" s="89"/>
      <c r="U689" s="89"/>
      <c r="V689" s="89"/>
      <c r="W689" s="89"/>
      <c r="X689" s="89"/>
      <c r="Y689" s="89"/>
      <c r="Z689" s="89"/>
      <c r="AA689" s="89"/>
      <c r="AB689" s="89"/>
      <c r="AC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89"/>
      <c r="BB689" s="89"/>
      <c r="BC689" s="89"/>
      <c r="BD689" s="89"/>
    </row>
    <row r="690" spans="1:56" ht="15" customHeight="1" x14ac:dyDescent="0.3">
      <c r="A690" s="101"/>
      <c r="B690" s="89"/>
      <c r="C690" s="89"/>
      <c r="D690" s="89"/>
      <c r="E690" s="89"/>
      <c r="F690" s="89"/>
      <c r="G690" s="89"/>
      <c r="H690" s="89"/>
      <c r="I690" s="89"/>
      <c r="J690" s="89"/>
      <c r="K690" s="89"/>
      <c r="L690" s="89"/>
      <c r="N690" s="89"/>
      <c r="O690" s="89"/>
      <c r="P690" s="89"/>
      <c r="Q690" s="89"/>
      <c r="R690" s="89"/>
      <c r="T690" s="89"/>
      <c r="U690" s="89"/>
      <c r="V690" s="89"/>
      <c r="W690" s="89"/>
      <c r="X690" s="89"/>
      <c r="Y690" s="89"/>
      <c r="Z690" s="89"/>
      <c r="AA690" s="89"/>
      <c r="AB690" s="89"/>
      <c r="AC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89"/>
      <c r="BB690" s="89"/>
      <c r="BC690" s="89"/>
      <c r="BD690" s="89"/>
    </row>
    <row r="691" spans="1:56" ht="15" customHeight="1" x14ac:dyDescent="0.3">
      <c r="A691" s="101"/>
      <c r="B691" s="89"/>
      <c r="C691" s="89"/>
      <c r="D691" s="89"/>
      <c r="E691" s="89"/>
      <c r="F691" s="89"/>
      <c r="G691" s="89"/>
      <c r="H691" s="89"/>
      <c r="I691" s="89"/>
      <c r="J691" s="89"/>
      <c r="K691" s="89"/>
      <c r="L691" s="89"/>
      <c r="N691" s="89"/>
      <c r="O691" s="89"/>
      <c r="P691" s="89"/>
      <c r="Q691" s="89"/>
      <c r="R691" s="89"/>
      <c r="T691" s="89"/>
      <c r="U691" s="89"/>
      <c r="V691" s="89"/>
      <c r="W691" s="89"/>
      <c r="X691" s="89"/>
      <c r="Y691" s="89"/>
      <c r="Z691" s="89"/>
      <c r="AA691" s="89"/>
      <c r="AB691" s="89"/>
      <c r="AC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89"/>
      <c r="BB691" s="89"/>
      <c r="BC691" s="89"/>
      <c r="BD691" s="89"/>
    </row>
    <row r="692" spans="1:56" ht="15" customHeight="1" x14ac:dyDescent="0.3">
      <c r="A692" s="101"/>
      <c r="B692" s="89"/>
      <c r="C692" s="89"/>
      <c r="D692" s="89"/>
      <c r="E692" s="89"/>
      <c r="F692" s="89"/>
      <c r="G692" s="89"/>
      <c r="H692" s="89"/>
      <c r="I692" s="89"/>
      <c r="J692" s="89"/>
      <c r="K692" s="89"/>
      <c r="L692" s="89"/>
      <c r="N692" s="89"/>
      <c r="O692" s="89"/>
      <c r="P692" s="89"/>
      <c r="Q692" s="89"/>
      <c r="R692" s="89"/>
      <c r="T692" s="89"/>
      <c r="U692" s="89"/>
      <c r="V692" s="89"/>
      <c r="W692" s="89"/>
      <c r="X692" s="89"/>
      <c r="Y692" s="89"/>
      <c r="Z692" s="89"/>
      <c r="AA692" s="89"/>
      <c r="AB692" s="89"/>
      <c r="AC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89"/>
      <c r="BB692" s="89"/>
      <c r="BC692" s="89"/>
      <c r="BD692" s="89"/>
    </row>
    <row r="693" spans="1:56" ht="15" customHeight="1" x14ac:dyDescent="0.3">
      <c r="A693" s="101"/>
      <c r="B693" s="89"/>
      <c r="C693" s="89"/>
      <c r="D693" s="89"/>
      <c r="E693" s="89"/>
      <c r="F693" s="89"/>
      <c r="G693" s="89"/>
      <c r="H693" s="89"/>
      <c r="I693" s="89"/>
      <c r="J693" s="89"/>
      <c r="K693" s="89"/>
      <c r="L693" s="89"/>
      <c r="N693" s="89"/>
      <c r="O693" s="89"/>
      <c r="P693" s="89"/>
      <c r="Q693" s="89"/>
      <c r="R693" s="89"/>
      <c r="T693" s="89"/>
      <c r="U693" s="89"/>
      <c r="V693" s="89"/>
      <c r="W693" s="89"/>
      <c r="X693" s="89"/>
      <c r="Y693" s="89"/>
      <c r="Z693" s="89"/>
      <c r="AA693" s="89"/>
      <c r="AB693" s="89"/>
      <c r="AC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89"/>
      <c r="BB693" s="89"/>
      <c r="BC693" s="89"/>
      <c r="BD693" s="89"/>
    </row>
    <row r="694" spans="1:56" ht="15" customHeight="1" x14ac:dyDescent="0.3">
      <c r="A694" s="101"/>
      <c r="B694" s="89"/>
      <c r="C694" s="89"/>
      <c r="D694" s="89"/>
      <c r="E694" s="89"/>
      <c r="F694" s="89"/>
      <c r="G694" s="89"/>
      <c r="H694" s="89"/>
      <c r="I694" s="89"/>
      <c r="J694" s="89"/>
      <c r="K694" s="89"/>
      <c r="L694" s="89"/>
      <c r="N694" s="89"/>
      <c r="O694" s="89"/>
      <c r="P694" s="89"/>
      <c r="Q694" s="89"/>
      <c r="R694" s="89"/>
      <c r="T694" s="89"/>
      <c r="U694" s="89"/>
      <c r="V694" s="89"/>
      <c r="W694" s="89"/>
      <c r="X694" s="89"/>
      <c r="Y694" s="89"/>
      <c r="Z694" s="89"/>
      <c r="AA694" s="89"/>
      <c r="AB694" s="89"/>
      <c r="AC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89"/>
      <c r="BB694" s="89"/>
      <c r="BC694" s="89"/>
      <c r="BD694" s="89"/>
    </row>
    <row r="695" spans="1:56" ht="15" customHeight="1" x14ac:dyDescent="0.3">
      <c r="A695" s="101"/>
      <c r="B695" s="89"/>
      <c r="C695" s="89"/>
      <c r="D695" s="89"/>
      <c r="E695" s="89"/>
      <c r="F695" s="89"/>
      <c r="G695" s="89"/>
      <c r="H695" s="89"/>
      <c r="I695" s="89"/>
      <c r="J695" s="89"/>
      <c r="K695" s="89"/>
      <c r="L695" s="89"/>
      <c r="N695" s="89"/>
      <c r="O695" s="89"/>
      <c r="P695" s="89"/>
      <c r="Q695" s="89"/>
      <c r="R695" s="89"/>
      <c r="T695" s="89"/>
      <c r="U695" s="89"/>
      <c r="V695" s="89"/>
      <c r="W695" s="89"/>
      <c r="X695" s="89"/>
      <c r="Y695" s="89"/>
      <c r="Z695" s="89"/>
      <c r="AA695" s="89"/>
      <c r="AB695" s="89"/>
      <c r="AC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89"/>
      <c r="BB695" s="89"/>
      <c r="BC695" s="89"/>
      <c r="BD695" s="89"/>
    </row>
    <row r="696" spans="1:56" ht="15" customHeight="1" x14ac:dyDescent="0.3">
      <c r="A696" s="101"/>
      <c r="B696" s="89"/>
      <c r="C696" s="89"/>
      <c r="D696" s="89"/>
      <c r="E696" s="89"/>
      <c r="F696" s="89"/>
      <c r="G696" s="89"/>
      <c r="H696" s="89"/>
      <c r="I696" s="89"/>
      <c r="J696" s="89"/>
      <c r="K696" s="89"/>
      <c r="L696" s="89"/>
      <c r="N696" s="89"/>
      <c r="O696" s="89"/>
      <c r="P696" s="89"/>
      <c r="Q696" s="89"/>
      <c r="R696" s="89"/>
      <c r="T696" s="89"/>
      <c r="U696" s="89"/>
      <c r="V696" s="89"/>
      <c r="W696" s="89"/>
      <c r="X696" s="89"/>
      <c r="Y696" s="89"/>
      <c r="Z696" s="89"/>
      <c r="AA696" s="89"/>
      <c r="AB696" s="89"/>
      <c r="AC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89"/>
      <c r="BB696" s="89"/>
      <c r="BC696" s="89"/>
      <c r="BD696" s="89"/>
    </row>
    <row r="697" spans="1:56" ht="15" customHeight="1" x14ac:dyDescent="0.3">
      <c r="A697" s="101"/>
      <c r="B697" s="89"/>
      <c r="C697" s="89"/>
      <c r="D697" s="89"/>
      <c r="E697" s="89"/>
      <c r="F697" s="89"/>
      <c r="G697" s="89"/>
      <c r="H697" s="89"/>
      <c r="I697" s="89"/>
      <c r="J697" s="89"/>
      <c r="K697" s="89"/>
      <c r="L697" s="89"/>
      <c r="N697" s="89"/>
      <c r="O697" s="89"/>
      <c r="P697" s="89"/>
      <c r="Q697" s="89"/>
      <c r="R697" s="89"/>
      <c r="T697" s="89"/>
      <c r="U697" s="89"/>
      <c r="V697" s="89"/>
      <c r="W697" s="89"/>
      <c r="X697" s="89"/>
      <c r="Y697" s="89"/>
      <c r="Z697" s="89"/>
      <c r="AA697" s="89"/>
      <c r="AB697" s="89"/>
      <c r="AC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89"/>
      <c r="BB697" s="89"/>
      <c r="BC697" s="89"/>
      <c r="BD697" s="89"/>
    </row>
    <row r="698" spans="1:56" ht="15" customHeight="1" x14ac:dyDescent="0.3">
      <c r="A698" s="101"/>
      <c r="B698" s="89"/>
      <c r="C698" s="89"/>
      <c r="D698" s="89"/>
      <c r="E698" s="89"/>
      <c r="F698" s="89"/>
      <c r="G698" s="89"/>
      <c r="H698" s="89"/>
      <c r="I698" s="89"/>
      <c r="J698" s="89"/>
      <c r="K698" s="89"/>
      <c r="L698" s="89"/>
      <c r="N698" s="89"/>
      <c r="O698" s="89"/>
      <c r="P698" s="89"/>
      <c r="Q698" s="89"/>
      <c r="R698" s="89"/>
      <c r="T698" s="89"/>
      <c r="U698" s="89"/>
      <c r="V698" s="89"/>
      <c r="W698" s="89"/>
      <c r="X698" s="89"/>
      <c r="Y698" s="89"/>
      <c r="Z698" s="89"/>
      <c r="AA698" s="89"/>
      <c r="AB698" s="89"/>
      <c r="AC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89"/>
      <c r="BB698" s="89"/>
      <c r="BC698" s="89"/>
      <c r="BD698" s="89"/>
    </row>
    <row r="699" spans="1:56" ht="15" customHeight="1" x14ac:dyDescent="0.3">
      <c r="A699" s="101"/>
      <c r="B699" s="89"/>
      <c r="C699" s="89"/>
      <c r="D699" s="89"/>
      <c r="E699" s="89"/>
      <c r="F699" s="89"/>
      <c r="G699" s="89"/>
      <c r="H699" s="89"/>
      <c r="I699" s="89"/>
      <c r="J699" s="89"/>
      <c r="K699" s="89"/>
      <c r="L699" s="89"/>
      <c r="N699" s="89"/>
      <c r="O699" s="89"/>
      <c r="P699" s="89"/>
      <c r="Q699" s="89"/>
      <c r="R699" s="89"/>
      <c r="T699" s="89"/>
      <c r="U699" s="89"/>
      <c r="V699" s="89"/>
      <c r="W699" s="89"/>
      <c r="X699" s="89"/>
      <c r="Y699" s="89"/>
      <c r="Z699" s="89"/>
      <c r="AA699" s="89"/>
      <c r="AB699" s="89"/>
      <c r="AC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89"/>
      <c r="BB699" s="89"/>
      <c r="BC699" s="89"/>
      <c r="BD699" s="89"/>
    </row>
    <row r="700" spans="1:56" ht="15" customHeight="1" x14ac:dyDescent="0.3">
      <c r="A700" s="101"/>
      <c r="B700" s="89"/>
      <c r="C700" s="89"/>
      <c r="D700" s="89"/>
      <c r="E700" s="89"/>
      <c r="F700" s="89"/>
      <c r="G700" s="89"/>
      <c r="H700" s="89"/>
      <c r="I700" s="89"/>
      <c r="J700" s="89"/>
      <c r="K700" s="89"/>
      <c r="L700" s="89"/>
      <c r="N700" s="89"/>
      <c r="O700" s="89"/>
      <c r="P700" s="89"/>
      <c r="Q700" s="89"/>
      <c r="R700" s="89"/>
      <c r="T700" s="89"/>
      <c r="U700" s="89"/>
      <c r="V700" s="89"/>
      <c r="W700" s="89"/>
      <c r="X700" s="89"/>
      <c r="Y700" s="89"/>
      <c r="Z700" s="89"/>
      <c r="AA700" s="89"/>
      <c r="AB700" s="89"/>
      <c r="AC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89"/>
      <c r="BB700" s="89"/>
      <c r="BC700" s="89"/>
      <c r="BD700" s="89"/>
    </row>
    <row r="701" spans="1:56" ht="15" customHeight="1" x14ac:dyDescent="0.3">
      <c r="A701" s="101"/>
      <c r="B701" s="89"/>
      <c r="C701" s="89"/>
      <c r="D701" s="89"/>
      <c r="E701" s="89"/>
      <c r="F701" s="89"/>
      <c r="G701" s="89"/>
      <c r="H701" s="89"/>
      <c r="I701" s="89"/>
      <c r="J701" s="89"/>
      <c r="K701" s="89"/>
      <c r="L701" s="89"/>
      <c r="N701" s="89"/>
      <c r="O701" s="89"/>
      <c r="P701" s="89"/>
      <c r="Q701" s="89"/>
      <c r="R701" s="89"/>
      <c r="T701" s="89"/>
      <c r="U701" s="89"/>
      <c r="V701" s="89"/>
      <c r="W701" s="89"/>
      <c r="X701" s="89"/>
      <c r="Y701" s="89"/>
      <c r="Z701" s="89"/>
      <c r="AA701" s="89"/>
      <c r="AB701" s="89"/>
      <c r="AC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89"/>
      <c r="BB701" s="89"/>
      <c r="BC701" s="89"/>
      <c r="BD701" s="89"/>
    </row>
    <row r="702" spans="1:56" ht="15" customHeight="1" x14ac:dyDescent="0.3">
      <c r="A702" s="101"/>
      <c r="B702" s="89"/>
      <c r="C702" s="89"/>
      <c r="D702" s="89"/>
      <c r="E702" s="89"/>
      <c r="F702" s="89"/>
      <c r="G702" s="89"/>
      <c r="H702" s="89"/>
      <c r="I702" s="89"/>
      <c r="J702" s="89"/>
      <c r="K702" s="89"/>
      <c r="L702" s="89"/>
      <c r="N702" s="89"/>
      <c r="O702" s="89"/>
      <c r="P702" s="89"/>
      <c r="Q702" s="89"/>
      <c r="R702" s="89"/>
      <c r="T702" s="89"/>
      <c r="U702" s="89"/>
      <c r="V702" s="89"/>
      <c r="W702" s="89"/>
      <c r="X702" s="89"/>
      <c r="Y702" s="89"/>
      <c r="Z702" s="89"/>
      <c r="AA702" s="89"/>
      <c r="AB702" s="89"/>
      <c r="AC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89"/>
      <c r="BB702" s="89"/>
      <c r="BC702" s="89"/>
      <c r="BD702" s="89"/>
    </row>
    <row r="703" spans="1:56" ht="15" customHeight="1" x14ac:dyDescent="0.3">
      <c r="A703" s="101"/>
      <c r="B703" s="89"/>
      <c r="C703" s="89"/>
      <c r="D703" s="89"/>
      <c r="E703" s="89"/>
      <c r="F703" s="89"/>
      <c r="G703" s="89"/>
      <c r="H703" s="89"/>
      <c r="I703" s="89"/>
      <c r="J703" s="89"/>
      <c r="K703" s="89"/>
      <c r="L703" s="89"/>
      <c r="N703" s="89"/>
      <c r="O703" s="89"/>
      <c r="P703" s="89"/>
      <c r="Q703" s="89"/>
      <c r="R703" s="89"/>
      <c r="T703" s="89"/>
      <c r="U703" s="89"/>
      <c r="V703" s="89"/>
      <c r="W703" s="89"/>
      <c r="X703" s="89"/>
      <c r="Y703" s="89"/>
      <c r="Z703" s="89"/>
      <c r="AA703" s="89"/>
      <c r="AB703" s="89"/>
      <c r="AC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89"/>
      <c r="BB703" s="89"/>
      <c r="BC703" s="89"/>
      <c r="BD703" s="89"/>
    </row>
    <row r="704" spans="1:56" ht="15" customHeight="1" x14ac:dyDescent="0.3">
      <c r="A704" s="101"/>
      <c r="B704" s="89"/>
      <c r="C704" s="89"/>
      <c r="D704" s="89"/>
      <c r="E704" s="89"/>
      <c r="F704" s="89"/>
      <c r="G704" s="89"/>
      <c r="H704" s="89"/>
      <c r="I704" s="89"/>
      <c r="J704" s="89"/>
      <c r="K704" s="89"/>
      <c r="L704" s="89"/>
      <c r="N704" s="89"/>
      <c r="O704" s="89"/>
      <c r="P704" s="89"/>
      <c r="Q704" s="89"/>
      <c r="R704" s="89"/>
      <c r="T704" s="89"/>
      <c r="U704" s="89"/>
      <c r="V704" s="89"/>
      <c r="W704" s="89"/>
      <c r="X704" s="89"/>
      <c r="Y704" s="89"/>
      <c r="Z704" s="89"/>
      <c r="AA704" s="89"/>
      <c r="AB704" s="89"/>
      <c r="AC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89"/>
      <c r="BB704" s="89"/>
      <c r="BC704" s="89"/>
      <c r="BD704" s="89"/>
    </row>
    <row r="705" spans="1:56" ht="15" customHeight="1" x14ac:dyDescent="0.3">
      <c r="A705" s="101"/>
      <c r="B705" s="89"/>
      <c r="C705" s="89"/>
      <c r="D705" s="89"/>
      <c r="E705" s="89"/>
      <c r="F705" s="89"/>
      <c r="G705" s="89"/>
      <c r="H705" s="89"/>
      <c r="I705" s="89"/>
      <c r="J705" s="89"/>
      <c r="K705" s="89"/>
      <c r="L705" s="89"/>
      <c r="N705" s="89"/>
      <c r="O705" s="89"/>
      <c r="P705" s="89"/>
      <c r="Q705" s="89"/>
      <c r="R705" s="89"/>
      <c r="T705" s="89"/>
      <c r="U705" s="89"/>
      <c r="V705" s="89"/>
      <c r="W705" s="89"/>
      <c r="X705" s="89"/>
      <c r="Y705" s="89"/>
      <c r="Z705" s="89"/>
      <c r="AA705" s="89"/>
      <c r="AB705" s="89"/>
      <c r="AC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89"/>
      <c r="BB705" s="89"/>
      <c r="BC705" s="89"/>
      <c r="BD705" s="89"/>
    </row>
    <row r="706" spans="1:56" ht="15" customHeight="1" x14ac:dyDescent="0.3">
      <c r="A706" s="101"/>
      <c r="B706" s="89"/>
      <c r="C706" s="89"/>
      <c r="D706" s="89"/>
      <c r="E706" s="89"/>
      <c r="F706" s="89"/>
      <c r="G706" s="89"/>
      <c r="H706" s="89"/>
      <c r="I706" s="89"/>
      <c r="J706" s="89"/>
      <c r="K706" s="89"/>
      <c r="L706" s="89"/>
      <c r="N706" s="89"/>
      <c r="O706" s="89"/>
      <c r="P706" s="89"/>
      <c r="Q706" s="89"/>
      <c r="R706" s="89"/>
      <c r="T706" s="89"/>
      <c r="U706" s="89"/>
      <c r="V706" s="89"/>
      <c r="W706" s="89"/>
      <c r="X706" s="89"/>
      <c r="Y706" s="89"/>
      <c r="Z706" s="89"/>
      <c r="AA706" s="89"/>
      <c r="AB706" s="89"/>
      <c r="AC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89"/>
      <c r="BB706" s="89"/>
      <c r="BC706" s="89"/>
      <c r="BD706" s="89"/>
    </row>
    <row r="707" spans="1:56" ht="15" customHeight="1" x14ac:dyDescent="0.3">
      <c r="A707" s="101"/>
      <c r="B707" s="89"/>
      <c r="C707" s="89"/>
      <c r="D707" s="89"/>
      <c r="E707" s="89"/>
      <c r="F707" s="89"/>
      <c r="G707" s="89"/>
      <c r="H707" s="89"/>
      <c r="I707" s="89"/>
      <c r="J707" s="89"/>
      <c r="K707" s="89"/>
      <c r="L707" s="89"/>
      <c r="N707" s="89"/>
      <c r="O707" s="89"/>
      <c r="P707" s="89"/>
      <c r="Q707" s="89"/>
      <c r="R707" s="89"/>
      <c r="T707" s="89"/>
      <c r="U707" s="89"/>
      <c r="V707" s="89"/>
      <c r="W707" s="89"/>
      <c r="X707" s="89"/>
      <c r="Y707" s="89"/>
      <c r="Z707" s="89"/>
      <c r="AA707" s="89"/>
      <c r="AB707" s="89"/>
      <c r="AC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89"/>
      <c r="BB707" s="89"/>
      <c r="BC707" s="89"/>
      <c r="BD707" s="89"/>
    </row>
    <row r="708" spans="1:56" ht="15" customHeight="1" x14ac:dyDescent="0.3">
      <c r="A708" s="101"/>
      <c r="B708" s="89"/>
      <c r="C708" s="89"/>
      <c r="D708" s="89"/>
      <c r="E708" s="89"/>
      <c r="F708" s="89"/>
      <c r="G708" s="89"/>
      <c r="H708" s="89"/>
      <c r="I708" s="89"/>
      <c r="J708" s="89"/>
      <c r="K708" s="89"/>
      <c r="L708" s="89"/>
      <c r="N708" s="89"/>
      <c r="O708" s="89"/>
      <c r="P708" s="89"/>
      <c r="Q708" s="89"/>
      <c r="R708" s="89"/>
      <c r="T708" s="89"/>
      <c r="U708" s="89"/>
      <c r="V708" s="89"/>
      <c r="W708" s="89"/>
      <c r="X708" s="89"/>
      <c r="Y708" s="89"/>
      <c r="Z708" s="89"/>
      <c r="AA708" s="89"/>
      <c r="AB708" s="89"/>
      <c r="AC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89"/>
      <c r="BB708" s="89"/>
      <c r="BC708" s="89"/>
      <c r="BD708" s="89"/>
    </row>
    <row r="709" spans="1:56" ht="15" customHeight="1" x14ac:dyDescent="0.3">
      <c r="A709" s="101"/>
      <c r="B709" s="89"/>
      <c r="C709" s="89"/>
      <c r="D709" s="89"/>
      <c r="E709" s="89"/>
      <c r="F709" s="89"/>
      <c r="G709" s="89"/>
      <c r="H709" s="89"/>
      <c r="I709" s="89"/>
      <c r="J709" s="89"/>
      <c r="K709" s="89"/>
      <c r="L709" s="89"/>
      <c r="N709" s="89"/>
      <c r="O709" s="89"/>
      <c r="P709" s="89"/>
      <c r="Q709" s="89"/>
      <c r="R709" s="89"/>
      <c r="T709" s="89"/>
      <c r="U709" s="89"/>
      <c r="V709" s="89"/>
      <c r="W709" s="89"/>
      <c r="X709" s="89"/>
      <c r="Y709" s="89"/>
      <c r="Z709" s="89"/>
      <c r="AA709" s="89"/>
      <c r="AB709" s="89"/>
      <c r="AC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89"/>
      <c r="BB709" s="89"/>
      <c r="BC709" s="89"/>
      <c r="BD709" s="89"/>
    </row>
    <row r="710" spans="1:56" ht="15" customHeight="1" x14ac:dyDescent="0.3">
      <c r="A710" s="101"/>
      <c r="B710" s="89"/>
      <c r="C710" s="89"/>
      <c r="D710" s="89"/>
      <c r="E710" s="89"/>
      <c r="F710" s="89"/>
      <c r="G710" s="89"/>
      <c r="H710" s="89"/>
      <c r="I710" s="89"/>
      <c r="J710" s="89"/>
      <c r="K710" s="89"/>
      <c r="L710" s="89"/>
      <c r="N710" s="89"/>
      <c r="O710" s="89"/>
      <c r="P710" s="89"/>
      <c r="Q710" s="89"/>
      <c r="R710" s="89"/>
      <c r="T710" s="89"/>
      <c r="U710" s="89"/>
      <c r="V710" s="89"/>
      <c r="W710" s="89"/>
      <c r="X710" s="89"/>
      <c r="Y710" s="89"/>
      <c r="Z710" s="89"/>
      <c r="AA710" s="89"/>
      <c r="AB710" s="89"/>
      <c r="AC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89"/>
      <c r="BB710" s="89"/>
      <c r="BC710" s="89"/>
      <c r="BD710" s="89"/>
    </row>
    <row r="711" spans="1:56" ht="15" customHeight="1" x14ac:dyDescent="0.3">
      <c r="A711" s="101"/>
      <c r="B711" s="89"/>
      <c r="C711" s="89"/>
      <c r="D711" s="89"/>
      <c r="E711" s="89"/>
      <c r="F711" s="89"/>
      <c r="G711" s="89"/>
      <c r="H711" s="89"/>
      <c r="I711" s="89"/>
      <c r="J711" s="89"/>
      <c r="K711" s="89"/>
      <c r="L711" s="89"/>
      <c r="N711" s="89"/>
      <c r="O711" s="89"/>
      <c r="P711" s="89"/>
      <c r="Q711" s="89"/>
      <c r="R711" s="89"/>
      <c r="T711" s="89"/>
      <c r="U711" s="89"/>
      <c r="V711" s="89"/>
      <c r="W711" s="89"/>
      <c r="X711" s="89"/>
      <c r="Y711" s="89"/>
      <c r="Z711" s="89"/>
      <c r="AA711" s="89"/>
      <c r="AB711" s="89"/>
      <c r="AC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89"/>
      <c r="BB711" s="89"/>
      <c r="BC711" s="89"/>
      <c r="BD711" s="89"/>
    </row>
    <row r="712" spans="1:56" ht="15" customHeight="1" x14ac:dyDescent="0.3">
      <c r="A712" s="101"/>
      <c r="B712" s="89"/>
      <c r="C712" s="89"/>
      <c r="D712" s="89"/>
      <c r="E712" s="89"/>
      <c r="F712" s="89"/>
      <c r="G712" s="89"/>
      <c r="H712" s="89"/>
      <c r="I712" s="89"/>
      <c r="J712" s="89"/>
      <c r="K712" s="89"/>
      <c r="L712" s="89"/>
      <c r="N712" s="89"/>
      <c r="O712" s="89"/>
      <c r="P712" s="89"/>
      <c r="Q712" s="89"/>
      <c r="R712" s="89"/>
      <c r="T712" s="89"/>
      <c r="U712" s="89"/>
      <c r="V712" s="89"/>
      <c r="W712" s="89"/>
      <c r="X712" s="89"/>
      <c r="Y712" s="89"/>
      <c r="Z712" s="89"/>
      <c r="AA712" s="89"/>
      <c r="AB712" s="89"/>
      <c r="AC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89"/>
      <c r="BB712" s="89"/>
      <c r="BC712" s="89"/>
      <c r="BD712" s="89"/>
    </row>
    <row r="713" spans="1:56" ht="15" customHeight="1" x14ac:dyDescent="0.3">
      <c r="A713" s="101"/>
      <c r="B713" s="89"/>
      <c r="C713" s="89"/>
      <c r="D713" s="89"/>
      <c r="E713" s="89"/>
      <c r="F713" s="89"/>
      <c r="G713" s="89"/>
      <c r="H713" s="89"/>
      <c r="I713" s="89"/>
      <c r="J713" s="89"/>
      <c r="K713" s="89"/>
      <c r="L713" s="89"/>
      <c r="N713" s="89"/>
      <c r="O713" s="89"/>
      <c r="P713" s="89"/>
      <c r="Q713" s="89"/>
      <c r="R713" s="89"/>
      <c r="T713" s="89"/>
      <c r="U713" s="89"/>
      <c r="V713" s="89"/>
      <c r="W713" s="89"/>
      <c r="X713" s="89"/>
      <c r="Y713" s="89"/>
      <c r="Z713" s="89"/>
      <c r="AA713" s="89"/>
      <c r="AB713" s="89"/>
      <c r="AC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89"/>
      <c r="BB713" s="89"/>
      <c r="BC713" s="89"/>
      <c r="BD713" s="89"/>
    </row>
    <row r="714" spans="1:56" ht="15" customHeight="1" x14ac:dyDescent="0.3">
      <c r="A714" s="101"/>
      <c r="B714" s="89"/>
      <c r="C714" s="89"/>
      <c r="D714" s="89"/>
      <c r="E714" s="89"/>
      <c r="F714" s="89"/>
      <c r="G714" s="89"/>
      <c r="H714" s="89"/>
      <c r="I714" s="89"/>
      <c r="J714" s="89"/>
      <c r="K714" s="89"/>
      <c r="L714" s="89"/>
      <c r="N714" s="89"/>
      <c r="O714" s="89"/>
      <c r="P714" s="89"/>
      <c r="Q714" s="89"/>
      <c r="R714" s="89"/>
      <c r="T714" s="89"/>
      <c r="U714" s="89"/>
      <c r="V714" s="89"/>
      <c r="W714" s="89"/>
      <c r="X714" s="89"/>
      <c r="Y714" s="89"/>
      <c r="Z714" s="89"/>
      <c r="AA714" s="89"/>
      <c r="AB714" s="89"/>
      <c r="AC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89"/>
      <c r="BB714" s="89"/>
      <c r="BC714" s="89"/>
      <c r="BD714" s="89"/>
    </row>
    <row r="715" spans="1:56" ht="15" customHeight="1" x14ac:dyDescent="0.3">
      <c r="A715" s="101"/>
      <c r="B715" s="89"/>
      <c r="C715" s="89"/>
      <c r="D715" s="89"/>
      <c r="E715" s="89"/>
      <c r="F715" s="89"/>
      <c r="G715" s="89"/>
      <c r="H715" s="89"/>
      <c r="I715" s="89"/>
      <c r="J715" s="89"/>
      <c r="K715" s="89"/>
      <c r="L715" s="89"/>
      <c r="N715" s="89"/>
      <c r="O715" s="89"/>
      <c r="P715" s="89"/>
      <c r="Q715" s="89"/>
      <c r="R715" s="89"/>
      <c r="T715" s="89"/>
      <c r="U715" s="89"/>
      <c r="V715" s="89"/>
      <c r="W715" s="89"/>
      <c r="X715" s="89"/>
      <c r="Y715" s="89"/>
      <c r="Z715" s="89"/>
      <c r="AA715" s="89"/>
      <c r="AB715" s="89"/>
      <c r="AC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89"/>
      <c r="BB715" s="89"/>
      <c r="BC715" s="89"/>
      <c r="BD715" s="89"/>
    </row>
    <row r="716" spans="1:56" ht="15" customHeight="1" x14ac:dyDescent="0.3">
      <c r="A716" s="101"/>
      <c r="B716" s="89"/>
      <c r="C716" s="89"/>
      <c r="D716" s="89"/>
      <c r="E716" s="89"/>
      <c r="F716" s="89"/>
      <c r="G716" s="89"/>
      <c r="H716" s="89"/>
      <c r="I716" s="89"/>
      <c r="J716" s="89"/>
      <c r="K716" s="89"/>
      <c r="L716" s="89"/>
      <c r="N716" s="89"/>
      <c r="O716" s="89"/>
      <c r="P716" s="89"/>
      <c r="Q716" s="89"/>
      <c r="R716" s="89"/>
      <c r="T716" s="89"/>
      <c r="U716" s="89"/>
      <c r="V716" s="89"/>
      <c r="W716" s="89"/>
      <c r="X716" s="89"/>
      <c r="Y716" s="89"/>
      <c r="Z716" s="89"/>
      <c r="AA716" s="89"/>
      <c r="AB716" s="89"/>
      <c r="AC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89"/>
      <c r="BB716" s="89"/>
      <c r="BC716" s="89"/>
      <c r="BD716" s="89"/>
    </row>
    <row r="717" spans="1:56" ht="15" customHeight="1" x14ac:dyDescent="0.3">
      <c r="A717" s="101"/>
      <c r="B717" s="89"/>
      <c r="C717" s="89"/>
      <c r="D717" s="89"/>
      <c r="E717" s="89"/>
      <c r="F717" s="89"/>
      <c r="G717" s="89"/>
      <c r="H717" s="89"/>
      <c r="I717" s="89"/>
      <c r="J717" s="89"/>
      <c r="K717" s="89"/>
      <c r="L717" s="89"/>
      <c r="N717" s="89"/>
      <c r="O717" s="89"/>
      <c r="P717" s="89"/>
      <c r="Q717" s="89"/>
      <c r="R717" s="89"/>
      <c r="T717" s="89"/>
      <c r="U717" s="89"/>
      <c r="V717" s="89"/>
      <c r="W717" s="89"/>
      <c r="X717" s="89"/>
      <c r="Y717" s="89"/>
      <c r="Z717" s="89"/>
      <c r="AA717" s="89"/>
      <c r="AB717" s="89"/>
      <c r="AC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89"/>
      <c r="BB717" s="89"/>
      <c r="BC717" s="89"/>
      <c r="BD717" s="89"/>
    </row>
    <row r="718" spans="1:56" ht="15" customHeight="1" x14ac:dyDescent="0.3">
      <c r="A718" s="101"/>
      <c r="B718" s="89"/>
      <c r="C718" s="89"/>
      <c r="D718" s="89"/>
      <c r="E718" s="89"/>
      <c r="F718" s="89"/>
      <c r="G718" s="89"/>
      <c r="H718" s="89"/>
      <c r="I718" s="89"/>
      <c r="J718" s="89"/>
      <c r="K718" s="89"/>
      <c r="L718" s="89"/>
      <c r="N718" s="89"/>
      <c r="O718" s="89"/>
      <c r="P718" s="89"/>
      <c r="Q718" s="89"/>
      <c r="R718" s="89"/>
      <c r="T718" s="89"/>
      <c r="U718" s="89"/>
      <c r="V718" s="89"/>
      <c r="W718" s="89"/>
      <c r="X718" s="89"/>
      <c r="Y718" s="89"/>
      <c r="Z718" s="89"/>
      <c r="AA718" s="89"/>
      <c r="AB718" s="89"/>
      <c r="AC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89"/>
      <c r="BB718" s="89"/>
      <c r="BC718" s="89"/>
      <c r="BD718" s="89"/>
    </row>
    <row r="719" spans="1:56" ht="15" customHeight="1" x14ac:dyDescent="0.3">
      <c r="A719" s="101"/>
      <c r="B719" s="89"/>
      <c r="C719" s="89"/>
      <c r="D719" s="89"/>
      <c r="E719" s="89"/>
      <c r="F719" s="89"/>
      <c r="G719" s="89"/>
      <c r="H719" s="89"/>
      <c r="I719" s="89"/>
      <c r="J719" s="89"/>
      <c r="K719" s="89"/>
      <c r="L719" s="89"/>
      <c r="N719" s="89"/>
      <c r="O719" s="89"/>
      <c r="P719" s="89"/>
      <c r="Q719" s="89"/>
      <c r="R719" s="89"/>
      <c r="T719" s="89"/>
      <c r="U719" s="89"/>
      <c r="V719" s="89"/>
      <c r="W719" s="89"/>
      <c r="X719" s="89"/>
      <c r="Y719" s="89"/>
      <c r="Z719" s="89"/>
      <c r="AA719" s="89"/>
      <c r="AB719" s="89"/>
      <c r="AC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89"/>
      <c r="BB719" s="89"/>
      <c r="BC719" s="89"/>
      <c r="BD719" s="89"/>
    </row>
    <row r="720" spans="1:56" ht="15" customHeight="1" x14ac:dyDescent="0.3">
      <c r="A720" s="101"/>
      <c r="B720" s="89"/>
      <c r="C720" s="89"/>
      <c r="D720" s="89"/>
      <c r="E720" s="89"/>
      <c r="F720" s="89"/>
      <c r="G720" s="89"/>
      <c r="H720" s="89"/>
      <c r="I720" s="89"/>
      <c r="J720" s="89"/>
      <c r="K720" s="89"/>
      <c r="L720" s="89"/>
      <c r="N720" s="89"/>
      <c r="O720" s="89"/>
      <c r="P720" s="89"/>
      <c r="Q720" s="89"/>
      <c r="R720" s="89"/>
      <c r="T720" s="89"/>
      <c r="U720" s="89"/>
      <c r="V720" s="89"/>
      <c r="W720" s="89"/>
      <c r="X720" s="89"/>
      <c r="Y720" s="89"/>
      <c r="Z720" s="89"/>
      <c r="AA720" s="89"/>
      <c r="AB720" s="89"/>
      <c r="AC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89"/>
      <c r="BB720" s="89"/>
      <c r="BC720" s="89"/>
      <c r="BD720" s="89"/>
    </row>
    <row r="721" spans="1:56" ht="15" customHeight="1" x14ac:dyDescent="0.3">
      <c r="A721" s="101"/>
      <c r="B721" s="89"/>
      <c r="C721" s="89"/>
      <c r="D721" s="89"/>
      <c r="E721" s="89"/>
      <c r="F721" s="89"/>
      <c r="G721" s="89"/>
      <c r="H721" s="89"/>
      <c r="I721" s="89"/>
      <c r="J721" s="89"/>
      <c r="K721" s="89"/>
      <c r="L721" s="89"/>
      <c r="N721" s="89"/>
      <c r="O721" s="89"/>
      <c r="P721" s="89"/>
      <c r="Q721" s="89"/>
      <c r="R721" s="89"/>
      <c r="T721" s="89"/>
      <c r="U721" s="89"/>
      <c r="V721" s="89"/>
      <c r="W721" s="89"/>
      <c r="X721" s="89"/>
      <c r="Y721" s="89"/>
      <c r="Z721" s="89"/>
      <c r="AA721" s="89"/>
      <c r="AB721" s="89"/>
      <c r="AC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89"/>
      <c r="BB721" s="89"/>
      <c r="BC721" s="89"/>
      <c r="BD721" s="89"/>
    </row>
    <row r="722" spans="1:56" ht="15" customHeight="1" x14ac:dyDescent="0.3">
      <c r="A722" s="101"/>
      <c r="B722" s="89"/>
      <c r="C722" s="89"/>
      <c r="D722" s="89"/>
      <c r="E722" s="89"/>
      <c r="F722" s="89"/>
      <c r="G722" s="89"/>
      <c r="H722" s="89"/>
      <c r="I722" s="89"/>
      <c r="J722" s="89"/>
      <c r="K722" s="89"/>
      <c r="L722" s="89"/>
      <c r="N722" s="89"/>
      <c r="O722" s="89"/>
      <c r="P722" s="89"/>
      <c r="Q722" s="89"/>
      <c r="R722" s="89"/>
      <c r="T722" s="89"/>
      <c r="U722" s="89"/>
      <c r="V722" s="89"/>
      <c r="W722" s="89"/>
      <c r="X722" s="89"/>
      <c r="Y722" s="89"/>
      <c r="Z722" s="89"/>
      <c r="AA722" s="89"/>
      <c r="AB722" s="89"/>
      <c r="AC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89"/>
      <c r="BB722" s="89"/>
      <c r="BC722" s="89"/>
      <c r="BD722" s="89"/>
    </row>
    <row r="723" spans="1:56" ht="15" customHeight="1" x14ac:dyDescent="0.3">
      <c r="A723" s="101"/>
      <c r="B723" s="89"/>
      <c r="C723" s="89"/>
      <c r="D723" s="89"/>
      <c r="E723" s="89"/>
      <c r="F723" s="89"/>
      <c r="G723" s="89"/>
      <c r="H723" s="89"/>
      <c r="I723" s="89"/>
      <c r="J723" s="89"/>
      <c r="K723" s="89"/>
      <c r="L723" s="89"/>
      <c r="N723" s="89"/>
      <c r="O723" s="89"/>
      <c r="P723" s="89"/>
      <c r="Q723" s="89"/>
      <c r="R723" s="89"/>
      <c r="T723" s="89"/>
      <c r="U723" s="89"/>
      <c r="V723" s="89"/>
      <c r="W723" s="89"/>
      <c r="X723" s="89"/>
      <c r="Y723" s="89"/>
      <c r="Z723" s="89"/>
      <c r="AA723" s="89"/>
      <c r="AB723" s="89"/>
      <c r="AC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89"/>
      <c r="BB723" s="89"/>
      <c r="BC723" s="89"/>
      <c r="BD723" s="89"/>
    </row>
    <row r="724" spans="1:56" ht="15" customHeight="1" x14ac:dyDescent="0.3">
      <c r="A724" s="101"/>
      <c r="B724" s="89"/>
      <c r="C724" s="89"/>
      <c r="D724" s="89"/>
      <c r="E724" s="89"/>
      <c r="F724" s="89"/>
      <c r="G724" s="89"/>
      <c r="H724" s="89"/>
      <c r="I724" s="89"/>
      <c r="J724" s="89"/>
      <c r="K724" s="89"/>
      <c r="L724" s="89"/>
      <c r="N724" s="89"/>
      <c r="O724" s="89"/>
      <c r="P724" s="89"/>
      <c r="Q724" s="89"/>
      <c r="R724" s="89"/>
      <c r="T724" s="89"/>
      <c r="U724" s="89"/>
      <c r="V724" s="89"/>
      <c r="W724" s="89"/>
      <c r="X724" s="89"/>
      <c r="Y724" s="89"/>
      <c r="Z724" s="89"/>
      <c r="AA724" s="89"/>
      <c r="AB724" s="89"/>
      <c r="AC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89"/>
      <c r="BB724" s="89"/>
      <c r="BC724" s="89"/>
      <c r="BD724" s="89"/>
    </row>
    <row r="725" spans="1:56" ht="15" customHeight="1" x14ac:dyDescent="0.3">
      <c r="A725" s="101"/>
      <c r="B725" s="89"/>
      <c r="C725" s="89"/>
      <c r="D725" s="89"/>
      <c r="E725" s="89"/>
      <c r="F725" s="89"/>
      <c r="G725" s="89"/>
      <c r="H725" s="89"/>
      <c r="I725" s="89"/>
      <c r="J725" s="89"/>
      <c r="K725" s="89"/>
      <c r="L725" s="89"/>
      <c r="N725" s="89"/>
      <c r="O725" s="89"/>
      <c r="P725" s="89"/>
      <c r="Q725" s="89"/>
      <c r="R725" s="89"/>
      <c r="T725" s="89"/>
      <c r="U725" s="89"/>
      <c r="V725" s="89"/>
      <c r="W725" s="89"/>
      <c r="X725" s="89"/>
      <c r="Y725" s="89"/>
      <c r="Z725" s="89"/>
      <c r="AA725" s="89"/>
      <c r="AB725" s="89"/>
      <c r="AC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89"/>
      <c r="BB725" s="89"/>
      <c r="BC725" s="89"/>
      <c r="BD725" s="89"/>
    </row>
    <row r="726" spans="1:56" ht="15" customHeight="1" x14ac:dyDescent="0.3">
      <c r="A726" s="101"/>
      <c r="B726" s="89"/>
      <c r="C726" s="89"/>
      <c r="D726" s="89"/>
      <c r="E726" s="89"/>
      <c r="F726" s="89"/>
      <c r="G726" s="89"/>
      <c r="H726" s="89"/>
      <c r="I726" s="89"/>
      <c r="J726" s="89"/>
      <c r="K726" s="89"/>
      <c r="L726" s="89"/>
      <c r="N726" s="89"/>
      <c r="O726" s="89"/>
      <c r="P726" s="89"/>
      <c r="Q726" s="89"/>
      <c r="R726" s="89"/>
      <c r="T726" s="89"/>
      <c r="U726" s="89"/>
      <c r="V726" s="89"/>
      <c r="W726" s="89"/>
      <c r="X726" s="89"/>
      <c r="Y726" s="89"/>
      <c r="Z726" s="89"/>
      <c r="AA726" s="89"/>
      <c r="AB726" s="89"/>
      <c r="AC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89"/>
      <c r="BB726" s="89"/>
      <c r="BC726" s="89"/>
      <c r="BD726" s="89"/>
    </row>
    <row r="727" spans="1:56" ht="15" customHeight="1" x14ac:dyDescent="0.3">
      <c r="A727" s="101"/>
      <c r="B727" s="89"/>
      <c r="C727" s="89"/>
      <c r="D727" s="89"/>
      <c r="E727" s="89"/>
      <c r="F727" s="89"/>
      <c r="G727" s="89"/>
      <c r="H727" s="89"/>
      <c r="I727" s="89"/>
      <c r="J727" s="89"/>
      <c r="K727" s="89"/>
      <c r="L727" s="89"/>
      <c r="N727" s="89"/>
      <c r="O727" s="89"/>
      <c r="P727" s="89"/>
      <c r="Q727" s="89"/>
      <c r="R727" s="89"/>
      <c r="T727" s="89"/>
      <c r="U727" s="89"/>
      <c r="V727" s="89"/>
      <c r="W727" s="89"/>
      <c r="X727" s="89"/>
      <c r="Y727" s="89"/>
      <c r="Z727" s="89"/>
      <c r="AA727" s="89"/>
      <c r="AB727" s="89"/>
      <c r="AC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89"/>
      <c r="BB727" s="89"/>
      <c r="BC727" s="89"/>
      <c r="BD727" s="89"/>
    </row>
    <row r="728" spans="1:56" ht="15" customHeight="1" x14ac:dyDescent="0.3">
      <c r="A728" s="101"/>
      <c r="B728" s="89"/>
      <c r="C728" s="89"/>
      <c r="D728" s="89"/>
      <c r="E728" s="89"/>
      <c r="F728" s="89"/>
      <c r="G728" s="89"/>
      <c r="H728" s="89"/>
      <c r="I728" s="89"/>
      <c r="J728" s="89"/>
      <c r="K728" s="89"/>
      <c r="L728" s="89"/>
      <c r="N728" s="89"/>
      <c r="O728" s="89"/>
      <c r="P728" s="89"/>
      <c r="Q728" s="89"/>
      <c r="R728" s="89"/>
      <c r="T728" s="89"/>
      <c r="U728" s="89"/>
      <c r="V728" s="89"/>
      <c r="W728" s="89"/>
      <c r="X728" s="89"/>
      <c r="Y728" s="89"/>
      <c r="Z728" s="89"/>
      <c r="AA728" s="89"/>
      <c r="AB728" s="89"/>
      <c r="AC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89"/>
      <c r="BB728" s="89"/>
      <c r="BC728" s="89"/>
      <c r="BD728" s="89"/>
    </row>
    <row r="729" spans="1:56" ht="15" customHeight="1" x14ac:dyDescent="0.3">
      <c r="A729" s="101"/>
      <c r="B729" s="89"/>
      <c r="C729" s="89"/>
      <c r="D729" s="89"/>
      <c r="E729" s="89"/>
      <c r="F729" s="89"/>
      <c r="G729" s="89"/>
      <c r="H729" s="89"/>
      <c r="I729" s="89"/>
      <c r="J729" s="89"/>
      <c r="K729" s="89"/>
      <c r="L729" s="89"/>
      <c r="N729" s="89"/>
      <c r="O729" s="89"/>
      <c r="P729" s="89"/>
      <c r="Q729" s="89"/>
      <c r="R729" s="89"/>
      <c r="T729" s="89"/>
      <c r="U729" s="89"/>
      <c r="V729" s="89"/>
      <c r="W729" s="89"/>
      <c r="X729" s="89"/>
      <c r="Y729" s="89"/>
      <c r="Z729" s="89"/>
      <c r="AA729" s="89"/>
      <c r="AB729" s="89"/>
      <c r="AC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89"/>
      <c r="BB729" s="89"/>
      <c r="BC729" s="89"/>
      <c r="BD729" s="89"/>
    </row>
    <row r="730" spans="1:56" ht="15" customHeight="1" x14ac:dyDescent="0.3">
      <c r="A730" s="101"/>
      <c r="B730" s="89"/>
      <c r="C730" s="89"/>
      <c r="D730" s="89"/>
      <c r="E730" s="89"/>
      <c r="F730" s="89"/>
      <c r="G730" s="89"/>
      <c r="H730" s="89"/>
      <c r="I730" s="89"/>
      <c r="J730" s="89"/>
      <c r="K730" s="89"/>
      <c r="L730" s="89"/>
      <c r="N730" s="89"/>
      <c r="O730" s="89"/>
      <c r="P730" s="89"/>
      <c r="Q730" s="89"/>
      <c r="R730" s="89"/>
      <c r="T730" s="89"/>
      <c r="U730" s="89"/>
      <c r="V730" s="89"/>
      <c r="W730" s="89"/>
      <c r="X730" s="89"/>
      <c r="Y730" s="89"/>
      <c r="Z730" s="89"/>
      <c r="AA730" s="89"/>
      <c r="AB730" s="89"/>
      <c r="AC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89"/>
      <c r="BB730" s="89"/>
      <c r="BC730" s="89"/>
      <c r="BD730" s="89"/>
    </row>
    <row r="731" spans="1:56" ht="15" customHeight="1" x14ac:dyDescent="0.3">
      <c r="A731" s="101"/>
      <c r="B731" s="89"/>
      <c r="C731" s="89"/>
      <c r="D731" s="89"/>
      <c r="E731" s="89"/>
      <c r="F731" s="89"/>
      <c r="G731" s="89"/>
      <c r="H731" s="89"/>
      <c r="I731" s="89"/>
      <c r="J731" s="89"/>
      <c r="K731" s="89"/>
      <c r="L731" s="89"/>
      <c r="N731" s="89"/>
      <c r="O731" s="89"/>
      <c r="P731" s="89"/>
      <c r="Q731" s="89"/>
      <c r="R731" s="89"/>
      <c r="T731" s="89"/>
      <c r="U731" s="89"/>
      <c r="V731" s="89"/>
      <c r="W731" s="89"/>
      <c r="X731" s="89"/>
      <c r="Y731" s="89"/>
      <c r="Z731" s="89"/>
      <c r="AA731" s="89"/>
      <c r="AB731" s="89"/>
      <c r="AC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89"/>
      <c r="BB731" s="89"/>
      <c r="BC731" s="89"/>
      <c r="BD731" s="89"/>
    </row>
    <row r="732" spans="1:56" ht="15" customHeight="1" x14ac:dyDescent="0.3">
      <c r="A732" s="101"/>
      <c r="B732" s="89"/>
      <c r="C732" s="89"/>
      <c r="D732" s="89"/>
      <c r="E732" s="89"/>
      <c r="F732" s="89"/>
      <c r="G732" s="89"/>
      <c r="H732" s="89"/>
      <c r="I732" s="89"/>
      <c r="J732" s="89"/>
      <c r="K732" s="89"/>
      <c r="L732" s="89"/>
      <c r="N732" s="89"/>
      <c r="O732" s="89"/>
      <c r="P732" s="89"/>
      <c r="Q732" s="89"/>
      <c r="R732" s="89"/>
      <c r="T732" s="89"/>
      <c r="U732" s="89"/>
      <c r="V732" s="89"/>
      <c r="W732" s="89"/>
      <c r="X732" s="89"/>
      <c r="Y732" s="89"/>
      <c r="Z732" s="89"/>
      <c r="AA732" s="89"/>
      <c r="AB732" s="89"/>
      <c r="AC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89"/>
      <c r="BB732" s="89"/>
      <c r="BC732" s="89"/>
      <c r="BD732" s="89"/>
    </row>
    <row r="733" spans="1:56" ht="15" customHeight="1" x14ac:dyDescent="0.3">
      <c r="A733" s="101"/>
      <c r="B733" s="89"/>
      <c r="C733" s="89"/>
      <c r="D733" s="89"/>
      <c r="E733" s="89"/>
      <c r="F733" s="89"/>
      <c r="G733" s="89"/>
      <c r="H733" s="89"/>
      <c r="I733" s="89"/>
      <c r="J733" s="89"/>
      <c r="K733" s="89"/>
      <c r="L733" s="89"/>
      <c r="N733" s="89"/>
      <c r="O733" s="89"/>
      <c r="P733" s="89"/>
      <c r="Q733" s="89"/>
      <c r="R733" s="89"/>
      <c r="T733" s="89"/>
      <c r="U733" s="89"/>
      <c r="V733" s="89"/>
      <c r="W733" s="89"/>
      <c r="X733" s="89"/>
      <c r="Y733" s="89"/>
      <c r="Z733" s="89"/>
      <c r="AA733" s="89"/>
      <c r="AB733" s="89"/>
      <c r="AC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89"/>
      <c r="BB733" s="89"/>
      <c r="BC733" s="89"/>
      <c r="BD733" s="89"/>
    </row>
    <row r="734" spans="1:56" ht="15" customHeight="1" x14ac:dyDescent="0.3">
      <c r="A734" s="101"/>
      <c r="B734" s="89"/>
      <c r="C734" s="89"/>
      <c r="D734" s="89"/>
      <c r="E734" s="89"/>
      <c r="F734" s="89"/>
      <c r="G734" s="89"/>
      <c r="H734" s="89"/>
      <c r="I734" s="89"/>
      <c r="J734" s="89"/>
      <c r="K734" s="89"/>
      <c r="L734" s="89"/>
      <c r="N734" s="89"/>
      <c r="O734" s="89"/>
      <c r="P734" s="89"/>
      <c r="Q734" s="89"/>
      <c r="R734" s="89"/>
      <c r="T734" s="89"/>
      <c r="U734" s="89"/>
      <c r="V734" s="89"/>
      <c r="W734" s="89"/>
      <c r="X734" s="89"/>
      <c r="Y734" s="89"/>
      <c r="Z734" s="89"/>
      <c r="AA734" s="89"/>
      <c r="AB734" s="89"/>
      <c r="AC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89"/>
      <c r="BB734" s="89"/>
      <c r="BC734" s="89"/>
      <c r="BD734" s="89"/>
    </row>
    <row r="735" spans="1:56" ht="15" customHeight="1" x14ac:dyDescent="0.3">
      <c r="A735" s="101"/>
      <c r="B735" s="89"/>
      <c r="C735" s="89"/>
      <c r="D735" s="89"/>
      <c r="E735" s="89"/>
      <c r="F735" s="89"/>
      <c r="G735" s="89"/>
      <c r="H735" s="89"/>
      <c r="I735" s="89"/>
      <c r="J735" s="89"/>
      <c r="K735" s="89"/>
      <c r="L735" s="89"/>
      <c r="N735" s="89"/>
      <c r="O735" s="89"/>
      <c r="P735" s="89"/>
      <c r="Q735" s="89"/>
      <c r="R735" s="89"/>
      <c r="T735" s="89"/>
      <c r="U735" s="89"/>
      <c r="V735" s="89"/>
      <c r="W735" s="89"/>
      <c r="X735" s="89"/>
      <c r="Y735" s="89"/>
      <c r="Z735" s="89"/>
      <c r="AA735" s="89"/>
      <c r="AB735" s="89"/>
      <c r="AC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89"/>
      <c r="BB735" s="89"/>
      <c r="BC735" s="89"/>
      <c r="BD735" s="89"/>
    </row>
    <row r="736" spans="1:56" ht="15" customHeight="1" x14ac:dyDescent="0.3">
      <c r="A736" s="101"/>
      <c r="B736" s="89"/>
      <c r="C736" s="89"/>
      <c r="D736" s="89"/>
      <c r="E736" s="89"/>
      <c r="F736" s="89"/>
      <c r="G736" s="89"/>
      <c r="H736" s="89"/>
      <c r="I736" s="89"/>
      <c r="J736" s="89"/>
      <c r="K736" s="89"/>
      <c r="L736" s="89"/>
      <c r="N736" s="89"/>
      <c r="O736" s="89"/>
      <c r="P736" s="89"/>
      <c r="Q736" s="89"/>
      <c r="R736" s="89"/>
      <c r="T736" s="89"/>
      <c r="U736" s="89"/>
      <c r="V736" s="89"/>
      <c r="W736" s="89"/>
      <c r="X736" s="89"/>
      <c r="Y736" s="89"/>
      <c r="Z736" s="89"/>
      <c r="AA736" s="89"/>
      <c r="AB736" s="89"/>
      <c r="AC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89"/>
      <c r="BB736" s="89"/>
      <c r="BC736" s="89"/>
      <c r="BD736" s="89"/>
    </row>
    <row r="737" spans="1:56" ht="15" customHeight="1" x14ac:dyDescent="0.3">
      <c r="A737" s="101"/>
      <c r="B737" s="89"/>
      <c r="C737" s="89"/>
      <c r="D737" s="89"/>
      <c r="E737" s="89"/>
      <c r="F737" s="89"/>
      <c r="G737" s="89"/>
      <c r="H737" s="89"/>
      <c r="I737" s="89"/>
      <c r="J737" s="89"/>
      <c r="K737" s="89"/>
      <c r="L737" s="89"/>
      <c r="N737" s="89"/>
      <c r="O737" s="89"/>
      <c r="P737" s="89"/>
      <c r="Q737" s="89"/>
      <c r="R737" s="89"/>
      <c r="T737" s="89"/>
      <c r="U737" s="89"/>
      <c r="V737" s="89"/>
      <c r="W737" s="89"/>
      <c r="X737" s="89"/>
      <c r="Y737" s="89"/>
      <c r="Z737" s="89"/>
      <c r="AA737" s="89"/>
      <c r="AB737" s="89"/>
      <c r="AC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89"/>
      <c r="BB737" s="89"/>
      <c r="BC737" s="89"/>
      <c r="BD737" s="89"/>
    </row>
    <row r="738" spans="1:56" ht="15" customHeight="1" x14ac:dyDescent="0.3">
      <c r="A738" s="101"/>
      <c r="B738" s="89"/>
      <c r="C738" s="89"/>
      <c r="D738" s="89"/>
      <c r="E738" s="89"/>
      <c r="F738" s="89"/>
      <c r="G738" s="89"/>
      <c r="H738" s="89"/>
      <c r="I738" s="89"/>
      <c r="J738" s="89"/>
      <c r="K738" s="89"/>
      <c r="L738" s="89"/>
      <c r="N738" s="89"/>
      <c r="O738" s="89"/>
      <c r="P738" s="89"/>
      <c r="Q738" s="89"/>
      <c r="R738" s="89"/>
      <c r="T738" s="89"/>
      <c r="U738" s="89"/>
      <c r="V738" s="89"/>
      <c r="W738" s="89"/>
      <c r="X738" s="89"/>
      <c r="Y738" s="89"/>
      <c r="Z738" s="89"/>
      <c r="AA738" s="89"/>
      <c r="AB738" s="89"/>
      <c r="AC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89"/>
      <c r="BB738" s="89"/>
      <c r="BC738" s="89"/>
      <c r="BD738" s="89"/>
    </row>
    <row r="739" spans="1:56" ht="15" customHeight="1" x14ac:dyDescent="0.3">
      <c r="A739" s="101"/>
      <c r="B739" s="89"/>
      <c r="C739" s="89"/>
      <c r="D739" s="89"/>
      <c r="E739" s="89"/>
      <c r="F739" s="89"/>
      <c r="G739" s="89"/>
      <c r="H739" s="89"/>
      <c r="I739" s="89"/>
      <c r="J739" s="89"/>
      <c r="K739" s="89"/>
      <c r="L739" s="89"/>
      <c r="N739" s="89"/>
      <c r="O739" s="89"/>
      <c r="P739" s="89"/>
      <c r="Q739" s="89"/>
      <c r="R739" s="89"/>
      <c r="T739" s="89"/>
      <c r="U739" s="89"/>
      <c r="V739" s="89"/>
      <c r="W739" s="89"/>
      <c r="X739" s="89"/>
      <c r="Y739" s="89"/>
      <c r="Z739" s="89"/>
      <c r="AA739" s="89"/>
      <c r="AB739" s="89"/>
      <c r="AC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89"/>
      <c r="BB739" s="89"/>
      <c r="BC739" s="89"/>
      <c r="BD739" s="89"/>
    </row>
    <row r="740" spans="1:56" ht="15" customHeight="1" x14ac:dyDescent="0.3">
      <c r="A740" s="101"/>
      <c r="B740" s="89"/>
      <c r="C740" s="89"/>
      <c r="D740" s="89"/>
      <c r="E740" s="89"/>
      <c r="F740" s="89"/>
      <c r="G740" s="89"/>
      <c r="H740" s="89"/>
      <c r="I740" s="89"/>
      <c r="J740" s="89"/>
      <c r="K740" s="89"/>
      <c r="L740" s="89"/>
      <c r="N740" s="89"/>
      <c r="O740" s="89"/>
      <c r="P740" s="89"/>
      <c r="Q740" s="89"/>
      <c r="R740" s="89"/>
      <c r="T740" s="89"/>
      <c r="U740" s="89"/>
      <c r="V740" s="89"/>
      <c r="W740" s="89"/>
      <c r="X740" s="89"/>
      <c r="Y740" s="89"/>
      <c r="Z740" s="89"/>
      <c r="AA740" s="89"/>
      <c r="AB740" s="89"/>
      <c r="AC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89"/>
      <c r="BB740" s="89"/>
      <c r="BC740" s="89"/>
      <c r="BD740" s="89"/>
    </row>
    <row r="741" spans="1:56" ht="15" customHeight="1" x14ac:dyDescent="0.3">
      <c r="A741" s="101"/>
      <c r="B741" s="89"/>
      <c r="C741" s="89"/>
      <c r="D741" s="89"/>
      <c r="E741" s="89"/>
      <c r="F741" s="89"/>
      <c r="G741" s="89"/>
      <c r="H741" s="89"/>
      <c r="I741" s="89"/>
      <c r="J741" s="89"/>
      <c r="K741" s="89"/>
      <c r="L741" s="89"/>
      <c r="N741" s="89"/>
      <c r="O741" s="89"/>
      <c r="P741" s="89"/>
      <c r="Q741" s="89"/>
      <c r="R741" s="89"/>
      <c r="T741" s="89"/>
      <c r="U741" s="89"/>
      <c r="V741" s="89"/>
      <c r="W741" s="89"/>
      <c r="X741" s="89"/>
      <c r="Y741" s="89"/>
      <c r="Z741" s="89"/>
      <c r="AA741" s="89"/>
      <c r="AB741" s="89"/>
      <c r="AC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89"/>
      <c r="BB741" s="89"/>
      <c r="BC741" s="89"/>
      <c r="BD741" s="89"/>
    </row>
    <row r="742" spans="1:56" ht="15" customHeight="1" x14ac:dyDescent="0.3">
      <c r="A742" s="101"/>
      <c r="B742" s="89"/>
      <c r="C742" s="89"/>
      <c r="D742" s="89"/>
      <c r="E742" s="89"/>
      <c r="F742" s="89"/>
      <c r="G742" s="89"/>
      <c r="H742" s="89"/>
      <c r="I742" s="89"/>
      <c r="J742" s="89"/>
      <c r="K742" s="89"/>
      <c r="L742" s="89"/>
      <c r="N742" s="89"/>
      <c r="O742" s="89"/>
      <c r="P742" s="89"/>
      <c r="Q742" s="89"/>
      <c r="R742" s="89"/>
      <c r="T742" s="89"/>
      <c r="U742" s="89"/>
      <c r="V742" s="89"/>
      <c r="W742" s="89"/>
      <c r="X742" s="89"/>
      <c r="Y742" s="89"/>
      <c r="Z742" s="89"/>
      <c r="AA742" s="89"/>
      <c r="AB742" s="89"/>
      <c r="AC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89"/>
      <c r="BB742" s="89"/>
      <c r="BC742" s="89"/>
      <c r="BD742" s="89"/>
    </row>
    <row r="743" spans="1:56" ht="15" customHeight="1" x14ac:dyDescent="0.3">
      <c r="A743" s="101"/>
      <c r="B743" s="89"/>
      <c r="C743" s="89"/>
      <c r="D743" s="89"/>
      <c r="E743" s="89"/>
      <c r="F743" s="89"/>
      <c r="G743" s="89"/>
      <c r="H743" s="89"/>
      <c r="I743" s="89"/>
      <c r="J743" s="89"/>
      <c r="K743" s="89"/>
      <c r="L743" s="89"/>
      <c r="N743" s="89"/>
      <c r="O743" s="89"/>
      <c r="P743" s="89"/>
      <c r="Q743" s="89"/>
      <c r="R743" s="89"/>
      <c r="T743" s="89"/>
      <c r="U743" s="89"/>
      <c r="V743" s="89"/>
      <c r="W743" s="89"/>
      <c r="X743" s="89"/>
      <c r="Y743" s="89"/>
      <c r="Z743" s="89"/>
      <c r="AA743" s="89"/>
      <c r="AB743" s="89"/>
      <c r="AC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89"/>
      <c r="BB743" s="89"/>
      <c r="BC743" s="89"/>
      <c r="BD743" s="89"/>
    </row>
    <row r="744" spans="1:56" ht="15" customHeight="1" x14ac:dyDescent="0.3">
      <c r="A744" s="101"/>
      <c r="B744" s="89"/>
      <c r="C744" s="89"/>
      <c r="D744" s="89"/>
      <c r="E744" s="89"/>
      <c r="F744" s="89"/>
      <c r="G744" s="89"/>
      <c r="H744" s="89"/>
      <c r="I744" s="89"/>
      <c r="J744" s="89"/>
      <c r="K744" s="89"/>
      <c r="L744" s="89"/>
      <c r="N744" s="89"/>
      <c r="O744" s="89"/>
      <c r="P744" s="89"/>
      <c r="Q744" s="89"/>
      <c r="R744" s="89"/>
      <c r="T744" s="89"/>
      <c r="U744" s="89"/>
      <c r="V744" s="89"/>
      <c r="W744" s="89"/>
      <c r="X744" s="89"/>
      <c r="Y744" s="89"/>
      <c r="Z744" s="89"/>
      <c r="AA744" s="89"/>
      <c r="AB744" s="89"/>
      <c r="AC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89"/>
      <c r="BB744" s="89"/>
      <c r="BC744" s="89"/>
      <c r="BD744" s="89"/>
    </row>
    <row r="745" spans="1:56" ht="15" customHeight="1" x14ac:dyDescent="0.3">
      <c r="A745" s="101"/>
      <c r="B745" s="89"/>
      <c r="C745" s="89"/>
      <c r="D745" s="89"/>
      <c r="E745" s="89"/>
      <c r="F745" s="89"/>
      <c r="G745" s="89"/>
      <c r="H745" s="89"/>
      <c r="I745" s="89"/>
      <c r="J745" s="89"/>
      <c r="K745" s="89"/>
      <c r="L745" s="89"/>
      <c r="N745" s="89"/>
      <c r="O745" s="89"/>
      <c r="P745" s="89"/>
      <c r="Q745" s="89"/>
      <c r="R745" s="89"/>
      <c r="T745" s="89"/>
      <c r="U745" s="89"/>
      <c r="V745" s="89"/>
      <c r="W745" s="89"/>
      <c r="X745" s="89"/>
      <c r="Y745" s="89"/>
      <c r="Z745" s="89"/>
      <c r="AA745" s="89"/>
      <c r="AB745" s="89"/>
      <c r="AC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89"/>
      <c r="BB745" s="89"/>
      <c r="BC745" s="89"/>
      <c r="BD745" s="89"/>
    </row>
    <row r="746" spans="1:56" ht="15" customHeight="1" x14ac:dyDescent="0.3">
      <c r="A746" s="101"/>
      <c r="B746" s="89"/>
      <c r="C746" s="89"/>
      <c r="D746" s="89"/>
      <c r="E746" s="89"/>
      <c r="F746" s="89"/>
      <c r="G746" s="89"/>
      <c r="H746" s="89"/>
      <c r="I746" s="89"/>
      <c r="J746" s="89"/>
      <c r="K746" s="89"/>
      <c r="L746" s="89"/>
      <c r="N746" s="89"/>
      <c r="O746" s="89"/>
      <c r="P746" s="89"/>
      <c r="Q746" s="89"/>
      <c r="R746" s="89"/>
      <c r="T746" s="89"/>
      <c r="U746" s="89"/>
      <c r="V746" s="89"/>
      <c r="W746" s="89"/>
      <c r="X746" s="89"/>
      <c r="Y746" s="89"/>
      <c r="Z746" s="89"/>
      <c r="AA746" s="89"/>
      <c r="AB746" s="89"/>
      <c r="AC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89"/>
      <c r="BB746" s="89"/>
      <c r="BC746" s="89"/>
      <c r="BD746" s="89"/>
    </row>
    <row r="747" spans="1:56" ht="15" customHeight="1" x14ac:dyDescent="0.3">
      <c r="A747" s="101"/>
      <c r="B747" s="89"/>
      <c r="C747" s="89"/>
      <c r="D747" s="89"/>
      <c r="E747" s="89"/>
      <c r="F747" s="89"/>
      <c r="G747" s="89"/>
      <c r="H747" s="89"/>
      <c r="I747" s="89"/>
      <c r="J747" s="89"/>
      <c r="K747" s="89"/>
      <c r="L747" s="89"/>
      <c r="N747" s="89"/>
      <c r="O747" s="89"/>
      <c r="P747" s="89"/>
      <c r="Q747" s="89"/>
      <c r="R747" s="89"/>
      <c r="T747" s="89"/>
      <c r="U747" s="89"/>
      <c r="V747" s="89"/>
      <c r="W747" s="89"/>
      <c r="X747" s="89"/>
      <c r="Y747" s="89"/>
      <c r="Z747" s="89"/>
      <c r="AA747" s="89"/>
      <c r="AB747" s="89"/>
      <c r="AC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89"/>
      <c r="BB747" s="89"/>
      <c r="BC747" s="89"/>
      <c r="BD747" s="89"/>
    </row>
  </sheetData>
  <autoFilter ref="A1:BD388"/>
  <conditionalFormatting sqref="M2">
    <cfRule type="colorScale" priority="13">
      <colorScale>
        <cfvo type="min"/>
        <cfvo type="percentile" val="50"/>
        <cfvo type="max"/>
        <color rgb="FFF8696B"/>
        <color rgb="FFFFEB84"/>
        <color rgb="FF63BE7B"/>
      </colorScale>
    </cfRule>
  </conditionalFormatting>
  <conditionalFormatting sqref="AD2">
    <cfRule type="colorScale" priority="9">
      <colorScale>
        <cfvo type="min"/>
        <cfvo type="percentile" val="50"/>
        <cfvo type="max"/>
        <color rgb="FFF8696B"/>
        <color rgb="FFFFEB84"/>
        <color rgb="FF63BE7B"/>
      </colorScale>
    </cfRule>
  </conditionalFormatting>
  <conditionalFormatting sqref="M1:M1048576">
    <cfRule type="colorScale" priority="12">
      <colorScale>
        <cfvo type="min"/>
        <cfvo type="percentile" val="50"/>
        <cfvo type="max"/>
        <color rgb="FFF8696B"/>
        <color rgb="FFFFEB84"/>
        <color rgb="FF63BE7B"/>
      </colorScale>
    </cfRule>
  </conditionalFormatting>
  <conditionalFormatting sqref="S1:S1048576">
    <cfRule type="colorScale" priority="10">
      <colorScale>
        <cfvo type="min"/>
        <cfvo type="percentile" val="50"/>
        <cfvo type="max"/>
        <color rgb="FFF8696B"/>
        <color rgb="FFFFEB84"/>
        <color rgb="FF63BE7B"/>
      </colorScale>
    </cfRule>
  </conditionalFormatting>
  <conditionalFormatting sqref="AD1:AD1048576">
    <cfRule type="colorScale" priority="8">
      <colorScale>
        <cfvo type="min"/>
        <cfvo type="percentile" val="50"/>
        <cfvo type="max"/>
        <color rgb="FFF8696B"/>
        <color rgb="FFFFEB84"/>
        <color rgb="FF63BE7B"/>
      </colorScale>
    </cfRule>
  </conditionalFormatting>
  <conditionalFormatting sqref="BV116 EC116 GJ116 IQ116 KX116 NE116 PL116 RS116 TZ116 WG116 YN116 AAU116 ADB116 AFI116 AHP116 AJW116 AMD116 AOK116 AQR116 ASY116 AVF116 AXM116 AZT116 BCA116 BEH116 BGO116 BIV116 BLC116 BNJ116 BPQ116 BRX116 BUE116 BWL116 BYS116 CAZ116 CDG116 CFN116 CHU116 CKB116 CMI116 COP116 CQW116 CTD116 CVK116 CXR116 CZY116 DCF116 DEM116 DGT116 DJA116 DLH116 DNO116 DPV116 DSC116 DUJ116 DWQ116 DYX116 EBE116 EDL116 EFS116 EHZ116 EKG116 EMN116 EOU116 ERB116 ETI116 EVP116 EXW116 FAD116 FCK116 FER116 FGY116 FJF116 FLM116 FNT116 FQA116 FSH116 FUO116 FWV116 FZC116 GBJ116 GDQ116 GFX116 GIE116 GKL116 GMS116 GOZ116 GRG116 GTN116 GVU116 GYB116 HAI116 HCP116 HEW116 HHD116 HJK116 HLR116 HNY116 HQF116 HSM116 HUT116 HXA116 HZH116 IBO116 IDV116 IGC116 IIJ116 IKQ116 IMX116 IPE116 IRL116 ITS116 IVZ116 IYG116 JAN116 JCU116 JFB116 JHI116 JJP116 JLW116 JOD116 JQK116 JSR116 JUY116 JXF116 JZM116 KBT116 KEA116 KGH116 KIO116 KKV116 KNC116 KPJ116 KRQ116 KTX116 KWE116 KYL116 LAS116 LCZ116 LFG116 LHN116 LJU116 LMB116 LOI116 LQP116 LSW116 LVD116 LXK116 LZR116 MBY116 MEF116 MGM116 MIT116 MLA116 MNH116 MPO116 MRV116 MUC116 MWJ116 MYQ116 NAX116 NDE116 NFL116 NHS116 NJZ116 NMG116 NON116 NQU116 NTB116 NVI116 NXP116 NZW116 OCD116 OEK116 OGR116 OIY116 OLF116 ONM116 OPT116 OSA116 OUH116 OWO116 OYV116 PBC116 PDJ116 PFQ116 PHX116 PKE116 PML116 POS116 PQZ116 PTG116 PVN116 PXU116 QAB116 QCI116 QEP116 QGW116 QJD116 QLK116 QNR116 QPY116 QSF116 QUM116 QWT116 QZA116 RBH116 RDO116 RFV116 RIC116 RKJ116 RMQ116 ROX116 RRE116 RTL116 RVS116 RXZ116 SAG116 SCN116 SEU116 SHB116 SJI116 SLP116 SNW116 SQD116 SSK116 SUR116 SWY116 SZF116 TBM116 TDT116 TGA116 TIH116 TKO116 TMV116 TPC116 TRJ116 TTQ116 TVX116 TYE116 UAL116 UCS116 UEZ116 UHG116 UJN116 ULU116 UOB116 UQI116 USP116 UUW116 UXD116 UZK116 VBR116 VDY116 VGF116 VIM116 VKT116 VNA116 VPH116 VRO116 VTV116 VWC116 VYJ116 WAQ116 WCX116 WFE116 WHL116 WJS116 WLZ116 WOG116 WQN116 WSU116 WVB116 WXI116 WZP116 XBW116">
    <cfRule type="colorScale" priority="7">
      <colorScale>
        <cfvo type="min"/>
        <cfvo type="percentile" val="50"/>
        <cfvo type="max"/>
        <color rgb="FFF8696B"/>
        <color rgb="FFFFEB84"/>
        <color rgb="FF63BE7B"/>
      </colorScale>
    </cfRule>
  </conditionalFormatting>
  <conditionalFormatting sqref="CB116 EI116 GP116 IW116 LD116 NK116 PR116 RY116 UF116 WM116 YT116 ABA116 ADH116 AFO116 AHV116 AKC116 AMJ116 AOQ116 AQX116 ATE116 AVL116 AXS116 AZZ116 BCG116 BEN116 BGU116 BJB116 BLI116 BNP116 BPW116 BSD116 BUK116 BWR116 BYY116 CBF116 CDM116 CFT116 CIA116 CKH116 CMO116 COV116 CRC116 CTJ116 CVQ116 CXX116 DAE116 DCL116 DES116 DGZ116 DJG116 DLN116 DNU116 DQB116 DSI116 DUP116 DWW116 DZD116 EBK116 EDR116 EFY116 EIF116 EKM116 EMT116 EPA116 ERH116 ETO116 EVV116 EYC116 FAJ116 FCQ116 FEX116 FHE116 FJL116 FLS116 FNZ116 FQG116 FSN116 FUU116 FXB116 FZI116 GBP116 GDW116 GGD116 GIK116 GKR116 GMY116 GPF116 GRM116 GTT116 GWA116 GYH116 HAO116 HCV116 HFC116 HHJ116 HJQ116 HLX116 HOE116 HQL116 HSS116 HUZ116 HXG116 HZN116 IBU116 IEB116 IGI116 IIP116 IKW116 IND116 IPK116 IRR116 ITY116 IWF116 IYM116 JAT116 JDA116 JFH116 JHO116 JJV116 JMC116 JOJ116 JQQ116 JSX116 JVE116 JXL116 JZS116 KBZ116 KEG116 KGN116 KIU116 KLB116 KNI116 KPP116 KRW116 KUD116 KWK116 KYR116 LAY116 LDF116 LFM116 LHT116 LKA116 LMH116 LOO116 LQV116 LTC116 LVJ116 LXQ116 LZX116 MCE116 MEL116 MGS116 MIZ116 MLG116 MNN116 MPU116 MSB116 MUI116 MWP116 MYW116 NBD116 NDK116 NFR116 NHY116 NKF116 NMM116 NOT116 NRA116 NTH116 NVO116 NXV116 OAC116 OCJ116 OEQ116 OGX116 OJE116 OLL116 ONS116 OPZ116 OSG116 OUN116 OWU116 OZB116 PBI116 PDP116 PFW116 PID116 PKK116 PMR116 POY116 PRF116 PTM116 PVT116 PYA116 QAH116 QCO116 QEV116 QHC116 QJJ116 QLQ116 QNX116 QQE116 QSL116 QUS116 QWZ116 QZG116 RBN116 RDU116 RGB116 RII116 RKP116 RMW116 RPD116 RRK116 RTR116 RVY116 RYF116 SAM116 SCT116 SFA116 SHH116 SJO116 SLV116 SOC116 SQJ116 SSQ116 SUX116 SXE116 SZL116 TBS116 TDZ116 TGG116 TIN116 TKU116 TNB116 TPI116 TRP116 TTW116 TWD116 TYK116 UAR116 UCY116 UFF116 UHM116 UJT116 UMA116 UOH116 UQO116 USV116 UVC116 UXJ116 UZQ116 VBX116 VEE116 VGL116 VIS116 VKZ116 VNG116 VPN116 VRU116 VUB116 VWI116 VYP116 WAW116 WDD116 WFK116 WHR116 WJY116 WMF116 WOM116 WQT116 WTA116 WVH116 WXO116 WZV116 XCC116">
    <cfRule type="colorScale" priority="6">
      <colorScale>
        <cfvo type="min"/>
        <cfvo type="percentile" val="50"/>
        <cfvo type="max"/>
        <color rgb="FFF8696B"/>
        <color rgb="FFFFEB84"/>
        <color rgb="FF63BE7B"/>
      </colorScale>
    </cfRule>
  </conditionalFormatting>
  <conditionalFormatting sqref="CM116 ET116 HA116 JH116 LO116 NV116 QC116 SJ116 UQ116 WX116 ZE116 ABL116 ADS116 AFZ116 AIG116 AKN116 AMU116 APB116 ARI116 ATP116 AVW116 AYD116 BAK116 BCR116 BEY116 BHF116 BJM116 BLT116 BOA116 BQH116 BSO116 BUV116 BXC116 BZJ116 CBQ116 CDX116 CGE116 CIL116 CKS116 CMZ116 CPG116 CRN116 CTU116 CWB116 CYI116 DAP116 DCW116 DFD116 DHK116 DJR116 DLY116 DOF116 DQM116 DST116 DVA116 DXH116 DZO116 EBV116 EEC116 EGJ116 EIQ116 EKX116 ENE116 EPL116 ERS116 ETZ116 EWG116 EYN116 FAU116 FDB116 FFI116 FHP116 FJW116 FMD116 FOK116 FQR116 FSY116 FVF116 FXM116 FZT116 GCA116 GEH116 GGO116 GIV116 GLC116 GNJ116 GPQ116 GRX116 GUE116 GWL116 GYS116 HAZ116 HDG116 HFN116 HHU116 HKB116 HMI116 HOP116 HQW116 HTD116 HVK116 HXR116 HZY116 ICF116 IEM116 IGT116 IJA116 ILH116 INO116 IPV116 ISC116 IUJ116 IWQ116 IYX116 JBE116 JDL116 JFS116 JHZ116 JKG116 JMN116 JOU116 JRB116 JTI116 JVP116 JXW116 KAD116 KCK116 KER116 KGY116 KJF116 KLM116 KNT116 KQA116 KSH116 KUO116 KWV116 KZC116 LBJ116 LDQ116 LFX116 LIE116 LKL116 LMS116 LOZ116 LRG116 LTN116 LVU116 LYB116 MAI116 MCP116 MEW116 MHD116 MJK116 MLR116 MNY116 MQF116 MSM116 MUT116 MXA116 MZH116 NBO116 NDV116 NGC116 NIJ116 NKQ116 NMX116 NPE116 NRL116 NTS116 NVZ116 NYG116 OAN116 OCU116 OFB116 OHI116 OJP116 OLW116 OOD116 OQK116 OSR116 OUY116 OXF116 OZM116 PBT116 PEA116 PGH116 PIO116 PKV116 PNC116 PPJ116 PRQ116 PTX116 PWE116 PYL116 QAS116 QCZ116 QFG116 QHN116 QJU116 QMB116 QOI116 QQP116 QSW116 QVD116 QXK116 QZR116 RBY116 REF116 RGM116 RIT116 RLA116 RNH116 RPO116 RRV116 RUC116 RWJ116 RYQ116 SAX116 SDE116 SFL116 SHS116 SJZ116 SMG116 SON116 SQU116 STB116 SVI116 SXP116 SZW116 TCD116 TEK116 TGR116 TIY116 TLF116 TNM116 TPT116 TSA116 TUH116 TWO116 TYV116 UBC116 UDJ116 UFQ116 UHX116 UKE116 UML116 UOS116 UQZ116 UTG116 UVN116 UXU116 VAB116 VCI116 VEP116 VGW116 VJD116 VLK116 VNR116 VPY116 VSF116 VUM116 VWT116 VZA116 WBH116 WDO116 WFV116 WIC116 WKJ116 WMQ116 WOX116 WRE116 WTL116 WVS116 WXZ116 XAG116">
    <cfRule type="colorScale" priority="5">
      <colorScale>
        <cfvo type="min"/>
        <cfvo type="percentile" val="50"/>
        <cfvo type="max"/>
        <color rgb="FFF8696B"/>
        <color rgb="FFFFEB84"/>
        <color rgb="FF63BE7B"/>
      </colorScale>
    </cfRule>
  </conditionalFormatting>
  <conditionalFormatting sqref="S2:S747">
    <cfRule type="colorScale" priority="14">
      <colorScale>
        <cfvo type="min"/>
        <cfvo type="percentile" val="50"/>
        <cfvo type="max"/>
        <color rgb="FFF8696B"/>
        <color rgb="FFFFEB84"/>
        <color rgb="FF63BE7B"/>
      </colorScale>
    </cfRule>
  </conditionalFormatting>
  <conditionalFormatting sqref="AH2:AH511">
    <cfRule type="colorScale" priority="4">
      <colorScale>
        <cfvo type="min"/>
        <cfvo type="percentile" val="50"/>
        <cfvo type="max"/>
        <color rgb="FFF8696B"/>
        <color rgb="FFFFEB84"/>
        <color rgb="FF63BE7B"/>
      </colorScale>
    </cfRule>
  </conditionalFormatting>
  <conditionalFormatting sqref="AH2:AH511">
    <cfRule type="colorScale" priority="3">
      <colorScale>
        <cfvo type="min"/>
        <cfvo type="percentile" val="50"/>
        <cfvo type="max"/>
        <color rgb="FFF8696B"/>
        <color rgb="FFFFEB84"/>
        <color rgb="FF63BE7B"/>
      </colorScale>
    </cfRule>
  </conditionalFormatting>
  <conditionalFormatting sqref="AK2:AK511">
    <cfRule type="colorScale" priority="2">
      <colorScale>
        <cfvo type="min"/>
        <cfvo type="percentile" val="50"/>
        <cfvo type="max"/>
        <color rgb="FFF8696B"/>
        <color rgb="FFFFEB84"/>
        <color rgb="FF63BE7B"/>
      </colorScale>
    </cfRule>
  </conditionalFormatting>
  <conditionalFormatting sqref="AK2:AK51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zoomScaleNormal="100" workbookViewId="0">
      <selection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65</v>
      </c>
      <c r="K5" s="14" t="s">
        <v>7</v>
      </c>
      <c r="L5" s="15"/>
      <c r="M5" s="6"/>
      <c r="N5" s="93" t="s">
        <v>502</v>
      </c>
      <c r="O5" s="14"/>
      <c r="P5" s="13"/>
      <c r="Q5" s="13">
        <f>SUM(Q6:Q7)</f>
        <v>51</v>
      </c>
      <c r="R5" s="14" t="s">
        <v>7</v>
      </c>
      <c r="S5" s="15"/>
      <c r="T5" s="6"/>
      <c r="U5" s="93" t="s">
        <v>503</v>
      </c>
      <c r="V5" s="14"/>
      <c r="W5" s="13"/>
      <c r="X5" s="13">
        <f>SUM(X6:X7)</f>
        <v>50</v>
      </c>
      <c r="Y5" s="16" t="s">
        <v>7</v>
      </c>
      <c r="Z5" s="17"/>
      <c r="AA5" s="3"/>
      <c r="AB5" s="18" t="s">
        <v>8</v>
      </c>
      <c r="AC5" s="19">
        <f>J5+Q5+X5</f>
        <v>166</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Encuesta'!$B$2:$B$511,"*c)*",'00 Encuesta'!$C$2:$C$511,"*a)*",'00 Encuesta'!$E$2:$E$511,"*a)*")</f>
        <v>33</v>
      </c>
      <c r="K6" s="25" t="s">
        <v>523</v>
      </c>
      <c r="L6" s="26"/>
      <c r="M6" s="6"/>
      <c r="N6" s="27"/>
      <c r="O6" s="24"/>
      <c r="P6" s="24"/>
      <c r="Q6" s="23">
        <f>COUNTIFS('00 Encuesta'!$B$2:$B$511,"*c)*",'00 Encuesta'!$C$2:$C$511,"*b)*",'00 Encuesta'!$E$2:$E$511,"*a)*")</f>
        <v>28</v>
      </c>
      <c r="R6" s="25" t="s">
        <v>523</v>
      </c>
      <c r="S6" s="26"/>
      <c r="T6" s="6"/>
      <c r="U6" s="27"/>
      <c r="V6" s="24"/>
      <c r="W6" s="24"/>
      <c r="X6" s="23">
        <f>COUNTIFS('00 Encuesta'!$B$2:$B$511,"*c)*",'00 Encuesta'!$C$2:$C$511,"*d)*",'00 Encuesta'!$E$2:$E$511,"*a)*")</f>
        <v>27</v>
      </c>
      <c r="Y6" s="28" t="s">
        <v>523</v>
      </c>
      <c r="Z6" s="29"/>
      <c r="AA6" s="3"/>
      <c r="AB6" s="24"/>
      <c r="AC6" s="19">
        <f>J6+Q6+X6</f>
        <v>88</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Encuesta'!$B$2:$B$511,"*c)*",'00 Encuesta'!$C$2:$C$511,"*a)*",'00 Encuesta'!$E$2:$E$511,"*b)*")</f>
        <v>32</v>
      </c>
      <c r="K7" s="36" t="s">
        <v>524</v>
      </c>
      <c r="L7" s="37"/>
      <c r="M7" s="6"/>
      <c r="N7" s="38"/>
      <c r="O7" s="35"/>
      <c r="P7" s="35"/>
      <c r="Q7" s="34">
        <f>COUNTIFS('00 Encuesta'!$B$2:$B$511,"*c)*",'00 Encuesta'!$C$2:$C$511,"*b)*",'00 Encuesta'!$E$2:$E$511,"*b)*")</f>
        <v>23</v>
      </c>
      <c r="R7" s="36" t="s">
        <v>524</v>
      </c>
      <c r="S7" s="37"/>
      <c r="T7" s="6"/>
      <c r="U7" s="38"/>
      <c r="V7" s="35"/>
      <c r="W7" s="35"/>
      <c r="X7" s="34">
        <f>COUNTIFS('00 Encuesta'!$B$2:$B$511,"*c)*",'00 Encuesta'!$C$2:$C$511,"*d)*",'00 Encuesta'!$E$2:$E$511,"*b)*")</f>
        <v>23</v>
      </c>
      <c r="Y7" s="39" t="s">
        <v>524</v>
      </c>
      <c r="Z7" s="40"/>
      <c r="AA7" s="3"/>
      <c r="AB7" s="24"/>
      <c r="AC7" s="19">
        <f>J7+Q7+X7</f>
        <v>78</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520</v>
      </c>
      <c r="X9" s="48"/>
      <c r="Y9" s="46"/>
      <c r="Z9" s="47"/>
      <c r="AA9" s="3"/>
      <c r="AB9" s="49" t="s">
        <v>522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508</v>
      </c>
      <c r="AP12" s="67" t="s">
        <v>509</v>
      </c>
      <c r="AQ12" s="67" t="s">
        <v>503</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40</v>
      </c>
      <c r="H15" s="52">
        <f>G15/$J$5*100</f>
        <v>61.53846153846154</v>
      </c>
      <c r="I15" s="53">
        <f>COUNTIFS('00 Encuesta'!$B$2:$B$511,"*c)*",'00 Encuesta'!$C$2:$C$511,"*a)*",'00 Encuesta'!$E$2:$E$511,"*a)*",'00 Encuesta'!$D$2:$D$511,"*a)*")</f>
        <v>21</v>
      </c>
      <c r="J15" s="52">
        <f>I15/$J$6*100</f>
        <v>63.636363636363633</v>
      </c>
      <c r="K15" s="53">
        <f>COUNTIFS('00 Encuesta'!$B$2:$B$511,"*c)*",'00 Encuesta'!$C$2:$C$511,"*a)*",'00 Encuesta'!$E$2:$E$511,"*b)*",'00 Encuesta'!$D$2:$D$511,"*a)*")</f>
        <v>19</v>
      </c>
      <c r="L15" s="52">
        <f>K15/$J$7*100</f>
        <v>59.375</v>
      </c>
      <c r="M15" s="23"/>
      <c r="N15" s="51">
        <f>P15+R15</f>
        <v>28</v>
      </c>
      <c r="O15" s="52">
        <f>N15/$Q$5*100</f>
        <v>54.901960784313729</v>
      </c>
      <c r="P15" s="53">
        <f>COUNTIFS('00 Encuesta'!$B$2:$B$511,"*c)*",'00 Encuesta'!$C$2:$C$511,"*b)*",'00 Encuesta'!$E$2:$E$511,"*a)*",'00 Encuesta'!$D$2:$D$511,"*a)*")</f>
        <v>15</v>
      </c>
      <c r="Q15" s="52">
        <f>P15/$Q$6*100</f>
        <v>53.571428571428569</v>
      </c>
      <c r="R15" s="53">
        <f>COUNTIFS('00 Encuesta'!$B$2:$B$511,"*c)*",'00 Encuesta'!$C$2:$C$511,"*b)*",'00 Encuesta'!$E$2:$E$511,"*b)*",'00 Encuesta'!$D$2:$D$511,"*a)*")</f>
        <v>13</v>
      </c>
      <c r="S15" s="52">
        <f>R15/$Q$7*100</f>
        <v>56.521739130434781</v>
      </c>
      <c r="T15" s="3"/>
      <c r="U15" s="51">
        <f>W15+Y15</f>
        <v>19</v>
      </c>
      <c r="V15" s="52">
        <f>U15/$X$5*100</f>
        <v>38</v>
      </c>
      <c r="W15" s="53">
        <f>COUNTIFS('00 Encuesta'!$B$2:$B$511,"*c)*",'00 Encuesta'!$C$2:$C$511,"*d)*",'00 Encuesta'!$E$2:$E$511,"*a)*",'00 Encuesta'!$D$2:$D$511,"*a)*")</f>
        <v>8</v>
      </c>
      <c r="X15" s="52">
        <f>W15/$X$6*100</f>
        <v>29.629629629629626</v>
      </c>
      <c r="Y15" s="53">
        <f>COUNTIFS('00 Encuesta'!$B$2:$B$511,"*c)*",'00 Encuesta'!$C$2:$C$511,"*d)*",'00 Encuesta'!$E$2:$E$511,"*b)*",'00 Encuesta'!$D$2:$D$511,"*a)*")</f>
        <v>11</v>
      </c>
      <c r="Z15" s="52">
        <f>Y15/$X$7*100</f>
        <v>47.826086956521742</v>
      </c>
      <c r="AA15" s="3"/>
      <c r="AB15" s="62">
        <f>G15+N15+U15</f>
        <v>87</v>
      </c>
      <c r="AC15" s="52">
        <f>AB15*100/$AC$5</f>
        <v>52.409638554216869</v>
      </c>
      <c r="AD15" s="7"/>
      <c r="AE15" s="7"/>
      <c r="AF15" s="9" t="str">
        <f t="shared" si="0"/>
        <v>a) Educación Inicial</v>
      </c>
      <c r="AG15" s="72">
        <f>J15</f>
        <v>63.636363636363633</v>
      </c>
      <c r="AH15" s="72">
        <f>L15</f>
        <v>59.375</v>
      </c>
      <c r="AI15" s="73">
        <f>H15</f>
        <v>61.53846153846154</v>
      </c>
      <c r="AJ15" s="73"/>
      <c r="AK15" s="74">
        <f>Q15</f>
        <v>53.571428571428569</v>
      </c>
      <c r="AL15" s="74">
        <f>S15</f>
        <v>56.521739130434781</v>
      </c>
      <c r="AM15" s="74">
        <f>O15</f>
        <v>54.901960784313729</v>
      </c>
      <c r="AN15" s="74"/>
      <c r="AO15" s="75">
        <f>X15</f>
        <v>29.629629629629626</v>
      </c>
      <c r="AP15" s="75">
        <f>Z15</f>
        <v>47.826086956521742</v>
      </c>
      <c r="AQ15" s="75">
        <f>V15</f>
        <v>38</v>
      </c>
      <c r="AR15" s="76"/>
      <c r="AS15" s="76">
        <f>AC15</f>
        <v>52.409638554216869</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18</v>
      </c>
      <c r="H16" s="52">
        <f>G16/$J$5*100</f>
        <v>27.692307692307693</v>
      </c>
      <c r="I16" s="53">
        <f>COUNTIFS('00 Encuesta'!$B$2:$B$511,"*c)*",'00 Encuesta'!$C$2:$C$511,"*a)*",'00 Encuesta'!$E$2:$E$511,"*a)*",'00 Encuesta'!$D$2:$D$511,"*b)*")</f>
        <v>7</v>
      </c>
      <c r="J16" s="52">
        <f>I16/$J$6*100</f>
        <v>21.212121212121211</v>
      </c>
      <c r="K16" s="53">
        <f>COUNTIFS('00 Encuesta'!$B$2:$B$511,"*c)*",'00 Encuesta'!$C$2:$C$511,"*a)*",'00 Encuesta'!$E$2:$E$511,"*b)*",'00 Encuesta'!$D$2:$D$511,"*b)*")</f>
        <v>11</v>
      </c>
      <c r="L16" s="52">
        <f>K16/$J$7*100</f>
        <v>34.375</v>
      </c>
      <c r="M16" s="23"/>
      <c r="N16" s="51">
        <f>P16+R16</f>
        <v>15</v>
      </c>
      <c r="O16" s="52">
        <f>N16/$Q$5*100</f>
        <v>29.411764705882355</v>
      </c>
      <c r="P16" s="53">
        <f>COUNTIFS('00 Encuesta'!$B$2:$B$511,"*c)*",'00 Encuesta'!$C$2:$C$511,"*b)*",'00 Encuesta'!$E$2:$E$511,"*a)*",'00 Encuesta'!$D$2:$D$511,"*b)*")</f>
        <v>8</v>
      </c>
      <c r="Q16" s="52">
        <f>P16/$Q$6*100</f>
        <v>28.571428571428569</v>
      </c>
      <c r="R16" s="53">
        <f>COUNTIFS('00 Encuesta'!$B$2:$B$511,"*c)*",'00 Encuesta'!$C$2:$C$511,"*b)*",'00 Encuesta'!$E$2:$E$511,"*b)*",'00 Encuesta'!$D$2:$D$511,"*b)*")</f>
        <v>7</v>
      </c>
      <c r="S16" s="52">
        <f>R16/$Q$7*100</f>
        <v>30.434782608695656</v>
      </c>
      <c r="T16" s="3"/>
      <c r="U16" s="51">
        <f>W16+Y16</f>
        <v>16</v>
      </c>
      <c r="V16" s="52">
        <f>U16/$X$5*100</f>
        <v>32</v>
      </c>
      <c r="W16" s="53">
        <f>COUNTIFS('00 Encuesta'!$B$2:$B$511,"*c)*",'00 Encuesta'!$C$2:$C$511,"*d)*",'00 Encuesta'!$E$2:$E$511,"*a)*",'00 Encuesta'!$D$2:$D$511,"*b)*")</f>
        <v>13</v>
      </c>
      <c r="X16" s="52">
        <f>W16/$X$6*100</f>
        <v>48.148148148148145</v>
      </c>
      <c r="Y16" s="53">
        <f>COUNTIFS('00 Encuesta'!$B$2:$B$511,"*c)*",'00 Encuesta'!$C$2:$C$511,"*d)*",'00 Encuesta'!$E$2:$E$511,"*b)*",'00 Encuesta'!$D$2:$D$511,"*b)*")</f>
        <v>3</v>
      </c>
      <c r="Z16" s="52">
        <f>Y16/$X$7*100</f>
        <v>13.043478260869565</v>
      </c>
      <c r="AA16" s="3"/>
      <c r="AB16" s="62">
        <f>G16+N16+U16</f>
        <v>49</v>
      </c>
      <c r="AC16" s="52">
        <f>AB16*100/$AC$5</f>
        <v>29.518072289156628</v>
      </c>
      <c r="AD16" s="7"/>
      <c r="AE16" s="7"/>
      <c r="AF16" s="9" t="str">
        <f t="shared" si="0"/>
        <v>b) Primaria</v>
      </c>
      <c r="AG16" s="72">
        <f>J16</f>
        <v>21.212121212121211</v>
      </c>
      <c r="AH16" s="72">
        <f>L16</f>
        <v>34.375</v>
      </c>
      <c r="AI16" s="73">
        <f>H16</f>
        <v>27.692307692307693</v>
      </c>
      <c r="AJ16" s="73"/>
      <c r="AK16" s="74">
        <f>Q16</f>
        <v>28.571428571428569</v>
      </c>
      <c r="AL16" s="74">
        <f>S16</f>
        <v>30.434782608695656</v>
      </c>
      <c r="AM16" s="74">
        <f>O16</f>
        <v>29.411764705882355</v>
      </c>
      <c r="AN16" s="74"/>
      <c r="AO16" s="75">
        <f>X16</f>
        <v>48.148148148148145</v>
      </c>
      <c r="AP16" s="75">
        <f>Z16</f>
        <v>13.043478260869565</v>
      </c>
      <c r="AQ16" s="75">
        <f>V16</f>
        <v>32</v>
      </c>
      <c r="AR16" s="76"/>
      <c r="AS16" s="76">
        <f t="shared" ref="AS16:AS79" si="1">AC16</f>
        <v>29.518072289156628</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7</v>
      </c>
      <c r="H17" s="52">
        <f>G17/$J$5*100</f>
        <v>10.76923076923077</v>
      </c>
      <c r="I17" s="53">
        <f>COUNTIFS('00 Encuesta'!$B$2:$B$511,"*c)*",'00 Encuesta'!$C$2:$C$511,"*a)*",'00 Encuesta'!$E$2:$E$511,"*a)*",'00 Encuesta'!$D$2:$D$511,"*c)*")</f>
        <v>5</v>
      </c>
      <c r="J17" s="52">
        <f>I17/$J$6*100</f>
        <v>15.151515151515152</v>
      </c>
      <c r="K17" s="53">
        <f>COUNTIFS('00 Encuesta'!$B$2:$B$511,"*c)*",'00 Encuesta'!$C$2:$C$511,"*a)*",'00 Encuesta'!$E$2:$E$511,"*b)*",'00 Encuesta'!$D$2:$D$511,"*c)*")</f>
        <v>2</v>
      </c>
      <c r="L17" s="52">
        <f>K17/$J$7*100</f>
        <v>6.25</v>
      </c>
      <c r="M17" s="23"/>
      <c r="N17" s="51">
        <f>P17+R17</f>
        <v>8</v>
      </c>
      <c r="O17" s="52">
        <f>N17/$Q$5*100</f>
        <v>15.686274509803921</v>
      </c>
      <c r="P17" s="53">
        <f>COUNTIFS('00 Encuesta'!$B$2:$B$511,"*c)*",'00 Encuesta'!$C$2:$C$511,"*b)*",'00 Encuesta'!$E$2:$E$511,"*a)*",'00 Encuesta'!$D$2:$D$511,"*c)*")</f>
        <v>5</v>
      </c>
      <c r="Q17" s="52">
        <f>P17/$Q$6*100</f>
        <v>17.857142857142858</v>
      </c>
      <c r="R17" s="53">
        <f>COUNTIFS('00 Encuesta'!$B$2:$B$511,"*c)*",'00 Encuesta'!$C$2:$C$511,"*b)*",'00 Encuesta'!$E$2:$E$511,"*b)*",'00 Encuesta'!$D$2:$D$511,"*c)*")</f>
        <v>3</v>
      </c>
      <c r="S17" s="52">
        <f>R17/$Q$7*100</f>
        <v>13.043478260869565</v>
      </c>
      <c r="T17" s="3"/>
      <c r="U17" s="51">
        <f>W17+Y17</f>
        <v>8</v>
      </c>
      <c r="V17" s="52">
        <f>U17/$X$5*100</f>
        <v>16</v>
      </c>
      <c r="W17" s="53">
        <f>COUNTIFS('00 Encuesta'!$B$2:$B$511,"*c)*",'00 Encuesta'!$C$2:$C$511,"*d)*",'00 Encuesta'!$E$2:$E$511,"*a)*",'00 Encuesta'!$D$2:$D$511,"*c)*")</f>
        <v>2</v>
      </c>
      <c r="X17" s="52">
        <f>W17/$X$6*100</f>
        <v>7.4074074074074066</v>
      </c>
      <c r="Y17" s="53">
        <f>COUNTIFS('00 Encuesta'!$B$2:$B$511,"*c)*",'00 Encuesta'!$C$2:$C$511,"*d)*",'00 Encuesta'!$E$2:$E$511,"*b)*",'00 Encuesta'!$D$2:$D$511,"*c)*")</f>
        <v>6</v>
      </c>
      <c r="Z17" s="52">
        <f>Y17/$X$7*100</f>
        <v>26.086956521739129</v>
      </c>
      <c r="AA17" s="3"/>
      <c r="AB17" s="62">
        <f>G17+N17+U17</f>
        <v>23</v>
      </c>
      <c r="AC17" s="52">
        <f>AB17*100/$AC$5</f>
        <v>13.855421686746988</v>
      </c>
      <c r="AD17" s="7"/>
      <c r="AE17" s="7"/>
      <c r="AF17" s="9" t="str">
        <f t="shared" si="0"/>
        <v>c) Entre Primero y Tercer año</v>
      </c>
      <c r="AG17" s="72">
        <f>J17</f>
        <v>15.151515151515152</v>
      </c>
      <c r="AH17" s="72">
        <f>L17</f>
        <v>6.25</v>
      </c>
      <c r="AI17" s="73">
        <f>H17</f>
        <v>10.76923076923077</v>
      </c>
      <c r="AJ17" s="73"/>
      <c r="AK17" s="74">
        <f>Q17</f>
        <v>17.857142857142858</v>
      </c>
      <c r="AL17" s="74">
        <f>S17</f>
        <v>13.043478260869565</v>
      </c>
      <c r="AM17" s="74">
        <f>O17</f>
        <v>15.686274509803921</v>
      </c>
      <c r="AN17" s="74"/>
      <c r="AO17" s="75">
        <f>X17</f>
        <v>7.4074074074074066</v>
      </c>
      <c r="AP17" s="75">
        <f>Z17</f>
        <v>26.086956521739129</v>
      </c>
      <c r="AQ17" s="75">
        <f>V17</f>
        <v>16</v>
      </c>
      <c r="AR17" s="76"/>
      <c r="AS17" s="76">
        <f t="shared" si="1"/>
        <v>13.855421686746988</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f>G18/$J$5*100</f>
        <v>0</v>
      </c>
      <c r="I18" s="53">
        <f>COUNTIFS('00 Encuesta'!$B$2:$B$511,"*c)*",'00 Encuesta'!$C$2:$C$511,"*a)*",'00 Encuesta'!$E$2:$E$511,"*a)*",'00 Encuesta'!$D$2:$D$511,"*d)*")</f>
        <v>0</v>
      </c>
      <c r="J18" s="52">
        <f>I18/$J$6*100</f>
        <v>0</v>
      </c>
      <c r="K18" s="53">
        <f>COUNTIFS('00 Encuesta'!$B$2:$B$511,"*c)*",'00 Encuesta'!$C$2:$C$511,"*a)*",'00 Encuesta'!$E$2:$E$511,"*b)*",'00 Encuesta'!$D$2:$D$511,"*d)*")</f>
        <v>0</v>
      </c>
      <c r="L18" s="52">
        <f>K18/$J$7*100</f>
        <v>0</v>
      </c>
      <c r="M18" s="23"/>
      <c r="N18" s="51">
        <f>P18+R18</f>
        <v>0</v>
      </c>
      <c r="O18" s="52">
        <f>N18/$Q$5*100</f>
        <v>0</v>
      </c>
      <c r="P18" s="53">
        <f>COUNTIFS('00 Encuesta'!$B$2:$B$511,"*c)*",'00 Encuesta'!$C$2:$C$511,"*b)*",'00 Encuesta'!$E$2:$E$511,"*a)*",'00 Encuesta'!$D$2:$D$511,"*d)*")</f>
        <v>0</v>
      </c>
      <c r="Q18" s="52">
        <f>P18/$Q$6*100</f>
        <v>0</v>
      </c>
      <c r="R18" s="53">
        <f>COUNTIFS('00 Encuesta'!$B$2:$B$511,"*c)*",'00 Encuesta'!$C$2:$C$511,"*b)*",'00 Encuesta'!$E$2:$E$511,"*b)*",'00 Encuesta'!$D$2:$D$511,"*d)*")</f>
        <v>0</v>
      </c>
      <c r="S18" s="52">
        <f>R18/$Q$7*100</f>
        <v>0</v>
      </c>
      <c r="T18" s="3"/>
      <c r="U18" s="51">
        <f>W18+Y18</f>
        <v>7</v>
      </c>
      <c r="V18" s="52">
        <f>U18/$X$5*100</f>
        <v>14.000000000000002</v>
      </c>
      <c r="W18" s="53">
        <f>COUNTIFS('00 Encuesta'!$B$2:$B$511,"*c)*",'00 Encuesta'!$C$2:$C$511,"*d)*",'00 Encuesta'!$E$2:$E$511,"*a)*",'00 Encuesta'!$D$2:$D$511,"*d)*")</f>
        <v>4</v>
      </c>
      <c r="X18" s="52">
        <f>W18/$X$6*100</f>
        <v>14.814814814814813</v>
      </c>
      <c r="Y18" s="53">
        <f>COUNTIFS('00 Encuesta'!$B$2:$B$511,"*c)*",'00 Encuesta'!$C$2:$C$511,"*d)*",'00 Encuesta'!$E$2:$E$511,"*b)*",'00 Encuesta'!$D$2:$D$511,"*d)*")</f>
        <v>3</v>
      </c>
      <c r="Z18" s="52">
        <f>Y18/$X$7*100</f>
        <v>13.043478260869565</v>
      </c>
      <c r="AA18" s="3"/>
      <c r="AB18" s="62">
        <f>G18+N18+U18</f>
        <v>7</v>
      </c>
      <c r="AC18" s="52">
        <f>AB18*100/$AC$5</f>
        <v>4.2168674698795181</v>
      </c>
      <c r="AD18" s="7"/>
      <c r="AE18" s="7"/>
      <c r="AF18" s="9" t="str">
        <f t="shared" si="0"/>
        <v>d) En  Cuarto año o posterior</v>
      </c>
      <c r="AG18" s="72">
        <f>J18</f>
        <v>0</v>
      </c>
      <c r="AH18" s="72">
        <f>L18</f>
        <v>0</v>
      </c>
      <c r="AI18" s="73">
        <f>H18</f>
        <v>0</v>
      </c>
      <c r="AJ18" s="73"/>
      <c r="AK18" s="74">
        <f>Q18</f>
        <v>0</v>
      </c>
      <c r="AL18" s="74">
        <f>S18</f>
        <v>0</v>
      </c>
      <c r="AM18" s="74">
        <f>O18</f>
        <v>0</v>
      </c>
      <c r="AN18" s="74"/>
      <c r="AO18" s="75">
        <f>X18</f>
        <v>14.814814814814813</v>
      </c>
      <c r="AP18" s="75">
        <f>Z18</f>
        <v>13.043478260869565</v>
      </c>
      <c r="AQ18" s="75">
        <f>V18</f>
        <v>14.000000000000002</v>
      </c>
      <c r="AR18" s="76"/>
      <c r="AS18" s="76">
        <f t="shared" si="1"/>
        <v>4.2168674698795181</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f>N19/$Q$5*100</f>
        <v>0</v>
      </c>
      <c r="P19" s="53"/>
      <c r="Q19" s="52">
        <f>P19/$Q$6*100</f>
        <v>0</v>
      </c>
      <c r="R19" s="53"/>
      <c r="S19" s="52">
        <f>R19/$Q$7*100</f>
        <v>0</v>
      </c>
      <c r="T19" s="3"/>
      <c r="U19" s="51">
        <f>W19+Y19</f>
        <v>0</v>
      </c>
      <c r="V19" s="52">
        <f>U19/$X$5*100</f>
        <v>0</v>
      </c>
      <c r="W19" s="53"/>
      <c r="X19" s="52">
        <f>W19/$X$6*100</f>
        <v>0</v>
      </c>
      <c r="Y19" s="53"/>
      <c r="Z19" s="52">
        <f>Y19/$X$7*100</f>
        <v>0</v>
      </c>
      <c r="AA19" s="3"/>
      <c r="AB19" s="62">
        <f>G19+N19+U19</f>
        <v>0</v>
      </c>
      <c r="AC19" s="52">
        <f>AB19*100/$AC$5</f>
        <v>0</v>
      </c>
      <c r="AD19" s="7"/>
      <c r="AE19" s="7"/>
      <c r="AF19" s="9" t="str">
        <f t="shared" si="0"/>
        <v>S/R Sin Respuesta</v>
      </c>
      <c r="AG19" s="72">
        <f>J19</f>
        <v>0</v>
      </c>
      <c r="AH19" s="72">
        <f>L19</f>
        <v>0</v>
      </c>
      <c r="AI19" s="73">
        <f>H19</f>
        <v>0</v>
      </c>
      <c r="AJ19" s="73"/>
      <c r="AK19" s="74">
        <f>Q19</f>
        <v>0</v>
      </c>
      <c r="AL19" s="74">
        <f>S19</f>
        <v>0</v>
      </c>
      <c r="AM19" s="74">
        <f>O19</f>
        <v>0</v>
      </c>
      <c r="AN19" s="74"/>
      <c r="AO19" s="75">
        <f>X19</f>
        <v>0</v>
      </c>
      <c r="AP19" s="75">
        <f>Z19</f>
        <v>0</v>
      </c>
      <c r="AQ19" s="75">
        <f>V19</f>
        <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54</v>
      </c>
      <c r="H23" s="52">
        <f>G23/$J$5*100</f>
        <v>83.07692307692308</v>
      </c>
      <c r="I23" s="53">
        <f>COUNTIFS('00 Encuesta'!$B$2:$B$511,"*c)*",'00 Encuesta'!$C$2:$C$511,"*a)*",'00 Encuesta'!$E$2:$E$511,"*a)*",'00 Encuesta'!$F$2:$F$511,"*a)*")</f>
        <v>28</v>
      </c>
      <c r="J23" s="52">
        <f>I23/$J$6*100</f>
        <v>84.848484848484844</v>
      </c>
      <c r="K23" s="53">
        <f>COUNTIFS('00 Encuesta'!$B$2:$B$511,"*c)*",'00 Encuesta'!$C$2:$C$511,"*a)*",'00 Encuesta'!$E$2:$E$511,"*b)*",'00 Encuesta'!$F$2:$F$511,"*a)*")</f>
        <v>26</v>
      </c>
      <c r="L23" s="52">
        <f>K23/$J$7*100</f>
        <v>81.25</v>
      </c>
      <c r="M23" s="23"/>
      <c r="N23" s="51">
        <f>P23+R23</f>
        <v>41</v>
      </c>
      <c r="O23" s="52">
        <f>N23/$Q$5*100</f>
        <v>80.392156862745097</v>
      </c>
      <c r="P23" s="53">
        <f>COUNTIFS('00 Encuesta'!$B$2:$B$511,"*c)*",'00 Encuesta'!$C$2:$C$511,"*b)*",'00 Encuesta'!$E$2:$E$511,"*a)*",'00 Encuesta'!$F$2:$F$511,"*a)*")</f>
        <v>22</v>
      </c>
      <c r="Q23" s="52">
        <f>P23/$Q$6*100</f>
        <v>78.571428571428569</v>
      </c>
      <c r="R23" s="53">
        <f>COUNTIFS('00 Encuesta'!$B$2:$B$511,"*c)*",'00 Encuesta'!$C$2:$C$511,"*b)*",'00 Encuesta'!$E$2:$E$511,"*b)*",'00 Encuesta'!$F$2:$F$511,"*a)*")</f>
        <v>19</v>
      </c>
      <c r="S23" s="52">
        <f>R23/$Q$7*100</f>
        <v>82.608695652173907</v>
      </c>
      <c r="T23" s="3"/>
      <c r="U23" s="51">
        <f>W23+Y23</f>
        <v>33</v>
      </c>
      <c r="V23" s="52">
        <f>U23/$X$5*100</f>
        <v>66</v>
      </c>
      <c r="W23" s="53">
        <f>COUNTIFS('00 Encuesta'!$B$2:$B$511,"*c)*",'00 Encuesta'!$C$2:$C$511,"*d)*",'00 Encuesta'!$E$2:$E$511,"*a)*",'00 Encuesta'!$F$2:$F$511,"*a)*")</f>
        <v>16</v>
      </c>
      <c r="X23" s="52">
        <f>W23/$X$6*100</f>
        <v>59.259259259259252</v>
      </c>
      <c r="Y23" s="53">
        <f>COUNTIFS('00 Encuesta'!$B$2:$B$511,"*c)*",'00 Encuesta'!$C$2:$C$511,"*d)*",'00 Encuesta'!$E$2:$E$511,"*b)*",'00 Encuesta'!$F$2:$F$511,"*a)*")</f>
        <v>17</v>
      </c>
      <c r="Z23" s="52">
        <f>Y23/$X$7*100</f>
        <v>73.91304347826086</v>
      </c>
      <c r="AA23" s="3"/>
      <c r="AB23" s="62">
        <f>G23+N23+U23</f>
        <v>128</v>
      </c>
      <c r="AC23" s="52">
        <f>AB23*100/$AC$5</f>
        <v>77.108433734939766</v>
      </c>
      <c r="AD23" s="7"/>
      <c r="AE23" s="7"/>
      <c r="AF23" s="9" t="str">
        <f>A23&amp;" "&amp;B23</f>
        <v>a) Católica</v>
      </c>
      <c r="AG23" s="72">
        <f>J23</f>
        <v>84.848484848484844</v>
      </c>
      <c r="AH23" s="72">
        <f>L23</f>
        <v>81.25</v>
      </c>
      <c r="AI23" s="73">
        <f>H23</f>
        <v>83.07692307692308</v>
      </c>
      <c r="AJ23" s="73"/>
      <c r="AK23" s="74">
        <f>Q23</f>
        <v>78.571428571428569</v>
      </c>
      <c r="AL23" s="74">
        <f>S23</f>
        <v>82.608695652173907</v>
      </c>
      <c r="AM23" s="74">
        <f>O23</f>
        <v>80.392156862745097</v>
      </c>
      <c r="AN23" s="74"/>
      <c r="AO23" s="75">
        <f>X23</f>
        <v>59.259259259259252</v>
      </c>
      <c r="AP23" s="75">
        <f>Z23</f>
        <v>73.91304347826086</v>
      </c>
      <c r="AQ23" s="75">
        <f>V23</f>
        <v>66</v>
      </c>
      <c r="AR23" s="7"/>
      <c r="AS23" s="76">
        <f t="shared" si="1"/>
        <v>77.108433734939766</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4</v>
      </c>
      <c r="H24" s="52">
        <f>G24/$J$5*100</f>
        <v>6.1538461538461542</v>
      </c>
      <c r="I24" s="53">
        <f>COUNTIFS('00 Encuesta'!$B$2:$B$511,"*c)*",'00 Encuesta'!$C$2:$C$511,"*a)*",'00 Encuesta'!$E$2:$E$511,"*a)*",'00 Encuesta'!$F$2:$F$511,"*b)*")</f>
        <v>1</v>
      </c>
      <c r="J24" s="52">
        <f>I24/$J$6*100</f>
        <v>3.0303030303030303</v>
      </c>
      <c r="K24" s="53">
        <f>COUNTIFS('00 Encuesta'!$B$2:$B$511,"*c)*",'00 Encuesta'!$C$2:$C$511,"*a)*",'00 Encuesta'!$E$2:$E$511,"*b)*",'00 Encuesta'!$F$2:$F$511,"*b)*")</f>
        <v>3</v>
      </c>
      <c r="L24" s="52">
        <f>K24/$J$7*100</f>
        <v>9.375</v>
      </c>
      <c r="M24" s="23"/>
      <c r="N24" s="51">
        <f>P24+R24</f>
        <v>2</v>
      </c>
      <c r="O24" s="52">
        <f>N24/$Q$5*100</f>
        <v>3.9215686274509802</v>
      </c>
      <c r="P24" s="53">
        <f>COUNTIFS('00 Encuesta'!$B$2:$B$511,"*c)*",'00 Encuesta'!$C$2:$C$511,"*b)*",'00 Encuesta'!$E$2:$E$511,"*a)*",'00 Encuesta'!$F$2:$F$511,"*b)*")</f>
        <v>2</v>
      </c>
      <c r="Q24" s="52">
        <f>P24/$Q$6*100</f>
        <v>7.1428571428571423</v>
      </c>
      <c r="R24" s="53">
        <f>COUNTIFS('00 Encuesta'!$B$2:$B$511,"*c)*",'00 Encuesta'!$C$2:$C$511,"*b)*",'00 Encuesta'!$E$2:$E$511,"*b)*",'00 Encuesta'!$F$2:$F$511,"*b)*")</f>
        <v>0</v>
      </c>
      <c r="S24" s="52">
        <f>R24/$Q$7*100</f>
        <v>0</v>
      </c>
      <c r="T24" s="3"/>
      <c r="U24" s="51">
        <f>W24+Y24</f>
        <v>10</v>
      </c>
      <c r="V24" s="52">
        <f>U24/$X$5*100</f>
        <v>20</v>
      </c>
      <c r="W24" s="53">
        <f>COUNTIFS('00 Encuesta'!$B$2:$B$511,"*c)*",'00 Encuesta'!$C$2:$C$511,"*d)*",'00 Encuesta'!$E$2:$E$511,"*a)*",'00 Encuesta'!$F$2:$F$511,"*b)*")</f>
        <v>5</v>
      </c>
      <c r="X24" s="52">
        <f>W24/$X$6*100</f>
        <v>18.518518518518519</v>
      </c>
      <c r="Y24" s="53">
        <f>COUNTIFS('00 Encuesta'!$B$2:$B$511,"*c)*",'00 Encuesta'!$C$2:$C$511,"*d)*",'00 Encuesta'!$E$2:$E$511,"*b)*",'00 Encuesta'!$F$2:$F$511,"*b)*")</f>
        <v>5</v>
      </c>
      <c r="Z24" s="52">
        <f>Y24/$X$7*100</f>
        <v>21.739130434782609</v>
      </c>
      <c r="AA24" s="3"/>
      <c r="AB24" s="62">
        <f>G24+N24+U24</f>
        <v>16</v>
      </c>
      <c r="AC24" s="52">
        <f>AB24*100/$AC$5</f>
        <v>9.6385542168674707</v>
      </c>
      <c r="AD24" s="7"/>
      <c r="AE24" s="7"/>
      <c r="AF24" s="9" t="str">
        <f>A24&amp;" "&amp;B24</f>
        <v>b) Evangélica</v>
      </c>
      <c r="AG24" s="72">
        <f>J24</f>
        <v>3.0303030303030303</v>
      </c>
      <c r="AH24" s="72">
        <f>L24</f>
        <v>9.375</v>
      </c>
      <c r="AI24" s="73">
        <f>H24</f>
        <v>6.1538461538461542</v>
      </c>
      <c r="AJ24" s="73"/>
      <c r="AK24" s="74">
        <f>Q24</f>
        <v>7.1428571428571423</v>
      </c>
      <c r="AL24" s="74">
        <f>S24</f>
        <v>0</v>
      </c>
      <c r="AM24" s="74">
        <f>O24</f>
        <v>3.9215686274509802</v>
      </c>
      <c r="AN24" s="74"/>
      <c r="AO24" s="75">
        <f>X24</f>
        <v>18.518518518518519</v>
      </c>
      <c r="AP24" s="75">
        <f>Z24</f>
        <v>21.739130434782609</v>
      </c>
      <c r="AQ24" s="75">
        <f>V24</f>
        <v>20</v>
      </c>
      <c r="AR24" s="7"/>
      <c r="AS24" s="76">
        <f t="shared" si="1"/>
        <v>9.6385542168674707</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x14ac:dyDescent="0.3">
      <c r="A25" s="8" t="s">
        <v>20</v>
      </c>
      <c r="B25" s="9" t="s">
        <v>29</v>
      </c>
      <c r="C25" s="7"/>
      <c r="D25" s="7"/>
      <c r="E25" s="7"/>
      <c r="F25" s="71"/>
      <c r="G25" s="51">
        <f>I25+K25</f>
        <v>0</v>
      </c>
      <c r="H25" s="52">
        <f>G25/$J$5*100</f>
        <v>0</v>
      </c>
      <c r="I25" s="53">
        <f>COUNTIFS('00 Encuesta'!$B$2:$B$511,"*c)*",'00 Encuesta'!$C$2:$C$511,"*a)*",'00 Encuesta'!$E$2:$E$511,"*a)*",'00 Encuesta'!$F$2:$F$511,"*c)*")</f>
        <v>0</v>
      </c>
      <c r="J25" s="52">
        <f>I25/$J$6*100</f>
        <v>0</v>
      </c>
      <c r="K25" s="53">
        <f>COUNTIFS('00 Encuesta'!$B$2:$B$511,"*c)*",'00 Encuesta'!$C$2:$C$511,"*a)*",'00 Encuesta'!$E$2:$E$511,"*b)*",'00 Encuesta'!$F$2:$F$511,"*c)*")</f>
        <v>0</v>
      </c>
      <c r="L25" s="52">
        <f>K25/$J$7*100</f>
        <v>0</v>
      </c>
      <c r="M25" s="23"/>
      <c r="N25" s="51">
        <f>P25+R25</f>
        <v>0</v>
      </c>
      <c r="O25" s="52">
        <f>N25/$Q$5*100</f>
        <v>0</v>
      </c>
      <c r="P25" s="53">
        <f>COUNTIFS('00 Encuesta'!$B$2:$B$511,"*c)*",'00 Encuesta'!$C$2:$C$511,"*b)*",'00 Encuesta'!$E$2:$E$511,"*a)*",'00 Encuesta'!$F$2:$F$511,"*c)*")</f>
        <v>0</v>
      </c>
      <c r="Q25" s="52">
        <f>P25/$Q$6*100</f>
        <v>0</v>
      </c>
      <c r="R25" s="53">
        <f>COUNTIFS('00 Encuesta'!$B$2:$B$511,"*c)*",'00 Encuesta'!$C$2:$C$511,"*b)*",'00 Encuesta'!$E$2:$E$511,"*b)*",'00 Encuesta'!$F$2:$F$511,"*c)*")</f>
        <v>0</v>
      </c>
      <c r="S25" s="52">
        <f>R25/$Q$7*100</f>
        <v>0</v>
      </c>
      <c r="T25" s="3"/>
      <c r="U25" s="51">
        <f>W25+Y25</f>
        <v>0</v>
      </c>
      <c r="V25" s="52">
        <f>U25/$X$5*100</f>
        <v>0</v>
      </c>
      <c r="W25" s="53">
        <f>COUNTIFS('00 Encuesta'!$B$2:$B$511,"*c)*",'00 Encuesta'!$C$2:$C$511,"*d)*",'00 Encuesta'!$E$2:$E$511,"*a)*",'00 Encuesta'!$F$2:$F$511,"*c)*")</f>
        <v>0</v>
      </c>
      <c r="X25" s="52">
        <f>W25/$X$6*100</f>
        <v>0</v>
      </c>
      <c r="Y25" s="53">
        <f>COUNTIFS('00 Encuesta'!$B$2:$B$511,"*c)*",'00 Encuesta'!$C$2:$C$511,"*d)*",'00 Encuesta'!$E$2:$E$511,"*b)*",'00 Encuesta'!$F$2:$F$511,"*c)*")</f>
        <v>0</v>
      </c>
      <c r="Z25" s="52">
        <f>Y25/$X$7*100</f>
        <v>0</v>
      </c>
      <c r="AA25" s="3"/>
      <c r="AB25" s="62">
        <f>G25+N25+U25</f>
        <v>0</v>
      </c>
      <c r="AC25" s="52">
        <f>AB25*100/$AC$5</f>
        <v>0</v>
      </c>
      <c r="AD25" s="7"/>
      <c r="AE25" s="7"/>
      <c r="AF25" s="9" t="str">
        <f>A25&amp;" "&amp;B25</f>
        <v>c) Musulmana</v>
      </c>
      <c r="AG25" s="72">
        <f>J25</f>
        <v>0</v>
      </c>
      <c r="AH25" s="72">
        <f>L25</f>
        <v>0</v>
      </c>
      <c r="AI25" s="73">
        <f>H25</f>
        <v>0</v>
      </c>
      <c r="AJ25" s="73"/>
      <c r="AK25" s="74">
        <f>Q25</f>
        <v>0</v>
      </c>
      <c r="AL25" s="74">
        <f>S25</f>
        <v>0</v>
      </c>
      <c r="AM25" s="74">
        <f>O25</f>
        <v>0</v>
      </c>
      <c r="AN25" s="74"/>
      <c r="AO25" s="75">
        <f>X25</f>
        <v>0</v>
      </c>
      <c r="AP25" s="75">
        <f>Z25</f>
        <v>0</v>
      </c>
      <c r="AQ25" s="75">
        <f>V25</f>
        <v>0</v>
      </c>
      <c r="AR25" s="7"/>
      <c r="AS25" s="76">
        <f t="shared" si="1"/>
        <v>0</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x14ac:dyDescent="0.3">
      <c r="A26" s="8" t="s">
        <v>21</v>
      </c>
      <c r="B26" s="9" t="s">
        <v>30</v>
      </c>
      <c r="C26" s="7"/>
      <c r="D26" s="7"/>
      <c r="E26" s="7"/>
      <c r="F26" s="71"/>
      <c r="G26" s="51">
        <f>I26+K26</f>
        <v>7</v>
      </c>
      <c r="H26" s="52">
        <f>G26/$J$5*100</f>
        <v>10.76923076923077</v>
      </c>
      <c r="I26" s="53">
        <f>COUNTIFS('00 Encuesta'!$B$2:$B$511,"*c)*",'00 Encuesta'!$C$2:$C$511,"*a)*",'00 Encuesta'!$E$2:$E$511,"*a)*",'00 Encuesta'!$F$2:$F$511,"*d)*")</f>
        <v>4</v>
      </c>
      <c r="J26" s="52">
        <f>I26/$J$6*100</f>
        <v>12.121212121212121</v>
      </c>
      <c r="K26" s="53">
        <f>COUNTIFS('00 Encuesta'!$B$2:$B$511,"*c)*",'00 Encuesta'!$C$2:$C$511,"*a)*",'00 Encuesta'!$E$2:$E$511,"*b)*",'00 Encuesta'!$F$2:$F$511,"*d)*")</f>
        <v>3</v>
      </c>
      <c r="L26" s="52">
        <f>K26/$J$7*100</f>
        <v>9.375</v>
      </c>
      <c r="M26" s="23"/>
      <c r="N26" s="51">
        <f>P26+R26</f>
        <v>8</v>
      </c>
      <c r="O26" s="52">
        <f>N26/$Q$5*100</f>
        <v>15.686274509803921</v>
      </c>
      <c r="P26" s="53">
        <f>COUNTIFS('00 Encuesta'!$B$2:$B$511,"*c)*",'00 Encuesta'!$C$2:$C$511,"*b)*",'00 Encuesta'!$E$2:$E$511,"*a)*",'00 Encuesta'!$F$2:$F$511,"*d)*")</f>
        <v>4</v>
      </c>
      <c r="Q26" s="52">
        <f>P26/$Q$6*100</f>
        <v>14.285714285714285</v>
      </c>
      <c r="R26" s="53">
        <f>COUNTIFS('00 Encuesta'!$B$2:$B$511,"*c)*",'00 Encuesta'!$C$2:$C$511,"*b)*",'00 Encuesta'!$E$2:$E$511,"*b)*",'00 Encuesta'!$F$2:$F$511,"*d)*")</f>
        <v>4</v>
      </c>
      <c r="S26" s="52">
        <f>R26/$Q$7*100</f>
        <v>17.391304347826086</v>
      </c>
      <c r="T26" s="3"/>
      <c r="U26" s="51">
        <f>W26+Y26</f>
        <v>4</v>
      </c>
      <c r="V26" s="52">
        <f>U26/$X$5*100</f>
        <v>8</v>
      </c>
      <c r="W26" s="53">
        <f>COUNTIFS('00 Encuesta'!$B$2:$B$511,"*c)*",'00 Encuesta'!$C$2:$C$511,"*d)*",'00 Encuesta'!$E$2:$E$511,"*a)*",'00 Encuesta'!$F$2:$F$511,"*d)*")</f>
        <v>3</v>
      </c>
      <c r="X26" s="52">
        <f>W26/$X$6*100</f>
        <v>11.111111111111111</v>
      </c>
      <c r="Y26" s="53">
        <f>COUNTIFS('00 Encuesta'!$B$2:$B$511,"*c)*",'00 Encuesta'!$C$2:$C$511,"*d)*",'00 Encuesta'!$E$2:$E$511,"*b)*",'00 Encuesta'!$F$2:$F$511,"*d)*")</f>
        <v>1</v>
      </c>
      <c r="Z26" s="52">
        <f>Y26/$X$7*100</f>
        <v>4.3478260869565215</v>
      </c>
      <c r="AA26" s="3"/>
      <c r="AB26" s="62">
        <f>G26+N26+U26</f>
        <v>19</v>
      </c>
      <c r="AC26" s="52">
        <f>AB26*100/$AC$5</f>
        <v>11.445783132530121</v>
      </c>
      <c r="AD26" s="7"/>
      <c r="AE26" s="7"/>
      <c r="AF26" s="9" t="str">
        <f>A26&amp;" "&amp;B26</f>
        <v>d) Otra</v>
      </c>
      <c r="AG26" s="72">
        <f>J26</f>
        <v>12.121212121212121</v>
      </c>
      <c r="AH26" s="72">
        <f>L26</f>
        <v>9.375</v>
      </c>
      <c r="AI26" s="73">
        <f>H26</f>
        <v>10.76923076923077</v>
      </c>
      <c r="AJ26" s="73"/>
      <c r="AK26" s="74">
        <f>Q26</f>
        <v>14.285714285714285</v>
      </c>
      <c r="AL26" s="74">
        <f>S26</f>
        <v>17.391304347826086</v>
      </c>
      <c r="AM26" s="74">
        <f>O26</f>
        <v>15.686274509803921</v>
      </c>
      <c r="AN26" s="74"/>
      <c r="AO26" s="75">
        <f>X26</f>
        <v>11.111111111111111</v>
      </c>
      <c r="AP26" s="75">
        <f>Z26</f>
        <v>4.3478260869565215</v>
      </c>
      <c r="AQ26" s="75">
        <f>V26</f>
        <v>8</v>
      </c>
      <c r="AR26" s="7"/>
      <c r="AS26" s="76">
        <f t="shared" si="1"/>
        <v>11.445783132530121</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x14ac:dyDescent="0.3">
      <c r="A27" s="8" t="s">
        <v>23</v>
      </c>
      <c r="B27" s="9" t="s">
        <v>24</v>
      </c>
      <c r="C27" s="7"/>
      <c r="D27" s="7"/>
      <c r="E27" s="7"/>
      <c r="F27" s="71"/>
      <c r="G27" s="51">
        <f>I27+K27</f>
        <v>0</v>
      </c>
      <c r="H27" s="52">
        <f>G27/$J$5*100</f>
        <v>0</v>
      </c>
      <c r="I27" s="53"/>
      <c r="J27" s="52">
        <f>I27/$J$6*100</f>
        <v>0</v>
      </c>
      <c r="K27" s="53"/>
      <c r="L27" s="52">
        <f>K27/$J$7*100</f>
        <v>0</v>
      </c>
      <c r="M27" s="23"/>
      <c r="N27" s="51">
        <f>P27+R27</f>
        <v>0</v>
      </c>
      <c r="O27" s="52">
        <f>N27/$Q$5*100</f>
        <v>0</v>
      </c>
      <c r="P27" s="53"/>
      <c r="Q27" s="52">
        <f>P27/$Q$6*100</f>
        <v>0</v>
      </c>
      <c r="R27" s="53"/>
      <c r="S27" s="52">
        <f>R27/$Q$7*100</f>
        <v>0</v>
      </c>
      <c r="T27" s="3"/>
      <c r="U27" s="51">
        <f>W27+Y27</f>
        <v>0</v>
      </c>
      <c r="V27" s="52">
        <f>U27/$X$5*100</f>
        <v>0</v>
      </c>
      <c r="W27" s="53"/>
      <c r="X27" s="52">
        <f>W27/$X$6*100</f>
        <v>0</v>
      </c>
      <c r="Y27" s="53"/>
      <c r="Z27" s="52">
        <f>Y27/$X$7*100</f>
        <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x14ac:dyDescent="0.3">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62</v>
      </c>
      <c r="H30" s="52">
        <f t="shared" ref="H30:H35" si="3">G30/$J$5*100</f>
        <v>95.384615384615387</v>
      </c>
      <c r="I30" s="53">
        <f>COUNTIFS('00 Encuesta'!$B$2:$B$511,"*c)*",'00 Encuesta'!$C$2:$C$511,"*a)*",'00 Encuesta'!$E$2:$E$511,"*a)*",'00 Encuesta'!$G$2:$G$511,"*a)*")</f>
        <v>32</v>
      </c>
      <c r="J30" s="52">
        <f t="shared" ref="J30:J35" si="4">I30/$J$6*100</f>
        <v>96.969696969696969</v>
      </c>
      <c r="K30" s="53">
        <f>COUNTIFS('00 Encuesta'!$B$2:$B$511,"*c)*",'00 Encuesta'!$C$2:$C$511,"*a)*",'00 Encuesta'!$E$2:$E$511,"*b)*",'00 Encuesta'!$G$2:$G$511,"*a)*")</f>
        <v>30</v>
      </c>
      <c r="L30" s="52">
        <f>K30/$J$7*100</f>
        <v>93.75</v>
      </c>
      <c r="M30" s="23"/>
      <c r="N30" s="51">
        <f>P30+R30</f>
        <v>51</v>
      </c>
      <c r="O30" s="52">
        <f>N30/$Q$5*100</f>
        <v>100</v>
      </c>
      <c r="P30" s="53">
        <f>COUNTIFS('00 Encuesta'!$B$2:$B$511,"*c)*",'00 Encuesta'!$C$2:$C$511,"*b)*",'00 Encuesta'!$E$2:$E$511,"*a)*",'00 Encuesta'!$G$2:$G$511,"*a)*")</f>
        <v>28</v>
      </c>
      <c r="Q30" s="52">
        <f>P30/$Q$6*100</f>
        <v>100</v>
      </c>
      <c r="R30" s="53">
        <f>COUNTIFS('00 Encuesta'!$B$2:$B$511,"*c)*",'00 Encuesta'!$C$2:$C$511,"*b)*",'00 Encuesta'!$E$2:$E$511,"*b)*",'00 Encuesta'!$G$2:$G$511,"*a)*")</f>
        <v>23</v>
      </c>
      <c r="S30" s="52">
        <f>R30/$Q$7*100</f>
        <v>100</v>
      </c>
      <c r="T30" s="3"/>
      <c r="U30" s="51">
        <f>W30+Y30</f>
        <v>41</v>
      </c>
      <c r="V30" s="52">
        <f>U30/$X$5*100</f>
        <v>82</v>
      </c>
      <c r="W30" s="53">
        <f>COUNTIFS('00 Encuesta'!$B$2:$B$511,"*c)*",'00 Encuesta'!$C$2:$C$511,"*d)*",'00 Encuesta'!$E$2:$E$511,"*a)*",'00 Encuesta'!$G$2:$G$511,"*a)*")</f>
        <v>24</v>
      </c>
      <c r="X30" s="52">
        <f>W30/$X$6*100</f>
        <v>88.888888888888886</v>
      </c>
      <c r="Y30" s="53">
        <f>COUNTIFS('00 Encuesta'!$B$2:$B$511,"*c)*",'00 Encuesta'!$C$2:$C$511,"*d)*",'00 Encuesta'!$E$2:$E$511,"*b)*",'00 Encuesta'!$G$2:$G$511,"*a)*")</f>
        <v>17</v>
      </c>
      <c r="Z30" s="52">
        <f t="shared" ref="Z30:Z35" si="5">Y30/$X$7*100</f>
        <v>73.91304347826086</v>
      </c>
      <c r="AA30" s="3"/>
      <c r="AB30" s="62">
        <f t="shared" ref="AB30:AB64" si="6">G30+N30+U30</f>
        <v>154</v>
      </c>
      <c r="AC30" s="52">
        <f t="shared" ref="AC30:AC35" si="7">AB30*100/$AC$5</f>
        <v>92.771084337349393</v>
      </c>
      <c r="AD30" s="7"/>
      <c r="AE30" s="7"/>
      <c r="AF30" s="9" t="str">
        <f t="shared" ref="AF30:AF35" si="8">A30&amp;" "&amp;B30</f>
        <v>a) Mamá</v>
      </c>
      <c r="AG30" s="72">
        <f t="shared" ref="AG30:AG35" si="9">J30</f>
        <v>96.969696969696969</v>
      </c>
      <c r="AH30" s="72">
        <f t="shared" ref="AH30:AH35" si="10">L30</f>
        <v>93.75</v>
      </c>
      <c r="AI30" s="73">
        <f t="shared" ref="AI30:AI35" si="11">H30</f>
        <v>95.384615384615387</v>
      </c>
      <c r="AJ30" s="73"/>
      <c r="AK30" s="74">
        <f t="shared" ref="AK30:AK35" si="12">Q30</f>
        <v>100</v>
      </c>
      <c r="AL30" s="74">
        <f t="shared" ref="AL30:AL35" si="13">S30</f>
        <v>100</v>
      </c>
      <c r="AM30" s="74">
        <f t="shared" ref="AM30:AM35" si="14">O30</f>
        <v>100</v>
      </c>
      <c r="AN30" s="74"/>
      <c r="AO30" s="75">
        <f t="shared" ref="AO30:AO35" si="15">X30</f>
        <v>88.888888888888886</v>
      </c>
      <c r="AP30" s="75">
        <f t="shared" ref="AP30:AP35" si="16">Z30</f>
        <v>73.91304347826086</v>
      </c>
      <c r="AQ30" s="75">
        <f t="shared" ref="AQ30:AQ35" si="17">V30</f>
        <v>82</v>
      </c>
      <c r="AR30" s="7"/>
      <c r="AS30" s="76">
        <f t="shared" si="1"/>
        <v>92.771084337349393</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52</v>
      </c>
      <c r="H31" s="52">
        <f t="shared" si="3"/>
        <v>80</v>
      </c>
      <c r="I31" s="53">
        <f>COUNTIFS('00 Encuesta'!$B$2:$B$511,"*c)*",'00 Encuesta'!$C$2:$C$511,"*a)*",'00 Encuesta'!$E$2:$E$511,"*a)*",'00 Encuesta'!$G$2:$G$511,"*b)*")</f>
        <v>24</v>
      </c>
      <c r="J31" s="52">
        <f t="shared" si="4"/>
        <v>72.727272727272734</v>
      </c>
      <c r="K31" s="53">
        <f>COUNTIFS('00 Encuesta'!$B$2:$B$511,"*c)*",'00 Encuesta'!$C$2:$C$511,"*a)*",'00 Encuesta'!$E$2:$E$511,"*b)*",'00 Encuesta'!$G$2:$G$511,"*b)*")</f>
        <v>28</v>
      </c>
      <c r="L31" s="52">
        <f>K31/$J$7*100</f>
        <v>87.5</v>
      </c>
      <c r="M31" s="23"/>
      <c r="N31" s="51">
        <f>P31+R31</f>
        <v>34</v>
      </c>
      <c r="O31" s="52">
        <f>N31/$Q$5*100</f>
        <v>66.666666666666657</v>
      </c>
      <c r="P31" s="53">
        <f>COUNTIFS('00 Encuesta'!$B$2:$B$511,"*c)*",'00 Encuesta'!$C$2:$C$511,"*b)*",'00 Encuesta'!$E$2:$E$511,"*a)*",'00 Encuesta'!$G$2:$G$511,"*b)*")</f>
        <v>19</v>
      </c>
      <c r="Q31" s="52">
        <f>P31/$Q$6*100</f>
        <v>67.857142857142861</v>
      </c>
      <c r="R31" s="53">
        <f>COUNTIFS('00 Encuesta'!$B$2:$B$511,"*c)*",'00 Encuesta'!$C$2:$C$511,"*b)*",'00 Encuesta'!$E$2:$E$511,"*b)*",'00 Encuesta'!$G$2:$G$511,"*b)*")</f>
        <v>15</v>
      </c>
      <c r="S31" s="52">
        <f>R31/$Q$7*100</f>
        <v>65.217391304347828</v>
      </c>
      <c r="T31" s="3"/>
      <c r="U31" s="51">
        <f>W31+Y31</f>
        <v>31</v>
      </c>
      <c r="V31" s="52">
        <f>U31/$X$5*100</f>
        <v>62</v>
      </c>
      <c r="W31" s="53">
        <f>COUNTIFS('00 Encuesta'!$B$2:$B$511,"*c)*",'00 Encuesta'!$C$2:$C$511,"*d)*",'00 Encuesta'!$E$2:$E$511,"*a)*",'00 Encuesta'!$G$2:$G$511,"*b)*")</f>
        <v>17</v>
      </c>
      <c r="X31" s="52">
        <f>W31/$X$6*100</f>
        <v>62.962962962962962</v>
      </c>
      <c r="Y31" s="53">
        <f>COUNTIFS('00 Encuesta'!$B$2:$B$511,"*c)*",'00 Encuesta'!$C$2:$C$511,"*d)*",'00 Encuesta'!$E$2:$E$511,"*b)*",'00 Encuesta'!$G$2:$G$511,"*b)*")</f>
        <v>14</v>
      </c>
      <c r="Z31" s="52">
        <f t="shared" si="5"/>
        <v>60.869565217391312</v>
      </c>
      <c r="AA31" s="3"/>
      <c r="AB31" s="62">
        <f t="shared" si="6"/>
        <v>117</v>
      </c>
      <c r="AC31" s="52">
        <f t="shared" si="7"/>
        <v>70.481927710843379</v>
      </c>
      <c r="AD31" s="7"/>
      <c r="AE31" s="7"/>
      <c r="AF31" s="9" t="str">
        <f t="shared" si="8"/>
        <v>b) Papá</v>
      </c>
      <c r="AG31" s="72">
        <f t="shared" si="9"/>
        <v>72.727272727272734</v>
      </c>
      <c r="AH31" s="72">
        <f t="shared" si="10"/>
        <v>87.5</v>
      </c>
      <c r="AI31" s="73">
        <f t="shared" si="11"/>
        <v>80</v>
      </c>
      <c r="AJ31" s="73"/>
      <c r="AK31" s="74">
        <f t="shared" si="12"/>
        <v>67.857142857142861</v>
      </c>
      <c r="AL31" s="74">
        <f t="shared" si="13"/>
        <v>65.217391304347828</v>
      </c>
      <c r="AM31" s="74">
        <f t="shared" si="14"/>
        <v>66.666666666666657</v>
      </c>
      <c r="AN31" s="74"/>
      <c r="AO31" s="75">
        <f t="shared" si="15"/>
        <v>62.962962962962962</v>
      </c>
      <c r="AP31" s="75">
        <f t="shared" si="16"/>
        <v>60.869565217391312</v>
      </c>
      <c r="AQ31" s="75">
        <f t="shared" si="17"/>
        <v>62</v>
      </c>
      <c r="AR31" s="7"/>
      <c r="AS31" s="76">
        <f t="shared" si="1"/>
        <v>70.481927710843379</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x14ac:dyDescent="0.3">
      <c r="A32" s="8" t="s">
        <v>20</v>
      </c>
      <c r="B32" s="9" t="s">
        <v>35</v>
      </c>
      <c r="C32" s="80"/>
      <c r="D32" s="7"/>
      <c r="E32" s="80"/>
      <c r="F32" s="10"/>
      <c r="G32" s="51">
        <f t="shared" si="2"/>
        <v>57</v>
      </c>
      <c r="H32" s="52">
        <f t="shared" si="3"/>
        <v>87.692307692307693</v>
      </c>
      <c r="I32" s="53">
        <f>COUNTIFS('00 Encuesta'!$B$2:$B$511,"*c)*",'00 Encuesta'!$C$2:$C$511,"*a)*",'00 Encuesta'!$E$2:$E$511,"*a)*",'00 Encuesta'!$G$2:$G$511,"*c)*")</f>
        <v>27</v>
      </c>
      <c r="J32" s="52">
        <f t="shared" si="4"/>
        <v>81.818181818181827</v>
      </c>
      <c r="K32" s="53">
        <f>COUNTIFS('00 Encuesta'!$B$2:$B$511,"*c)*",'00 Encuesta'!$C$2:$C$511,"*a)*",'00 Encuesta'!$E$2:$E$511,"*b)*",'00 Encuesta'!$G$2:$G$511,"*c)*")</f>
        <v>30</v>
      </c>
      <c r="L32" s="52">
        <f>K32/$J$7*100</f>
        <v>93.75</v>
      </c>
      <c r="M32" s="23"/>
      <c r="N32" s="51">
        <f>P32+R32</f>
        <v>41</v>
      </c>
      <c r="O32" s="52">
        <f>N32/$Q$5*100</f>
        <v>80.392156862745097</v>
      </c>
      <c r="P32" s="53">
        <f>COUNTIFS('00 Encuesta'!$B$2:$B$511,"*c)*",'00 Encuesta'!$C$2:$C$511,"*b)*",'00 Encuesta'!$E$2:$E$511,"*a)*",'00 Encuesta'!$G$2:$G$511,"*c)*")</f>
        <v>23</v>
      </c>
      <c r="Q32" s="52">
        <f>P32/$Q$6*100</f>
        <v>82.142857142857139</v>
      </c>
      <c r="R32" s="53">
        <f>COUNTIFS('00 Encuesta'!$B$2:$B$511,"*c)*",'00 Encuesta'!$C$2:$C$511,"*b)*",'00 Encuesta'!$E$2:$E$511,"*b)*",'00 Encuesta'!$G$2:$G$511,"*c)*")</f>
        <v>18</v>
      </c>
      <c r="S32" s="52">
        <f>R32/$Q$7*100</f>
        <v>78.260869565217391</v>
      </c>
      <c r="T32" s="3"/>
      <c r="U32" s="51">
        <f>W32+Y32</f>
        <v>39</v>
      </c>
      <c r="V32" s="52">
        <f>U32/$X$5*100</f>
        <v>78</v>
      </c>
      <c r="W32" s="53">
        <f>COUNTIFS('00 Encuesta'!$B$2:$B$511,"*c)*",'00 Encuesta'!$C$2:$C$511,"*d)*",'00 Encuesta'!$E$2:$E$511,"*a)*",'00 Encuesta'!$G$2:$G$511,"*c)*")</f>
        <v>21</v>
      </c>
      <c r="X32" s="52">
        <f>W32/$X$6*100</f>
        <v>77.777777777777786</v>
      </c>
      <c r="Y32" s="53">
        <f>COUNTIFS('00 Encuesta'!$B$2:$B$511,"*c)*",'00 Encuesta'!$C$2:$C$511,"*d)*",'00 Encuesta'!$E$2:$E$511,"*b)*",'00 Encuesta'!$G$2:$G$511,"*c)*")</f>
        <v>18</v>
      </c>
      <c r="Z32" s="52">
        <f t="shared" si="5"/>
        <v>78.260869565217391</v>
      </c>
      <c r="AA32" s="3"/>
      <c r="AB32" s="62">
        <f t="shared" si="6"/>
        <v>137</v>
      </c>
      <c r="AC32" s="52">
        <f t="shared" si="7"/>
        <v>82.53012048192771</v>
      </c>
      <c r="AD32" s="7"/>
      <c r="AE32" s="7"/>
      <c r="AF32" s="9" t="str">
        <f t="shared" si="8"/>
        <v>c) Hermanos</v>
      </c>
      <c r="AG32" s="72">
        <f t="shared" si="9"/>
        <v>81.818181818181827</v>
      </c>
      <c r="AH32" s="72">
        <f t="shared" si="10"/>
        <v>93.75</v>
      </c>
      <c r="AI32" s="73">
        <f t="shared" si="11"/>
        <v>87.692307692307693</v>
      </c>
      <c r="AJ32" s="73"/>
      <c r="AK32" s="74">
        <f t="shared" si="12"/>
        <v>82.142857142857139</v>
      </c>
      <c r="AL32" s="74">
        <f t="shared" si="13"/>
        <v>78.260869565217391</v>
      </c>
      <c r="AM32" s="74">
        <f t="shared" si="14"/>
        <v>80.392156862745097</v>
      </c>
      <c r="AN32" s="74"/>
      <c r="AO32" s="75">
        <f t="shared" si="15"/>
        <v>77.777777777777786</v>
      </c>
      <c r="AP32" s="75">
        <f t="shared" si="16"/>
        <v>78.260869565217391</v>
      </c>
      <c r="AQ32" s="75">
        <f t="shared" si="17"/>
        <v>78</v>
      </c>
      <c r="AR32" s="7"/>
      <c r="AS32" s="76">
        <f t="shared" si="1"/>
        <v>82.53012048192771</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x14ac:dyDescent="0.3">
      <c r="A33" s="8" t="s">
        <v>21</v>
      </c>
      <c r="B33" s="9" t="s">
        <v>36</v>
      </c>
      <c r="C33" s="7"/>
      <c r="D33" s="7"/>
      <c r="E33" s="7"/>
      <c r="F33" s="71"/>
      <c r="G33" s="51">
        <f t="shared" si="2"/>
        <v>24</v>
      </c>
      <c r="H33" s="52">
        <f t="shared" si="3"/>
        <v>36.923076923076927</v>
      </c>
      <c r="I33" s="53">
        <f>COUNTIFS('00 Encuesta'!$B$2:$B$511,"*c)*",'00 Encuesta'!$C$2:$C$511,"*a)*",'00 Encuesta'!$E$2:$E$511,"*a)*",'00 Encuesta'!$G$2:$G$511,"*d)*")</f>
        <v>14</v>
      </c>
      <c r="J33" s="52">
        <f t="shared" si="4"/>
        <v>42.424242424242422</v>
      </c>
      <c r="K33" s="53">
        <f>COUNTIFS('00 Encuesta'!$B$2:$B$511,"*c)*",'00 Encuesta'!$C$2:$C$511,"*a)*",'00 Encuesta'!$E$2:$E$511,"*b)*",'00 Encuesta'!$G$2:$G$511,"*d)*")</f>
        <v>10</v>
      </c>
      <c r="L33" s="52">
        <f>K33/$J$7*100</f>
        <v>31.25</v>
      </c>
      <c r="M33" s="23"/>
      <c r="N33" s="51">
        <f>P33+R33</f>
        <v>21</v>
      </c>
      <c r="O33" s="52">
        <f>N33/$Q$5*100</f>
        <v>41.17647058823529</v>
      </c>
      <c r="P33" s="53">
        <f>COUNTIFS('00 Encuesta'!$B$2:$B$511,"*c)*",'00 Encuesta'!$C$2:$C$511,"*b)*",'00 Encuesta'!$E$2:$E$511,"*a)*",'00 Encuesta'!$G$2:$G$511,"*d)*")</f>
        <v>14</v>
      </c>
      <c r="Q33" s="52">
        <f>P33/$Q$6*100</f>
        <v>50</v>
      </c>
      <c r="R33" s="53">
        <f>COUNTIFS('00 Encuesta'!$B$2:$B$511,"*c)*",'00 Encuesta'!$C$2:$C$511,"*b)*",'00 Encuesta'!$E$2:$E$511,"*b)*",'00 Encuesta'!$G$2:$G$511,"*d)*")</f>
        <v>7</v>
      </c>
      <c r="S33" s="52">
        <f>R33/$Q$7*100</f>
        <v>30.434782608695656</v>
      </c>
      <c r="T33" s="3"/>
      <c r="U33" s="51">
        <f>W33+Y33</f>
        <v>11</v>
      </c>
      <c r="V33" s="52">
        <f>U33/$X$5*100</f>
        <v>22</v>
      </c>
      <c r="W33" s="53">
        <f>COUNTIFS('00 Encuesta'!$B$2:$B$511,"*c)*",'00 Encuesta'!$C$2:$C$511,"*d)*",'00 Encuesta'!$E$2:$E$511,"*a)*",'00 Encuesta'!$G$2:$G$511,"*d)*")</f>
        <v>5</v>
      </c>
      <c r="X33" s="52">
        <f>W33/$X$6*100</f>
        <v>18.518518518518519</v>
      </c>
      <c r="Y33" s="53">
        <f>COUNTIFS('00 Encuesta'!$B$2:$B$511,"*c)*",'00 Encuesta'!$C$2:$C$511,"*d)*",'00 Encuesta'!$E$2:$E$511,"*b)*",'00 Encuesta'!$G$2:$G$511,"*d)*")</f>
        <v>6</v>
      </c>
      <c r="Z33" s="52">
        <f t="shared" si="5"/>
        <v>26.086956521739129</v>
      </c>
      <c r="AA33" s="3"/>
      <c r="AB33" s="62">
        <f t="shared" si="6"/>
        <v>56</v>
      </c>
      <c r="AC33" s="52">
        <f t="shared" si="7"/>
        <v>33.734939759036145</v>
      </c>
      <c r="AD33" s="7"/>
      <c r="AE33" s="7"/>
      <c r="AF33" s="9" t="str">
        <f t="shared" si="8"/>
        <v>d) Abuelos</v>
      </c>
      <c r="AG33" s="72">
        <f t="shared" si="9"/>
        <v>42.424242424242422</v>
      </c>
      <c r="AH33" s="72">
        <f t="shared" si="10"/>
        <v>31.25</v>
      </c>
      <c r="AI33" s="73">
        <f t="shared" si="11"/>
        <v>36.923076923076927</v>
      </c>
      <c r="AJ33" s="73"/>
      <c r="AK33" s="74">
        <f t="shared" si="12"/>
        <v>50</v>
      </c>
      <c r="AL33" s="74">
        <f t="shared" si="13"/>
        <v>30.434782608695656</v>
      </c>
      <c r="AM33" s="74">
        <f t="shared" si="14"/>
        <v>41.17647058823529</v>
      </c>
      <c r="AN33" s="74"/>
      <c r="AO33" s="75">
        <f t="shared" si="15"/>
        <v>18.518518518518519</v>
      </c>
      <c r="AP33" s="75">
        <f t="shared" si="16"/>
        <v>26.086956521739129</v>
      </c>
      <c r="AQ33" s="75">
        <f t="shared" si="17"/>
        <v>22</v>
      </c>
      <c r="AR33" s="7"/>
      <c r="AS33" s="76">
        <f t="shared" si="1"/>
        <v>33.734939759036145</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x14ac:dyDescent="0.3">
      <c r="A34" s="8" t="s">
        <v>22</v>
      </c>
      <c r="B34" s="9" t="s">
        <v>37</v>
      </c>
      <c r="C34" s="7"/>
      <c r="D34" s="7"/>
      <c r="E34" s="7"/>
      <c r="F34" s="71"/>
      <c r="G34" s="51">
        <f t="shared" si="2"/>
        <v>17</v>
      </c>
      <c r="H34" s="52">
        <f t="shared" si="3"/>
        <v>26.153846153846157</v>
      </c>
      <c r="I34" s="53">
        <f>COUNTIFS('00 Encuesta'!$B$2:$B$511,"*c)*",'00 Encuesta'!$C$2:$C$511,"*a)*",'00 Encuesta'!$E$2:$E$511,"*a)*",'00 Encuesta'!$G$2:$G$511,"*e)*")</f>
        <v>10</v>
      </c>
      <c r="J34" s="52">
        <f t="shared" si="4"/>
        <v>30.303030303030305</v>
      </c>
      <c r="K34" s="53">
        <f>COUNTIFS('00 Encuesta'!$B$2:$B$511,"*c)*",'00 Encuesta'!$C$2:$C$511,"*a)*",'00 Encuesta'!$E$2:$E$511,"*b)*",'00 Encuesta'!$G$2:$G$511,"*e)*")</f>
        <v>7</v>
      </c>
      <c r="L34" s="52">
        <f>K34/$J$7*100</f>
        <v>21.875</v>
      </c>
      <c r="M34" s="23"/>
      <c r="N34" s="51">
        <f>P34+R34</f>
        <v>22</v>
      </c>
      <c r="O34" s="52">
        <f>N34/$Q$5*100</f>
        <v>43.137254901960787</v>
      </c>
      <c r="P34" s="53">
        <f>COUNTIFS('00 Encuesta'!$B$2:$B$511,"*c)*",'00 Encuesta'!$C$2:$C$511,"*b)*",'00 Encuesta'!$E$2:$E$511,"*a)*",'00 Encuesta'!$G$2:$G$511,"*e)*")</f>
        <v>15</v>
      </c>
      <c r="Q34" s="52">
        <f>P34/$Q$6*100</f>
        <v>53.571428571428569</v>
      </c>
      <c r="R34" s="53">
        <f>COUNTIFS('00 Encuesta'!$B$2:$B$511,"*c)*",'00 Encuesta'!$C$2:$C$511,"*b)*",'00 Encuesta'!$E$2:$E$511,"*b)*",'00 Encuesta'!$G$2:$G$511,"*e)*")</f>
        <v>7</v>
      </c>
      <c r="S34" s="52">
        <f>R34/$Q$7*100</f>
        <v>30.434782608695656</v>
      </c>
      <c r="T34" s="3"/>
      <c r="U34" s="51">
        <f>W34+Y34</f>
        <v>17</v>
      </c>
      <c r="V34" s="52">
        <f>U34/$X$5*100</f>
        <v>34</v>
      </c>
      <c r="W34" s="53">
        <f>COUNTIFS('00 Encuesta'!$B$2:$B$511,"*c)*",'00 Encuesta'!$C$2:$C$511,"*d)*",'00 Encuesta'!$E$2:$E$511,"*a)*",'00 Encuesta'!$G$2:$G$511,"*e)*")</f>
        <v>9</v>
      </c>
      <c r="X34" s="52">
        <f>W34/$X$6*100</f>
        <v>33.333333333333329</v>
      </c>
      <c r="Y34" s="53">
        <f>COUNTIFS('00 Encuesta'!$B$2:$B$511,"*c)*",'00 Encuesta'!$C$2:$C$511,"*d)*",'00 Encuesta'!$E$2:$E$511,"*b)*",'00 Encuesta'!$G$2:$G$511,"*e)*")</f>
        <v>8</v>
      </c>
      <c r="Z34" s="52">
        <f t="shared" si="5"/>
        <v>34.782608695652172</v>
      </c>
      <c r="AA34" s="3"/>
      <c r="AB34" s="62">
        <f t="shared" si="6"/>
        <v>56</v>
      </c>
      <c r="AC34" s="52">
        <f t="shared" si="7"/>
        <v>33.734939759036145</v>
      </c>
      <c r="AD34" s="7"/>
      <c r="AE34" s="7"/>
      <c r="AF34" s="9" t="str">
        <f t="shared" si="8"/>
        <v>e) Otros familiares</v>
      </c>
      <c r="AG34" s="72">
        <f t="shared" si="9"/>
        <v>30.303030303030305</v>
      </c>
      <c r="AH34" s="72">
        <f t="shared" si="10"/>
        <v>21.875</v>
      </c>
      <c r="AI34" s="73">
        <f t="shared" si="11"/>
        <v>26.153846153846157</v>
      </c>
      <c r="AJ34" s="73"/>
      <c r="AK34" s="74">
        <f t="shared" si="12"/>
        <v>53.571428571428569</v>
      </c>
      <c r="AL34" s="74">
        <f t="shared" si="13"/>
        <v>30.434782608695656</v>
      </c>
      <c r="AM34" s="74">
        <f t="shared" si="14"/>
        <v>43.137254901960787</v>
      </c>
      <c r="AN34" s="74"/>
      <c r="AO34" s="75">
        <f t="shared" si="15"/>
        <v>33.333333333333329</v>
      </c>
      <c r="AP34" s="75">
        <f t="shared" si="16"/>
        <v>34.782608695652172</v>
      </c>
      <c r="AQ34" s="75">
        <f t="shared" si="17"/>
        <v>34</v>
      </c>
      <c r="AR34" s="7"/>
      <c r="AS34" s="76">
        <f t="shared" si="1"/>
        <v>33.734939759036145</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x14ac:dyDescent="0.3">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f t="shared" ref="O35" si="20">N35/$Q$5*100</f>
        <v>0</v>
      </c>
      <c r="P35" s="53"/>
      <c r="Q35" s="52">
        <f t="shared" ref="Q35" si="21">P35/$Q$6*100</f>
        <v>0</v>
      </c>
      <c r="R35" s="53"/>
      <c r="S35" s="52">
        <f t="shared" ref="S35" si="22">R35/$Q$7*100</f>
        <v>0</v>
      </c>
      <c r="T35" s="3"/>
      <c r="U35" s="51">
        <f t="shared" ref="U35" si="23">W35+Y35</f>
        <v>0</v>
      </c>
      <c r="V35" s="52">
        <f t="shared" ref="V35" si="24">U35/$X$5*100</f>
        <v>0</v>
      </c>
      <c r="W35" s="53"/>
      <c r="X35" s="52">
        <f t="shared" ref="X35" si="25">W35/$X$6*100</f>
        <v>0</v>
      </c>
      <c r="Y35" s="53"/>
      <c r="Z35" s="52">
        <f t="shared" si="5"/>
        <v>0</v>
      </c>
      <c r="AA35" s="3"/>
      <c r="AB35" s="62">
        <f t="shared" si="6"/>
        <v>0</v>
      </c>
      <c r="AC35" s="52">
        <f t="shared" si="7"/>
        <v>0</v>
      </c>
      <c r="AD35" s="7"/>
      <c r="AE35" s="7"/>
      <c r="AF35" s="9" t="str">
        <f t="shared" si="8"/>
        <v>S/R Sin Respuesta</v>
      </c>
      <c r="AG35" s="72">
        <f t="shared" si="9"/>
        <v>0</v>
      </c>
      <c r="AH35" s="72">
        <f t="shared" si="10"/>
        <v>0</v>
      </c>
      <c r="AI35" s="73">
        <f t="shared" si="11"/>
        <v>0</v>
      </c>
      <c r="AJ35" s="73"/>
      <c r="AK35" s="74">
        <f t="shared" si="12"/>
        <v>0</v>
      </c>
      <c r="AL35" s="74">
        <f t="shared" si="13"/>
        <v>0</v>
      </c>
      <c r="AM35" s="74">
        <f t="shared" si="14"/>
        <v>0</v>
      </c>
      <c r="AN35" s="74"/>
      <c r="AO35" s="75">
        <f t="shared" si="15"/>
        <v>0</v>
      </c>
      <c r="AP35" s="75">
        <f t="shared" si="16"/>
        <v>0</v>
      </c>
      <c r="AQ35" s="75">
        <f t="shared" si="17"/>
        <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x14ac:dyDescent="0.3">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x14ac:dyDescent="0.3">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x14ac:dyDescent="0.3">
      <c r="A38" s="8" t="s">
        <v>17</v>
      </c>
      <c r="B38" s="9" t="s">
        <v>40</v>
      </c>
      <c r="C38" s="7"/>
      <c r="D38" s="7"/>
      <c r="E38" s="7"/>
      <c r="F38" s="71"/>
      <c r="G38" s="51">
        <f t="shared" ref="G38:G44" si="26">I38+K38</f>
        <v>0</v>
      </c>
      <c r="H38" s="52">
        <f t="shared" ref="H38:H44" si="27">G38/$J$5*100</f>
        <v>0</v>
      </c>
      <c r="I38" s="53">
        <f>COUNTIFS('00 Encuesta'!$B$2:$B$511,"*c)*",'00 Encuesta'!$C$2:$C$511,"*a)*",'00 Encuesta'!$E$2:$E$511,"*a)*",'00 Encuesta'!$H$2:$H$511,"*a)*")</f>
        <v>0</v>
      </c>
      <c r="J38" s="52">
        <f t="shared" ref="J38:J44" si="28">I38/$J$6*100</f>
        <v>0</v>
      </c>
      <c r="K38" s="53">
        <f>COUNTIFS('00 Encuesta'!$B$2:$B$511,"*c)*",'00 Encuesta'!$C$2:$C$511,"*a)*",'00 Encuesta'!$E$2:$E$511,"*b)*",'00 Encuesta'!$H$2:$H$511,"*a)*")</f>
        <v>0</v>
      </c>
      <c r="L38" s="52">
        <f t="shared" ref="L38:L43" si="29">K38/$J$7*100</f>
        <v>0</v>
      </c>
      <c r="M38" s="23"/>
      <c r="N38" s="51">
        <f t="shared" ref="N38:N43" si="30">P38+R38</f>
        <v>0</v>
      </c>
      <c r="O38" s="52">
        <f>N38/$Q$5*100</f>
        <v>0</v>
      </c>
      <c r="P38" s="53">
        <f>COUNTIFS('00 Encuesta'!$B$2:$B$511,"*c)*",'00 Encuesta'!$C$2:$C$511,"*b)*",'00 Encuesta'!$E$2:$E$511,"*a)*",'00 Encuesta'!$H$2:$H$511,"*a)*")</f>
        <v>0</v>
      </c>
      <c r="Q38" s="52">
        <f>P38/$Q$6*100</f>
        <v>0</v>
      </c>
      <c r="R38" s="53">
        <f>COUNTIFS('00 Encuesta'!$B$2:$B$511,"*c)*",'00 Encuesta'!$C$2:$C$511,"*b)*",'00 Encuesta'!$E$2:$E$511,"*b)*",'00 Encuesta'!$H$2:$H$511,"*a)*")</f>
        <v>0</v>
      </c>
      <c r="S38" s="52">
        <f t="shared" ref="S38:S43" si="31">R38/$Q$7*100</f>
        <v>0</v>
      </c>
      <c r="T38" s="3"/>
      <c r="U38" s="51">
        <f t="shared" ref="U38:U43" si="32">W38+Y38</f>
        <v>0</v>
      </c>
      <c r="V38" s="52">
        <f t="shared" ref="V38:V43" si="33">U38/$X$5*100</f>
        <v>0</v>
      </c>
      <c r="W38" s="53">
        <f>COUNTIFS('00 Encuesta'!$B$2:$B$511,"*c)*",'00 Encuesta'!$C$2:$C$511,"*d)*",'00 Encuesta'!$E$2:$E$511,"*a)*",'00 Encuesta'!$H$2:$H$511,"*a)*")</f>
        <v>0</v>
      </c>
      <c r="X38" s="52">
        <f t="shared" ref="X38:X43" si="34">W38/$X$6*100</f>
        <v>0</v>
      </c>
      <c r="Y38" s="53">
        <f>COUNTIFS('00 Encuesta'!$B$2:$B$511,"*c)*",'00 Encuesta'!$C$2:$C$511,"*d)*",'00 Encuesta'!$E$2:$E$511,"*b)*",'00 Encuesta'!$H$2:$H$511,"*a)*")</f>
        <v>0</v>
      </c>
      <c r="Z38" s="52">
        <f t="shared" ref="Z38:Z44" si="35">Y38/$X$7*100</f>
        <v>0</v>
      </c>
      <c r="AA38" s="3"/>
      <c r="AB38" s="62">
        <f t="shared" si="6"/>
        <v>0</v>
      </c>
      <c r="AC38" s="52">
        <f t="shared" ref="AC38:AC44" si="36">AB38*100/$AC$5</f>
        <v>0</v>
      </c>
      <c r="AD38" s="7"/>
      <c r="AE38" s="7"/>
      <c r="AF38" s="9" t="str">
        <f t="shared" ref="AF38:AF44" si="37">A38&amp;" "&amp;B38</f>
        <v>a) Quinta</v>
      </c>
      <c r="AG38" s="72">
        <f t="shared" ref="AG38:AG44" si="38">J38</f>
        <v>0</v>
      </c>
      <c r="AH38" s="72">
        <f t="shared" ref="AH38:AH44" si="39">L38</f>
        <v>0</v>
      </c>
      <c r="AI38" s="73">
        <f t="shared" ref="AI38:AI44" si="40">H38</f>
        <v>0</v>
      </c>
      <c r="AJ38" s="73"/>
      <c r="AK38" s="76">
        <f t="shared" ref="AK38:AK44" si="41">Q38</f>
        <v>0</v>
      </c>
      <c r="AL38" s="76">
        <f t="shared" ref="AL38:AL44" si="42">S38</f>
        <v>0</v>
      </c>
      <c r="AM38" s="76">
        <f t="shared" ref="AM38:AM44" si="43">O38</f>
        <v>0</v>
      </c>
      <c r="AN38" s="76"/>
      <c r="AO38" s="81">
        <f t="shared" ref="AO38:AO44" si="44">X38</f>
        <v>0</v>
      </c>
      <c r="AP38" s="81">
        <f t="shared" ref="AP38:AP44" si="45">Z38</f>
        <v>0</v>
      </c>
      <c r="AQ38" s="81">
        <f t="shared" ref="AQ38:AQ44" si="46">V38</f>
        <v>0</v>
      </c>
      <c r="AR38" s="7"/>
      <c r="AS38" s="76">
        <f t="shared" si="1"/>
        <v>0</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x14ac:dyDescent="0.3">
      <c r="A39" s="8" t="s">
        <v>18</v>
      </c>
      <c r="B39" s="9" t="s">
        <v>41</v>
      </c>
      <c r="C39" s="7"/>
      <c r="D39" s="7"/>
      <c r="E39" s="7"/>
      <c r="F39" s="71"/>
      <c r="G39" s="51">
        <f t="shared" si="26"/>
        <v>52</v>
      </c>
      <c r="H39" s="52">
        <f t="shared" si="27"/>
        <v>80</v>
      </c>
      <c r="I39" s="53">
        <f>COUNTIFS('00 Encuesta'!$B$2:$B$511,"*c)*",'00 Encuesta'!$C$2:$C$511,"*a)*",'00 Encuesta'!$E$2:$E$511,"*a)*",'00 Encuesta'!$H$2:$H$511,"*b)*")</f>
        <v>25</v>
      </c>
      <c r="J39" s="52">
        <f t="shared" si="28"/>
        <v>75.757575757575751</v>
      </c>
      <c r="K39" s="53">
        <f>COUNTIFS('00 Encuesta'!$B$2:$B$511,"*c)*",'00 Encuesta'!$C$2:$C$511,"*a)*",'00 Encuesta'!$E$2:$E$511,"*b)*",'00 Encuesta'!$H$2:$H$511,"*b)*")</f>
        <v>27</v>
      </c>
      <c r="L39" s="52">
        <f t="shared" si="29"/>
        <v>84.375</v>
      </c>
      <c r="M39" s="23"/>
      <c r="N39" s="51">
        <f t="shared" si="30"/>
        <v>37</v>
      </c>
      <c r="O39" s="52">
        <f t="shared" ref="O39:O43" si="47">N39/$Q$5*100</f>
        <v>72.549019607843135</v>
      </c>
      <c r="P39" s="53">
        <f>COUNTIFS('00 Encuesta'!$B$2:$B$511,"*c)*",'00 Encuesta'!$C$2:$C$511,"*b)*",'00 Encuesta'!$E$2:$E$511,"*a)*",'00 Encuesta'!$H$2:$H$511,"*b)*")</f>
        <v>20</v>
      </c>
      <c r="Q39" s="52">
        <f>P39/$Q$6*100</f>
        <v>71.428571428571431</v>
      </c>
      <c r="R39" s="53">
        <f>COUNTIFS('00 Encuesta'!$B$2:$B$511,"*c)*",'00 Encuesta'!$C$2:$C$511,"*b)*",'00 Encuesta'!$E$2:$E$511,"*b)*",'00 Encuesta'!$H$2:$H$511,"*b)*")</f>
        <v>17</v>
      </c>
      <c r="S39" s="52">
        <f>R39/$Q$7*100</f>
        <v>73.91304347826086</v>
      </c>
      <c r="T39" s="3"/>
      <c r="U39" s="51">
        <f t="shared" si="32"/>
        <v>42</v>
      </c>
      <c r="V39" s="52">
        <f t="shared" si="33"/>
        <v>84</v>
      </c>
      <c r="W39" s="53">
        <f>COUNTIFS('00 Encuesta'!$B$2:$B$511,"*c)*",'00 Encuesta'!$C$2:$C$511,"*d)*",'00 Encuesta'!$E$2:$E$511,"*a)*",'00 Encuesta'!$H$2:$H$511,"*b)*")</f>
        <v>22</v>
      </c>
      <c r="X39" s="52">
        <f t="shared" si="34"/>
        <v>81.481481481481481</v>
      </c>
      <c r="Y39" s="53">
        <f>COUNTIFS('00 Encuesta'!$B$2:$B$511,"*c)*",'00 Encuesta'!$C$2:$C$511,"*d)*",'00 Encuesta'!$E$2:$E$511,"*b)*",'00 Encuesta'!$H$2:$H$511,"*b)*")</f>
        <v>20</v>
      </c>
      <c r="Z39" s="52">
        <f t="shared" si="35"/>
        <v>86.956521739130437</v>
      </c>
      <c r="AA39" s="3"/>
      <c r="AB39" s="62">
        <f t="shared" si="6"/>
        <v>131</v>
      </c>
      <c r="AC39" s="52">
        <f t="shared" si="36"/>
        <v>78.915662650602414</v>
      </c>
      <c r="AD39" s="7"/>
      <c r="AE39" s="7"/>
      <c r="AF39" s="9" t="str">
        <f t="shared" si="37"/>
        <v>b) Casa urbana</v>
      </c>
      <c r="AG39" s="72">
        <f t="shared" si="38"/>
        <v>75.757575757575751</v>
      </c>
      <c r="AH39" s="72">
        <f t="shared" si="39"/>
        <v>84.375</v>
      </c>
      <c r="AI39" s="73">
        <f t="shared" si="40"/>
        <v>80</v>
      </c>
      <c r="AJ39" s="73"/>
      <c r="AK39" s="76">
        <f t="shared" si="41"/>
        <v>71.428571428571431</v>
      </c>
      <c r="AL39" s="76">
        <f t="shared" si="42"/>
        <v>73.91304347826086</v>
      </c>
      <c r="AM39" s="76">
        <f t="shared" si="43"/>
        <v>72.549019607843135</v>
      </c>
      <c r="AN39" s="76"/>
      <c r="AO39" s="81">
        <f t="shared" si="44"/>
        <v>81.481481481481481</v>
      </c>
      <c r="AP39" s="81">
        <f t="shared" si="45"/>
        <v>86.956521739130437</v>
      </c>
      <c r="AQ39" s="81">
        <f t="shared" si="46"/>
        <v>84</v>
      </c>
      <c r="AR39" s="7"/>
      <c r="AS39" s="76">
        <f t="shared" si="1"/>
        <v>78.915662650602414</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x14ac:dyDescent="0.3">
      <c r="A40" s="8" t="s">
        <v>20</v>
      </c>
      <c r="B40" s="9" t="s">
        <v>42</v>
      </c>
      <c r="C40" s="7"/>
      <c r="D40" s="7"/>
      <c r="E40" s="7"/>
      <c r="F40" s="71"/>
      <c r="G40" s="51">
        <f t="shared" si="26"/>
        <v>6</v>
      </c>
      <c r="H40" s="52">
        <f t="shared" si="27"/>
        <v>9.2307692307692317</v>
      </c>
      <c r="I40" s="53">
        <f>COUNTIFS('00 Encuesta'!$B$2:$B$511,"*c)*",'00 Encuesta'!$C$2:$C$511,"*a)*",'00 Encuesta'!$E$2:$E$511,"*a)*",'00 Encuesta'!$H$2:$H$511,"*c)*")</f>
        <v>3</v>
      </c>
      <c r="J40" s="52">
        <f t="shared" si="28"/>
        <v>9.0909090909090917</v>
      </c>
      <c r="K40" s="53">
        <f>COUNTIFS('00 Encuesta'!$B$2:$B$511,"*c)*",'00 Encuesta'!$C$2:$C$511,"*a)*",'00 Encuesta'!$E$2:$E$511,"*b)*",'00 Encuesta'!$H$2:$H$511,"*c)*")</f>
        <v>3</v>
      </c>
      <c r="L40" s="52">
        <f t="shared" si="29"/>
        <v>9.375</v>
      </c>
      <c r="M40" s="23"/>
      <c r="N40" s="51">
        <f t="shared" si="30"/>
        <v>3</v>
      </c>
      <c r="O40" s="52">
        <f t="shared" si="47"/>
        <v>5.8823529411764701</v>
      </c>
      <c r="P40" s="53">
        <f>COUNTIFS('00 Encuesta'!$B$2:$B$511,"*c)*",'00 Encuesta'!$C$2:$C$511,"*b)*",'00 Encuesta'!$E$2:$E$511,"*a)*",'00 Encuesta'!$H$2:$H$511,"*c)*")</f>
        <v>2</v>
      </c>
      <c r="Q40" s="52">
        <f t="shared" ref="Q40:Q43" si="48">P40/$Q$6*100</f>
        <v>7.1428571428571423</v>
      </c>
      <c r="R40" s="53">
        <f>COUNTIFS('00 Encuesta'!$B$2:$B$511,"*c)*",'00 Encuesta'!$C$2:$C$511,"*b)*",'00 Encuesta'!$E$2:$E$511,"*b)*",'00 Encuesta'!$H$2:$H$511,"*c)*")</f>
        <v>1</v>
      </c>
      <c r="S40" s="52">
        <f t="shared" si="31"/>
        <v>4.3478260869565215</v>
      </c>
      <c r="T40" s="3"/>
      <c r="U40" s="51">
        <f t="shared" si="32"/>
        <v>2</v>
      </c>
      <c r="V40" s="52">
        <f t="shared" si="33"/>
        <v>4</v>
      </c>
      <c r="W40" s="53">
        <f>COUNTIFS('00 Encuesta'!$B$2:$B$511,"*c)*",'00 Encuesta'!$C$2:$C$511,"*d)*",'00 Encuesta'!$E$2:$E$511,"*a)*",'00 Encuesta'!$H$2:$H$511,"*c)*")</f>
        <v>2</v>
      </c>
      <c r="X40" s="52">
        <f t="shared" si="34"/>
        <v>7.4074074074074066</v>
      </c>
      <c r="Y40" s="53">
        <f>COUNTIFS('00 Encuesta'!$B$2:$B$511,"*c)*",'00 Encuesta'!$C$2:$C$511,"*d)*",'00 Encuesta'!$E$2:$E$511,"*b)*",'00 Encuesta'!$H$2:$H$511,"*c)*")</f>
        <v>0</v>
      </c>
      <c r="Z40" s="52">
        <f t="shared" si="35"/>
        <v>0</v>
      </c>
      <c r="AA40" s="3"/>
      <c r="AB40" s="62">
        <f t="shared" si="6"/>
        <v>11</v>
      </c>
      <c r="AC40" s="52">
        <f t="shared" si="36"/>
        <v>6.6265060240963853</v>
      </c>
      <c r="AD40" s="7"/>
      <c r="AE40" s="7"/>
      <c r="AF40" s="9" t="str">
        <f t="shared" si="37"/>
        <v>c) Apartamento</v>
      </c>
      <c r="AG40" s="72">
        <f t="shared" si="38"/>
        <v>9.0909090909090917</v>
      </c>
      <c r="AH40" s="72">
        <f t="shared" si="39"/>
        <v>9.375</v>
      </c>
      <c r="AI40" s="73">
        <f t="shared" si="40"/>
        <v>9.2307692307692317</v>
      </c>
      <c r="AJ40" s="73"/>
      <c r="AK40" s="76">
        <f t="shared" si="41"/>
        <v>7.1428571428571423</v>
      </c>
      <c r="AL40" s="76">
        <f t="shared" si="42"/>
        <v>4.3478260869565215</v>
      </c>
      <c r="AM40" s="76">
        <f t="shared" si="43"/>
        <v>5.8823529411764701</v>
      </c>
      <c r="AN40" s="76"/>
      <c r="AO40" s="81">
        <f t="shared" si="44"/>
        <v>7.4074074074074066</v>
      </c>
      <c r="AP40" s="81">
        <f t="shared" si="45"/>
        <v>0</v>
      </c>
      <c r="AQ40" s="81">
        <f t="shared" si="46"/>
        <v>4</v>
      </c>
      <c r="AR40" s="7"/>
      <c r="AS40" s="76">
        <f t="shared" si="1"/>
        <v>6.6265060240963853</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x14ac:dyDescent="0.3">
      <c r="A41" s="8" t="s">
        <v>21</v>
      </c>
      <c r="B41" s="9" t="s">
        <v>43</v>
      </c>
      <c r="C41" s="7"/>
      <c r="D41" s="7"/>
      <c r="E41" s="7"/>
      <c r="F41" s="71"/>
      <c r="G41" s="51">
        <f t="shared" si="26"/>
        <v>7</v>
      </c>
      <c r="H41" s="52">
        <f t="shared" si="27"/>
        <v>10.76923076923077</v>
      </c>
      <c r="I41" s="53">
        <f>COUNTIFS('00 Encuesta'!$B$2:$B$511,"*c)*",'00 Encuesta'!$C$2:$C$511,"*a)*",'00 Encuesta'!$E$2:$E$511,"*a)*",'00 Encuesta'!$H$2:$H$511,"*d)*")</f>
        <v>5</v>
      </c>
      <c r="J41" s="52">
        <f t="shared" si="28"/>
        <v>15.151515151515152</v>
      </c>
      <c r="K41" s="53">
        <f>COUNTIFS('00 Encuesta'!$B$2:$B$511,"*c)*",'00 Encuesta'!$C$2:$C$511,"*a)*",'00 Encuesta'!$E$2:$E$511,"*b)*",'00 Encuesta'!$H$2:$H$511,"*d)*")</f>
        <v>2</v>
      </c>
      <c r="L41" s="52">
        <f t="shared" si="29"/>
        <v>6.25</v>
      </c>
      <c r="M41" s="23"/>
      <c r="N41" s="51">
        <f t="shared" si="30"/>
        <v>6</v>
      </c>
      <c r="O41" s="52">
        <f t="shared" si="47"/>
        <v>11.76470588235294</v>
      </c>
      <c r="P41" s="53">
        <f>COUNTIFS('00 Encuesta'!$B$2:$B$511,"*c)*",'00 Encuesta'!$C$2:$C$511,"*b)*",'00 Encuesta'!$E$2:$E$511,"*a)*",'00 Encuesta'!$H$2:$H$511,"*d)*")</f>
        <v>3</v>
      </c>
      <c r="Q41" s="52">
        <f t="shared" si="48"/>
        <v>10.714285714285714</v>
      </c>
      <c r="R41" s="53">
        <f>COUNTIFS('00 Encuesta'!$B$2:$B$511,"*c)*",'00 Encuesta'!$C$2:$C$511,"*b)*",'00 Encuesta'!$E$2:$E$511,"*b)*",'00 Encuesta'!$H$2:$H$511,"*d)*")</f>
        <v>3</v>
      </c>
      <c r="S41" s="52">
        <f t="shared" si="31"/>
        <v>13.043478260869565</v>
      </c>
      <c r="T41" s="3"/>
      <c r="U41" s="51">
        <f t="shared" si="32"/>
        <v>3</v>
      </c>
      <c r="V41" s="52">
        <f t="shared" si="33"/>
        <v>6</v>
      </c>
      <c r="W41" s="53">
        <f>COUNTIFS('00 Encuesta'!$B$2:$B$511,"*c)*",'00 Encuesta'!$C$2:$C$511,"*d)*",'00 Encuesta'!$E$2:$E$511,"*a)*",'00 Encuesta'!$H$2:$H$511,"*d)*")</f>
        <v>1</v>
      </c>
      <c r="X41" s="52">
        <f t="shared" si="34"/>
        <v>3.7037037037037033</v>
      </c>
      <c r="Y41" s="53">
        <f>COUNTIFS('00 Encuesta'!$B$2:$B$511,"*c)*",'00 Encuesta'!$C$2:$C$511,"*d)*",'00 Encuesta'!$E$2:$E$511,"*b)*",'00 Encuesta'!$H$2:$H$511,"*d)*")</f>
        <v>2</v>
      </c>
      <c r="Z41" s="52">
        <f t="shared" si="35"/>
        <v>8.695652173913043</v>
      </c>
      <c r="AA41" s="3"/>
      <c r="AB41" s="62">
        <f t="shared" si="6"/>
        <v>16</v>
      </c>
      <c r="AC41" s="52">
        <f t="shared" si="36"/>
        <v>9.6385542168674707</v>
      </c>
      <c r="AD41" s="7"/>
      <c r="AE41" s="7"/>
      <c r="AF41" s="9" t="str">
        <f t="shared" si="37"/>
        <v>d) Casa rural</v>
      </c>
      <c r="AG41" s="72">
        <f t="shared" si="38"/>
        <v>15.151515151515152</v>
      </c>
      <c r="AH41" s="72">
        <f t="shared" si="39"/>
        <v>6.25</v>
      </c>
      <c r="AI41" s="73">
        <f t="shared" si="40"/>
        <v>10.76923076923077</v>
      </c>
      <c r="AJ41" s="73"/>
      <c r="AK41" s="76">
        <f t="shared" si="41"/>
        <v>10.714285714285714</v>
      </c>
      <c r="AL41" s="76">
        <f t="shared" si="42"/>
        <v>13.043478260869565</v>
      </c>
      <c r="AM41" s="76">
        <f t="shared" si="43"/>
        <v>11.76470588235294</v>
      </c>
      <c r="AN41" s="76"/>
      <c r="AO41" s="81">
        <f t="shared" si="44"/>
        <v>3.7037037037037033</v>
      </c>
      <c r="AP41" s="81">
        <f t="shared" si="45"/>
        <v>8.695652173913043</v>
      </c>
      <c r="AQ41" s="81">
        <f t="shared" si="46"/>
        <v>6</v>
      </c>
      <c r="AR41" s="7"/>
      <c r="AS41" s="76">
        <f t="shared" si="1"/>
        <v>9.6385542168674707</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x14ac:dyDescent="0.3">
      <c r="A42" s="8" t="s">
        <v>22</v>
      </c>
      <c r="B42" s="9" t="s">
        <v>44</v>
      </c>
      <c r="C42" s="7"/>
      <c r="D42" s="7"/>
      <c r="E42" s="7"/>
      <c r="F42" s="71"/>
      <c r="G42" s="51">
        <f t="shared" si="26"/>
        <v>0</v>
      </c>
      <c r="H42" s="52">
        <f t="shared" si="27"/>
        <v>0</v>
      </c>
      <c r="I42" s="53">
        <f>COUNTIFS('00 Encuesta'!$B$2:$B$511,"*c)*",'00 Encuesta'!$C$2:$C$511,"*a)*",'00 Encuesta'!$E$2:$E$511,"*a)*",'00 Encuesta'!$H$2:$H$511,"*e)*")</f>
        <v>0</v>
      </c>
      <c r="J42" s="52">
        <f t="shared" si="28"/>
        <v>0</v>
      </c>
      <c r="K42" s="53">
        <f>COUNTIFS('00 Encuesta'!$B$2:$B$511,"*c)*",'00 Encuesta'!$C$2:$C$511,"*a)*",'00 Encuesta'!$E$2:$E$511,"*b)*",'00 Encuesta'!$H$2:$H$511,"*e)*")</f>
        <v>0</v>
      </c>
      <c r="L42" s="52">
        <f t="shared" si="29"/>
        <v>0</v>
      </c>
      <c r="M42" s="23"/>
      <c r="N42" s="51">
        <f t="shared" si="30"/>
        <v>1</v>
      </c>
      <c r="O42" s="52">
        <f t="shared" si="47"/>
        <v>1.9607843137254901</v>
      </c>
      <c r="P42" s="53">
        <f>COUNTIFS('00 Encuesta'!$B$2:$B$511,"*c)*",'00 Encuesta'!$C$2:$C$511,"*b)*",'00 Encuesta'!$E$2:$E$511,"*a)*",'00 Encuesta'!$H$2:$H$511,"*e)*")</f>
        <v>0</v>
      </c>
      <c r="Q42" s="52">
        <f t="shared" si="48"/>
        <v>0</v>
      </c>
      <c r="R42" s="53">
        <f>COUNTIFS('00 Encuesta'!$B$2:$B$511,"*c)*",'00 Encuesta'!$C$2:$C$511,"*b)*",'00 Encuesta'!$E$2:$E$511,"*b)*",'00 Encuesta'!$H$2:$H$511,"*e)*")</f>
        <v>1</v>
      </c>
      <c r="S42" s="52">
        <f t="shared" si="31"/>
        <v>4.3478260869565215</v>
      </c>
      <c r="T42" s="3"/>
      <c r="U42" s="51">
        <f t="shared" si="32"/>
        <v>2</v>
      </c>
      <c r="V42" s="52">
        <f t="shared" si="33"/>
        <v>4</v>
      </c>
      <c r="W42" s="53">
        <f>COUNTIFS('00 Encuesta'!$B$2:$B$511,"*c)*",'00 Encuesta'!$C$2:$C$511,"*d)*",'00 Encuesta'!$E$2:$E$511,"*a)*",'00 Encuesta'!$H$2:$H$511,"*e)*")</f>
        <v>2</v>
      </c>
      <c r="X42" s="52">
        <f t="shared" si="34"/>
        <v>7.4074074074074066</v>
      </c>
      <c r="Y42" s="53">
        <f>COUNTIFS('00 Encuesta'!$B$2:$B$511,"*c)*",'00 Encuesta'!$C$2:$C$511,"*d)*",'00 Encuesta'!$E$2:$E$511,"*b)*",'00 Encuesta'!$H$2:$H$511,"*e)*")</f>
        <v>0</v>
      </c>
      <c r="Z42" s="52">
        <f t="shared" si="35"/>
        <v>0</v>
      </c>
      <c r="AA42" s="3"/>
      <c r="AB42" s="62">
        <f t="shared" si="6"/>
        <v>3</v>
      </c>
      <c r="AC42" s="52">
        <f t="shared" si="36"/>
        <v>1.8072289156626506</v>
      </c>
      <c r="AD42" s="7"/>
      <c r="AE42" s="7"/>
      <c r="AF42" s="9" t="str">
        <f t="shared" si="37"/>
        <v>e) Rancho</v>
      </c>
      <c r="AG42" s="72">
        <f t="shared" si="38"/>
        <v>0</v>
      </c>
      <c r="AH42" s="72">
        <f t="shared" si="39"/>
        <v>0</v>
      </c>
      <c r="AI42" s="73">
        <f t="shared" si="40"/>
        <v>0</v>
      </c>
      <c r="AJ42" s="73"/>
      <c r="AK42" s="76">
        <f t="shared" si="41"/>
        <v>0</v>
      </c>
      <c r="AL42" s="76">
        <f t="shared" si="42"/>
        <v>4.3478260869565215</v>
      </c>
      <c r="AM42" s="76">
        <f t="shared" si="43"/>
        <v>1.9607843137254901</v>
      </c>
      <c r="AN42" s="76"/>
      <c r="AO42" s="81">
        <f t="shared" si="44"/>
        <v>7.4074074074074066</v>
      </c>
      <c r="AP42" s="81">
        <f t="shared" si="45"/>
        <v>0</v>
      </c>
      <c r="AQ42" s="81">
        <f t="shared" si="46"/>
        <v>4</v>
      </c>
      <c r="AR42" s="7"/>
      <c r="AS42" s="76">
        <f t="shared" si="1"/>
        <v>1.8072289156626506</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x14ac:dyDescent="0.3">
      <c r="A43" s="8" t="s">
        <v>45</v>
      </c>
      <c r="B43" s="9" t="s">
        <v>46</v>
      </c>
      <c r="C43" s="7"/>
      <c r="D43" s="7"/>
      <c r="E43" s="7"/>
      <c r="F43" s="71"/>
      <c r="G43" s="51">
        <f t="shared" si="26"/>
        <v>0</v>
      </c>
      <c r="H43" s="52">
        <f t="shared" si="27"/>
        <v>0</v>
      </c>
      <c r="I43" s="53">
        <f>COUNTIFS('00 Encuesta'!$B$2:$B$511,"*c)*",'00 Encuesta'!$C$2:$C$511,"*a)*",'00 Encuesta'!$E$2:$E$511,"*a)*",'00 Encuesta'!$H$2:$H$511,"*f)*")</f>
        <v>0</v>
      </c>
      <c r="J43" s="52">
        <f t="shared" si="28"/>
        <v>0</v>
      </c>
      <c r="K43" s="53">
        <f>COUNTIFS('00 Encuesta'!$B$2:$B$511,"*c)*",'00 Encuesta'!$C$2:$C$511,"*a)*",'00 Encuesta'!$E$2:$E$511,"*b)*",'00 Encuesta'!$H$2:$H$511,"*f)*")</f>
        <v>0</v>
      </c>
      <c r="L43" s="52">
        <f t="shared" si="29"/>
        <v>0</v>
      </c>
      <c r="M43" s="23"/>
      <c r="N43" s="51">
        <f t="shared" si="30"/>
        <v>3</v>
      </c>
      <c r="O43" s="52">
        <f t="shared" si="47"/>
        <v>5.8823529411764701</v>
      </c>
      <c r="P43" s="53">
        <f>COUNTIFS('00 Encuesta'!$B$2:$B$511,"*c)*",'00 Encuesta'!$C$2:$C$511,"*b)*",'00 Encuesta'!$E$2:$E$511,"*a)*",'00 Encuesta'!$H$2:$H$511,"*f)*")</f>
        <v>2</v>
      </c>
      <c r="Q43" s="52">
        <f t="shared" si="48"/>
        <v>7.1428571428571423</v>
      </c>
      <c r="R43" s="53">
        <f>COUNTIFS('00 Encuesta'!$B$2:$B$511,"*c)*",'00 Encuesta'!$C$2:$C$511,"*b)*",'00 Encuesta'!$E$2:$E$511,"*b)*",'00 Encuesta'!$H$2:$H$511,"*f)*")</f>
        <v>1</v>
      </c>
      <c r="S43" s="52">
        <f t="shared" si="31"/>
        <v>4.3478260869565215</v>
      </c>
      <c r="T43" s="3"/>
      <c r="U43" s="51">
        <f t="shared" si="32"/>
        <v>1</v>
      </c>
      <c r="V43" s="52">
        <f t="shared" si="33"/>
        <v>2</v>
      </c>
      <c r="W43" s="53">
        <f>COUNTIFS('00 Encuesta'!$B$2:$B$511,"*c)*",'00 Encuesta'!$C$2:$C$511,"*d)*",'00 Encuesta'!$E$2:$E$511,"*a)*",'00 Encuesta'!$H$2:$H$511,"*f)*")</f>
        <v>0</v>
      </c>
      <c r="X43" s="52">
        <f t="shared" si="34"/>
        <v>0</v>
      </c>
      <c r="Y43" s="53">
        <f>COUNTIFS('00 Encuesta'!$B$2:$B$511,"*c)*",'00 Encuesta'!$C$2:$C$511,"*d)*",'00 Encuesta'!$E$2:$E$511,"*b)*",'00 Encuesta'!$H$2:$H$511,"*f)*")</f>
        <v>1</v>
      </c>
      <c r="Z43" s="52">
        <f t="shared" si="35"/>
        <v>4.3478260869565215</v>
      </c>
      <c r="AA43" s="3"/>
      <c r="AB43" s="62">
        <f t="shared" si="6"/>
        <v>4</v>
      </c>
      <c r="AC43" s="52">
        <f t="shared" si="36"/>
        <v>2.4096385542168677</v>
      </c>
      <c r="AD43" s="7"/>
      <c r="AE43" s="7"/>
      <c r="AF43" s="9" t="str">
        <f t="shared" si="37"/>
        <v>f) Otro</v>
      </c>
      <c r="AG43" s="72">
        <f t="shared" si="38"/>
        <v>0</v>
      </c>
      <c r="AH43" s="72">
        <f t="shared" si="39"/>
        <v>0</v>
      </c>
      <c r="AI43" s="73">
        <f t="shared" si="40"/>
        <v>0</v>
      </c>
      <c r="AJ43" s="73"/>
      <c r="AK43" s="76">
        <f t="shared" si="41"/>
        <v>7.1428571428571423</v>
      </c>
      <c r="AL43" s="76">
        <f t="shared" si="42"/>
        <v>4.3478260869565215</v>
      </c>
      <c r="AM43" s="76">
        <f t="shared" si="43"/>
        <v>5.8823529411764701</v>
      </c>
      <c r="AN43" s="76"/>
      <c r="AO43" s="81">
        <f t="shared" si="44"/>
        <v>0</v>
      </c>
      <c r="AP43" s="81">
        <f t="shared" si="45"/>
        <v>4.3478260869565215</v>
      </c>
      <c r="AQ43" s="81">
        <f t="shared" si="46"/>
        <v>2</v>
      </c>
      <c r="AR43" s="7"/>
      <c r="AS43" s="76">
        <f t="shared" si="1"/>
        <v>2.4096385542168677</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x14ac:dyDescent="0.3">
      <c r="A44" s="8" t="s">
        <v>23</v>
      </c>
      <c r="B44" s="9" t="s">
        <v>24</v>
      </c>
      <c r="C44" s="7"/>
      <c r="D44" s="7"/>
      <c r="E44" s="7"/>
      <c r="F44" s="71"/>
      <c r="G44" s="51">
        <f t="shared" si="26"/>
        <v>0</v>
      </c>
      <c r="H44" s="52">
        <f t="shared" si="27"/>
        <v>0</v>
      </c>
      <c r="I44" s="53"/>
      <c r="J44" s="52">
        <f t="shared" si="28"/>
        <v>0</v>
      </c>
      <c r="K44" s="53"/>
      <c r="L44" s="52">
        <f t="shared" ref="L44" si="49">K44/$J$7*100</f>
        <v>0</v>
      </c>
      <c r="M44" s="23"/>
      <c r="N44" s="51">
        <f t="shared" ref="N44" si="50">P44+R44</f>
        <v>0</v>
      </c>
      <c r="O44" s="52">
        <f t="shared" ref="O44" si="51">N44/$Q$5*100</f>
        <v>0</v>
      </c>
      <c r="P44" s="53"/>
      <c r="Q44" s="52">
        <f t="shared" ref="Q44" si="52">P44/$Q$6*100</f>
        <v>0</v>
      </c>
      <c r="R44" s="53"/>
      <c r="S44" s="52">
        <f t="shared" ref="S44" si="53">R44/$Q$7*100</f>
        <v>0</v>
      </c>
      <c r="T44" s="3"/>
      <c r="U44" s="51">
        <f t="shared" ref="U44" si="54">W44+Y44</f>
        <v>0</v>
      </c>
      <c r="V44" s="52">
        <f t="shared" ref="V44" si="55">U44/$X$5*100</f>
        <v>0</v>
      </c>
      <c r="W44" s="53"/>
      <c r="X44" s="52">
        <f t="shared" ref="X44" si="56">W44/$X$6*100</f>
        <v>0</v>
      </c>
      <c r="Y44" s="53"/>
      <c r="Z44" s="52">
        <f t="shared" si="35"/>
        <v>0</v>
      </c>
      <c r="AA44" s="3"/>
      <c r="AB44" s="62">
        <f t="shared" si="6"/>
        <v>0</v>
      </c>
      <c r="AC44" s="52">
        <f t="shared" si="36"/>
        <v>0</v>
      </c>
      <c r="AD44" s="7"/>
      <c r="AE44" s="7"/>
      <c r="AF44" s="9" t="str">
        <f t="shared" si="37"/>
        <v>S/R Sin Respuesta</v>
      </c>
      <c r="AG44" s="72">
        <f t="shared" si="38"/>
        <v>0</v>
      </c>
      <c r="AH44" s="72">
        <f t="shared" si="39"/>
        <v>0</v>
      </c>
      <c r="AI44" s="73">
        <f t="shared" si="40"/>
        <v>0</v>
      </c>
      <c r="AJ44" s="73"/>
      <c r="AK44" s="76">
        <f t="shared" si="41"/>
        <v>0</v>
      </c>
      <c r="AL44" s="76">
        <f t="shared" si="42"/>
        <v>0</v>
      </c>
      <c r="AM44" s="76">
        <f t="shared" si="43"/>
        <v>0</v>
      </c>
      <c r="AN44" s="76"/>
      <c r="AO44" s="81">
        <f t="shared" si="44"/>
        <v>0</v>
      </c>
      <c r="AP44" s="81">
        <f t="shared" si="45"/>
        <v>0</v>
      </c>
      <c r="AQ44" s="81">
        <f t="shared" si="46"/>
        <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x14ac:dyDescent="0.3">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57">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x14ac:dyDescent="0.3">
      <c r="A47" s="8" t="s">
        <v>17</v>
      </c>
      <c r="B47" s="9" t="s">
        <v>49</v>
      </c>
      <c r="C47" s="7"/>
      <c r="D47" s="7"/>
      <c r="E47" s="7"/>
      <c r="F47" s="71">
        <v>100</v>
      </c>
      <c r="G47" s="51">
        <f>I47+K47</f>
        <v>49</v>
      </c>
      <c r="H47" s="52">
        <f>G47/$J$5*100</f>
        <v>75.384615384615387</v>
      </c>
      <c r="I47" s="53">
        <f>COUNTIFS('00 Encuesta'!$B$2:$B$511,"*c)*",'00 Encuesta'!$C$2:$C$511,"*a)*",'00 Encuesta'!$E$2:$E$511,"*a)*",'00 Encuesta'!$I$2:$I$511,"*a)*")</f>
        <v>28</v>
      </c>
      <c r="J47" s="52">
        <f>I47/$J$6*100</f>
        <v>84.848484848484844</v>
      </c>
      <c r="K47" s="53">
        <f>COUNTIFS('00 Encuesta'!$B$2:$B$511,"*c)*",'00 Encuesta'!$C$2:$C$511,"*a)*",'00 Encuesta'!$E$2:$E$511,"*b)*",'00 Encuesta'!$I$2:$I$511,"*a)*")</f>
        <v>21</v>
      </c>
      <c r="L47" s="52">
        <f>K47/$J$7*100</f>
        <v>65.625</v>
      </c>
      <c r="M47" s="23"/>
      <c r="N47" s="51">
        <f>P47+R47</f>
        <v>32</v>
      </c>
      <c r="O47" s="52">
        <f>N47/$Q$5*100</f>
        <v>62.745098039215684</v>
      </c>
      <c r="P47" s="53">
        <f>COUNTIFS('00 Encuesta'!$B$2:$B$511,"*c)*",'00 Encuesta'!$C$2:$C$511,"*b)*",'00 Encuesta'!$E$2:$E$511,"*a)*",'00 Encuesta'!$I$2:$I$511,"*a)*")</f>
        <v>18</v>
      </c>
      <c r="Q47" s="52">
        <f>P47/$Q$6*100</f>
        <v>64.285714285714292</v>
      </c>
      <c r="R47" s="53">
        <f>COUNTIFS('00 Encuesta'!$B$2:$B$511,"*c)*",'00 Encuesta'!$C$2:$C$511,"*b)*",'00 Encuesta'!$E$2:$E$511,"*b)*",'00 Encuesta'!$I$2:$I$511,"*a)*")</f>
        <v>14</v>
      </c>
      <c r="S47" s="52">
        <f>R47/$Q$7*100</f>
        <v>60.869565217391312</v>
      </c>
      <c r="T47" s="3"/>
      <c r="U47" s="51">
        <f>W47+Y47</f>
        <v>29</v>
      </c>
      <c r="V47" s="52">
        <f>U47/$X$5*100</f>
        <v>57.999999999999993</v>
      </c>
      <c r="W47" s="53">
        <f>COUNTIFS('00 Encuesta'!$B$2:$B$511,"*c)*",'00 Encuesta'!$C$2:$C$511,"*d)*",'00 Encuesta'!$E$2:$E$511,"*a)*",'00 Encuesta'!$I$2:$I$511,"*a)*")</f>
        <v>16</v>
      </c>
      <c r="X47" s="52">
        <f>W47/$X$6*100</f>
        <v>59.259259259259252</v>
      </c>
      <c r="Y47" s="53">
        <f>COUNTIFS('00 Encuesta'!$B$2:$B$511,"*c)*",'00 Encuesta'!$C$2:$C$511,"*d)*",'00 Encuesta'!$E$2:$E$511,"*b)*",'00 Encuesta'!$I$2:$I$511,"*a)*")</f>
        <v>13</v>
      </c>
      <c r="Z47" s="52">
        <f>Y47/$X$7*100</f>
        <v>56.521739130434781</v>
      </c>
      <c r="AA47" s="3"/>
      <c r="AB47" s="62">
        <f t="shared" si="6"/>
        <v>110</v>
      </c>
      <c r="AC47" s="52">
        <f>AB47*100/$AC$5</f>
        <v>66.265060240963862</v>
      </c>
      <c r="AD47" s="7"/>
      <c r="AE47" s="7"/>
      <c r="AF47" s="9" t="str">
        <f t="shared" si="57"/>
        <v>a) Si</v>
      </c>
      <c r="AG47" s="72">
        <f>J47</f>
        <v>84.848484848484844</v>
      </c>
      <c r="AH47" s="72">
        <f>L47</f>
        <v>65.625</v>
      </c>
      <c r="AI47" s="73">
        <f>H47</f>
        <v>75.384615384615387</v>
      </c>
      <c r="AJ47" s="73"/>
      <c r="AK47" s="76">
        <f>Q47</f>
        <v>64.285714285714292</v>
      </c>
      <c r="AL47" s="76">
        <f>S47</f>
        <v>60.869565217391312</v>
      </c>
      <c r="AM47" s="76">
        <f>O47</f>
        <v>62.745098039215684</v>
      </c>
      <c r="AN47" s="76"/>
      <c r="AO47" s="81">
        <f>X47</f>
        <v>59.259259259259252</v>
      </c>
      <c r="AP47" s="81">
        <f>Z47</f>
        <v>56.521739130434781</v>
      </c>
      <c r="AQ47" s="81">
        <f>V47</f>
        <v>57.999999999999993</v>
      </c>
      <c r="AR47" s="7"/>
      <c r="AS47" s="76">
        <f t="shared" si="1"/>
        <v>66.265060240963862</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x14ac:dyDescent="0.3">
      <c r="A48" s="8" t="s">
        <v>18</v>
      </c>
      <c r="B48" s="9" t="s">
        <v>50</v>
      </c>
      <c r="C48" s="7"/>
      <c r="D48" s="7"/>
      <c r="E48" s="7"/>
      <c r="F48" s="71">
        <v>0</v>
      </c>
      <c r="G48" s="51">
        <f>I48+K48</f>
        <v>0</v>
      </c>
      <c r="H48" s="52">
        <f>G48/$J$5*100</f>
        <v>0</v>
      </c>
      <c r="I48" s="53">
        <f>COUNTIFS('00 Encuesta'!$B$2:$B$511,"*c)*",'00 Encuesta'!$C$2:$C$511,"*a)*",'00 Encuesta'!$E$2:$E$511,"*a)*",'00 Encuesta'!$I$2:$I$511,"*b)*")</f>
        <v>0</v>
      </c>
      <c r="J48" s="52">
        <f>I48/$J$6*100</f>
        <v>0</v>
      </c>
      <c r="K48" s="53">
        <f>COUNTIFS('00 Encuesta'!$B$2:$B$511,"*c)*",'00 Encuesta'!$C$2:$C$511,"*a)*",'00 Encuesta'!$E$2:$E$511,"*b)*",'00 Encuesta'!$I$2:$I$511,"*b)*")</f>
        <v>0</v>
      </c>
      <c r="L48" s="52">
        <f>K48/$J$7*100</f>
        <v>0</v>
      </c>
      <c r="M48" s="23"/>
      <c r="N48" s="51">
        <f>P48+R48</f>
        <v>0</v>
      </c>
      <c r="O48" s="52">
        <f>N48/$Q$5*100</f>
        <v>0</v>
      </c>
      <c r="P48" s="53">
        <f>COUNTIFS('00 Encuesta'!$B$2:$B$511,"*c)*",'00 Encuesta'!$C$2:$C$511,"*b)*",'00 Encuesta'!$E$2:$E$511,"*a)*",'00 Encuesta'!$I$2:$I$511,"*b)*")</f>
        <v>0</v>
      </c>
      <c r="Q48" s="52">
        <f>P48/$Q$6*100</f>
        <v>0</v>
      </c>
      <c r="R48" s="53">
        <f>COUNTIFS('00 Encuesta'!$B$2:$B$511,"*c)*",'00 Encuesta'!$C$2:$C$511,"*b)*",'00 Encuesta'!$E$2:$E$511,"*b)*",'00 Encuesta'!$I$2:$I$511,"*b)*")</f>
        <v>0</v>
      </c>
      <c r="S48" s="52">
        <f>R48/$Q$7*100</f>
        <v>0</v>
      </c>
      <c r="T48" s="3"/>
      <c r="U48" s="51">
        <f>W48+Y48</f>
        <v>0</v>
      </c>
      <c r="V48" s="52">
        <f>U48/$X$5*100</f>
        <v>0</v>
      </c>
      <c r="W48" s="53">
        <f>COUNTIFS('00 Encuesta'!$B$2:$B$511,"*c)*",'00 Encuesta'!$C$2:$C$511,"*d)*",'00 Encuesta'!$E$2:$E$511,"*a)*",'00 Encuesta'!$I$2:$I$511,"*b)*")</f>
        <v>0</v>
      </c>
      <c r="X48" s="52">
        <f>W48/$X$6*100</f>
        <v>0</v>
      </c>
      <c r="Y48" s="53">
        <f>COUNTIFS('00 Encuesta'!$B$2:$B$511,"*c)*",'00 Encuesta'!$C$2:$C$511,"*d)*",'00 Encuesta'!$E$2:$E$511,"*b)*",'00 Encuesta'!$I$2:$I$511,"*b)*")</f>
        <v>0</v>
      </c>
      <c r="Z48" s="52">
        <f>Y48/$X$7*100</f>
        <v>0</v>
      </c>
      <c r="AA48" s="3"/>
      <c r="AB48" s="62">
        <f t="shared" si="6"/>
        <v>0</v>
      </c>
      <c r="AC48" s="52">
        <f>AB48*100/$AC$5</f>
        <v>0</v>
      </c>
      <c r="AD48" s="7"/>
      <c r="AE48" s="7"/>
      <c r="AF48" s="9" t="str">
        <f t="shared" si="57"/>
        <v>b) No</v>
      </c>
      <c r="AG48" s="72">
        <f>J48</f>
        <v>0</v>
      </c>
      <c r="AH48" s="72">
        <f>L48</f>
        <v>0</v>
      </c>
      <c r="AI48" s="73">
        <f>H48</f>
        <v>0</v>
      </c>
      <c r="AJ48" s="73"/>
      <c r="AK48" s="76">
        <f>Q48</f>
        <v>0</v>
      </c>
      <c r="AL48" s="76">
        <f>S48</f>
        <v>0</v>
      </c>
      <c r="AM48" s="76">
        <f>O48</f>
        <v>0</v>
      </c>
      <c r="AN48" s="76"/>
      <c r="AO48" s="81">
        <f>X48</f>
        <v>0</v>
      </c>
      <c r="AP48" s="81">
        <f>Z48</f>
        <v>0</v>
      </c>
      <c r="AQ48" s="81">
        <f>V48</f>
        <v>0</v>
      </c>
      <c r="AR48" s="7"/>
      <c r="AS48" s="76">
        <f t="shared" si="1"/>
        <v>0</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x14ac:dyDescent="0.3">
      <c r="A49" s="8" t="s">
        <v>20</v>
      </c>
      <c r="B49" s="9" t="s">
        <v>51</v>
      </c>
      <c r="C49" s="7"/>
      <c r="D49" s="7"/>
      <c r="E49" s="7"/>
      <c r="F49" s="71">
        <v>50</v>
      </c>
      <c r="G49" s="51">
        <f>I49+K49</f>
        <v>15</v>
      </c>
      <c r="H49" s="52">
        <f>G49/$J$5*100</f>
        <v>23.076923076923077</v>
      </c>
      <c r="I49" s="53">
        <f>COUNTIFS('00 Encuesta'!$B$2:$B$511,"*c)*",'00 Encuesta'!$C$2:$C$511,"*a)*",'00 Encuesta'!$E$2:$E$511,"*a)*",'00 Encuesta'!$I$2:$I$511,"*c)*")</f>
        <v>5</v>
      </c>
      <c r="J49" s="52">
        <f>I49/$J$6*100</f>
        <v>15.151515151515152</v>
      </c>
      <c r="K49" s="53">
        <f>COUNTIFS('00 Encuesta'!$B$2:$B$511,"*c)*",'00 Encuesta'!$C$2:$C$511,"*a)*",'00 Encuesta'!$E$2:$E$511,"*b)*",'00 Encuesta'!$I$2:$I$511,"*c)*")</f>
        <v>10</v>
      </c>
      <c r="L49" s="52">
        <f>K49/$J$7*100</f>
        <v>31.25</v>
      </c>
      <c r="M49" s="23"/>
      <c r="N49" s="51">
        <f>P49+R49</f>
        <v>16</v>
      </c>
      <c r="O49" s="52">
        <f>N49/$Q$5*100</f>
        <v>31.372549019607842</v>
      </c>
      <c r="P49" s="53">
        <f>COUNTIFS('00 Encuesta'!$B$2:$B$511,"*c)*",'00 Encuesta'!$C$2:$C$511,"*b)*",'00 Encuesta'!$E$2:$E$511,"*a)*",'00 Encuesta'!$I$2:$I$511,"*c)*")</f>
        <v>8</v>
      </c>
      <c r="Q49" s="52">
        <f>P49/$Q$6*100</f>
        <v>28.571428571428569</v>
      </c>
      <c r="R49" s="53">
        <f>COUNTIFS('00 Encuesta'!$B$2:$B$511,"*c)*",'00 Encuesta'!$C$2:$C$511,"*b)*",'00 Encuesta'!$E$2:$E$511,"*b)*",'00 Encuesta'!$I$2:$I$511,"*c)*")</f>
        <v>8</v>
      </c>
      <c r="S49" s="52">
        <f>R49/$Q$7*100</f>
        <v>34.782608695652172</v>
      </c>
      <c r="T49" s="3"/>
      <c r="U49" s="51">
        <f>W49+Y49</f>
        <v>18</v>
      </c>
      <c r="V49" s="52">
        <f>U49/$X$5*100</f>
        <v>36</v>
      </c>
      <c r="W49" s="53">
        <f>COUNTIFS('00 Encuesta'!$B$2:$B$511,"*c)*",'00 Encuesta'!$C$2:$C$511,"*d)*",'00 Encuesta'!$E$2:$E$511,"*a)*",'00 Encuesta'!$I$2:$I$511,"*c)*")</f>
        <v>9</v>
      </c>
      <c r="X49" s="52">
        <f>W49/$X$6*100</f>
        <v>33.333333333333329</v>
      </c>
      <c r="Y49" s="53">
        <f>COUNTIFS('00 Encuesta'!$B$2:$B$511,"*c)*",'00 Encuesta'!$C$2:$C$511,"*d)*",'00 Encuesta'!$E$2:$E$511,"*b)*",'00 Encuesta'!$I$2:$I$511,"*c)*")</f>
        <v>9</v>
      </c>
      <c r="Z49" s="52">
        <f>Y49/$X$7*100</f>
        <v>39.130434782608695</v>
      </c>
      <c r="AA49" s="3"/>
      <c r="AB49" s="62">
        <f t="shared" si="6"/>
        <v>49</v>
      </c>
      <c r="AC49" s="52">
        <f>AB49*100/$AC$5</f>
        <v>29.518072289156628</v>
      </c>
      <c r="AD49" s="7"/>
      <c r="AE49" s="7"/>
      <c r="AF49" s="9" t="str">
        <f t="shared" si="57"/>
        <v>c) Algo</v>
      </c>
      <c r="AG49" s="72">
        <f>J49</f>
        <v>15.151515151515152</v>
      </c>
      <c r="AH49" s="72">
        <f>L49</f>
        <v>31.25</v>
      </c>
      <c r="AI49" s="73">
        <f>H49</f>
        <v>23.076923076923077</v>
      </c>
      <c r="AJ49" s="73"/>
      <c r="AK49" s="76">
        <f>Q49</f>
        <v>28.571428571428569</v>
      </c>
      <c r="AL49" s="76">
        <f>S49</f>
        <v>34.782608695652172</v>
      </c>
      <c r="AM49" s="76">
        <f>O49</f>
        <v>31.372549019607842</v>
      </c>
      <c r="AN49" s="76"/>
      <c r="AO49" s="81">
        <f>X49</f>
        <v>33.333333333333329</v>
      </c>
      <c r="AP49" s="81">
        <f>Z49</f>
        <v>39.130434782608695</v>
      </c>
      <c r="AQ49" s="81">
        <f>V49</f>
        <v>36</v>
      </c>
      <c r="AR49" s="7"/>
      <c r="AS49" s="76">
        <f t="shared" si="1"/>
        <v>29.518072289156628</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1</v>
      </c>
      <c r="H50" s="52">
        <f>G50/$J$5*100</f>
        <v>1.5384615384615385</v>
      </c>
      <c r="I50" s="53">
        <f>COUNTIFS('00 Encuesta'!$B$2:$B$511,"*c)*",'00 Encuesta'!$C$2:$C$511,"*a)*",'00 Encuesta'!$E$2:$E$511,"*a)*",'00 Encuesta'!$I$2:$I$511,"*d)*")</f>
        <v>0</v>
      </c>
      <c r="J50" s="52">
        <f>I50/$J$6*100</f>
        <v>0</v>
      </c>
      <c r="K50" s="53">
        <f>COUNTIFS('00 Encuesta'!$B$2:$B$511,"*c)*",'00 Encuesta'!$C$2:$C$511,"*a)*",'00 Encuesta'!$E$2:$E$511,"*b)*",'00 Encuesta'!$I$2:$I$511,"*d)*")</f>
        <v>1</v>
      </c>
      <c r="L50" s="52">
        <f>K50/$J$7*100</f>
        <v>3.125</v>
      </c>
      <c r="M50" s="23"/>
      <c r="N50" s="51">
        <f>P50+R50</f>
        <v>3</v>
      </c>
      <c r="O50" s="52">
        <f>N50/$Q$5*100</f>
        <v>5.8823529411764701</v>
      </c>
      <c r="P50" s="53">
        <f>COUNTIFS('00 Encuesta'!$B$2:$B$511,"*c)*",'00 Encuesta'!$C$2:$C$511,"*b)*",'00 Encuesta'!$E$2:$E$511,"*a)*",'00 Encuesta'!$I$2:$I$511,"*d)*")</f>
        <v>2</v>
      </c>
      <c r="Q50" s="52">
        <f>P50/$Q$6*100</f>
        <v>7.1428571428571423</v>
      </c>
      <c r="R50" s="53">
        <f>COUNTIFS('00 Encuesta'!$B$2:$B$511,"*c)*",'00 Encuesta'!$C$2:$C$511,"*b)*",'00 Encuesta'!$E$2:$E$511,"*b)*",'00 Encuesta'!$I$2:$I$511,"*d)*")</f>
        <v>1</v>
      </c>
      <c r="S50" s="52">
        <f>R50/$Q$7*100</f>
        <v>4.3478260869565215</v>
      </c>
      <c r="T50" s="3"/>
      <c r="U50" s="51">
        <f>W50+Y50</f>
        <v>3</v>
      </c>
      <c r="V50" s="52">
        <f>U50/$X$5*100</f>
        <v>6</v>
      </c>
      <c r="W50" s="53">
        <f>COUNTIFS('00 Encuesta'!$B$2:$B$511,"*c)*",'00 Encuesta'!$C$2:$C$511,"*d)*",'00 Encuesta'!$E$2:$E$511,"*a)*",'00 Encuesta'!$I$2:$I$511,"*d)*")</f>
        <v>2</v>
      </c>
      <c r="X50" s="52">
        <f>W50/$X$6*100</f>
        <v>7.4074074074074066</v>
      </c>
      <c r="Y50" s="53">
        <f>COUNTIFS('00 Encuesta'!$B$2:$B$511,"*c)*",'00 Encuesta'!$C$2:$C$511,"*d)*",'00 Encuesta'!$E$2:$E$511,"*b)*",'00 Encuesta'!$I$2:$I$511,"*d)*")</f>
        <v>1</v>
      </c>
      <c r="Z50" s="52">
        <f>Y50/$X$7*100</f>
        <v>4.3478260869565215</v>
      </c>
      <c r="AA50" s="3"/>
      <c r="AB50" s="62">
        <f t="shared" si="6"/>
        <v>7</v>
      </c>
      <c r="AC50" s="52">
        <f>AB50*100/$AC$5</f>
        <v>4.2168674698795181</v>
      </c>
      <c r="AD50" s="7"/>
      <c r="AE50" s="7"/>
      <c r="AF50" s="9" t="str">
        <f t="shared" si="57"/>
        <v>d) No sé</v>
      </c>
      <c r="AG50" s="72">
        <f>J50</f>
        <v>0</v>
      </c>
      <c r="AH50" s="72">
        <f>L50</f>
        <v>3.125</v>
      </c>
      <c r="AI50" s="73">
        <f>H50</f>
        <v>1.5384615384615385</v>
      </c>
      <c r="AJ50" s="73"/>
      <c r="AK50" s="76">
        <f>Q50</f>
        <v>7.1428571428571423</v>
      </c>
      <c r="AL50" s="76">
        <f>S50</f>
        <v>4.3478260869565215</v>
      </c>
      <c r="AM50" s="76">
        <f>O50</f>
        <v>5.8823529411764701</v>
      </c>
      <c r="AN50" s="76"/>
      <c r="AO50" s="81">
        <f>X50</f>
        <v>7.4074074074074066</v>
      </c>
      <c r="AP50" s="81">
        <f>Z50</f>
        <v>4.3478260869565215</v>
      </c>
      <c r="AQ50" s="81">
        <f>V50</f>
        <v>6</v>
      </c>
      <c r="AR50" s="7"/>
      <c r="AS50" s="76">
        <f t="shared" si="1"/>
        <v>4.2168674698795181</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x14ac:dyDescent="0.3">
      <c r="A51" s="8" t="s">
        <v>23</v>
      </c>
      <c r="B51" s="9" t="s">
        <v>24</v>
      </c>
      <c r="C51" s="7"/>
      <c r="D51" s="7"/>
      <c r="E51" s="7"/>
      <c r="F51" s="71"/>
      <c r="G51" s="51">
        <f>I51+K51</f>
        <v>0</v>
      </c>
      <c r="H51" s="52">
        <f>G51/$J$5*100</f>
        <v>0</v>
      </c>
      <c r="I51" s="53"/>
      <c r="J51" s="52">
        <f>I51/$J$6*100</f>
        <v>0</v>
      </c>
      <c r="K51" s="53"/>
      <c r="L51" s="52">
        <f>K51/$J$7*100</f>
        <v>0</v>
      </c>
      <c r="M51" s="23"/>
      <c r="N51" s="51">
        <f>P51+R51</f>
        <v>0</v>
      </c>
      <c r="O51" s="52">
        <f>N51/$Q$5*100</f>
        <v>0</v>
      </c>
      <c r="P51" s="53"/>
      <c r="Q51" s="52">
        <f>P51/$Q$6*100</f>
        <v>0</v>
      </c>
      <c r="R51" s="53"/>
      <c r="S51" s="52">
        <f>R51/$Q$7*100</f>
        <v>0</v>
      </c>
      <c r="T51" s="3"/>
      <c r="U51" s="51">
        <f>W51+Y51</f>
        <v>0</v>
      </c>
      <c r="V51" s="52">
        <f>U51/$X$5*100</f>
        <v>0</v>
      </c>
      <c r="W51" s="53"/>
      <c r="X51" s="52">
        <f>W51/$X$6*100</f>
        <v>0</v>
      </c>
      <c r="Y51" s="53"/>
      <c r="Z51" s="52">
        <f>Y51/$X$7*100</f>
        <v>0</v>
      </c>
      <c r="AA51" s="3"/>
      <c r="AB51" s="62">
        <f t="shared" si="6"/>
        <v>0</v>
      </c>
      <c r="AC51" s="52">
        <f>AB51*100/$AC$5</f>
        <v>0</v>
      </c>
      <c r="AD51" s="7"/>
      <c r="AE51" s="7"/>
      <c r="AF51" s="9" t="str">
        <f t="shared" si="57"/>
        <v>S/R Sin Respuesta</v>
      </c>
      <c r="AG51" s="72">
        <f>J51</f>
        <v>0</v>
      </c>
      <c r="AH51" s="72">
        <f>L51</f>
        <v>0</v>
      </c>
      <c r="AI51" s="73">
        <f>H51</f>
        <v>0</v>
      </c>
      <c r="AJ51" s="73"/>
      <c r="AK51" s="76">
        <f>Q51</f>
        <v>0</v>
      </c>
      <c r="AL51" s="76">
        <f>S51</f>
        <v>0</v>
      </c>
      <c r="AM51" s="76">
        <f>O51</f>
        <v>0</v>
      </c>
      <c r="AN51" s="76"/>
      <c r="AO51" s="81">
        <f>X51</f>
        <v>0</v>
      </c>
      <c r="AP51" s="81">
        <f>Z51</f>
        <v>0</v>
      </c>
      <c r="AQ51" s="81">
        <f>V51</f>
        <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x14ac:dyDescent="0.3">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92.424242424242422</v>
      </c>
      <c r="AH52" s="82">
        <f>($F47*K47+$F48*K48+$F49*K49+$F50*K50)/(+K47+K48+K49+K50)</f>
        <v>81.25</v>
      </c>
      <c r="AI52" s="82">
        <f>($F47*G47+$F48*G48+$F49*G49+$F50*G50)/(G47+G48+G49+G50)</f>
        <v>86.92307692307692</v>
      </c>
      <c r="AJ52" s="82"/>
      <c r="AK52" s="82">
        <f>($F47*P47+$F48*P48+$F49*P49+$F50*P50)/(P47+P48+P49+P50)</f>
        <v>78.571428571428569</v>
      </c>
      <c r="AL52" s="82">
        <f>($F47*R47+$F48*R48+$F49*R49+$F50*R50)/(R47+R48+R49+R50)</f>
        <v>78.260869565217391</v>
      </c>
      <c r="AM52" s="82">
        <f>($F47*N47+$F48*N48+$F49*N49+$F50*N50)/(N47+N48+N49+N50)</f>
        <v>78.431372549019613</v>
      </c>
      <c r="AN52" s="82"/>
      <c r="AO52" s="82">
        <f>($F47*W47+$F48*W48+$F49*W49+$F50*W50)/(W47+W48+W49+W50)</f>
        <v>75.925925925925924</v>
      </c>
      <c r="AP52" s="82">
        <f>($F47*Y47+$F48*Y48+$F49*Y49+$F50*Y50)/(Y47+Y48+Y49+Y50)</f>
        <v>76.086956521739125</v>
      </c>
      <c r="AQ52" s="82">
        <f>($F47*U47+$F48*U48+$F49*U49+$F50*U50)/(U47+U48+U49+U50)</f>
        <v>76</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x14ac:dyDescent="0.3">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x14ac:dyDescent="0.3">
      <c r="A54" s="8" t="s">
        <v>17</v>
      </c>
      <c r="B54" s="9" t="s">
        <v>55</v>
      </c>
      <c r="C54" s="7"/>
      <c r="D54" s="7"/>
      <c r="E54" s="7"/>
      <c r="F54" s="71"/>
      <c r="G54" s="51">
        <f t="shared" ref="G54:G64" si="58">I54+K54</f>
        <v>31</v>
      </c>
      <c r="H54" s="52">
        <f t="shared" ref="H54:H64" si="59">G54/$J$5*100</f>
        <v>47.692307692307693</v>
      </c>
      <c r="I54" s="53">
        <f>COUNTIFS('00 Encuesta'!$B$2:$B$511,"*c)*",'00 Encuesta'!$C$2:$C$511,"*a)*",'00 Encuesta'!$E$2:$E$511,"*a)*",'00 Encuesta'!$J$2:$J$511,"*a)*")</f>
        <v>22</v>
      </c>
      <c r="J54" s="52">
        <f t="shared" ref="J54:J64" si="60">I54/$J$6*100</f>
        <v>66.666666666666657</v>
      </c>
      <c r="K54" s="53">
        <f>COUNTIFS('00 Encuesta'!$B$2:$B$511,"*c)*",'00 Encuesta'!$C$2:$C$511,"*a)*",'00 Encuesta'!$E$2:$E$511,"*b)*",'00 Encuesta'!$J$2:$J$511,"*a)*")</f>
        <v>9</v>
      </c>
      <c r="L54" s="52">
        <f t="shared" ref="L54:L59" si="61">K54/$J$7*100</f>
        <v>28.125</v>
      </c>
      <c r="M54" s="23"/>
      <c r="N54" s="51">
        <f t="shared" ref="N54:N59" si="62">P54+R54</f>
        <v>23</v>
      </c>
      <c r="O54" s="52">
        <f t="shared" ref="O54:O59" si="63">N54/$Q$5*100</f>
        <v>45.098039215686278</v>
      </c>
      <c r="P54" s="53">
        <f>COUNTIFS('00 Encuesta'!$B$2:$B$511,"*c)*",'00 Encuesta'!$C$2:$C$511,"*b)*",'00 Encuesta'!$E$2:$E$511,"*a)*",'00 Encuesta'!$J$2:$J$511,"*a)*")</f>
        <v>15</v>
      </c>
      <c r="Q54" s="52">
        <f t="shared" ref="Q54:Q64" si="64">P54/$Q$6*100</f>
        <v>53.571428571428569</v>
      </c>
      <c r="R54" s="53">
        <f>COUNTIFS('00 Encuesta'!$B$2:$B$511,"*c)*",'00 Encuesta'!$C$2:$C$511,"*b)*",'00 Encuesta'!$E$2:$E$511,"*b)*",'00 Encuesta'!$J$2:$J$511,"*a)*")</f>
        <v>8</v>
      </c>
      <c r="S54" s="52">
        <f t="shared" ref="S54:S59" si="65">R54/$Q$7*100</f>
        <v>34.782608695652172</v>
      </c>
      <c r="T54" s="3"/>
      <c r="U54" s="51">
        <f t="shared" ref="U54:U59" si="66">W54+Y54</f>
        <v>16</v>
      </c>
      <c r="V54" s="52">
        <f t="shared" ref="V54:V59" si="67">U54/$X$5*100</f>
        <v>32</v>
      </c>
      <c r="W54" s="53">
        <f>COUNTIFS('00 Encuesta'!$B$2:$B$511,"*c)*",'00 Encuesta'!$C$2:$C$511,"*d)*",'00 Encuesta'!$E$2:$E$511,"*a)*",'00 Encuesta'!$J$2:$J$511,"*a)*")</f>
        <v>12</v>
      </c>
      <c r="X54" s="52">
        <f t="shared" ref="X54:X64" si="68">W54/$X$6*100</f>
        <v>44.444444444444443</v>
      </c>
      <c r="Y54" s="53">
        <f>COUNTIFS('00 Encuesta'!$B$2:$B$511,"*c)*",'00 Encuesta'!$C$2:$C$511,"*d)*",'00 Encuesta'!$E$2:$E$511,"*b)*",'00 Encuesta'!$J$2:$J$511,"*a)*")</f>
        <v>4</v>
      </c>
      <c r="Z54" s="52">
        <f t="shared" ref="Z54:Z64" si="69">Y54/$X$7*100</f>
        <v>17.391304347826086</v>
      </c>
      <c r="AA54" s="3"/>
      <c r="AB54" s="62">
        <f t="shared" si="6"/>
        <v>70</v>
      </c>
      <c r="AC54" s="52">
        <f t="shared" ref="AC54:AC64" si="70">AB54*100/$AC$5</f>
        <v>42.168674698795179</v>
      </c>
      <c r="AD54" s="7"/>
      <c r="AE54" s="7"/>
      <c r="AF54" s="9" t="str">
        <f t="shared" ref="AF54:AF65" si="71">A54&amp;" "&amp;B54</f>
        <v>a) Videojuegos consola</v>
      </c>
      <c r="AG54" s="72">
        <f t="shared" ref="AG54:AG65" si="72">J54</f>
        <v>66.666666666666657</v>
      </c>
      <c r="AH54" s="72">
        <f t="shared" ref="AH54:AH65" si="73">L54</f>
        <v>28.125</v>
      </c>
      <c r="AI54" s="73">
        <f t="shared" ref="AI54:AI65" si="74">H54</f>
        <v>47.692307692307693</v>
      </c>
      <c r="AJ54" s="73"/>
      <c r="AK54" s="76">
        <f t="shared" ref="AK54:AK65" si="75">Q54</f>
        <v>53.571428571428569</v>
      </c>
      <c r="AL54" s="76">
        <f t="shared" ref="AL54:AL65" si="76">S54</f>
        <v>34.782608695652172</v>
      </c>
      <c r="AM54" s="76">
        <f t="shared" ref="AM54:AM65" si="77">O54</f>
        <v>45.098039215686278</v>
      </c>
      <c r="AN54" s="76"/>
      <c r="AO54" s="81">
        <f t="shared" ref="AO54:AO65" si="78">X54</f>
        <v>44.444444444444443</v>
      </c>
      <c r="AP54" s="81">
        <f t="shared" ref="AP54:AP65" si="79">Z54</f>
        <v>17.391304347826086</v>
      </c>
      <c r="AQ54" s="81">
        <f t="shared" ref="AQ54:AQ65" si="80">V54</f>
        <v>32</v>
      </c>
      <c r="AR54" s="7"/>
      <c r="AS54" s="76">
        <f t="shared" si="1"/>
        <v>42.168674698795179</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x14ac:dyDescent="0.3">
      <c r="A55" s="8" t="s">
        <v>18</v>
      </c>
      <c r="B55" s="9" t="s">
        <v>56</v>
      </c>
      <c r="C55" s="7"/>
      <c r="D55" s="7"/>
      <c r="E55" s="7"/>
      <c r="F55" s="71"/>
      <c r="G55" s="51">
        <f t="shared" si="58"/>
        <v>56</v>
      </c>
      <c r="H55" s="52">
        <f t="shared" si="59"/>
        <v>86.15384615384616</v>
      </c>
      <c r="I55" s="53">
        <f>COUNTIFS('00 Encuesta'!$B$2:$B$511,"*c)*",'00 Encuesta'!$C$2:$C$511,"*a)*",'00 Encuesta'!$E$2:$E$511,"*a)*",'00 Encuesta'!$J$2:$J$511,"*b)*")</f>
        <v>28</v>
      </c>
      <c r="J55" s="52">
        <f t="shared" si="60"/>
        <v>84.848484848484844</v>
      </c>
      <c r="K55" s="53">
        <f>COUNTIFS('00 Encuesta'!$B$2:$B$511,"*c)*",'00 Encuesta'!$C$2:$C$511,"*a)*",'00 Encuesta'!$E$2:$E$511,"*b)*",'00 Encuesta'!$J$2:$J$511,"*b)*")</f>
        <v>28</v>
      </c>
      <c r="L55" s="52">
        <f t="shared" si="61"/>
        <v>87.5</v>
      </c>
      <c r="M55" s="23"/>
      <c r="N55" s="51">
        <f t="shared" si="62"/>
        <v>42</v>
      </c>
      <c r="O55" s="52">
        <f t="shared" si="63"/>
        <v>82.35294117647058</v>
      </c>
      <c r="P55" s="53">
        <f>COUNTIFS('00 Encuesta'!$B$2:$B$511,"*c)*",'00 Encuesta'!$C$2:$C$511,"*b)*",'00 Encuesta'!$E$2:$E$511,"*a)*",'00 Encuesta'!$J$2:$J$511,"*b)*")</f>
        <v>23</v>
      </c>
      <c r="Q55" s="52">
        <f t="shared" si="64"/>
        <v>82.142857142857139</v>
      </c>
      <c r="R55" s="53">
        <f>COUNTIFS('00 Encuesta'!$B$2:$B$511,"*c)*",'00 Encuesta'!$C$2:$C$511,"*b)*",'00 Encuesta'!$E$2:$E$511,"*b)*",'00 Encuesta'!$J$2:$J$511,"*b)*")</f>
        <v>19</v>
      </c>
      <c r="S55" s="52">
        <f t="shared" si="65"/>
        <v>82.608695652173907</v>
      </c>
      <c r="T55" s="3"/>
      <c r="U55" s="51">
        <f t="shared" si="66"/>
        <v>44</v>
      </c>
      <c r="V55" s="52">
        <f t="shared" si="67"/>
        <v>88</v>
      </c>
      <c r="W55" s="53">
        <f>COUNTIFS('00 Encuesta'!$B$2:$B$511,"*c)*",'00 Encuesta'!$C$2:$C$511,"*d)*",'00 Encuesta'!$E$2:$E$511,"*a)*",'00 Encuesta'!$J$2:$J$511,"*b)*")</f>
        <v>23</v>
      </c>
      <c r="X55" s="52">
        <f t="shared" si="68"/>
        <v>85.18518518518519</v>
      </c>
      <c r="Y55" s="53">
        <f>COUNTIFS('00 Encuesta'!$B$2:$B$511,"*c)*",'00 Encuesta'!$C$2:$C$511,"*d)*",'00 Encuesta'!$E$2:$E$511,"*b)*",'00 Encuesta'!$J$2:$J$511,"*b)*")</f>
        <v>21</v>
      </c>
      <c r="Z55" s="52">
        <f t="shared" si="69"/>
        <v>91.304347826086953</v>
      </c>
      <c r="AA55" s="3"/>
      <c r="AB55" s="62">
        <f t="shared" si="6"/>
        <v>142</v>
      </c>
      <c r="AC55" s="52">
        <f t="shared" si="70"/>
        <v>85.5421686746988</v>
      </c>
      <c r="AD55" s="7"/>
      <c r="AE55" s="7"/>
      <c r="AF55" s="9" t="str">
        <f t="shared" si="71"/>
        <v>b) Lavadora</v>
      </c>
      <c r="AG55" s="72">
        <f t="shared" si="72"/>
        <v>84.848484848484844</v>
      </c>
      <c r="AH55" s="72">
        <f t="shared" si="73"/>
        <v>87.5</v>
      </c>
      <c r="AI55" s="73">
        <f t="shared" si="74"/>
        <v>86.15384615384616</v>
      </c>
      <c r="AJ55" s="73"/>
      <c r="AK55" s="76">
        <f t="shared" si="75"/>
        <v>82.142857142857139</v>
      </c>
      <c r="AL55" s="76">
        <f t="shared" si="76"/>
        <v>82.608695652173907</v>
      </c>
      <c r="AM55" s="76">
        <f t="shared" si="77"/>
        <v>82.35294117647058</v>
      </c>
      <c r="AN55" s="76"/>
      <c r="AO55" s="81">
        <f t="shared" si="78"/>
        <v>85.18518518518519</v>
      </c>
      <c r="AP55" s="81">
        <f t="shared" si="79"/>
        <v>91.304347826086953</v>
      </c>
      <c r="AQ55" s="81">
        <f t="shared" si="80"/>
        <v>88</v>
      </c>
      <c r="AR55" s="7"/>
      <c r="AS55" s="76">
        <f t="shared" si="1"/>
        <v>85.5421686746988</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x14ac:dyDescent="0.3">
      <c r="A56" s="8" t="s">
        <v>20</v>
      </c>
      <c r="B56" s="9" t="s">
        <v>57</v>
      </c>
      <c r="C56" s="7"/>
      <c r="D56" s="7"/>
      <c r="E56" s="7"/>
      <c r="F56" s="71"/>
      <c r="G56" s="51">
        <f t="shared" si="58"/>
        <v>40</v>
      </c>
      <c r="H56" s="52">
        <f t="shared" si="59"/>
        <v>61.53846153846154</v>
      </c>
      <c r="I56" s="53">
        <f>COUNTIFS('00 Encuesta'!$B$2:$B$511,"*c)*",'00 Encuesta'!$C$2:$C$511,"*a)*",'00 Encuesta'!$E$2:$E$511,"*a)*",'00 Encuesta'!$J$2:$J$511,"*c)*")</f>
        <v>20</v>
      </c>
      <c r="J56" s="52">
        <f t="shared" si="60"/>
        <v>60.606060606060609</v>
      </c>
      <c r="K56" s="53">
        <f>COUNTIFS('00 Encuesta'!$B$2:$B$511,"*c)*",'00 Encuesta'!$C$2:$C$511,"*a)*",'00 Encuesta'!$E$2:$E$511,"*b)*",'00 Encuesta'!$J$2:$J$511,"*c)*")</f>
        <v>20</v>
      </c>
      <c r="L56" s="52">
        <f t="shared" si="61"/>
        <v>62.5</v>
      </c>
      <c r="M56" s="23"/>
      <c r="N56" s="51">
        <f t="shared" si="62"/>
        <v>24</v>
      </c>
      <c r="O56" s="52">
        <f t="shared" si="63"/>
        <v>47.058823529411761</v>
      </c>
      <c r="P56" s="53">
        <f>COUNTIFS('00 Encuesta'!$B$2:$B$511,"*c)*",'00 Encuesta'!$C$2:$C$511,"*b)*",'00 Encuesta'!$E$2:$E$511,"*a)*",'00 Encuesta'!$J$2:$J$511,"*c)*")</f>
        <v>14</v>
      </c>
      <c r="Q56" s="52">
        <f t="shared" si="64"/>
        <v>50</v>
      </c>
      <c r="R56" s="53">
        <f>COUNTIFS('00 Encuesta'!$B$2:$B$511,"*c)*",'00 Encuesta'!$C$2:$C$511,"*b)*",'00 Encuesta'!$E$2:$E$511,"*b)*",'00 Encuesta'!$J$2:$J$511,"*c)*")</f>
        <v>10</v>
      </c>
      <c r="S56" s="52">
        <f t="shared" si="65"/>
        <v>43.478260869565219</v>
      </c>
      <c r="T56" s="3"/>
      <c r="U56" s="51">
        <f t="shared" si="66"/>
        <v>24</v>
      </c>
      <c r="V56" s="52">
        <f t="shared" si="67"/>
        <v>48</v>
      </c>
      <c r="W56" s="53">
        <f>COUNTIFS('00 Encuesta'!$B$2:$B$511,"*c)*",'00 Encuesta'!$C$2:$C$511,"*d)*",'00 Encuesta'!$E$2:$E$511,"*a)*",'00 Encuesta'!$J$2:$J$511,"*c)*")</f>
        <v>15</v>
      </c>
      <c r="X56" s="52">
        <f t="shared" si="68"/>
        <v>55.555555555555557</v>
      </c>
      <c r="Y56" s="53">
        <f>COUNTIFS('00 Encuesta'!$B$2:$B$511,"*c)*",'00 Encuesta'!$C$2:$C$511,"*d)*",'00 Encuesta'!$E$2:$E$511,"*b)*",'00 Encuesta'!$J$2:$J$511,"*c)*")</f>
        <v>9</v>
      </c>
      <c r="Z56" s="52">
        <f t="shared" si="69"/>
        <v>39.130434782608695</v>
      </c>
      <c r="AA56" s="3"/>
      <c r="AB56" s="62">
        <f t="shared" si="6"/>
        <v>88</v>
      </c>
      <c r="AC56" s="52">
        <f t="shared" si="70"/>
        <v>53.012048192771083</v>
      </c>
      <c r="AD56" s="7"/>
      <c r="AE56" s="7"/>
      <c r="AF56" s="9" t="str">
        <f t="shared" si="71"/>
        <v>c) Microondas</v>
      </c>
      <c r="AG56" s="72">
        <f t="shared" si="72"/>
        <v>60.606060606060609</v>
      </c>
      <c r="AH56" s="72">
        <f t="shared" si="73"/>
        <v>62.5</v>
      </c>
      <c r="AI56" s="73">
        <f t="shared" si="74"/>
        <v>61.53846153846154</v>
      </c>
      <c r="AJ56" s="73"/>
      <c r="AK56" s="76">
        <f t="shared" si="75"/>
        <v>50</v>
      </c>
      <c r="AL56" s="76">
        <f t="shared" si="76"/>
        <v>43.478260869565219</v>
      </c>
      <c r="AM56" s="76">
        <f t="shared" si="77"/>
        <v>47.058823529411761</v>
      </c>
      <c r="AN56" s="76"/>
      <c r="AO56" s="81">
        <f t="shared" si="78"/>
        <v>55.555555555555557</v>
      </c>
      <c r="AP56" s="81">
        <f t="shared" si="79"/>
        <v>39.130434782608695</v>
      </c>
      <c r="AQ56" s="81">
        <f t="shared" si="80"/>
        <v>48</v>
      </c>
      <c r="AR56" s="7"/>
      <c r="AS56" s="76">
        <f t="shared" si="1"/>
        <v>53.012048192771083</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8"/>
        <v>46</v>
      </c>
      <c r="H57" s="52">
        <f t="shared" si="59"/>
        <v>70.769230769230774</v>
      </c>
      <c r="I57" s="53">
        <f>COUNTIFS('00 Encuesta'!$B$2:$B$511,"*c)*",'00 Encuesta'!$C$2:$C$511,"*a)*",'00 Encuesta'!$E$2:$E$511,"*a)*",'00 Encuesta'!$J$2:$J$511,"*d)*")</f>
        <v>23</v>
      </c>
      <c r="J57" s="52">
        <f t="shared" si="60"/>
        <v>69.696969696969703</v>
      </c>
      <c r="K57" s="53">
        <f>COUNTIFS('00 Encuesta'!$B$2:$B$511,"*c)*",'00 Encuesta'!$C$2:$C$511,"*a)*",'00 Encuesta'!$E$2:$E$511,"*b)*",'00 Encuesta'!$J$2:$J$511,"*d)*")</f>
        <v>23</v>
      </c>
      <c r="L57" s="52">
        <f t="shared" si="61"/>
        <v>71.875</v>
      </c>
      <c r="M57" s="23"/>
      <c r="N57" s="51">
        <f t="shared" si="62"/>
        <v>31</v>
      </c>
      <c r="O57" s="52">
        <f t="shared" si="63"/>
        <v>60.784313725490193</v>
      </c>
      <c r="P57" s="53">
        <f>COUNTIFS('00 Encuesta'!$B$2:$B$511,"*c)*",'00 Encuesta'!$C$2:$C$511,"*b)*",'00 Encuesta'!$E$2:$E$511,"*a)*",'00 Encuesta'!$J$2:$J$511,"*d)*")</f>
        <v>18</v>
      </c>
      <c r="Q57" s="52">
        <f t="shared" si="64"/>
        <v>64.285714285714292</v>
      </c>
      <c r="R57" s="53">
        <f>COUNTIFS('00 Encuesta'!$B$2:$B$511,"*c)*",'00 Encuesta'!$C$2:$C$511,"*b)*",'00 Encuesta'!$E$2:$E$511,"*b)*",'00 Encuesta'!$J$2:$J$511,"*d)*")</f>
        <v>13</v>
      </c>
      <c r="S57" s="52">
        <f t="shared" si="65"/>
        <v>56.521739130434781</v>
      </c>
      <c r="T57" s="3"/>
      <c r="U57" s="51">
        <f t="shared" si="66"/>
        <v>32</v>
      </c>
      <c r="V57" s="52">
        <f t="shared" si="67"/>
        <v>64</v>
      </c>
      <c r="W57" s="53">
        <f>COUNTIFS('00 Encuesta'!$B$2:$B$511,"*c)*",'00 Encuesta'!$C$2:$C$511,"*d)*",'00 Encuesta'!$E$2:$E$511,"*a)*",'00 Encuesta'!$J$2:$J$511,"*d)*")</f>
        <v>20</v>
      </c>
      <c r="X57" s="52">
        <f t="shared" si="68"/>
        <v>74.074074074074076</v>
      </c>
      <c r="Y57" s="53">
        <f>COUNTIFS('00 Encuesta'!$B$2:$B$511,"*c)*",'00 Encuesta'!$C$2:$C$511,"*d)*",'00 Encuesta'!$E$2:$E$511,"*b)*",'00 Encuesta'!$J$2:$J$511,"*d)*")</f>
        <v>12</v>
      </c>
      <c r="Z57" s="52">
        <f t="shared" si="69"/>
        <v>52.173913043478258</v>
      </c>
      <c r="AA57" s="3"/>
      <c r="AB57" s="62">
        <f t="shared" si="6"/>
        <v>109</v>
      </c>
      <c r="AC57" s="52">
        <f t="shared" si="70"/>
        <v>65.662650602409641</v>
      </c>
      <c r="AD57" s="7"/>
      <c r="AE57" s="7"/>
      <c r="AF57" s="9" t="str">
        <f t="shared" si="71"/>
        <v>d) Televisión plana</v>
      </c>
      <c r="AG57" s="72">
        <f t="shared" si="72"/>
        <v>69.696969696969703</v>
      </c>
      <c r="AH57" s="72">
        <f t="shared" si="73"/>
        <v>71.875</v>
      </c>
      <c r="AI57" s="73">
        <f t="shared" si="74"/>
        <v>70.769230769230774</v>
      </c>
      <c r="AJ57" s="73"/>
      <c r="AK57" s="76">
        <f t="shared" si="75"/>
        <v>64.285714285714292</v>
      </c>
      <c r="AL57" s="76">
        <f t="shared" si="76"/>
        <v>56.521739130434781</v>
      </c>
      <c r="AM57" s="76">
        <f t="shared" si="77"/>
        <v>60.784313725490193</v>
      </c>
      <c r="AN57" s="76"/>
      <c r="AO57" s="81">
        <f t="shared" si="78"/>
        <v>74.074074074074076</v>
      </c>
      <c r="AP57" s="81">
        <f t="shared" si="79"/>
        <v>52.173913043478258</v>
      </c>
      <c r="AQ57" s="81">
        <f t="shared" si="80"/>
        <v>64</v>
      </c>
      <c r="AR57" s="7"/>
      <c r="AS57" s="76">
        <f t="shared" si="1"/>
        <v>65.662650602409641</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x14ac:dyDescent="0.3">
      <c r="A58" s="8" t="s">
        <v>22</v>
      </c>
      <c r="B58" s="9" t="s">
        <v>59</v>
      </c>
      <c r="C58" s="7"/>
      <c r="D58" s="7"/>
      <c r="E58" s="7"/>
      <c r="F58" s="71"/>
      <c r="G58" s="51">
        <f t="shared" si="58"/>
        <v>12</v>
      </c>
      <c r="H58" s="52">
        <f t="shared" si="59"/>
        <v>18.461538461538463</v>
      </c>
      <c r="I58" s="53">
        <f>COUNTIFS('00 Encuesta'!$B$2:$B$511,"*c)*",'00 Encuesta'!$C$2:$C$511,"*a)*",'00 Encuesta'!$E$2:$E$511,"*a)*",'00 Encuesta'!$J$2:$J$511,"*e)*")</f>
        <v>6</v>
      </c>
      <c r="J58" s="52">
        <f t="shared" si="60"/>
        <v>18.181818181818183</v>
      </c>
      <c r="K58" s="53">
        <f>COUNTIFS('00 Encuesta'!$B$2:$B$511,"*c)*",'00 Encuesta'!$C$2:$C$511,"*a)*",'00 Encuesta'!$E$2:$E$511,"*b)*",'00 Encuesta'!$J$2:$J$511,"*e)*")</f>
        <v>6</v>
      </c>
      <c r="L58" s="52">
        <f t="shared" si="61"/>
        <v>18.75</v>
      </c>
      <c r="M58" s="23"/>
      <c r="N58" s="51">
        <f t="shared" si="62"/>
        <v>9</v>
      </c>
      <c r="O58" s="52">
        <f t="shared" si="63"/>
        <v>17.647058823529413</v>
      </c>
      <c r="P58" s="53">
        <f>COUNTIFS('00 Encuesta'!$B$2:$B$511,"*c)*",'00 Encuesta'!$C$2:$C$511,"*b)*",'00 Encuesta'!$E$2:$E$511,"*a)*",'00 Encuesta'!$J$2:$J$511,"*e)*")</f>
        <v>5</v>
      </c>
      <c r="Q58" s="52">
        <f t="shared" si="64"/>
        <v>17.857142857142858</v>
      </c>
      <c r="R58" s="53">
        <f>COUNTIFS('00 Encuesta'!$B$2:$B$511,"*c)*",'00 Encuesta'!$C$2:$C$511,"*b)*",'00 Encuesta'!$E$2:$E$511,"*b)*",'00 Encuesta'!$J$2:$J$511,"*e)*")</f>
        <v>4</v>
      </c>
      <c r="S58" s="52">
        <f t="shared" si="65"/>
        <v>17.391304347826086</v>
      </c>
      <c r="T58" s="3"/>
      <c r="U58" s="51">
        <f t="shared" si="66"/>
        <v>6</v>
      </c>
      <c r="V58" s="52">
        <f t="shared" si="67"/>
        <v>12</v>
      </c>
      <c r="W58" s="53">
        <f>COUNTIFS('00 Encuesta'!$B$2:$B$511,"*c)*",'00 Encuesta'!$C$2:$C$511,"*d)*",'00 Encuesta'!$E$2:$E$511,"*a)*",'00 Encuesta'!$J$2:$J$511,"*e)*")</f>
        <v>4</v>
      </c>
      <c r="X58" s="52">
        <f t="shared" si="68"/>
        <v>14.814814814814813</v>
      </c>
      <c r="Y58" s="53">
        <f>COUNTIFS('00 Encuesta'!$B$2:$B$511,"*c)*",'00 Encuesta'!$C$2:$C$511,"*d)*",'00 Encuesta'!$E$2:$E$511,"*b)*",'00 Encuesta'!$J$2:$J$511,"*e)*")</f>
        <v>2</v>
      </c>
      <c r="Z58" s="52">
        <f t="shared" si="69"/>
        <v>8.695652173913043</v>
      </c>
      <c r="AA58" s="3"/>
      <c r="AB58" s="62">
        <f t="shared" si="6"/>
        <v>27</v>
      </c>
      <c r="AC58" s="52">
        <f t="shared" si="70"/>
        <v>16.265060240963855</v>
      </c>
      <c r="AD58" s="7"/>
      <c r="AE58" s="7"/>
      <c r="AF58" s="9" t="str">
        <f t="shared" si="71"/>
        <v>e) Moto</v>
      </c>
      <c r="AG58" s="72">
        <f t="shared" si="72"/>
        <v>18.181818181818183</v>
      </c>
      <c r="AH58" s="72">
        <f t="shared" si="73"/>
        <v>18.75</v>
      </c>
      <c r="AI58" s="73">
        <f t="shared" si="74"/>
        <v>18.461538461538463</v>
      </c>
      <c r="AJ58" s="73"/>
      <c r="AK58" s="76">
        <f t="shared" si="75"/>
        <v>17.857142857142858</v>
      </c>
      <c r="AL58" s="76">
        <f t="shared" si="76"/>
        <v>17.391304347826086</v>
      </c>
      <c r="AM58" s="76">
        <f t="shared" si="77"/>
        <v>17.647058823529413</v>
      </c>
      <c r="AN58" s="76"/>
      <c r="AO58" s="81">
        <f t="shared" si="78"/>
        <v>14.814814814814813</v>
      </c>
      <c r="AP58" s="81">
        <f t="shared" si="79"/>
        <v>8.695652173913043</v>
      </c>
      <c r="AQ58" s="81">
        <f t="shared" si="80"/>
        <v>12</v>
      </c>
      <c r="AR58" s="7"/>
      <c r="AS58" s="76">
        <f t="shared" si="1"/>
        <v>16.265060240963855</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x14ac:dyDescent="0.3">
      <c r="A59" s="8" t="s">
        <v>45</v>
      </c>
      <c r="B59" s="9" t="s">
        <v>60</v>
      </c>
      <c r="C59" s="7"/>
      <c r="D59" s="7"/>
      <c r="E59" s="7"/>
      <c r="F59" s="71"/>
      <c r="G59" s="51">
        <f t="shared" si="58"/>
        <v>26</v>
      </c>
      <c r="H59" s="52">
        <f t="shared" si="59"/>
        <v>40</v>
      </c>
      <c r="I59" s="53">
        <f>COUNTIFS('00 Encuesta'!$B$2:$B$511,"*c)*",'00 Encuesta'!$C$2:$C$511,"*a)*",'00 Encuesta'!$E$2:$E$511,"*a)*",'00 Encuesta'!$J$2:$J$511,"*f)*")</f>
        <v>16</v>
      </c>
      <c r="J59" s="52">
        <f t="shared" si="60"/>
        <v>48.484848484848484</v>
      </c>
      <c r="K59" s="53">
        <f>COUNTIFS('00 Encuesta'!$B$2:$B$511,"*c)*",'00 Encuesta'!$C$2:$C$511,"*a)*",'00 Encuesta'!$E$2:$E$511,"*b)*",'00 Encuesta'!$J$2:$J$511,"*f)*")</f>
        <v>10</v>
      </c>
      <c r="L59" s="52">
        <f t="shared" si="61"/>
        <v>31.25</v>
      </c>
      <c r="M59" s="23"/>
      <c r="N59" s="51">
        <f t="shared" si="62"/>
        <v>25</v>
      </c>
      <c r="O59" s="52">
        <f t="shared" si="63"/>
        <v>49.019607843137251</v>
      </c>
      <c r="P59" s="53">
        <f>COUNTIFS('00 Encuesta'!$B$2:$B$511,"*c)*",'00 Encuesta'!$C$2:$C$511,"*b)*",'00 Encuesta'!$E$2:$E$511,"*a)*",'00 Encuesta'!$J$2:$J$511,"*f)*")</f>
        <v>17</v>
      </c>
      <c r="Q59" s="52">
        <f t="shared" si="64"/>
        <v>60.714285714285708</v>
      </c>
      <c r="R59" s="53">
        <f>COUNTIFS('00 Encuesta'!$B$2:$B$511,"*c)*",'00 Encuesta'!$C$2:$C$511,"*b)*",'00 Encuesta'!$E$2:$E$511,"*b)*",'00 Encuesta'!$J$2:$J$511,"*f)*")</f>
        <v>8</v>
      </c>
      <c r="S59" s="52">
        <f t="shared" si="65"/>
        <v>34.782608695652172</v>
      </c>
      <c r="T59" s="3"/>
      <c r="U59" s="51">
        <f t="shared" si="66"/>
        <v>12</v>
      </c>
      <c r="V59" s="52">
        <f t="shared" si="67"/>
        <v>24</v>
      </c>
      <c r="W59" s="53">
        <f>COUNTIFS('00 Encuesta'!$B$2:$B$511,"*c)*",'00 Encuesta'!$C$2:$C$511,"*d)*",'00 Encuesta'!$E$2:$E$511,"*a)*",'00 Encuesta'!$J$2:$J$511,"*f)*")</f>
        <v>11</v>
      </c>
      <c r="X59" s="52">
        <f t="shared" si="68"/>
        <v>40.74074074074074</v>
      </c>
      <c r="Y59" s="53">
        <f>COUNTIFS('00 Encuesta'!$B$2:$B$511,"*c)*",'00 Encuesta'!$C$2:$C$511,"*d)*",'00 Encuesta'!$E$2:$E$511,"*b)*",'00 Encuesta'!$J$2:$J$511,"*f)*")</f>
        <v>1</v>
      </c>
      <c r="Z59" s="52">
        <f t="shared" si="69"/>
        <v>4.3478260869565215</v>
      </c>
      <c r="AA59" s="3"/>
      <c r="AB59" s="62">
        <f t="shared" si="6"/>
        <v>63</v>
      </c>
      <c r="AC59" s="52">
        <f t="shared" si="70"/>
        <v>37.951807228915662</v>
      </c>
      <c r="AD59" s="7"/>
      <c r="AE59" s="7"/>
      <c r="AF59" s="9" t="str">
        <f t="shared" si="71"/>
        <v>f) MP3</v>
      </c>
      <c r="AG59" s="72">
        <f t="shared" si="72"/>
        <v>48.484848484848484</v>
      </c>
      <c r="AH59" s="72">
        <f t="shared" si="73"/>
        <v>31.25</v>
      </c>
      <c r="AI59" s="73">
        <f t="shared" si="74"/>
        <v>40</v>
      </c>
      <c r="AJ59" s="73"/>
      <c r="AK59" s="76">
        <f t="shared" si="75"/>
        <v>60.714285714285708</v>
      </c>
      <c r="AL59" s="76">
        <f t="shared" si="76"/>
        <v>34.782608695652172</v>
      </c>
      <c r="AM59" s="76">
        <f t="shared" si="77"/>
        <v>49.019607843137251</v>
      </c>
      <c r="AN59" s="76"/>
      <c r="AO59" s="81">
        <f t="shared" si="78"/>
        <v>40.74074074074074</v>
      </c>
      <c r="AP59" s="81">
        <f t="shared" si="79"/>
        <v>4.3478260869565215</v>
      </c>
      <c r="AQ59" s="81">
        <f t="shared" si="80"/>
        <v>24</v>
      </c>
      <c r="AR59" s="7"/>
      <c r="AS59" s="76">
        <f t="shared" si="1"/>
        <v>37.951807228915662</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x14ac:dyDescent="0.3">
      <c r="A60" s="8" t="s">
        <v>61</v>
      </c>
      <c r="B60" s="9" t="s">
        <v>62</v>
      </c>
      <c r="C60" s="7"/>
      <c r="D60" s="7"/>
      <c r="E60" s="7"/>
      <c r="F60" s="71"/>
      <c r="G60" s="51">
        <f t="shared" si="58"/>
        <v>11</v>
      </c>
      <c r="H60" s="52">
        <f t="shared" si="59"/>
        <v>16.923076923076923</v>
      </c>
      <c r="I60" s="53">
        <f>COUNTIFS('00 Encuesta'!$B$2:$B$511,"*c)*",'00 Encuesta'!$C$2:$C$511,"*a)*",'00 Encuesta'!$E$2:$E$511,"*a)*",'00 Encuesta'!$J$2:$J$511,"*g)*")</f>
        <v>5</v>
      </c>
      <c r="J60" s="52">
        <f t="shared" si="60"/>
        <v>15.151515151515152</v>
      </c>
      <c r="K60" s="53">
        <f>COUNTIFS('00 Encuesta'!$B$2:$B$511,"*c)*",'00 Encuesta'!$C$2:$C$511,"*a)*",'00 Encuesta'!$E$2:$E$511,"*b)*",'00 Encuesta'!$J$2:$J$511,"*g)*")</f>
        <v>6</v>
      </c>
      <c r="L60" s="52">
        <f t="shared" ref="L60:L64" si="81">K60/$J$7*100</f>
        <v>18.75</v>
      </c>
      <c r="M60" s="23"/>
      <c r="N60" s="51">
        <f t="shared" ref="N60:N63" si="82">P60+R60</f>
        <v>18</v>
      </c>
      <c r="O60" s="52">
        <f t="shared" ref="O60:O64" si="83">N60/$Q$5*100</f>
        <v>35.294117647058826</v>
      </c>
      <c r="P60" s="53">
        <f>COUNTIFS('00 Encuesta'!$B$2:$B$511,"*c)*",'00 Encuesta'!$C$2:$C$511,"*b)*",'00 Encuesta'!$E$2:$E$511,"*a)*",'00 Encuesta'!$J$2:$J$511,"*g)*")</f>
        <v>13</v>
      </c>
      <c r="Q60" s="52">
        <f t="shared" si="64"/>
        <v>46.428571428571431</v>
      </c>
      <c r="R60" s="53">
        <f>COUNTIFS('00 Encuesta'!$B$2:$B$511,"*c)*",'00 Encuesta'!$C$2:$C$511,"*b)*",'00 Encuesta'!$E$2:$E$511,"*b)*",'00 Encuesta'!$J$2:$J$511,"*g)*")</f>
        <v>5</v>
      </c>
      <c r="S60" s="52">
        <f t="shared" ref="S60:S64" si="84">R60/$Q$7*100</f>
        <v>21.739130434782609</v>
      </c>
      <c r="T60" s="3"/>
      <c r="U60" s="51">
        <f t="shared" ref="U60:U63" si="85">W60+Y60</f>
        <v>9</v>
      </c>
      <c r="V60" s="52">
        <f t="shared" ref="V60:V64" si="86">U60/$X$5*100</f>
        <v>18</v>
      </c>
      <c r="W60" s="53">
        <f>COUNTIFS('00 Encuesta'!$B$2:$B$511,"*c)*",'00 Encuesta'!$C$2:$C$511,"*d)*",'00 Encuesta'!$E$2:$E$511,"*a)*",'00 Encuesta'!$J$2:$J$511,"*g)*")</f>
        <v>6</v>
      </c>
      <c r="X60" s="52">
        <f t="shared" si="68"/>
        <v>22.222222222222221</v>
      </c>
      <c r="Y60" s="53">
        <f>COUNTIFS('00 Encuesta'!$B$2:$B$511,"*c)*",'00 Encuesta'!$C$2:$C$511,"*d)*",'00 Encuesta'!$E$2:$E$511,"*b)*",'00 Encuesta'!$J$2:$J$511,"*g)*")</f>
        <v>3</v>
      </c>
      <c r="Z60" s="52">
        <f t="shared" si="69"/>
        <v>13.043478260869565</v>
      </c>
      <c r="AA60" s="3"/>
      <c r="AB60" s="62">
        <f t="shared" si="6"/>
        <v>38</v>
      </c>
      <c r="AC60" s="52">
        <f t="shared" si="70"/>
        <v>22.891566265060241</v>
      </c>
      <c r="AD60" s="7"/>
      <c r="AE60" s="7"/>
      <c r="AF60" s="9" t="str">
        <f t="shared" si="71"/>
        <v>g) MP4</v>
      </c>
      <c r="AG60" s="72">
        <f t="shared" si="72"/>
        <v>15.151515151515152</v>
      </c>
      <c r="AH60" s="72">
        <f t="shared" si="73"/>
        <v>18.75</v>
      </c>
      <c r="AI60" s="73">
        <f t="shared" si="74"/>
        <v>16.923076923076923</v>
      </c>
      <c r="AJ60" s="73"/>
      <c r="AK60" s="76">
        <f t="shared" si="75"/>
        <v>46.428571428571431</v>
      </c>
      <c r="AL60" s="76">
        <f t="shared" si="76"/>
        <v>21.739130434782609</v>
      </c>
      <c r="AM60" s="76">
        <f t="shared" si="77"/>
        <v>35.294117647058826</v>
      </c>
      <c r="AN60" s="76"/>
      <c r="AO60" s="81">
        <f t="shared" si="78"/>
        <v>22.222222222222221</v>
      </c>
      <c r="AP60" s="81">
        <f t="shared" si="79"/>
        <v>13.043478260869565</v>
      </c>
      <c r="AQ60" s="81">
        <f t="shared" si="80"/>
        <v>18</v>
      </c>
      <c r="AR60" s="7"/>
      <c r="AS60" s="76">
        <f t="shared" si="1"/>
        <v>22.891566265060241</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x14ac:dyDescent="0.3">
      <c r="A61" s="8" t="s">
        <v>63</v>
      </c>
      <c r="B61" s="9" t="s">
        <v>64</v>
      </c>
      <c r="C61" s="7"/>
      <c r="D61" s="7"/>
      <c r="E61" s="7"/>
      <c r="F61" s="71"/>
      <c r="G61" s="51">
        <f t="shared" si="58"/>
        <v>27</v>
      </c>
      <c r="H61" s="52">
        <f t="shared" si="59"/>
        <v>41.53846153846154</v>
      </c>
      <c r="I61" s="53">
        <f>COUNTIFS('00 Encuesta'!$B$2:$B$511,"*c)*",'00 Encuesta'!$C$2:$C$511,"*a)*",'00 Encuesta'!$E$2:$E$511,"*a)*",'00 Encuesta'!$J$2:$J$511,"*h)*")</f>
        <v>15</v>
      </c>
      <c r="J61" s="52">
        <f t="shared" si="60"/>
        <v>45.454545454545453</v>
      </c>
      <c r="K61" s="53">
        <f>COUNTIFS('00 Encuesta'!$B$2:$B$511,"*c)*",'00 Encuesta'!$C$2:$C$511,"*a)*",'00 Encuesta'!$E$2:$E$511,"*b)*",'00 Encuesta'!$J$2:$J$511,"*h)*")</f>
        <v>12</v>
      </c>
      <c r="L61" s="52">
        <f t="shared" si="81"/>
        <v>37.5</v>
      </c>
      <c r="M61" s="23"/>
      <c r="N61" s="51">
        <f t="shared" si="82"/>
        <v>23</v>
      </c>
      <c r="O61" s="52">
        <f t="shared" si="83"/>
        <v>45.098039215686278</v>
      </c>
      <c r="P61" s="53">
        <f>COUNTIFS('00 Encuesta'!$B$2:$B$511,"*c)*",'00 Encuesta'!$C$2:$C$511,"*b)*",'00 Encuesta'!$E$2:$E$511,"*a)*",'00 Encuesta'!$J$2:$J$511,"*h)*")</f>
        <v>15</v>
      </c>
      <c r="Q61" s="52">
        <f t="shared" si="64"/>
        <v>53.571428571428569</v>
      </c>
      <c r="R61" s="53">
        <f>COUNTIFS('00 Encuesta'!$B$2:$B$511,"*c)*",'00 Encuesta'!$C$2:$C$511,"*b)*",'00 Encuesta'!$E$2:$E$511,"*b)*",'00 Encuesta'!$J$2:$J$511,"*h)*")</f>
        <v>8</v>
      </c>
      <c r="S61" s="52">
        <f t="shared" si="84"/>
        <v>34.782608695652172</v>
      </c>
      <c r="T61" s="3"/>
      <c r="U61" s="51">
        <f t="shared" si="85"/>
        <v>20</v>
      </c>
      <c r="V61" s="52">
        <f t="shared" si="86"/>
        <v>40</v>
      </c>
      <c r="W61" s="53">
        <f>COUNTIFS('00 Encuesta'!$B$2:$B$511,"*c)*",'00 Encuesta'!$C$2:$C$511,"*d)*",'00 Encuesta'!$E$2:$E$511,"*a)*",'00 Encuesta'!$J$2:$J$511,"*h)*")</f>
        <v>12</v>
      </c>
      <c r="X61" s="52">
        <f t="shared" si="68"/>
        <v>44.444444444444443</v>
      </c>
      <c r="Y61" s="53">
        <f>COUNTIFS('00 Encuesta'!$B$2:$B$511,"*c)*",'00 Encuesta'!$C$2:$C$511,"*d)*",'00 Encuesta'!$E$2:$E$511,"*b)*",'00 Encuesta'!$J$2:$J$511,"*h)*")</f>
        <v>8</v>
      </c>
      <c r="Z61" s="52">
        <f t="shared" si="69"/>
        <v>34.782608695652172</v>
      </c>
      <c r="AA61" s="3"/>
      <c r="AB61" s="62">
        <f t="shared" si="6"/>
        <v>70</v>
      </c>
      <c r="AC61" s="52">
        <f t="shared" si="70"/>
        <v>42.168674698795179</v>
      </c>
      <c r="AD61" s="7"/>
      <c r="AE61" s="7"/>
      <c r="AF61" s="9" t="str">
        <f t="shared" si="71"/>
        <v>h) Carro</v>
      </c>
      <c r="AG61" s="72">
        <f t="shared" si="72"/>
        <v>45.454545454545453</v>
      </c>
      <c r="AH61" s="72">
        <f t="shared" si="73"/>
        <v>37.5</v>
      </c>
      <c r="AI61" s="73">
        <f t="shared" si="74"/>
        <v>41.53846153846154</v>
      </c>
      <c r="AJ61" s="73"/>
      <c r="AK61" s="76">
        <f t="shared" si="75"/>
        <v>53.571428571428569</v>
      </c>
      <c r="AL61" s="76">
        <f t="shared" si="76"/>
        <v>34.782608695652172</v>
      </c>
      <c r="AM61" s="76">
        <f t="shared" si="77"/>
        <v>45.098039215686278</v>
      </c>
      <c r="AN61" s="76"/>
      <c r="AO61" s="81">
        <f t="shared" si="78"/>
        <v>44.444444444444443</v>
      </c>
      <c r="AP61" s="81">
        <f t="shared" si="79"/>
        <v>34.782608695652172</v>
      </c>
      <c r="AQ61" s="81">
        <f t="shared" si="80"/>
        <v>40</v>
      </c>
      <c r="AR61" s="7"/>
      <c r="AS61" s="76">
        <f t="shared" si="1"/>
        <v>42.168674698795179</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x14ac:dyDescent="0.3">
      <c r="A62" s="8" t="s">
        <v>65</v>
      </c>
      <c r="B62" s="9" t="s">
        <v>66</v>
      </c>
      <c r="C62" s="7"/>
      <c r="D62" s="7"/>
      <c r="E62" s="7"/>
      <c r="F62" s="71"/>
      <c r="G62" s="51">
        <f t="shared" si="58"/>
        <v>55</v>
      </c>
      <c r="H62" s="52">
        <f t="shared" si="59"/>
        <v>84.615384615384613</v>
      </c>
      <c r="I62" s="53">
        <f>COUNTIFS('00 Encuesta'!$B$2:$B$511,"*c)*",'00 Encuesta'!$C$2:$C$511,"*a)*",'00 Encuesta'!$E$2:$E$511,"*a)*",'00 Encuesta'!$J$2:$J$511,"*i)*")</f>
        <v>27</v>
      </c>
      <c r="J62" s="52">
        <f t="shared" si="60"/>
        <v>81.818181818181827</v>
      </c>
      <c r="K62" s="53">
        <f>COUNTIFS('00 Encuesta'!$B$2:$B$511,"*c)*",'00 Encuesta'!$C$2:$C$511,"*a)*",'00 Encuesta'!$E$2:$E$511,"*b)*",'00 Encuesta'!$J$2:$J$511,"*i)*")</f>
        <v>28</v>
      </c>
      <c r="L62" s="52">
        <f t="shared" si="81"/>
        <v>87.5</v>
      </c>
      <c r="M62" s="23"/>
      <c r="N62" s="51">
        <f t="shared" si="82"/>
        <v>41</v>
      </c>
      <c r="O62" s="52">
        <f t="shared" si="83"/>
        <v>80.392156862745097</v>
      </c>
      <c r="P62" s="53">
        <f>COUNTIFS('00 Encuesta'!$B$2:$B$511,"*c)*",'00 Encuesta'!$C$2:$C$511,"*b)*",'00 Encuesta'!$E$2:$E$511,"*a)*",'00 Encuesta'!$J$2:$J$511,"*i)*")</f>
        <v>24</v>
      </c>
      <c r="Q62" s="52">
        <f t="shared" si="64"/>
        <v>85.714285714285708</v>
      </c>
      <c r="R62" s="53">
        <f>COUNTIFS('00 Encuesta'!$B$2:$B$511,"*c)*",'00 Encuesta'!$C$2:$C$511,"*b)*",'00 Encuesta'!$E$2:$E$511,"*b)*",'00 Encuesta'!$J$2:$J$511,"*i)*")</f>
        <v>17</v>
      </c>
      <c r="S62" s="52">
        <f t="shared" si="84"/>
        <v>73.91304347826086</v>
      </c>
      <c r="T62" s="3"/>
      <c r="U62" s="51">
        <f t="shared" si="85"/>
        <v>35</v>
      </c>
      <c r="V62" s="52">
        <f t="shared" si="86"/>
        <v>70</v>
      </c>
      <c r="W62" s="53">
        <f>COUNTIFS('00 Encuesta'!$B$2:$B$511,"*c)*",'00 Encuesta'!$C$2:$C$511,"*d)*",'00 Encuesta'!$E$2:$E$511,"*a)*",'00 Encuesta'!$J$2:$J$511,"*i)*")</f>
        <v>21</v>
      </c>
      <c r="X62" s="52">
        <f t="shared" si="68"/>
        <v>77.777777777777786</v>
      </c>
      <c r="Y62" s="53">
        <f>COUNTIFS('00 Encuesta'!$B$2:$B$511,"*c)*",'00 Encuesta'!$C$2:$C$511,"*d)*",'00 Encuesta'!$E$2:$E$511,"*b)*",'00 Encuesta'!$J$2:$J$511,"*i)*")</f>
        <v>14</v>
      </c>
      <c r="Z62" s="52">
        <f t="shared" si="69"/>
        <v>60.869565217391312</v>
      </c>
      <c r="AA62" s="3"/>
      <c r="AB62" s="62">
        <f t="shared" si="6"/>
        <v>131</v>
      </c>
      <c r="AC62" s="52">
        <f t="shared" si="70"/>
        <v>78.915662650602414</v>
      </c>
      <c r="AD62" s="7"/>
      <c r="AE62" s="7"/>
      <c r="AF62" s="9" t="str">
        <f t="shared" si="71"/>
        <v>i) Computadora</v>
      </c>
      <c r="AG62" s="72">
        <f t="shared" si="72"/>
        <v>81.818181818181827</v>
      </c>
      <c r="AH62" s="72">
        <f t="shared" si="73"/>
        <v>87.5</v>
      </c>
      <c r="AI62" s="73">
        <f t="shared" si="74"/>
        <v>84.615384615384613</v>
      </c>
      <c r="AJ62" s="73"/>
      <c r="AK62" s="76">
        <f t="shared" si="75"/>
        <v>85.714285714285708</v>
      </c>
      <c r="AL62" s="76">
        <f t="shared" si="76"/>
        <v>73.91304347826086</v>
      </c>
      <c r="AM62" s="76">
        <f t="shared" si="77"/>
        <v>80.392156862745097</v>
      </c>
      <c r="AN62" s="76"/>
      <c r="AO62" s="81">
        <f t="shared" si="78"/>
        <v>77.777777777777786</v>
      </c>
      <c r="AP62" s="81">
        <f t="shared" si="79"/>
        <v>60.869565217391312</v>
      </c>
      <c r="AQ62" s="81">
        <f t="shared" si="80"/>
        <v>70</v>
      </c>
      <c r="AR62" s="7"/>
      <c r="AS62" s="76">
        <f t="shared" si="1"/>
        <v>78.915662650602414</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8"/>
        <v>36</v>
      </c>
      <c r="H63" s="52">
        <f t="shared" si="59"/>
        <v>55.384615384615387</v>
      </c>
      <c r="I63" s="53">
        <f>COUNTIFS('00 Encuesta'!$B$2:$B$511,"*c)*",'00 Encuesta'!$C$2:$C$511,"*a)*",'00 Encuesta'!$E$2:$E$511,"*a)*",'00 Encuesta'!$J$2:$J$511,"*j)*")</f>
        <v>21</v>
      </c>
      <c r="J63" s="52">
        <f t="shared" si="60"/>
        <v>63.636363636363633</v>
      </c>
      <c r="K63" s="53">
        <f>COUNTIFS('00 Encuesta'!$B$2:$B$511,"*c)*",'00 Encuesta'!$C$2:$C$511,"*a)*",'00 Encuesta'!$E$2:$E$511,"*b)*",'00 Encuesta'!$J$2:$J$511,"*j)*")</f>
        <v>15</v>
      </c>
      <c r="L63" s="52">
        <f t="shared" si="81"/>
        <v>46.875</v>
      </c>
      <c r="M63" s="23"/>
      <c r="N63" s="51">
        <f t="shared" si="82"/>
        <v>27</v>
      </c>
      <c r="O63" s="52">
        <f t="shared" si="83"/>
        <v>52.941176470588239</v>
      </c>
      <c r="P63" s="53">
        <f>COUNTIFS('00 Encuesta'!$B$2:$B$511,"*c)*",'00 Encuesta'!$C$2:$C$511,"*b)*",'00 Encuesta'!$E$2:$E$511,"*a)*",'00 Encuesta'!$J$2:$J$511,"*j)*")</f>
        <v>17</v>
      </c>
      <c r="Q63" s="52">
        <f t="shared" si="64"/>
        <v>60.714285714285708</v>
      </c>
      <c r="R63" s="53">
        <f>COUNTIFS('00 Encuesta'!$B$2:$B$511,"*c)*",'00 Encuesta'!$C$2:$C$511,"*b)*",'00 Encuesta'!$E$2:$E$511,"*b)*",'00 Encuesta'!$J$2:$J$511,"*j)*")</f>
        <v>10</v>
      </c>
      <c r="S63" s="52">
        <f t="shared" si="84"/>
        <v>43.478260869565219</v>
      </c>
      <c r="T63" s="3"/>
      <c r="U63" s="51">
        <f t="shared" si="85"/>
        <v>19</v>
      </c>
      <c r="V63" s="52">
        <f t="shared" si="86"/>
        <v>38</v>
      </c>
      <c r="W63" s="53">
        <f>COUNTIFS('00 Encuesta'!$B$2:$B$511,"*c)*",'00 Encuesta'!$C$2:$C$511,"*d)*",'00 Encuesta'!$E$2:$E$511,"*a)*",'00 Encuesta'!$J$2:$J$511,"*j)*")</f>
        <v>12</v>
      </c>
      <c r="X63" s="52">
        <f t="shared" si="68"/>
        <v>44.444444444444443</v>
      </c>
      <c r="Y63" s="53">
        <f>COUNTIFS('00 Encuesta'!$B$2:$B$511,"*c)*",'00 Encuesta'!$C$2:$C$511,"*d)*",'00 Encuesta'!$E$2:$E$511,"*b)*",'00 Encuesta'!$J$2:$J$511,"*j)*")</f>
        <v>7</v>
      </c>
      <c r="Z63" s="52">
        <f t="shared" si="69"/>
        <v>30.434782608695656</v>
      </c>
      <c r="AA63" s="3"/>
      <c r="AB63" s="62">
        <f t="shared" si="6"/>
        <v>82</v>
      </c>
      <c r="AC63" s="52">
        <f t="shared" si="70"/>
        <v>49.397590361445786</v>
      </c>
      <c r="AD63" s="7"/>
      <c r="AE63" s="7"/>
      <c r="AF63" s="9" t="str">
        <f t="shared" si="71"/>
        <v>j) Cámara digital</v>
      </c>
      <c r="AG63" s="72">
        <f t="shared" si="72"/>
        <v>63.636363636363633</v>
      </c>
      <c r="AH63" s="72">
        <f t="shared" si="73"/>
        <v>46.875</v>
      </c>
      <c r="AI63" s="73">
        <f t="shared" si="74"/>
        <v>55.384615384615387</v>
      </c>
      <c r="AJ63" s="73"/>
      <c r="AK63" s="76">
        <f t="shared" si="75"/>
        <v>60.714285714285708</v>
      </c>
      <c r="AL63" s="76">
        <f t="shared" si="76"/>
        <v>43.478260869565219</v>
      </c>
      <c r="AM63" s="76">
        <f t="shared" si="77"/>
        <v>52.941176470588239</v>
      </c>
      <c r="AN63" s="76"/>
      <c r="AO63" s="81">
        <f t="shared" si="78"/>
        <v>44.444444444444443</v>
      </c>
      <c r="AP63" s="81">
        <f t="shared" si="79"/>
        <v>30.434782608695656</v>
      </c>
      <c r="AQ63" s="81">
        <f t="shared" si="80"/>
        <v>38</v>
      </c>
      <c r="AR63" s="7"/>
      <c r="AS63" s="76">
        <f t="shared" si="1"/>
        <v>49.397590361445786</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x14ac:dyDescent="0.3">
      <c r="A64" s="1" t="s">
        <v>69</v>
      </c>
      <c r="B64" s="2" t="s">
        <v>70</v>
      </c>
      <c r="C64" s="3"/>
      <c r="D64" s="7"/>
      <c r="E64" s="7"/>
      <c r="F64" s="71"/>
      <c r="G64" s="51">
        <f t="shared" si="58"/>
        <v>54</v>
      </c>
      <c r="H64" s="52">
        <f t="shared" si="59"/>
        <v>83.07692307692308</v>
      </c>
      <c r="I64" s="53">
        <f>COUNTIFS('00 Encuesta'!$B$2:$B$511,"*c)*",'00 Encuesta'!$C$2:$C$511,"*a)*",'00 Encuesta'!$E$2:$E$511,"*a)*",'00 Encuesta'!$J$2:$J$511,"*k)*")</f>
        <v>26</v>
      </c>
      <c r="J64" s="52">
        <f t="shared" si="60"/>
        <v>78.787878787878782</v>
      </c>
      <c r="K64" s="53">
        <f>COUNTIFS('00 Encuesta'!$B$2:$B$511,"*c)*",'00 Encuesta'!$C$2:$C$511,"*a)*",'00 Encuesta'!$E$2:$E$511,"*b)*",'00 Encuesta'!$J$2:$J$511,"*k)*")</f>
        <v>28</v>
      </c>
      <c r="L64" s="52">
        <f t="shared" si="81"/>
        <v>87.5</v>
      </c>
      <c r="M64" s="23"/>
      <c r="N64" s="51">
        <f t="shared" ref="N64" si="87">P64+R64</f>
        <v>35</v>
      </c>
      <c r="O64" s="52">
        <f t="shared" si="83"/>
        <v>68.627450980392155</v>
      </c>
      <c r="P64" s="53">
        <f>COUNTIFS('00 Encuesta'!$B$2:$B$511,"*c)*",'00 Encuesta'!$C$2:$C$511,"*b)*",'00 Encuesta'!$E$2:$E$511,"*a)*",'00 Encuesta'!$J$2:$J$511,"*k)*")</f>
        <v>20</v>
      </c>
      <c r="Q64" s="52">
        <f t="shared" si="64"/>
        <v>71.428571428571431</v>
      </c>
      <c r="R64" s="53">
        <f>COUNTIFS('00 Encuesta'!$B$2:$B$511,"*c)*",'00 Encuesta'!$C$2:$C$511,"*b)*",'00 Encuesta'!$E$2:$E$511,"*b)*",'00 Encuesta'!$J$2:$J$511,"*k)*")</f>
        <v>15</v>
      </c>
      <c r="S64" s="52">
        <f t="shared" si="84"/>
        <v>65.217391304347828</v>
      </c>
      <c r="T64" s="3"/>
      <c r="U64" s="51">
        <f t="shared" ref="U64" si="88">W64+Y64</f>
        <v>36</v>
      </c>
      <c r="V64" s="52">
        <f t="shared" si="86"/>
        <v>72</v>
      </c>
      <c r="W64" s="53">
        <f>COUNTIFS('00 Encuesta'!$B$2:$B$511,"*c)*",'00 Encuesta'!$C$2:$C$511,"*d)*",'00 Encuesta'!$E$2:$E$511,"*a)*",'00 Encuesta'!$J$2:$J$511,"*k)*")</f>
        <v>20</v>
      </c>
      <c r="X64" s="52">
        <f t="shared" si="68"/>
        <v>74.074074074074076</v>
      </c>
      <c r="Y64" s="53">
        <f>COUNTIFS('00 Encuesta'!$B$2:$B$511,"*c)*",'00 Encuesta'!$C$2:$C$511,"*d)*",'00 Encuesta'!$E$2:$E$511,"*b)*",'00 Encuesta'!$J$2:$J$511,"*k)*")</f>
        <v>16</v>
      </c>
      <c r="Z64" s="52">
        <f t="shared" si="69"/>
        <v>69.565217391304344</v>
      </c>
      <c r="AA64" s="3"/>
      <c r="AB64" s="62">
        <f t="shared" si="6"/>
        <v>125</v>
      </c>
      <c r="AC64" s="52">
        <f t="shared" si="70"/>
        <v>75.301204819277103</v>
      </c>
      <c r="AD64" s="7"/>
      <c r="AE64" s="7"/>
      <c r="AF64" s="9" t="str">
        <f t="shared" si="71"/>
        <v>k) Aire acondicionado</v>
      </c>
      <c r="AG64" s="72">
        <f t="shared" si="72"/>
        <v>78.787878787878782</v>
      </c>
      <c r="AH64" s="72">
        <f t="shared" si="73"/>
        <v>87.5</v>
      </c>
      <c r="AI64" s="73">
        <f t="shared" si="74"/>
        <v>83.07692307692308</v>
      </c>
      <c r="AJ64" s="73"/>
      <c r="AK64" s="76">
        <f t="shared" si="75"/>
        <v>71.428571428571431</v>
      </c>
      <c r="AL64" s="76">
        <f t="shared" si="76"/>
        <v>65.217391304347828</v>
      </c>
      <c r="AM64" s="76">
        <f t="shared" si="77"/>
        <v>68.627450980392155</v>
      </c>
      <c r="AN64" s="76"/>
      <c r="AO64" s="81">
        <f t="shared" si="78"/>
        <v>74.074074074074076</v>
      </c>
      <c r="AP64" s="81">
        <f t="shared" si="79"/>
        <v>69.565217391304344</v>
      </c>
      <c r="AQ64" s="81">
        <f t="shared" si="80"/>
        <v>72</v>
      </c>
      <c r="AR64" s="7"/>
      <c r="AS64" s="76">
        <f t="shared" si="1"/>
        <v>75.301204819277103</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x14ac:dyDescent="0.3">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71"/>
        <v>S/R Sin Respuesta</v>
      </c>
      <c r="AG65" s="72">
        <f t="shared" si="72"/>
        <v>0</v>
      </c>
      <c r="AH65" s="72">
        <f t="shared" si="73"/>
        <v>0</v>
      </c>
      <c r="AI65" s="73">
        <f t="shared" si="74"/>
        <v>0</v>
      </c>
      <c r="AJ65" s="73"/>
      <c r="AK65" s="76">
        <f t="shared" si="75"/>
        <v>0</v>
      </c>
      <c r="AL65" s="76">
        <f t="shared" si="76"/>
        <v>0</v>
      </c>
      <c r="AM65" s="76">
        <f t="shared" si="77"/>
        <v>0</v>
      </c>
      <c r="AN65" s="76"/>
      <c r="AO65" s="81">
        <f t="shared" si="78"/>
        <v>0</v>
      </c>
      <c r="AP65" s="81">
        <f t="shared" si="79"/>
        <v>0</v>
      </c>
      <c r="AQ65" s="81">
        <f t="shared" si="80"/>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x14ac:dyDescent="0.3">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x14ac:dyDescent="0.3">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x14ac:dyDescent="0.3">
      <c r="A68" s="8" t="s">
        <v>17</v>
      </c>
      <c r="B68" s="9" t="s">
        <v>72</v>
      </c>
      <c r="C68" s="7"/>
      <c r="D68" s="7"/>
      <c r="E68" s="7"/>
      <c r="F68" s="71"/>
      <c r="G68" s="51">
        <f>I68+K68</f>
        <v>3</v>
      </c>
      <c r="H68" s="52">
        <f>G68/$J$5*100</f>
        <v>4.6153846153846159</v>
      </c>
      <c r="I68" s="53">
        <f>COUNTIFS('00 Encuesta'!$B$2:$B$511,"*c)*",'00 Encuesta'!$C$2:$C$511,"*a)*",'00 Encuesta'!$E$2:$E$511,"*a)*",'00 Encuesta'!$K$2:$K$511,"*a)*")</f>
        <v>3</v>
      </c>
      <c r="J68" s="52">
        <f t="shared" ref="J68:J74" si="89">I68/$J$6*100</f>
        <v>9.0909090909090917</v>
      </c>
      <c r="K68" s="53">
        <f>COUNTIFS('00 Encuesta'!$B$2:$B$511,"*c)*",'00 Encuesta'!$C$2:$C$511,"*a)*",'00 Encuesta'!$E$2:$E$511,"*b)*",'00 Encuesta'!$K$2:$K$511,"*a)*")</f>
        <v>0</v>
      </c>
      <c r="L68" s="52">
        <f t="shared" ref="L68:L73" si="90">K68/$J$7*100</f>
        <v>0</v>
      </c>
      <c r="M68" s="23"/>
      <c r="N68" s="51">
        <f t="shared" ref="N68:N73" si="91">P68+R68</f>
        <v>2</v>
      </c>
      <c r="O68" s="52">
        <f t="shared" ref="O68:O73" si="92">N68/$Q$5*100</f>
        <v>3.9215686274509802</v>
      </c>
      <c r="P68" s="53">
        <f>COUNTIFS('00 Encuesta'!$B$2:$B$511,"*c)*",'00 Encuesta'!$C$2:$C$511,"*b)*",'00 Encuesta'!$E$2:$E$511,"*a)*",'00 Encuesta'!$K$2:$K$511,"*a)*")</f>
        <v>2</v>
      </c>
      <c r="Q68" s="52">
        <f t="shared" ref="Q68:Q73" si="93">P68/$Q$6*100</f>
        <v>7.1428571428571423</v>
      </c>
      <c r="R68" s="53">
        <f>COUNTIFS('00 Encuesta'!$B$2:$B$511,"*c)*",'00 Encuesta'!$C$2:$C$511,"*b)*",'00 Encuesta'!$E$2:$E$511,"*b)*",'00 Encuesta'!$K$2:$K$511,"*a)*")</f>
        <v>0</v>
      </c>
      <c r="S68" s="52">
        <f t="shared" ref="S68:S73" si="94">R68/$Q$7*100</f>
        <v>0</v>
      </c>
      <c r="T68" s="3"/>
      <c r="U68" s="51">
        <f t="shared" ref="U68:U73" si="95">W68+Y68</f>
        <v>1</v>
      </c>
      <c r="V68" s="52">
        <f t="shared" ref="V68:V73" si="96">U68/$X$5*100</f>
        <v>2</v>
      </c>
      <c r="W68" s="53">
        <f>COUNTIFS('00 Encuesta'!$B$2:$B$511,"*c)*",'00 Encuesta'!$C$2:$C$511,"*d)*",'00 Encuesta'!$E$2:$E$511,"*a)*",'00 Encuesta'!$K$2:$K$511,"*a)*")</f>
        <v>1</v>
      </c>
      <c r="X68" s="52">
        <f t="shared" ref="X68:X73" si="97">W68/$X$6*100</f>
        <v>3.7037037037037033</v>
      </c>
      <c r="Y68" s="53">
        <f>COUNTIFS('00 Encuesta'!$B$2:$B$511,"*c)*",'00 Encuesta'!$C$2:$C$511,"*d)*",'00 Encuesta'!$E$2:$E$511,"*b)*",'00 Encuesta'!$K$2:$K$511,"*a)*")</f>
        <v>0</v>
      </c>
      <c r="Z68" s="52">
        <f t="shared" ref="Z68:Z74" si="98">Y68/$X$7*100</f>
        <v>0</v>
      </c>
      <c r="AA68" s="3"/>
      <c r="AB68" s="62">
        <f t="shared" ref="AB68:AB74" si="99">G68+N68+U68</f>
        <v>6</v>
      </c>
      <c r="AC68" s="52">
        <f t="shared" ref="AC68:AC74" si="100">AB68*100/$AC$5</f>
        <v>3.6144578313253013</v>
      </c>
      <c r="AD68" s="7"/>
      <c r="AE68" s="7"/>
      <c r="AF68" s="9" t="str">
        <f t="shared" ref="AF68:AF74" si="101">A68&amp;" "&amp;B68</f>
        <v>a) Ninguna</v>
      </c>
      <c r="AG68" s="72">
        <f t="shared" ref="AG68:AG74" si="102">J68</f>
        <v>9.0909090909090917</v>
      </c>
      <c r="AH68" s="72">
        <f t="shared" ref="AH68:AH74" si="103">L68</f>
        <v>0</v>
      </c>
      <c r="AI68" s="73">
        <f t="shared" ref="AI68:AI74" si="104">H68</f>
        <v>4.6153846153846159</v>
      </c>
      <c r="AJ68" s="73"/>
      <c r="AK68" s="76">
        <f t="shared" ref="AK68:AK74" si="105">Q68</f>
        <v>7.1428571428571423</v>
      </c>
      <c r="AL68" s="76">
        <f t="shared" ref="AL68:AL74" si="106">S68</f>
        <v>0</v>
      </c>
      <c r="AM68" s="76">
        <f t="shared" ref="AM68:AM74" si="107">O68</f>
        <v>3.9215686274509802</v>
      </c>
      <c r="AN68" s="76"/>
      <c r="AO68" s="81">
        <f t="shared" ref="AO68:AO74" si="108">X68</f>
        <v>3.7037037037037033</v>
      </c>
      <c r="AP68" s="81">
        <f t="shared" ref="AP68:AP74" si="109">Z68</f>
        <v>0</v>
      </c>
      <c r="AQ68" s="81">
        <f t="shared" ref="AQ68:AQ74" si="110">V68</f>
        <v>2</v>
      </c>
      <c r="AR68" s="7"/>
      <c r="AS68" s="76">
        <f t="shared" si="1"/>
        <v>3.6144578313253013</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x14ac:dyDescent="0.3">
      <c r="A69" s="8" t="s">
        <v>18</v>
      </c>
      <c r="B69" s="9" t="s">
        <v>73</v>
      </c>
      <c r="C69" s="7"/>
      <c r="D69" s="7"/>
      <c r="E69" s="7"/>
      <c r="F69" s="71"/>
      <c r="G69" s="51">
        <f t="shared" ref="G69:G74" si="111">I69+K69</f>
        <v>14</v>
      </c>
      <c r="H69" s="52">
        <f t="shared" ref="H69:H74" si="112">G69/$J$5*100</f>
        <v>21.53846153846154</v>
      </c>
      <c r="I69" s="53">
        <f>COUNTIFS('00 Encuesta'!$B$2:$B$511,"*c)*",'00 Encuesta'!$C$2:$C$511,"*a)*",'00 Encuesta'!$E$2:$E$511,"*a)*",'00 Encuesta'!$K$2:$K$511,"*b)*")</f>
        <v>5</v>
      </c>
      <c r="J69" s="52">
        <f t="shared" si="89"/>
        <v>15.151515151515152</v>
      </c>
      <c r="K69" s="53">
        <f>COUNTIFS('00 Encuesta'!$B$2:$B$511,"*c)*",'00 Encuesta'!$C$2:$C$511,"*a)*",'00 Encuesta'!$E$2:$E$511,"*b)*",'00 Encuesta'!$K$2:$K$511,"*b)*")</f>
        <v>9</v>
      </c>
      <c r="L69" s="52">
        <f t="shared" si="90"/>
        <v>28.125</v>
      </c>
      <c r="M69" s="23"/>
      <c r="N69" s="51">
        <f t="shared" si="91"/>
        <v>14</v>
      </c>
      <c r="O69" s="52">
        <f t="shared" si="92"/>
        <v>27.450980392156865</v>
      </c>
      <c r="P69" s="53">
        <f>COUNTIFS('00 Encuesta'!$B$2:$B$511,"*c)*",'00 Encuesta'!$C$2:$C$511,"*b)*",'00 Encuesta'!$E$2:$E$511,"*a)*",'00 Encuesta'!$K$2:$K$511,"*b)*")</f>
        <v>4</v>
      </c>
      <c r="Q69" s="52">
        <f t="shared" si="93"/>
        <v>14.285714285714285</v>
      </c>
      <c r="R69" s="53">
        <f>COUNTIFS('00 Encuesta'!$B$2:$B$511,"*c)*",'00 Encuesta'!$C$2:$C$511,"*b)*",'00 Encuesta'!$E$2:$E$511,"*b)*",'00 Encuesta'!$K$2:$K$511,"*b)*")</f>
        <v>10</v>
      </c>
      <c r="S69" s="52">
        <f t="shared" si="94"/>
        <v>43.478260869565219</v>
      </c>
      <c r="T69" s="3"/>
      <c r="U69" s="51">
        <f t="shared" si="95"/>
        <v>11</v>
      </c>
      <c r="V69" s="52">
        <f t="shared" si="96"/>
        <v>22</v>
      </c>
      <c r="W69" s="53">
        <f>COUNTIFS('00 Encuesta'!$B$2:$B$511,"*c)*",'00 Encuesta'!$C$2:$C$511,"*d)*",'00 Encuesta'!$E$2:$E$511,"*a)*",'00 Encuesta'!$K$2:$K$511,"*b)*")</f>
        <v>9</v>
      </c>
      <c r="X69" s="52">
        <f t="shared" si="97"/>
        <v>33.333333333333329</v>
      </c>
      <c r="Y69" s="53">
        <f>COUNTIFS('00 Encuesta'!$B$2:$B$511,"*c)*",'00 Encuesta'!$C$2:$C$511,"*d)*",'00 Encuesta'!$E$2:$E$511,"*b)*",'00 Encuesta'!$K$2:$K$511,"*b)*")</f>
        <v>2</v>
      </c>
      <c r="Z69" s="52">
        <f t="shared" si="98"/>
        <v>8.695652173913043</v>
      </c>
      <c r="AA69" s="3"/>
      <c r="AB69" s="62">
        <f t="shared" si="99"/>
        <v>39</v>
      </c>
      <c r="AC69" s="52">
        <f t="shared" si="100"/>
        <v>23.493975903614459</v>
      </c>
      <c r="AD69" s="7"/>
      <c r="AE69" s="7"/>
      <c r="AF69" s="9" t="str">
        <f t="shared" si="101"/>
        <v>b) Una</v>
      </c>
      <c r="AG69" s="72">
        <f t="shared" si="102"/>
        <v>15.151515151515152</v>
      </c>
      <c r="AH69" s="72">
        <f t="shared" si="103"/>
        <v>28.125</v>
      </c>
      <c r="AI69" s="73">
        <f t="shared" si="104"/>
        <v>21.53846153846154</v>
      </c>
      <c r="AJ69" s="73"/>
      <c r="AK69" s="76">
        <f t="shared" si="105"/>
        <v>14.285714285714285</v>
      </c>
      <c r="AL69" s="76">
        <f t="shared" si="106"/>
        <v>43.478260869565219</v>
      </c>
      <c r="AM69" s="76">
        <f t="shared" si="107"/>
        <v>27.450980392156865</v>
      </c>
      <c r="AN69" s="76"/>
      <c r="AO69" s="81">
        <f t="shared" si="108"/>
        <v>33.333333333333329</v>
      </c>
      <c r="AP69" s="81">
        <f t="shared" si="109"/>
        <v>8.695652173913043</v>
      </c>
      <c r="AQ69" s="81">
        <f t="shared" si="110"/>
        <v>22</v>
      </c>
      <c r="AR69" s="7"/>
      <c r="AS69" s="76">
        <f t="shared" si="1"/>
        <v>23.493975903614459</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x14ac:dyDescent="0.3">
      <c r="A70" s="8" t="s">
        <v>20</v>
      </c>
      <c r="B70" s="9" t="s">
        <v>74</v>
      </c>
      <c r="C70" s="7"/>
      <c r="D70" s="7"/>
      <c r="E70" s="7"/>
      <c r="F70" s="71"/>
      <c r="G70" s="51">
        <f t="shared" si="111"/>
        <v>25</v>
      </c>
      <c r="H70" s="52">
        <f t="shared" si="112"/>
        <v>38.461538461538467</v>
      </c>
      <c r="I70" s="53">
        <f>COUNTIFS('00 Encuesta'!$B$2:$B$511,"*c)*",'00 Encuesta'!$C$2:$C$511,"*a)*",'00 Encuesta'!$E$2:$E$511,"*a)*",'00 Encuesta'!$K$2:$K$511,"*c)*")</f>
        <v>13</v>
      </c>
      <c r="J70" s="52">
        <f t="shared" si="89"/>
        <v>39.393939393939391</v>
      </c>
      <c r="K70" s="53">
        <f>COUNTIFS('00 Encuesta'!$B$2:$B$511,"*c)*",'00 Encuesta'!$C$2:$C$511,"*a)*",'00 Encuesta'!$E$2:$E$511,"*b)*",'00 Encuesta'!$K$2:$K$511,"*c)*")</f>
        <v>12</v>
      </c>
      <c r="L70" s="52">
        <f t="shared" si="90"/>
        <v>37.5</v>
      </c>
      <c r="M70" s="23"/>
      <c r="N70" s="51">
        <f t="shared" si="91"/>
        <v>12</v>
      </c>
      <c r="O70" s="52">
        <f t="shared" si="92"/>
        <v>23.52941176470588</v>
      </c>
      <c r="P70" s="53">
        <f>COUNTIFS('00 Encuesta'!$B$2:$B$511,"*c)*",'00 Encuesta'!$C$2:$C$511,"*b)*",'00 Encuesta'!$E$2:$E$511,"*a)*",'00 Encuesta'!$K$2:$K$511,"*c)*")</f>
        <v>7</v>
      </c>
      <c r="Q70" s="52">
        <f t="shared" si="93"/>
        <v>25</v>
      </c>
      <c r="R70" s="53">
        <f>COUNTIFS('00 Encuesta'!$B$2:$B$511,"*c)*",'00 Encuesta'!$C$2:$C$511,"*b)*",'00 Encuesta'!$E$2:$E$511,"*b)*",'00 Encuesta'!$K$2:$K$511,"*c)*")</f>
        <v>5</v>
      </c>
      <c r="S70" s="52">
        <f t="shared" si="94"/>
        <v>21.739130434782609</v>
      </c>
      <c r="T70" s="3"/>
      <c r="U70" s="51">
        <f t="shared" si="95"/>
        <v>21</v>
      </c>
      <c r="V70" s="52">
        <f t="shared" si="96"/>
        <v>42</v>
      </c>
      <c r="W70" s="53">
        <f>COUNTIFS('00 Encuesta'!$B$2:$B$511,"*c)*",'00 Encuesta'!$C$2:$C$511,"*d)*",'00 Encuesta'!$E$2:$E$511,"*a)*",'00 Encuesta'!$K$2:$K$511,"*c)*")</f>
        <v>9</v>
      </c>
      <c r="X70" s="52">
        <f t="shared" si="97"/>
        <v>33.333333333333329</v>
      </c>
      <c r="Y70" s="53">
        <f>COUNTIFS('00 Encuesta'!$B$2:$B$511,"*c)*",'00 Encuesta'!$C$2:$C$511,"*d)*",'00 Encuesta'!$E$2:$E$511,"*b)*",'00 Encuesta'!$K$2:$K$511,"*c)*")</f>
        <v>12</v>
      </c>
      <c r="Z70" s="52">
        <f t="shared" si="98"/>
        <v>52.173913043478258</v>
      </c>
      <c r="AA70" s="3"/>
      <c r="AB70" s="62">
        <f t="shared" si="99"/>
        <v>58</v>
      </c>
      <c r="AC70" s="52">
        <f t="shared" si="100"/>
        <v>34.939759036144579</v>
      </c>
      <c r="AD70" s="7"/>
      <c r="AE70" s="7"/>
      <c r="AF70" s="9" t="str">
        <f t="shared" si="101"/>
        <v>c) Dos</v>
      </c>
      <c r="AG70" s="72">
        <f t="shared" si="102"/>
        <v>39.393939393939391</v>
      </c>
      <c r="AH70" s="72">
        <f t="shared" si="103"/>
        <v>37.5</v>
      </c>
      <c r="AI70" s="73">
        <f t="shared" si="104"/>
        <v>38.461538461538467</v>
      </c>
      <c r="AJ70" s="73"/>
      <c r="AK70" s="76">
        <f t="shared" si="105"/>
        <v>25</v>
      </c>
      <c r="AL70" s="76">
        <f t="shared" si="106"/>
        <v>21.739130434782609</v>
      </c>
      <c r="AM70" s="76">
        <f t="shared" si="107"/>
        <v>23.52941176470588</v>
      </c>
      <c r="AN70" s="76"/>
      <c r="AO70" s="81">
        <f t="shared" si="108"/>
        <v>33.333333333333329</v>
      </c>
      <c r="AP70" s="81">
        <f t="shared" si="109"/>
        <v>52.173913043478258</v>
      </c>
      <c r="AQ70" s="81">
        <f t="shared" si="110"/>
        <v>42</v>
      </c>
      <c r="AR70" s="7"/>
      <c r="AS70" s="76">
        <f t="shared" si="1"/>
        <v>34.939759036144579</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x14ac:dyDescent="0.3">
      <c r="A71" s="8" t="s">
        <v>21</v>
      </c>
      <c r="B71" s="9" t="s">
        <v>75</v>
      </c>
      <c r="C71" s="7"/>
      <c r="D71" s="7"/>
      <c r="E71" s="7"/>
      <c r="F71" s="71"/>
      <c r="G71" s="51">
        <f t="shared" si="111"/>
        <v>7</v>
      </c>
      <c r="H71" s="52">
        <f t="shared" si="112"/>
        <v>10.76923076923077</v>
      </c>
      <c r="I71" s="53">
        <f>COUNTIFS('00 Encuesta'!$B$2:$B$511,"*c)*",'00 Encuesta'!$C$2:$C$511,"*a)*",'00 Encuesta'!$E$2:$E$511,"*a)*",'00 Encuesta'!$K$2:$K$511,"*d)*")</f>
        <v>2</v>
      </c>
      <c r="J71" s="52">
        <f t="shared" si="89"/>
        <v>6.0606060606060606</v>
      </c>
      <c r="K71" s="53">
        <f>COUNTIFS('00 Encuesta'!$B$2:$B$511,"*c)*",'00 Encuesta'!$C$2:$C$511,"*a)*",'00 Encuesta'!$E$2:$E$511,"*b)*",'00 Encuesta'!$K$2:$K$511,"*d)*")</f>
        <v>5</v>
      </c>
      <c r="L71" s="52">
        <f t="shared" si="90"/>
        <v>15.625</v>
      </c>
      <c r="M71" s="23"/>
      <c r="N71" s="51">
        <f t="shared" si="91"/>
        <v>14</v>
      </c>
      <c r="O71" s="52">
        <f t="shared" si="92"/>
        <v>27.450980392156865</v>
      </c>
      <c r="P71" s="53">
        <f>COUNTIFS('00 Encuesta'!$B$2:$B$511,"*c)*",'00 Encuesta'!$C$2:$C$511,"*b)*",'00 Encuesta'!$E$2:$E$511,"*a)*",'00 Encuesta'!$K$2:$K$511,"*d)*")</f>
        <v>8</v>
      </c>
      <c r="Q71" s="52">
        <f t="shared" si="93"/>
        <v>28.571428571428569</v>
      </c>
      <c r="R71" s="53">
        <f>COUNTIFS('00 Encuesta'!$B$2:$B$511,"*c)*",'00 Encuesta'!$C$2:$C$511,"*b)*",'00 Encuesta'!$E$2:$E$511,"*b)*",'00 Encuesta'!$K$2:$K$511,"*d)*")</f>
        <v>6</v>
      </c>
      <c r="S71" s="52">
        <f t="shared" si="94"/>
        <v>26.086956521739129</v>
      </c>
      <c r="T71" s="3"/>
      <c r="U71" s="51">
        <f t="shared" si="95"/>
        <v>10</v>
      </c>
      <c r="V71" s="52">
        <f t="shared" si="96"/>
        <v>20</v>
      </c>
      <c r="W71" s="53">
        <f>COUNTIFS('00 Encuesta'!$B$2:$B$511,"*c)*",'00 Encuesta'!$C$2:$C$511,"*d)*",'00 Encuesta'!$E$2:$E$511,"*a)*",'00 Encuesta'!$K$2:$K$511,"*d)*")</f>
        <v>6</v>
      </c>
      <c r="X71" s="52">
        <f t="shared" si="97"/>
        <v>22.222222222222221</v>
      </c>
      <c r="Y71" s="53">
        <f>COUNTIFS('00 Encuesta'!$B$2:$B$511,"*c)*",'00 Encuesta'!$C$2:$C$511,"*d)*",'00 Encuesta'!$E$2:$E$511,"*b)*",'00 Encuesta'!$K$2:$K$511,"*d)*")</f>
        <v>4</v>
      </c>
      <c r="Z71" s="52">
        <f t="shared" si="98"/>
        <v>17.391304347826086</v>
      </c>
      <c r="AA71" s="3"/>
      <c r="AB71" s="62">
        <f t="shared" si="99"/>
        <v>31</v>
      </c>
      <c r="AC71" s="52">
        <f t="shared" si="100"/>
        <v>18.674698795180724</v>
      </c>
      <c r="AD71" s="7"/>
      <c r="AE71" s="7"/>
      <c r="AF71" s="9" t="str">
        <f t="shared" si="101"/>
        <v>d) Tres</v>
      </c>
      <c r="AG71" s="72">
        <f t="shared" si="102"/>
        <v>6.0606060606060606</v>
      </c>
      <c r="AH71" s="72">
        <f t="shared" si="103"/>
        <v>15.625</v>
      </c>
      <c r="AI71" s="73">
        <f t="shared" si="104"/>
        <v>10.76923076923077</v>
      </c>
      <c r="AJ71" s="73"/>
      <c r="AK71" s="76">
        <f t="shared" si="105"/>
        <v>28.571428571428569</v>
      </c>
      <c r="AL71" s="76">
        <f t="shared" si="106"/>
        <v>26.086956521739129</v>
      </c>
      <c r="AM71" s="76">
        <f t="shared" si="107"/>
        <v>27.450980392156865</v>
      </c>
      <c r="AN71" s="76"/>
      <c r="AO71" s="81">
        <f t="shared" si="108"/>
        <v>22.222222222222221</v>
      </c>
      <c r="AP71" s="81">
        <f t="shared" si="109"/>
        <v>17.391304347826086</v>
      </c>
      <c r="AQ71" s="81">
        <f t="shared" si="110"/>
        <v>20</v>
      </c>
      <c r="AR71" s="7"/>
      <c r="AS71" s="76">
        <f t="shared" si="1"/>
        <v>18.674698795180724</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x14ac:dyDescent="0.3">
      <c r="A72" s="8" t="s">
        <v>22</v>
      </c>
      <c r="B72" s="9" t="s">
        <v>76</v>
      </c>
      <c r="C72" s="7"/>
      <c r="D72" s="7"/>
      <c r="E72" s="7"/>
      <c r="F72" s="71"/>
      <c r="G72" s="51">
        <f t="shared" si="111"/>
        <v>5</v>
      </c>
      <c r="H72" s="52">
        <f t="shared" si="112"/>
        <v>7.6923076923076925</v>
      </c>
      <c r="I72" s="53">
        <f>COUNTIFS('00 Encuesta'!$B$2:$B$511,"*c)*",'00 Encuesta'!$C$2:$C$511,"*a)*",'00 Encuesta'!$E$2:$E$511,"*a)*",'00 Encuesta'!$K$2:$K$511,"*e)*")</f>
        <v>2</v>
      </c>
      <c r="J72" s="52">
        <f t="shared" si="89"/>
        <v>6.0606060606060606</v>
      </c>
      <c r="K72" s="53">
        <f>COUNTIFS('00 Encuesta'!$B$2:$B$511,"*c)*",'00 Encuesta'!$C$2:$C$511,"*a)*",'00 Encuesta'!$E$2:$E$511,"*b)*",'00 Encuesta'!$K$2:$K$511,"*e)*")</f>
        <v>3</v>
      </c>
      <c r="L72" s="52">
        <f t="shared" si="90"/>
        <v>9.375</v>
      </c>
      <c r="M72" s="23"/>
      <c r="N72" s="51">
        <f t="shared" si="91"/>
        <v>4</v>
      </c>
      <c r="O72" s="52">
        <f t="shared" si="92"/>
        <v>7.8431372549019605</v>
      </c>
      <c r="P72" s="53">
        <f>COUNTIFS('00 Encuesta'!$B$2:$B$511,"*c)*",'00 Encuesta'!$C$2:$C$511,"*b)*",'00 Encuesta'!$E$2:$E$511,"*a)*",'00 Encuesta'!$K$2:$K$511,"*e)*")</f>
        <v>3</v>
      </c>
      <c r="Q72" s="52">
        <f t="shared" si="93"/>
        <v>10.714285714285714</v>
      </c>
      <c r="R72" s="53">
        <f>COUNTIFS('00 Encuesta'!$B$2:$B$511,"*c)*",'00 Encuesta'!$C$2:$C$511,"*b)*",'00 Encuesta'!$E$2:$E$511,"*b)*",'00 Encuesta'!$K$2:$K$511,"*e)*")</f>
        <v>1</v>
      </c>
      <c r="S72" s="52">
        <f t="shared" si="94"/>
        <v>4.3478260869565215</v>
      </c>
      <c r="T72" s="3"/>
      <c r="U72" s="51">
        <f t="shared" si="95"/>
        <v>3</v>
      </c>
      <c r="V72" s="52">
        <f t="shared" si="96"/>
        <v>6</v>
      </c>
      <c r="W72" s="53">
        <f>COUNTIFS('00 Encuesta'!$B$2:$B$511,"*c)*",'00 Encuesta'!$C$2:$C$511,"*d)*",'00 Encuesta'!$E$2:$E$511,"*a)*",'00 Encuesta'!$K$2:$K$511,"*e)*")</f>
        <v>1</v>
      </c>
      <c r="X72" s="52">
        <f t="shared" si="97"/>
        <v>3.7037037037037033</v>
      </c>
      <c r="Y72" s="53">
        <f>COUNTIFS('00 Encuesta'!$B$2:$B$511,"*c)*",'00 Encuesta'!$C$2:$C$511,"*d)*",'00 Encuesta'!$E$2:$E$511,"*b)*",'00 Encuesta'!$K$2:$K$511,"*e)*")</f>
        <v>2</v>
      </c>
      <c r="Z72" s="52">
        <f t="shared" si="98"/>
        <v>8.695652173913043</v>
      </c>
      <c r="AA72" s="3"/>
      <c r="AB72" s="62">
        <f t="shared" si="99"/>
        <v>12</v>
      </c>
      <c r="AC72" s="52">
        <f t="shared" si="100"/>
        <v>7.2289156626506026</v>
      </c>
      <c r="AD72" s="7"/>
      <c r="AE72" s="7"/>
      <c r="AF72" s="9" t="str">
        <f t="shared" si="101"/>
        <v>e) Cuatro</v>
      </c>
      <c r="AG72" s="72">
        <f t="shared" si="102"/>
        <v>6.0606060606060606</v>
      </c>
      <c r="AH72" s="72">
        <f t="shared" si="103"/>
        <v>9.375</v>
      </c>
      <c r="AI72" s="73">
        <f t="shared" si="104"/>
        <v>7.6923076923076925</v>
      </c>
      <c r="AJ72" s="73"/>
      <c r="AK72" s="76">
        <f t="shared" si="105"/>
        <v>10.714285714285714</v>
      </c>
      <c r="AL72" s="76">
        <f t="shared" si="106"/>
        <v>4.3478260869565215</v>
      </c>
      <c r="AM72" s="76">
        <f t="shared" si="107"/>
        <v>7.8431372549019605</v>
      </c>
      <c r="AN72" s="76"/>
      <c r="AO72" s="81">
        <f t="shared" si="108"/>
        <v>3.7037037037037033</v>
      </c>
      <c r="AP72" s="81">
        <f t="shared" si="109"/>
        <v>8.695652173913043</v>
      </c>
      <c r="AQ72" s="81">
        <f t="shared" si="110"/>
        <v>6</v>
      </c>
      <c r="AR72" s="7"/>
      <c r="AS72" s="76">
        <f t="shared" si="1"/>
        <v>7.2289156626506026</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111"/>
        <v>10</v>
      </c>
      <c r="H73" s="52">
        <f t="shared" si="112"/>
        <v>15.384615384615385</v>
      </c>
      <c r="I73" s="53">
        <f>COUNTIFS('00 Encuesta'!$B$2:$B$511,"*c)*",'00 Encuesta'!$C$2:$C$511,"*a)*",'00 Encuesta'!$E$2:$E$511,"*a)*",'00 Encuesta'!$K$2:$K$511,"*f)*")</f>
        <v>7</v>
      </c>
      <c r="J73" s="52">
        <f t="shared" si="89"/>
        <v>21.212121212121211</v>
      </c>
      <c r="K73" s="53">
        <f>COUNTIFS('00 Encuesta'!$B$2:$B$511,"*c)*",'00 Encuesta'!$C$2:$C$511,"*a)*",'00 Encuesta'!$E$2:$E$511,"*b)*",'00 Encuesta'!$K$2:$K$511,"*f)*")</f>
        <v>3</v>
      </c>
      <c r="L73" s="52">
        <f t="shared" si="90"/>
        <v>9.375</v>
      </c>
      <c r="M73" s="23"/>
      <c r="N73" s="51">
        <f t="shared" si="91"/>
        <v>5</v>
      </c>
      <c r="O73" s="52">
        <f t="shared" si="92"/>
        <v>9.8039215686274517</v>
      </c>
      <c r="P73" s="53">
        <f>COUNTIFS('00 Encuesta'!$B$2:$B$511,"*c)*",'00 Encuesta'!$C$2:$C$511,"*b)*",'00 Encuesta'!$E$2:$E$511,"*a)*",'00 Encuesta'!$K$2:$K$511,"*f)*")</f>
        <v>4</v>
      </c>
      <c r="Q73" s="52">
        <f t="shared" si="93"/>
        <v>14.285714285714285</v>
      </c>
      <c r="R73" s="53">
        <f>COUNTIFS('00 Encuesta'!$B$2:$B$511,"*c)*",'00 Encuesta'!$C$2:$C$511,"*b)*",'00 Encuesta'!$E$2:$E$511,"*b)*",'00 Encuesta'!$K$2:$K$511,"*f)*")</f>
        <v>1</v>
      </c>
      <c r="S73" s="52">
        <f t="shared" si="94"/>
        <v>4.3478260869565215</v>
      </c>
      <c r="T73" s="3"/>
      <c r="U73" s="51">
        <f t="shared" si="95"/>
        <v>4</v>
      </c>
      <c r="V73" s="52">
        <f t="shared" si="96"/>
        <v>8</v>
      </c>
      <c r="W73" s="53">
        <f>COUNTIFS('00 Encuesta'!$B$2:$B$511,"*c)*",'00 Encuesta'!$C$2:$C$511,"*d)*",'00 Encuesta'!$E$2:$E$511,"*a)*",'00 Encuesta'!$K$2:$K$511,"*f)*")</f>
        <v>1</v>
      </c>
      <c r="X73" s="52">
        <f t="shared" si="97"/>
        <v>3.7037037037037033</v>
      </c>
      <c r="Y73" s="53">
        <f>COUNTIFS('00 Encuesta'!$B$2:$B$511,"*c)*",'00 Encuesta'!$C$2:$C$511,"*d)*",'00 Encuesta'!$E$2:$E$511,"*b)*",'00 Encuesta'!$K$2:$K$511,"*f)*")</f>
        <v>3</v>
      </c>
      <c r="Z73" s="52">
        <f t="shared" si="98"/>
        <v>13.043478260869565</v>
      </c>
      <c r="AA73" s="3"/>
      <c r="AB73" s="62">
        <f t="shared" si="99"/>
        <v>19</v>
      </c>
      <c r="AC73" s="52">
        <f t="shared" si="100"/>
        <v>11.445783132530121</v>
      </c>
      <c r="AD73" s="7"/>
      <c r="AE73" s="7"/>
      <c r="AF73" s="9" t="str">
        <f t="shared" si="101"/>
        <v>f) Más de cuatro</v>
      </c>
      <c r="AG73" s="72">
        <f t="shared" si="102"/>
        <v>21.212121212121211</v>
      </c>
      <c r="AH73" s="72">
        <f t="shared" si="103"/>
        <v>9.375</v>
      </c>
      <c r="AI73" s="73">
        <f t="shared" si="104"/>
        <v>15.384615384615385</v>
      </c>
      <c r="AJ73" s="73"/>
      <c r="AK73" s="76">
        <f t="shared" si="105"/>
        <v>14.285714285714285</v>
      </c>
      <c r="AL73" s="76">
        <f t="shared" si="106"/>
        <v>4.3478260869565215</v>
      </c>
      <c r="AM73" s="76">
        <f t="shared" si="107"/>
        <v>9.8039215686274517</v>
      </c>
      <c r="AN73" s="76"/>
      <c r="AO73" s="81">
        <f t="shared" si="108"/>
        <v>3.7037037037037033</v>
      </c>
      <c r="AP73" s="81">
        <f t="shared" si="109"/>
        <v>13.043478260869565</v>
      </c>
      <c r="AQ73" s="81">
        <f t="shared" si="110"/>
        <v>8</v>
      </c>
      <c r="AR73" s="7"/>
      <c r="AS73" s="76">
        <f t="shared" si="1"/>
        <v>11.445783132530121</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x14ac:dyDescent="0.3">
      <c r="A74" s="8" t="s">
        <v>23</v>
      </c>
      <c r="B74" s="9" t="s">
        <v>24</v>
      </c>
      <c r="C74" s="7"/>
      <c r="D74" s="7"/>
      <c r="E74" s="7"/>
      <c r="F74" s="71"/>
      <c r="G74" s="51">
        <f t="shared" si="111"/>
        <v>0</v>
      </c>
      <c r="H74" s="52">
        <f t="shared" si="112"/>
        <v>0</v>
      </c>
      <c r="I74" s="53"/>
      <c r="J74" s="52">
        <f t="shared" si="89"/>
        <v>0</v>
      </c>
      <c r="K74" s="53"/>
      <c r="L74" s="52">
        <f t="shared" ref="L74" si="113">K74/$J$7*100</f>
        <v>0</v>
      </c>
      <c r="M74" s="23"/>
      <c r="N74" s="51">
        <f t="shared" ref="N74" si="114">P74+R74</f>
        <v>0</v>
      </c>
      <c r="O74" s="52">
        <f t="shared" ref="O74" si="115">N74/$Q$5*100</f>
        <v>0</v>
      </c>
      <c r="P74" s="53"/>
      <c r="Q74" s="52">
        <f t="shared" ref="Q74" si="116">P74/$Q$6*100</f>
        <v>0</v>
      </c>
      <c r="R74" s="53"/>
      <c r="S74" s="52">
        <f t="shared" ref="S74" si="117">R74/$Q$7*100</f>
        <v>0</v>
      </c>
      <c r="T74" s="3"/>
      <c r="U74" s="51">
        <f t="shared" ref="U74" si="118">W74+Y74</f>
        <v>0</v>
      </c>
      <c r="V74" s="52">
        <f t="shared" ref="V74" si="119">U74/$X$5*100</f>
        <v>0</v>
      </c>
      <c r="W74" s="53"/>
      <c r="X74" s="52">
        <f t="shared" ref="X74" si="120">W74/$X$6*100</f>
        <v>0</v>
      </c>
      <c r="Y74" s="53"/>
      <c r="Z74" s="52">
        <f t="shared" si="98"/>
        <v>0</v>
      </c>
      <c r="AA74" s="3"/>
      <c r="AB74" s="62">
        <f t="shared" si="99"/>
        <v>0</v>
      </c>
      <c r="AC74" s="52">
        <f t="shared" si="100"/>
        <v>0</v>
      </c>
      <c r="AD74" s="7"/>
      <c r="AE74" s="7"/>
      <c r="AF74" s="9" t="str">
        <f t="shared" si="101"/>
        <v>S/R Sin Respuesta</v>
      </c>
      <c r="AG74" s="72">
        <f t="shared" si="102"/>
        <v>0</v>
      </c>
      <c r="AH74" s="72">
        <f t="shared" si="103"/>
        <v>0</v>
      </c>
      <c r="AI74" s="73">
        <f t="shared" si="104"/>
        <v>0</v>
      </c>
      <c r="AJ74" s="73"/>
      <c r="AK74" s="76">
        <f t="shared" si="105"/>
        <v>0</v>
      </c>
      <c r="AL74" s="76">
        <f t="shared" si="106"/>
        <v>0</v>
      </c>
      <c r="AM74" s="76">
        <f t="shared" si="107"/>
        <v>0</v>
      </c>
      <c r="AN74" s="76"/>
      <c r="AO74" s="81">
        <f t="shared" si="108"/>
        <v>0</v>
      </c>
      <c r="AP74" s="81">
        <f t="shared" si="109"/>
        <v>0</v>
      </c>
      <c r="AQ74" s="81">
        <f t="shared" si="110"/>
        <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x14ac:dyDescent="0.3">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x14ac:dyDescent="0.3">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x14ac:dyDescent="0.3">
      <c r="A78" s="8" t="s">
        <v>17</v>
      </c>
      <c r="B78" s="9" t="s">
        <v>80</v>
      </c>
      <c r="C78" s="7"/>
      <c r="D78" s="7"/>
      <c r="E78" s="7"/>
      <c r="F78" s="71"/>
      <c r="G78" s="51">
        <f t="shared" ref="G78:G88" si="121">I78+K78</f>
        <v>39</v>
      </c>
      <c r="H78" s="52">
        <f t="shared" ref="H78:H88" si="122">G78/$J$5*100</f>
        <v>60</v>
      </c>
      <c r="I78" s="53">
        <f>COUNTIFS('00 Encuesta'!$B$2:$B$511,"*c)*",'00 Encuesta'!$C$2:$C$511,"*a)*",'00 Encuesta'!$E$2:$E$511,"*a)*",'00 Encuesta'!$L$2:$L$511,"*a)*")</f>
        <v>20</v>
      </c>
      <c r="J78" s="52">
        <f t="shared" ref="J78:J88" si="123">I78/$J$6*100</f>
        <v>60.606060606060609</v>
      </c>
      <c r="K78" s="53">
        <f>COUNTIFS('00 Encuesta'!$B$2:$B$511,"*c)*",'00 Encuesta'!$C$2:$C$511,"*a)*",'00 Encuesta'!$E$2:$E$511,"*b)*",'00 Encuesta'!$L$2:$L$511,"*a)*")</f>
        <v>19</v>
      </c>
      <c r="L78" s="52">
        <f t="shared" ref="L78:L83" si="124">K78/$J$7*100</f>
        <v>59.375</v>
      </c>
      <c r="M78" s="23"/>
      <c r="N78" s="51">
        <f t="shared" ref="N78:N83" si="125">P78+R78</f>
        <v>29</v>
      </c>
      <c r="O78" s="52">
        <f t="shared" ref="O78:O83" si="126">N78/$Q$5*100</f>
        <v>56.862745098039213</v>
      </c>
      <c r="P78" s="53">
        <f>COUNTIFS('00 Encuesta'!$B$2:$B$511,"*c)*",'00 Encuesta'!$C$2:$C$511,"*b)*",'00 Encuesta'!$E$2:$E$511,"*a)*",'00 Encuesta'!$L$2:$L$511,"*a)*")</f>
        <v>14</v>
      </c>
      <c r="Q78" s="52">
        <f t="shared" ref="Q78:Q88" si="127">P78/$Q$6*100</f>
        <v>50</v>
      </c>
      <c r="R78" s="53">
        <f>COUNTIFS('00 Encuesta'!$B$2:$B$511,"*c)*",'00 Encuesta'!$C$2:$C$511,"*b)*",'00 Encuesta'!$E$2:$E$511,"*b)*",'00 Encuesta'!$L$2:$L$511,"*a)*")</f>
        <v>15</v>
      </c>
      <c r="S78" s="52">
        <f t="shared" ref="S78:S83" si="128">R78/$Q$7*100</f>
        <v>65.217391304347828</v>
      </c>
      <c r="T78" s="3"/>
      <c r="U78" s="51">
        <f t="shared" ref="U78:U83" si="129">W78+Y78</f>
        <v>34</v>
      </c>
      <c r="V78" s="52">
        <f t="shared" ref="V78:V83" si="130">U78/$X$5*100</f>
        <v>68</v>
      </c>
      <c r="W78" s="53">
        <f>COUNTIFS('00 Encuesta'!$B$2:$B$511,"*c)*",'00 Encuesta'!$C$2:$C$511,"*d)*",'00 Encuesta'!$E$2:$E$511,"*a)*",'00 Encuesta'!$L$2:$L$511,"*a)*")</f>
        <v>19</v>
      </c>
      <c r="X78" s="52">
        <f t="shared" ref="X78:X88" si="131">W78/$X$6*100</f>
        <v>70.370370370370367</v>
      </c>
      <c r="Y78" s="53">
        <f>COUNTIFS('00 Encuesta'!$B$2:$B$511,"*c)*",'00 Encuesta'!$C$2:$C$511,"*d)*",'00 Encuesta'!$E$2:$E$511,"*b)*",'00 Encuesta'!$L$2:$L$511,"*a)*")</f>
        <v>15</v>
      </c>
      <c r="Z78" s="52">
        <f t="shared" ref="Z78:Z88" si="132">Y78/$X$7*100</f>
        <v>65.217391304347828</v>
      </c>
      <c r="AA78" s="3"/>
      <c r="AB78" s="62">
        <f t="shared" ref="AB78:AB88" si="133">G78+N78+U78</f>
        <v>102</v>
      </c>
      <c r="AC78" s="52">
        <f t="shared" ref="AC78:AC88" si="134">AB78*100/$AC$5</f>
        <v>61.445783132530117</v>
      </c>
      <c r="AD78" s="7"/>
      <c r="AE78" s="7"/>
      <c r="AF78" s="9" t="str">
        <f t="shared" ref="AF78:AF89" si="135">A78&amp;" "&amp;B78</f>
        <v>a) La familia</v>
      </c>
      <c r="AG78" s="72">
        <f t="shared" ref="AG78:AG89" si="136">J78</f>
        <v>60.606060606060609</v>
      </c>
      <c r="AH78" s="72">
        <f t="shared" ref="AH78:AH89" si="137">L78</f>
        <v>59.375</v>
      </c>
      <c r="AI78" s="73">
        <f t="shared" ref="AI78:AI89" si="138">H78</f>
        <v>60</v>
      </c>
      <c r="AJ78" s="73"/>
      <c r="AK78" s="76">
        <f t="shared" ref="AK78:AK89" si="139">Q78</f>
        <v>50</v>
      </c>
      <c r="AL78" s="76">
        <f t="shared" ref="AL78:AL89" si="140">S78</f>
        <v>65.217391304347828</v>
      </c>
      <c r="AM78" s="76">
        <f t="shared" ref="AM78:AM89" si="141">O78</f>
        <v>56.862745098039213</v>
      </c>
      <c r="AN78" s="76"/>
      <c r="AO78" s="81">
        <f t="shared" ref="AO78:AO89" si="142">X78</f>
        <v>70.370370370370367</v>
      </c>
      <c r="AP78" s="81">
        <f t="shared" ref="AP78:AP89" si="143">Z78</f>
        <v>65.217391304347828</v>
      </c>
      <c r="AQ78" s="81">
        <f t="shared" ref="AQ78:AQ89" si="144">V78</f>
        <v>68</v>
      </c>
      <c r="AR78" s="7"/>
      <c r="AS78" s="76">
        <f t="shared" si="1"/>
        <v>61.445783132530117</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x14ac:dyDescent="0.3">
      <c r="A79" s="8" t="s">
        <v>18</v>
      </c>
      <c r="B79" s="9" t="s">
        <v>81</v>
      </c>
      <c r="C79" s="7"/>
      <c r="D79" s="7"/>
      <c r="E79" s="7"/>
      <c r="F79" s="71"/>
      <c r="G79" s="51">
        <f t="shared" si="121"/>
        <v>23</v>
      </c>
      <c r="H79" s="52">
        <f t="shared" si="122"/>
        <v>35.384615384615387</v>
      </c>
      <c r="I79" s="53">
        <f>COUNTIFS('00 Encuesta'!$B$2:$B$511,"*c)*",'00 Encuesta'!$C$2:$C$511,"*a)*",'00 Encuesta'!$E$2:$E$511,"*a)*",'00 Encuesta'!$L$2:$L$511,"*b)*")</f>
        <v>10</v>
      </c>
      <c r="J79" s="52">
        <f t="shared" si="123"/>
        <v>30.303030303030305</v>
      </c>
      <c r="K79" s="53">
        <f>COUNTIFS('00 Encuesta'!$B$2:$B$511,"*c)*",'00 Encuesta'!$C$2:$C$511,"*a)*",'00 Encuesta'!$E$2:$E$511,"*b)*",'00 Encuesta'!$L$2:$L$511,"*b)*")</f>
        <v>13</v>
      </c>
      <c r="L79" s="52">
        <f t="shared" si="124"/>
        <v>40.625</v>
      </c>
      <c r="M79" s="23"/>
      <c r="N79" s="51">
        <f t="shared" si="125"/>
        <v>13</v>
      </c>
      <c r="O79" s="52">
        <f t="shared" si="126"/>
        <v>25.490196078431371</v>
      </c>
      <c r="P79" s="53">
        <f>COUNTIFS('00 Encuesta'!$B$2:$B$511,"*c)*",'00 Encuesta'!$C$2:$C$511,"*b)*",'00 Encuesta'!$E$2:$E$511,"*a)*",'00 Encuesta'!$L$2:$L$511,"*b)*")</f>
        <v>4</v>
      </c>
      <c r="Q79" s="52">
        <f t="shared" si="127"/>
        <v>14.285714285714285</v>
      </c>
      <c r="R79" s="53">
        <f>COUNTIFS('00 Encuesta'!$B$2:$B$511,"*c)*",'00 Encuesta'!$C$2:$C$511,"*b)*",'00 Encuesta'!$E$2:$E$511,"*b)*",'00 Encuesta'!$L$2:$L$511,"*b)*")</f>
        <v>9</v>
      </c>
      <c r="S79" s="52">
        <f t="shared" si="128"/>
        <v>39.130434782608695</v>
      </c>
      <c r="T79" s="3"/>
      <c r="U79" s="51">
        <f t="shared" si="129"/>
        <v>13</v>
      </c>
      <c r="V79" s="52">
        <f t="shared" si="130"/>
        <v>26</v>
      </c>
      <c r="W79" s="53">
        <f>COUNTIFS('00 Encuesta'!$B$2:$B$511,"*c)*",'00 Encuesta'!$C$2:$C$511,"*d)*",'00 Encuesta'!$E$2:$E$511,"*a)*",'00 Encuesta'!$L$2:$L$511,"*b)*")</f>
        <v>5</v>
      </c>
      <c r="X79" s="52">
        <f t="shared" si="131"/>
        <v>18.518518518518519</v>
      </c>
      <c r="Y79" s="53">
        <f>COUNTIFS('00 Encuesta'!$B$2:$B$511,"*c)*",'00 Encuesta'!$C$2:$C$511,"*d)*",'00 Encuesta'!$E$2:$E$511,"*b)*",'00 Encuesta'!$L$2:$L$511,"*b)*")</f>
        <v>8</v>
      </c>
      <c r="Z79" s="52">
        <f t="shared" si="132"/>
        <v>34.782608695652172</v>
      </c>
      <c r="AA79" s="3"/>
      <c r="AB79" s="62">
        <f t="shared" si="133"/>
        <v>49</v>
      </c>
      <c r="AC79" s="52">
        <f t="shared" si="134"/>
        <v>29.518072289156628</v>
      </c>
      <c r="AD79" s="7"/>
      <c r="AE79" s="7"/>
      <c r="AF79" s="9" t="str">
        <f t="shared" si="135"/>
        <v>b) Los amigos</v>
      </c>
      <c r="AG79" s="72">
        <f t="shared" si="136"/>
        <v>30.303030303030305</v>
      </c>
      <c r="AH79" s="72">
        <f t="shared" si="137"/>
        <v>40.625</v>
      </c>
      <c r="AI79" s="73">
        <f t="shared" si="138"/>
        <v>35.384615384615387</v>
      </c>
      <c r="AJ79" s="73"/>
      <c r="AK79" s="76">
        <f t="shared" si="139"/>
        <v>14.285714285714285</v>
      </c>
      <c r="AL79" s="76">
        <f t="shared" si="140"/>
        <v>39.130434782608695</v>
      </c>
      <c r="AM79" s="76">
        <f t="shared" si="141"/>
        <v>25.490196078431371</v>
      </c>
      <c r="AN79" s="76"/>
      <c r="AO79" s="81">
        <f t="shared" si="142"/>
        <v>18.518518518518519</v>
      </c>
      <c r="AP79" s="81">
        <f t="shared" si="143"/>
        <v>34.782608695652172</v>
      </c>
      <c r="AQ79" s="81">
        <f t="shared" si="144"/>
        <v>26</v>
      </c>
      <c r="AR79" s="7"/>
      <c r="AS79" s="76">
        <f t="shared" si="1"/>
        <v>29.518072289156628</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x14ac:dyDescent="0.3">
      <c r="A80" s="8" t="s">
        <v>20</v>
      </c>
      <c r="B80" s="9" t="s">
        <v>82</v>
      </c>
      <c r="C80" s="7"/>
      <c r="D80" s="7"/>
      <c r="E80" s="7"/>
      <c r="F80" s="71"/>
      <c r="G80" s="51">
        <f t="shared" si="121"/>
        <v>27</v>
      </c>
      <c r="H80" s="52">
        <f t="shared" si="122"/>
        <v>41.53846153846154</v>
      </c>
      <c r="I80" s="53">
        <f>COUNTIFS('00 Encuesta'!$B$2:$B$511,"*c)*",'00 Encuesta'!$C$2:$C$511,"*a)*",'00 Encuesta'!$E$2:$E$511,"*a)*",'00 Encuesta'!$L$2:$L$511,"*c)*")</f>
        <v>14</v>
      </c>
      <c r="J80" s="52">
        <f t="shared" si="123"/>
        <v>42.424242424242422</v>
      </c>
      <c r="K80" s="53">
        <f>COUNTIFS('00 Encuesta'!$B$2:$B$511,"*c)*",'00 Encuesta'!$C$2:$C$511,"*a)*",'00 Encuesta'!$E$2:$E$511,"*b)*",'00 Encuesta'!$L$2:$L$511,"*c)*")</f>
        <v>13</v>
      </c>
      <c r="L80" s="52">
        <f t="shared" si="124"/>
        <v>40.625</v>
      </c>
      <c r="M80" s="23"/>
      <c r="N80" s="51">
        <f t="shared" si="125"/>
        <v>15</v>
      </c>
      <c r="O80" s="52">
        <f t="shared" si="126"/>
        <v>29.411764705882355</v>
      </c>
      <c r="P80" s="53">
        <f>COUNTIFS('00 Encuesta'!$B$2:$B$511,"*c)*",'00 Encuesta'!$C$2:$C$511,"*b)*",'00 Encuesta'!$E$2:$E$511,"*a)*",'00 Encuesta'!$L$2:$L$511,"*c)*")</f>
        <v>7</v>
      </c>
      <c r="Q80" s="52">
        <f t="shared" si="127"/>
        <v>25</v>
      </c>
      <c r="R80" s="53">
        <f>COUNTIFS('00 Encuesta'!$B$2:$B$511,"*c)*",'00 Encuesta'!$C$2:$C$511,"*b)*",'00 Encuesta'!$E$2:$E$511,"*b)*",'00 Encuesta'!$L$2:$L$511,"*c)*")</f>
        <v>8</v>
      </c>
      <c r="S80" s="52">
        <f t="shared" si="128"/>
        <v>34.782608695652172</v>
      </c>
      <c r="T80" s="3"/>
      <c r="U80" s="51">
        <f t="shared" si="129"/>
        <v>16</v>
      </c>
      <c r="V80" s="52">
        <f t="shared" si="130"/>
        <v>32</v>
      </c>
      <c r="W80" s="53">
        <f>COUNTIFS('00 Encuesta'!$B$2:$B$511,"*c)*",'00 Encuesta'!$C$2:$C$511,"*d)*",'00 Encuesta'!$E$2:$E$511,"*a)*",'00 Encuesta'!$L$2:$L$511,"*c)*")</f>
        <v>6</v>
      </c>
      <c r="X80" s="52">
        <f t="shared" si="131"/>
        <v>22.222222222222221</v>
      </c>
      <c r="Y80" s="53">
        <f>COUNTIFS('00 Encuesta'!$B$2:$B$511,"*c)*",'00 Encuesta'!$C$2:$C$511,"*d)*",'00 Encuesta'!$E$2:$E$511,"*b)*",'00 Encuesta'!$L$2:$L$511,"*c)*")</f>
        <v>10</v>
      </c>
      <c r="Z80" s="52">
        <f t="shared" si="132"/>
        <v>43.478260869565219</v>
      </c>
      <c r="AA80" s="3"/>
      <c r="AB80" s="62">
        <f t="shared" si="133"/>
        <v>58</v>
      </c>
      <c r="AC80" s="52">
        <f t="shared" si="134"/>
        <v>34.939759036144579</v>
      </c>
      <c r="AD80" s="7"/>
      <c r="AE80" s="7"/>
      <c r="AF80" s="9" t="str">
        <f t="shared" si="135"/>
        <v>c) Los estudios</v>
      </c>
      <c r="AG80" s="72">
        <f t="shared" si="136"/>
        <v>42.424242424242422</v>
      </c>
      <c r="AH80" s="72">
        <f t="shared" si="137"/>
        <v>40.625</v>
      </c>
      <c r="AI80" s="73">
        <f t="shared" si="138"/>
        <v>41.53846153846154</v>
      </c>
      <c r="AJ80" s="73"/>
      <c r="AK80" s="76">
        <f t="shared" si="139"/>
        <v>25</v>
      </c>
      <c r="AL80" s="76">
        <f t="shared" si="140"/>
        <v>34.782608695652172</v>
      </c>
      <c r="AM80" s="76">
        <f t="shared" si="141"/>
        <v>29.411764705882355</v>
      </c>
      <c r="AN80" s="76"/>
      <c r="AO80" s="81">
        <f t="shared" si="142"/>
        <v>22.222222222222221</v>
      </c>
      <c r="AP80" s="81">
        <f t="shared" si="143"/>
        <v>43.478260869565219</v>
      </c>
      <c r="AQ80" s="81">
        <f t="shared" si="144"/>
        <v>32</v>
      </c>
      <c r="AR80" s="7"/>
      <c r="AS80" s="76">
        <f t="shared" ref="AS80:AS141" si="145">AC80</f>
        <v>34.939759036144579</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x14ac:dyDescent="0.3">
      <c r="A81" s="8" t="s">
        <v>21</v>
      </c>
      <c r="B81" s="9" t="s">
        <v>83</v>
      </c>
      <c r="C81" s="7"/>
      <c r="D81" s="7"/>
      <c r="E81" s="7"/>
      <c r="F81" s="71"/>
      <c r="G81" s="51">
        <f t="shared" si="121"/>
        <v>8</v>
      </c>
      <c r="H81" s="52">
        <f t="shared" si="122"/>
        <v>12.307692307692308</v>
      </c>
      <c r="I81" s="53">
        <f>COUNTIFS('00 Encuesta'!$B$2:$B$511,"*c)*",'00 Encuesta'!$C$2:$C$511,"*a)*",'00 Encuesta'!$E$2:$E$511,"*a)*",'00 Encuesta'!$L$2:$L$511,"*d)*")</f>
        <v>2</v>
      </c>
      <c r="J81" s="52">
        <f t="shared" si="123"/>
        <v>6.0606060606060606</v>
      </c>
      <c r="K81" s="53">
        <f>COUNTIFS('00 Encuesta'!$B$2:$B$511,"*c)*",'00 Encuesta'!$C$2:$C$511,"*a)*",'00 Encuesta'!$E$2:$E$511,"*b)*",'00 Encuesta'!$L$2:$L$511,"*d)*")</f>
        <v>6</v>
      </c>
      <c r="L81" s="52">
        <f t="shared" si="124"/>
        <v>18.75</v>
      </c>
      <c r="M81" s="23"/>
      <c r="N81" s="51">
        <f t="shared" si="125"/>
        <v>6</v>
      </c>
      <c r="O81" s="52">
        <f t="shared" si="126"/>
        <v>11.76470588235294</v>
      </c>
      <c r="P81" s="53">
        <f>COUNTIFS('00 Encuesta'!$B$2:$B$511,"*c)*",'00 Encuesta'!$C$2:$C$511,"*b)*",'00 Encuesta'!$E$2:$E$511,"*a)*",'00 Encuesta'!$L$2:$L$511,"*d)*")</f>
        <v>2</v>
      </c>
      <c r="Q81" s="52">
        <f t="shared" si="127"/>
        <v>7.1428571428571423</v>
      </c>
      <c r="R81" s="53">
        <f>COUNTIFS('00 Encuesta'!$B$2:$B$511,"*c)*",'00 Encuesta'!$C$2:$C$511,"*b)*",'00 Encuesta'!$E$2:$E$511,"*b)*",'00 Encuesta'!$L$2:$L$511,"*d)*")</f>
        <v>4</v>
      </c>
      <c r="S81" s="52">
        <f t="shared" si="128"/>
        <v>17.391304347826086</v>
      </c>
      <c r="T81" s="3"/>
      <c r="U81" s="51">
        <f t="shared" si="129"/>
        <v>4</v>
      </c>
      <c r="V81" s="52">
        <f t="shared" si="130"/>
        <v>8</v>
      </c>
      <c r="W81" s="53">
        <f>COUNTIFS('00 Encuesta'!$B$2:$B$511,"*c)*",'00 Encuesta'!$C$2:$C$511,"*d)*",'00 Encuesta'!$E$2:$E$511,"*a)*",'00 Encuesta'!$L$2:$L$511,"*d)*")</f>
        <v>4</v>
      </c>
      <c r="X81" s="52">
        <f t="shared" si="131"/>
        <v>14.814814814814813</v>
      </c>
      <c r="Y81" s="53">
        <f>COUNTIFS('00 Encuesta'!$B$2:$B$511,"*c)*",'00 Encuesta'!$C$2:$C$511,"*d)*",'00 Encuesta'!$E$2:$E$511,"*b)*",'00 Encuesta'!$L$2:$L$511,"*d)*")</f>
        <v>0</v>
      </c>
      <c r="Z81" s="52">
        <f t="shared" si="132"/>
        <v>0</v>
      </c>
      <c r="AA81" s="3"/>
      <c r="AB81" s="62">
        <f t="shared" si="133"/>
        <v>18</v>
      </c>
      <c r="AC81" s="52">
        <f t="shared" si="134"/>
        <v>10.843373493975903</v>
      </c>
      <c r="AD81" s="7"/>
      <c r="AE81" s="7"/>
      <c r="AF81" s="9" t="str">
        <f t="shared" si="135"/>
        <v>d) El cuidado de mi cuerpo</v>
      </c>
      <c r="AG81" s="72">
        <f t="shared" si="136"/>
        <v>6.0606060606060606</v>
      </c>
      <c r="AH81" s="72">
        <f t="shared" si="137"/>
        <v>18.75</v>
      </c>
      <c r="AI81" s="73">
        <f t="shared" si="138"/>
        <v>12.307692307692308</v>
      </c>
      <c r="AJ81" s="73"/>
      <c r="AK81" s="76">
        <f t="shared" si="139"/>
        <v>7.1428571428571423</v>
      </c>
      <c r="AL81" s="76">
        <f t="shared" si="140"/>
        <v>17.391304347826086</v>
      </c>
      <c r="AM81" s="76">
        <f t="shared" si="141"/>
        <v>11.76470588235294</v>
      </c>
      <c r="AN81" s="76"/>
      <c r="AO81" s="81">
        <f t="shared" si="142"/>
        <v>14.814814814814813</v>
      </c>
      <c r="AP81" s="81">
        <f t="shared" si="143"/>
        <v>0</v>
      </c>
      <c r="AQ81" s="81">
        <f t="shared" si="144"/>
        <v>8</v>
      </c>
      <c r="AR81" s="7"/>
      <c r="AS81" s="76">
        <f t="shared" si="145"/>
        <v>10.843373493975903</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x14ac:dyDescent="0.3">
      <c r="A82" s="8" t="s">
        <v>22</v>
      </c>
      <c r="B82" s="9" t="s">
        <v>84</v>
      </c>
      <c r="C82" s="7"/>
      <c r="D82" s="7"/>
      <c r="E82" s="56"/>
      <c r="F82" s="71"/>
      <c r="G82" s="51">
        <f t="shared" si="121"/>
        <v>1</v>
      </c>
      <c r="H82" s="52">
        <f t="shared" si="122"/>
        <v>1.5384615384615385</v>
      </c>
      <c r="I82" s="53">
        <f>COUNTIFS('00 Encuesta'!$B$2:$B$511,"*c)*",'00 Encuesta'!$C$2:$C$511,"*a)*",'00 Encuesta'!$E$2:$E$511,"*a)*",'00 Encuesta'!$L$2:$L$511,"*e)*")</f>
        <v>1</v>
      </c>
      <c r="J82" s="52">
        <f t="shared" si="123"/>
        <v>3.0303030303030303</v>
      </c>
      <c r="K82" s="53">
        <f>COUNTIFS('00 Encuesta'!$B$2:$B$511,"*c)*",'00 Encuesta'!$C$2:$C$511,"*a)*",'00 Encuesta'!$E$2:$E$511,"*b)*",'00 Encuesta'!$L$2:$L$511,"*e)*")</f>
        <v>0</v>
      </c>
      <c r="L82" s="52">
        <f t="shared" si="124"/>
        <v>0</v>
      </c>
      <c r="M82" s="23"/>
      <c r="N82" s="51">
        <f t="shared" si="125"/>
        <v>0</v>
      </c>
      <c r="O82" s="52">
        <f t="shared" si="126"/>
        <v>0</v>
      </c>
      <c r="P82" s="53">
        <f>COUNTIFS('00 Encuesta'!$B$2:$B$511,"*c)*",'00 Encuesta'!$C$2:$C$511,"*b)*",'00 Encuesta'!$E$2:$E$511,"*a)*",'00 Encuesta'!$L$2:$L$511,"*e)*")</f>
        <v>0</v>
      </c>
      <c r="Q82" s="52">
        <f t="shared" si="127"/>
        <v>0</v>
      </c>
      <c r="R82" s="53">
        <f>COUNTIFS('00 Encuesta'!$B$2:$B$511,"*c)*",'00 Encuesta'!$C$2:$C$511,"*b)*",'00 Encuesta'!$E$2:$E$511,"*b)*",'00 Encuesta'!$L$2:$L$511,"*e)*")</f>
        <v>0</v>
      </c>
      <c r="S82" s="52">
        <f t="shared" si="128"/>
        <v>0</v>
      </c>
      <c r="T82" s="3"/>
      <c r="U82" s="51">
        <f t="shared" si="129"/>
        <v>2</v>
      </c>
      <c r="V82" s="52">
        <f t="shared" si="130"/>
        <v>4</v>
      </c>
      <c r="W82" s="53">
        <f>COUNTIFS('00 Encuesta'!$B$2:$B$511,"*c)*",'00 Encuesta'!$C$2:$C$511,"*d)*",'00 Encuesta'!$E$2:$E$511,"*a)*",'00 Encuesta'!$L$2:$L$511,"*e)*")</f>
        <v>2</v>
      </c>
      <c r="X82" s="52">
        <f t="shared" si="131"/>
        <v>7.4074074074074066</v>
      </c>
      <c r="Y82" s="53">
        <f>COUNTIFS('00 Encuesta'!$B$2:$B$511,"*c)*",'00 Encuesta'!$C$2:$C$511,"*d)*",'00 Encuesta'!$E$2:$E$511,"*b)*",'00 Encuesta'!$L$2:$L$511,"*e)*")</f>
        <v>0</v>
      </c>
      <c r="Z82" s="52">
        <f t="shared" si="132"/>
        <v>0</v>
      </c>
      <c r="AA82" s="3"/>
      <c r="AB82" s="62">
        <f t="shared" si="133"/>
        <v>3</v>
      </c>
      <c r="AC82" s="52">
        <f t="shared" si="134"/>
        <v>1.8072289156626506</v>
      </c>
      <c r="AD82" s="7"/>
      <c r="AE82" s="7"/>
      <c r="AF82" s="9" t="str">
        <f t="shared" si="135"/>
        <v>e) Disponer de dinero</v>
      </c>
      <c r="AG82" s="72">
        <f t="shared" si="136"/>
        <v>3.0303030303030303</v>
      </c>
      <c r="AH82" s="72">
        <f t="shared" si="137"/>
        <v>0</v>
      </c>
      <c r="AI82" s="73">
        <f t="shared" si="138"/>
        <v>1.5384615384615385</v>
      </c>
      <c r="AJ82" s="73"/>
      <c r="AK82" s="76">
        <f t="shared" si="139"/>
        <v>0</v>
      </c>
      <c r="AL82" s="76">
        <f t="shared" si="140"/>
        <v>0</v>
      </c>
      <c r="AM82" s="76">
        <f t="shared" si="141"/>
        <v>0</v>
      </c>
      <c r="AN82" s="76"/>
      <c r="AO82" s="81">
        <f t="shared" si="142"/>
        <v>7.4074074074074066</v>
      </c>
      <c r="AP82" s="81">
        <f t="shared" si="143"/>
        <v>0</v>
      </c>
      <c r="AQ82" s="81">
        <f t="shared" si="144"/>
        <v>4</v>
      </c>
      <c r="AR82" s="7"/>
      <c r="AS82" s="76">
        <f t="shared" si="145"/>
        <v>1.8072289156626506</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x14ac:dyDescent="0.3">
      <c r="A83" s="8" t="s">
        <v>45</v>
      </c>
      <c r="B83" s="9" t="s">
        <v>85</v>
      </c>
      <c r="C83" s="7"/>
      <c r="D83" s="7"/>
      <c r="E83" s="7"/>
      <c r="F83" s="71"/>
      <c r="G83" s="51">
        <f t="shared" si="121"/>
        <v>6</v>
      </c>
      <c r="H83" s="52">
        <f t="shared" si="122"/>
        <v>9.2307692307692317</v>
      </c>
      <c r="I83" s="53">
        <f>COUNTIFS('00 Encuesta'!$B$2:$B$511,"*c)*",'00 Encuesta'!$C$2:$C$511,"*a)*",'00 Encuesta'!$E$2:$E$511,"*a)*",'00 Encuesta'!$L$2:$L$511,"*f)*")</f>
        <v>4</v>
      </c>
      <c r="J83" s="52">
        <f t="shared" si="123"/>
        <v>12.121212121212121</v>
      </c>
      <c r="K83" s="53">
        <f>COUNTIFS('00 Encuesta'!$B$2:$B$511,"*c)*",'00 Encuesta'!$C$2:$C$511,"*a)*",'00 Encuesta'!$E$2:$E$511,"*b)*",'00 Encuesta'!$L$2:$L$511,"*f)*")</f>
        <v>2</v>
      </c>
      <c r="L83" s="52">
        <f t="shared" si="124"/>
        <v>6.25</v>
      </c>
      <c r="M83" s="23"/>
      <c r="N83" s="51">
        <f t="shared" si="125"/>
        <v>3</v>
      </c>
      <c r="O83" s="52">
        <f t="shared" si="126"/>
        <v>5.8823529411764701</v>
      </c>
      <c r="P83" s="53">
        <f>COUNTIFS('00 Encuesta'!$B$2:$B$511,"*c)*",'00 Encuesta'!$C$2:$C$511,"*b)*",'00 Encuesta'!$E$2:$E$511,"*a)*",'00 Encuesta'!$L$2:$L$511,"*f)*")</f>
        <v>1</v>
      </c>
      <c r="Q83" s="52">
        <f t="shared" si="127"/>
        <v>3.5714285714285712</v>
      </c>
      <c r="R83" s="53">
        <f>COUNTIFS('00 Encuesta'!$B$2:$B$511,"*c)*",'00 Encuesta'!$C$2:$C$511,"*b)*",'00 Encuesta'!$E$2:$E$511,"*b)*",'00 Encuesta'!$L$2:$L$511,"*f)*")</f>
        <v>2</v>
      </c>
      <c r="S83" s="52">
        <f t="shared" si="128"/>
        <v>8.695652173913043</v>
      </c>
      <c r="T83" s="3"/>
      <c r="U83" s="51">
        <f t="shared" si="129"/>
        <v>4</v>
      </c>
      <c r="V83" s="52">
        <f t="shared" si="130"/>
        <v>8</v>
      </c>
      <c r="W83" s="53">
        <f>COUNTIFS('00 Encuesta'!$B$2:$B$511,"*c)*",'00 Encuesta'!$C$2:$C$511,"*d)*",'00 Encuesta'!$E$2:$E$511,"*a)*",'00 Encuesta'!$L$2:$L$511,"*f)*")</f>
        <v>2</v>
      </c>
      <c r="X83" s="52">
        <f t="shared" si="131"/>
        <v>7.4074074074074066</v>
      </c>
      <c r="Y83" s="53">
        <f>COUNTIFS('00 Encuesta'!$B$2:$B$511,"*c)*",'00 Encuesta'!$C$2:$C$511,"*d)*",'00 Encuesta'!$E$2:$E$511,"*b)*",'00 Encuesta'!$L$2:$L$511,"*f)*")</f>
        <v>2</v>
      </c>
      <c r="Z83" s="52">
        <f t="shared" si="132"/>
        <v>8.695652173913043</v>
      </c>
      <c r="AA83" s="3"/>
      <c r="AB83" s="62">
        <f t="shared" si="133"/>
        <v>13</v>
      </c>
      <c r="AC83" s="52">
        <f t="shared" si="134"/>
        <v>7.831325301204819</v>
      </c>
      <c r="AD83" s="7"/>
      <c r="AE83" s="7"/>
      <c r="AF83" s="9" t="str">
        <f t="shared" si="135"/>
        <v>f) Mi fe y vida cristiana</v>
      </c>
      <c r="AG83" s="72">
        <f t="shared" si="136"/>
        <v>12.121212121212121</v>
      </c>
      <c r="AH83" s="72">
        <f t="shared" si="137"/>
        <v>6.25</v>
      </c>
      <c r="AI83" s="73">
        <f t="shared" si="138"/>
        <v>9.2307692307692317</v>
      </c>
      <c r="AJ83" s="73"/>
      <c r="AK83" s="76">
        <f t="shared" si="139"/>
        <v>3.5714285714285712</v>
      </c>
      <c r="AL83" s="76">
        <f t="shared" si="140"/>
        <v>8.695652173913043</v>
      </c>
      <c r="AM83" s="76">
        <f t="shared" si="141"/>
        <v>5.8823529411764701</v>
      </c>
      <c r="AN83" s="76"/>
      <c r="AO83" s="81">
        <f t="shared" si="142"/>
        <v>7.4074074074074066</v>
      </c>
      <c r="AP83" s="81">
        <f t="shared" si="143"/>
        <v>8.695652173913043</v>
      </c>
      <c r="AQ83" s="81">
        <f t="shared" si="144"/>
        <v>8</v>
      </c>
      <c r="AR83" s="7"/>
      <c r="AS83" s="76">
        <f t="shared" si="145"/>
        <v>7.831325301204819</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x14ac:dyDescent="0.3">
      <c r="A84" s="8" t="s">
        <v>61</v>
      </c>
      <c r="B84" s="9" t="s">
        <v>86</v>
      </c>
      <c r="C84" s="7"/>
      <c r="D84" s="7"/>
      <c r="E84" s="7"/>
      <c r="F84" s="71"/>
      <c r="G84" s="51">
        <f t="shared" si="121"/>
        <v>9</v>
      </c>
      <c r="H84" s="52">
        <f t="shared" si="122"/>
        <v>13.846153846153847</v>
      </c>
      <c r="I84" s="53">
        <f>COUNTIFS('00 Encuesta'!$B$2:$B$511,"*c)*",'00 Encuesta'!$C$2:$C$511,"*a)*",'00 Encuesta'!$E$2:$E$511,"*a)*",'00 Encuesta'!$L$2:$L$511,"*g)*")</f>
        <v>7</v>
      </c>
      <c r="J84" s="52">
        <f t="shared" si="123"/>
        <v>21.212121212121211</v>
      </c>
      <c r="K84" s="53">
        <f>COUNTIFS('00 Encuesta'!$B$2:$B$511,"*c)*",'00 Encuesta'!$C$2:$C$511,"*a)*",'00 Encuesta'!$E$2:$E$511,"*b)*",'00 Encuesta'!$L$2:$L$511,"*g)*")</f>
        <v>2</v>
      </c>
      <c r="L84" s="52">
        <f t="shared" ref="L84:L88" si="146">K84/$J$7*100</f>
        <v>6.25</v>
      </c>
      <c r="M84" s="23"/>
      <c r="N84" s="51">
        <f t="shared" ref="N84:N88" si="147">P84+R84</f>
        <v>2</v>
      </c>
      <c r="O84" s="52">
        <f t="shared" ref="O84:O88" si="148">N84/$Q$5*100</f>
        <v>3.9215686274509802</v>
      </c>
      <c r="P84" s="53">
        <f>COUNTIFS('00 Encuesta'!$B$2:$B$511,"*c)*",'00 Encuesta'!$C$2:$C$511,"*b)*",'00 Encuesta'!$E$2:$E$511,"*a)*",'00 Encuesta'!$L$2:$L$511,"*g)*")</f>
        <v>1</v>
      </c>
      <c r="Q84" s="52">
        <f t="shared" si="127"/>
        <v>3.5714285714285712</v>
      </c>
      <c r="R84" s="53">
        <f>COUNTIFS('00 Encuesta'!$B$2:$B$511,"*c)*",'00 Encuesta'!$C$2:$C$511,"*b)*",'00 Encuesta'!$E$2:$E$511,"*b)*",'00 Encuesta'!$L$2:$L$511,"*g)*")</f>
        <v>1</v>
      </c>
      <c r="S84" s="52">
        <f t="shared" ref="S84:S88" si="149">R84/$Q$7*100</f>
        <v>4.3478260869565215</v>
      </c>
      <c r="T84" s="3"/>
      <c r="U84" s="51">
        <f t="shared" ref="U84:U88" si="150">W84+Y84</f>
        <v>7</v>
      </c>
      <c r="V84" s="52">
        <f t="shared" ref="V84:V88" si="151">U84/$X$5*100</f>
        <v>14.000000000000002</v>
      </c>
      <c r="W84" s="53">
        <f>COUNTIFS('00 Encuesta'!$B$2:$B$511,"*c)*",'00 Encuesta'!$C$2:$C$511,"*d)*",'00 Encuesta'!$E$2:$E$511,"*a)*",'00 Encuesta'!$L$2:$L$511,"*g)*")</f>
        <v>3</v>
      </c>
      <c r="X84" s="52">
        <f t="shared" si="131"/>
        <v>11.111111111111111</v>
      </c>
      <c r="Y84" s="53">
        <f>COUNTIFS('00 Encuesta'!$B$2:$B$511,"*c)*",'00 Encuesta'!$C$2:$C$511,"*d)*",'00 Encuesta'!$E$2:$E$511,"*b)*",'00 Encuesta'!$L$2:$L$511,"*g)*")</f>
        <v>4</v>
      </c>
      <c r="Z84" s="52">
        <f t="shared" si="132"/>
        <v>17.391304347826086</v>
      </c>
      <c r="AA84" s="3"/>
      <c r="AB84" s="62">
        <f t="shared" si="133"/>
        <v>18</v>
      </c>
      <c r="AC84" s="52">
        <f t="shared" si="134"/>
        <v>10.843373493975903</v>
      </c>
      <c r="AD84" s="7"/>
      <c r="AE84" s="7"/>
      <c r="AF84" s="9" t="str">
        <f t="shared" si="135"/>
        <v>g) La felicidad</v>
      </c>
      <c r="AG84" s="72">
        <f t="shared" si="136"/>
        <v>21.212121212121211</v>
      </c>
      <c r="AH84" s="72">
        <f t="shared" si="137"/>
        <v>6.25</v>
      </c>
      <c r="AI84" s="73">
        <f t="shared" si="138"/>
        <v>13.846153846153847</v>
      </c>
      <c r="AJ84" s="73"/>
      <c r="AK84" s="76">
        <f t="shared" si="139"/>
        <v>3.5714285714285712</v>
      </c>
      <c r="AL84" s="76">
        <f t="shared" si="140"/>
        <v>4.3478260869565215</v>
      </c>
      <c r="AM84" s="76">
        <f t="shared" si="141"/>
        <v>3.9215686274509802</v>
      </c>
      <c r="AN84" s="76"/>
      <c r="AO84" s="81">
        <f t="shared" si="142"/>
        <v>11.111111111111111</v>
      </c>
      <c r="AP84" s="81">
        <f t="shared" si="143"/>
        <v>17.391304347826086</v>
      </c>
      <c r="AQ84" s="81">
        <f t="shared" si="144"/>
        <v>14.000000000000002</v>
      </c>
      <c r="AR84" s="7"/>
      <c r="AS84" s="76">
        <f t="shared" si="145"/>
        <v>10.843373493975903</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x14ac:dyDescent="0.3">
      <c r="A85" s="8" t="s">
        <v>63</v>
      </c>
      <c r="B85" s="9" t="s">
        <v>87</v>
      </c>
      <c r="C85" s="7"/>
      <c r="D85" s="7"/>
      <c r="E85" s="7"/>
      <c r="F85" s="71"/>
      <c r="G85" s="51">
        <f t="shared" si="121"/>
        <v>0</v>
      </c>
      <c r="H85" s="52">
        <f t="shared" si="122"/>
        <v>0</v>
      </c>
      <c r="I85" s="53">
        <f>COUNTIFS('00 Encuesta'!$B$2:$B$511,"*c)*",'00 Encuesta'!$C$2:$C$511,"*a)*",'00 Encuesta'!$E$2:$E$511,"*a)*",'00 Encuesta'!$L$2:$L$511,"*h)*")</f>
        <v>0</v>
      </c>
      <c r="J85" s="52">
        <f t="shared" si="123"/>
        <v>0</v>
      </c>
      <c r="K85" s="53">
        <f>COUNTIFS('00 Encuesta'!$B$2:$B$511,"*c)*",'00 Encuesta'!$C$2:$C$511,"*a)*",'00 Encuesta'!$E$2:$E$511,"*b)*",'00 Encuesta'!$L$2:$L$511,"*h)*")</f>
        <v>0</v>
      </c>
      <c r="L85" s="52">
        <f t="shared" si="146"/>
        <v>0</v>
      </c>
      <c r="M85" s="23"/>
      <c r="N85" s="51">
        <f t="shared" si="147"/>
        <v>2</v>
      </c>
      <c r="O85" s="52">
        <f t="shared" si="148"/>
        <v>3.9215686274509802</v>
      </c>
      <c r="P85" s="53">
        <f>COUNTIFS('00 Encuesta'!$B$2:$B$511,"*c)*",'00 Encuesta'!$C$2:$C$511,"*b)*",'00 Encuesta'!$E$2:$E$511,"*a)*",'00 Encuesta'!$L$2:$L$511,"*h)*")</f>
        <v>1</v>
      </c>
      <c r="Q85" s="52">
        <f t="shared" si="127"/>
        <v>3.5714285714285712</v>
      </c>
      <c r="R85" s="53">
        <f>COUNTIFS('00 Encuesta'!$B$2:$B$511,"*c)*",'00 Encuesta'!$C$2:$C$511,"*b)*",'00 Encuesta'!$E$2:$E$511,"*b)*",'00 Encuesta'!$L$2:$L$511,"*h)*")</f>
        <v>1</v>
      </c>
      <c r="S85" s="52">
        <f t="shared" si="149"/>
        <v>4.3478260869565215</v>
      </c>
      <c r="T85" s="3"/>
      <c r="U85" s="51">
        <f t="shared" si="150"/>
        <v>0</v>
      </c>
      <c r="V85" s="52">
        <f t="shared" si="151"/>
        <v>0</v>
      </c>
      <c r="W85" s="53">
        <f>COUNTIFS('00 Encuesta'!$B$2:$B$511,"*c)*",'00 Encuesta'!$C$2:$C$511,"*d)*",'00 Encuesta'!$E$2:$E$511,"*a)*",'00 Encuesta'!$L$2:$L$511,"*h)*")</f>
        <v>0</v>
      </c>
      <c r="X85" s="52">
        <f t="shared" si="131"/>
        <v>0</v>
      </c>
      <c r="Y85" s="53">
        <f>COUNTIFS('00 Encuesta'!$B$2:$B$511,"*c)*",'00 Encuesta'!$C$2:$C$511,"*d)*",'00 Encuesta'!$E$2:$E$511,"*b)*",'00 Encuesta'!$L$2:$L$511,"*h)*")</f>
        <v>0</v>
      </c>
      <c r="Z85" s="52">
        <f t="shared" si="132"/>
        <v>0</v>
      </c>
      <c r="AA85" s="3"/>
      <c r="AB85" s="62">
        <f t="shared" si="133"/>
        <v>2</v>
      </c>
      <c r="AC85" s="52">
        <f t="shared" si="134"/>
        <v>1.2048192771084338</v>
      </c>
      <c r="AD85" s="7"/>
      <c r="AE85" s="7"/>
      <c r="AF85" s="9" t="str">
        <f t="shared" si="135"/>
        <v>h) La sexualidad</v>
      </c>
      <c r="AG85" s="72">
        <f t="shared" si="136"/>
        <v>0</v>
      </c>
      <c r="AH85" s="72">
        <f t="shared" si="137"/>
        <v>0</v>
      </c>
      <c r="AI85" s="73">
        <f t="shared" si="138"/>
        <v>0</v>
      </c>
      <c r="AJ85" s="73"/>
      <c r="AK85" s="76">
        <f t="shared" si="139"/>
        <v>3.5714285714285712</v>
      </c>
      <c r="AL85" s="76">
        <f t="shared" si="140"/>
        <v>4.3478260869565215</v>
      </c>
      <c r="AM85" s="76">
        <f t="shared" si="141"/>
        <v>3.9215686274509802</v>
      </c>
      <c r="AN85" s="76"/>
      <c r="AO85" s="81">
        <f t="shared" si="142"/>
        <v>0</v>
      </c>
      <c r="AP85" s="81">
        <f t="shared" si="143"/>
        <v>0</v>
      </c>
      <c r="AQ85" s="81">
        <f t="shared" si="144"/>
        <v>0</v>
      </c>
      <c r="AR85" s="7"/>
      <c r="AS85" s="76">
        <f t="shared" si="145"/>
        <v>1.2048192771084338</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121"/>
        <v>3</v>
      </c>
      <c r="H86" s="52">
        <f t="shared" si="122"/>
        <v>4.6153846153846159</v>
      </c>
      <c r="I86" s="53">
        <f>COUNTIFS('00 Encuesta'!$B$2:$B$511,"*c)*",'00 Encuesta'!$C$2:$C$511,"*a)*",'00 Encuesta'!$E$2:$E$511,"*a)*",'00 Encuesta'!$L$2:$L$511,"*i)*")</f>
        <v>1</v>
      </c>
      <c r="J86" s="52">
        <f t="shared" si="123"/>
        <v>3.0303030303030303</v>
      </c>
      <c r="K86" s="53">
        <f>COUNTIFS('00 Encuesta'!$B$2:$B$511,"*c)*",'00 Encuesta'!$C$2:$C$511,"*a)*",'00 Encuesta'!$E$2:$E$511,"*b)*",'00 Encuesta'!$L$2:$L$511,"*i)*")</f>
        <v>2</v>
      </c>
      <c r="L86" s="52">
        <f t="shared" si="146"/>
        <v>6.25</v>
      </c>
      <c r="M86" s="23"/>
      <c r="N86" s="51">
        <f t="shared" si="147"/>
        <v>6</v>
      </c>
      <c r="O86" s="52">
        <f t="shared" si="148"/>
        <v>11.76470588235294</v>
      </c>
      <c r="P86" s="53">
        <f>COUNTIFS('00 Encuesta'!$B$2:$B$511,"*c)*",'00 Encuesta'!$C$2:$C$511,"*b)*",'00 Encuesta'!$E$2:$E$511,"*a)*",'00 Encuesta'!$L$2:$L$511,"*i)*")</f>
        <v>2</v>
      </c>
      <c r="Q86" s="52">
        <f t="shared" si="127"/>
        <v>7.1428571428571423</v>
      </c>
      <c r="R86" s="53">
        <f>COUNTIFS('00 Encuesta'!$B$2:$B$511,"*c)*",'00 Encuesta'!$C$2:$C$511,"*b)*",'00 Encuesta'!$E$2:$E$511,"*b)*",'00 Encuesta'!$L$2:$L$511,"*i)*")</f>
        <v>4</v>
      </c>
      <c r="S86" s="52">
        <f t="shared" si="149"/>
        <v>17.391304347826086</v>
      </c>
      <c r="T86" s="3"/>
      <c r="U86" s="51">
        <f t="shared" si="150"/>
        <v>10</v>
      </c>
      <c r="V86" s="52">
        <f t="shared" si="151"/>
        <v>20</v>
      </c>
      <c r="W86" s="53">
        <f>COUNTIFS('00 Encuesta'!$B$2:$B$511,"*c)*",'00 Encuesta'!$C$2:$C$511,"*d)*",'00 Encuesta'!$E$2:$E$511,"*a)*",'00 Encuesta'!$L$2:$L$511,"*i)*")</f>
        <v>7</v>
      </c>
      <c r="X86" s="52">
        <f t="shared" si="131"/>
        <v>25.925925925925924</v>
      </c>
      <c r="Y86" s="53">
        <f>COUNTIFS('00 Encuesta'!$B$2:$B$511,"*c)*",'00 Encuesta'!$C$2:$C$511,"*d)*",'00 Encuesta'!$E$2:$E$511,"*b)*",'00 Encuesta'!$L$2:$L$511,"*i)*")</f>
        <v>3</v>
      </c>
      <c r="Z86" s="52">
        <f t="shared" si="132"/>
        <v>13.043478260869565</v>
      </c>
      <c r="AA86" s="3"/>
      <c r="AB86" s="62">
        <f t="shared" si="133"/>
        <v>19</v>
      </c>
      <c r="AC86" s="52">
        <f t="shared" si="134"/>
        <v>11.445783132530121</v>
      </c>
      <c r="AD86" s="7"/>
      <c r="AE86" s="7"/>
      <c r="AF86" s="9" t="str">
        <f t="shared" si="135"/>
        <v>i) La música</v>
      </c>
      <c r="AG86" s="72">
        <f t="shared" si="136"/>
        <v>3.0303030303030303</v>
      </c>
      <c r="AH86" s="72">
        <f t="shared" si="137"/>
        <v>6.25</v>
      </c>
      <c r="AI86" s="73">
        <f t="shared" si="138"/>
        <v>4.6153846153846159</v>
      </c>
      <c r="AJ86" s="73"/>
      <c r="AK86" s="76">
        <f t="shared" si="139"/>
        <v>7.1428571428571423</v>
      </c>
      <c r="AL86" s="76">
        <f t="shared" si="140"/>
        <v>17.391304347826086</v>
      </c>
      <c r="AM86" s="76">
        <f t="shared" si="141"/>
        <v>11.76470588235294</v>
      </c>
      <c r="AN86" s="76"/>
      <c r="AO86" s="81">
        <f t="shared" si="142"/>
        <v>25.925925925925924</v>
      </c>
      <c r="AP86" s="81">
        <f t="shared" si="143"/>
        <v>13.043478260869565</v>
      </c>
      <c r="AQ86" s="81">
        <f t="shared" si="144"/>
        <v>20</v>
      </c>
      <c r="AR86" s="7"/>
      <c r="AS86" s="76">
        <f t="shared" si="145"/>
        <v>11.445783132530121</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x14ac:dyDescent="0.3">
      <c r="A87" s="1" t="s">
        <v>67</v>
      </c>
      <c r="B87" s="2" t="s">
        <v>89</v>
      </c>
      <c r="C87" s="3"/>
      <c r="D87" s="7"/>
      <c r="E87" s="7"/>
      <c r="F87" s="71"/>
      <c r="G87" s="51">
        <f t="shared" si="121"/>
        <v>2</v>
      </c>
      <c r="H87" s="52">
        <f t="shared" si="122"/>
        <v>3.0769230769230771</v>
      </c>
      <c r="I87" s="53">
        <f>COUNTIFS('00 Encuesta'!$B$2:$B$511,"*c)*",'00 Encuesta'!$C$2:$C$511,"*a)*",'00 Encuesta'!$E$2:$E$511,"*a)*",'00 Encuesta'!$L$2:$L$511,"*j)*")</f>
        <v>2</v>
      </c>
      <c r="J87" s="52">
        <f t="shared" si="123"/>
        <v>6.0606060606060606</v>
      </c>
      <c r="K87" s="53">
        <f>COUNTIFS('00 Encuesta'!$B$2:$B$511,"*c)*",'00 Encuesta'!$C$2:$C$511,"*a)*",'00 Encuesta'!$E$2:$E$511,"*b)*",'00 Encuesta'!$L$2:$L$511,"*j)*")</f>
        <v>0</v>
      </c>
      <c r="L87" s="52">
        <f t="shared" si="146"/>
        <v>0</v>
      </c>
      <c r="M87" s="23"/>
      <c r="N87" s="51">
        <f t="shared" si="147"/>
        <v>8</v>
      </c>
      <c r="O87" s="52">
        <f t="shared" si="148"/>
        <v>15.686274509803921</v>
      </c>
      <c r="P87" s="53">
        <f>COUNTIFS('00 Encuesta'!$B$2:$B$511,"*c)*",'00 Encuesta'!$C$2:$C$511,"*b)*",'00 Encuesta'!$E$2:$E$511,"*a)*",'00 Encuesta'!$L$2:$L$511,"*j)*")</f>
        <v>7</v>
      </c>
      <c r="Q87" s="52">
        <f t="shared" si="127"/>
        <v>25</v>
      </c>
      <c r="R87" s="53">
        <f>COUNTIFS('00 Encuesta'!$B$2:$B$511,"*c)*",'00 Encuesta'!$C$2:$C$511,"*b)*",'00 Encuesta'!$E$2:$E$511,"*b)*",'00 Encuesta'!$L$2:$L$511,"*j)*")</f>
        <v>1</v>
      </c>
      <c r="S87" s="52">
        <f t="shared" si="149"/>
        <v>4.3478260869565215</v>
      </c>
      <c r="T87" s="3"/>
      <c r="U87" s="51">
        <f t="shared" si="150"/>
        <v>7</v>
      </c>
      <c r="V87" s="52">
        <f t="shared" si="151"/>
        <v>14.000000000000002</v>
      </c>
      <c r="W87" s="53">
        <f>COUNTIFS('00 Encuesta'!$B$2:$B$511,"*c)*",'00 Encuesta'!$C$2:$C$511,"*d)*",'00 Encuesta'!$E$2:$E$511,"*a)*",'00 Encuesta'!$L$2:$L$511,"*j)*")</f>
        <v>4</v>
      </c>
      <c r="X87" s="52">
        <f t="shared" si="131"/>
        <v>14.814814814814813</v>
      </c>
      <c r="Y87" s="53">
        <f>COUNTIFS('00 Encuesta'!$B$2:$B$511,"*c)*",'00 Encuesta'!$C$2:$C$511,"*d)*",'00 Encuesta'!$E$2:$E$511,"*b)*",'00 Encuesta'!$L$2:$L$511,"*j)*")</f>
        <v>3</v>
      </c>
      <c r="Z87" s="52">
        <f t="shared" si="132"/>
        <v>13.043478260869565</v>
      </c>
      <c r="AA87" s="3"/>
      <c r="AB87" s="62">
        <f t="shared" si="133"/>
        <v>17</v>
      </c>
      <c r="AC87" s="52">
        <f t="shared" si="134"/>
        <v>10.240963855421686</v>
      </c>
      <c r="AD87" s="7"/>
      <c r="AE87" s="7"/>
      <c r="AF87" s="9" t="str">
        <f t="shared" si="135"/>
        <v>j) El deporte</v>
      </c>
      <c r="AG87" s="72">
        <f t="shared" si="136"/>
        <v>6.0606060606060606</v>
      </c>
      <c r="AH87" s="72">
        <f t="shared" si="137"/>
        <v>0</v>
      </c>
      <c r="AI87" s="73">
        <f t="shared" si="138"/>
        <v>3.0769230769230771</v>
      </c>
      <c r="AJ87" s="73"/>
      <c r="AK87" s="76">
        <f t="shared" si="139"/>
        <v>25</v>
      </c>
      <c r="AL87" s="76">
        <f t="shared" si="140"/>
        <v>4.3478260869565215</v>
      </c>
      <c r="AM87" s="76">
        <f t="shared" si="141"/>
        <v>15.686274509803921</v>
      </c>
      <c r="AN87" s="76"/>
      <c r="AO87" s="81">
        <f t="shared" si="142"/>
        <v>14.814814814814813</v>
      </c>
      <c r="AP87" s="81">
        <f t="shared" si="143"/>
        <v>13.043478260869565</v>
      </c>
      <c r="AQ87" s="81">
        <f t="shared" si="144"/>
        <v>14.000000000000002</v>
      </c>
      <c r="AR87" s="7"/>
      <c r="AS87" s="76">
        <f t="shared" si="145"/>
        <v>10.240963855421686</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x14ac:dyDescent="0.3">
      <c r="A88" s="1" t="s">
        <v>69</v>
      </c>
      <c r="B88" s="2" t="s">
        <v>90</v>
      </c>
      <c r="C88" s="3"/>
      <c r="D88" s="7"/>
      <c r="E88" s="7"/>
      <c r="F88" s="71"/>
      <c r="G88" s="51">
        <f t="shared" si="121"/>
        <v>0</v>
      </c>
      <c r="H88" s="52">
        <f t="shared" si="122"/>
        <v>0</v>
      </c>
      <c r="I88" s="53">
        <f>COUNTIFS('00 Encuesta'!$B$2:$B$511,"*c)*",'00 Encuesta'!$C$2:$C$511,"*a)*",'00 Encuesta'!$E$2:$E$511,"*a)*",'00 Encuesta'!$L$2:$L$511,"*k)*")</f>
        <v>0</v>
      </c>
      <c r="J88" s="52">
        <f t="shared" si="123"/>
        <v>0</v>
      </c>
      <c r="K88" s="53">
        <f>COUNTIFS('00 Encuesta'!$B$2:$B$511,"*c)*",'00 Encuesta'!$C$2:$C$511,"*a)*",'00 Encuesta'!$E$2:$E$511,"*b)*",'00 Encuesta'!$L$2:$L$511,"*k)*")</f>
        <v>0</v>
      </c>
      <c r="L88" s="52">
        <f t="shared" si="146"/>
        <v>0</v>
      </c>
      <c r="M88" s="23"/>
      <c r="N88" s="51">
        <f t="shared" si="147"/>
        <v>3</v>
      </c>
      <c r="O88" s="52">
        <f t="shared" si="148"/>
        <v>5.8823529411764701</v>
      </c>
      <c r="P88" s="53">
        <f>COUNTIFS('00 Encuesta'!$B$2:$B$511,"*c)*",'00 Encuesta'!$C$2:$C$511,"*b)*",'00 Encuesta'!$E$2:$E$511,"*a)*",'00 Encuesta'!$L$2:$L$511,"*k)*")</f>
        <v>3</v>
      </c>
      <c r="Q88" s="52">
        <f t="shared" si="127"/>
        <v>10.714285714285714</v>
      </c>
      <c r="R88" s="53">
        <f>COUNTIFS('00 Encuesta'!$B$2:$B$511,"*c)*",'00 Encuesta'!$C$2:$C$511,"*b)*",'00 Encuesta'!$E$2:$E$511,"*b)*",'00 Encuesta'!$L$2:$L$511,"*k)*")</f>
        <v>0</v>
      </c>
      <c r="S88" s="52">
        <f t="shared" si="149"/>
        <v>0</v>
      </c>
      <c r="T88" s="3"/>
      <c r="U88" s="51">
        <f t="shared" si="150"/>
        <v>2</v>
      </c>
      <c r="V88" s="52">
        <f t="shared" si="151"/>
        <v>4</v>
      </c>
      <c r="W88" s="53">
        <f>COUNTIFS('00 Encuesta'!$B$2:$B$511,"*c)*",'00 Encuesta'!$C$2:$C$511,"*d)*",'00 Encuesta'!$E$2:$E$511,"*a)*",'00 Encuesta'!$L$2:$L$511,"*k)*")</f>
        <v>2</v>
      </c>
      <c r="X88" s="52">
        <f t="shared" si="131"/>
        <v>7.4074074074074066</v>
      </c>
      <c r="Y88" s="53">
        <f>COUNTIFS('00 Encuesta'!$B$2:$B$511,"*c)*",'00 Encuesta'!$C$2:$C$511,"*d)*",'00 Encuesta'!$E$2:$E$511,"*b)*",'00 Encuesta'!$L$2:$L$511,"*k)*")</f>
        <v>0</v>
      </c>
      <c r="Z88" s="52">
        <f t="shared" si="132"/>
        <v>0</v>
      </c>
      <c r="AA88" s="3"/>
      <c r="AB88" s="62">
        <f t="shared" si="133"/>
        <v>5</v>
      </c>
      <c r="AC88" s="52">
        <f t="shared" si="134"/>
        <v>3.0120481927710845</v>
      </c>
      <c r="AD88" s="7"/>
      <c r="AE88" s="7"/>
      <c r="AF88" s="9" t="str">
        <f t="shared" si="135"/>
        <v>k) Internet</v>
      </c>
      <c r="AG88" s="72">
        <f t="shared" si="136"/>
        <v>0</v>
      </c>
      <c r="AH88" s="72">
        <f t="shared" si="137"/>
        <v>0</v>
      </c>
      <c r="AI88" s="73">
        <f t="shared" si="138"/>
        <v>0</v>
      </c>
      <c r="AJ88" s="73"/>
      <c r="AK88" s="76">
        <f t="shared" si="139"/>
        <v>10.714285714285714</v>
      </c>
      <c r="AL88" s="76">
        <f t="shared" si="140"/>
        <v>0</v>
      </c>
      <c r="AM88" s="76">
        <f t="shared" si="141"/>
        <v>5.8823529411764701</v>
      </c>
      <c r="AN88" s="76"/>
      <c r="AO88" s="81">
        <f t="shared" si="142"/>
        <v>7.4074074074074066</v>
      </c>
      <c r="AP88" s="81">
        <f t="shared" si="143"/>
        <v>0</v>
      </c>
      <c r="AQ88" s="81">
        <f t="shared" si="144"/>
        <v>4</v>
      </c>
      <c r="AR88" s="7"/>
      <c r="AS88" s="76">
        <f t="shared" si="145"/>
        <v>3.0120481927710845</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x14ac:dyDescent="0.3">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35"/>
        <v>S/R Sin Respuesta</v>
      </c>
      <c r="AG89" s="72">
        <f t="shared" si="136"/>
        <v>0</v>
      </c>
      <c r="AH89" s="72">
        <f t="shared" si="137"/>
        <v>0</v>
      </c>
      <c r="AI89" s="73">
        <f t="shared" si="138"/>
        <v>0</v>
      </c>
      <c r="AJ89" s="73"/>
      <c r="AK89" s="76">
        <f t="shared" si="139"/>
        <v>0</v>
      </c>
      <c r="AL89" s="76">
        <f t="shared" si="140"/>
        <v>0</v>
      </c>
      <c r="AM89" s="76">
        <f t="shared" si="141"/>
        <v>0</v>
      </c>
      <c r="AN89" s="76"/>
      <c r="AO89" s="81">
        <f t="shared" si="142"/>
        <v>0</v>
      </c>
      <c r="AP89" s="81">
        <f t="shared" si="143"/>
        <v>0</v>
      </c>
      <c r="AQ89" s="81">
        <f t="shared" si="144"/>
        <v>0</v>
      </c>
      <c r="AR89" s="7"/>
      <c r="AS89" s="76">
        <f t="shared" si="145"/>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x14ac:dyDescent="0.3">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x14ac:dyDescent="0.3">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x14ac:dyDescent="0.3">
      <c r="A92" s="8" t="s">
        <v>17</v>
      </c>
      <c r="B92" s="9" t="s">
        <v>93</v>
      </c>
      <c r="C92" s="7"/>
      <c r="D92" s="7"/>
      <c r="E92" s="7"/>
      <c r="F92" s="71"/>
      <c r="G92" s="51">
        <f t="shared" ref="G92:G99" si="152">I92+K92</f>
        <v>15</v>
      </c>
      <c r="H92" s="52">
        <f t="shared" ref="H92:H99" si="153">G92/$J$5*100</f>
        <v>23.076923076923077</v>
      </c>
      <c r="I92" s="53">
        <f>COUNTIFS('00 Encuesta'!$B$2:$B$511,"*c)*",'00 Encuesta'!$C$2:$C$511,"*a)*",'00 Encuesta'!$E$2:$E$511,"*a)*",'00 Encuesta'!$N$2:$N$511,"*a)*")</f>
        <v>10</v>
      </c>
      <c r="J92" s="52">
        <f t="shared" ref="J92:J99" si="154">I92/$J$6*100</f>
        <v>30.303030303030305</v>
      </c>
      <c r="K92" s="53">
        <f>COUNTIFS('00 Encuesta'!$B$2:$B$511,"*c)*",'00 Encuesta'!$C$2:$C$511,"*a)*",'00 Encuesta'!$E$2:$E$511,"*b)*",'00 Encuesta'!$N$2:$N$511,"*a)*")</f>
        <v>5</v>
      </c>
      <c r="L92" s="52">
        <f t="shared" ref="L92:L97" si="155">K92/$J$7*100</f>
        <v>15.625</v>
      </c>
      <c r="M92" s="23"/>
      <c r="N92" s="51">
        <f t="shared" ref="N92:N97" si="156">P92+R92</f>
        <v>8</v>
      </c>
      <c r="O92" s="52">
        <f t="shared" ref="O92:O97" si="157">N92/$Q$5*100</f>
        <v>15.686274509803921</v>
      </c>
      <c r="P92" s="53">
        <f>COUNTIFS('00 Encuesta'!$B$2:$B$511,"*c)*",'00 Encuesta'!$C$2:$C$511,"*b)*",'00 Encuesta'!$E$2:$E$511,"*a)*",'00 Encuesta'!$N$2:$N$511,"*a)*")</f>
        <v>5</v>
      </c>
      <c r="Q92" s="52">
        <f t="shared" ref="Q92:Q99" si="158">P92/$Q$6*100</f>
        <v>17.857142857142858</v>
      </c>
      <c r="R92" s="53">
        <f>COUNTIFS('00 Encuesta'!$B$2:$B$511,"*c)*",'00 Encuesta'!$C$2:$C$511,"*b)*",'00 Encuesta'!$E$2:$E$511,"*b)*",'00 Encuesta'!$N$2:$N$511,"*a)*")</f>
        <v>3</v>
      </c>
      <c r="S92" s="52">
        <f t="shared" ref="S92:S97" si="159">R92/$Q$7*100</f>
        <v>13.043478260869565</v>
      </c>
      <c r="T92" s="3"/>
      <c r="U92" s="51">
        <f t="shared" ref="U92:U97" si="160">W92+Y92</f>
        <v>7</v>
      </c>
      <c r="V92" s="52">
        <f t="shared" ref="V92:V97" si="161">U92/$X$5*100</f>
        <v>14.000000000000002</v>
      </c>
      <c r="W92" s="53">
        <f>COUNTIFS('00 Encuesta'!$B$2:$B$511,"*c)*",'00 Encuesta'!$C$2:$C$511,"*d)*",'00 Encuesta'!$E$2:$E$511,"*a)*",'00 Encuesta'!$N$2:$N$511,"*a)*")</f>
        <v>5</v>
      </c>
      <c r="X92" s="52">
        <f t="shared" ref="X92:X99" si="162">W92/$X$6*100</f>
        <v>18.518518518518519</v>
      </c>
      <c r="Y92" s="53">
        <f>COUNTIFS('00 Encuesta'!$B$2:$B$511,"*c)*",'00 Encuesta'!$C$2:$C$511,"*d)*",'00 Encuesta'!$E$2:$E$511,"*b)*",'00 Encuesta'!$N$2:$N$511,"*a)*")</f>
        <v>2</v>
      </c>
      <c r="Z92" s="52">
        <f t="shared" ref="Z92:Z99" si="163">Y92/$X$7*100</f>
        <v>8.695652173913043</v>
      </c>
      <c r="AA92" s="3"/>
      <c r="AB92" s="62">
        <f t="shared" ref="AB92:AB99" si="164">G92+N92+U92</f>
        <v>30</v>
      </c>
      <c r="AC92" s="52">
        <f t="shared" ref="AC92:AC99" si="165">AB92*100/$AC$5</f>
        <v>18.072289156626507</v>
      </c>
      <c r="AD92" s="7"/>
      <c r="AE92" s="7"/>
      <c r="AF92" s="9" t="str">
        <f t="shared" ref="AF92:AF100" si="166">A92&amp;" "&amp;B92</f>
        <v>a) Seguridad personal  (la violencia y la delincuencia)</v>
      </c>
      <c r="AG92" s="72">
        <f t="shared" ref="AG92:AG100" si="167">J92</f>
        <v>30.303030303030305</v>
      </c>
      <c r="AH92" s="72">
        <f t="shared" ref="AH92:AH100" si="168">L92</f>
        <v>15.625</v>
      </c>
      <c r="AI92" s="73">
        <f t="shared" ref="AI92:AI100" si="169">H92</f>
        <v>23.076923076923077</v>
      </c>
      <c r="AJ92" s="73"/>
      <c r="AK92" s="76">
        <f t="shared" ref="AK92:AK100" si="170">Q92</f>
        <v>17.857142857142858</v>
      </c>
      <c r="AL92" s="76">
        <f t="shared" ref="AL92:AL100" si="171">S92</f>
        <v>13.043478260869565</v>
      </c>
      <c r="AM92" s="76">
        <f t="shared" ref="AM92:AM100" si="172">O92</f>
        <v>15.686274509803921</v>
      </c>
      <c r="AN92" s="76"/>
      <c r="AO92" s="81">
        <f t="shared" ref="AO92:AO100" si="173">X92</f>
        <v>18.518518518518519</v>
      </c>
      <c r="AP92" s="81">
        <f t="shared" ref="AP92:AP100" si="174">Z92</f>
        <v>8.695652173913043</v>
      </c>
      <c r="AQ92" s="81">
        <f t="shared" ref="AQ92:AQ100" si="175">V92</f>
        <v>14.000000000000002</v>
      </c>
      <c r="AR92" s="7"/>
      <c r="AS92" s="76">
        <f t="shared" si="145"/>
        <v>18.072289156626507</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x14ac:dyDescent="0.3">
      <c r="A93" s="8" t="s">
        <v>18</v>
      </c>
      <c r="B93" s="9" t="s">
        <v>94</v>
      </c>
      <c r="C93" s="7"/>
      <c r="D93" s="7"/>
      <c r="E93" s="7"/>
      <c r="F93" s="71"/>
      <c r="G93" s="51">
        <f t="shared" si="152"/>
        <v>12</v>
      </c>
      <c r="H93" s="52">
        <f t="shared" si="153"/>
        <v>18.461538461538463</v>
      </c>
      <c r="I93" s="53">
        <f>COUNTIFS('00 Encuesta'!$B$2:$B$511,"*c)*",'00 Encuesta'!$C$2:$C$511,"*a)*",'00 Encuesta'!$E$2:$E$511,"*a)*",'00 Encuesta'!$N$2:$N$511,"*b)*")</f>
        <v>8</v>
      </c>
      <c r="J93" s="52">
        <f t="shared" si="154"/>
        <v>24.242424242424242</v>
      </c>
      <c r="K93" s="53">
        <f>COUNTIFS('00 Encuesta'!$B$2:$B$511,"*c)*",'00 Encuesta'!$C$2:$C$511,"*a)*",'00 Encuesta'!$E$2:$E$511,"*b)*",'00 Encuesta'!$N$2:$N$511,"*b)*")</f>
        <v>4</v>
      </c>
      <c r="L93" s="52">
        <f t="shared" si="155"/>
        <v>12.5</v>
      </c>
      <c r="M93" s="23"/>
      <c r="N93" s="51">
        <f t="shared" si="156"/>
        <v>13</v>
      </c>
      <c r="O93" s="52">
        <f t="shared" si="157"/>
        <v>25.490196078431371</v>
      </c>
      <c r="P93" s="53">
        <f>COUNTIFS('00 Encuesta'!$B$2:$B$511,"*c)*",'00 Encuesta'!$C$2:$C$511,"*b)*",'00 Encuesta'!$E$2:$E$511,"*a)*",'00 Encuesta'!$N$2:$N$511,"*b)*")</f>
        <v>5</v>
      </c>
      <c r="Q93" s="52">
        <f t="shared" si="158"/>
        <v>17.857142857142858</v>
      </c>
      <c r="R93" s="53">
        <f>COUNTIFS('00 Encuesta'!$B$2:$B$511,"*c)*",'00 Encuesta'!$C$2:$C$511,"*b)*",'00 Encuesta'!$E$2:$E$511,"*b)*",'00 Encuesta'!$N$2:$N$511,"*b)*")</f>
        <v>8</v>
      </c>
      <c r="S93" s="52">
        <f t="shared" si="159"/>
        <v>34.782608695652172</v>
      </c>
      <c r="T93" s="3"/>
      <c r="U93" s="51">
        <f t="shared" si="160"/>
        <v>18</v>
      </c>
      <c r="V93" s="52">
        <f t="shared" si="161"/>
        <v>36</v>
      </c>
      <c r="W93" s="53">
        <f>COUNTIFS('00 Encuesta'!$B$2:$B$511,"*c)*",'00 Encuesta'!$C$2:$C$511,"*d)*",'00 Encuesta'!$E$2:$E$511,"*a)*",'00 Encuesta'!$N$2:$N$511,"*b)*")</f>
        <v>11</v>
      </c>
      <c r="X93" s="52">
        <f t="shared" si="162"/>
        <v>40.74074074074074</v>
      </c>
      <c r="Y93" s="53">
        <f>COUNTIFS('00 Encuesta'!$B$2:$B$511,"*c)*",'00 Encuesta'!$C$2:$C$511,"*d)*",'00 Encuesta'!$E$2:$E$511,"*b)*",'00 Encuesta'!$N$2:$N$511,"*b)*")</f>
        <v>7</v>
      </c>
      <c r="Z93" s="52">
        <f t="shared" si="163"/>
        <v>30.434782608695656</v>
      </c>
      <c r="AA93" s="3"/>
      <c r="AB93" s="62">
        <f t="shared" si="164"/>
        <v>43</v>
      </c>
      <c r="AC93" s="52">
        <f t="shared" si="165"/>
        <v>25.903614457831324</v>
      </c>
      <c r="AD93" s="7"/>
      <c r="AE93" s="7"/>
      <c r="AF93" s="9" t="str">
        <f t="shared" si="166"/>
        <v>b) El futuro</v>
      </c>
      <c r="AG93" s="72">
        <f t="shared" si="167"/>
        <v>24.242424242424242</v>
      </c>
      <c r="AH93" s="72">
        <f t="shared" si="168"/>
        <v>12.5</v>
      </c>
      <c r="AI93" s="73">
        <f t="shared" si="169"/>
        <v>18.461538461538463</v>
      </c>
      <c r="AJ93" s="73"/>
      <c r="AK93" s="76">
        <f t="shared" si="170"/>
        <v>17.857142857142858</v>
      </c>
      <c r="AL93" s="76">
        <f t="shared" si="171"/>
        <v>34.782608695652172</v>
      </c>
      <c r="AM93" s="76">
        <f t="shared" si="172"/>
        <v>25.490196078431371</v>
      </c>
      <c r="AN93" s="76"/>
      <c r="AO93" s="81">
        <f t="shared" si="173"/>
        <v>40.74074074074074</v>
      </c>
      <c r="AP93" s="81">
        <f t="shared" si="174"/>
        <v>30.434782608695656</v>
      </c>
      <c r="AQ93" s="81">
        <f t="shared" si="175"/>
        <v>36</v>
      </c>
      <c r="AR93" s="7"/>
      <c r="AS93" s="76">
        <f t="shared" si="145"/>
        <v>25.903614457831324</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x14ac:dyDescent="0.3">
      <c r="A94" s="8" t="s">
        <v>20</v>
      </c>
      <c r="B94" s="9" t="s">
        <v>95</v>
      </c>
      <c r="C94" s="7"/>
      <c r="D94" s="7"/>
      <c r="E94" s="7"/>
      <c r="F94" s="71"/>
      <c r="G94" s="51">
        <f t="shared" si="152"/>
        <v>3</v>
      </c>
      <c r="H94" s="52">
        <f t="shared" si="153"/>
        <v>4.6153846153846159</v>
      </c>
      <c r="I94" s="53">
        <f>COUNTIFS('00 Encuesta'!$B$2:$B$511,"*c)*",'00 Encuesta'!$C$2:$C$511,"*a)*",'00 Encuesta'!$E$2:$E$511,"*a)*",'00 Encuesta'!$N$2:$N$511,"*c)*")</f>
        <v>1</v>
      </c>
      <c r="J94" s="52">
        <f t="shared" si="154"/>
        <v>3.0303030303030303</v>
      </c>
      <c r="K94" s="53">
        <f>COUNTIFS('00 Encuesta'!$B$2:$B$511,"*c)*",'00 Encuesta'!$C$2:$C$511,"*a)*",'00 Encuesta'!$E$2:$E$511,"*b)*",'00 Encuesta'!$N$2:$N$511,"*c)*")</f>
        <v>2</v>
      </c>
      <c r="L94" s="52">
        <f t="shared" si="155"/>
        <v>6.25</v>
      </c>
      <c r="M94" s="23"/>
      <c r="N94" s="51">
        <f t="shared" si="156"/>
        <v>5</v>
      </c>
      <c r="O94" s="52">
        <f t="shared" si="157"/>
        <v>9.8039215686274517</v>
      </c>
      <c r="P94" s="53">
        <f>COUNTIFS('00 Encuesta'!$B$2:$B$511,"*c)*",'00 Encuesta'!$C$2:$C$511,"*b)*",'00 Encuesta'!$E$2:$E$511,"*a)*",'00 Encuesta'!$N$2:$N$511,"*c)*")</f>
        <v>4</v>
      </c>
      <c r="Q94" s="52">
        <f t="shared" si="158"/>
        <v>14.285714285714285</v>
      </c>
      <c r="R94" s="53">
        <f>COUNTIFS('00 Encuesta'!$B$2:$B$511,"*c)*",'00 Encuesta'!$C$2:$C$511,"*b)*",'00 Encuesta'!$E$2:$E$511,"*b)*",'00 Encuesta'!$N$2:$N$511,"*c)*")</f>
        <v>1</v>
      </c>
      <c r="S94" s="52">
        <f t="shared" si="159"/>
        <v>4.3478260869565215</v>
      </c>
      <c r="T94" s="3"/>
      <c r="U94" s="51">
        <f t="shared" si="160"/>
        <v>1</v>
      </c>
      <c r="V94" s="52">
        <f t="shared" si="161"/>
        <v>2</v>
      </c>
      <c r="W94" s="53">
        <f>COUNTIFS('00 Encuesta'!$B$2:$B$511,"*c)*",'00 Encuesta'!$C$2:$C$511,"*d)*",'00 Encuesta'!$E$2:$E$511,"*a)*",'00 Encuesta'!$N$2:$N$511,"*c)*")</f>
        <v>1</v>
      </c>
      <c r="X94" s="52">
        <f t="shared" si="162"/>
        <v>3.7037037037037033</v>
      </c>
      <c r="Y94" s="53">
        <f>COUNTIFS('00 Encuesta'!$B$2:$B$511,"*c)*",'00 Encuesta'!$C$2:$C$511,"*d)*",'00 Encuesta'!$E$2:$E$511,"*b)*",'00 Encuesta'!$N$2:$N$511,"*c)*")</f>
        <v>0</v>
      </c>
      <c r="Z94" s="52">
        <f t="shared" si="163"/>
        <v>0</v>
      </c>
      <c r="AA94" s="3"/>
      <c r="AB94" s="62">
        <f t="shared" si="164"/>
        <v>9</v>
      </c>
      <c r="AC94" s="52">
        <f t="shared" si="165"/>
        <v>5.4216867469879517</v>
      </c>
      <c r="AD94" s="7"/>
      <c r="AE94" s="7"/>
      <c r="AF94" s="9" t="str">
        <f t="shared" si="166"/>
        <v>c) Yo mismo</v>
      </c>
      <c r="AG94" s="72">
        <f t="shared" si="167"/>
        <v>3.0303030303030303</v>
      </c>
      <c r="AH94" s="72">
        <f t="shared" si="168"/>
        <v>6.25</v>
      </c>
      <c r="AI94" s="73">
        <f t="shared" si="169"/>
        <v>4.6153846153846159</v>
      </c>
      <c r="AJ94" s="73"/>
      <c r="AK94" s="76">
        <f t="shared" si="170"/>
        <v>14.285714285714285</v>
      </c>
      <c r="AL94" s="76">
        <f t="shared" si="171"/>
        <v>4.3478260869565215</v>
      </c>
      <c r="AM94" s="76">
        <f t="shared" si="172"/>
        <v>9.8039215686274517</v>
      </c>
      <c r="AN94" s="76"/>
      <c r="AO94" s="81">
        <f t="shared" si="173"/>
        <v>3.7037037037037033</v>
      </c>
      <c r="AP94" s="81">
        <f t="shared" si="174"/>
        <v>0</v>
      </c>
      <c r="AQ94" s="81">
        <f t="shared" si="175"/>
        <v>2</v>
      </c>
      <c r="AR94" s="7"/>
      <c r="AS94" s="76">
        <f t="shared" si="145"/>
        <v>5.4216867469879517</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x14ac:dyDescent="0.3">
      <c r="A95" s="8" t="s">
        <v>21</v>
      </c>
      <c r="B95" s="9" t="s">
        <v>96</v>
      </c>
      <c r="C95" s="7"/>
      <c r="D95" s="7"/>
      <c r="E95" s="7"/>
      <c r="F95" s="71"/>
      <c r="G95" s="51">
        <f t="shared" si="152"/>
        <v>12</v>
      </c>
      <c r="H95" s="52">
        <f t="shared" si="153"/>
        <v>18.461538461538463</v>
      </c>
      <c r="I95" s="53">
        <f>COUNTIFS('00 Encuesta'!$B$2:$B$511,"*c)*",'00 Encuesta'!$C$2:$C$511,"*a)*",'00 Encuesta'!$E$2:$E$511,"*a)*",'00 Encuesta'!$N$2:$N$511,"*d)*")</f>
        <v>6</v>
      </c>
      <c r="J95" s="52">
        <f t="shared" si="154"/>
        <v>18.181818181818183</v>
      </c>
      <c r="K95" s="53">
        <f>COUNTIFS('00 Encuesta'!$B$2:$B$511,"*c)*",'00 Encuesta'!$C$2:$C$511,"*a)*",'00 Encuesta'!$E$2:$E$511,"*b)*",'00 Encuesta'!$N$2:$N$511,"*d)*")</f>
        <v>6</v>
      </c>
      <c r="L95" s="52">
        <f t="shared" si="155"/>
        <v>18.75</v>
      </c>
      <c r="M95" s="23"/>
      <c r="N95" s="51">
        <f t="shared" si="156"/>
        <v>4</v>
      </c>
      <c r="O95" s="52">
        <f t="shared" si="157"/>
        <v>7.8431372549019605</v>
      </c>
      <c r="P95" s="53">
        <f>COUNTIFS('00 Encuesta'!$B$2:$B$511,"*c)*",'00 Encuesta'!$C$2:$C$511,"*b)*",'00 Encuesta'!$E$2:$E$511,"*a)*",'00 Encuesta'!$N$2:$N$511,"*d)*")</f>
        <v>2</v>
      </c>
      <c r="Q95" s="52">
        <f t="shared" si="158"/>
        <v>7.1428571428571423</v>
      </c>
      <c r="R95" s="53">
        <f>COUNTIFS('00 Encuesta'!$B$2:$B$511,"*c)*",'00 Encuesta'!$C$2:$C$511,"*b)*",'00 Encuesta'!$E$2:$E$511,"*b)*",'00 Encuesta'!$N$2:$N$511,"*d)*")</f>
        <v>2</v>
      </c>
      <c r="S95" s="52">
        <f t="shared" si="159"/>
        <v>8.695652173913043</v>
      </c>
      <c r="T95" s="3"/>
      <c r="U95" s="51">
        <f t="shared" si="160"/>
        <v>4</v>
      </c>
      <c r="V95" s="52">
        <f t="shared" si="161"/>
        <v>8</v>
      </c>
      <c r="W95" s="53">
        <f>COUNTIFS('00 Encuesta'!$B$2:$B$511,"*c)*",'00 Encuesta'!$C$2:$C$511,"*d)*",'00 Encuesta'!$E$2:$E$511,"*a)*",'00 Encuesta'!$N$2:$N$511,"*d)*")</f>
        <v>2</v>
      </c>
      <c r="X95" s="52">
        <f t="shared" si="162"/>
        <v>7.4074074074074066</v>
      </c>
      <c r="Y95" s="53">
        <f>COUNTIFS('00 Encuesta'!$B$2:$B$511,"*c)*",'00 Encuesta'!$C$2:$C$511,"*d)*",'00 Encuesta'!$E$2:$E$511,"*b)*",'00 Encuesta'!$N$2:$N$511,"*d)*")</f>
        <v>2</v>
      </c>
      <c r="Z95" s="52">
        <f t="shared" si="163"/>
        <v>8.695652173913043</v>
      </c>
      <c r="AA95" s="3"/>
      <c r="AB95" s="62">
        <f t="shared" si="164"/>
        <v>20</v>
      </c>
      <c r="AC95" s="52">
        <f t="shared" si="165"/>
        <v>12.048192771084338</v>
      </c>
      <c r="AD95" s="7"/>
      <c r="AE95" s="7"/>
      <c r="AF95" s="9" t="str">
        <f t="shared" si="166"/>
        <v>d) Los problemas familiares</v>
      </c>
      <c r="AG95" s="72">
        <f t="shared" si="167"/>
        <v>18.181818181818183</v>
      </c>
      <c r="AH95" s="72">
        <f t="shared" si="168"/>
        <v>18.75</v>
      </c>
      <c r="AI95" s="73">
        <f t="shared" si="169"/>
        <v>18.461538461538463</v>
      </c>
      <c r="AJ95" s="73"/>
      <c r="AK95" s="76">
        <f t="shared" si="170"/>
        <v>7.1428571428571423</v>
      </c>
      <c r="AL95" s="76">
        <f t="shared" si="171"/>
        <v>8.695652173913043</v>
      </c>
      <c r="AM95" s="76">
        <f t="shared" si="172"/>
        <v>7.8431372549019605</v>
      </c>
      <c r="AN95" s="76"/>
      <c r="AO95" s="81">
        <f t="shared" si="173"/>
        <v>7.4074074074074066</v>
      </c>
      <c r="AP95" s="81">
        <f t="shared" si="174"/>
        <v>8.695652173913043</v>
      </c>
      <c r="AQ95" s="81">
        <f t="shared" si="175"/>
        <v>8</v>
      </c>
      <c r="AR95" s="7"/>
      <c r="AS95" s="76">
        <f t="shared" si="145"/>
        <v>12.048192771084338</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52"/>
        <v>4</v>
      </c>
      <c r="H96" s="52">
        <f t="shared" si="153"/>
        <v>6.1538461538461542</v>
      </c>
      <c r="I96" s="53">
        <f>COUNTIFS('00 Encuesta'!$B$2:$B$511,"*c)*",'00 Encuesta'!$C$2:$C$511,"*a)*",'00 Encuesta'!$E$2:$E$511,"*a)*",'00 Encuesta'!$N$2:$N$511,"*e)*")</f>
        <v>1</v>
      </c>
      <c r="J96" s="52">
        <f t="shared" si="154"/>
        <v>3.0303030303030303</v>
      </c>
      <c r="K96" s="53">
        <f>COUNTIFS('00 Encuesta'!$B$2:$B$511,"*c)*",'00 Encuesta'!$C$2:$C$511,"*a)*",'00 Encuesta'!$E$2:$E$511,"*b)*",'00 Encuesta'!$N$2:$N$511,"*e)*")</f>
        <v>3</v>
      </c>
      <c r="L96" s="52">
        <f t="shared" si="155"/>
        <v>9.375</v>
      </c>
      <c r="M96" s="23"/>
      <c r="N96" s="51">
        <f t="shared" si="156"/>
        <v>5</v>
      </c>
      <c r="O96" s="52">
        <f t="shared" si="157"/>
        <v>9.8039215686274517</v>
      </c>
      <c r="P96" s="53">
        <f>COUNTIFS('00 Encuesta'!$B$2:$B$511,"*c)*",'00 Encuesta'!$C$2:$C$511,"*b)*",'00 Encuesta'!$E$2:$E$511,"*a)*",'00 Encuesta'!$N$2:$N$511,"*e)*")</f>
        <v>2</v>
      </c>
      <c r="Q96" s="52">
        <f t="shared" si="158"/>
        <v>7.1428571428571423</v>
      </c>
      <c r="R96" s="53">
        <f>COUNTIFS('00 Encuesta'!$B$2:$B$511,"*c)*",'00 Encuesta'!$C$2:$C$511,"*b)*",'00 Encuesta'!$E$2:$E$511,"*b)*",'00 Encuesta'!$N$2:$N$511,"*e)*")</f>
        <v>3</v>
      </c>
      <c r="S96" s="52">
        <f t="shared" si="159"/>
        <v>13.043478260869565</v>
      </c>
      <c r="T96" s="3"/>
      <c r="U96" s="51">
        <f t="shared" si="160"/>
        <v>5</v>
      </c>
      <c r="V96" s="52">
        <f t="shared" si="161"/>
        <v>10</v>
      </c>
      <c r="W96" s="53">
        <f>COUNTIFS('00 Encuesta'!$B$2:$B$511,"*c)*",'00 Encuesta'!$C$2:$C$511,"*d)*",'00 Encuesta'!$E$2:$E$511,"*a)*",'00 Encuesta'!$N$2:$N$511,"*e)*")</f>
        <v>2</v>
      </c>
      <c r="X96" s="52">
        <f t="shared" si="162"/>
        <v>7.4074074074074066</v>
      </c>
      <c r="Y96" s="53">
        <f>COUNTIFS('00 Encuesta'!$B$2:$B$511,"*c)*",'00 Encuesta'!$C$2:$C$511,"*d)*",'00 Encuesta'!$E$2:$E$511,"*b)*",'00 Encuesta'!$N$2:$N$511,"*e)*")</f>
        <v>3</v>
      </c>
      <c r="Z96" s="52">
        <f t="shared" si="163"/>
        <v>13.043478260869565</v>
      </c>
      <c r="AA96" s="3"/>
      <c r="AB96" s="62">
        <f t="shared" si="164"/>
        <v>14</v>
      </c>
      <c r="AC96" s="52">
        <f t="shared" si="165"/>
        <v>8.4337349397590362</v>
      </c>
      <c r="AD96" s="7"/>
      <c r="AE96" s="7"/>
      <c r="AF96" s="9" t="str">
        <f t="shared" si="166"/>
        <v>e) La situación económica</v>
      </c>
      <c r="AG96" s="72">
        <f t="shared" si="167"/>
        <v>3.0303030303030303</v>
      </c>
      <c r="AH96" s="72">
        <f t="shared" si="168"/>
        <v>9.375</v>
      </c>
      <c r="AI96" s="73">
        <f t="shared" si="169"/>
        <v>6.1538461538461542</v>
      </c>
      <c r="AJ96" s="73"/>
      <c r="AK96" s="76">
        <f t="shared" si="170"/>
        <v>7.1428571428571423</v>
      </c>
      <c r="AL96" s="76">
        <f t="shared" si="171"/>
        <v>13.043478260869565</v>
      </c>
      <c r="AM96" s="76">
        <f t="shared" si="172"/>
        <v>9.8039215686274517</v>
      </c>
      <c r="AN96" s="76"/>
      <c r="AO96" s="81">
        <f t="shared" si="173"/>
        <v>7.4074074074074066</v>
      </c>
      <c r="AP96" s="81">
        <f t="shared" si="174"/>
        <v>13.043478260869565</v>
      </c>
      <c r="AQ96" s="81">
        <f t="shared" si="175"/>
        <v>10</v>
      </c>
      <c r="AR96" s="7"/>
      <c r="AS96" s="76">
        <f t="shared" si="145"/>
        <v>8.4337349397590362</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52"/>
        <v>6</v>
      </c>
      <c r="H97" s="52">
        <f t="shared" si="153"/>
        <v>9.2307692307692317</v>
      </c>
      <c r="I97" s="53">
        <f>COUNTIFS('00 Encuesta'!$B$2:$B$511,"*c)*",'00 Encuesta'!$C$2:$C$511,"*a)*",'00 Encuesta'!$E$2:$E$511,"*a)*",'00 Encuesta'!$N$2:$N$511,"*f)*")</f>
        <v>2</v>
      </c>
      <c r="J97" s="52">
        <f t="shared" si="154"/>
        <v>6.0606060606060606</v>
      </c>
      <c r="K97" s="53">
        <f>COUNTIFS('00 Encuesta'!$B$2:$B$511,"*c)*",'00 Encuesta'!$C$2:$C$511,"*a)*",'00 Encuesta'!$E$2:$E$511,"*b)*",'00 Encuesta'!$N$2:$N$511,"*f)*")</f>
        <v>4</v>
      </c>
      <c r="L97" s="52">
        <f t="shared" si="155"/>
        <v>12.5</v>
      </c>
      <c r="M97" s="23"/>
      <c r="N97" s="51">
        <f t="shared" si="156"/>
        <v>5</v>
      </c>
      <c r="O97" s="52">
        <f t="shared" si="157"/>
        <v>9.8039215686274517</v>
      </c>
      <c r="P97" s="53">
        <f>COUNTIFS('00 Encuesta'!$B$2:$B$511,"*c)*",'00 Encuesta'!$C$2:$C$511,"*b)*",'00 Encuesta'!$E$2:$E$511,"*a)*",'00 Encuesta'!$N$2:$N$511,"*f)*")</f>
        <v>2</v>
      </c>
      <c r="Q97" s="52">
        <f t="shared" si="158"/>
        <v>7.1428571428571423</v>
      </c>
      <c r="R97" s="53">
        <f>COUNTIFS('00 Encuesta'!$B$2:$B$511,"*c)*",'00 Encuesta'!$C$2:$C$511,"*b)*",'00 Encuesta'!$E$2:$E$511,"*b)*",'00 Encuesta'!$N$2:$N$511,"*f)*")</f>
        <v>3</v>
      </c>
      <c r="S97" s="52">
        <f t="shared" si="159"/>
        <v>13.043478260869565</v>
      </c>
      <c r="T97" s="3"/>
      <c r="U97" s="51">
        <f t="shared" si="160"/>
        <v>7</v>
      </c>
      <c r="V97" s="52">
        <f t="shared" si="161"/>
        <v>14.000000000000002</v>
      </c>
      <c r="W97" s="53">
        <f>COUNTIFS('00 Encuesta'!$B$2:$B$511,"*c)*",'00 Encuesta'!$C$2:$C$511,"*d)*",'00 Encuesta'!$E$2:$E$511,"*a)*",'00 Encuesta'!$N$2:$N$511,"*f)*")</f>
        <v>4</v>
      </c>
      <c r="X97" s="52">
        <f t="shared" si="162"/>
        <v>14.814814814814813</v>
      </c>
      <c r="Y97" s="53">
        <f>COUNTIFS('00 Encuesta'!$B$2:$B$511,"*c)*",'00 Encuesta'!$C$2:$C$511,"*d)*",'00 Encuesta'!$E$2:$E$511,"*b)*",'00 Encuesta'!$N$2:$N$511,"*f)*")</f>
        <v>3</v>
      </c>
      <c r="Z97" s="52">
        <f t="shared" si="163"/>
        <v>13.043478260869565</v>
      </c>
      <c r="AA97" s="3"/>
      <c r="AB97" s="62">
        <f t="shared" si="164"/>
        <v>18</v>
      </c>
      <c r="AC97" s="52">
        <f t="shared" si="165"/>
        <v>10.843373493975903</v>
      </c>
      <c r="AD97" s="7"/>
      <c r="AE97" s="7"/>
      <c r="AF97" s="9" t="str">
        <f t="shared" si="166"/>
        <v>f) La situación política del país</v>
      </c>
      <c r="AG97" s="72">
        <f t="shared" si="167"/>
        <v>6.0606060606060606</v>
      </c>
      <c r="AH97" s="72">
        <f t="shared" si="168"/>
        <v>12.5</v>
      </c>
      <c r="AI97" s="73">
        <f t="shared" si="169"/>
        <v>9.2307692307692317</v>
      </c>
      <c r="AJ97" s="73"/>
      <c r="AK97" s="76">
        <f t="shared" si="170"/>
        <v>7.1428571428571423</v>
      </c>
      <c r="AL97" s="76">
        <f t="shared" si="171"/>
        <v>13.043478260869565</v>
      </c>
      <c r="AM97" s="76">
        <f t="shared" si="172"/>
        <v>9.8039215686274517</v>
      </c>
      <c r="AN97" s="76"/>
      <c r="AO97" s="81">
        <f t="shared" si="173"/>
        <v>14.814814814814813</v>
      </c>
      <c r="AP97" s="81">
        <f t="shared" si="174"/>
        <v>13.043478260869565</v>
      </c>
      <c r="AQ97" s="81">
        <f t="shared" si="175"/>
        <v>14.000000000000002</v>
      </c>
      <c r="AR97" s="7"/>
      <c r="AS97" s="76">
        <f t="shared" si="145"/>
        <v>10.843373493975903</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x14ac:dyDescent="0.3">
      <c r="A98" s="8" t="s">
        <v>61</v>
      </c>
      <c r="B98" s="9" t="s">
        <v>99</v>
      </c>
      <c r="C98" s="7"/>
      <c r="D98" s="7"/>
      <c r="E98" s="7"/>
      <c r="F98" s="71"/>
      <c r="G98" s="51">
        <f t="shared" si="152"/>
        <v>11</v>
      </c>
      <c r="H98" s="52">
        <f t="shared" si="153"/>
        <v>16.923076923076923</v>
      </c>
      <c r="I98" s="53">
        <f>COUNTIFS('00 Encuesta'!$B$2:$B$511,"*c)*",'00 Encuesta'!$C$2:$C$511,"*a)*",'00 Encuesta'!$E$2:$E$511,"*a)*",'00 Encuesta'!$N$2:$N$511,"*g)*")</f>
        <v>4</v>
      </c>
      <c r="J98" s="52">
        <f t="shared" si="154"/>
        <v>12.121212121212121</v>
      </c>
      <c r="K98" s="53">
        <f>COUNTIFS('00 Encuesta'!$B$2:$B$511,"*c)*",'00 Encuesta'!$C$2:$C$511,"*a)*",'00 Encuesta'!$E$2:$E$511,"*b)*",'00 Encuesta'!$N$2:$N$511,"*g)*")</f>
        <v>7</v>
      </c>
      <c r="L98" s="52">
        <f t="shared" ref="L98:L99" si="176">K98/$J$7*100</f>
        <v>21.875</v>
      </c>
      <c r="M98" s="23"/>
      <c r="N98" s="51">
        <f t="shared" ref="N98:N99" si="177">P98+R98</f>
        <v>9</v>
      </c>
      <c r="O98" s="52">
        <f t="shared" ref="O98:O99" si="178">N98/$Q$5*100</f>
        <v>17.647058823529413</v>
      </c>
      <c r="P98" s="53">
        <f>COUNTIFS('00 Encuesta'!$B$2:$B$511,"*c)*",'00 Encuesta'!$C$2:$C$511,"*b)*",'00 Encuesta'!$E$2:$E$511,"*a)*",'00 Encuesta'!$N$2:$N$511,"*g)*")</f>
        <v>8</v>
      </c>
      <c r="Q98" s="52">
        <f t="shared" si="158"/>
        <v>28.571428571428569</v>
      </c>
      <c r="R98" s="53">
        <f>COUNTIFS('00 Encuesta'!$B$2:$B$511,"*c)*",'00 Encuesta'!$C$2:$C$511,"*b)*",'00 Encuesta'!$E$2:$E$511,"*b)*",'00 Encuesta'!$N$2:$N$511,"*g)*")</f>
        <v>1</v>
      </c>
      <c r="S98" s="52">
        <f t="shared" ref="S98:S99" si="179">R98/$Q$7*100</f>
        <v>4.3478260869565215</v>
      </c>
      <c r="T98" s="3"/>
      <c r="U98" s="51">
        <f t="shared" ref="U98:U99" si="180">W98+Y98</f>
        <v>7</v>
      </c>
      <c r="V98" s="52">
        <f t="shared" ref="V98:V99" si="181">U98/$X$5*100</f>
        <v>14.000000000000002</v>
      </c>
      <c r="W98" s="53">
        <f>COUNTIFS('00 Encuesta'!$B$2:$B$511,"*c)*",'00 Encuesta'!$C$2:$C$511,"*d)*",'00 Encuesta'!$E$2:$E$511,"*a)*",'00 Encuesta'!$N$2:$N$511,"*g)*")</f>
        <v>2</v>
      </c>
      <c r="X98" s="52">
        <f t="shared" si="162"/>
        <v>7.4074074074074066</v>
      </c>
      <c r="Y98" s="53">
        <f>COUNTIFS('00 Encuesta'!$B$2:$B$511,"*c)*",'00 Encuesta'!$C$2:$C$511,"*d)*",'00 Encuesta'!$E$2:$E$511,"*b)*",'00 Encuesta'!$N$2:$N$511,"*g)*")</f>
        <v>5</v>
      </c>
      <c r="Z98" s="52">
        <f t="shared" si="163"/>
        <v>21.739130434782609</v>
      </c>
      <c r="AA98" s="3"/>
      <c r="AB98" s="62">
        <f t="shared" si="164"/>
        <v>27</v>
      </c>
      <c r="AC98" s="52">
        <f t="shared" si="165"/>
        <v>16.265060240963855</v>
      </c>
      <c r="AD98" s="7"/>
      <c r="AE98" s="7"/>
      <c r="AF98" s="9" t="str">
        <f t="shared" si="166"/>
        <v>g) Mis estudios</v>
      </c>
      <c r="AG98" s="72">
        <f t="shared" si="167"/>
        <v>12.121212121212121</v>
      </c>
      <c r="AH98" s="72">
        <f t="shared" si="168"/>
        <v>21.875</v>
      </c>
      <c r="AI98" s="73">
        <f t="shared" si="169"/>
        <v>16.923076923076923</v>
      </c>
      <c r="AJ98" s="73"/>
      <c r="AK98" s="76">
        <f t="shared" si="170"/>
        <v>28.571428571428569</v>
      </c>
      <c r="AL98" s="76">
        <f t="shared" si="171"/>
        <v>4.3478260869565215</v>
      </c>
      <c r="AM98" s="76">
        <f t="shared" si="172"/>
        <v>17.647058823529413</v>
      </c>
      <c r="AN98" s="76"/>
      <c r="AO98" s="81">
        <f t="shared" si="173"/>
        <v>7.4074074074074066</v>
      </c>
      <c r="AP98" s="81">
        <f t="shared" si="174"/>
        <v>21.739130434782609</v>
      </c>
      <c r="AQ98" s="81">
        <f t="shared" si="175"/>
        <v>14.000000000000002</v>
      </c>
      <c r="AR98" s="7"/>
      <c r="AS98" s="76">
        <f t="shared" si="145"/>
        <v>16.265060240963855</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x14ac:dyDescent="0.3">
      <c r="A99" s="8" t="s">
        <v>63</v>
      </c>
      <c r="B99" s="9" t="s">
        <v>81</v>
      </c>
      <c r="C99" s="7"/>
      <c r="D99" s="7"/>
      <c r="E99" s="7"/>
      <c r="F99" s="71"/>
      <c r="G99" s="51">
        <f t="shared" si="152"/>
        <v>2</v>
      </c>
      <c r="H99" s="52">
        <f t="shared" si="153"/>
        <v>3.0769230769230771</v>
      </c>
      <c r="I99" s="53">
        <f>COUNTIFS('00 Encuesta'!$B$2:$B$511,"*c)*",'00 Encuesta'!$C$2:$C$511,"*a)*",'00 Encuesta'!$E$2:$E$511,"*a)*",'00 Encuesta'!$N$2:$N$511,"*h)*")</f>
        <v>1</v>
      </c>
      <c r="J99" s="52">
        <f t="shared" si="154"/>
        <v>3.0303030303030303</v>
      </c>
      <c r="K99" s="53">
        <f>COUNTIFS('00 Encuesta'!$B$2:$B$511,"*c)*",'00 Encuesta'!$C$2:$C$511,"*a)*",'00 Encuesta'!$E$2:$E$511,"*b)*",'00 Encuesta'!$N$2:$N$511,"*h)*")</f>
        <v>1</v>
      </c>
      <c r="L99" s="52">
        <f t="shared" si="176"/>
        <v>3.125</v>
      </c>
      <c r="M99" s="23"/>
      <c r="N99" s="51">
        <f t="shared" si="177"/>
        <v>1</v>
      </c>
      <c r="O99" s="52">
        <f t="shared" si="178"/>
        <v>1.9607843137254901</v>
      </c>
      <c r="P99" s="53">
        <f>COUNTIFS('00 Encuesta'!$B$2:$B$511,"*c)*",'00 Encuesta'!$C$2:$C$511,"*b)*",'00 Encuesta'!$E$2:$E$511,"*a)*",'00 Encuesta'!$N$2:$N$511,"*h)*")</f>
        <v>0</v>
      </c>
      <c r="Q99" s="52">
        <f t="shared" si="158"/>
        <v>0</v>
      </c>
      <c r="R99" s="53">
        <f>COUNTIFS('00 Encuesta'!$B$2:$B$511,"*c)*",'00 Encuesta'!$C$2:$C$511,"*b)*",'00 Encuesta'!$E$2:$E$511,"*b)*",'00 Encuesta'!$N$2:$N$511,"*h)*")</f>
        <v>1</v>
      </c>
      <c r="S99" s="52">
        <f t="shared" si="179"/>
        <v>4.3478260869565215</v>
      </c>
      <c r="T99" s="3"/>
      <c r="U99" s="51">
        <f t="shared" si="180"/>
        <v>1</v>
      </c>
      <c r="V99" s="52">
        <f t="shared" si="181"/>
        <v>2</v>
      </c>
      <c r="W99" s="53">
        <f>COUNTIFS('00 Encuesta'!$B$2:$B$511,"*c)*",'00 Encuesta'!$C$2:$C$511,"*d)*",'00 Encuesta'!$E$2:$E$511,"*a)*",'00 Encuesta'!$N$2:$N$511,"*h)*")</f>
        <v>0</v>
      </c>
      <c r="X99" s="52">
        <f t="shared" si="162"/>
        <v>0</v>
      </c>
      <c r="Y99" s="53">
        <f>COUNTIFS('00 Encuesta'!$B$2:$B$511,"*c)*",'00 Encuesta'!$C$2:$C$511,"*d)*",'00 Encuesta'!$E$2:$E$511,"*b)*",'00 Encuesta'!$N$2:$N$511,"*h)*")</f>
        <v>1</v>
      </c>
      <c r="Z99" s="52">
        <f t="shared" si="163"/>
        <v>4.3478260869565215</v>
      </c>
      <c r="AA99" s="3"/>
      <c r="AB99" s="62">
        <f t="shared" si="164"/>
        <v>4</v>
      </c>
      <c r="AC99" s="52">
        <f t="shared" si="165"/>
        <v>2.4096385542168677</v>
      </c>
      <c r="AD99" s="7"/>
      <c r="AE99" s="7"/>
      <c r="AF99" s="9" t="str">
        <f t="shared" si="166"/>
        <v>h) Los amigos</v>
      </c>
      <c r="AG99" s="72">
        <f t="shared" si="167"/>
        <v>3.0303030303030303</v>
      </c>
      <c r="AH99" s="72">
        <f t="shared" si="168"/>
        <v>3.125</v>
      </c>
      <c r="AI99" s="73">
        <f t="shared" si="169"/>
        <v>3.0769230769230771</v>
      </c>
      <c r="AJ99" s="73"/>
      <c r="AK99" s="76">
        <f t="shared" si="170"/>
        <v>0</v>
      </c>
      <c r="AL99" s="76">
        <f t="shared" si="171"/>
        <v>4.3478260869565215</v>
      </c>
      <c r="AM99" s="76">
        <f t="shared" si="172"/>
        <v>1.9607843137254901</v>
      </c>
      <c r="AN99" s="76"/>
      <c r="AO99" s="81">
        <f t="shared" si="173"/>
        <v>0</v>
      </c>
      <c r="AP99" s="81">
        <f t="shared" si="174"/>
        <v>4.3478260869565215</v>
      </c>
      <c r="AQ99" s="81">
        <f t="shared" si="175"/>
        <v>2</v>
      </c>
      <c r="AR99" s="7"/>
      <c r="AS99" s="76">
        <f t="shared" si="145"/>
        <v>2.4096385542168677</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x14ac:dyDescent="0.3">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66"/>
        <v>S/R Sin Respuesta</v>
      </c>
      <c r="AG100" s="72">
        <f t="shared" si="167"/>
        <v>0</v>
      </c>
      <c r="AH100" s="72">
        <f t="shared" si="168"/>
        <v>0</v>
      </c>
      <c r="AI100" s="73">
        <f t="shared" si="169"/>
        <v>0</v>
      </c>
      <c r="AJ100" s="73"/>
      <c r="AK100" s="76">
        <f t="shared" si="170"/>
        <v>0</v>
      </c>
      <c r="AL100" s="76">
        <f t="shared" si="171"/>
        <v>0</v>
      </c>
      <c r="AM100" s="76">
        <f t="shared" si="172"/>
        <v>0</v>
      </c>
      <c r="AN100" s="76"/>
      <c r="AO100" s="81">
        <f t="shared" si="173"/>
        <v>0</v>
      </c>
      <c r="AP100" s="81">
        <f t="shared" si="174"/>
        <v>0</v>
      </c>
      <c r="AQ100" s="81">
        <f t="shared" si="175"/>
        <v>0</v>
      </c>
      <c r="AR100" s="7"/>
      <c r="AS100" s="76">
        <f t="shared" si="145"/>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x14ac:dyDescent="0.3">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82">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x14ac:dyDescent="0.3">
      <c r="A103" s="8" t="s">
        <v>17</v>
      </c>
      <c r="B103" s="9" t="s">
        <v>102</v>
      </c>
      <c r="C103" s="7"/>
      <c r="D103" s="7"/>
      <c r="E103" s="7"/>
      <c r="F103" s="71">
        <v>100</v>
      </c>
      <c r="G103" s="51">
        <f>I103+K103</f>
        <v>27</v>
      </c>
      <c r="H103" s="52">
        <f>G103/$J$5*100</f>
        <v>41.53846153846154</v>
      </c>
      <c r="I103" s="53">
        <f>COUNTIFS('00 Encuesta'!$B$2:$B$511,"*c)*",'00 Encuesta'!$C$2:$C$511,"*a)*",'00 Encuesta'!$E$2:$E$511,"*a)*",'00 Encuesta'!$O$2:$O$511,"*a)*")</f>
        <v>17</v>
      </c>
      <c r="J103" s="52">
        <f>I103/$J$6*100</f>
        <v>51.515151515151516</v>
      </c>
      <c r="K103" s="53">
        <f>COUNTIFS('00 Encuesta'!$B$2:$B$511,"*c)*",'00 Encuesta'!$C$2:$C$511,"*a)*",'00 Encuesta'!$E$2:$E$511,"*b)*",'00 Encuesta'!$O$2:$O$511,"*a)*")</f>
        <v>10</v>
      </c>
      <c r="L103" s="52">
        <f>K103/$J$7*100</f>
        <v>31.25</v>
      </c>
      <c r="M103" s="23"/>
      <c r="N103" s="51">
        <f>P103+R103</f>
        <v>17</v>
      </c>
      <c r="O103" s="52">
        <f>N103/$Q$5*100</f>
        <v>33.333333333333329</v>
      </c>
      <c r="P103" s="53">
        <f>COUNTIFS('00 Encuesta'!$B$2:$B$511,"*c)*",'00 Encuesta'!$C$2:$C$511,"*b)*",'00 Encuesta'!$E$2:$E$511,"*a)*",'00 Encuesta'!$O$2:$O$511,"*a)*")</f>
        <v>8</v>
      </c>
      <c r="Q103" s="52">
        <f>P103/$Q$6*100</f>
        <v>28.571428571428569</v>
      </c>
      <c r="R103" s="53">
        <f>COUNTIFS('00 Encuesta'!$B$2:$B$511,"*c)*",'00 Encuesta'!$C$2:$C$511,"*b)*",'00 Encuesta'!$E$2:$E$511,"*b)*",'00 Encuesta'!$O$2:$O$511,"*a)*")</f>
        <v>9</v>
      </c>
      <c r="S103" s="52">
        <f>R103/$Q$7*100</f>
        <v>39.130434782608695</v>
      </c>
      <c r="T103" s="3"/>
      <c r="U103" s="51">
        <f>W103+Y103</f>
        <v>10</v>
      </c>
      <c r="V103" s="52">
        <f>U103/$X$5*100</f>
        <v>20</v>
      </c>
      <c r="W103" s="53">
        <f>COUNTIFS('00 Encuesta'!$B$2:$B$511,"*c)*",'00 Encuesta'!$C$2:$C$511,"*d)*",'00 Encuesta'!$E$2:$E$511,"*a)*",'00 Encuesta'!$O$2:$O$511,"*a)*")</f>
        <v>4</v>
      </c>
      <c r="X103" s="52">
        <f>W103/$X$6*100</f>
        <v>14.814814814814813</v>
      </c>
      <c r="Y103" s="53">
        <f>COUNTIFS('00 Encuesta'!$B$2:$B$511,"*c)*",'00 Encuesta'!$C$2:$C$511,"*d)*",'00 Encuesta'!$E$2:$E$511,"*b)*",'00 Encuesta'!$O$2:$O$511,"*a)*")</f>
        <v>6</v>
      </c>
      <c r="Z103" s="52">
        <f>Y103/$X$7*100</f>
        <v>26.086956521739129</v>
      </c>
      <c r="AA103" s="3"/>
      <c r="AB103" s="62">
        <f>G103+N103+U103</f>
        <v>54</v>
      </c>
      <c r="AC103" s="52">
        <f>AB103*100/$AC$5</f>
        <v>32.53012048192771</v>
      </c>
      <c r="AD103" s="7"/>
      <c r="AE103" s="7"/>
      <c r="AF103" s="9" t="str">
        <f t="shared" si="182"/>
        <v>a) Mucho</v>
      </c>
      <c r="AG103" s="72">
        <f>J103</f>
        <v>51.515151515151516</v>
      </c>
      <c r="AH103" s="72">
        <f>L103</f>
        <v>31.25</v>
      </c>
      <c r="AI103" s="73">
        <f>H103</f>
        <v>41.53846153846154</v>
      </c>
      <c r="AJ103" s="73"/>
      <c r="AK103" s="76">
        <f>Q103</f>
        <v>28.571428571428569</v>
      </c>
      <c r="AL103" s="76">
        <f>S103</f>
        <v>39.130434782608695</v>
      </c>
      <c r="AM103" s="76">
        <f>O103</f>
        <v>33.333333333333329</v>
      </c>
      <c r="AN103" s="76"/>
      <c r="AO103" s="81">
        <f>X103</f>
        <v>14.814814814814813</v>
      </c>
      <c r="AP103" s="81">
        <f>Z103</f>
        <v>26.086956521739129</v>
      </c>
      <c r="AQ103" s="81">
        <f>V103</f>
        <v>20</v>
      </c>
      <c r="AR103" s="7"/>
      <c r="AS103" s="76">
        <f t="shared" si="145"/>
        <v>32.53012048192771</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x14ac:dyDescent="0.3">
      <c r="A104" s="8" t="s">
        <v>18</v>
      </c>
      <c r="B104" s="9" t="s">
        <v>103</v>
      </c>
      <c r="C104" s="7"/>
      <c r="D104" s="7"/>
      <c r="E104" s="7"/>
      <c r="F104" s="71">
        <v>66.66</v>
      </c>
      <c r="G104" s="51">
        <f>I104+K104</f>
        <v>17</v>
      </c>
      <c r="H104" s="52">
        <f>G104/$J$5*100</f>
        <v>26.153846153846157</v>
      </c>
      <c r="I104" s="53">
        <f>COUNTIFS('00 Encuesta'!$B$2:$B$511,"*c)*",'00 Encuesta'!$C$2:$C$511,"*a)*",'00 Encuesta'!$E$2:$E$511,"*a)*",'00 Encuesta'!$O$2:$O$511,"*b)*")</f>
        <v>7</v>
      </c>
      <c r="J104" s="52">
        <f>I104/$J$6*100</f>
        <v>21.212121212121211</v>
      </c>
      <c r="K104" s="53">
        <f>COUNTIFS('00 Encuesta'!$B$2:$B$511,"*c)*",'00 Encuesta'!$C$2:$C$511,"*a)*",'00 Encuesta'!$E$2:$E$511,"*b)*",'00 Encuesta'!$O$2:$O$511,"*b)*")</f>
        <v>10</v>
      </c>
      <c r="L104" s="52">
        <f>K104/$J$7*100</f>
        <v>31.25</v>
      </c>
      <c r="M104" s="23"/>
      <c r="N104" s="51">
        <f>P104+R104</f>
        <v>10</v>
      </c>
      <c r="O104" s="52">
        <f>N104/$Q$5*100</f>
        <v>19.607843137254903</v>
      </c>
      <c r="P104" s="53">
        <f>COUNTIFS('00 Encuesta'!$B$2:$B$511,"*c)*",'00 Encuesta'!$C$2:$C$511,"*b)*",'00 Encuesta'!$E$2:$E$511,"*a)*",'00 Encuesta'!$O$2:$O$511,"*b)*")</f>
        <v>5</v>
      </c>
      <c r="Q104" s="52">
        <f>P104/$Q$6*100</f>
        <v>17.857142857142858</v>
      </c>
      <c r="R104" s="53">
        <f>COUNTIFS('00 Encuesta'!$B$2:$B$511,"*c)*",'00 Encuesta'!$C$2:$C$511,"*b)*",'00 Encuesta'!$E$2:$E$511,"*b)*",'00 Encuesta'!$O$2:$O$511,"*b)*")</f>
        <v>5</v>
      </c>
      <c r="S104" s="52">
        <f>R104/$Q$7*100</f>
        <v>21.739130434782609</v>
      </c>
      <c r="T104" s="3"/>
      <c r="U104" s="51">
        <f>W104+Y104</f>
        <v>16</v>
      </c>
      <c r="V104" s="52">
        <f>U104/$X$5*100</f>
        <v>32</v>
      </c>
      <c r="W104" s="53">
        <f>COUNTIFS('00 Encuesta'!$B$2:$B$511,"*c)*",'00 Encuesta'!$C$2:$C$511,"*d)*",'00 Encuesta'!$E$2:$E$511,"*a)*",'00 Encuesta'!$O$2:$O$511,"*b)*")</f>
        <v>10</v>
      </c>
      <c r="X104" s="52">
        <f>W104/$X$6*100</f>
        <v>37.037037037037038</v>
      </c>
      <c r="Y104" s="53">
        <f>COUNTIFS('00 Encuesta'!$B$2:$B$511,"*c)*",'00 Encuesta'!$C$2:$C$511,"*d)*",'00 Encuesta'!$E$2:$E$511,"*b)*",'00 Encuesta'!$O$2:$O$511,"*b)*")</f>
        <v>6</v>
      </c>
      <c r="Z104" s="52">
        <f>Y104/$X$7*100</f>
        <v>26.086956521739129</v>
      </c>
      <c r="AA104" s="3"/>
      <c r="AB104" s="62">
        <f>G104+N104+U104</f>
        <v>43</v>
      </c>
      <c r="AC104" s="52">
        <f>AB104*100/$AC$5</f>
        <v>25.903614457831324</v>
      </c>
      <c r="AD104" s="7"/>
      <c r="AE104" s="7"/>
      <c r="AF104" s="9" t="str">
        <f t="shared" si="182"/>
        <v>b) Suficiente</v>
      </c>
      <c r="AG104" s="72">
        <f>J104</f>
        <v>21.212121212121211</v>
      </c>
      <c r="AH104" s="72">
        <f>L104</f>
        <v>31.25</v>
      </c>
      <c r="AI104" s="73">
        <f>H104</f>
        <v>26.153846153846157</v>
      </c>
      <c r="AJ104" s="73"/>
      <c r="AK104" s="76">
        <f>Q104</f>
        <v>17.857142857142858</v>
      </c>
      <c r="AL104" s="76">
        <f>S104</f>
        <v>21.739130434782609</v>
      </c>
      <c r="AM104" s="76">
        <f>O104</f>
        <v>19.607843137254903</v>
      </c>
      <c r="AN104" s="76"/>
      <c r="AO104" s="81">
        <f>X104</f>
        <v>37.037037037037038</v>
      </c>
      <c r="AP104" s="81">
        <f>Z104</f>
        <v>26.086956521739129</v>
      </c>
      <c r="AQ104" s="81">
        <f>V104</f>
        <v>32</v>
      </c>
      <c r="AR104" s="7"/>
      <c r="AS104" s="76">
        <f t="shared" si="145"/>
        <v>25.903614457831324</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x14ac:dyDescent="0.3">
      <c r="A105" s="8" t="s">
        <v>20</v>
      </c>
      <c r="B105" s="9" t="s">
        <v>104</v>
      </c>
      <c r="C105" s="7"/>
      <c r="D105" s="7"/>
      <c r="E105" s="7"/>
      <c r="F105" s="71">
        <v>33.33</v>
      </c>
      <c r="G105" s="51">
        <f>I105+K105</f>
        <v>17</v>
      </c>
      <c r="H105" s="52">
        <f>G105/$J$5*100</f>
        <v>26.153846153846157</v>
      </c>
      <c r="I105" s="53">
        <f>COUNTIFS('00 Encuesta'!$B$2:$B$511,"*c)*",'00 Encuesta'!$C$2:$C$511,"*a)*",'00 Encuesta'!$E$2:$E$511,"*a)*",'00 Encuesta'!$O$2:$O$511,"*c)*")</f>
        <v>7</v>
      </c>
      <c r="J105" s="52">
        <f>I105/$J$6*100</f>
        <v>21.212121212121211</v>
      </c>
      <c r="K105" s="53">
        <f>COUNTIFS('00 Encuesta'!$B$2:$B$511,"*c)*",'00 Encuesta'!$C$2:$C$511,"*a)*",'00 Encuesta'!$E$2:$E$511,"*b)*",'00 Encuesta'!$O$2:$O$511,"*c)*")</f>
        <v>10</v>
      </c>
      <c r="L105" s="52">
        <f>K105/$J$7*100</f>
        <v>31.25</v>
      </c>
      <c r="M105" s="23"/>
      <c r="N105" s="51">
        <f>P105+R105</f>
        <v>20</v>
      </c>
      <c r="O105" s="52">
        <f>N105/$Q$5*100</f>
        <v>39.215686274509807</v>
      </c>
      <c r="P105" s="53">
        <f>COUNTIFS('00 Encuesta'!$B$2:$B$511,"*c)*",'00 Encuesta'!$C$2:$C$511,"*b)*",'00 Encuesta'!$E$2:$E$511,"*a)*",'00 Encuesta'!$O$2:$O$511,"*c)*")</f>
        <v>13</v>
      </c>
      <c r="Q105" s="52">
        <f>P105/$Q$6*100</f>
        <v>46.428571428571431</v>
      </c>
      <c r="R105" s="53">
        <f>COUNTIFS('00 Encuesta'!$B$2:$B$511,"*c)*",'00 Encuesta'!$C$2:$C$511,"*b)*",'00 Encuesta'!$E$2:$E$511,"*b)*",'00 Encuesta'!$O$2:$O$511,"*c)*")</f>
        <v>7</v>
      </c>
      <c r="S105" s="52">
        <f>R105/$Q$7*100</f>
        <v>30.434782608695656</v>
      </c>
      <c r="T105" s="3"/>
      <c r="U105" s="51">
        <f>W105+Y105</f>
        <v>17</v>
      </c>
      <c r="V105" s="52">
        <f>U105/$X$5*100</f>
        <v>34</v>
      </c>
      <c r="W105" s="53">
        <f>COUNTIFS('00 Encuesta'!$B$2:$B$511,"*c)*",'00 Encuesta'!$C$2:$C$511,"*d)*",'00 Encuesta'!$E$2:$E$511,"*a)*",'00 Encuesta'!$O$2:$O$511,"*c)*")</f>
        <v>11</v>
      </c>
      <c r="X105" s="52">
        <f>W105/$X$6*100</f>
        <v>40.74074074074074</v>
      </c>
      <c r="Y105" s="53">
        <f>COUNTIFS('00 Encuesta'!$B$2:$B$511,"*c)*",'00 Encuesta'!$C$2:$C$511,"*d)*",'00 Encuesta'!$E$2:$E$511,"*b)*",'00 Encuesta'!$O$2:$O$511,"*c)*")</f>
        <v>6</v>
      </c>
      <c r="Z105" s="52">
        <f>Y105/$X$7*100</f>
        <v>26.086956521739129</v>
      </c>
      <c r="AA105" s="3"/>
      <c r="AB105" s="62">
        <f>G105+N105+U105</f>
        <v>54</v>
      </c>
      <c r="AC105" s="52">
        <f>AB105*100/$AC$5</f>
        <v>32.53012048192771</v>
      </c>
      <c r="AD105" s="7"/>
      <c r="AE105" s="7"/>
      <c r="AF105" s="9" t="str">
        <f t="shared" si="182"/>
        <v>c) Poco</v>
      </c>
      <c r="AG105" s="72">
        <f>J105</f>
        <v>21.212121212121211</v>
      </c>
      <c r="AH105" s="72">
        <f>L105</f>
        <v>31.25</v>
      </c>
      <c r="AI105" s="73">
        <f>H105</f>
        <v>26.153846153846157</v>
      </c>
      <c r="AJ105" s="73"/>
      <c r="AK105" s="76">
        <f>Q105</f>
        <v>46.428571428571431</v>
      </c>
      <c r="AL105" s="76">
        <f>S105</f>
        <v>30.434782608695656</v>
      </c>
      <c r="AM105" s="76">
        <f>O105</f>
        <v>39.215686274509807</v>
      </c>
      <c r="AN105" s="76"/>
      <c r="AO105" s="81">
        <f>X105</f>
        <v>40.74074074074074</v>
      </c>
      <c r="AP105" s="81">
        <f>Z105</f>
        <v>26.086956521739129</v>
      </c>
      <c r="AQ105" s="81">
        <f>V105</f>
        <v>34</v>
      </c>
      <c r="AR105" s="7"/>
      <c r="AS105" s="76">
        <f t="shared" si="145"/>
        <v>32.53012048192771</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x14ac:dyDescent="0.3">
      <c r="A106" s="8" t="s">
        <v>21</v>
      </c>
      <c r="B106" s="9" t="s">
        <v>105</v>
      </c>
      <c r="C106" s="7"/>
      <c r="D106" s="7"/>
      <c r="E106" s="7"/>
      <c r="F106" s="71">
        <v>0</v>
      </c>
      <c r="G106" s="51">
        <f>I106+K106</f>
        <v>1</v>
      </c>
      <c r="H106" s="52">
        <f>G106/$J$5*100</f>
        <v>1.5384615384615385</v>
      </c>
      <c r="I106" s="53">
        <f>COUNTIFS('00 Encuesta'!$B$2:$B$511,"*c)*",'00 Encuesta'!$C$2:$C$511,"*a)*",'00 Encuesta'!$E$2:$E$511,"*a)*",'00 Encuesta'!$O$2:$O$511,"*d)*")</f>
        <v>0</v>
      </c>
      <c r="J106" s="52">
        <f>I106/$J$6*100</f>
        <v>0</v>
      </c>
      <c r="K106" s="53">
        <f>COUNTIFS('00 Encuesta'!$B$2:$B$511,"*c)*",'00 Encuesta'!$C$2:$C$511,"*a)*",'00 Encuesta'!$E$2:$E$511,"*b)*",'00 Encuesta'!$O$2:$O$511,"*d)*")</f>
        <v>1</v>
      </c>
      <c r="L106" s="52">
        <f>K106/$J$7*100</f>
        <v>3.125</v>
      </c>
      <c r="M106" s="23"/>
      <c r="N106" s="51">
        <f>P106+R106</f>
        <v>1</v>
      </c>
      <c r="O106" s="52">
        <f>N106/$Q$5*100</f>
        <v>1.9607843137254901</v>
      </c>
      <c r="P106" s="53">
        <f>COUNTIFS('00 Encuesta'!$B$2:$B$511,"*c)*",'00 Encuesta'!$C$2:$C$511,"*b)*",'00 Encuesta'!$E$2:$E$511,"*a)*",'00 Encuesta'!$O$2:$O$511,"*d)*")</f>
        <v>0</v>
      </c>
      <c r="Q106" s="52">
        <f>P106/$Q$6*100</f>
        <v>0</v>
      </c>
      <c r="R106" s="53">
        <f>COUNTIFS('00 Encuesta'!$B$2:$B$511,"*c)*",'00 Encuesta'!$C$2:$C$511,"*b)*",'00 Encuesta'!$E$2:$E$511,"*b)*",'00 Encuesta'!$O$2:$O$511,"*d)*")</f>
        <v>1</v>
      </c>
      <c r="S106" s="52">
        <f>R106/$Q$7*100</f>
        <v>4.3478260869565215</v>
      </c>
      <c r="T106" s="3"/>
      <c r="U106" s="51">
        <f>W106+Y106</f>
        <v>6</v>
      </c>
      <c r="V106" s="52">
        <f>U106/$X$5*100</f>
        <v>12</v>
      </c>
      <c r="W106" s="53">
        <f>COUNTIFS('00 Encuesta'!$B$2:$B$511,"*c)*",'00 Encuesta'!$C$2:$C$511,"*d)*",'00 Encuesta'!$E$2:$E$511,"*a)*",'00 Encuesta'!$O$2:$O$511,"*d)*")</f>
        <v>1</v>
      </c>
      <c r="X106" s="52">
        <f>W106/$X$6*100</f>
        <v>3.7037037037037033</v>
      </c>
      <c r="Y106" s="53">
        <f>COUNTIFS('00 Encuesta'!$B$2:$B$511,"*c)*",'00 Encuesta'!$C$2:$C$511,"*d)*",'00 Encuesta'!$E$2:$E$511,"*b)*",'00 Encuesta'!$O$2:$O$511,"*d)*")</f>
        <v>5</v>
      </c>
      <c r="Z106" s="52">
        <f>Y106/$X$7*100</f>
        <v>21.739130434782609</v>
      </c>
      <c r="AA106" s="3"/>
      <c r="AB106" s="62">
        <f>G106+N106+U106</f>
        <v>8</v>
      </c>
      <c r="AC106" s="52">
        <f>AB106*100/$AC$5</f>
        <v>4.8192771084337354</v>
      </c>
      <c r="AD106" s="7"/>
      <c r="AE106" s="7"/>
      <c r="AF106" s="9" t="str">
        <f t="shared" si="182"/>
        <v>d) Nada</v>
      </c>
      <c r="AG106" s="72">
        <f>J106</f>
        <v>0</v>
      </c>
      <c r="AH106" s="72">
        <f>L106</f>
        <v>3.125</v>
      </c>
      <c r="AI106" s="73">
        <f>H106</f>
        <v>1.5384615384615385</v>
      </c>
      <c r="AJ106" s="73"/>
      <c r="AK106" s="76">
        <f>Q106</f>
        <v>0</v>
      </c>
      <c r="AL106" s="76">
        <f>S106</f>
        <v>4.3478260869565215</v>
      </c>
      <c r="AM106" s="76">
        <f>O106</f>
        <v>1.9607843137254901</v>
      </c>
      <c r="AN106" s="76"/>
      <c r="AO106" s="81">
        <f>X106</f>
        <v>3.7037037037037033</v>
      </c>
      <c r="AP106" s="81">
        <f>Z106</f>
        <v>21.739130434782609</v>
      </c>
      <c r="AQ106" s="81">
        <f>V106</f>
        <v>12</v>
      </c>
      <c r="AR106" s="7"/>
      <c r="AS106" s="76">
        <f t="shared" si="145"/>
        <v>4.8192771084337354</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x14ac:dyDescent="0.3">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f>N107/$Q$5*100</f>
        <v>0</v>
      </c>
      <c r="P107" s="53"/>
      <c r="Q107" s="52">
        <f>P107/$Q$6*100</f>
        <v>0</v>
      </c>
      <c r="R107" s="53"/>
      <c r="S107" s="52">
        <f>R107/$Q$7*100</f>
        <v>0</v>
      </c>
      <c r="T107" s="3"/>
      <c r="U107" s="51">
        <f>W107+Y107</f>
        <v>0</v>
      </c>
      <c r="V107" s="52">
        <f>U107/$X$5*100</f>
        <v>0</v>
      </c>
      <c r="W107" s="53"/>
      <c r="X107" s="52">
        <f>W107/$X$6*100</f>
        <v>0</v>
      </c>
      <c r="Y107" s="53"/>
      <c r="Z107" s="52">
        <f>Y107/$X$7*100</f>
        <v>0</v>
      </c>
      <c r="AA107" s="3"/>
      <c r="AB107" s="62">
        <f>G107+N107+U107</f>
        <v>0</v>
      </c>
      <c r="AC107" s="52">
        <f>AB107*100/$AC$5</f>
        <v>0</v>
      </c>
      <c r="AD107" s="7"/>
      <c r="AE107" s="7"/>
      <c r="AF107" s="9" t="str">
        <f t="shared" si="182"/>
        <v>S/R Sin Respuesta</v>
      </c>
      <c r="AG107" s="72">
        <f>J107</f>
        <v>0</v>
      </c>
      <c r="AH107" s="72">
        <f>L107</f>
        <v>0</v>
      </c>
      <c r="AI107" s="73">
        <f>H107</f>
        <v>0</v>
      </c>
      <c r="AJ107" s="73"/>
      <c r="AK107" s="76">
        <f>Q107</f>
        <v>0</v>
      </c>
      <c r="AL107" s="76">
        <f>S107</f>
        <v>0</v>
      </c>
      <c r="AM107" s="76">
        <f>O107</f>
        <v>0</v>
      </c>
      <c r="AN107" s="76"/>
      <c r="AO107" s="81">
        <f>X107</f>
        <v>0</v>
      </c>
      <c r="AP107" s="81">
        <f>Z107</f>
        <v>0</v>
      </c>
      <c r="AQ107" s="81">
        <f>V107</f>
        <v>0</v>
      </c>
      <c r="AR107" s="7"/>
      <c r="AS107" s="76">
        <f t="shared" si="145"/>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x14ac:dyDescent="0.3">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77.417096774193539</v>
      </c>
      <c r="AH108" s="82">
        <f>($F103*K103+$F104*K104+$F105*K105+$F106*K106)/(+K103+K104+K105+K106)</f>
        <v>64.512903225806454</v>
      </c>
      <c r="AI108" s="82">
        <f>($F103*G103+$F104*G104+$F105*G105+$F106*G106)/(G103+G104+G105+G106)</f>
        <v>70.965000000000003</v>
      </c>
      <c r="AJ108" s="82"/>
      <c r="AK108" s="82">
        <f>($F103*P103+$F104*P104+$F105*P105+$F106*P106)/(P103+P104+P105+P106)</f>
        <v>60.253461538461536</v>
      </c>
      <c r="AL108" s="82">
        <f>($F103*R103+$F104*R104+$F105*R105+$F106*R106)/(R103+R104+R105+R106)</f>
        <v>66.664090909090902</v>
      </c>
      <c r="AM108" s="82">
        <f>($F103*N103+$F104*N104+$F105*N105+$F106*N106)/(N103+N104+N105+N106)</f>
        <v>63.191666666666663</v>
      </c>
      <c r="AN108" s="82"/>
      <c r="AO108" s="82">
        <f>($F103*W103+$F104*W104+$F105*W105+$F106*W106)/(W103+W104+W105+W106)</f>
        <v>55.12423076923077</v>
      </c>
      <c r="AP108" s="82">
        <f>($F103*Y103+$F104*Y104+$F105*Y105+$F106*Y106)/(Y103+Y104+Y105+Y106)</f>
        <v>52.171304347826087</v>
      </c>
      <c r="AQ108" s="82">
        <f>($F103*U103+$F104*U104+$F105*U105+$F106*U106)/(U103+U104+U105+U106)</f>
        <v>53.738163265306127</v>
      </c>
      <c r="AR108" s="7"/>
      <c r="AS108" s="76">
        <f t="shared" si="145"/>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x14ac:dyDescent="0.3">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x14ac:dyDescent="0.3">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83">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x14ac:dyDescent="0.3">
      <c r="A111" s="8" t="s">
        <v>17</v>
      </c>
      <c r="B111" s="9" t="s">
        <v>102</v>
      </c>
      <c r="C111" s="7"/>
      <c r="D111" s="7"/>
      <c r="E111" s="7"/>
      <c r="F111" s="71">
        <v>100</v>
      </c>
      <c r="G111" s="51">
        <f>I111+K111</f>
        <v>24</v>
      </c>
      <c r="H111" s="52">
        <f>G111/$J$5*100</f>
        <v>36.923076923076927</v>
      </c>
      <c r="I111" s="53">
        <f>COUNTIFS('00 Encuesta'!$B$2:$B$511,"*c)*",'00 Encuesta'!$C$2:$C$511,"*a)*",'00 Encuesta'!$E$2:$E$511,"*a)*",'00 Encuesta'!$P$2:$P$511,"*a)*")</f>
        <v>9</v>
      </c>
      <c r="J111" s="52">
        <f>I111/$J$6*100</f>
        <v>27.27272727272727</v>
      </c>
      <c r="K111" s="53">
        <f>COUNTIFS('00 Encuesta'!$B$2:$B$511,"*c)*",'00 Encuesta'!$C$2:$C$511,"*a)*",'00 Encuesta'!$E$2:$E$511,"*b)*",'00 Encuesta'!$P$2:$P$511,"*a)*")</f>
        <v>15</v>
      </c>
      <c r="L111" s="52">
        <f>K111/$J$7*100</f>
        <v>46.875</v>
      </c>
      <c r="M111" s="23"/>
      <c r="N111" s="51">
        <f>P111+R111</f>
        <v>9</v>
      </c>
      <c r="O111" s="52">
        <f>N111/$Q$5*100</f>
        <v>17.647058823529413</v>
      </c>
      <c r="P111" s="53">
        <f>COUNTIFS('00 Encuesta'!$B$2:$B$511,"*c)*",'00 Encuesta'!$C$2:$C$511,"*b)*",'00 Encuesta'!$E$2:$E$511,"*a)*",'00 Encuesta'!$P$2:$P$511,"*a)*")</f>
        <v>3</v>
      </c>
      <c r="Q111" s="52">
        <f>P111/$Q$6*100</f>
        <v>10.714285714285714</v>
      </c>
      <c r="R111" s="53">
        <f>COUNTIFS('00 Encuesta'!$B$2:$B$511,"*c)*",'00 Encuesta'!$C$2:$C$511,"*b)*",'00 Encuesta'!$E$2:$E$511,"*b)*",'00 Encuesta'!$P$2:$P$511,"*a)*")</f>
        <v>6</v>
      </c>
      <c r="S111" s="52">
        <f>R111/$Q$7*100</f>
        <v>26.086956521739129</v>
      </c>
      <c r="T111" s="3"/>
      <c r="U111" s="51">
        <f>W111+Y111</f>
        <v>10</v>
      </c>
      <c r="V111" s="52">
        <f>U111/$X$5*100</f>
        <v>20</v>
      </c>
      <c r="W111" s="53">
        <f>COUNTIFS('00 Encuesta'!$B$2:$B$511,"*c)*",'00 Encuesta'!$C$2:$C$511,"*d)*",'00 Encuesta'!$E$2:$E$511,"*a)*",'00 Encuesta'!$P$2:$P$511,"*a)*")</f>
        <v>4</v>
      </c>
      <c r="X111" s="52">
        <f>W111/$X$6*100</f>
        <v>14.814814814814813</v>
      </c>
      <c r="Y111" s="53">
        <f>COUNTIFS('00 Encuesta'!$B$2:$B$511,"*c)*",'00 Encuesta'!$C$2:$C$511,"*d)*",'00 Encuesta'!$E$2:$E$511,"*b)*",'00 Encuesta'!$P$2:$P$511,"*a)*")</f>
        <v>6</v>
      </c>
      <c r="Z111" s="52">
        <f>Y111/$X$7*100</f>
        <v>26.086956521739129</v>
      </c>
      <c r="AA111" s="3"/>
      <c r="AB111" s="62">
        <f>G111+N111+U111</f>
        <v>43</v>
      </c>
      <c r="AC111" s="52">
        <f>AB111*100/$AC$5</f>
        <v>25.903614457831324</v>
      </c>
      <c r="AD111" s="7"/>
      <c r="AE111" s="7"/>
      <c r="AF111" s="9" t="str">
        <f t="shared" si="183"/>
        <v>a) Mucho</v>
      </c>
      <c r="AG111" s="72">
        <f>J111</f>
        <v>27.27272727272727</v>
      </c>
      <c r="AH111" s="72">
        <f>L111</f>
        <v>46.875</v>
      </c>
      <c r="AI111" s="73">
        <f>H111</f>
        <v>36.923076923076927</v>
      </c>
      <c r="AJ111" s="73"/>
      <c r="AK111" s="76">
        <f>Q111</f>
        <v>10.714285714285714</v>
      </c>
      <c r="AL111" s="76">
        <f>S111</f>
        <v>26.086956521739129</v>
      </c>
      <c r="AM111" s="76">
        <f>O111</f>
        <v>17.647058823529413</v>
      </c>
      <c r="AN111" s="76"/>
      <c r="AO111" s="81">
        <f>X111</f>
        <v>14.814814814814813</v>
      </c>
      <c r="AP111" s="81">
        <f>Z111</f>
        <v>26.086956521739129</v>
      </c>
      <c r="AQ111" s="81">
        <f>V111</f>
        <v>20</v>
      </c>
      <c r="AR111" s="7"/>
      <c r="AS111" s="76">
        <f t="shared" si="145"/>
        <v>25.903614457831324</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x14ac:dyDescent="0.3">
      <c r="A112" s="8" t="s">
        <v>18</v>
      </c>
      <c r="B112" s="9" t="s">
        <v>103</v>
      </c>
      <c r="C112" s="7"/>
      <c r="D112" s="7"/>
      <c r="E112" s="7"/>
      <c r="F112" s="71">
        <v>66.66</v>
      </c>
      <c r="G112" s="51">
        <f>I112+K112</f>
        <v>21</v>
      </c>
      <c r="H112" s="52">
        <f>G112/$J$5*100</f>
        <v>32.307692307692307</v>
      </c>
      <c r="I112" s="53">
        <f>COUNTIFS('00 Encuesta'!$B$2:$B$511,"*c)*",'00 Encuesta'!$C$2:$C$511,"*a)*",'00 Encuesta'!$E$2:$E$511,"*a)*",'00 Encuesta'!$P$2:$P$511,"*b)*")</f>
        <v>12</v>
      </c>
      <c r="J112" s="52">
        <f>I112/$J$6*100</f>
        <v>36.363636363636367</v>
      </c>
      <c r="K112" s="53">
        <f>COUNTIFS('00 Encuesta'!$B$2:$B$511,"*c)*",'00 Encuesta'!$C$2:$C$511,"*a)*",'00 Encuesta'!$E$2:$E$511,"*b)*",'00 Encuesta'!$P$2:$P$511,"*b)*")</f>
        <v>9</v>
      </c>
      <c r="L112" s="52">
        <f>K112/$J$7*100</f>
        <v>28.125</v>
      </c>
      <c r="M112" s="23"/>
      <c r="N112" s="51">
        <f>P112+R112</f>
        <v>17</v>
      </c>
      <c r="O112" s="52">
        <f>N112/$Q$5*100</f>
        <v>33.333333333333329</v>
      </c>
      <c r="P112" s="53">
        <f>COUNTIFS('00 Encuesta'!$B$2:$B$511,"*c)*",'00 Encuesta'!$C$2:$C$511,"*b)*",'00 Encuesta'!$E$2:$E$511,"*a)*",'00 Encuesta'!$P$2:$P$511,"*b)*")</f>
        <v>7</v>
      </c>
      <c r="Q112" s="52">
        <f>P112/$Q$6*100</f>
        <v>25</v>
      </c>
      <c r="R112" s="53">
        <f>COUNTIFS('00 Encuesta'!$B$2:$B$511,"*c)*",'00 Encuesta'!$C$2:$C$511,"*b)*",'00 Encuesta'!$E$2:$E$511,"*b)*",'00 Encuesta'!$P$2:$P$511,"*b)*")</f>
        <v>10</v>
      </c>
      <c r="S112" s="52">
        <f>R112/$Q$7*100</f>
        <v>43.478260869565219</v>
      </c>
      <c r="T112" s="3"/>
      <c r="U112" s="51">
        <f>W112+Y112</f>
        <v>20</v>
      </c>
      <c r="V112" s="52">
        <f>U112/$X$5*100</f>
        <v>40</v>
      </c>
      <c r="W112" s="53">
        <f>COUNTIFS('00 Encuesta'!$B$2:$B$511,"*c)*",'00 Encuesta'!$C$2:$C$511,"*d)*",'00 Encuesta'!$E$2:$E$511,"*a)*",'00 Encuesta'!$P$2:$P$511,"*b)*")</f>
        <v>10</v>
      </c>
      <c r="X112" s="52">
        <f>W112/$X$6*100</f>
        <v>37.037037037037038</v>
      </c>
      <c r="Y112" s="53">
        <f>COUNTIFS('00 Encuesta'!$B$2:$B$511,"*c)*",'00 Encuesta'!$C$2:$C$511,"*d)*",'00 Encuesta'!$E$2:$E$511,"*b)*",'00 Encuesta'!$P$2:$P$511,"*b)*")</f>
        <v>10</v>
      </c>
      <c r="Z112" s="52">
        <f>Y112/$X$7*100</f>
        <v>43.478260869565219</v>
      </c>
      <c r="AA112" s="3"/>
      <c r="AB112" s="62">
        <f>G112+N112+U112</f>
        <v>58</v>
      </c>
      <c r="AC112" s="52">
        <f>AB112*100/$AC$5</f>
        <v>34.939759036144579</v>
      </c>
      <c r="AD112" s="7"/>
      <c r="AE112" s="7"/>
      <c r="AF112" s="9" t="str">
        <f t="shared" si="183"/>
        <v>b) Suficiente</v>
      </c>
      <c r="AG112" s="72">
        <f>J112</f>
        <v>36.363636363636367</v>
      </c>
      <c r="AH112" s="72">
        <f>L112</f>
        <v>28.125</v>
      </c>
      <c r="AI112" s="73">
        <f>H112</f>
        <v>32.307692307692307</v>
      </c>
      <c r="AJ112" s="73"/>
      <c r="AK112" s="76">
        <f>Q112</f>
        <v>25</v>
      </c>
      <c r="AL112" s="76">
        <f>S112</f>
        <v>43.478260869565219</v>
      </c>
      <c r="AM112" s="76">
        <f>O112</f>
        <v>33.333333333333329</v>
      </c>
      <c r="AN112" s="76"/>
      <c r="AO112" s="81">
        <f>X112</f>
        <v>37.037037037037038</v>
      </c>
      <c r="AP112" s="81">
        <f>Z112</f>
        <v>43.478260869565219</v>
      </c>
      <c r="AQ112" s="81">
        <f>V112</f>
        <v>40</v>
      </c>
      <c r="AR112" s="7"/>
      <c r="AS112" s="76">
        <f t="shared" si="145"/>
        <v>34.939759036144579</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x14ac:dyDescent="0.3">
      <c r="A113" s="8" t="s">
        <v>20</v>
      </c>
      <c r="B113" s="9" t="s">
        <v>104</v>
      </c>
      <c r="C113" s="7"/>
      <c r="D113" s="7"/>
      <c r="E113" s="7"/>
      <c r="F113" s="71">
        <v>33.33</v>
      </c>
      <c r="G113" s="51">
        <f>I113+K113</f>
        <v>17</v>
      </c>
      <c r="H113" s="52">
        <f>G113/$J$5*100</f>
        <v>26.153846153846157</v>
      </c>
      <c r="I113" s="53">
        <f>COUNTIFS('00 Encuesta'!$B$2:$B$511,"*c)*",'00 Encuesta'!$C$2:$C$511,"*a)*",'00 Encuesta'!$E$2:$E$511,"*a)*",'00 Encuesta'!$P$2:$P$511,"*c)*")</f>
        <v>9</v>
      </c>
      <c r="J113" s="52">
        <f>I113/$J$6*100</f>
        <v>27.27272727272727</v>
      </c>
      <c r="K113" s="53">
        <f>COUNTIFS('00 Encuesta'!$B$2:$B$511,"*c)*",'00 Encuesta'!$C$2:$C$511,"*a)*",'00 Encuesta'!$E$2:$E$511,"*b)*",'00 Encuesta'!$P$2:$P$511,"*c)*")</f>
        <v>8</v>
      </c>
      <c r="L113" s="52">
        <f>K113/$J$7*100</f>
        <v>25</v>
      </c>
      <c r="M113" s="23"/>
      <c r="N113" s="51">
        <f>P113+R113</f>
        <v>22</v>
      </c>
      <c r="O113" s="52">
        <f>N113/$Q$5*100</f>
        <v>43.137254901960787</v>
      </c>
      <c r="P113" s="53">
        <f>COUNTIFS('00 Encuesta'!$B$2:$B$511,"*c)*",'00 Encuesta'!$C$2:$C$511,"*b)*",'00 Encuesta'!$E$2:$E$511,"*a)*",'00 Encuesta'!$P$2:$P$511,"*c)*")</f>
        <v>15</v>
      </c>
      <c r="Q113" s="52">
        <f>P113/$Q$6*100</f>
        <v>53.571428571428569</v>
      </c>
      <c r="R113" s="53">
        <f>COUNTIFS('00 Encuesta'!$B$2:$B$511,"*c)*",'00 Encuesta'!$C$2:$C$511,"*b)*",'00 Encuesta'!$E$2:$E$511,"*b)*",'00 Encuesta'!$P$2:$P$511,"*c)*")</f>
        <v>7</v>
      </c>
      <c r="S113" s="52">
        <f>R113/$Q$7*100</f>
        <v>30.434782608695656</v>
      </c>
      <c r="T113" s="3"/>
      <c r="U113" s="51">
        <f>W113+Y113</f>
        <v>18</v>
      </c>
      <c r="V113" s="52">
        <f>U113/$X$5*100</f>
        <v>36</v>
      </c>
      <c r="W113" s="53">
        <f>COUNTIFS('00 Encuesta'!$B$2:$B$511,"*c)*",'00 Encuesta'!$C$2:$C$511,"*d)*",'00 Encuesta'!$E$2:$E$511,"*a)*",'00 Encuesta'!$P$2:$P$511,"*c)*")</f>
        <v>12</v>
      </c>
      <c r="X113" s="52">
        <f>W113/$X$6*100</f>
        <v>44.444444444444443</v>
      </c>
      <c r="Y113" s="53">
        <f>COUNTIFS('00 Encuesta'!$B$2:$B$511,"*c)*",'00 Encuesta'!$C$2:$C$511,"*d)*",'00 Encuesta'!$E$2:$E$511,"*b)*",'00 Encuesta'!$P$2:$P$511,"*c)*")</f>
        <v>6</v>
      </c>
      <c r="Z113" s="52">
        <f>Y113/$X$7*100</f>
        <v>26.086956521739129</v>
      </c>
      <c r="AA113" s="3"/>
      <c r="AB113" s="62">
        <f>G113+N113+U113</f>
        <v>57</v>
      </c>
      <c r="AC113" s="52">
        <f>AB113*100/$AC$5</f>
        <v>34.337349397590359</v>
      </c>
      <c r="AD113" s="7"/>
      <c r="AE113" s="7"/>
      <c r="AF113" s="9" t="str">
        <f t="shared" si="183"/>
        <v>c) Poco</v>
      </c>
      <c r="AG113" s="72">
        <f>J113</f>
        <v>27.27272727272727</v>
      </c>
      <c r="AH113" s="72">
        <f>L113</f>
        <v>25</v>
      </c>
      <c r="AI113" s="73">
        <f>H113</f>
        <v>26.153846153846157</v>
      </c>
      <c r="AJ113" s="73"/>
      <c r="AK113" s="76">
        <f>Q113</f>
        <v>53.571428571428569</v>
      </c>
      <c r="AL113" s="76">
        <f>S113</f>
        <v>30.434782608695656</v>
      </c>
      <c r="AM113" s="76">
        <f>O113</f>
        <v>43.137254901960787</v>
      </c>
      <c r="AN113" s="76"/>
      <c r="AO113" s="81">
        <f>X113</f>
        <v>44.444444444444443</v>
      </c>
      <c r="AP113" s="81">
        <f>Z113</f>
        <v>26.086956521739129</v>
      </c>
      <c r="AQ113" s="81">
        <f>V113</f>
        <v>36</v>
      </c>
      <c r="AR113" s="7"/>
      <c r="AS113" s="76">
        <f t="shared" si="145"/>
        <v>34.337349397590359</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x14ac:dyDescent="0.3">
      <c r="A114" s="8" t="s">
        <v>21</v>
      </c>
      <c r="B114" s="9" t="s">
        <v>105</v>
      </c>
      <c r="C114" s="7"/>
      <c r="D114" s="7"/>
      <c r="E114" s="7"/>
      <c r="F114" s="71">
        <v>0</v>
      </c>
      <c r="G114" s="51">
        <f>I114+K114</f>
        <v>1</v>
      </c>
      <c r="H114" s="52">
        <f>G114/$J$5*100</f>
        <v>1.5384615384615385</v>
      </c>
      <c r="I114" s="53">
        <f>COUNTIFS('00 Encuesta'!$B$2:$B$511,"*c)*",'00 Encuesta'!$C$2:$C$511,"*a)*",'00 Encuesta'!$E$2:$E$511,"*a)*",'00 Encuesta'!$P$2:$P$511,"*d)*")</f>
        <v>1</v>
      </c>
      <c r="J114" s="52">
        <f>I114/$J$6*100</f>
        <v>3.0303030303030303</v>
      </c>
      <c r="K114" s="53">
        <f>COUNTIFS('00 Encuesta'!$B$2:$B$511,"*c)*",'00 Encuesta'!$C$2:$C$511,"*a)*",'00 Encuesta'!$E$2:$E$511,"*b)*",'00 Encuesta'!$P$2:$P$511,"*d)*")</f>
        <v>0</v>
      </c>
      <c r="L114" s="52">
        <f>K114/$J$7*100</f>
        <v>0</v>
      </c>
      <c r="M114" s="23"/>
      <c r="N114" s="51">
        <f>P114+R114</f>
        <v>2</v>
      </c>
      <c r="O114" s="52">
        <f>N114/$Q$5*100</f>
        <v>3.9215686274509802</v>
      </c>
      <c r="P114" s="53">
        <f>COUNTIFS('00 Encuesta'!$B$2:$B$511,"*c)*",'00 Encuesta'!$C$2:$C$511,"*b)*",'00 Encuesta'!$E$2:$E$511,"*a)*",'00 Encuesta'!$P$2:$P$511,"*d)*")</f>
        <v>2</v>
      </c>
      <c r="Q114" s="52">
        <f>P114/$Q$6*100</f>
        <v>7.1428571428571423</v>
      </c>
      <c r="R114" s="53">
        <f>COUNTIFS('00 Encuesta'!$B$2:$B$511,"*c)*",'00 Encuesta'!$C$2:$C$511,"*b)*",'00 Encuesta'!$E$2:$E$511,"*b)*",'00 Encuesta'!$P$2:$P$511,"*d)*")</f>
        <v>0</v>
      </c>
      <c r="S114" s="52">
        <f>R114/$Q$7*100</f>
        <v>0</v>
      </c>
      <c r="T114" s="3"/>
      <c r="U114" s="51">
        <f>W114+Y114</f>
        <v>2</v>
      </c>
      <c r="V114" s="52">
        <f>U114/$X$5*100</f>
        <v>4</v>
      </c>
      <c r="W114" s="53">
        <f>COUNTIFS('00 Encuesta'!$B$2:$B$511,"*c)*",'00 Encuesta'!$C$2:$C$511,"*d)*",'00 Encuesta'!$E$2:$E$511,"*a)*",'00 Encuesta'!$P$2:$P$511,"*d)*")</f>
        <v>1</v>
      </c>
      <c r="X114" s="52">
        <f>W114/$X$6*100</f>
        <v>3.7037037037037033</v>
      </c>
      <c r="Y114" s="53">
        <f>COUNTIFS('00 Encuesta'!$B$2:$B$511,"*c)*",'00 Encuesta'!$C$2:$C$511,"*d)*",'00 Encuesta'!$E$2:$E$511,"*b)*",'00 Encuesta'!$P$2:$P$511,"*d)*")</f>
        <v>1</v>
      </c>
      <c r="Z114" s="52">
        <f>Y114/$X$7*100</f>
        <v>4.3478260869565215</v>
      </c>
      <c r="AA114" s="3"/>
      <c r="AB114" s="62">
        <f>G114+N114+U114</f>
        <v>5</v>
      </c>
      <c r="AC114" s="52">
        <f>AB114*100/$AC$5</f>
        <v>3.0120481927710845</v>
      </c>
      <c r="AD114" s="7"/>
      <c r="AE114" s="7"/>
      <c r="AF114" s="9" t="str">
        <f t="shared" si="183"/>
        <v>d) Nada</v>
      </c>
      <c r="AG114" s="72">
        <f>J114</f>
        <v>3.0303030303030303</v>
      </c>
      <c r="AH114" s="72">
        <f>L114</f>
        <v>0</v>
      </c>
      <c r="AI114" s="73">
        <f>H114</f>
        <v>1.5384615384615385</v>
      </c>
      <c r="AJ114" s="73"/>
      <c r="AK114" s="76">
        <f>Q114</f>
        <v>7.1428571428571423</v>
      </c>
      <c r="AL114" s="76">
        <f>S114</f>
        <v>0</v>
      </c>
      <c r="AM114" s="76">
        <f>O114</f>
        <v>3.9215686274509802</v>
      </c>
      <c r="AN114" s="76"/>
      <c r="AO114" s="81">
        <f>X114</f>
        <v>3.7037037037037033</v>
      </c>
      <c r="AP114" s="81">
        <f>Z114</f>
        <v>4.3478260869565215</v>
      </c>
      <c r="AQ114" s="81">
        <f>V114</f>
        <v>4</v>
      </c>
      <c r="AR114" s="7"/>
      <c r="AS114" s="76">
        <f t="shared" si="145"/>
        <v>3.0120481927710845</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x14ac:dyDescent="0.3">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f>N115/$Q$5*100</f>
        <v>0</v>
      </c>
      <c r="P115" s="53"/>
      <c r="Q115" s="52">
        <f>P115/$Q$6*100</f>
        <v>0</v>
      </c>
      <c r="R115" s="53"/>
      <c r="S115" s="52">
        <f>R115/$Q$7*100</f>
        <v>0</v>
      </c>
      <c r="T115" s="3"/>
      <c r="U115" s="51">
        <f>W115+Y115</f>
        <v>0</v>
      </c>
      <c r="V115" s="52">
        <f>U115/$X$5*100</f>
        <v>0</v>
      </c>
      <c r="W115" s="53"/>
      <c r="X115" s="52">
        <f>W115/$X$6*100</f>
        <v>0</v>
      </c>
      <c r="Y115" s="53"/>
      <c r="Z115" s="52">
        <f>Y115/$X$7*100</f>
        <v>0</v>
      </c>
      <c r="AA115" s="3"/>
      <c r="AB115" s="62">
        <f>G115+N115+U115</f>
        <v>0</v>
      </c>
      <c r="AC115" s="52">
        <f>AB115*100/$AC$5</f>
        <v>0</v>
      </c>
      <c r="AD115" s="7"/>
      <c r="AE115" s="7"/>
      <c r="AF115" s="9" t="str">
        <f t="shared" si="183"/>
        <v>S/R Sin Respuesta</v>
      </c>
      <c r="AG115" s="72">
        <f>J115</f>
        <v>0</v>
      </c>
      <c r="AH115" s="72">
        <f>L115</f>
        <v>0</v>
      </c>
      <c r="AI115" s="73">
        <f>H115</f>
        <v>0</v>
      </c>
      <c r="AJ115" s="73"/>
      <c r="AK115" s="76">
        <f>Q115</f>
        <v>0</v>
      </c>
      <c r="AL115" s="76">
        <f>S115</f>
        <v>0</v>
      </c>
      <c r="AM115" s="76">
        <f>O115</f>
        <v>0</v>
      </c>
      <c r="AN115" s="76"/>
      <c r="AO115" s="81">
        <f>X115</f>
        <v>0</v>
      </c>
      <c r="AP115" s="81">
        <f>Z115</f>
        <v>0</v>
      </c>
      <c r="AQ115" s="81">
        <f>V115</f>
        <v>0</v>
      </c>
      <c r="AR115" s="7"/>
      <c r="AS115" s="76">
        <f t="shared" si="145"/>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x14ac:dyDescent="0.3">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64.512580645161293</v>
      </c>
      <c r="AH116" s="82">
        <f>($F111*K111+$F112*K112+$F113*K113+$F114*K114)/(+K111+K112+K113+K114)</f>
        <v>73.955624999999998</v>
      </c>
      <c r="AI116" s="82">
        <f>($F111*G111+$F112*G112+$F113*G113+$F114*G114)/(G111+G112+G113+G114)</f>
        <v>69.309047619047604</v>
      </c>
      <c r="AJ116" s="82"/>
      <c r="AK116" s="82">
        <f>($F111*P111+$F112*P112+$F113*P113+$F114*P114)/(P111+P112+P113+P114)</f>
        <v>46.91</v>
      </c>
      <c r="AL116" s="82">
        <f>($F111*R111+$F112*R112+$F113*R113+$F114*R114)/(R111+R112+R113+R114)</f>
        <v>65.213478260869564</v>
      </c>
      <c r="AM116" s="82">
        <f>($F111*N111+$F112*N112+$F113*N113+$F114*N114)/(N111+N112+N113+N114)</f>
        <v>55.329599999999999</v>
      </c>
      <c r="AN116" s="82"/>
      <c r="AO116" s="82">
        <f>($F111*W111+$F112*W112+$F113*W113+$F114*W114)/(W111+W112+W113+W114)</f>
        <v>54.317037037037032</v>
      </c>
      <c r="AP116" s="82">
        <f>($F111*Y111+$F112*Y112+$F113*Y113+$F114*Y114)/(Y111+Y112+Y113+Y114)</f>
        <v>63.764347826086954</v>
      </c>
      <c r="AQ116" s="82">
        <f>($F111*U111+$F112*U112+$F113*U113+$F114*U114)/(U111+U112+U113+U114)</f>
        <v>58.662799999999997</v>
      </c>
      <c r="AR116" s="7"/>
      <c r="AS116" s="76">
        <f t="shared" si="145"/>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x14ac:dyDescent="0.3">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x14ac:dyDescent="0.3">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x14ac:dyDescent="0.3">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x14ac:dyDescent="0.3">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84">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x14ac:dyDescent="0.3">
      <c r="A121" s="8" t="s">
        <v>17</v>
      </c>
      <c r="B121" s="9" t="s">
        <v>102</v>
      </c>
      <c r="C121" s="7"/>
      <c r="D121" s="7"/>
      <c r="E121" s="7"/>
      <c r="F121" s="71">
        <v>100</v>
      </c>
      <c r="G121" s="51">
        <f>I121+K121</f>
        <v>21</v>
      </c>
      <c r="H121" s="52">
        <f>G121/$J$5*100</f>
        <v>32.307692307692307</v>
      </c>
      <c r="I121" s="53">
        <f>COUNTIFS('00 Encuesta'!$B$2:$B$511,"*c)*",'00 Encuesta'!$C$2:$C$511,"*a)*",'00 Encuesta'!$E$2:$E$511,"*a)*",'00 Encuesta'!$Q$2:$Q$511,"*a)*")</f>
        <v>14</v>
      </c>
      <c r="J121" s="52">
        <f>I121/$J$6*100</f>
        <v>42.424242424242422</v>
      </c>
      <c r="K121" s="53">
        <f>COUNTIFS('00 Encuesta'!$B$2:$B$511,"*c)*",'00 Encuesta'!$C$2:$C$511,"*a)*",'00 Encuesta'!$E$2:$E$511,"*b)*",'00 Encuesta'!$Q$2:$Q$511,"*a)*")</f>
        <v>7</v>
      </c>
      <c r="L121" s="52">
        <f>K121/$J$7*100</f>
        <v>21.875</v>
      </c>
      <c r="M121" s="23"/>
      <c r="N121" s="51">
        <f>P121+R121</f>
        <v>8</v>
      </c>
      <c r="O121" s="52">
        <f>N121/$Q$5*100</f>
        <v>15.686274509803921</v>
      </c>
      <c r="P121" s="53">
        <f>COUNTIFS('00 Encuesta'!$B$2:$B$511,"*c)*",'00 Encuesta'!$C$2:$C$511,"*b)*",'00 Encuesta'!$E$2:$E$511,"*a)*",'00 Encuesta'!$Q$2:$Q$511,"*a)*")</f>
        <v>4</v>
      </c>
      <c r="Q121" s="52">
        <f>P121/$Q$6*100</f>
        <v>14.285714285714285</v>
      </c>
      <c r="R121" s="53">
        <f>COUNTIFS('00 Encuesta'!$B$2:$B$511,"*c)*",'00 Encuesta'!$C$2:$C$511,"*b)*",'00 Encuesta'!$E$2:$E$511,"*b)*",'00 Encuesta'!$Q$2:$Q$511,"*a)*")</f>
        <v>4</v>
      </c>
      <c r="S121" s="52">
        <f>R121/$Q$7*100</f>
        <v>17.391304347826086</v>
      </c>
      <c r="T121" s="3"/>
      <c r="U121" s="51">
        <f>W121+Y121</f>
        <v>5</v>
      </c>
      <c r="V121" s="52">
        <f>U121/$X$5*100</f>
        <v>10</v>
      </c>
      <c r="W121" s="53">
        <f>COUNTIFS('00 Encuesta'!$B$2:$B$511,"*c)*",'00 Encuesta'!$C$2:$C$511,"*d)*",'00 Encuesta'!$E$2:$E$511,"*a)*",'00 Encuesta'!$Q$2:$Q$511,"*a)*")</f>
        <v>1</v>
      </c>
      <c r="X121" s="52">
        <f>W121/$X$6*100</f>
        <v>3.7037037037037033</v>
      </c>
      <c r="Y121" s="53">
        <f>COUNTIFS('00 Encuesta'!$B$2:$B$511,"*c)*",'00 Encuesta'!$C$2:$C$511,"*d)*",'00 Encuesta'!$E$2:$E$511,"*b)*",'00 Encuesta'!$Q$2:$Q$511,"*a)*")</f>
        <v>4</v>
      </c>
      <c r="Z121" s="52">
        <f>Y121/$X$7*100</f>
        <v>17.391304347826086</v>
      </c>
      <c r="AA121" s="3"/>
      <c r="AB121" s="62">
        <f>G121+N121+U121</f>
        <v>34</v>
      </c>
      <c r="AC121" s="52">
        <f>AB121*100/$AC$5</f>
        <v>20.481927710843372</v>
      </c>
      <c r="AD121" s="7"/>
      <c r="AE121" s="7"/>
      <c r="AF121" s="9" t="str">
        <f t="shared" si="184"/>
        <v>a) Mucho</v>
      </c>
      <c r="AG121" s="72">
        <f>J121</f>
        <v>42.424242424242422</v>
      </c>
      <c r="AH121" s="72">
        <f>L121</f>
        <v>21.875</v>
      </c>
      <c r="AI121" s="73">
        <f>H121</f>
        <v>32.307692307692307</v>
      </c>
      <c r="AJ121" s="73"/>
      <c r="AK121" s="76">
        <f>Q121</f>
        <v>14.285714285714285</v>
      </c>
      <c r="AL121" s="76">
        <f>S121</f>
        <v>17.391304347826086</v>
      </c>
      <c r="AM121" s="76">
        <f>O121</f>
        <v>15.686274509803921</v>
      </c>
      <c r="AN121" s="76"/>
      <c r="AO121" s="81">
        <f>X121</f>
        <v>3.7037037037037033</v>
      </c>
      <c r="AP121" s="81">
        <f>Z121</f>
        <v>17.391304347826086</v>
      </c>
      <c r="AQ121" s="81">
        <f>V121</f>
        <v>10</v>
      </c>
      <c r="AR121" s="7"/>
      <c r="AS121" s="76">
        <f t="shared" si="145"/>
        <v>20.481927710843372</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x14ac:dyDescent="0.3">
      <c r="A122" s="8" t="s">
        <v>18</v>
      </c>
      <c r="B122" s="9" t="s">
        <v>103</v>
      </c>
      <c r="C122" s="7"/>
      <c r="D122" s="7"/>
      <c r="E122" s="7"/>
      <c r="F122" s="71">
        <v>66.66</v>
      </c>
      <c r="G122" s="51">
        <f>I122+K122</f>
        <v>21</v>
      </c>
      <c r="H122" s="52">
        <f>G122/$J$5*100</f>
        <v>32.307692307692307</v>
      </c>
      <c r="I122" s="53">
        <f>COUNTIFS('00 Encuesta'!$B$2:$B$511,"*c)*",'00 Encuesta'!$C$2:$C$511,"*a)*",'00 Encuesta'!$E$2:$E$511,"*a)*",'00 Encuesta'!$Q$2:$Q$511,"*b)*")</f>
        <v>9</v>
      </c>
      <c r="J122" s="52">
        <f>I122/$J$6*100</f>
        <v>27.27272727272727</v>
      </c>
      <c r="K122" s="53">
        <f>COUNTIFS('00 Encuesta'!$B$2:$B$511,"*c)*",'00 Encuesta'!$C$2:$C$511,"*a)*",'00 Encuesta'!$E$2:$E$511,"*b)*",'00 Encuesta'!$Q$2:$Q$511,"*b)*")</f>
        <v>12</v>
      </c>
      <c r="L122" s="52">
        <f>K122/$J$7*100</f>
        <v>37.5</v>
      </c>
      <c r="M122" s="23"/>
      <c r="N122" s="51">
        <f>P122+R122</f>
        <v>23</v>
      </c>
      <c r="O122" s="52">
        <f>N122/$Q$5*100</f>
        <v>45.098039215686278</v>
      </c>
      <c r="P122" s="53">
        <f>COUNTIFS('00 Encuesta'!$B$2:$B$511,"*c)*",'00 Encuesta'!$C$2:$C$511,"*b)*",'00 Encuesta'!$E$2:$E$511,"*a)*",'00 Encuesta'!$Q$2:$Q$511,"*b)*")</f>
        <v>14</v>
      </c>
      <c r="Q122" s="52">
        <f>P122/$Q$6*100</f>
        <v>50</v>
      </c>
      <c r="R122" s="53">
        <f>COUNTIFS('00 Encuesta'!$B$2:$B$511,"*c)*",'00 Encuesta'!$C$2:$C$511,"*b)*",'00 Encuesta'!$E$2:$E$511,"*b)*",'00 Encuesta'!$Q$2:$Q$511,"*b)*")</f>
        <v>9</v>
      </c>
      <c r="S122" s="52">
        <f>R122/$Q$7*100</f>
        <v>39.130434782608695</v>
      </c>
      <c r="T122" s="3"/>
      <c r="U122" s="51">
        <f>W122+Y122</f>
        <v>18</v>
      </c>
      <c r="V122" s="52">
        <f>U122/$X$5*100</f>
        <v>36</v>
      </c>
      <c r="W122" s="53">
        <f>COUNTIFS('00 Encuesta'!$B$2:$B$511,"*c)*",'00 Encuesta'!$C$2:$C$511,"*d)*",'00 Encuesta'!$E$2:$E$511,"*a)*",'00 Encuesta'!$Q$2:$Q$511,"*b)*")</f>
        <v>9</v>
      </c>
      <c r="X122" s="52">
        <f>W122/$X$6*100</f>
        <v>33.333333333333329</v>
      </c>
      <c r="Y122" s="53">
        <f>COUNTIFS('00 Encuesta'!$B$2:$B$511,"*c)*",'00 Encuesta'!$C$2:$C$511,"*d)*",'00 Encuesta'!$E$2:$E$511,"*b)*",'00 Encuesta'!$Q$2:$Q$511,"*b)*")</f>
        <v>9</v>
      </c>
      <c r="Z122" s="52">
        <f>Y122/$X$7*100</f>
        <v>39.130434782608695</v>
      </c>
      <c r="AA122" s="3"/>
      <c r="AB122" s="62">
        <f>G122+N122+U122</f>
        <v>62</v>
      </c>
      <c r="AC122" s="52">
        <f>AB122*100/$AC$5</f>
        <v>37.349397590361448</v>
      </c>
      <c r="AD122" s="7"/>
      <c r="AE122" s="7"/>
      <c r="AF122" s="9" t="str">
        <f t="shared" si="184"/>
        <v>b) Suficiente</v>
      </c>
      <c r="AG122" s="72">
        <f>J122</f>
        <v>27.27272727272727</v>
      </c>
      <c r="AH122" s="72">
        <f>L122</f>
        <v>37.5</v>
      </c>
      <c r="AI122" s="73">
        <f>H122</f>
        <v>32.307692307692307</v>
      </c>
      <c r="AJ122" s="73"/>
      <c r="AK122" s="76">
        <f>Q122</f>
        <v>50</v>
      </c>
      <c r="AL122" s="76">
        <f>S122</f>
        <v>39.130434782608695</v>
      </c>
      <c r="AM122" s="76">
        <f>O122</f>
        <v>45.098039215686278</v>
      </c>
      <c r="AN122" s="76"/>
      <c r="AO122" s="81">
        <f>X122</f>
        <v>33.333333333333329</v>
      </c>
      <c r="AP122" s="81">
        <f>Z122</f>
        <v>39.130434782608695</v>
      </c>
      <c r="AQ122" s="81">
        <f>V122</f>
        <v>36</v>
      </c>
      <c r="AR122" s="7"/>
      <c r="AS122" s="76">
        <f t="shared" si="145"/>
        <v>37.349397590361448</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x14ac:dyDescent="0.3">
      <c r="A123" s="8" t="s">
        <v>20</v>
      </c>
      <c r="B123" s="9" t="s">
        <v>104</v>
      </c>
      <c r="C123" s="7"/>
      <c r="D123" s="7"/>
      <c r="E123" s="7"/>
      <c r="F123" s="71">
        <v>33.33</v>
      </c>
      <c r="G123" s="51">
        <f>I123+K123</f>
        <v>22</v>
      </c>
      <c r="H123" s="52">
        <f>G123/$J$5*100</f>
        <v>33.846153846153847</v>
      </c>
      <c r="I123" s="53">
        <f>COUNTIFS('00 Encuesta'!$B$2:$B$511,"*c)*",'00 Encuesta'!$C$2:$C$511,"*a)*",'00 Encuesta'!$E$2:$E$511,"*a)*",'00 Encuesta'!$Q$2:$Q$511,"*c)*")</f>
        <v>10</v>
      </c>
      <c r="J123" s="52">
        <f>I123/$J$6*100</f>
        <v>30.303030303030305</v>
      </c>
      <c r="K123" s="53">
        <f>COUNTIFS('00 Encuesta'!$B$2:$B$511,"*c)*",'00 Encuesta'!$C$2:$C$511,"*a)*",'00 Encuesta'!$E$2:$E$511,"*b)*",'00 Encuesta'!$Q$2:$Q$511,"*c)*")</f>
        <v>12</v>
      </c>
      <c r="L123" s="52">
        <f>K123/$J$7*100</f>
        <v>37.5</v>
      </c>
      <c r="M123" s="23"/>
      <c r="N123" s="51">
        <f>P123+R123</f>
        <v>16</v>
      </c>
      <c r="O123" s="52">
        <f>N123/$Q$5*100</f>
        <v>31.372549019607842</v>
      </c>
      <c r="P123" s="53">
        <f>COUNTIFS('00 Encuesta'!$B$2:$B$511,"*c)*",'00 Encuesta'!$C$2:$C$511,"*b)*",'00 Encuesta'!$E$2:$E$511,"*a)*",'00 Encuesta'!$Q$2:$Q$511,"*c)*")</f>
        <v>9</v>
      </c>
      <c r="Q123" s="52">
        <f>P123/$Q$6*100</f>
        <v>32.142857142857146</v>
      </c>
      <c r="R123" s="53">
        <f>COUNTIFS('00 Encuesta'!$B$2:$B$511,"*c)*",'00 Encuesta'!$C$2:$C$511,"*b)*",'00 Encuesta'!$E$2:$E$511,"*b)*",'00 Encuesta'!$Q$2:$Q$511,"*c)*")</f>
        <v>7</v>
      </c>
      <c r="S123" s="52">
        <f>R123/$Q$7*100</f>
        <v>30.434782608695656</v>
      </c>
      <c r="T123" s="3"/>
      <c r="U123" s="51">
        <f>W123+Y123</f>
        <v>24</v>
      </c>
      <c r="V123" s="52">
        <f>U123/$X$5*100</f>
        <v>48</v>
      </c>
      <c r="W123" s="53">
        <f>COUNTIFS('00 Encuesta'!$B$2:$B$511,"*c)*",'00 Encuesta'!$C$2:$C$511,"*d)*",'00 Encuesta'!$E$2:$E$511,"*a)*",'00 Encuesta'!$Q$2:$Q$511,"*c)*")</f>
        <v>15</v>
      </c>
      <c r="X123" s="52">
        <f>W123/$X$6*100</f>
        <v>55.555555555555557</v>
      </c>
      <c r="Y123" s="53">
        <f>COUNTIFS('00 Encuesta'!$B$2:$B$511,"*c)*",'00 Encuesta'!$C$2:$C$511,"*d)*",'00 Encuesta'!$E$2:$E$511,"*b)*",'00 Encuesta'!$Q$2:$Q$511,"*c)*")</f>
        <v>9</v>
      </c>
      <c r="Z123" s="52">
        <f>Y123/$X$7*100</f>
        <v>39.130434782608695</v>
      </c>
      <c r="AA123" s="3"/>
      <c r="AB123" s="62">
        <f>G123+N123+U123</f>
        <v>62</v>
      </c>
      <c r="AC123" s="52">
        <f>AB123*100/$AC$5</f>
        <v>37.349397590361448</v>
      </c>
      <c r="AD123" s="7"/>
      <c r="AE123" s="7"/>
      <c r="AF123" s="9" t="str">
        <f t="shared" si="184"/>
        <v>c) Poco</v>
      </c>
      <c r="AG123" s="72">
        <f>J123</f>
        <v>30.303030303030305</v>
      </c>
      <c r="AH123" s="72">
        <f>L123</f>
        <v>37.5</v>
      </c>
      <c r="AI123" s="73">
        <f>H123</f>
        <v>33.846153846153847</v>
      </c>
      <c r="AJ123" s="73"/>
      <c r="AK123" s="76">
        <f>Q123</f>
        <v>32.142857142857146</v>
      </c>
      <c r="AL123" s="76">
        <f>S123</f>
        <v>30.434782608695656</v>
      </c>
      <c r="AM123" s="76">
        <f>O123</f>
        <v>31.372549019607842</v>
      </c>
      <c r="AN123" s="76"/>
      <c r="AO123" s="81">
        <f>X123</f>
        <v>55.555555555555557</v>
      </c>
      <c r="AP123" s="81">
        <f>Z123</f>
        <v>39.130434782608695</v>
      </c>
      <c r="AQ123" s="81">
        <f>V123</f>
        <v>48</v>
      </c>
      <c r="AR123" s="7"/>
      <c r="AS123" s="76">
        <f t="shared" si="145"/>
        <v>37.349397590361448</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x14ac:dyDescent="0.3">
      <c r="A124" s="8" t="s">
        <v>21</v>
      </c>
      <c r="B124" s="9" t="s">
        <v>105</v>
      </c>
      <c r="C124" s="7"/>
      <c r="D124" s="7"/>
      <c r="E124" s="7"/>
      <c r="F124" s="71">
        <v>0</v>
      </c>
      <c r="G124" s="51">
        <f>I124+K124</f>
        <v>1</v>
      </c>
      <c r="H124" s="52">
        <f>G124/$J$5*100</f>
        <v>1.5384615384615385</v>
      </c>
      <c r="I124" s="53">
        <f>COUNTIFS('00 Encuesta'!$B$2:$B$511,"*c)*",'00 Encuesta'!$C$2:$C$511,"*a)*",'00 Encuesta'!$E$2:$E$511,"*a)*",'00 Encuesta'!$Q$2:$Q$511,"*d)*")</f>
        <v>0</v>
      </c>
      <c r="J124" s="52">
        <f>I124/$J$6*100</f>
        <v>0</v>
      </c>
      <c r="K124" s="53">
        <f>COUNTIFS('00 Encuesta'!$B$2:$B$511,"*c)*",'00 Encuesta'!$C$2:$C$511,"*a)*",'00 Encuesta'!$E$2:$E$511,"*b)*",'00 Encuesta'!$Q$2:$Q$511,"*d)*")</f>
        <v>1</v>
      </c>
      <c r="L124" s="52">
        <f>K124/$J$7*100</f>
        <v>3.125</v>
      </c>
      <c r="M124" s="23"/>
      <c r="N124" s="51">
        <f>P124+R124</f>
        <v>4</v>
      </c>
      <c r="O124" s="52">
        <f>N124/$Q$5*100</f>
        <v>7.8431372549019605</v>
      </c>
      <c r="P124" s="53">
        <f>COUNTIFS('00 Encuesta'!$B$2:$B$511,"*c)*",'00 Encuesta'!$C$2:$C$511,"*b)*",'00 Encuesta'!$E$2:$E$511,"*a)*",'00 Encuesta'!$Q$2:$Q$511,"*d)*")</f>
        <v>1</v>
      </c>
      <c r="Q124" s="52">
        <f>P124/$Q$6*100</f>
        <v>3.5714285714285712</v>
      </c>
      <c r="R124" s="53">
        <f>COUNTIFS('00 Encuesta'!$B$2:$B$511,"*c)*",'00 Encuesta'!$C$2:$C$511,"*b)*",'00 Encuesta'!$E$2:$E$511,"*b)*",'00 Encuesta'!$Q$2:$Q$511,"*d)*")</f>
        <v>3</v>
      </c>
      <c r="S124" s="52">
        <f>R124/$Q$7*100</f>
        <v>13.043478260869565</v>
      </c>
      <c r="T124" s="3"/>
      <c r="U124" s="51">
        <f>W124+Y124</f>
        <v>3</v>
      </c>
      <c r="V124" s="52">
        <f>U124/$X$5*100</f>
        <v>6</v>
      </c>
      <c r="W124" s="53">
        <f>COUNTIFS('00 Encuesta'!$B$2:$B$511,"*c)*",'00 Encuesta'!$C$2:$C$511,"*d)*",'00 Encuesta'!$E$2:$E$511,"*a)*",'00 Encuesta'!$Q$2:$Q$511,"*d)*")</f>
        <v>2</v>
      </c>
      <c r="X124" s="52">
        <f>W124/$X$6*100</f>
        <v>7.4074074074074066</v>
      </c>
      <c r="Y124" s="53">
        <f>COUNTIFS('00 Encuesta'!$B$2:$B$511,"*c)*",'00 Encuesta'!$C$2:$C$511,"*d)*",'00 Encuesta'!$E$2:$E$511,"*b)*",'00 Encuesta'!$Q$2:$Q$511,"*d)*")</f>
        <v>1</v>
      </c>
      <c r="Z124" s="52">
        <f>Y124/$X$7*100</f>
        <v>4.3478260869565215</v>
      </c>
      <c r="AA124" s="3"/>
      <c r="AB124" s="62">
        <f>G124+N124+U124</f>
        <v>8</v>
      </c>
      <c r="AC124" s="52">
        <f>AB124*100/$AC$5</f>
        <v>4.8192771084337354</v>
      </c>
      <c r="AD124" s="7"/>
      <c r="AE124" s="7"/>
      <c r="AF124" s="9" t="str">
        <f t="shared" si="184"/>
        <v>d) Nada</v>
      </c>
      <c r="AG124" s="72">
        <f>J124</f>
        <v>0</v>
      </c>
      <c r="AH124" s="72">
        <f>L124</f>
        <v>3.125</v>
      </c>
      <c r="AI124" s="73">
        <f>H124</f>
        <v>1.5384615384615385</v>
      </c>
      <c r="AJ124" s="73"/>
      <c r="AK124" s="76">
        <f>Q124</f>
        <v>3.5714285714285712</v>
      </c>
      <c r="AL124" s="76">
        <f>S124</f>
        <v>13.043478260869565</v>
      </c>
      <c r="AM124" s="76">
        <f>O124</f>
        <v>7.8431372549019605</v>
      </c>
      <c r="AN124" s="76"/>
      <c r="AO124" s="81">
        <f>X124</f>
        <v>7.4074074074074066</v>
      </c>
      <c r="AP124" s="81">
        <f>Z124</f>
        <v>4.3478260869565215</v>
      </c>
      <c r="AQ124" s="81">
        <f>V124</f>
        <v>6</v>
      </c>
      <c r="AR124" s="7"/>
      <c r="AS124" s="76">
        <f t="shared" si="145"/>
        <v>4.8192771084337354</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x14ac:dyDescent="0.3">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f>N125/$Q$5*100</f>
        <v>0</v>
      </c>
      <c r="P125" s="53"/>
      <c r="Q125" s="52">
        <f>P125/$Q$6*100</f>
        <v>0</v>
      </c>
      <c r="R125" s="53"/>
      <c r="S125" s="52">
        <f>R125/$Q$7*100</f>
        <v>0</v>
      </c>
      <c r="T125" s="3"/>
      <c r="U125" s="51">
        <f>W125+Y125</f>
        <v>0</v>
      </c>
      <c r="V125" s="52">
        <f>U125/$X$5*100</f>
        <v>0</v>
      </c>
      <c r="W125" s="53"/>
      <c r="X125" s="52">
        <f>W125/$X$6*100</f>
        <v>0</v>
      </c>
      <c r="Y125" s="53"/>
      <c r="Z125" s="52">
        <f>Y125/$X$7*100</f>
        <v>0</v>
      </c>
      <c r="AA125" s="3"/>
      <c r="AB125" s="62">
        <f>G125+N125+U125</f>
        <v>0</v>
      </c>
      <c r="AC125" s="52">
        <f>AB125*100/$AC$5</f>
        <v>0</v>
      </c>
      <c r="AD125" s="7"/>
      <c r="AE125" s="7"/>
      <c r="AF125" s="9" t="str">
        <f t="shared" si="184"/>
        <v>S/R Sin Respuesta</v>
      </c>
      <c r="AG125" s="72">
        <f>J125</f>
        <v>0</v>
      </c>
      <c r="AH125" s="72">
        <f>L125</f>
        <v>0</v>
      </c>
      <c r="AI125" s="73">
        <f>H125</f>
        <v>0</v>
      </c>
      <c r="AJ125" s="73"/>
      <c r="AK125" s="76">
        <f>Q125</f>
        <v>0</v>
      </c>
      <c r="AL125" s="76">
        <f>S125</f>
        <v>0</v>
      </c>
      <c r="AM125" s="76">
        <f>O125</f>
        <v>0</v>
      </c>
      <c r="AN125" s="76"/>
      <c r="AO125" s="81">
        <f>X125</f>
        <v>0</v>
      </c>
      <c r="AP125" s="81">
        <f>Z125</f>
        <v>0</v>
      </c>
      <c r="AQ125" s="81">
        <f>V125</f>
        <v>0</v>
      </c>
      <c r="AR125" s="7"/>
      <c r="AS125" s="76">
        <f t="shared" si="145"/>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x14ac:dyDescent="0.3">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70.704242424242423</v>
      </c>
      <c r="AH126" s="82">
        <f>($F121*K121+$F122*K122+$F123*K123+$F124*K124)/(+K121+K122+K123+K124)</f>
        <v>59.371250000000003</v>
      </c>
      <c r="AI126" s="82">
        <f>($F121*G121+$F122*G122+$F123*G123+$F124*G124)/(G121+G122+G123+G124)</f>
        <v>65.124923076923082</v>
      </c>
      <c r="AJ126" s="82"/>
      <c r="AK126" s="82">
        <f>($F121*P121+$F122*P122+$F123*P123+$F124*P124)/(P121+P122+P123+P124)</f>
        <v>58.32892857142857</v>
      </c>
      <c r="AL126" s="82">
        <f>($F121*R121+$F122*R122+$F123*R123+$F124*R124)/(R121+R122+R123+R124)</f>
        <v>53.619565217391305</v>
      </c>
      <c r="AM126" s="82">
        <f>($F121*N121+$F122*N122+$F123*N123+$F124*N124)/(N121+N122+N123+N124)</f>
        <v>56.205098039215684</v>
      </c>
      <c r="AN126" s="82"/>
      <c r="AO126" s="82">
        <f>($F121*W121+$F122*W122+$F123*W123+$F124*W124)/(W121+W122+W123+W124)</f>
        <v>44.440370370370367</v>
      </c>
      <c r="AP126" s="82">
        <f>($F121*Y121+$F122*Y122+$F123*Y123+$F124*Y124)/(Y121+Y122+Y123+Y124)</f>
        <v>56.517826086956518</v>
      </c>
      <c r="AQ126" s="82">
        <f>($F121*U121+$F122*U122+$F123*U123+$F124*U124)/(U121+U122+U123+U124)</f>
        <v>49.995999999999995</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x14ac:dyDescent="0.3">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x14ac:dyDescent="0.3">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x14ac:dyDescent="0.3">
      <c r="A130" s="8" t="s">
        <v>17</v>
      </c>
      <c r="B130" s="9" t="s">
        <v>80</v>
      </c>
      <c r="C130" s="7"/>
      <c r="D130" s="7"/>
      <c r="E130" s="7"/>
      <c r="F130" s="71"/>
      <c r="G130" s="51">
        <f t="shared" ref="G130:G140" si="185">I130+K130</f>
        <v>16</v>
      </c>
      <c r="H130" s="52">
        <f t="shared" ref="H130:H140" si="186">G130/$J$5*100</f>
        <v>24.615384615384617</v>
      </c>
      <c r="I130" s="53">
        <f>COUNTIFS('00 Encuesta'!$B$2:$B$511,"*c)*",'00 Encuesta'!$C$2:$C$511,"*a)*",'00 Encuesta'!$E$2:$E$511,"*a)*",'00 Encuesta'!$R$2:$R$511,"*a)*")</f>
        <v>8</v>
      </c>
      <c r="J130" s="52">
        <f t="shared" ref="J130:J140" si="187">I130/$J$6*100</f>
        <v>24.242424242424242</v>
      </c>
      <c r="K130" s="53">
        <f>COUNTIFS('00 Encuesta'!$B$2:$B$511,"*c)*",'00 Encuesta'!$C$2:$C$511,"*a)*",'00 Encuesta'!$E$2:$E$511,"*b)*",'00 Encuesta'!$R$2:$R$511,"*a)*")</f>
        <v>8</v>
      </c>
      <c r="L130" s="52">
        <f t="shared" ref="L130:L135" si="188">K130/$J$7*100</f>
        <v>25</v>
      </c>
      <c r="M130" s="23"/>
      <c r="N130" s="51">
        <f t="shared" ref="N130:N135" si="189">P130+R130</f>
        <v>23</v>
      </c>
      <c r="O130" s="52">
        <f t="shared" ref="O130:O135" si="190">N130/$Q$5*100</f>
        <v>45.098039215686278</v>
      </c>
      <c r="P130" s="53">
        <f>COUNTIFS('00 Encuesta'!$B$2:$B$511,"*c)*",'00 Encuesta'!$C$2:$C$511,"*b)*",'00 Encuesta'!$E$2:$E$511,"*a)*",'00 Encuesta'!$R$2:$R$511,"*a)*")</f>
        <v>12</v>
      </c>
      <c r="Q130" s="52">
        <f t="shared" ref="Q130:Q140" si="191">P130/$Q$6*100</f>
        <v>42.857142857142854</v>
      </c>
      <c r="R130" s="53">
        <f>COUNTIFS('00 Encuesta'!$B$2:$B$511,"*c)*",'00 Encuesta'!$C$2:$C$511,"*b)*",'00 Encuesta'!$E$2:$E$511,"*b)*",'00 Encuesta'!$R$2:$R$511,"*a)*")</f>
        <v>11</v>
      </c>
      <c r="S130" s="52">
        <f t="shared" ref="S130:S135" si="192">R130/$Q$7*100</f>
        <v>47.826086956521742</v>
      </c>
      <c r="T130" s="3"/>
      <c r="U130" s="51">
        <f t="shared" ref="U130:U135" si="193">W130+Y130</f>
        <v>16</v>
      </c>
      <c r="V130" s="52">
        <f t="shared" ref="V130:V135" si="194">U130/$X$5*100</f>
        <v>32</v>
      </c>
      <c r="W130" s="53">
        <f>COUNTIFS('00 Encuesta'!$B$2:$B$511,"*c)*",'00 Encuesta'!$C$2:$C$511,"*d)*",'00 Encuesta'!$E$2:$E$511,"*a)*",'00 Encuesta'!$R$2:$R$511,"*a)*")</f>
        <v>11</v>
      </c>
      <c r="X130" s="52">
        <f t="shared" ref="X130:X140" si="195">W130/$X$6*100</f>
        <v>40.74074074074074</v>
      </c>
      <c r="Y130" s="53">
        <f>COUNTIFS('00 Encuesta'!$B$2:$B$511,"*c)*",'00 Encuesta'!$C$2:$C$511,"*d)*",'00 Encuesta'!$E$2:$E$511,"*b)*",'00 Encuesta'!$R$2:$R$511,"*a)*")</f>
        <v>5</v>
      </c>
      <c r="Z130" s="52">
        <f t="shared" ref="Z130:Z140" si="196">Y130/$X$7*100</f>
        <v>21.739130434782609</v>
      </c>
      <c r="AA130" s="3"/>
      <c r="AB130" s="62">
        <f t="shared" ref="AB130:AB140" si="197">G130+N130+U130</f>
        <v>55</v>
      </c>
      <c r="AC130" s="52">
        <f t="shared" ref="AC130:AC140" si="198">AB130*100/$AC$5</f>
        <v>33.132530120481931</v>
      </c>
      <c r="AD130" s="7"/>
      <c r="AE130" s="7"/>
      <c r="AF130" s="9" t="str">
        <f t="shared" ref="AF130:AF141" si="199">A130&amp;" "&amp;B130</f>
        <v>a) La familia</v>
      </c>
      <c r="AG130" s="72">
        <f t="shared" ref="AG130:AG141" si="200">J130</f>
        <v>24.242424242424242</v>
      </c>
      <c r="AH130" s="72">
        <f t="shared" ref="AH130:AH141" si="201">L130</f>
        <v>25</v>
      </c>
      <c r="AI130" s="73">
        <f t="shared" ref="AI130:AI141" si="202">H130</f>
        <v>24.615384615384617</v>
      </c>
      <c r="AJ130" s="73"/>
      <c r="AK130" s="76">
        <f t="shared" ref="AK130:AK141" si="203">Q130</f>
        <v>42.857142857142854</v>
      </c>
      <c r="AL130" s="76">
        <f t="shared" ref="AL130:AL141" si="204">S130</f>
        <v>47.826086956521742</v>
      </c>
      <c r="AM130" s="76">
        <f t="shared" ref="AM130:AM141" si="205">O130</f>
        <v>45.098039215686278</v>
      </c>
      <c r="AN130" s="76"/>
      <c r="AO130" s="81">
        <f t="shared" ref="AO130:AO141" si="206">X130</f>
        <v>40.74074074074074</v>
      </c>
      <c r="AP130" s="81">
        <f t="shared" ref="AP130:AP141" si="207">Z130</f>
        <v>21.739130434782609</v>
      </c>
      <c r="AQ130" s="81">
        <f t="shared" ref="AQ130:AQ141" si="208">V130</f>
        <v>32</v>
      </c>
      <c r="AR130" s="7"/>
      <c r="AS130" s="76">
        <f t="shared" si="145"/>
        <v>33.132530120481931</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x14ac:dyDescent="0.3">
      <c r="A131" s="8" t="s">
        <v>18</v>
      </c>
      <c r="B131" s="9" t="s">
        <v>81</v>
      </c>
      <c r="C131" s="7"/>
      <c r="D131" s="7"/>
      <c r="E131" s="7"/>
      <c r="F131" s="71"/>
      <c r="G131" s="51">
        <f t="shared" si="185"/>
        <v>6</v>
      </c>
      <c r="H131" s="52">
        <f t="shared" si="186"/>
        <v>9.2307692307692317</v>
      </c>
      <c r="I131" s="53">
        <f>COUNTIFS('00 Encuesta'!$B$2:$B$511,"*c)*",'00 Encuesta'!$C$2:$C$511,"*a)*",'00 Encuesta'!$E$2:$E$511,"*a)*",'00 Encuesta'!$R$2:$R$511,"*b)*")</f>
        <v>2</v>
      </c>
      <c r="J131" s="52">
        <f t="shared" si="187"/>
        <v>6.0606060606060606</v>
      </c>
      <c r="K131" s="53">
        <f>COUNTIFS('00 Encuesta'!$B$2:$B$511,"*c)*",'00 Encuesta'!$C$2:$C$511,"*a)*",'00 Encuesta'!$E$2:$E$511,"*b)*",'00 Encuesta'!$R$2:$R$511,"*b)*")</f>
        <v>4</v>
      </c>
      <c r="L131" s="52">
        <f t="shared" si="188"/>
        <v>12.5</v>
      </c>
      <c r="M131" s="23"/>
      <c r="N131" s="51">
        <f t="shared" si="189"/>
        <v>8</v>
      </c>
      <c r="O131" s="52">
        <f t="shared" si="190"/>
        <v>15.686274509803921</v>
      </c>
      <c r="P131" s="53">
        <f>COUNTIFS('00 Encuesta'!$B$2:$B$511,"*c)*",'00 Encuesta'!$C$2:$C$511,"*b)*",'00 Encuesta'!$E$2:$E$511,"*a)*",'00 Encuesta'!$R$2:$R$511,"*b)*")</f>
        <v>5</v>
      </c>
      <c r="Q131" s="52">
        <f t="shared" si="191"/>
        <v>17.857142857142858</v>
      </c>
      <c r="R131" s="53">
        <f>COUNTIFS('00 Encuesta'!$B$2:$B$511,"*c)*",'00 Encuesta'!$C$2:$C$511,"*b)*",'00 Encuesta'!$E$2:$E$511,"*b)*",'00 Encuesta'!$R$2:$R$511,"*b)*")</f>
        <v>3</v>
      </c>
      <c r="S131" s="52">
        <f t="shared" si="192"/>
        <v>13.043478260869565</v>
      </c>
      <c r="T131" s="3"/>
      <c r="U131" s="51">
        <f t="shared" si="193"/>
        <v>9</v>
      </c>
      <c r="V131" s="52">
        <f t="shared" si="194"/>
        <v>18</v>
      </c>
      <c r="W131" s="53">
        <f>COUNTIFS('00 Encuesta'!$B$2:$B$511,"*c)*",'00 Encuesta'!$C$2:$C$511,"*d)*",'00 Encuesta'!$E$2:$E$511,"*a)*",'00 Encuesta'!$R$2:$R$511,"*b)*")</f>
        <v>4</v>
      </c>
      <c r="X131" s="52">
        <f t="shared" si="195"/>
        <v>14.814814814814813</v>
      </c>
      <c r="Y131" s="53">
        <f>COUNTIFS('00 Encuesta'!$B$2:$B$511,"*c)*",'00 Encuesta'!$C$2:$C$511,"*d)*",'00 Encuesta'!$E$2:$E$511,"*b)*",'00 Encuesta'!$R$2:$R$511,"*b)*")</f>
        <v>5</v>
      </c>
      <c r="Z131" s="52">
        <f t="shared" si="196"/>
        <v>21.739130434782609</v>
      </c>
      <c r="AA131" s="3"/>
      <c r="AB131" s="62">
        <f t="shared" si="197"/>
        <v>23</v>
      </c>
      <c r="AC131" s="52">
        <f t="shared" si="198"/>
        <v>13.855421686746988</v>
      </c>
      <c r="AD131" s="7"/>
      <c r="AE131" s="7"/>
      <c r="AF131" s="9" t="str">
        <f t="shared" si="199"/>
        <v>b) Los amigos</v>
      </c>
      <c r="AG131" s="72">
        <f t="shared" si="200"/>
        <v>6.0606060606060606</v>
      </c>
      <c r="AH131" s="72">
        <f t="shared" si="201"/>
        <v>12.5</v>
      </c>
      <c r="AI131" s="73">
        <f t="shared" si="202"/>
        <v>9.2307692307692317</v>
      </c>
      <c r="AJ131" s="73"/>
      <c r="AK131" s="76">
        <f t="shared" si="203"/>
        <v>17.857142857142858</v>
      </c>
      <c r="AL131" s="76">
        <f t="shared" si="204"/>
        <v>13.043478260869565</v>
      </c>
      <c r="AM131" s="76">
        <f t="shared" si="205"/>
        <v>15.686274509803921</v>
      </c>
      <c r="AN131" s="76"/>
      <c r="AO131" s="81">
        <f t="shared" si="206"/>
        <v>14.814814814814813</v>
      </c>
      <c r="AP131" s="81">
        <f t="shared" si="207"/>
        <v>21.739130434782609</v>
      </c>
      <c r="AQ131" s="81">
        <f t="shared" si="208"/>
        <v>18</v>
      </c>
      <c r="AR131" s="7"/>
      <c r="AS131" s="76">
        <f t="shared" si="145"/>
        <v>13.855421686746988</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x14ac:dyDescent="0.3">
      <c r="A132" s="8" t="s">
        <v>20</v>
      </c>
      <c r="B132" s="9" t="s">
        <v>82</v>
      </c>
      <c r="C132" s="7"/>
      <c r="D132" s="7"/>
      <c r="E132" s="7"/>
      <c r="F132" s="71"/>
      <c r="G132" s="51">
        <f t="shared" si="185"/>
        <v>31</v>
      </c>
      <c r="H132" s="52">
        <f t="shared" si="186"/>
        <v>47.692307692307693</v>
      </c>
      <c r="I132" s="53">
        <f>COUNTIFS('00 Encuesta'!$B$2:$B$511,"*c)*",'00 Encuesta'!$C$2:$C$511,"*a)*",'00 Encuesta'!$E$2:$E$511,"*a)*",'00 Encuesta'!$R$2:$R$511,"*c)*")</f>
        <v>13</v>
      </c>
      <c r="J132" s="52">
        <f t="shared" si="187"/>
        <v>39.393939393939391</v>
      </c>
      <c r="K132" s="53">
        <f>COUNTIFS('00 Encuesta'!$B$2:$B$511,"*c)*",'00 Encuesta'!$C$2:$C$511,"*a)*",'00 Encuesta'!$E$2:$E$511,"*b)*",'00 Encuesta'!$R$2:$R$511,"*c)*")</f>
        <v>18</v>
      </c>
      <c r="L132" s="52">
        <f t="shared" si="188"/>
        <v>56.25</v>
      </c>
      <c r="M132" s="23"/>
      <c r="N132" s="51">
        <f t="shared" si="189"/>
        <v>25</v>
      </c>
      <c r="O132" s="52">
        <f t="shared" si="190"/>
        <v>49.019607843137251</v>
      </c>
      <c r="P132" s="53">
        <f>COUNTIFS('00 Encuesta'!$B$2:$B$511,"*c)*",'00 Encuesta'!$C$2:$C$511,"*b)*",'00 Encuesta'!$E$2:$E$511,"*a)*",'00 Encuesta'!$R$2:$R$511,"*c)*")</f>
        <v>14</v>
      </c>
      <c r="Q132" s="52">
        <f t="shared" si="191"/>
        <v>50</v>
      </c>
      <c r="R132" s="53">
        <f>COUNTIFS('00 Encuesta'!$B$2:$B$511,"*c)*",'00 Encuesta'!$C$2:$C$511,"*b)*",'00 Encuesta'!$E$2:$E$511,"*b)*",'00 Encuesta'!$R$2:$R$511,"*c)*")</f>
        <v>11</v>
      </c>
      <c r="S132" s="52">
        <f t="shared" si="192"/>
        <v>47.826086956521742</v>
      </c>
      <c r="T132" s="3"/>
      <c r="U132" s="51">
        <f t="shared" si="193"/>
        <v>24</v>
      </c>
      <c r="V132" s="52">
        <f t="shared" si="194"/>
        <v>48</v>
      </c>
      <c r="W132" s="53">
        <f>COUNTIFS('00 Encuesta'!$B$2:$B$511,"*c)*",'00 Encuesta'!$C$2:$C$511,"*d)*",'00 Encuesta'!$E$2:$E$511,"*a)*",'00 Encuesta'!$R$2:$R$511,"*c)*")</f>
        <v>14</v>
      </c>
      <c r="X132" s="52">
        <f t="shared" si="195"/>
        <v>51.851851851851848</v>
      </c>
      <c r="Y132" s="53">
        <f>COUNTIFS('00 Encuesta'!$B$2:$B$511,"*c)*",'00 Encuesta'!$C$2:$C$511,"*d)*",'00 Encuesta'!$E$2:$E$511,"*b)*",'00 Encuesta'!$R$2:$R$511,"*c)*")</f>
        <v>10</v>
      </c>
      <c r="Z132" s="52">
        <f t="shared" si="196"/>
        <v>43.478260869565219</v>
      </c>
      <c r="AA132" s="3"/>
      <c r="AB132" s="62">
        <f t="shared" si="197"/>
        <v>80</v>
      </c>
      <c r="AC132" s="52">
        <f t="shared" si="198"/>
        <v>48.192771084337352</v>
      </c>
      <c r="AD132" s="7"/>
      <c r="AE132" s="7"/>
      <c r="AF132" s="9" t="str">
        <f t="shared" si="199"/>
        <v>c) Los estudios</v>
      </c>
      <c r="AG132" s="72">
        <f t="shared" si="200"/>
        <v>39.393939393939391</v>
      </c>
      <c r="AH132" s="72">
        <f t="shared" si="201"/>
        <v>56.25</v>
      </c>
      <c r="AI132" s="73">
        <f t="shared" si="202"/>
        <v>47.692307692307693</v>
      </c>
      <c r="AJ132" s="73"/>
      <c r="AK132" s="76">
        <f t="shared" si="203"/>
        <v>50</v>
      </c>
      <c r="AL132" s="76">
        <f t="shared" si="204"/>
        <v>47.826086956521742</v>
      </c>
      <c r="AM132" s="76">
        <f t="shared" si="205"/>
        <v>49.019607843137251</v>
      </c>
      <c r="AN132" s="76"/>
      <c r="AO132" s="81">
        <f t="shared" si="206"/>
        <v>51.851851851851848</v>
      </c>
      <c r="AP132" s="81">
        <f t="shared" si="207"/>
        <v>43.478260869565219</v>
      </c>
      <c r="AQ132" s="81">
        <f t="shared" si="208"/>
        <v>48</v>
      </c>
      <c r="AR132" s="7"/>
      <c r="AS132" s="76">
        <f t="shared" si="145"/>
        <v>48.192771084337352</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x14ac:dyDescent="0.3">
      <c r="A133" s="8" t="s">
        <v>21</v>
      </c>
      <c r="B133" s="9" t="s">
        <v>83</v>
      </c>
      <c r="C133" s="7"/>
      <c r="D133" s="7"/>
      <c r="E133" s="7"/>
      <c r="F133" s="71"/>
      <c r="G133" s="51">
        <f t="shared" si="185"/>
        <v>12</v>
      </c>
      <c r="H133" s="52">
        <f t="shared" si="186"/>
        <v>18.461538461538463</v>
      </c>
      <c r="I133" s="53">
        <f>COUNTIFS('00 Encuesta'!$B$2:$B$511,"*c)*",'00 Encuesta'!$C$2:$C$511,"*a)*",'00 Encuesta'!$E$2:$E$511,"*a)*",'00 Encuesta'!$R$2:$R$511,"*d)*")</f>
        <v>5</v>
      </c>
      <c r="J133" s="52">
        <f t="shared" si="187"/>
        <v>15.151515151515152</v>
      </c>
      <c r="K133" s="53">
        <f>COUNTIFS('00 Encuesta'!$B$2:$B$511,"*c)*",'00 Encuesta'!$C$2:$C$511,"*a)*",'00 Encuesta'!$E$2:$E$511,"*b)*",'00 Encuesta'!$R$2:$R$511,"*d)*")</f>
        <v>7</v>
      </c>
      <c r="L133" s="52">
        <f t="shared" si="188"/>
        <v>21.875</v>
      </c>
      <c r="M133" s="23"/>
      <c r="N133" s="51">
        <f t="shared" si="189"/>
        <v>5</v>
      </c>
      <c r="O133" s="52">
        <f t="shared" si="190"/>
        <v>9.8039215686274517</v>
      </c>
      <c r="P133" s="53">
        <f>COUNTIFS('00 Encuesta'!$B$2:$B$511,"*c)*",'00 Encuesta'!$C$2:$C$511,"*b)*",'00 Encuesta'!$E$2:$E$511,"*a)*",'00 Encuesta'!$R$2:$R$511,"*d)*")</f>
        <v>3</v>
      </c>
      <c r="Q133" s="52">
        <f t="shared" si="191"/>
        <v>10.714285714285714</v>
      </c>
      <c r="R133" s="53">
        <f>COUNTIFS('00 Encuesta'!$B$2:$B$511,"*c)*",'00 Encuesta'!$C$2:$C$511,"*b)*",'00 Encuesta'!$E$2:$E$511,"*b)*",'00 Encuesta'!$R$2:$R$511,"*d)*")</f>
        <v>2</v>
      </c>
      <c r="S133" s="52">
        <f t="shared" si="192"/>
        <v>8.695652173913043</v>
      </c>
      <c r="T133" s="3"/>
      <c r="U133" s="51">
        <f t="shared" si="193"/>
        <v>3</v>
      </c>
      <c r="V133" s="52">
        <f t="shared" si="194"/>
        <v>6</v>
      </c>
      <c r="W133" s="53">
        <f>COUNTIFS('00 Encuesta'!$B$2:$B$511,"*c)*",'00 Encuesta'!$C$2:$C$511,"*d)*",'00 Encuesta'!$E$2:$E$511,"*a)*",'00 Encuesta'!$R$2:$R$511,"*d)*")</f>
        <v>2</v>
      </c>
      <c r="X133" s="52">
        <f t="shared" si="195"/>
        <v>7.4074074074074066</v>
      </c>
      <c r="Y133" s="53">
        <f>COUNTIFS('00 Encuesta'!$B$2:$B$511,"*c)*",'00 Encuesta'!$C$2:$C$511,"*d)*",'00 Encuesta'!$E$2:$E$511,"*b)*",'00 Encuesta'!$R$2:$R$511,"*d)*")</f>
        <v>1</v>
      </c>
      <c r="Z133" s="52">
        <f t="shared" si="196"/>
        <v>4.3478260869565215</v>
      </c>
      <c r="AA133" s="3"/>
      <c r="AB133" s="62">
        <f t="shared" si="197"/>
        <v>20</v>
      </c>
      <c r="AC133" s="52">
        <f t="shared" si="198"/>
        <v>12.048192771084338</v>
      </c>
      <c r="AD133" s="7"/>
      <c r="AE133" s="7"/>
      <c r="AF133" s="9" t="str">
        <f t="shared" si="199"/>
        <v>d) El cuidado de mi cuerpo</v>
      </c>
      <c r="AG133" s="72">
        <f t="shared" si="200"/>
        <v>15.151515151515152</v>
      </c>
      <c r="AH133" s="72">
        <f t="shared" si="201"/>
        <v>21.875</v>
      </c>
      <c r="AI133" s="73">
        <f t="shared" si="202"/>
        <v>18.461538461538463</v>
      </c>
      <c r="AJ133" s="73"/>
      <c r="AK133" s="76">
        <f t="shared" si="203"/>
        <v>10.714285714285714</v>
      </c>
      <c r="AL133" s="76">
        <f t="shared" si="204"/>
        <v>8.695652173913043</v>
      </c>
      <c r="AM133" s="76">
        <f t="shared" si="205"/>
        <v>9.8039215686274517</v>
      </c>
      <c r="AN133" s="76"/>
      <c r="AO133" s="81">
        <f t="shared" si="206"/>
        <v>7.4074074074074066</v>
      </c>
      <c r="AP133" s="81">
        <f t="shared" si="207"/>
        <v>4.3478260869565215</v>
      </c>
      <c r="AQ133" s="81">
        <f t="shared" si="208"/>
        <v>6</v>
      </c>
      <c r="AR133" s="7"/>
      <c r="AS133" s="76">
        <f t="shared" si="145"/>
        <v>12.048192771084338</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x14ac:dyDescent="0.3">
      <c r="A134" s="8" t="s">
        <v>22</v>
      </c>
      <c r="B134" s="9" t="s">
        <v>84</v>
      </c>
      <c r="C134" s="7"/>
      <c r="D134" s="7"/>
      <c r="E134" s="7"/>
      <c r="F134" s="71"/>
      <c r="G134" s="51">
        <f t="shared" si="185"/>
        <v>5</v>
      </c>
      <c r="H134" s="52">
        <f t="shared" si="186"/>
        <v>7.6923076923076925</v>
      </c>
      <c r="I134" s="53">
        <f>COUNTIFS('00 Encuesta'!$B$2:$B$511,"*c)*",'00 Encuesta'!$C$2:$C$511,"*a)*",'00 Encuesta'!$E$2:$E$511,"*a)*",'00 Encuesta'!$R$2:$R$511,"*e)*")</f>
        <v>3</v>
      </c>
      <c r="J134" s="52">
        <f t="shared" si="187"/>
        <v>9.0909090909090917</v>
      </c>
      <c r="K134" s="53">
        <f>COUNTIFS('00 Encuesta'!$B$2:$B$511,"*c)*",'00 Encuesta'!$C$2:$C$511,"*a)*",'00 Encuesta'!$E$2:$E$511,"*b)*",'00 Encuesta'!$R$2:$R$511,"*e)*")</f>
        <v>2</v>
      </c>
      <c r="L134" s="52">
        <f t="shared" si="188"/>
        <v>6.25</v>
      </c>
      <c r="M134" s="23"/>
      <c r="N134" s="51">
        <f t="shared" si="189"/>
        <v>4</v>
      </c>
      <c r="O134" s="52">
        <f t="shared" si="190"/>
        <v>7.8431372549019605</v>
      </c>
      <c r="P134" s="53">
        <f>COUNTIFS('00 Encuesta'!$B$2:$B$511,"*c)*",'00 Encuesta'!$C$2:$C$511,"*b)*",'00 Encuesta'!$E$2:$E$511,"*a)*",'00 Encuesta'!$R$2:$R$511,"*e)*")</f>
        <v>3</v>
      </c>
      <c r="Q134" s="52">
        <f t="shared" si="191"/>
        <v>10.714285714285714</v>
      </c>
      <c r="R134" s="53">
        <f>COUNTIFS('00 Encuesta'!$B$2:$B$511,"*c)*",'00 Encuesta'!$C$2:$C$511,"*b)*",'00 Encuesta'!$E$2:$E$511,"*b)*",'00 Encuesta'!$R$2:$R$511,"*e)*")</f>
        <v>1</v>
      </c>
      <c r="S134" s="52">
        <f t="shared" si="192"/>
        <v>4.3478260869565215</v>
      </c>
      <c r="T134" s="3"/>
      <c r="U134" s="51">
        <f t="shared" si="193"/>
        <v>6</v>
      </c>
      <c r="V134" s="52">
        <f t="shared" si="194"/>
        <v>12</v>
      </c>
      <c r="W134" s="53">
        <f>COUNTIFS('00 Encuesta'!$B$2:$B$511,"*c)*",'00 Encuesta'!$C$2:$C$511,"*d)*",'00 Encuesta'!$E$2:$E$511,"*a)*",'00 Encuesta'!$R$2:$R$511,"*e)*")</f>
        <v>2</v>
      </c>
      <c r="X134" s="52">
        <f t="shared" si="195"/>
        <v>7.4074074074074066</v>
      </c>
      <c r="Y134" s="53">
        <f>COUNTIFS('00 Encuesta'!$B$2:$B$511,"*c)*",'00 Encuesta'!$C$2:$C$511,"*d)*",'00 Encuesta'!$E$2:$E$511,"*b)*",'00 Encuesta'!$R$2:$R$511,"*e)*")</f>
        <v>4</v>
      </c>
      <c r="Z134" s="52">
        <f t="shared" si="196"/>
        <v>17.391304347826086</v>
      </c>
      <c r="AA134" s="3"/>
      <c r="AB134" s="62">
        <f t="shared" si="197"/>
        <v>15</v>
      </c>
      <c r="AC134" s="52">
        <f t="shared" si="198"/>
        <v>9.0361445783132535</v>
      </c>
      <c r="AD134" s="7"/>
      <c r="AE134" s="7"/>
      <c r="AF134" s="9" t="str">
        <f t="shared" si="199"/>
        <v>e) Disponer de dinero</v>
      </c>
      <c r="AG134" s="72">
        <f t="shared" si="200"/>
        <v>9.0909090909090917</v>
      </c>
      <c r="AH134" s="72">
        <f t="shared" si="201"/>
        <v>6.25</v>
      </c>
      <c r="AI134" s="73">
        <f t="shared" si="202"/>
        <v>7.6923076923076925</v>
      </c>
      <c r="AJ134" s="73"/>
      <c r="AK134" s="76">
        <f t="shared" si="203"/>
        <v>10.714285714285714</v>
      </c>
      <c r="AL134" s="76">
        <f t="shared" si="204"/>
        <v>4.3478260869565215</v>
      </c>
      <c r="AM134" s="76">
        <f t="shared" si="205"/>
        <v>7.8431372549019605</v>
      </c>
      <c r="AN134" s="76"/>
      <c r="AO134" s="81">
        <f t="shared" si="206"/>
        <v>7.4074074074074066</v>
      </c>
      <c r="AP134" s="81">
        <f t="shared" si="207"/>
        <v>17.391304347826086</v>
      </c>
      <c r="AQ134" s="81">
        <f t="shared" si="208"/>
        <v>12</v>
      </c>
      <c r="AR134" s="7"/>
      <c r="AS134" s="76">
        <f t="shared" si="145"/>
        <v>9.0361445783132535</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x14ac:dyDescent="0.3">
      <c r="A135" s="8" t="s">
        <v>45</v>
      </c>
      <c r="B135" s="9" t="s">
        <v>110</v>
      </c>
      <c r="C135" s="7"/>
      <c r="D135" s="7"/>
      <c r="E135" s="7"/>
      <c r="F135" s="71"/>
      <c r="G135" s="51">
        <f t="shared" si="185"/>
        <v>7</v>
      </c>
      <c r="H135" s="52">
        <f t="shared" si="186"/>
        <v>10.76923076923077</v>
      </c>
      <c r="I135" s="53">
        <f>COUNTIFS('00 Encuesta'!$B$2:$B$511,"*c)*",'00 Encuesta'!$C$2:$C$511,"*a)*",'00 Encuesta'!$E$2:$E$511,"*a)*",'00 Encuesta'!$R$2:$R$511,"*f)*")</f>
        <v>1</v>
      </c>
      <c r="J135" s="52">
        <f t="shared" si="187"/>
        <v>3.0303030303030303</v>
      </c>
      <c r="K135" s="53">
        <f>COUNTIFS('00 Encuesta'!$B$2:$B$511,"*c)*",'00 Encuesta'!$C$2:$C$511,"*a)*",'00 Encuesta'!$E$2:$E$511,"*b)*",'00 Encuesta'!$R$2:$R$511,"*f)*")</f>
        <v>6</v>
      </c>
      <c r="L135" s="52">
        <f t="shared" si="188"/>
        <v>18.75</v>
      </c>
      <c r="M135" s="23"/>
      <c r="N135" s="51">
        <f t="shared" si="189"/>
        <v>2</v>
      </c>
      <c r="O135" s="52">
        <f t="shared" si="190"/>
        <v>3.9215686274509802</v>
      </c>
      <c r="P135" s="53">
        <f>COUNTIFS('00 Encuesta'!$B$2:$B$511,"*c)*",'00 Encuesta'!$C$2:$C$511,"*b)*",'00 Encuesta'!$E$2:$E$511,"*a)*",'00 Encuesta'!$R$2:$R$511,"*f)*")</f>
        <v>1</v>
      </c>
      <c r="Q135" s="52">
        <f t="shared" si="191"/>
        <v>3.5714285714285712</v>
      </c>
      <c r="R135" s="53">
        <f>COUNTIFS('00 Encuesta'!$B$2:$B$511,"*c)*",'00 Encuesta'!$C$2:$C$511,"*b)*",'00 Encuesta'!$E$2:$E$511,"*b)*",'00 Encuesta'!$R$2:$R$511,"*f)*")</f>
        <v>1</v>
      </c>
      <c r="S135" s="52">
        <f t="shared" si="192"/>
        <v>4.3478260869565215</v>
      </c>
      <c r="T135" s="3"/>
      <c r="U135" s="51">
        <f t="shared" si="193"/>
        <v>5</v>
      </c>
      <c r="V135" s="52">
        <f t="shared" si="194"/>
        <v>10</v>
      </c>
      <c r="W135" s="53">
        <f>COUNTIFS('00 Encuesta'!$B$2:$B$511,"*c)*",'00 Encuesta'!$C$2:$C$511,"*d)*",'00 Encuesta'!$E$2:$E$511,"*a)*",'00 Encuesta'!$R$2:$R$511,"*f)*")</f>
        <v>2</v>
      </c>
      <c r="X135" s="52">
        <f t="shared" si="195"/>
        <v>7.4074074074074066</v>
      </c>
      <c r="Y135" s="53">
        <f>COUNTIFS('00 Encuesta'!$B$2:$B$511,"*c)*",'00 Encuesta'!$C$2:$C$511,"*d)*",'00 Encuesta'!$E$2:$E$511,"*b)*",'00 Encuesta'!$R$2:$R$511,"*f)*")</f>
        <v>3</v>
      </c>
      <c r="Z135" s="52">
        <f t="shared" si="196"/>
        <v>13.043478260869565</v>
      </c>
      <c r="AA135" s="3"/>
      <c r="AB135" s="62">
        <f t="shared" si="197"/>
        <v>14</v>
      </c>
      <c r="AC135" s="52">
        <f t="shared" si="198"/>
        <v>8.4337349397590362</v>
      </c>
      <c r="AD135" s="7"/>
      <c r="AE135" s="7"/>
      <c r="AF135" s="9" t="str">
        <f t="shared" si="199"/>
        <v>f) Mi fe y mi vida cristiana</v>
      </c>
      <c r="AG135" s="72">
        <f t="shared" si="200"/>
        <v>3.0303030303030303</v>
      </c>
      <c r="AH135" s="72">
        <f t="shared" si="201"/>
        <v>18.75</v>
      </c>
      <c r="AI135" s="73">
        <f t="shared" si="202"/>
        <v>10.76923076923077</v>
      </c>
      <c r="AJ135" s="73"/>
      <c r="AK135" s="76">
        <f t="shared" si="203"/>
        <v>3.5714285714285712</v>
      </c>
      <c r="AL135" s="76">
        <f t="shared" si="204"/>
        <v>4.3478260869565215</v>
      </c>
      <c r="AM135" s="76">
        <f t="shared" si="205"/>
        <v>3.9215686274509802</v>
      </c>
      <c r="AN135" s="76"/>
      <c r="AO135" s="81">
        <f t="shared" si="206"/>
        <v>7.4074074074074066</v>
      </c>
      <c r="AP135" s="81">
        <f t="shared" si="207"/>
        <v>13.043478260869565</v>
      </c>
      <c r="AQ135" s="81">
        <f t="shared" si="208"/>
        <v>10</v>
      </c>
      <c r="AR135" s="7"/>
      <c r="AS135" s="76">
        <f t="shared" si="145"/>
        <v>8.4337349397590362</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x14ac:dyDescent="0.3">
      <c r="A136" s="8" t="s">
        <v>61</v>
      </c>
      <c r="B136" s="9" t="s">
        <v>86</v>
      </c>
      <c r="C136" s="7"/>
      <c r="D136" s="7"/>
      <c r="E136" s="7"/>
      <c r="F136" s="71"/>
      <c r="G136" s="51">
        <f t="shared" si="185"/>
        <v>17</v>
      </c>
      <c r="H136" s="52">
        <f t="shared" si="186"/>
        <v>26.153846153846157</v>
      </c>
      <c r="I136" s="53">
        <f>COUNTIFS('00 Encuesta'!$B$2:$B$511,"*c)*",'00 Encuesta'!$C$2:$C$511,"*a)*",'00 Encuesta'!$E$2:$E$511,"*a)*",'00 Encuesta'!$R$2:$R$511,"*g)*")</f>
        <v>6</v>
      </c>
      <c r="J136" s="52">
        <f t="shared" si="187"/>
        <v>18.181818181818183</v>
      </c>
      <c r="K136" s="53">
        <f>COUNTIFS('00 Encuesta'!$B$2:$B$511,"*c)*",'00 Encuesta'!$C$2:$C$511,"*a)*",'00 Encuesta'!$E$2:$E$511,"*b)*",'00 Encuesta'!$R$2:$R$511,"*g)*")</f>
        <v>11</v>
      </c>
      <c r="L136" s="52">
        <f t="shared" ref="L136:L140" si="209">K136/$J$7*100</f>
        <v>34.375</v>
      </c>
      <c r="M136" s="23"/>
      <c r="N136" s="51">
        <f t="shared" ref="N136:N140" si="210">P136+R136</f>
        <v>12</v>
      </c>
      <c r="O136" s="52">
        <f t="shared" ref="O136:O140" si="211">N136/$Q$5*100</f>
        <v>23.52941176470588</v>
      </c>
      <c r="P136" s="53">
        <f>COUNTIFS('00 Encuesta'!$B$2:$B$511,"*c)*",'00 Encuesta'!$C$2:$C$511,"*b)*",'00 Encuesta'!$E$2:$E$511,"*a)*",'00 Encuesta'!$R$2:$R$511,"*g)*")</f>
        <v>6</v>
      </c>
      <c r="Q136" s="52">
        <f t="shared" si="191"/>
        <v>21.428571428571427</v>
      </c>
      <c r="R136" s="53">
        <f>COUNTIFS('00 Encuesta'!$B$2:$B$511,"*c)*",'00 Encuesta'!$C$2:$C$511,"*b)*",'00 Encuesta'!$E$2:$E$511,"*b)*",'00 Encuesta'!$R$2:$R$511,"*g)*")</f>
        <v>6</v>
      </c>
      <c r="S136" s="52">
        <f t="shared" ref="S136:S140" si="212">R136/$Q$7*100</f>
        <v>26.086956521739129</v>
      </c>
      <c r="T136" s="3"/>
      <c r="U136" s="51">
        <f t="shared" ref="U136:U140" si="213">W136+Y136</f>
        <v>9</v>
      </c>
      <c r="V136" s="52">
        <f t="shared" ref="V136:V140" si="214">U136/$X$5*100</f>
        <v>18</v>
      </c>
      <c r="W136" s="53">
        <f>COUNTIFS('00 Encuesta'!$B$2:$B$511,"*c)*",'00 Encuesta'!$C$2:$C$511,"*d)*",'00 Encuesta'!$E$2:$E$511,"*a)*",'00 Encuesta'!$R$2:$R$511,"*g)*")</f>
        <v>5</v>
      </c>
      <c r="X136" s="52">
        <f t="shared" si="195"/>
        <v>18.518518518518519</v>
      </c>
      <c r="Y136" s="53">
        <f>COUNTIFS('00 Encuesta'!$B$2:$B$511,"*c)*",'00 Encuesta'!$C$2:$C$511,"*d)*",'00 Encuesta'!$E$2:$E$511,"*b)*",'00 Encuesta'!$R$2:$R$511,"*g)*")</f>
        <v>4</v>
      </c>
      <c r="Z136" s="52">
        <f t="shared" si="196"/>
        <v>17.391304347826086</v>
      </c>
      <c r="AA136" s="3"/>
      <c r="AB136" s="62">
        <f t="shared" si="197"/>
        <v>38</v>
      </c>
      <c r="AC136" s="52">
        <f t="shared" si="198"/>
        <v>22.891566265060241</v>
      </c>
      <c r="AD136" s="7"/>
      <c r="AE136" s="7"/>
      <c r="AF136" s="9" t="str">
        <f t="shared" si="199"/>
        <v>g) La felicidad</v>
      </c>
      <c r="AG136" s="72">
        <f t="shared" si="200"/>
        <v>18.181818181818183</v>
      </c>
      <c r="AH136" s="72">
        <f t="shared" si="201"/>
        <v>34.375</v>
      </c>
      <c r="AI136" s="73">
        <f t="shared" si="202"/>
        <v>26.153846153846157</v>
      </c>
      <c r="AJ136" s="73"/>
      <c r="AK136" s="76">
        <f t="shared" si="203"/>
        <v>21.428571428571427</v>
      </c>
      <c r="AL136" s="76">
        <f t="shared" si="204"/>
        <v>26.086956521739129</v>
      </c>
      <c r="AM136" s="76">
        <f t="shared" si="205"/>
        <v>23.52941176470588</v>
      </c>
      <c r="AN136" s="76"/>
      <c r="AO136" s="81">
        <f t="shared" si="206"/>
        <v>18.518518518518519</v>
      </c>
      <c r="AP136" s="81">
        <f t="shared" si="207"/>
        <v>17.391304347826086</v>
      </c>
      <c r="AQ136" s="81">
        <f t="shared" si="208"/>
        <v>18</v>
      </c>
      <c r="AR136" s="7"/>
      <c r="AS136" s="76">
        <f t="shared" si="145"/>
        <v>22.891566265060241</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x14ac:dyDescent="0.3">
      <c r="A137" s="8" t="s">
        <v>63</v>
      </c>
      <c r="B137" s="9" t="s">
        <v>87</v>
      </c>
      <c r="C137" s="7"/>
      <c r="D137" s="7"/>
      <c r="E137" s="7"/>
      <c r="F137" s="71"/>
      <c r="G137" s="51">
        <f t="shared" si="185"/>
        <v>2</v>
      </c>
      <c r="H137" s="52">
        <f t="shared" si="186"/>
        <v>3.0769230769230771</v>
      </c>
      <c r="I137" s="53">
        <f>COUNTIFS('00 Encuesta'!$B$2:$B$511,"*c)*",'00 Encuesta'!$C$2:$C$511,"*a)*",'00 Encuesta'!$E$2:$E$511,"*a)*",'00 Encuesta'!$R$2:$R$511,"*h)*")</f>
        <v>2</v>
      </c>
      <c r="J137" s="52">
        <f t="shared" si="187"/>
        <v>6.0606060606060606</v>
      </c>
      <c r="K137" s="53">
        <f>COUNTIFS('00 Encuesta'!$B$2:$B$511,"*c)*",'00 Encuesta'!$C$2:$C$511,"*a)*",'00 Encuesta'!$E$2:$E$511,"*b)*",'00 Encuesta'!$R$2:$R$511,"*h)*")</f>
        <v>0</v>
      </c>
      <c r="L137" s="52">
        <f t="shared" si="209"/>
        <v>0</v>
      </c>
      <c r="M137" s="23"/>
      <c r="N137" s="51">
        <f t="shared" si="210"/>
        <v>0</v>
      </c>
      <c r="O137" s="52">
        <f t="shared" si="211"/>
        <v>0</v>
      </c>
      <c r="P137" s="53">
        <f>COUNTIFS('00 Encuesta'!$B$2:$B$511,"*c)*",'00 Encuesta'!$C$2:$C$511,"*b)*",'00 Encuesta'!$E$2:$E$511,"*a)*",'00 Encuesta'!$R$2:$R$511,"*h)*")</f>
        <v>0</v>
      </c>
      <c r="Q137" s="52">
        <f t="shared" si="191"/>
        <v>0</v>
      </c>
      <c r="R137" s="53">
        <f>COUNTIFS('00 Encuesta'!$B$2:$B$511,"*c)*",'00 Encuesta'!$C$2:$C$511,"*b)*",'00 Encuesta'!$E$2:$E$511,"*b)*",'00 Encuesta'!$R$2:$R$511,"*h)*")</f>
        <v>0</v>
      </c>
      <c r="S137" s="52">
        <f t="shared" si="212"/>
        <v>0</v>
      </c>
      <c r="T137" s="3"/>
      <c r="U137" s="51">
        <f t="shared" si="213"/>
        <v>2</v>
      </c>
      <c r="V137" s="52">
        <f t="shared" si="214"/>
        <v>4</v>
      </c>
      <c r="W137" s="53">
        <f>COUNTIFS('00 Encuesta'!$B$2:$B$511,"*c)*",'00 Encuesta'!$C$2:$C$511,"*d)*",'00 Encuesta'!$E$2:$E$511,"*a)*",'00 Encuesta'!$R$2:$R$511,"*h)*")</f>
        <v>0</v>
      </c>
      <c r="X137" s="52">
        <f t="shared" si="195"/>
        <v>0</v>
      </c>
      <c r="Y137" s="53">
        <f>COUNTIFS('00 Encuesta'!$B$2:$B$511,"*c)*",'00 Encuesta'!$C$2:$C$511,"*d)*",'00 Encuesta'!$E$2:$E$511,"*b)*",'00 Encuesta'!$R$2:$R$511,"*h)*")</f>
        <v>2</v>
      </c>
      <c r="Z137" s="52">
        <f t="shared" si="196"/>
        <v>8.695652173913043</v>
      </c>
      <c r="AA137" s="3"/>
      <c r="AB137" s="62">
        <f t="shared" si="197"/>
        <v>4</v>
      </c>
      <c r="AC137" s="52">
        <f t="shared" si="198"/>
        <v>2.4096385542168677</v>
      </c>
      <c r="AD137" s="7"/>
      <c r="AE137" s="7"/>
      <c r="AF137" s="9" t="str">
        <f t="shared" si="199"/>
        <v>h) La sexualidad</v>
      </c>
      <c r="AG137" s="72">
        <f t="shared" si="200"/>
        <v>6.0606060606060606</v>
      </c>
      <c r="AH137" s="72">
        <f t="shared" si="201"/>
        <v>0</v>
      </c>
      <c r="AI137" s="73">
        <f t="shared" si="202"/>
        <v>3.0769230769230771</v>
      </c>
      <c r="AJ137" s="73"/>
      <c r="AK137" s="76">
        <f t="shared" si="203"/>
        <v>0</v>
      </c>
      <c r="AL137" s="76">
        <f t="shared" si="204"/>
        <v>0</v>
      </c>
      <c r="AM137" s="76">
        <f t="shared" si="205"/>
        <v>0</v>
      </c>
      <c r="AN137" s="76"/>
      <c r="AO137" s="81">
        <f t="shared" si="206"/>
        <v>0</v>
      </c>
      <c r="AP137" s="81">
        <f t="shared" si="207"/>
        <v>8.695652173913043</v>
      </c>
      <c r="AQ137" s="81">
        <f t="shared" si="208"/>
        <v>4</v>
      </c>
      <c r="AR137" s="7"/>
      <c r="AS137" s="76">
        <f t="shared" si="145"/>
        <v>2.4096385542168677</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85"/>
        <v>0</v>
      </c>
      <c r="H138" s="52">
        <f t="shared" si="186"/>
        <v>0</v>
      </c>
      <c r="I138" s="53">
        <f>COUNTIFS('00 Encuesta'!$B$2:$B$511,"*c)*",'00 Encuesta'!$C$2:$C$511,"*a)*",'00 Encuesta'!$E$2:$E$511,"*a)*",'00 Encuesta'!$R$2:$R$511,"*i)*")</f>
        <v>0</v>
      </c>
      <c r="J138" s="52">
        <f t="shared" si="187"/>
        <v>0</v>
      </c>
      <c r="K138" s="53">
        <f>COUNTIFS('00 Encuesta'!$B$2:$B$511,"*c)*",'00 Encuesta'!$C$2:$C$511,"*a)*",'00 Encuesta'!$E$2:$E$511,"*b)*",'00 Encuesta'!$R$2:$R$511,"*i)*")</f>
        <v>0</v>
      </c>
      <c r="L138" s="52">
        <f t="shared" si="209"/>
        <v>0</v>
      </c>
      <c r="M138" s="23"/>
      <c r="N138" s="51">
        <f t="shared" si="210"/>
        <v>4</v>
      </c>
      <c r="O138" s="52">
        <f t="shared" si="211"/>
        <v>7.8431372549019605</v>
      </c>
      <c r="P138" s="53">
        <f>COUNTIFS('00 Encuesta'!$B$2:$B$511,"*c)*",'00 Encuesta'!$C$2:$C$511,"*b)*",'00 Encuesta'!$E$2:$E$511,"*a)*",'00 Encuesta'!$R$2:$R$511,"*i)*")</f>
        <v>0</v>
      </c>
      <c r="Q138" s="52">
        <f t="shared" si="191"/>
        <v>0</v>
      </c>
      <c r="R138" s="53">
        <f>COUNTIFS('00 Encuesta'!$B$2:$B$511,"*c)*",'00 Encuesta'!$C$2:$C$511,"*b)*",'00 Encuesta'!$E$2:$E$511,"*b)*",'00 Encuesta'!$R$2:$R$511,"*i)*")</f>
        <v>4</v>
      </c>
      <c r="S138" s="52">
        <f t="shared" si="212"/>
        <v>17.391304347826086</v>
      </c>
      <c r="T138" s="3"/>
      <c r="U138" s="51">
        <f t="shared" si="213"/>
        <v>2</v>
      </c>
      <c r="V138" s="52">
        <f t="shared" si="214"/>
        <v>4</v>
      </c>
      <c r="W138" s="53">
        <f>COUNTIFS('00 Encuesta'!$B$2:$B$511,"*c)*",'00 Encuesta'!$C$2:$C$511,"*d)*",'00 Encuesta'!$E$2:$E$511,"*a)*",'00 Encuesta'!$R$2:$R$511,"*i)*")</f>
        <v>2</v>
      </c>
      <c r="X138" s="52">
        <f t="shared" si="195"/>
        <v>7.4074074074074066</v>
      </c>
      <c r="Y138" s="53">
        <f>COUNTIFS('00 Encuesta'!$B$2:$B$511,"*c)*",'00 Encuesta'!$C$2:$C$511,"*d)*",'00 Encuesta'!$E$2:$E$511,"*b)*",'00 Encuesta'!$R$2:$R$511,"*i)*")</f>
        <v>0</v>
      </c>
      <c r="Z138" s="52">
        <f t="shared" si="196"/>
        <v>0</v>
      </c>
      <c r="AA138" s="3"/>
      <c r="AB138" s="62">
        <f t="shared" si="197"/>
        <v>6</v>
      </c>
      <c r="AC138" s="52">
        <f t="shared" si="198"/>
        <v>3.6144578313253013</v>
      </c>
      <c r="AD138" s="7"/>
      <c r="AE138" s="7"/>
      <c r="AF138" s="9" t="str">
        <f t="shared" si="199"/>
        <v>i) La música</v>
      </c>
      <c r="AG138" s="72">
        <f t="shared" si="200"/>
        <v>0</v>
      </c>
      <c r="AH138" s="72">
        <f t="shared" si="201"/>
        <v>0</v>
      </c>
      <c r="AI138" s="73">
        <f t="shared" si="202"/>
        <v>0</v>
      </c>
      <c r="AJ138" s="73"/>
      <c r="AK138" s="76">
        <f t="shared" si="203"/>
        <v>0</v>
      </c>
      <c r="AL138" s="76">
        <f t="shared" si="204"/>
        <v>17.391304347826086</v>
      </c>
      <c r="AM138" s="76">
        <f t="shared" si="205"/>
        <v>7.8431372549019605</v>
      </c>
      <c r="AN138" s="76"/>
      <c r="AO138" s="81">
        <f t="shared" si="206"/>
        <v>7.4074074074074066</v>
      </c>
      <c r="AP138" s="81">
        <f t="shared" si="207"/>
        <v>0</v>
      </c>
      <c r="AQ138" s="81">
        <f t="shared" si="208"/>
        <v>4</v>
      </c>
      <c r="AR138" s="7"/>
      <c r="AS138" s="76">
        <f t="shared" si="145"/>
        <v>3.6144578313253013</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x14ac:dyDescent="0.3">
      <c r="A139" s="1" t="s">
        <v>67</v>
      </c>
      <c r="B139" s="2" t="s">
        <v>89</v>
      </c>
      <c r="C139" s="3"/>
      <c r="D139" s="7"/>
      <c r="E139" s="7"/>
      <c r="F139" s="71"/>
      <c r="G139" s="51">
        <f t="shared" si="185"/>
        <v>0</v>
      </c>
      <c r="H139" s="52">
        <f t="shared" si="186"/>
        <v>0</v>
      </c>
      <c r="I139" s="53">
        <f>COUNTIFS('00 Encuesta'!$B$2:$B$511,"*c)*",'00 Encuesta'!$C$2:$C$511,"*a)*",'00 Encuesta'!$E$2:$E$511,"*a)*",'00 Encuesta'!$R$2:$R$511,"*j)*")</f>
        <v>0</v>
      </c>
      <c r="J139" s="52">
        <f t="shared" si="187"/>
        <v>0</v>
      </c>
      <c r="K139" s="53">
        <f>COUNTIFS('00 Encuesta'!$B$2:$B$511,"*c)*",'00 Encuesta'!$C$2:$C$511,"*a)*",'00 Encuesta'!$E$2:$E$511,"*b)*",'00 Encuesta'!$R$2:$R$511,"*j)*")</f>
        <v>0</v>
      </c>
      <c r="L139" s="52">
        <f t="shared" si="209"/>
        <v>0</v>
      </c>
      <c r="M139" s="23"/>
      <c r="N139" s="51">
        <f t="shared" si="210"/>
        <v>3</v>
      </c>
      <c r="O139" s="52">
        <f t="shared" si="211"/>
        <v>5.8823529411764701</v>
      </c>
      <c r="P139" s="53">
        <f>COUNTIFS('00 Encuesta'!$B$2:$B$511,"*c)*",'00 Encuesta'!$C$2:$C$511,"*b)*",'00 Encuesta'!$E$2:$E$511,"*a)*",'00 Encuesta'!$R$2:$R$511,"*j)*")</f>
        <v>3</v>
      </c>
      <c r="Q139" s="52">
        <f t="shared" si="191"/>
        <v>10.714285714285714</v>
      </c>
      <c r="R139" s="53">
        <f>COUNTIFS('00 Encuesta'!$B$2:$B$511,"*c)*",'00 Encuesta'!$C$2:$C$511,"*b)*",'00 Encuesta'!$E$2:$E$511,"*b)*",'00 Encuesta'!$R$2:$R$511,"*j)*")</f>
        <v>0</v>
      </c>
      <c r="S139" s="52">
        <f t="shared" si="212"/>
        <v>0</v>
      </c>
      <c r="T139" s="3"/>
      <c r="U139" s="51">
        <f t="shared" si="213"/>
        <v>2</v>
      </c>
      <c r="V139" s="52">
        <f t="shared" si="214"/>
        <v>4</v>
      </c>
      <c r="W139" s="53">
        <f>COUNTIFS('00 Encuesta'!$B$2:$B$511,"*c)*",'00 Encuesta'!$C$2:$C$511,"*d)*",'00 Encuesta'!$E$2:$E$511,"*a)*",'00 Encuesta'!$R$2:$R$511,"*j)*")</f>
        <v>2</v>
      </c>
      <c r="X139" s="52">
        <f t="shared" si="195"/>
        <v>7.4074074074074066</v>
      </c>
      <c r="Y139" s="53">
        <f>COUNTIFS('00 Encuesta'!$B$2:$B$511,"*c)*",'00 Encuesta'!$C$2:$C$511,"*d)*",'00 Encuesta'!$E$2:$E$511,"*b)*",'00 Encuesta'!$R$2:$R$511,"*j)*")</f>
        <v>0</v>
      </c>
      <c r="Z139" s="52">
        <f t="shared" si="196"/>
        <v>0</v>
      </c>
      <c r="AA139" s="3"/>
      <c r="AB139" s="62">
        <f t="shared" si="197"/>
        <v>5</v>
      </c>
      <c r="AC139" s="52">
        <f t="shared" si="198"/>
        <v>3.0120481927710845</v>
      </c>
      <c r="AD139" s="7"/>
      <c r="AE139" s="7"/>
      <c r="AF139" s="9" t="str">
        <f t="shared" si="199"/>
        <v>j) El deporte</v>
      </c>
      <c r="AG139" s="72">
        <f t="shared" si="200"/>
        <v>0</v>
      </c>
      <c r="AH139" s="72">
        <f t="shared" si="201"/>
        <v>0</v>
      </c>
      <c r="AI139" s="73">
        <f t="shared" si="202"/>
        <v>0</v>
      </c>
      <c r="AJ139" s="73"/>
      <c r="AK139" s="76">
        <f t="shared" si="203"/>
        <v>10.714285714285714</v>
      </c>
      <c r="AL139" s="76">
        <f t="shared" si="204"/>
        <v>0</v>
      </c>
      <c r="AM139" s="76">
        <f t="shared" si="205"/>
        <v>5.8823529411764701</v>
      </c>
      <c r="AN139" s="76"/>
      <c r="AO139" s="81">
        <f t="shared" si="206"/>
        <v>7.4074074074074066</v>
      </c>
      <c r="AP139" s="81">
        <f t="shared" si="207"/>
        <v>0</v>
      </c>
      <c r="AQ139" s="81">
        <f t="shared" si="208"/>
        <v>4</v>
      </c>
      <c r="AR139" s="7"/>
      <c r="AS139" s="76">
        <f t="shared" si="145"/>
        <v>3.0120481927710845</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x14ac:dyDescent="0.3">
      <c r="A140" s="8" t="s">
        <v>69</v>
      </c>
      <c r="B140" s="9" t="s">
        <v>90</v>
      </c>
      <c r="C140" s="7"/>
      <c r="D140" s="7"/>
      <c r="E140" s="7"/>
      <c r="F140" s="71"/>
      <c r="G140" s="51">
        <f t="shared" si="185"/>
        <v>2</v>
      </c>
      <c r="H140" s="52">
        <f t="shared" si="186"/>
        <v>3.0769230769230771</v>
      </c>
      <c r="I140" s="53">
        <f>COUNTIFS('00 Encuesta'!$B$2:$B$511,"*c)*",'00 Encuesta'!$C$2:$C$511,"*a)*",'00 Encuesta'!$E$2:$E$511,"*a)*",'00 Encuesta'!$R$2:$R$511,"*k)*")</f>
        <v>2</v>
      </c>
      <c r="J140" s="52">
        <f t="shared" si="187"/>
        <v>6.0606060606060606</v>
      </c>
      <c r="K140" s="53">
        <f>COUNTIFS('00 Encuesta'!$B$2:$B$511,"*c)*",'00 Encuesta'!$C$2:$C$511,"*a)*",'00 Encuesta'!$E$2:$E$511,"*b)*",'00 Encuesta'!$R$2:$R$511,"*k)*")</f>
        <v>0</v>
      </c>
      <c r="L140" s="52">
        <f t="shared" si="209"/>
        <v>0</v>
      </c>
      <c r="M140" s="23"/>
      <c r="N140" s="51">
        <f t="shared" si="210"/>
        <v>2</v>
      </c>
      <c r="O140" s="52">
        <f t="shared" si="211"/>
        <v>3.9215686274509802</v>
      </c>
      <c r="P140" s="53">
        <f>COUNTIFS('00 Encuesta'!$B$2:$B$511,"*c)*",'00 Encuesta'!$C$2:$C$511,"*b)*",'00 Encuesta'!$E$2:$E$511,"*a)*",'00 Encuesta'!$R$2:$R$511,"*k)*")</f>
        <v>0</v>
      </c>
      <c r="Q140" s="52">
        <f t="shared" si="191"/>
        <v>0</v>
      </c>
      <c r="R140" s="53">
        <f>COUNTIFS('00 Encuesta'!$B$2:$B$511,"*c)*",'00 Encuesta'!$C$2:$C$511,"*b)*",'00 Encuesta'!$E$2:$E$511,"*b)*",'00 Encuesta'!$R$2:$R$511,"*k)*")</f>
        <v>2</v>
      </c>
      <c r="S140" s="52">
        <f t="shared" si="212"/>
        <v>8.695652173913043</v>
      </c>
      <c r="T140" s="3"/>
      <c r="U140" s="51">
        <f t="shared" si="213"/>
        <v>0</v>
      </c>
      <c r="V140" s="52">
        <f t="shared" si="214"/>
        <v>0</v>
      </c>
      <c r="W140" s="53">
        <f>COUNTIFS('00 Encuesta'!$B$2:$B$511,"*c)*",'00 Encuesta'!$C$2:$C$511,"*d)*",'00 Encuesta'!$E$2:$E$511,"*a)*",'00 Encuesta'!$R$2:$R$511,"*k)*")</f>
        <v>0</v>
      </c>
      <c r="X140" s="52">
        <f t="shared" si="195"/>
        <v>0</v>
      </c>
      <c r="Y140" s="53">
        <f>COUNTIFS('00 Encuesta'!$B$2:$B$511,"*c)*",'00 Encuesta'!$C$2:$C$511,"*d)*",'00 Encuesta'!$E$2:$E$511,"*b)*",'00 Encuesta'!$R$2:$R$511,"*k)*")</f>
        <v>0</v>
      </c>
      <c r="Z140" s="52">
        <f t="shared" si="196"/>
        <v>0</v>
      </c>
      <c r="AA140" s="3"/>
      <c r="AB140" s="62">
        <f t="shared" si="197"/>
        <v>4</v>
      </c>
      <c r="AC140" s="52">
        <f t="shared" si="198"/>
        <v>2.4096385542168677</v>
      </c>
      <c r="AD140" s="7"/>
      <c r="AE140" s="7"/>
      <c r="AF140" s="9" t="str">
        <f t="shared" si="199"/>
        <v>k) Internet</v>
      </c>
      <c r="AG140" s="72">
        <f t="shared" si="200"/>
        <v>6.0606060606060606</v>
      </c>
      <c r="AH140" s="72">
        <f t="shared" si="201"/>
        <v>0</v>
      </c>
      <c r="AI140" s="73">
        <f t="shared" si="202"/>
        <v>3.0769230769230771</v>
      </c>
      <c r="AJ140" s="73"/>
      <c r="AK140" s="76">
        <f t="shared" si="203"/>
        <v>0</v>
      </c>
      <c r="AL140" s="76">
        <f t="shared" si="204"/>
        <v>8.695652173913043</v>
      </c>
      <c r="AM140" s="76">
        <f t="shared" si="205"/>
        <v>3.9215686274509802</v>
      </c>
      <c r="AN140" s="76"/>
      <c r="AO140" s="81">
        <f t="shared" si="206"/>
        <v>0</v>
      </c>
      <c r="AP140" s="81">
        <f t="shared" si="207"/>
        <v>0</v>
      </c>
      <c r="AQ140" s="81">
        <f t="shared" si="208"/>
        <v>0</v>
      </c>
      <c r="AR140" s="7"/>
      <c r="AS140" s="76">
        <f t="shared" si="145"/>
        <v>2.4096385542168677</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x14ac:dyDescent="0.3">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99"/>
        <v>S/R Sin Respuesta</v>
      </c>
      <c r="AG141" s="72">
        <f t="shared" si="200"/>
        <v>0</v>
      </c>
      <c r="AH141" s="72">
        <f t="shared" si="201"/>
        <v>0</v>
      </c>
      <c r="AI141" s="73">
        <f t="shared" si="202"/>
        <v>0</v>
      </c>
      <c r="AJ141" s="73"/>
      <c r="AK141" s="76">
        <f t="shared" si="203"/>
        <v>0</v>
      </c>
      <c r="AL141" s="76">
        <f t="shared" si="204"/>
        <v>0</v>
      </c>
      <c r="AM141" s="76">
        <f t="shared" si="205"/>
        <v>0</v>
      </c>
      <c r="AN141" s="76"/>
      <c r="AO141" s="81">
        <f t="shared" si="206"/>
        <v>0</v>
      </c>
      <c r="AP141" s="81">
        <f t="shared" si="207"/>
        <v>0</v>
      </c>
      <c r="AQ141" s="81">
        <f t="shared" si="208"/>
        <v>0</v>
      </c>
      <c r="AR141" s="7"/>
      <c r="AS141" s="76">
        <f t="shared" si="145"/>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x14ac:dyDescent="0.3">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x14ac:dyDescent="0.3">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215">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x14ac:dyDescent="0.3">
      <c r="A144" s="8" t="s">
        <v>17</v>
      </c>
      <c r="B144" s="9" t="s">
        <v>102</v>
      </c>
      <c r="C144" s="7"/>
      <c r="D144" s="7"/>
      <c r="E144" s="7"/>
      <c r="F144" s="71">
        <v>100</v>
      </c>
      <c r="G144" s="51">
        <f>I144+K144</f>
        <v>53</v>
      </c>
      <c r="H144" s="52">
        <f>G144/$J$5*100</f>
        <v>81.538461538461533</v>
      </c>
      <c r="I144" s="53">
        <f>COUNTIFS('00 Encuesta'!$B$2:$B$511,"*c)*",'00 Encuesta'!$C$2:$C$511,"*a)*",'00 Encuesta'!$E$2:$E$511,"*a)*",'00 Encuesta'!$T$2:$T$511,"*a)*")</f>
        <v>25</v>
      </c>
      <c r="J144" s="52">
        <f>I144/$J$6*100</f>
        <v>75.757575757575751</v>
      </c>
      <c r="K144" s="53">
        <f>COUNTIFS('00 Encuesta'!$B$2:$B$511,"*c)*",'00 Encuesta'!$C$2:$C$511,"*a)*",'00 Encuesta'!$E$2:$E$511,"*b)*",'00 Encuesta'!$T$2:$T$511,"*a)*")</f>
        <v>28</v>
      </c>
      <c r="L144" s="52">
        <f>K144/$J$7*100</f>
        <v>87.5</v>
      </c>
      <c r="M144" s="23"/>
      <c r="N144" s="51">
        <f>P144+R144</f>
        <v>37</v>
      </c>
      <c r="O144" s="52">
        <f>N144/$Q$5*100</f>
        <v>72.549019607843135</v>
      </c>
      <c r="P144" s="53">
        <f>COUNTIFS('00 Encuesta'!$B$2:$B$511,"*c)*",'00 Encuesta'!$C$2:$C$511,"*b)*",'00 Encuesta'!$E$2:$E$511,"*a)*",'00 Encuesta'!$T$2:$T$511,"*a)*")</f>
        <v>19</v>
      </c>
      <c r="Q144" s="52">
        <f>P144/$Q$6*100</f>
        <v>67.857142857142861</v>
      </c>
      <c r="R144" s="53">
        <f>COUNTIFS('00 Encuesta'!$B$2:$B$511,"*c)*",'00 Encuesta'!$C$2:$C$511,"*b)*",'00 Encuesta'!$E$2:$E$511,"*b)*",'00 Encuesta'!$T$2:$T$511,"*a)*")</f>
        <v>18</v>
      </c>
      <c r="S144" s="52">
        <f>R144/$Q$7*100</f>
        <v>78.260869565217391</v>
      </c>
      <c r="T144" s="3"/>
      <c r="U144" s="51">
        <f>W144+Y144</f>
        <v>29</v>
      </c>
      <c r="V144" s="52">
        <f>U144/$X$5*100</f>
        <v>57.999999999999993</v>
      </c>
      <c r="W144" s="53">
        <f>COUNTIFS('00 Encuesta'!$B$2:$B$511,"*c)*",'00 Encuesta'!$C$2:$C$511,"*d)*",'00 Encuesta'!$E$2:$E$511,"*a)*",'00 Encuesta'!$T$2:$T$511,"*a)*")</f>
        <v>13</v>
      </c>
      <c r="X144" s="52">
        <f>W144/$X$6*100</f>
        <v>48.148148148148145</v>
      </c>
      <c r="Y144" s="53">
        <f>COUNTIFS('00 Encuesta'!$B$2:$B$511,"*c)*",'00 Encuesta'!$C$2:$C$511,"*d)*",'00 Encuesta'!$E$2:$E$511,"*b)*",'00 Encuesta'!$T$2:$T$511,"*a)*")</f>
        <v>16</v>
      </c>
      <c r="Z144" s="52">
        <f>Y144/$X$7*100</f>
        <v>69.565217391304344</v>
      </c>
      <c r="AA144" s="3"/>
      <c r="AB144" s="62">
        <f>G144+N144+U144</f>
        <v>119</v>
      </c>
      <c r="AC144" s="52">
        <f>AB144*100/$AC$5</f>
        <v>71.686746987951807</v>
      </c>
      <c r="AD144" s="7"/>
      <c r="AE144" s="7"/>
      <c r="AF144" s="9" t="str">
        <f t="shared" si="215"/>
        <v>a) Mucho</v>
      </c>
      <c r="AG144" s="72">
        <f>J144</f>
        <v>75.757575757575751</v>
      </c>
      <c r="AH144" s="72">
        <f>L144</f>
        <v>87.5</v>
      </c>
      <c r="AI144" s="73">
        <f>H144</f>
        <v>81.538461538461533</v>
      </c>
      <c r="AJ144" s="73"/>
      <c r="AK144" s="76">
        <f>Q144</f>
        <v>67.857142857142861</v>
      </c>
      <c r="AL144" s="76">
        <f>S144</f>
        <v>78.260869565217391</v>
      </c>
      <c r="AM144" s="76">
        <f>O144</f>
        <v>72.549019607843135</v>
      </c>
      <c r="AN144" s="76"/>
      <c r="AO144" s="81">
        <f>X144</f>
        <v>48.148148148148145</v>
      </c>
      <c r="AP144" s="81">
        <f>Z144</f>
        <v>69.565217391304344</v>
      </c>
      <c r="AQ144" s="81">
        <f>V144</f>
        <v>57.999999999999993</v>
      </c>
      <c r="AR144" s="7"/>
      <c r="AS144" s="76">
        <f t="shared" ref="AS144:AS206" si="216">AC144</f>
        <v>71.686746987951807</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x14ac:dyDescent="0.3">
      <c r="A145" s="8" t="s">
        <v>18</v>
      </c>
      <c r="B145" s="9" t="s">
        <v>103</v>
      </c>
      <c r="C145" s="7"/>
      <c r="D145" s="7"/>
      <c r="E145" s="7"/>
      <c r="F145" s="71">
        <v>66.66</v>
      </c>
      <c r="G145" s="51">
        <f>I145+K145</f>
        <v>7</v>
      </c>
      <c r="H145" s="52">
        <f>G145/$J$5*100</f>
        <v>10.76923076923077</v>
      </c>
      <c r="I145" s="53">
        <f>COUNTIFS('00 Encuesta'!$B$2:$B$511,"*c)*",'00 Encuesta'!$C$2:$C$511,"*a)*",'00 Encuesta'!$E$2:$E$511,"*a)*",'00 Encuesta'!$T$2:$T$511,"*b)*")</f>
        <v>3</v>
      </c>
      <c r="J145" s="52">
        <f>I145/$J$6*100</f>
        <v>9.0909090909090917</v>
      </c>
      <c r="K145" s="53">
        <f>COUNTIFS('00 Encuesta'!$B$2:$B$511,"*c)*",'00 Encuesta'!$C$2:$C$511,"*a)*",'00 Encuesta'!$E$2:$E$511,"*b)*",'00 Encuesta'!$T$2:$T$511,"*b)*")</f>
        <v>4</v>
      </c>
      <c r="L145" s="52">
        <f>K145/$J$7*100</f>
        <v>12.5</v>
      </c>
      <c r="M145" s="23"/>
      <c r="N145" s="51">
        <f>P145+R145</f>
        <v>11</v>
      </c>
      <c r="O145" s="52">
        <f>N145/$Q$5*100</f>
        <v>21.568627450980394</v>
      </c>
      <c r="P145" s="53">
        <f>COUNTIFS('00 Encuesta'!$B$2:$B$511,"*c)*",'00 Encuesta'!$C$2:$C$511,"*b)*",'00 Encuesta'!$E$2:$E$511,"*a)*",'00 Encuesta'!$T$2:$T$511,"*b)*")</f>
        <v>7</v>
      </c>
      <c r="Q145" s="52">
        <f>P145/$Q$6*100</f>
        <v>25</v>
      </c>
      <c r="R145" s="53">
        <f>COUNTIFS('00 Encuesta'!$B$2:$B$511,"*c)*",'00 Encuesta'!$C$2:$C$511,"*b)*",'00 Encuesta'!$E$2:$E$511,"*b)*",'00 Encuesta'!$T$2:$T$511,"*b)*")</f>
        <v>4</v>
      </c>
      <c r="S145" s="52">
        <f>R145/$Q$7*100</f>
        <v>17.391304347826086</v>
      </c>
      <c r="T145" s="3"/>
      <c r="U145" s="51">
        <f>W145+Y145</f>
        <v>12</v>
      </c>
      <c r="V145" s="52">
        <f>U145/$X$5*100</f>
        <v>24</v>
      </c>
      <c r="W145" s="53">
        <f>COUNTIFS('00 Encuesta'!$B$2:$B$511,"*c)*",'00 Encuesta'!$C$2:$C$511,"*d)*",'00 Encuesta'!$E$2:$E$511,"*a)*",'00 Encuesta'!$T$2:$T$511,"*b)*")</f>
        <v>9</v>
      </c>
      <c r="X145" s="52">
        <f>W145/$X$6*100</f>
        <v>33.333333333333329</v>
      </c>
      <c r="Y145" s="53">
        <f>COUNTIFS('00 Encuesta'!$B$2:$B$511,"*c)*",'00 Encuesta'!$C$2:$C$511,"*d)*",'00 Encuesta'!$E$2:$E$511,"*b)*",'00 Encuesta'!$T$2:$T$511,"*b)*")</f>
        <v>3</v>
      </c>
      <c r="Z145" s="52">
        <f>Y145/$X$7*100</f>
        <v>13.043478260869565</v>
      </c>
      <c r="AA145" s="3"/>
      <c r="AB145" s="62">
        <f>G145+N145+U145</f>
        <v>30</v>
      </c>
      <c r="AC145" s="52">
        <f>AB145*100/$AC$5</f>
        <v>18.072289156626507</v>
      </c>
      <c r="AD145" s="7"/>
      <c r="AE145" s="7"/>
      <c r="AF145" s="9" t="str">
        <f t="shared" si="215"/>
        <v>b) Suficiente</v>
      </c>
      <c r="AG145" s="72">
        <f>J145</f>
        <v>9.0909090909090917</v>
      </c>
      <c r="AH145" s="72">
        <f>L145</f>
        <v>12.5</v>
      </c>
      <c r="AI145" s="73">
        <f>H145</f>
        <v>10.76923076923077</v>
      </c>
      <c r="AJ145" s="73"/>
      <c r="AK145" s="76">
        <f>Q145</f>
        <v>25</v>
      </c>
      <c r="AL145" s="76">
        <f>S145</f>
        <v>17.391304347826086</v>
      </c>
      <c r="AM145" s="76">
        <f>O145</f>
        <v>21.568627450980394</v>
      </c>
      <c r="AN145" s="76"/>
      <c r="AO145" s="81">
        <f>X145</f>
        <v>33.333333333333329</v>
      </c>
      <c r="AP145" s="81">
        <f>Z145</f>
        <v>13.043478260869565</v>
      </c>
      <c r="AQ145" s="81">
        <f>V145</f>
        <v>24</v>
      </c>
      <c r="AR145" s="7"/>
      <c r="AS145" s="76">
        <f t="shared" si="216"/>
        <v>18.072289156626507</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x14ac:dyDescent="0.3">
      <c r="A146" s="8" t="s">
        <v>20</v>
      </c>
      <c r="B146" s="9" t="s">
        <v>104</v>
      </c>
      <c r="C146" s="7"/>
      <c r="D146" s="7"/>
      <c r="E146" s="7"/>
      <c r="F146" s="71">
        <v>33.33</v>
      </c>
      <c r="G146" s="51">
        <f>I146+K146</f>
        <v>2</v>
      </c>
      <c r="H146" s="52">
        <f>G146/$J$5*100</f>
        <v>3.0769230769230771</v>
      </c>
      <c r="I146" s="53">
        <f>COUNTIFS('00 Encuesta'!$B$2:$B$511,"*c)*",'00 Encuesta'!$C$2:$C$511,"*a)*",'00 Encuesta'!$E$2:$E$511,"*a)*",'00 Encuesta'!$T$2:$T$511,"*c)*")</f>
        <v>2</v>
      </c>
      <c r="J146" s="52">
        <f>I146/$J$6*100</f>
        <v>6.0606060606060606</v>
      </c>
      <c r="K146" s="53">
        <f>COUNTIFS('00 Encuesta'!$B$2:$B$511,"*c)*",'00 Encuesta'!$C$2:$C$511,"*a)*",'00 Encuesta'!$E$2:$E$511,"*b)*",'00 Encuesta'!$T$2:$T$511,"*c)*")</f>
        <v>0</v>
      </c>
      <c r="L146" s="52">
        <f>K146/$J$7*100</f>
        <v>0</v>
      </c>
      <c r="M146" s="23"/>
      <c r="N146" s="51">
        <f>P146+R146</f>
        <v>1</v>
      </c>
      <c r="O146" s="52">
        <f>N146/$Q$5*100</f>
        <v>1.9607843137254901</v>
      </c>
      <c r="P146" s="53">
        <f>COUNTIFS('00 Encuesta'!$B$2:$B$511,"*c)*",'00 Encuesta'!$C$2:$C$511,"*b)*",'00 Encuesta'!$E$2:$E$511,"*a)*",'00 Encuesta'!$T$2:$T$511,"*c)*")</f>
        <v>0</v>
      </c>
      <c r="Q146" s="52">
        <f>P146/$Q$6*100</f>
        <v>0</v>
      </c>
      <c r="R146" s="53">
        <f>COUNTIFS('00 Encuesta'!$B$2:$B$511,"*c)*",'00 Encuesta'!$C$2:$C$511,"*b)*",'00 Encuesta'!$E$2:$E$511,"*b)*",'00 Encuesta'!$T$2:$T$511,"*c)*")</f>
        <v>1</v>
      </c>
      <c r="S146" s="52">
        <f>R146/$Q$7*100</f>
        <v>4.3478260869565215</v>
      </c>
      <c r="T146" s="3"/>
      <c r="U146" s="51">
        <f>W146+Y146</f>
        <v>3</v>
      </c>
      <c r="V146" s="52">
        <f>U146/$X$5*100</f>
        <v>6</v>
      </c>
      <c r="W146" s="53">
        <f>COUNTIFS('00 Encuesta'!$B$2:$B$511,"*c)*",'00 Encuesta'!$C$2:$C$511,"*d)*",'00 Encuesta'!$E$2:$E$511,"*a)*",'00 Encuesta'!$T$2:$T$511,"*c)*")</f>
        <v>0</v>
      </c>
      <c r="X146" s="52">
        <f>W146/$X$6*100</f>
        <v>0</v>
      </c>
      <c r="Y146" s="53">
        <f>COUNTIFS('00 Encuesta'!$B$2:$B$511,"*c)*",'00 Encuesta'!$C$2:$C$511,"*d)*",'00 Encuesta'!$E$2:$E$511,"*b)*",'00 Encuesta'!$T$2:$T$511,"*c)*")</f>
        <v>3</v>
      </c>
      <c r="Z146" s="52">
        <f>Y146/$X$7*100</f>
        <v>13.043478260869565</v>
      </c>
      <c r="AA146" s="3"/>
      <c r="AB146" s="62">
        <f>G146+N146+U146</f>
        <v>6</v>
      </c>
      <c r="AC146" s="52">
        <f>AB146*100/$AC$5</f>
        <v>3.6144578313253013</v>
      </c>
      <c r="AD146" s="7"/>
      <c r="AE146" s="7"/>
      <c r="AF146" s="9" t="str">
        <f t="shared" si="215"/>
        <v>c) Poco</v>
      </c>
      <c r="AG146" s="72">
        <f>J146</f>
        <v>6.0606060606060606</v>
      </c>
      <c r="AH146" s="72">
        <f>L146</f>
        <v>0</v>
      </c>
      <c r="AI146" s="73">
        <f>H146</f>
        <v>3.0769230769230771</v>
      </c>
      <c r="AJ146" s="73"/>
      <c r="AK146" s="76">
        <f>Q146</f>
        <v>0</v>
      </c>
      <c r="AL146" s="76">
        <f>S146</f>
        <v>4.3478260869565215</v>
      </c>
      <c r="AM146" s="76">
        <f>O146</f>
        <v>1.9607843137254901</v>
      </c>
      <c r="AN146" s="76"/>
      <c r="AO146" s="81">
        <f>X146</f>
        <v>0</v>
      </c>
      <c r="AP146" s="81">
        <f>Z146</f>
        <v>13.043478260869565</v>
      </c>
      <c r="AQ146" s="81">
        <f>V146</f>
        <v>6</v>
      </c>
      <c r="AR146" s="7"/>
      <c r="AS146" s="76">
        <f t="shared" si="216"/>
        <v>3.6144578313253013</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x14ac:dyDescent="0.3">
      <c r="A147" s="8" t="s">
        <v>21</v>
      </c>
      <c r="B147" s="9" t="s">
        <v>105</v>
      </c>
      <c r="C147" s="7"/>
      <c r="D147" s="7"/>
      <c r="E147" s="7"/>
      <c r="F147" s="71">
        <v>0</v>
      </c>
      <c r="G147" s="51">
        <f>I147+K147</f>
        <v>0</v>
      </c>
      <c r="H147" s="52">
        <f>G147/$J$5*100</f>
        <v>0</v>
      </c>
      <c r="I147" s="53">
        <f>COUNTIFS('00 Encuesta'!$B$2:$B$511,"*c)*",'00 Encuesta'!$C$2:$C$511,"*a)*",'00 Encuesta'!$E$2:$E$511,"*a)*",'00 Encuesta'!$T$2:$T$511,"*d)*")</f>
        <v>0</v>
      </c>
      <c r="J147" s="52">
        <f>I147/$J$6*100</f>
        <v>0</v>
      </c>
      <c r="K147" s="53">
        <f>COUNTIFS('00 Encuesta'!$B$2:$B$511,"*c)*",'00 Encuesta'!$C$2:$C$511,"*a)*",'00 Encuesta'!$E$2:$E$511,"*b)*",'00 Encuesta'!$T$2:$T$511,"*d)*")</f>
        <v>0</v>
      </c>
      <c r="L147" s="52">
        <f>K147/$J$7*100</f>
        <v>0</v>
      </c>
      <c r="M147" s="23"/>
      <c r="N147" s="51">
        <f>P147+R147</f>
        <v>0</v>
      </c>
      <c r="O147" s="52">
        <f>N147/$Q$5*100</f>
        <v>0</v>
      </c>
      <c r="P147" s="53">
        <f>COUNTIFS('00 Encuesta'!$B$2:$B$511,"*c)*",'00 Encuesta'!$C$2:$C$511,"*b)*",'00 Encuesta'!$E$2:$E$511,"*a)*",'00 Encuesta'!$T$2:$T$511,"*d)*")</f>
        <v>0</v>
      </c>
      <c r="Q147" s="52">
        <f>P147/$Q$6*100</f>
        <v>0</v>
      </c>
      <c r="R147" s="53">
        <f>COUNTIFS('00 Encuesta'!$B$2:$B$511,"*c)*",'00 Encuesta'!$C$2:$C$511,"*b)*",'00 Encuesta'!$E$2:$E$511,"*b)*",'00 Encuesta'!$T$2:$T$511,"*d)*")</f>
        <v>0</v>
      </c>
      <c r="S147" s="52">
        <f>R147/$Q$7*100</f>
        <v>0</v>
      </c>
      <c r="T147" s="3"/>
      <c r="U147" s="51">
        <f>W147+Y147</f>
        <v>4</v>
      </c>
      <c r="V147" s="52">
        <f>U147/$X$5*100</f>
        <v>8</v>
      </c>
      <c r="W147" s="53">
        <f>COUNTIFS('00 Encuesta'!$B$2:$B$511,"*c)*",'00 Encuesta'!$C$2:$C$511,"*d)*",'00 Encuesta'!$E$2:$E$511,"*a)*",'00 Encuesta'!$T$2:$T$511,"*d)*")</f>
        <v>3</v>
      </c>
      <c r="X147" s="52">
        <f>W147/$X$6*100</f>
        <v>11.111111111111111</v>
      </c>
      <c r="Y147" s="53">
        <f>COUNTIFS('00 Encuesta'!$B$2:$B$511,"*c)*",'00 Encuesta'!$C$2:$C$511,"*d)*",'00 Encuesta'!$E$2:$E$511,"*b)*",'00 Encuesta'!$T$2:$T$511,"*d)*")</f>
        <v>1</v>
      </c>
      <c r="Z147" s="52">
        <f>Y147/$X$7*100</f>
        <v>4.3478260869565215</v>
      </c>
      <c r="AA147" s="3"/>
      <c r="AB147" s="62">
        <f>G147+N147+U147</f>
        <v>4</v>
      </c>
      <c r="AC147" s="52">
        <f>AB147*100/$AC$5</f>
        <v>2.4096385542168677</v>
      </c>
      <c r="AD147" s="7"/>
      <c r="AE147" s="7"/>
      <c r="AF147" s="9" t="str">
        <f t="shared" si="215"/>
        <v>d) Nada</v>
      </c>
      <c r="AG147" s="72">
        <f>J147</f>
        <v>0</v>
      </c>
      <c r="AH147" s="72">
        <f>L147</f>
        <v>0</v>
      </c>
      <c r="AI147" s="73">
        <f>H147</f>
        <v>0</v>
      </c>
      <c r="AJ147" s="73"/>
      <c r="AK147" s="76">
        <f>Q147</f>
        <v>0</v>
      </c>
      <c r="AL147" s="76">
        <f>S147</f>
        <v>0</v>
      </c>
      <c r="AM147" s="76">
        <f>O147</f>
        <v>0</v>
      </c>
      <c r="AN147" s="76"/>
      <c r="AO147" s="81">
        <f>X147</f>
        <v>11.111111111111111</v>
      </c>
      <c r="AP147" s="81">
        <f>Z147</f>
        <v>4.3478260869565215</v>
      </c>
      <c r="AQ147" s="81">
        <f>V147</f>
        <v>8</v>
      </c>
      <c r="AR147" s="7"/>
      <c r="AS147" s="76">
        <f t="shared" si="216"/>
        <v>2.4096385542168677</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x14ac:dyDescent="0.3">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f>N148/$Q$5*100</f>
        <v>0</v>
      </c>
      <c r="P148" s="53"/>
      <c r="Q148" s="52">
        <f>P148/$Q$6*100</f>
        <v>0</v>
      </c>
      <c r="R148" s="53"/>
      <c r="S148" s="52">
        <f>R148/$Q$7*100</f>
        <v>0</v>
      </c>
      <c r="T148" s="3"/>
      <c r="U148" s="51">
        <f>W148+Y148</f>
        <v>0</v>
      </c>
      <c r="V148" s="52">
        <f>U148/$X$5*100</f>
        <v>0</v>
      </c>
      <c r="W148" s="53"/>
      <c r="X148" s="52">
        <f>W148/$X$6*100</f>
        <v>0</v>
      </c>
      <c r="Y148" s="53"/>
      <c r="Z148" s="52">
        <f>Y148/$X$7*100</f>
        <v>0</v>
      </c>
      <c r="AA148" s="3"/>
      <c r="AB148" s="62">
        <f>G148+N148+U148</f>
        <v>0</v>
      </c>
      <c r="AC148" s="52">
        <f>AB148*100/$AC$5</f>
        <v>0</v>
      </c>
      <c r="AD148" s="7"/>
      <c r="AE148" s="7"/>
      <c r="AF148" s="9" t="str">
        <f t="shared" si="215"/>
        <v>S/R Sin Respuesta</v>
      </c>
      <c r="AG148" s="72">
        <f>J148</f>
        <v>0</v>
      </c>
      <c r="AH148" s="72">
        <f>L148</f>
        <v>0</v>
      </c>
      <c r="AI148" s="73">
        <f>H148</f>
        <v>0</v>
      </c>
      <c r="AJ148" s="73"/>
      <c r="AK148" s="76">
        <f>Q148</f>
        <v>0</v>
      </c>
      <c r="AL148" s="76">
        <f>S148</f>
        <v>0</v>
      </c>
      <c r="AM148" s="76">
        <f>O148</f>
        <v>0</v>
      </c>
      <c r="AN148" s="76"/>
      <c r="AO148" s="81">
        <f>X148</f>
        <v>0</v>
      </c>
      <c r="AP148" s="81">
        <f>Z148</f>
        <v>0</v>
      </c>
      <c r="AQ148" s="81">
        <f>V148</f>
        <v>0</v>
      </c>
      <c r="AR148" s="7"/>
      <c r="AS148" s="76">
        <f t="shared" si="216"/>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x14ac:dyDescent="0.3">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92.221333333333334</v>
      </c>
      <c r="AH149" s="82">
        <f>($F144*K144+$F145*K145+$F146*K146+$F147*K147)/(+K144+K145+K146+K147)</f>
        <v>95.832499999999996</v>
      </c>
      <c r="AI149" s="82">
        <f>($F144*G144+$F145*G145+$F146*G146+$F147*G147)/(G144+G145+G146+G147)</f>
        <v>94.085161290322574</v>
      </c>
      <c r="AJ149" s="82"/>
      <c r="AK149" s="82">
        <f>($F144*P144+$F145*P145+$F146*P146+$F147*P147)/(P144+P145+P146+P147)</f>
        <v>91.023846153846151</v>
      </c>
      <c r="AL149" s="82">
        <f>($F144*R144+$F145*R145+$F146*R146+$F147*R147)/(R144+R145+R146+R147)</f>
        <v>91.303043478260861</v>
      </c>
      <c r="AM149" s="82">
        <f>($F144*N144+$F145*N145+$F146*N146+$F147*N147)/(N144+N145+N146+N147)</f>
        <v>91.154897959183671</v>
      </c>
      <c r="AN149" s="82"/>
      <c r="AO149" s="82">
        <f>($F144*W144+$F145*W145+$F146*W146+$F147*W147)/(W144+W145+W146+W147)</f>
        <v>75.997600000000006</v>
      </c>
      <c r="AP149" s="82">
        <f>($F144*Y144+$F145*Y145+$F146*Y146+$F147*Y147)/(Y144+Y145+Y146+Y147)</f>
        <v>82.607391304347829</v>
      </c>
      <c r="AQ149" s="82">
        <f>($F144*U144+$F145*U145+$F146*U146+$F147*U147)/(U144+U145+U146+U147)</f>
        <v>79.164791666666659</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x14ac:dyDescent="0.3">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x14ac:dyDescent="0.3">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x14ac:dyDescent="0.3">
      <c r="A153" s="8" t="s">
        <v>17</v>
      </c>
      <c r="B153" s="9" t="s">
        <v>114</v>
      </c>
      <c r="C153" s="7"/>
      <c r="D153" s="7"/>
      <c r="E153" s="7"/>
      <c r="F153" s="71"/>
      <c r="G153" s="51">
        <f t="shared" ref="G153:G164" si="217">I153+K153</f>
        <v>58</v>
      </c>
      <c r="H153" s="52">
        <f t="shared" ref="H153:H164" si="218">G153/$J$5*100</f>
        <v>89.230769230769241</v>
      </c>
      <c r="I153" s="53">
        <f>COUNTIFS('00 Encuesta'!$B$2:$B$511,"*c)*",'00 Encuesta'!$C$2:$C$511,"*a)*",'00 Encuesta'!$E$2:$E$511,"*a)*",'00 Encuesta'!$U$2:$U$511,"*a)*")</f>
        <v>28</v>
      </c>
      <c r="J153" s="52">
        <f t="shared" ref="J153:J164" si="219">I153/$J$6*100</f>
        <v>84.848484848484844</v>
      </c>
      <c r="K153" s="53">
        <f>COUNTIFS('00 Encuesta'!$B$2:$B$511,"*c)*",'00 Encuesta'!$C$2:$C$511,"*a)*",'00 Encuesta'!$E$2:$E$511,"*b)*",'00 Encuesta'!$U$2:$U$511,"*a)*")</f>
        <v>30</v>
      </c>
      <c r="L153" s="52">
        <f t="shared" ref="L153:L158" si="220">K153/$J$7*100</f>
        <v>93.75</v>
      </c>
      <c r="M153" s="23"/>
      <c r="N153" s="51">
        <f t="shared" ref="N153:N158" si="221">P153+R153</f>
        <v>36</v>
      </c>
      <c r="O153" s="52">
        <f t="shared" ref="O153:O158" si="222">N153/$Q$5*100</f>
        <v>70.588235294117652</v>
      </c>
      <c r="P153" s="53">
        <f>COUNTIFS('00 Encuesta'!$B$2:$B$511,"*c)*",'00 Encuesta'!$C$2:$C$511,"*b)*",'00 Encuesta'!$E$2:$E$511,"*a)*",'00 Encuesta'!$U$2:$U$511,"*a)*")</f>
        <v>22</v>
      </c>
      <c r="Q153" s="52">
        <f t="shared" ref="Q153:Q164" si="223">P153/$Q$6*100</f>
        <v>78.571428571428569</v>
      </c>
      <c r="R153" s="53">
        <f>COUNTIFS('00 Encuesta'!$B$2:$B$511,"*c)*",'00 Encuesta'!$C$2:$C$511,"*b)*",'00 Encuesta'!$E$2:$E$511,"*b)*",'00 Encuesta'!$U$2:$U$511,"*a)*")</f>
        <v>14</v>
      </c>
      <c r="S153" s="52">
        <f t="shared" ref="S153:S158" si="224">R153/$Q$7*100</f>
        <v>60.869565217391312</v>
      </c>
      <c r="T153" s="3"/>
      <c r="U153" s="51">
        <f t="shared" ref="U153:U158" si="225">W153+Y153</f>
        <v>27</v>
      </c>
      <c r="V153" s="52">
        <f t="shared" ref="V153:V158" si="226">U153/$X$5*100</f>
        <v>54</v>
      </c>
      <c r="W153" s="53">
        <f>COUNTIFS('00 Encuesta'!$B$2:$B$511,"*c)*",'00 Encuesta'!$C$2:$C$511,"*d)*",'00 Encuesta'!$E$2:$E$511,"*a)*",'00 Encuesta'!$U$2:$U$511,"*a)*")</f>
        <v>13</v>
      </c>
      <c r="X153" s="52">
        <f t="shared" ref="X153:X164" si="227">W153/$X$6*100</f>
        <v>48.148148148148145</v>
      </c>
      <c r="Y153" s="53">
        <f>COUNTIFS('00 Encuesta'!$B$2:$B$511,"*c)*",'00 Encuesta'!$C$2:$C$511,"*d)*",'00 Encuesta'!$E$2:$E$511,"*b)*",'00 Encuesta'!$U$2:$U$511,"*a)*")</f>
        <v>14</v>
      </c>
      <c r="Z153" s="52">
        <f t="shared" ref="Z153:Z164" si="228">Y153/$X$7*100</f>
        <v>60.869565217391312</v>
      </c>
      <c r="AA153" s="3"/>
      <c r="AB153" s="62">
        <f t="shared" ref="AB153:AB164" si="229">G153+N153+U153</f>
        <v>121</v>
      </c>
      <c r="AC153" s="52">
        <f t="shared" ref="AC153:AC164" si="230">AB153*100/$AC$5</f>
        <v>72.891566265060234</v>
      </c>
      <c r="AD153" s="7"/>
      <c r="AE153" s="7"/>
      <c r="AF153" s="9" t="str">
        <f t="shared" ref="AF153:AF165" si="231">A153&amp;" "&amp;B153</f>
        <v>a) La iglesia</v>
      </c>
      <c r="AG153" s="72">
        <f t="shared" ref="AG153:AG165" si="232">J153</f>
        <v>84.848484848484844</v>
      </c>
      <c r="AH153" s="72">
        <f t="shared" ref="AH153:AH165" si="233">L153</f>
        <v>93.75</v>
      </c>
      <c r="AI153" s="73">
        <f t="shared" ref="AI153:AI165" si="234">H153</f>
        <v>89.230769230769241</v>
      </c>
      <c r="AJ153" s="73"/>
      <c r="AK153" s="76">
        <f t="shared" ref="AK153:AK165" si="235">Q153</f>
        <v>78.571428571428569</v>
      </c>
      <c r="AL153" s="76">
        <f t="shared" ref="AL153:AL165" si="236">S153</f>
        <v>60.869565217391312</v>
      </c>
      <c r="AM153" s="76">
        <f t="shared" ref="AM153:AM165" si="237">O153</f>
        <v>70.588235294117652</v>
      </c>
      <c r="AN153" s="76"/>
      <c r="AO153" s="81">
        <f t="shared" ref="AO153:AO165" si="238">X153</f>
        <v>48.148148148148145</v>
      </c>
      <c r="AP153" s="81">
        <f t="shared" ref="AP153:AP165" si="239">Z153</f>
        <v>60.869565217391312</v>
      </c>
      <c r="AQ153" s="81">
        <f t="shared" ref="AQ153:AQ165" si="240">V153</f>
        <v>54</v>
      </c>
      <c r="AR153" s="7"/>
      <c r="AS153" s="76">
        <f t="shared" si="216"/>
        <v>72.891566265060234</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x14ac:dyDescent="0.3">
      <c r="A154" s="8" t="s">
        <v>18</v>
      </c>
      <c r="B154" s="9" t="s">
        <v>115</v>
      </c>
      <c r="C154" s="7"/>
      <c r="D154" s="7"/>
      <c r="E154" s="7"/>
      <c r="F154" s="71"/>
      <c r="G154" s="51">
        <f t="shared" si="217"/>
        <v>29</v>
      </c>
      <c r="H154" s="52">
        <f t="shared" si="218"/>
        <v>44.61538461538462</v>
      </c>
      <c r="I154" s="53">
        <f>COUNTIFS('00 Encuesta'!$B$2:$B$511,"*c)*",'00 Encuesta'!$C$2:$C$511,"*a)*",'00 Encuesta'!$E$2:$E$511,"*a)*",'00 Encuesta'!$U$2:$U$511,"*b)*")</f>
        <v>14</v>
      </c>
      <c r="J154" s="52">
        <f t="shared" si="219"/>
        <v>42.424242424242422</v>
      </c>
      <c r="K154" s="53">
        <f>COUNTIFS('00 Encuesta'!$B$2:$B$511,"*c)*",'00 Encuesta'!$C$2:$C$511,"*a)*",'00 Encuesta'!$E$2:$E$511,"*b)*",'00 Encuesta'!$U$2:$U$511,"*b)*")</f>
        <v>15</v>
      </c>
      <c r="L154" s="52">
        <f t="shared" si="220"/>
        <v>46.875</v>
      </c>
      <c r="M154" s="23"/>
      <c r="N154" s="51">
        <f t="shared" si="221"/>
        <v>28</v>
      </c>
      <c r="O154" s="52">
        <f t="shared" si="222"/>
        <v>54.901960784313729</v>
      </c>
      <c r="P154" s="53">
        <f>COUNTIFS('00 Encuesta'!$B$2:$B$511,"*c)*",'00 Encuesta'!$C$2:$C$511,"*b)*",'00 Encuesta'!$E$2:$E$511,"*a)*",'00 Encuesta'!$U$2:$U$511,"*b)*")</f>
        <v>20</v>
      </c>
      <c r="Q154" s="52">
        <f t="shared" si="223"/>
        <v>71.428571428571431</v>
      </c>
      <c r="R154" s="53">
        <f>COUNTIFS('00 Encuesta'!$B$2:$B$511,"*c)*",'00 Encuesta'!$C$2:$C$511,"*b)*",'00 Encuesta'!$E$2:$E$511,"*b)*",'00 Encuesta'!$U$2:$U$511,"*b)*")</f>
        <v>8</v>
      </c>
      <c r="S154" s="52">
        <f t="shared" si="224"/>
        <v>34.782608695652172</v>
      </c>
      <c r="T154" s="3"/>
      <c r="U154" s="51">
        <f t="shared" si="225"/>
        <v>19</v>
      </c>
      <c r="V154" s="52">
        <f t="shared" si="226"/>
        <v>38</v>
      </c>
      <c r="W154" s="53">
        <f>COUNTIFS('00 Encuesta'!$B$2:$B$511,"*c)*",'00 Encuesta'!$C$2:$C$511,"*d)*",'00 Encuesta'!$E$2:$E$511,"*a)*",'00 Encuesta'!$U$2:$U$511,"*b)*")</f>
        <v>11</v>
      </c>
      <c r="X154" s="52">
        <f t="shared" si="227"/>
        <v>40.74074074074074</v>
      </c>
      <c r="Y154" s="53">
        <f>COUNTIFS('00 Encuesta'!$B$2:$B$511,"*c)*",'00 Encuesta'!$C$2:$C$511,"*d)*",'00 Encuesta'!$E$2:$E$511,"*b)*",'00 Encuesta'!$U$2:$U$511,"*b)*")</f>
        <v>8</v>
      </c>
      <c r="Z154" s="52">
        <f t="shared" si="228"/>
        <v>34.782608695652172</v>
      </c>
      <c r="AA154" s="3"/>
      <c r="AB154" s="62">
        <f t="shared" si="229"/>
        <v>76</v>
      </c>
      <c r="AC154" s="52">
        <f t="shared" si="230"/>
        <v>45.783132530120483</v>
      </c>
      <c r="AD154" s="7"/>
      <c r="AE154" s="7"/>
      <c r="AF154" s="9" t="str">
        <f t="shared" si="231"/>
        <v>b) La naturaleza</v>
      </c>
      <c r="AG154" s="72">
        <f t="shared" si="232"/>
        <v>42.424242424242422</v>
      </c>
      <c r="AH154" s="72">
        <f t="shared" si="233"/>
        <v>46.875</v>
      </c>
      <c r="AI154" s="73">
        <f t="shared" si="234"/>
        <v>44.61538461538462</v>
      </c>
      <c r="AJ154" s="73"/>
      <c r="AK154" s="76">
        <f t="shared" si="235"/>
        <v>71.428571428571431</v>
      </c>
      <c r="AL154" s="76">
        <f t="shared" si="236"/>
        <v>34.782608695652172</v>
      </c>
      <c r="AM154" s="76">
        <f t="shared" si="237"/>
        <v>54.901960784313729</v>
      </c>
      <c r="AN154" s="76"/>
      <c r="AO154" s="81">
        <f t="shared" si="238"/>
        <v>40.74074074074074</v>
      </c>
      <c r="AP154" s="81">
        <f t="shared" si="239"/>
        <v>34.782608695652172</v>
      </c>
      <c r="AQ154" s="81">
        <f t="shared" si="240"/>
        <v>38</v>
      </c>
      <c r="AR154" s="7"/>
      <c r="AS154" s="76">
        <f t="shared" si="216"/>
        <v>45.783132530120483</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217"/>
        <v>12</v>
      </c>
      <c r="H155" s="52">
        <f t="shared" si="218"/>
        <v>18.461538461538463</v>
      </c>
      <c r="I155" s="53">
        <f>COUNTIFS('00 Encuesta'!$B$2:$B$511,"*c)*",'00 Encuesta'!$C$2:$C$511,"*a)*",'00 Encuesta'!$E$2:$E$511,"*a)*",'00 Encuesta'!$U$2:$U$511,"*c)*")</f>
        <v>6</v>
      </c>
      <c r="J155" s="52">
        <f t="shared" si="219"/>
        <v>18.181818181818183</v>
      </c>
      <c r="K155" s="53">
        <f>COUNTIFS('00 Encuesta'!$B$2:$B$511,"*c)*",'00 Encuesta'!$C$2:$C$511,"*a)*",'00 Encuesta'!$E$2:$E$511,"*b)*",'00 Encuesta'!$U$2:$U$511,"*c)*")</f>
        <v>6</v>
      </c>
      <c r="L155" s="52">
        <f t="shared" si="220"/>
        <v>18.75</v>
      </c>
      <c r="M155" s="23"/>
      <c r="N155" s="51">
        <f t="shared" si="221"/>
        <v>9</v>
      </c>
      <c r="O155" s="52">
        <f t="shared" si="222"/>
        <v>17.647058823529413</v>
      </c>
      <c r="P155" s="53">
        <f>COUNTIFS('00 Encuesta'!$B$2:$B$511,"*c)*",'00 Encuesta'!$C$2:$C$511,"*b)*",'00 Encuesta'!$E$2:$E$511,"*a)*",'00 Encuesta'!$U$2:$U$511,"*c)*")</f>
        <v>4</v>
      </c>
      <c r="Q155" s="52">
        <f t="shared" si="223"/>
        <v>14.285714285714285</v>
      </c>
      <c r="R155" s="53">
        <f>COUNTIFS('00 Encuesta'!$B$2:$B$511,"*c)*",'00 Encuesta'!$C$2:$C$511,"*b)*",'00 Encuesta'!$E$2:$E$511,"*b)*",'00 Encuesta'!$U$2:$U$511,"*c)*")</f>
        <v>5</v>
      </c>
      <c r="S155" s="52">
        <f t="shared" si="224"/>
        <v>21.739130434782609</v>
      </c>
      <c r="T155" s="3"/>
      <c r="U155" s="51">
        <f t="shared" si="225"/>
        <v>3</v>
      </c>
      <c r="V155" s="52">
        <f t="shared" si="226"/>
        <v>6</v>
      </c>
      <c r="W155" s="53">
        <f>COUNTIFS('00 Encuesta'!$B$2:$B$511,"*c)*",'00 Encuesta'!$C$2:$C$511,"*d)*",'00 Encuesta'!$E$2:$E$511,"*a)*",'00 Encuesta'!$U$2:$U$511,"*c)*")</f>
        <v>1</v>
      </c>
      <c r="X155" s="52">
        <f t="shared" si="227"/>
        <v>3.7037037037037033</v>
      </c>
      <c r="Y155" s="53">
        <f>COUNTIFS('00 Encuesta'!$B$2:$B$511,"*c)*",'00 Encuesta'!$C$2:$C$511,"*d)*",'00 Encuesta'!$E$2:$E$511,"*b)*",'00 Encuesta'!$U$2:$U$511,"*c)*")</f>
        <v>2</v>
      </c>
      <c r="Z155" s="52">
        <f t="shared" si="228"/>
        <v>8.695652173913043</v>
      </c>
      <c r="AA155" s="3"/>
      <c r="AB155" s="62">
        <f t="shared" si="229"/>
        <v>24</v>
      </c>
      <c r="AC155" s="52">
        <f t="shared" si="230"/>
        <v>14.457831325301205</v>
      </c>
      <c r="AD155" s="7"/>
      <c r="AE155" s="7"/>
      <c r="AF155" s="9" t="str">
        <f t="shared" si="231"/>
        <v>c) El salón de clase</v>
      </c>
      <c r="AG155" s="72">
        <f t="shared" si="232"/>
        <v>18.181818181818183</v>
      </c>
      <c r="AH155" s="72">
        <f t="shared" si="233"/>
        <v>18.75</v>
      </c>
      <c r="AI155" s="73">
        <f t="shared" si="234"/>
        <v>18.461538461538463</v>
      </c>
      <c r="AJ155" s="73"/>
      <c r="AK155" s="76">
        <f t="shared" si="235"/>
        <v>14.285714285714285</v>
      </c>
      <c r="AL155" s="76">
        <f t="shared" si="236"/>
        <v>21.739130434782609</v>
      </c>
      <c r="AM155" s="76">
        <f t="shared" si="237"/>
        <v>17.647058823529413</v>
      </c>
      <c r="AN155" s="76"/>
      <c r="AO155" s="81">
        <f t="shared" si="238"/>
        <v>3.7037037037037033</v>
      </c>
      <c r="AP155" s="81">
        <f t="shared" si="239"/>
        <v>8.695652173913043</v>
      </c>
      <c r="AQ155" s="81">
        <f t="shared" si="240"/>
        <v>6</v>
      </c>
      <c r="AR155" s="7"/>
      <c r="AS155" s="76">
        <f t="shared" si="216"/>
        <v>14.457831325301205</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x14ac:dyDescent="0.3">
      <c r="A156" s="8" t="s">
        <v>21</v>
      </c>
      <c r="B156" s="9" t="s">
        <v>117</v>
      </c>
      <c r="C156" s="7"/>
      <c r="D156" s="7"/>
      <c r="E156" s="7"/>
      <c r="F156" s="71"/>
      <c r="G156" s="51">
        <f t="shared" si="217"/>
        <v>27</v>
      </c>
      <c r="H156" s="52">
        <f t="shared" si="218"/>
        <v>41.53846153846154</v>
      </c>
      <c r="I156" s="53">
        <f>COUNTIFS('00 Encuesta'!$B$2:$B$511,"*c)*",'00 Encuesta'!$C$2:$C$511,"*a)*",'00 Encuesta'!$E$2:$E$511,"*a)*",'00 Encuesta'!$U$2:$U$511,"*d)*")</f>
        <v>13</v>
      </c>
      <c r="J156" s="52">
        <f t="shared" si="219"/>
        <v>39.393939393939391</v>
      </c>
      <c r="K156" s="53">
        <f>COUNTIFS('00 Encuesta'!$B$2:$B$511,"*c)*",'00 Encuesta'!$C$2:$C$511,"*a)*",'00 Encuesta'!$E$2:$E$511,"*b)*",'00 Encuesta'!$U$2:$U$511,"*d)*")</f>
        <v>14</v>
      </c>
      <c r="L156" s="52">
        <f t="shared" si="220"/>
        <v>43.75</v>
      </c>
      <c r="M156" s="23"/>
      <c r="N156" s="51">
        <f t="shared" si="221"/>
        <v>24</v>
      </c>
      <c r="O156" s="52">
        <f t="shared" si="222"/>
        <v>47.058823529411761</v>
      </c>
      <c r="P156" s="53">
        <f>COUNTIFS('00 Encuesta'!$B$2:$B$511,"*c)*",'00 Encuesta'!$C$2:$C$511,"*b)*",'00 Encuesta'!$E$2:$E$511,"*a)*",'00 Encuesta'!$U$2:$U$511,"*d)*")</f>
        <v>14</v>
      </c>
      <c r="Q156" s="52">
        <f t="shared" si="223"/>
        <v>50</v>
      </c>
      <c r="R156" s="53">
        <f>COUNTIFS('00 Encuesta'!$B$2:$B$511,"*c)*",'00 Encuesta'!$C$2:$C$511,"*b)*",'00 Encuesta'!$E$2:$E$511,"*b)*",'00 Encuesta'!$U$2:$U$511,"*d)*")</f>
        <v>10</v>
      </c>
      <c r="S156" s="52">
        <f t="shared" si="224"/>
        <v>43.478260869565219</v>
      </c>
      <c r="T156" s="3"/>
      <c r="U156" s="51">
        <f t="shared" si="225"/>
        <v>23</v>
      </c>
      <c r="V156" s="52">
        <f t="shared" si="226"/>
        <v>46</v>
      </c>
      <c r="W156" s="53">
        <f>COUNTIFS('00 Encuesta'!$B$2:$B$511,"*c)*",'00 Encuesta'!$C$2:$C$511,"*d)*",'00 Encuesta'!$E$2:$E$511,"*a)*",'00 Encuesta'!$U$2:$U$511,"*d)*")</f>
        <v>11</v>
      </c>
      <c r="X156" s="52">
        <f t="shared" si="227"/>
        <v>40.74074074074074</v>
      </c>
      <c r="Y156" s="53">
        <f>COUNTIFS('00 Encuesta'!$B$2:$B$511,"*c)*",'00 Encuesta'!$C$2:$C$511,"*d)*",'00 Encuesta'!$E$2:$E$511,"*b)*",'00 Encuesta'!$U$2:$U$511,"*d)*")</f>
        <v>12</v>
      </c>
      <c r="Z156" s="52">
        <f t="shared" si="228"/>
        <v>52.173913043478258</v>
      </c>
      <c r="AA156" s="3"/>
      <c r="AB156" s="62">
        <f t="shared" si="229"/>
        <v>74</v>
      </c>
      <c r="AC156" s="52">
        <f t="shared" si="230"/>
        <v>44.578313253012048</v>
      </c>
      <c r="AD156" s="7"/>
      <c r="AE156" s="7"/>
      <c r="AF156" s="9" t="str">
        <f t="shared" si="231"/>
        <v>d) Las convivencias</v>
      </c>
      <c r="AG156" s="72">
        <f t="shared" si="232"/>
        <v>39.393939393939391</v>
      </c>
      <c r="AH156" s="72">
        <f t="shared" si="233"/>
        <v>43.75</v>
      </c>
      <c r="AI156" s="73">
        <f t="shared" si="234"/>
        <v>41.53846153846154</v>
      </c>
      <c r="AJ156" s="73"/>
      <c r="AK156" s="76">
        <f t="shared" si="235"/>
        <v>50</v>
      </c>
      <c r="AL156" s="76">
        <f t="shared" si="236"/>
        <v>43.478260869565219</v>
      </c>
      <c r="AM156" s="76">
        <f t="shared" si="237"/>
        <v>47.058823529411761</v>
      </c>
      <c r="AN156" s="76"/>
      <c r="AO156" s="81">
        <f t="shared" si="238"/>
        <v>40.74074074074074</v>
      </c>
      <c r="AP156" s="81">
        <f t="shared" si="239"/>
        <v>52.173913043478258</v>
      </c>
      <c r="AQ156" s="81">
        <f t="shared" si="240"/>
        <v>46</v>
      </c>
      <c r="AR156" s="7"/>
      <c r="AS156" s="76">
        <f t="shared" si="216"/>
        <v>44.578313253012048</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x14ac:dyDescent="0.3">
      <c r="A157" s="8" t="s">
        <v>22</v>
      </c>
      <c r="B157" s="9" t="s">
        <v>81</v>
      </c>
      <c r="C157" s="7"/>
      <c r="D157" s="7"/>
      <c r="E157" s="7"/>
      <c r="F157" s="71"/>
      <c r="G157" s="51">
        <f t="shared" si="217"/>
        <v>15</v>
      </c>
      <c r="H157" s="52">
        <f t="shared" si="218"/>
        <v>23.076923076923077</v>
      </c>
      <c r="I157" s="53">
        <f>COUNTIFS('00 Encuesta'!$B$2:$B$511,"*c)*",'00 Encuesta'!$C$2:$C$511,"*a)*",'00 Encuesta'!$E$2:$E$511,"*a)*",'00 Encuesta'!$U$2:$U$511,"*e)*")</f>
        <v>5</v>
      </c>
      <c r="J157" s="52">
        <f t="shared" si="219"/>
        <v>15.151515151515152</v>
      </c>
      <c r="K157" s="53">
        <f>COUNTIFS('00 Encuesta'!$B$2:$B$511,"*c)*",'00 Encuesta'!$C$2:$C$511,"*a)*",'00 Encuesta'!$E$2:$E$511,"*b)*",'00 Encuesta'!$U$2:$U$511,"*e)*")</f>
        <v>10</v>
      </c>
      <c r="L157" s="52">
        <f t="shared" si="220"/>
        <v>31.25</v>
      </c>
      <c r="M157" s="23"/>
      <c r="N157" s="51">
        <f t="shared" si="221"/>
        <v>20</v>
      </c>
      <c r="O157" s="52">
        <f t="shared" si="222"/>
        <v>39.215686274509807</v>
      </c>
      <c r="P157" s="53">
        <f>COUNTIFS('00 Encuesta'!$B$2:$B$511,"*c)*",'00 Encuesta'!$C$2:$C$511,"*b)*",'00 Encuesta'!$E$2:$E$511,"*a)*",'00 Encuesta'!$U$2:$U$511,"*e)*")</f>
        <v>11</v>
      </c>
      <c r="Q157" s="52">
        <f t="shared" si="223"/>
        <v>39.285714285714285</v>
      </c>
      <c r="R157" s="53">
        <f>COUNTIFS('00 Encuesta'!$B$2:$B$511,"*c)*",'00 Encuesta'!$C$2:$C$511,"*b)*",'00 Encuesta'!$E$2:$E$511,"*b)*",'00 Encuesta'!$U$2:$U$511,"*e)*")</f>
        <v>9</v>
      </c>
      <c r="S157" s="52">
        <f t="shared" si="224"/>
        <v>39.130434782608695</v>
      </c>
      <c r="T157" s="3"/>
      <c r="U157" s="51">
        <f t="shared" si="225"/>
        <v>13</v>
      </c>
      <c r="V157" s="52">
        <f t="shared" si="226"/>
        <v>26</v>
      </c>
      <c r="W157" s="53">
        <f>COUNTIFS('00 Encuesta'!$B$2:$B$511,"*c)*",'00 Encuesta'!$C$2:$C$511,"*d)*",'00 Encuesta'!$E$2:$E$511,"*a)*",'00 Encuesta'!$U$2:$U$511,"*e)*")</f>
        <v>4</v>
      </c>
      <c r="X157" s="52">
        <f t="shared" si="227"/>
        <v>14.814814814814813</v>
      </c>
      <c r="Y157" s="53">
        <f>COUNTIFS('00 Encuesta'!$B$2:$B$511,"*c)*",'00 Encuesta'!$C$2:$C$511,"*d)*",'00 Encuesta'!$E$2:$E$511,"*b)*",'00 Encuesta'!$U$2:$U$511,"*e)*")</f>
        <v>9</v>
      </c>
      <c r="Z157" s="52">
        <f t="shared" si="228"/>
        <v>39.130434782608695</v>
      </c>
      <c r="AA157" s="3"/>
      <c r="AB157" s="62">
        <f t="shared" si="229"/>
        <v>48</v>
      </c>
      <c r="AC157" s="52">
        <f t="shared" si="230"/>
        <v>28.91566265060241</v>
      </c>
      <c r="AD157" s="7"/>
      <c r="AE157" s="7"/>
      <c r="AF157" s="9" t="str">
        <f t="shared" si="231"/>
        <v>e) Los amigos</v>
      </c>
      <c r="AG157" s="72">
        <f t="shared" si="232"/>
        <v>15.151515151515152</v>
      </c>
      <c r="AH157" s="72">
        <f t="shared" si="233"/>
        <v>31.25</v>
      </c>
      <c r="AI157" s="73">
        <f t="shared" si="234"/>
        <v>23.076923076923077</v>
      </c>
      <c r="AJ157" s="73"/>
      <c r="AK157" s="76">
        <f t="shared" si="235"/>
        <v>39.285714285714285</v>
      </c>
      <c r="AL157" s="76">
        <f t="shared" si="236"/>
        <v>39.130434782608695</v>
      </c>
      <c r="AM157" s="76">
        <f t="shared" si="237"/>
        <v>39.215686274509807</v>
      </c>
      <c r="AN157" s="76"/>
      <c r="AO157" s="81">
        <f t="shared" si="238"/>
        <v>14.814814814814813</v>
      </c>
      <c r="AP157" s="81">
        <f t="shared" si="239"/>
        <v>39.130434782608695</v>
      </c>
      <c r="AQ157" s="81">
        <f t="shared" si="240"/>
        <v>26</v>
      </c>
      <c r="AR157" s="7"/>
      <c r="AS157" s="76">
        <f t="shared" si="216"/>
        <v>28.91566265060241</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x14ac:dyDescent="0.3">
      <c r="A158" s="8" t="s">
        <v>45</v>
      </c>
      <c r="B158" s="9" t="s">
        <v>118</v>
      </c>
      <c r="C158" s="7"/>
      <c r="D158" s="7"/>
      <c r="E158" s="7"/>
      <c r="F158" s="71"/>
      <c r="G158" s="51">
        <f t="shared" si="217"/>
        <v>4</v>
      </c>
      <c r="H158" s="52">
        <f t="shared" si="218"/>
        <v>6.1538461538461542</v>
      </c>
      <c r="I158" s="53">
        <f>COUNTIFS('00 Encuesta'!$B$2:$B$511,"*c)*",'00 Encuesta'!$C$2:$C$511,"*a)*",'00 Encuesta'!$E$2:$E$511,"*a)*",'00 Encuesta'!$U$2:$U$511,"*f)*")</f>
        <v>1</v>
      </c>
      <c r="J158" s="52">
        <f t="shared" si="219"/>
        <v>3.0303030303030303</v>
      </c>
      <c r="K158" s="53">
        <f>COUNTIFS('00 Encuesta'!$B$2:$B$511,"*c)*",'00 Encuesta'!$C$2:$C$511,"*a)*",'00 Encuesta'!$E$2:$E$511,"*b)*",'00 Encuesta'!$U$2:$U$511,"*f)*")</f>
        <v>3</v>
      </c>
      <c r="L158" s="52">
        <f t="shared" si="220"/>
        <v>9.375</v>
      </c>
      <c r="M158" s="23"/>
      <c r="N158" s="51">
        <f t="shared" si="221"/>
        <v>17</v>
      </c>
      <c r="O158" s="52">
        <f t="shared" si="222"/>
        <v>33.333333333333329</v>
      </c>
      <c r="P158" s="53">
        <f>COUNTIFS('00 Encuesta'!$B$2:$B$511,"*c)*",'00 Encuesta'!$C$2:$C$511,"*b)*",'00 Encuesta'!$E$2:$E$511,"*a)*",'00 Encuesta'!$U$2:$U$511,"*f)*")</f>
        <v>11</v>
      </c>
      <c r="Q158" s="52">
        <f t="shared" si="223"/>
        <v>39.285714285714285</v>
      </c>
      <c r="R158" s="53">
        <f>COUNTIFS('00 Encuesta'!$B$2:$B$511,"*c)*",'00 Encuesta'!$C$2:$C$511,"*b)*",'00 Encuesta'!$E$2:$E$511,"*b)*",'00 Encuesta'!$U$2:$U$511,"*f)*")</f>
        <v>6</v>
      </c>
      <c r="S158" s="52">
        <f t="shared" si="224"/>
        <v>26.086956521739129</v>
      </c>
      <c r="T158" s="3"/>
      <c r="U158" s="51">
        <f t="shared" si="225"/>
        <v>8</v>
      </c>
      <c r="V158" s="52">
        <f t="shared" si="226"/>
        <v>16</v>
      </c>
      <c r="W158" s="53">
        <f>COUNTIFS('00 Encuesta'!$B$2:$B$511,"*c)*",'00 Encuesta'!$C$2:$C$511,"*d)*",'00 Encuesta'!$E$2:$E$511,"*a)*",'00 Encuesta'!$U$2:$U$511,"*f)*")</f>
        <v>4</v>
      </c>
      <c r="X158" s="52">
        <f t="shared" si="227"/>
        <v>14.814814814814813</v>
      </c>
      <c r="Y158" s="53">
        <f>COUNTIFS('00 Encuesta'!$B$2:$B$511,"*c)*",'00 Encuesta'!$C$2:$C$511,"*d)*",'00 Encuesta'!$E$2:$E$511,"*b)*",'00 Encuesta'!$U$2:$U$511,"*f)*")</f>
        <v>4</v>
      </c>
      <c r="Z158" s="52">
        <f t="shared" si="228"/>
        <v>17.391304347826086</v>
      </c>
      <c r="AA158" s="3"/>
      <c r="AB158" s="62">
        <f t="shared" si="229"/>
        <v>29</v>
      </c>
      <c r="AC158" s="52">
        <f t="shared" si="230"/>
        <v>17.46987951807229</v>
      </c>
      <c r="AD158" s="7"/>
      <c r="AE158" s="7"/>
      <c r="AF158" s="9" t="str">
        <f t="shared" si="231"/>
        <v>f) Todas las personas</v>
      </c>
      <c r="AG158" s="72">
        <f t="shared" si="232"/>
        <v>3.0303030303030303</v>
      </c>
      <c r="AH158" s="72">
        <f t="shared" si="233"/>
        <v>9.375</v>
      </c>
      <c r="AI158" s="73">
        <f t="shared" si="234"/>
        <v>6.1538461538461542</v>
      </c>
      <c r="AJ158" s="73"/>
      <c r="AK158" s="76">
        <f t="shared" si="235"/>
        <v>39.285714285714285</v>
      </c>
      <c r="AL158" s="76">
        <f t="shared" si="236"/>
        <v>26.086956521739129</v>
      </c>
      <c r="AM158" s="76">
        <f t="shared" si="237"/>
        <v>33.333333333333329</v>
      </c>
      <c r="AN158" s="76"/>
      <c r="AO158" s="81">
        <f t="shared" si="238"/>
        <v>14.814814814814813</v>
      </c>
      <c r="AP158" s="81">
        <f t="shared" si="239"/>
        <v>17.391304347826086</v>
      </c>
      <c r="AQ158" s="81">
        <f t="shared" si="240"/>
        <v>16</v>
      </c>
      <c r="AR158" s="7"/>
      <c r="AS158" s="76">
        <f t="shared" si="216"/>
        <v>17.46987951807229</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x14ac:dyDescent="0.3">
      <c r="A159" s="8" t="s">
        <v>61</v>
      </c>
      <c r="B159" s="9" t="s">
        <v>119</v>
      </c>
      <c r="C159" s="7"/>
      <c r="D159" s="7"/>
      <c r="E159" s="56"/>
      <c r="F159" s="71"/>
      <c r="G159" s="51">
        <f t="shared" si="217"/>
        <v>39</v>
      </c>
      <c r="H159" s="52">
        <f t="shared" si="218"/>
        <v>60</v>
      </c>
      <c r="I159" s="53">
        <f>COUNTIFS('00 Encuesta'!$B$2:$B$511,"*c)*",'00 Encuesta'!$C$2:$C$511,"*a)*",'00 Encuesta'!$E$2:$E$511,"*a)*",'00 Encuesta'!$U$2:$U$511,"*g)*")</f>
        <v>21</v>
      </c>
      <c r="J159" s="52">
        <f t="shared" si="219"/>
        <v>63.636363636363633</v>
      </c>
      <c r="K159" s="53">
        <f>COUNTIFS('00 Encuesta'!$B$2:$B$511,"*c)*",'00 Encuesta'!$C$2:$C$511,"*a)*",'00 Encuesta'!$E$2:$E$511,"*b)*",'00 Encuesta'!$U$2:$U$511,"*g)*")</f>
        <v>18</v>
      </c>
      <c r="L159" s="52">
        <f t="shared" ref="L159:L164" si="241">K159/$J$7*100</f>
        <v>56.25</v>
      </c>
      <c r="M159" s="23"/>
      <c r="N159" s="51">
        <f t="shared" ref="N159:N163" si="242">P159+R159</f>
        <v>36</v>
      </c>
      <c r="O159" s="52">
        <f t="shared" ref="O159:O164" si="243">N159/$Q$5*100</f>
        <v>70.588235294117652</v>
      </c>
      <c r="P159" s="53">
        <f>COUNTIFS('00 Encuesta'!$B$2:$B$511,"*c)*",'00 Encuesta'!$C$2:$C$511,"*b)*",'00 Encuesta'!$E$2:$E$511,"*a)*",'00 Encuesta'!$U$2:$U$511,"*g)*")</f>
        <v>22</v>
      </c>
      <c r="Q159" s="52">
        <f t="shared" si="223"/>
        <v>78.571428571428569</v>
      </c>
      <c r="R159" s="53">
        <f>COUNTIFS('00 Encuesta'!$B$2:$B$511,"*c)*",'00 Encuesta'!$C$2:$C$511,"*b)*",'00 Encuesta'!$E$2:$E$511,"*b)*",'00 Encuesta'!$U$2:$U$511,"*g)*")</f>
        <v>14</v>
      </c>
      <c r="S159" s="52">
        <f t="shared" ref="S159:S164" si="244">R159/$Q$7*100</f>
        <v>60.869565217391312</v>
      </c>
      <c r="T159" s="3"/>
      <c r="U159" s="51">
        <f t="shared" ref="U159:U163" si="245">W159+Y159</f>
        <v>22</v>
      </c>
      <c r="V159" s="52">
        <f t="shared" ref="V159:V164" si="246">U159/$X$5*100</f>
        <v>44</v>
      </c>
      <c r="W159" s="53">
        <f>COUNTIFS('00 Encuesta'!$B$2:$B$511,"*c)*",'00 Encuesta'!$C$2:$C$511,"*d)*",'00 Encuesta'!$E$2:$E$511,"*a)*",'00 Encuesta'!$U$2:$U$511,"*g)*")</f>
        <v>10</v>
      </c>
      <c r="X159" s="52">
        <f t="shared" si="227"/>
        <v>37.037037037037038</v>
      </c>
      <c r="Y159" s="53">
        <f>COUNTIFS('00 Encuesta'!$B$2:$B$511,"*c)*",'00 Encuesta'!$C$2:$C$511,"*d)*",'00 Encuesta'!$E$2:$E$511,"*b)*",'00 Encuesta'!$U$2:$U$511,"*g)*")</f>
        <v>12</v>
      </c>
      <c r="Z159" s="52">
        <f t="shared" si="228"/>
        <v>52.173913043478258</v>
      </c>
      <c r="AA159" s="3"/>
      <c r="AB159" s="62">
        <f t="shared" si="229"/>
        <v>97</v>
      </c>
      <c r="AC159" s="52">
        <f t="shared" si="230"/>
        <v>58.433734939759034</v>
      </c>
      <c r="AD159" s="7"/>
      <c r="AE159" s="7"/>
      <c r="AF159" s="9" t="str">
        <f t="shared" si="231"/>
        <v>g) Mi familia</v>
      </c>
      <c r="AG159" s="72">
        <f t="shared" si="232"/>
        <v>63.636363636363633</v>
      </c>
      <c r="AH159" s="72">
        <f t="shared" si="233"/>
        <v>56.25</v>
      </c>
      <c r="AI159" s="73">
        <f t="shared" si="234"/>
        <v>60</v>
      </c>
      <c r="AJ159" s="73"/>
      <c r="AK159" s="76">
        <f t="shared" si="235"/>
        <v>78.571428571428569</v>
      </c>
      <c r="AL159" s="76">
        <f t="shared" si="236"/>
        <v>60.869565217391312</v>
      </c>
      <c r="AM159" s="76">
        <f t="shared" si="237"/>
        <v>70.588235294117652</v>
      </c>
      <c r="AN159" s="76"/>
      <c r="AO159" s="81">
        <f t="shared" si="238"/>
        <v>37.037037037037038</v>
      </c>
      <c r="AP159" s="81">
        <f t="shared" si="239"/>
        <v>52.173913043478258</v>
      </c>
      <c r="AQ159" s="81">
        <f t="shared" si="240"/>
        <v>44</v>
      </c>
      <c r="AR159" s="7"/>
      <c r="AS159" s="76">
        <f t="shared" si="216"/>
        <v>58.433734939759034</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x14ac:dyDescent="0.3">
      <c r="A160" s="8" t="s">
        <v>63</v>
      </c>
      <c r="B160" s="9" t="s">
        <v>120</v>
      </c>
      <c r="C160" s="7"/>
      <c r="D160" s="7"/>
      <c r="E160" s="7"/>
      <c r="F160" s="71"/>
      <c r="G160" s="51">
        <f t="shared" si="217"/>
        <v>18</v>
      </c>
      <c r="H160" s="52">
        <f t="shared" si="218"/>
        <v>27.692307692307693</v>
      </c>
      <c r="I160" s="53">
        <f>COUNTIFS('00 Encuesta'!$B$2:$B$511,"*c)*",'00 Encuesta'!$C$2:$C$511,"*a)*",'00 Encuesta'!$E$2:$E$511,"*a)*",'00 Encuesta'!$U$2:$U$511,"*h)*")</f>
        <v>7</v>
      </c>
      <c r="J160" s="52">
        <f t="shared" si="219"/>
        <v>21.212121212121211</v>
      </c>
      <c r="K160" s="53">
        <f>COUNTIFS('00 Encuesta'!$B$2:$B$511,"*c)*",'00 Encuesta'!$C$2:$C$511,"*a)*",'00 Encuesta'!$E$2:$E$511,"*b)*",'00 Encuesta'!$U$2:$U$511,"*h)*")</f>
        <v>11</v>
      </c>
      <c r="L160" s="52">
        <f t="shared" si="241"/>
        <v>34.375</v>
      </c>
      <c r="M160" s="23"/>
      <c r="N160" s="51">
        <f t="shared" si="242"/>
        <v>15</v>
      </c>
      <c r="O160" s="52">
        <f t="shared" si="243"/>
        <v>29.411764705882355</v>
      </c>
      <c r="P160" s="53">
        <f>COUNTIFS('00 Encuesta'!$B$2:$B$511,"*c)*",'00 Encuesta'!$C$2:$C$511,"*b)*",'00 Encuesta'!$E$2:$E$511,"*a)*",'00 Encuesta'!$U$2:$U$511,"*h)*")</f>
        <v>9</v>
      </c>
      <c r="Q160" s="52">
        <f t="shared" si="223"/>
        <v>32.142857142857146</v>
      </c>
      <c r="R160" s="53">
        <f>COUNTIFS('00 Encuesta'!$B$2:$B$511,"*c)*",'00 Encuesta'!$C$2:$C$511,"*b)*",'00 Encuesta'!$E$2:$E$511,"*b)*",'00 Encuesta'!$U$2:$U$511,"*h)*")</f>
        <v>6</v>
      </c>
      <c r="S160" s="52">
        <f t="shared" si="244"/>
        <v>26.086956521739129</v>
      </c>
      <c r="T160" s="3"/>
      <c r="U160" s="51">
        <f t="shared" si="245"/>
        <v>13</v>
      </c>
      <c r="V160" s="52">
        <f t="shared" si="246"/>
        <v>26</v>
      </c>
      <c r="W160" s="53">
        <f>COUNTIFS('00 Encuesta'!$B$2:$B$511,"*c)*",'00 Encuesta'!$C$2:$C$511,"*d)*",'00 Encuesta'!$E$2:$E$511,"*a)*",'00 Encuesta'!$U$2:$U$511,"*h)*")</f>
        <v>3</v>
      </c>
      <c r="X160" s="52">
        <f t="shared" si="227"/>
        <v>11.111111111111111</v>
      </c>
      <c r="Y160" s="53">
        <f>COUNTIFS('00 Encuesta'!$B$2:$B$511,"*c)*",'00 Encuesta'!$C$2:$C$511,"*d)*",'00 Encuesta'!$E$2:$E$511,"*b)*",'00 Encuesta'!$U$2:$U$511,"*h)*")</f>
        <v>10</v>
      </c>
      <c r="Z160" s="52">
        <f t="shared" si="228"/>
        <v>43.478260869565219</v>
      </c>
      <c r="AA160" s="3"/>
      <c r="AB160" s="62">
        <f t="shared" si="229"/>
        <v>46</v>
      </c>
      <c r="AC160" s="52">
        <f t="shared" si="230"/>
        <v>27.710843373493976</v>
      </c>
      <c r="AD160" s="7"/>
      <c r="AE160" s="7"/>
      <c r="AF160" s="9" t="str">
        <f t="shared" si="231"/>
        <v>h) Algunas personas cercanas a dios</v>
      </c>
      <c r="AG160" s="72">
        <f t="shared" si="232"/>
        <v>21.212121212121211</v>
      </c>
      <c r="AH160" s="72">
        <f t="shared" si="233"/>
        <v>34.375</v>
      </c>
      <c r="AI160" s="73">
        <f t="shared" si="234"/>
        <v>27.692307692307693</v>
      </c>
      <c r="AJ160" s="73"/>
      <c r="AK160" s="76">
        <f t="shared" si="235"/>
        <v>32.142857142857146</v>
      </c>
      <c r="AL160" s="76">
        <f t="shared" si="236"/>
        <v>26.086956521739129</v>
      </c>
      <c r="AM160" s="76">
        <f t="shared" si="237"/>
        <v>29.411764705882355</v>
      </c>
      <c r="AN160" s="76"/>
      <c r="AO160" s="81">
        <f t="shared" si="238"/>
        <v>11.111111111111111</v>
      </c>
      <c r="AP160" s="81">
        <f t="shared" si="239"/>
        <v>43.478260869565219</v>
      </c>
      <c r="AQ160" s="81">
        <f t="shared" si="240"/>
        <v>26</v>
      </c>
      <c r="AR160" s="7"/>
      <c r="AS160" s="76">
        <f t="shared" si="216"/>
        <v>27.710843373493976</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x14ac:dyDescent="0.3">
      <c r="A161" s="8" t="s">
        <v>65</v>
      </c>
      <c r="B161" s="9" t="s">
        <v>121</v>
      </c>
      <c r="C161" s="7"/>
      <c r="D161" s="7"/>
      <c r="E161" s="7"/>
      <c r="F161" s="71"/>
      <c r="G161" s="51">
        <f t="shared" si="217"/>
        <v>20</v>
      </c>
      <c r="H161" s="52">
        <f t="shared" si="218"/>
        <v>30.76923076923077</v>
      </c>
      <c r="I161" s="53">
        <f>COUNTIFS('00 Encuesta'!$B$2:$B$511,"*c)*",'00 Encuesta'!$C$2:$C$511,"*a)*",'00 Encuesta'!$E$2:$E$511,"*a)*",'00 Encuesta'!$U$2:$U$511,"*i)*")</f>
        <v>7</v>
      </c>
      <c r="J161" s="52">
        <f t="shared" si="219"/>
        <v>21.212121212121211</v>
      </c>
      <c r="K161" s="53">
        <f>COUNTIFS('00 Encuesta'!$B$2:$B$511,"*c)*",'00 Encuesta'!$C$2:$C$511,"*a)*",'00 Encuesta'!$E$2:$E$511,"*b)*",'00 Encuesta'!$U$2:$U$511,"*i)*")</f>
        <v>13</v>
      </c>
      <c r="L161" s="52">
        <f t="shared" si="241"/>
        <v>40.625</v>
      </c>
      <c r="M161" s="23"/>
      <c r="N161" s="51">
        <f t="shared" si="242"/>
        <v>14</v>
      </c>
      <c r="O161" s="52">
        <f t="shared" si="243"/>
        <v>27.450980392156865</v>
      </c>
      <c r="P161" s="53">
        <f>COUNTIFS('00 Encuesta'!$B$2:$B$511,"*c)*",'00 Encuesta'!$C$2:$C$511,"*b)*",'00 Encuesta'!$E$2:$E$511,"*a)*",'00 Encuesta'!$U$2:$U$511,"*i)*")</f>
        <v>8</v>
      </c>
      <c r="Q161" s="52">
        <f t="shared" si="223"/>
        <v>28.571428571428569</v>
      </c>
      <c r="R161" s="53">
        <f>COUNTIFS('00 Encuesta'!$B$2:$B$511,"*c)*",'00 Encuesta'!$C$2:$C$511,"*b)*",'00 Encuesta'!$E$2:$E$511,"*b)*",'00 Encuesta'!$U$2:$U$511,"*i)*")</f>
        <v>6</v>
      </c>
      <c r="S161" s="52">
        <f t="shared" si="244"/>
        <v>26.086956521739129</v>
      </c>
      <c r="T161" s="3"/>
      <c r="U161" s="51">
        <f t="shared" si="245"/>
        <v>17</v>
      </c>
      <c r="V161" s="52">
        <f t="shared" si="246"/>
        <v>34</v>
      </c>
      <c r="W161" s="53">
        <f>COUNTIFS('00 Encuesta'!$B$2:$B$511,"*c)*",'00 Encuesta'!$C$2:$C$511,"*d)*",'00 Encuesta'!$E$2:$E$511,"*a)*",'00 Encuesta'!$U$2:$U$511,"*i)*")</f>
        <v>9</v>
      </c>
      <c r="X161" s="52">
        <f t="shared" si="227"/>
        <v>33.333333333333329</v>
      </c>
      <c r="Y161" s="53">
        <f>COUNTIFS('00 Encuesta'!$B$2:$B$511,"*c)*",'00 Encuesta'!$C$2:$C$511,"*d)*",'00 Encuesta'!$E$2:$E$511,"*b)*",'00 Encuesta'!$U$2:$U$511,"*i)*")</f>
        <v>8</v>
      </c>
      <c r="Z161" s="52">
        <f t="shared" si="228"/>
        <v>34.782608695652172</v>
      </c>
      <c r="AA161" s="3"/>
      <c r="AB161" s="62">
        <f t="shared" si="229"/>
        <v>51</v>
      </c>
      <c r="AC161" s="52">
        <f t="shared" si="230"/>
        <v>30.722891566265059</v>
      </c>
      <c r="AD161" s="7"/>
      <c r="AE161" s="7"/>
      <c r="AF161" s="9" t="str">
        <f t="shared" si="231"/>
        <v>i) Los necesitados</v>
      </c>
      <c r="AG161" s="72">
        <f t="shared" si="232"/>
        <v>21.212121212121211</v>
      </c>
      <c r="AH161" s="72">
        <f t="shared" si="233"/>
        <v>40.625</v>
      </c>
      <c r="AI161" s="73">
        <f t="shared" si="234"/>
        <v>30.76923076923077</v>
      </c>
      <c r="AJ161" s="73"/>
      <c r="AK161" s="76">
        <f t="shared" si="235"/>
        <v>28.571428571428569</v>
      </c>
      <c r="AL161" s="76">
        <f t="shared" si="236"/>
        <v>26.086956521739129</v>
      </c>
      <c r="AM161" s="76">
        <f t="shared" si="237"/>
        <v>27.450980392156865</v>
      </c>
      <c r="AN161" s="76"/>
      <c r="AO161" s="81">
        <f t="shared" si="238"/>
        <v>33.333333333333329</v>
      </c>
      <c r="AP161" s="81">
        <f t="shared" si="239"/>
        <v>34.782608695652172</v>
      </c>
      <c r="AQ161" s="81">
        <f t="shared" si="240"/>
        <v>34</v>
      </c>
      <c r="AR161" s="7"/>
      <c r="AS161" s="76">
        <f t="shared" si="216"/>
        <v>30.722891566265059</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x14ac:dyDescent="0.3">
      <c r="A162" s="8" t="s">
        <v>67</v>
      </c>
      <c r="B162" s="9" t="s">
        <v>122</v>
      </c>
      <c r="C162" s="7"/>
      <c r="D162" s="7"/>
      <c r="E162" s="7"/>
      <c r="F162" s="71"/>
      <c r="G162" s="51">
        <f t="shared" si="217"/>
        <v>18</v>
      </c>
      <c r="H162" s="52">
        <f t="shared" si="218"/>
        <v>27.692307692307693</v>
      </c>
      <c r="I162" s="53">
        <f>COUNTIFS('00 Encuesta'!$B$2:$B$511,"*c)*",'00 Encuesta'!$C$2:$C$511,"*a)*",'00 Encuesta'!$E$2:$E$511,"*a)*",'00 Encuesta'!$U$2:$U$511,"*j)*")</f>
        <v>8</v>
      </c>
      <c r="J162" s="52">
        <f t="shared" si="219"/>
        <v>24.242424242424242</v>
      </c>
      <c r="K162" s="53">
        <f>COUNTIFS('00 Encuesta'!$B$2:$B$511,"*c)*",'00 Encuesta'!$C$2:$C$511,"*a)*",'00 Encuesta'!$E$2:$E$511,"*b)*",'00 Encuesta'!$U$2:$U$511,"*j)*")</f>
        <v>10</v>
      </c>
      <c r="L162" s="52">
        <f t="shared" si="241"/>
        <v>31.25</v>
      </c>
      <c r="M162" s="23"/>
      <c r="N162" s="51">
        <f t="shared" si="242"/>
        <v>18</v>
      </c>
      <c r="O162" s="52">
        <f t="shared" si="243"/>
        <v>35.294117647058826</v>
      </c>
      <c r="P162" s="53">
        <f>COUNTIFS('00 Encuesta'!$B$2:$B$511,"*c)*",'00 Encuesta'!$C$2:$C$511,"*b)*",'00 Encuesta'!$E$2:$E$511,"*a)*",'00 Encuesta'!$U$2:$U$511,"*j)*")</f>
        <v>10</v>
      </c>
      <c r="Q162" s="52">
        <f t="shared" si="223"/>
        <v>35.714285714285715</v>
      </c>
      <c r="R162" s="53">
        <f>COUNTIFS('00 Encuesta'!$B$2:$B$511,"*c)*",'00 Encuesta'!$C$2:$C$511,"*b)*",'00 Encuesta'!$E$2:$E$511,"*b)*",'00 Encuesta'!$U$2:$U$511,"*j)*")</f>
        <v>8</v>
      </c>
      <c r="S162" s="52">
        <f t="shared" si="244"/>
        <v>34.782608695652172</v>
      </c>
      <c r="T162" s="3"/>
      <c r="U162" s="51">
        <f t="shared" si="245"/>
        <v>11</v>
      </c>
      <c r="V162" s="52">
        <f t="shared" si="246"/>
        <v>22</v>
      </c>
      <c r="W162" s="53">
        <f>COUNTIFS('00 Encuesta'!$B$2:$B$511,"*c)*",'00 Encuesta'!$C$2:$C$511,"*d)*",'00 Encuesta'!$E$2:$E$511,"*a)*",'00 Encuesta'!$U$2:$U$511,"*j)*")</f>
        <v>6</v>
      </c>
      <c r="X162" s="52">
        <f t="shared" si="227"/>
        <v>22.222222222222221</v>
      </c>
      <c r="Y162" s="53">
        <f>COUNTIFS('00 Encuesta'!$B$2:$B$511,"*c)*",'00 Encuesta'!$C$2:$C$511,"*d)*",'00 Encuesta'!$E$2:$E$511,"*b)*",'00 Encuesta'!$U$2:$U$511,"*j)*")</f>
        <v>5</v>
      </c>
      <c r="Z162" s="52">
        <f t="shared" si="228"/>
        <v>21.739130434782609</v>
      </c>
      <c r="AA162" s="3"/>
      <c r="AB162" s="62">
        <f t="shared" si="229"/>
        <v>47</v>
      </c>
      <c r="AC162" s="52">
        <f t="shared" si="230"/>
        <v>28.313253012048193</v>
      </c>
      <c r="AD162" s="7"/>
      <c r="AE162" s="7"/>
      <c r="AF162" s="9" t="str">
        <f t="shared" si="231"/>
        <v>j) Todas partes</v>
      </c>
      <c r="AG162" s="72">
        <f t="shared" si="232"/>
        <v>24.242424242424242</v>
      </c>
      <c r="AH162" s="72">
        <f t="shared" si="233"/>
        <v>31.25</v>
      </c>
      <c r="AI162" s="73">
        <f t="shared" si="234"/>
        <v>27.692307692307693</v>
      </c>
      <c r="AJ162" s="73"/>
      <c r="AK162" s="76">
        <f t="shared" si="235"/>
        <v>35.714285714285715</v>
      </c>
      <c r="AL162" s="76">
        <f t="shared" si="236"/>
        <v>34.782608695652172</v>
      </c>
      <c r="AM162" s="76">
        <f t="shared" si="237"/>
        <v>35.294117647058826</v>
      </c>
      <c r="AN162" s="76"/>
      <c r="AO162" s="81">
        <f t="shared" si="238"/>
        <v>22.222222222222221</v>
      </c>
      <c r="AP162" s="81">
        <f t="shared" si="239"/>
        <v>21.739130434782609</v>
      </c>
      <c r="AQ162" s="81">
        <f t="shared" si="240"/>
        <v>22</v>
      </c>
      <c r="AR162" s="7"/>
      <c r="AS162" s="76">
        <f t="shared" si="216"/>
        <v>28.313253012048193</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217"/>
        <v>40</v>
      </c>
      <c r="H163" s="52">
        <f t="shared" si="218"/>
        <v>61.53846153846154</v>
      </c>
      <c r="I163" s="53">
        <f>COUNTIFS('00 Encuesta'!$B$2:$B$511,"*c)*",'00 Encuesta'!$C$2:$C$511,"*a)*",'00 Encuesta'!$E$2:$E$511,"*a)*",'00 Encuesta'!$U$2:$U$511,"*k)*")</f>
        <v>16</v>
      </c>
      <c r="J163" s="52">
        <f t="shared" si="219"/>
        <v>48.484848484848484</v>
      </c>
      <c r="K163" s="53">
        <f>COUNTIFS('00 Encuesta'!$B$2:$B$511,"*c)*",'00 Encuesta'!$C$2:$C$511,"*a)*",'00 Encuesta'!$E$2:$E$511,"*b)*",'00 Encuesta'!$U$2:$U$511,"*k)*")</f>
        <v>24</v>
      </c>
      <c r="L163" s="52">
        <f t="shared" si="241"/>
        <v>75</v>
      </c>
      <c r="M163" s="23"/>
      <c r="N163" s="51">
        <f t="shared" si="242"/>
        <v>32</v>
      </c>
      <c r="O163" s="52">
        <f t="shared" si="243"/>
        <v>62.745098039215684</v>
      </c>
      <c r="P163" s="53">
        <f>COUNTIFS('00 Encuesta'!$B$2:$B$511,"*c)*",'00 Encuesta'!$C$2:$C$511,"*b)*",'00 Encuesta'!$E$2:$E$511,"*a)*",'00 Encuesta'!$U$2:$U$511,"*k)*")</f>
        <v>20</v>
      </c>
      <c r="Q163" s="52">
        <f t="shared" si="223"/>
        <v>71.428571428571431</v>
      </c>
      <c r="R163" s="53">
        <f>COUNTIFS('00 Encuesta'!$B$2:$B$511,"*c)*",'00 Encuesta'!$C$2:$C$511,"*b)*",'00 Encuesta'!$E$2:$E$511,"*b)*",'00 Encuesta'!$U$2:$U$511,"*k)*")</f>
        <v>12</v>
      </c>
      <c r="S163" s="52">
        <f t="shared" si="244"/>
        <v>52.173913043478258</v>
      </c>
      <c r="T163" s="3"/>
      <c r="U163" s="51">
        <f t="shared" si="245"/>
        <v>30</v>
      </c>
      <c r="V163" s="52">
        <f t="shared" si="246"/>
        <v>60</v>
      </c>
      <c r="W163" s="53">
        <f>COUNTIFS('00 Encuesta'!$B$2:$B$511,"*c)*",'00 Encuesta'!$C$2:$C$511,"*d)*",'00 Encuesta'!$E$2:$E$511,"*a)*",'00 Encuesta'!$U$2:$U$511,"*k)*")</f>
        <v>16</v>
      </c>
      <c r="X163" s="52">
        <f t="shared" si="227"/>
        <v>59.259259259259252</v>
      </c>
      <c r="Y163" s="53">
        <f>COUNTIFS('00 Encuesta'!$B$2:$B$511,"*c)*",'00 Encuesta'!$C$2:$C$511,"*d)*",'00 Encuesta'!$E$2:$E$511,"*b)*",'00 Encuesta'!$U$2:$U$511,"*k)*")</f>
        <v>14</v>
      </c>
      <c r="Z163" s="52">
        <f t="shared" si="228"/>
        <v>60.869565217391312</v>
      </c>
      <c r="AA163" s="3"/>
      <c r="AB163" s="62">
        <f t="shared" si="229"/>
        <v>102</v>
      </c>
      <c r="AC163" s="52">
        <f t="shared" si="230"/>
        <v>61.445783132530117</v>
      </c>
      <c r="AD163" s="7"/>
      <c r="AE163" s="7"/>
      <c r="AF163" s="9" t="str">
        <f t="shared" si="231"/>
        <v>k) Oración</v>
      </c>
      <c r="AG163" s="72">
        <f t="shared" si="232"/>
        <v>48.484848484848484</v>
      </c>
      <c r="AH163" s="72">
        <f t="shared" si="233"/>
        <v>75</v>
      </c>
      <c r="AI163" s="73">
        <f t="shared" si="234"/>
        <v>61.53846153846154</v>
      </c>
      <c r="AJ163" s="73"/>
      <c r="AK163" s="76">
        <f t="shared" si="235"/>
        <v>71.428571428571431</v>
      </c>
      <c r="AL163" s="76">
        <f t="shared" si="236"/>
        <v>52.173913043478258</v>
      </c>
      <c r="AM163" s="76">
        <f t="shared" si="237"/>
        <v>62.745098039215684</v>
      </c>
      <c r="AN163" s="76"/>
      <c r="AO163" s="81">
        <f t="shared" si="238"/>
        <v>59.259259259259252</v>
      </c>
      <c r="AP163" s="81">
        <f t="shared" si="239"/>
        <v>60.869565217391312</v>
      </c>
      <c r="AQ163" s="81">
        <f t="shared" si="240"/>
        <v>60</v>
      </c>
      <c r="AR163" s="7"/>
      <c r="AS163" s="76">
        <f t="shared" si="216"/>
        <v>61.445783132530117</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x14ac:dyDescent="0.3">
      <c r="A164" s="1" t="s">
        <v>124</v>
      </c>
      <c r="B164" s="2" t="s">
        <v>125</v>
      </c>
      <c r="C164" s="3"/>
      <c r="D164" s="7"/>
      <c r="E164" s="7"/>
      <c r="F164" s="71"/>
      <c r="G164" s="51">
        <f t="shared" si="217"/>
        <v>19</v>
      </c>
      <c r="H164" s="52">
        <f t="shared" si="218"/>
        <v>29.230769230769234</v>
      </c>
      <c r="I164" s="53">
        <f>COUNTIFS('00 Encuesta'!$B$2:$B$511,"*c)*",'00 Encuesta'!$C$2:$C$511,"*a)*",'00 Encuesta'!$E$2:$E$511,"*a)*",'00 Encuesta'!$U$2:$U$511,"*l)*")</f>
        <v>10</v>
      </c>
      <c r="J164" s="52">
        <f t="shared" si="219"/>
        <v>30.303030303030305</v>
      </c>
      <c r="K164" s="53">
        <f>COUNTIFS('00 Encuesta'!$B$2:$B$511,"*c)*",'00 Encuesta'!$C$2:$C$511,"*a)*",'00 Encuesta'!$E$2:$E$511,"*b)*",'00 Encuesta'!$U$2:$U$511,"*l)*")</f>
        <v>9</v>
      </c>
      <c r="L164" s="52">
        <f t="shared" si="241"/>
        <v>28.125</v>
      </c>
      <c r="M164" s="23"/>
      <c r="N164" s="51">
        <f t="shared" ref="N164" si="247">P164+R164</f>
        <v>11</v>
      </c>
      <c r="O164" s="52">
        <f t="shared" si="243"/>
        <v>21.568627450980394</v>
      </c>
      <c r="P164" s="53">
        <f>COUNTIFS('00 Encuesta'!$B$2:$B$511,"*c)*",'00 Encuesta'!$C$2:$C$511,"*b)*",'00 Encuesta'!$E$2:$E$511,"*a)*",'00 Encuesta'!$U$2:$U$511,"*l)*")</f>
        <v>8</v>
      </c>
      <c r="Q164" s="52">
        <f t="shared" si="223"/>
        <v>28.571428571428569</v>
      </c>
      <c r="R164" s="53">
        <f>COUNTIFS('00 Encuesta'!$B$2:$B$511,"*c)*",'00 Encuesta'!$C$2:$C$511,"*b)*",'00 Encuesta'!$E$2:$E$511,"*b)*",'00 Encuesta'!$U$2:$U$511,"*l)*")</f>
        <v>3</v>
      </c>
      <c r="S164" s="52">
        <f t="shared" si="244"/>
        <v>13.043478260869565</v>
      </c>
      <c r="T164" s="3"/>
      <c r="U164" s="51">
        <f t="shared" ref="U164" si="248">W164+Y164</f>
        <v>5</v>
      </c>
      <c r="V164" s="52">
        <f t="shared" si="246"/>
        <v>10</v>
      </c>
      <c r="W164" s="53">
        <f>COUNTIFS('00 Encuesta'!$B$2:$B$511,"*c)*",'00 Encuesta'!$C$2:$C$511,"*d)*",'00 Encuesta'!$E$2:$E$511,"*a)*",'00 Encuesta'!$U$2:$U$511,"*l)*")</f>
        <v>3</v>
      </c>
      <c r="X164" s="52">
        <f t="shared" si="227"/>
        <v>11.111111111111111</v>
      </c>
      <c r="Y164" s="53">
        <f>COUNTIFS('00 Encuesta'!$B$2:$B$511,"*c)*",'00 Encuesta'!$C$2:$C$511,"*d)*",'00 Encuesta'!$E$2:$E$511,"*b)*",'00 Encuesta'!$U$2:$U$511,"*l)*")</f>
        <v>2</v>
      </c>
      <c r="Z164" s="52">
        <f t="shared" si="228"/>
        <v>8.695652173913043</v>
      </c>
      <c r="AA164" s="3"/>
      <c r="AB164" s="62">
        <f t="shared" si="229"/>
        <v>35</v>
      </c>
      <c r="AC164" s="52">
        <f t="shared" si="230"/>
        <v>21.08433734939759</v>
      </c>
      <c r="AD164" s="7"/>
      <c r="AE164" s="7"/>
      <c r="AF164" s="9" t="str">
        <f t="shared" si="231"/>
        <v>l) Sacramentos</v>
      </c>
      <c r="AG164" s="72">
        <f t="shared" si="232"/>
        <v>30.303030303030305</v>
      </c>
      <c r="AH164" s="72">
        <f t="shared" si="233"/>
        <v>28.125</v>
      </c>
      <c r="AI164" s="73">
        <f t="shared" si="234"/>
        <v>29.230769230769234</v>
      </c>
      <c r="AJ164" s="73"/>
      <c r="AK164" s="76">
        <f t="shared" si="235"/>
        <v>28.571428571428569</v>
      </c>
      <c r="AL164" s="76">
        <f t="shared" si="236"/>
        <v>13.043478260869565</v>
      </c>
      <c r="AM164" s="76">
        <f t="shared" si="237"/>
        <v>21.568627450980394</v>
      </c>
      <c r="AN164" s="76"/>
      <c r="AO164" s="81">
        <f t="shared" si="238"/>
        <v>11.111111111111111</v>
      </c>
      <c r="AP164" s="81">
        <f t="shared" si="239"/>
        <v>8.695652173913043</v>
      </c>
      <c r="AQ164" s="81">
        <f t="shared" si="240"/>
        <v>10</v>
      </c>
      <c r="AR164" s="7"/>
      <c r="AS164" s="76">
        <f t="shared" si="216"/>
        <v>21.08433734939759</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x14ac:dyDescent="0.3">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231"/>
        <v>S/R Sin Respuesta</v>
      </c>
      <c r="AG165" s="72">
        <f t="shared" si="232"/>
        <v>0</v>
      </c>
      <c r="AH165" s="72">
        <f t="shared" si="233"/>
        <v>0</v>
      </c>
      <c r="AI165" s="73">
        <f t="shared" si="234"/>
        <v>0</v>
      </c>
      <c r="AJ165" s="73"/>
      <c r="AK165" s="76">
        <f t="shared" si="235"/>
        <v>0</v>
      </c>
      <c r="AL165" s="76">
        <f t="shared" si="236"/>
        <v>0</v>
      </c>
      <c r="AM165" s="76">
        <f t="shared" si="237"/>
        <v>0</v>
      </c>
      <c r="AN165" s="76"/>
      <c r="AO165" s="81">
        <f t="shared" si="238"/>
        <v>0</v>
      </c>
      <c r="AP165" s="81">
        <f t="shared" si="239"/>
        <v>0</v>
      </c>
      <c r="AQ165" s="81">
        <f t="shared" si="240"/>
        <v>0</v>
      </c>
      <c r="AR165" s="7"/>
      <c r="AS165" s="76">
        <f t="shared" si="216"/>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x14ac:dyDescent="0.3">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24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23</v>
      </c>
      <c r="H168" s="52">
        <f>G168/$J$5*100</f>
        <v>35.384615384615387</v>
      </c>
      <c r="I168" s="53">
        <f>COUNTIFS('00 Encuesta'!$B$2:$B$511,"*c)*",'00 Encuesta'!$C$2:$C$511,"*a)*",'00 Encuesta'!$E$2:$E$511,"*a)*",'00 Encuesta'!$V$2:$V$511,"*a)*")</f>
        <v>13</v>
      </c>
      <c r="J168" s="52">
        <f>I168/$J$6*100</f>
        <v>39.393939393939391</v>
      </c>
      <c r="K168" s="53">
        <f>COUNTIFS('00 Encuesta'!$B$2:$B$511,"*c)*",'00 Encuesta'!$C$2:$C$511,"*a)*",'00 Encuesta'!$E$2:$E$511,"*b)*",'00 Encuesta'!$V$2:$V$511,"*a)*")</f>
        <v>10</v>
      </c>
      <c r="L168" s="52">
        <f>K168/$J$7*100</f>
        <v>31.25</v>
      </c>
      <c r="M168" s="23"/>
      <c r="N168" s="51">
        <f>P168+R168</f>
        <v>12</v>
      </c>
      <c r="O168" s="52">
        <f>N168/$Q$5*100</f>
        <v>23.52941176470588</v>
      </c>
      <c r="P168" s="53">
        <f>COUNTIFS('00 Encuesta'!$B$2:$B$511,"*c)*",'00 Encuesta'!$C$2:$C$511,"*b)*",'00 Encuesta'!$E$2:$E$511,"*a)*",'00 Encuesta'!$V$2:$V$511,"*a)*")</f>
        <v>7</v>
      </c>
      <c r="Q168" s="52">
        <f>P168/$Q$6*100</f>
        <v>25</v>
      </c>
      <c r="R168" s="53">
        <f>COUNTIFS('00 Encuesta'!$B$2:$B$511,"*c)*",'00 Encuesta'!$C$2:$C$511,"*b)*",'00 Encuesta'!$E$2:$E$511,"*b)*",'00 Encuesta'!$V$2:$V$511,"*a)*")</f>
        <v>5</v>
      </c>
      <c r="S168" s="52">
        <f>R168/$Q$7*100</f>
        <v>21.739130434782609</v>
      </c>
      <c r="T168" s="3"/>
      <c r="U168" s="51">
        <f>W168+Y168</f>
        <v>14</v>
      </c>
      <c r="V168" s="52">
        <f>U168/$X$5*100</f>
        <v>28.000000000000004</v>
      </c>
      <c r="W168" s="53">
        <f>COUNTIFS('00 Encuesta'!$B$2:$B$511,"*c)*",'00 Encuesta'!$C$2:$C$511,"*d)*",'00 Encuesta'!$E$2:$E$511,"*a)*",'00 Encuesta'!$V$2:$V$511,"*a)*")</f>
        <v>6</v>
      </c>
      <c r="X168" s="52">
        <f>W168/$X$6*100</f>
        <v>22.222222222222221</v>
      </c>
      <c r="Y168" s="53">
        <f>COUNTIFS('00 Encuesta'!$B$2:$B$511,"*c)*",'00 Encuesta'!$C$2:$C$511,"*d)*",'00 Encuesta'!$E$2:$E$511,"*b)*",'00 Encuesta'!$V$2:$V$511,"*a)*")</f>
        <v>8</v>
      </c>
      <c r="Z168" s="52">
        <f>Y168/$X$7*100</f>
        <v>34.782608695652172</v>
      </c>
      <c r="AA168" s="3"/>
      <c r="AB168" s="62">
        <f>G168+N168+U168</f>
        <v>49</v>
      </c>
      <c r="AC168" s="52">
        <f>AB168*100/$AC$5</f>
        <v>29.518072289156628</v>
      </c>
      <c r="AD168" s="3"/>
      <c r="AE168" s="3"/>
      <c r="AF168" s="9" t="str">
        <f t="shared" si="249"/>
        <v>a) Suelo rezar por convicción o porque me gusta</v>
      </c>
      <c r="AG168" s="72">
        <f>J168</f>
        <v>39.393939393939391</v>
      </c>
      <c r="AH168" s="72">
        <f>L168</f>
        <v>31.25</v>
      </c>
      <c r="AI168" s="73">
        <f>H168</f>
        <v>35.384615384615387</v>
      </c>
      <c r="AJ168" s="73"/>
      <c r="AK168" s="76">
        <f>Q168</f>
        <v>25</v>
      </c>
      <c r="AL168" s="76">
        <f>S168</f>
        <v>21.739130434782609</v>
      </c>
      <c r="AM168" s="76">
        <f>O168</f>
        <v>23.52941176470588</v>
      </c>
      <c r="AN168" s="76"/>
      <c r="AO168" s="81">
        <f>X168</f>
        <v>22.222222222222221</v>
      </c>
      <c r="AP168" s="81">
        <f>Z168</f>
        <v>34.782608695652172</v>
      </c>
      <c r="AQ168" s="81">
        <f>V168</f>
        <v>28.000000000000004</v>
      </c>
      <c r="AR168" s="3"/>
      <c r="AS168" s="76">
        <f t="shared" si="216"/>
        <v>29.518072289156628</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x14ac:dyDescent="0.3">
      <c r="A169" s="8" t="s">
        <v>18</v>
      </c>
      <c r="B169" s="9" t="s">
        <v>128</v>
      </c>
      <c r="C169" s="7"/>
      <c r="D169" s="7"/>
      <c r="E169" s="7"/>
      <c r="F169" s="71"/>
      <c r="G169" s="51">
        <f>I169+K169</f>
        <v>23</v>
      </c>
      <c r="H169" s="52">
        <f>G169/$J$5*100</f>
        <v>35.384615384615387</v>
      </c>
      <c r="I169" s="53">
        <f>COUNTIFS('00 Encuesta'!$B$2:$B$511,"*c)*",'00 Encuesta'!$C$2:$C$511,"*a)*",'00 Encuesta'!$E$2:$E$511,"*a)*",'00 Encuesta'!$V$2:$V$511,"*b)*")</f>
        <v>11</v>
      </c>
      <c r="J169" s="52">
        <f>I169/$J$6*100</f>
        <v>33.333333333333329</v>
      </c>
      <c r="K169" s="53">
        <f>COUNTIFS('00 Encuesta'!$B$2:$B$511,"*c)*",'00 Encuesta'!$C$2:$C$511,"*a)*",'00 Encuesta'!$E$2:$E$511,"*b)*",'00 Encuesta'!$V$2:$V$511,"*b)*")</f>
        <v>12</v>
      </c>
      <c r="L169" s="52">
        <f>K169/$J$7*100</f>
        <v>37.5</v>
      </c>
      <c r="M169" s="23"/>
      <c r="N169" s="51">
        <f>P169+R169</f>
        <v>11</v>
      </c>
      <c r="O169" s="52">
        <f>N169/$Q$5*100</f>
        <v>21.568627450980394</v>
      </c>
      <c r="P169" s="53">
        <f>COUNTIFS('00 Encuesta'!$B$2:$B$511,"*c)*",'00 Encuesta'!$C$2:$C$511,"*b)*",'00 Encuesta'!$E$2:$E$511,"*a)*",'00 Encuesta'!$V$2:$V$511,"*b)*")</f>
        <v>5</v>
      </c>
      <c r="Q169" s="52">
        <f>P169/$Q$6*100</f>
        <v>17.857142857142858</v>
      </c>
      <c r="R169" s="53">
        <f>COUNTIFS('00 Encuesta'!$B$2:$B$511,"*c)*",'00 Encuesta'!$C$2:$C$511,"*b)*",'00 Encuesta'!$E$2:$E$511,"*b)*",'00 Encuesta'!$V$2:$V$511,"*b)*")</f>
        <v>6</v>
      </c>
      <c r="S169" s="52">
        <f>R169/$Q$7*100</f>
        <v>26.086956521739129</v>
      </c>
      <c r="T169" s="3"/>
      <c r="U169" s="51">
        <f>W169+Y169</f>
        <v>9</v>
      </c>
      <c r="V169" s="52">
        <f>U169/$X$5*100</f>
        <v>18</v>
      </c>
      <c r="W169" s="53">
        <f>COUNTIFS('00 Encuesta'!$B$2:$B$511,"*c)*",'00 Encuesta'!$C$2:$C$511,"*d)*",'00 Encuesta'!$E$2:$E$511,"*a)*",'00 Encuesta'!$V$2:$V$511,"*b)*")</f>
        <v>4</v>
      </c>
      <c r="X169" s="52">
        <f>W169/$X$6*100</f>
        <v>14.814814814814813</v>
      </c>
      <c r="Y169" s="53">
        <f>COUNTIFS('00 Encuesta'!$B$2:$B$511,"*c)*",'00 Encuesta'!$C$2:$C$511,"*d)*",'00 Encuesta'!$E$2:$E$511,"*b)*",'00 Encuesta'!$V$2:$V$511,"*b)*")</f>
        <v>5</v>
      </c>
      <c r="Z169" s="52">
        <f>Y169/$X$7*100</f>
        <v>21.739130434782609</v>
      </c>
      <c r="AA169" s="3"/>
      <c r="AB169" s="62">
        <f>G169+N169+U169</f>
        <v>43</v>
      </c>
      <c r="AC169" s="52">
        <f>AB169*100/$AC$5</f>
        <v>25.903614457831324</v>
      </c>
      <c r="AD169" s="7"/>
      <c r="AE169" s="7"/>
      <c r="AF169" s="9" t="str">
        <f t="shared" si="249"/>
        <v>b) Rezo por costumbre</v>
      </c>
      <c r="AG169" s="72">
        <f>J169</f>
        <v>33.333333333333329</v>
      </c>
      <c r="AH169" s="72">
        <f>L169</f>
        <v>37.5</v>
      </c>
      <c r="AI169" s="73">
        <f>H169</f>
        <v>35.384615384615387</v>
      </c>
      <c r="AJ169" s="73"/>
      <c r="AK169" s="76">
        <f>Q169</f>
        <v>17.857142857142858</v>
      </c>
      <c r="AL169" s="76">
        <f>S169</f>
        <v>26.086956521739129</v>
      </c>
      <c r="AM169" s="76">
        <f>O169</f>
        <v>21.568627450980394</v>
      </c>
      <c r="AN169" s="76"/>
      <c r="AO169" s="81">
        <f>X169</f>
        <v>14.814814814814813</v>
      </c>
      <c r="AP169" s="81">
        <f>Z169</f>
        <v>21.739130434782609</v>
      </c>
      <c r="AQ169" s="81">
        <f>V169</f>
        <v>18</v>
      </c>
      <c r="AR169" s="3"/>
      <c r="AS169" s="76">
        <f t="shared" si="216"/>
        <v>25.903614457831324</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15</v>
      </c>
      <c r="H170" s="52">
        <f>G170/$J$5*100</f>
        <v>23.076923076923077</v>
      </c>
      <c r="I170" s="53">
        <f>COUNTIFS('00 Encuesta'!$B$2:$B$511,"*c)*",'00 Encuesta'!$C$2:$C$511,"*a)*",'00 Encuesta'!$E$2:$E$511,"*a)*",'00 Encuesta'!$V$2:$V$511,"*c)*")</f>
        <v>9</v>
      </c>
      <c r="J170" s="52">
        <f>I170/$J$6*100</f>
        <v>27.27272727272727</v>
      </c>
      <c r="K170" s="53">
        <f>COUNTIFS('00 Encuesta'!$B$2:$B$511,"*c)*",'00 Encuesta'!$C$2:$C$511,"*a)*",'00 Encuesta'!$E$2:$E$511,"*b)*",'00 Encuesta'!$V$2:$V$511,"*c)*")</f>
        <v>6</v>
      </c>
      <c r="L170" s="52">
        <f>K170/$J$7*100</f>
        <v>18.75</v>
      </c>
      <c r="M170" s="23"/>
      <c r="N170" s="51">
        <f>P170+R170</f>
        <v>22</v>
      </c>
      <c r="O170" s="52">
        <f>N170/$Q$5*100</f>
        <v>43.137254901960787</v>
      </c>
      <c r="P170" s="53">
        <f>COUNTIFS('00 Encuesta'!$B$2:$B$511,"*c)*",'00 Encuesta'!$C$2:$C$511,"*b)*",'00 Encuesta'!$E$2:$E$511,"*a)*",'00 Encuesta'!$V$2:$V$511,"*c)*")</f>
        <v>14</v>
      </c>
      <c r="Q170" s="52">
        <f>P170/$Q$6*100</f>
        <v>50</v>
      </c>
      <c r="R170" s="53">
        <f>COUNTIFS('00 Encuesta'!$B$2:$B$511,"*c)*",'00 Encuesta'!$C$2:$C$511,"*b)*",'00 Encuesta'!$E$2:$E$511,"*b)*",'00 Encuesta'!$V$2:$V$511,"*c)*")</f>
        <v>8</v>
      </c>
      <c r="S170" s="52">
        <f>R170/$Q$7*100</f>
        <v>34.782608695652172</v>
      </c>
      <c r="T170" s="3"/>
      <c r="U170" s="51">
        <f>W170+Y170</f>
        <v>14</v>
      </c>
      <c r="V170" s="52">
        <f>U170/$X$5*100</f>
        <v>28.000000000000004</v>
      </c>
      <c r="W170" s="53">
        <f>COUNTIFS('00 Encuesta'!$B$2:$B$511,"*c)*",'00 Encuesta'!$C$2:$C$511,"*d)*",'00 Encuesta'!$E$2:$E$511,"*a)*",'00 Encuesta'!$V$2:$V$511,"*c)*")</f>
        <v>8</v>
      </c>
      <c r="X170" s="52">
        <f>W170/$X$6*100</f>
        <v>29.629629629629626</v>
      </c>
      <c r="Y170" s="53">
        <f>COUNTIFS('00 Encuesta'!$B$2:$B$511,"*c)*",'00 Encuesta'!$C$2:$C$511,"*d)*",'00 Encuesta'!$E$2:$E$511,"*b)*",'00 Encuesta'!$V$2:$V$511,"*c)*")</f>
        <v>6</v>
      </c>
      <c r="Z170" s="52">
        <f>Y170/$X$7*100</f>
        <v>26.086956521739129</v>
      </c>
      <c r="AA170" s="3"/>
      <c r="AB170" s="62">
        <f>G170+N170+U170</f>
        <v>51</v>
      </c>
      <c r="AC170" s="52">
        <f>AB170*100/$AC$5</f>
        <v>30.722891566265059</v>
      </c>
      <c r="AD170" s="7"/>
      <c r="AE170" s="7"/>
      <c r="AF170" s="9" t="str">
        <f t="shared" si="249"/>
        <v>c) Rezo solo en situación de dificultad</v>
      </c>
      <c r="AG170" s="72">
        <f>J170</f>
        <v>27.27272727272727</v>
      </c>
      <c r="AH170" s="72">
        <f>L170</f>
        <v>18.75</v>
      </c>
      <c r="AI170" s="73">
        <f>H170</f>
        <v>23.076923076923077</v>
      </c>
      <c r="AJ170" s="73"/>
      <c r="AK170" s="76">
        <f>Q170</f>
        <v>50</v>
      </c>
      <c r="AL170" s="76">
        <f>S170</f>
        <v>34.782608695652172</v>
      </c>
      <c r="AM170" s="76">
        <f>O170</f>
        <v>43.137254901960787</v>
      </c>
      <c r="AN170" s="76"/>
      <c r="AO170" s="81">
        <f>X170</f>
        <v>29.629629629629626</v>
      </c>
      <c r="AP170" s="81">
        <f>Z170</f>
        <v>26.086956521739129</v>
      </c>
      <c r="AQ170" s="81">
        <f>V170</f>
        <v>28.000000000000004</v>
      </c>
      <c r="AR170" s="7"/>
      <c r="AS170" s="76">
        <f t="shared" si="216"/>
        <v>30.722891566265059</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x14ac:dyDescent="0.3">
      <c r="A171" s="8" t="s">
        <v>21</v>
      </c>
      <c r="B171" s="9" t="s">
        <v>130</v>
      </c>
      <c r="C171" s="7"/>
      <c r="D171" s="7"/>
      <c r="E171" s="7"/>
      <c r="F171" s="71"/>
      <c r="G171" s="51">
        <f>I171+K171</f>
        <v>2</v>
      </c>
      <c r="H171" s="52">
        <f>G171/$J$5*100</f>
        <v>3.0769230769230771</v>
      </c>
      <c r="I171" s="53">
        <f>COUNTIFS('00 Encuesta'!$B$2:$B$511,"*c)*",'00 Encuesta'!$C$2:$C$511,"*a)*",'00 Encuesta'!$E$2:$E$511,"*a)*",'00 Encuesta'!$V$2:$V$511,"*d)*")</f>
        <v>0</v>
      </c>
      <c r="J171" s="52">
        <f>I171/$J$6*100</f>
        <v>0</v>
      </c>
      <c r="K171" s="53">
        <f>COUNTIFS('00 Encuesta'!$B$2:$B$511,"*c)*",'00 Encuesta'!$C$2:$C$511,"*a)*",'00 Encuesta'!$E$2:$E$511,"*b)*",'00 Encuesta'!$V$2:$V$511,"*d)*")</f>
        <v>2</v>
      </c>
      <c r="L171" s="52">
        <f>K171/$J$7*100</f>
        <v>6.25</v>
      </c>
      <c r="M171" s="23"/>
      <c r="N171" s="51">
        <f>P171+R171</f>
        <v>5</v>
      </c>
      <c r="O171" s="52">
        <f>N171/$Q$5*100</f>
        <v>9.8039215686274517</v>
      </c>
      <c r="P171" s="53">
        <f>COUNTIFS('00 Encuesta'!$B$2:$B$511,"*c)*",'00 Encuesta'!$C$2:$C$511,"*b)*",'00 Encuesta'!$E$2:$E$511,"*a)*",'00 Encuesta'!$V$2:$V$511,"*d)*")</f>
        <v>2</v>
      </c>
      <c r="Q171" s="52">
        <f>P171/$Q$6*100</f>
        <v>7.1428571428571423</v>
      </c>
      <c r="R171" s="53">
        <f>COUNTIFS('00 Encuesta'!$B$2:$B$511,"*c)*",'00 Encuesta'!$C$2:$C$511,"*b)*",'00 Encuesta'!$E$2:$E$511,"*b)*",'00 Encuesta'!$V$2:$V$511,"*d)*")</f>
        <v>3</v>
      </c>
      <c r="S171" s="52">
        <f>R171/$Q$7*100</f>
        <v>13.043478260869565</v>
      </c>
      <c r="T171" s="3"/>
      <c r="U171" s="51">
        <f>W171+Y171</f>
        <v>11</v>
      </c>
      <c r="V171" s="52">
        <f>U171/$X$5*100</f>
        <v>22</v>
      </c>
      <c r="W171" s="53">
        <f>COUNTIFS('00 Encuesta'!$B$2:$B$511,"*c)*",'00 Encuesta'!$C$2:$C$511,"*d)*",'00 Encuesta'!$E$2:$E$511,"*a)*",'00 Encuesta'!$V$2:$V$511,"*d)*")</f>
        <v>8</v>
      </c>
      <c r="X171" s="52">
        <f>W171/$X$6*100</f>
        <v>29.629629629629626</v>
      </c>
      <c r="Y171" s="53">
        <f>COUNTIFS('00 Encuesta'!$B$2:$B$511,"*c)*",'00 Encuesta'!$C$2:$C$511,"*d)*",'00 Encuesta'!$E$2:$E$511,"*b)*",'00 Encuesta'!$V$2:$V$511,"*d)*")</f>
        <v>3</v>
      </c>
      <c r="Z171" s="52">
        <f>Y171/$X$7*100</f>
        <v>13.043478260869565</v>
      </c>
      <c r="AA171" s="3"/>
      <c r="AB171" s="62">
        <f>G171+N171+U171</f>
        <v>18</v>
      </c>
      <c r="AC171" s="52">
        <f>AB171*100/$AC$5</f>
        <v>10.843373493975903</v>
      </c>
      <c r="AD171" s="3"/>
      <c r="AE171" s="3"/>
      <c r="AF171" s="9" t="str">
        <f t="shared" si="249"/>
        <v>d) No rezo nunca</v>
      </c>
      <c r="AG171" s="72">
        <f>J171</f>
        <v>0</v>
      </c>
      <c r="AH171" s="72">
        <f>L171</f>
        <v>6.25</v>
      </c>
      <c r="AI171" s="73">
        <f>H171</f>
        <v>3.0769230769230771</v>
      </c>
      <c r="AJ171" s="73"/>
      <c r="AK171" s="76">
        <f>Q171</f>
        <v>7.1428571428571423</v>
      </c>
      <c r="AL171" s="76">
        <f>S171</f>
        <v>13.043478260869565</v>
      </c>
      <c r="AM171" s="76">
        <f>O171</f>
        <v>9.8039215686274517</v>
      </c>
      <c r="AN171" s="76"/>
      <c r="AO171" s="81">
        <f>X171</f>
        <v>29.629629629629626</v>
      </c>
      <c r="AP171" s="81">
        <f>Z171</f>
        <v>13.043478260869565</v>
      </c>
      <c r="AQ171" s="81">
        <f>V171</f>
        <v>22</v>
      </c>
      <c r="AR171" s="7"/>
      <c r="AS171" s="76">
        <f t="shared" si="216"/>
        <v>10.843373493975903</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x14ac:dyDescent="0.3">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f>N172/$Q$5*100</f>
        <v>0</v>
      </c>
      <c r="P172" s="53"/>
      <c r="Q172" s="52">
        <f>P172/$Q$6*100</f>
        <v>0</v>
      </c>
      <c r="R172" s="53"/>
      <c r="S172" s="52">
        <f>R172/$Q$7*100</f>
        <v>0</v>
      </c>
      <c r="T172" s="3"/>
      <c r="U172" s="51">
        <f>W172+Y172</f>
        <v>0</v>
      </c>
      <c r="V172" s="52">
        <f>U172/$X$5*100</f>
        <v>0</v>
      </c>
      <c r="W172" s="53"/>
      <c r="X172" s="52">
        <f>W172/$X$6*100</f>
        <v>0</v>
      </c>
      <c r="Y172" s="53"/>
      <c r="Z172" s="52">
        <f>Y172/$X$7*100</f>
        <v>0</v>
      </c>
      <c r="AA172" s="3"/>
      <c r="AB172" s="62">
        <f>G172+N172+U172</f>
        <v>0</v>
      </c>
      <c r="AC172" s="52">
        <f>AB172*100/$AC$5</f>
        <v>0</v>
      </c>
      <c r="AD172" s="3"/>
      <c r="AE172" s="3"/>
      <c r="AF172" s="9" t="str">
        <f t="shared" si="249"/>
        <v>S/R Sin Respuesta</v>
      </c>
      <c r="AG172" s="72">
        <f>J172</f>
        <v>0</v>
      </c>
      <c r="AH172" s="72">
        <f>L172</f>
        <v>0</v>
      </c>
      <c r="AI172" s="73">
        <f>H172</f>
        <v>0</v>
      </c>
      <c r="AJ172" s="73"/>
      <c r="AK172" s="76">
        <f>Q172</f>
        <v>0</v>
      </c>
      <c r="AL172" s="76">
        <f>S172</f>
        <v>0</v>
      </c>
      <c r="AM172" s="76">
        <f>O172</f>
        <v>0</v>
      </c>
      <c r="AN172" s="76"/>
      <c r="AO172" s="81">
        <f>X172</f>
        <v>0</v>
      </c>
      <c r="AP172" s="81">
        <f>Z172</f>
        <v>0</v>
      </c>
      <c r="AQ172" s="81">
        <f>V172</f>
        <v>0</v>
      </c>
      <c r="AR172" s="3"/>
      <c r="AS172" s="76">
        <f t="shared" si="216"/>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x14ac:dyDescent="0.3">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x14ac:dyDescent="0.3">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5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x14ac:dyDescent="0.3">
      <c r="A175" s="8" t="s">
        <v>17</v>
      </c>
      <c r="B175" s="9" t="s">
        <v>132</v>
      </c>
      <c r="C175" s="7"/>
      <c r="D175" s="7"/>
      <c r="E175" s="7"/>
      <c r="F175" s="71"/>
      <c r="G175" s="51">
        <f>I175+K175</f>
        <v>9</v>
      </c>
      <c r="H175" s="52">
        <f>G175/$J$5*100</f>
        <v>13.846153846153847</v>
      </c>
      <c r="I175" s="53">
        <f>COUNTIFS('00 Encuesta'!$B$2:$B$511,"*c)*",'00 Encuesta'!$C$2:$C$511,"*a)*",'00 Encuesta'!$E$2:$E$511,"*a)*",'00 Encuesta'!$W$2:$W$511,"*a)*")</f>
        <v>3</v>
      </c>
      <c r="J175" s="52">
        <f>I175/$J$6*100</f>
        <v>9.0909090909090917</v>
      </c>
      <c r="K175" s="53">
        <f>COUNTIFS('00 Encuesta'!$B$2:$B$511,"*c)*",'00 Encuesta'!$C$2:$C$511,"*a)*",'00 Encuesta'!$E$2:$E$511,"*b)*",'00 Encuesta'!$W$2:$W$511,"*a)*")</f>
        <v>6</v>
      </c>
      <c r="L175" s="52">
        <f>K175/$J$7*100</f>
        <v>18.75</v>
      </c>
      <c r="M175" s="23"/>
      <c r="N175" s="51">
        <f>P175+R175</f>
        <v>4</v>
      </c>
      <c r="O175" s="52">
        <f>N175/$Q$5*100</f>
        <v>7.8431372549019605</v>
      </c>
      <c r="P175" s="53">
        <f>COUNTIFS('00 Encuesta'!$B$2:$B$511,"*c)*",'00 Encuesta'!$C$2:$C$511,"*b)*",'00 Encuesta'!$E$2:$E$511,"*a)*",'00 Encuesta'!$W$2:$W$511,"*a)*")</f>
        <v>3</v>
      </c>
      <c r="Q175" s="52">
        <f>P175/$Q$6*100</f>
        <v>10.714285714285714</v>
      </c>
      <c r="R175" s="53">
        <f>COUNTIFS('00 Encuesta'!$B$2:$B$511,"*c)*",'00 Encuesta'!$C$2:$C$511,"*b)*",'00 Encuesta'!$E$2:$E$511,"*b)*",'00 Encuesta'!$W$2:$W$511,"*a)*")</f>
        <v>1</v>
      </c>
      <c r="S175" s="52">
        <f>R175/$Q$7*100</f>
        <v>4.3478260869565215</v>
      </c>
      <c r="T175" s="3"/>
      <c r="U175" s="51">
        <f>W175+Y175</f>
        <v>0</v>
      </c>
      <c r="V175" s="52">
        <f>U175/$X$5*100</f>
        <v>0</v>
      </c>
      <c r="W175" s="53">
        <f>COUNTIFS('00 Encuesta'!$B$2:$B$511,"*c)*",'00 Encuesta'!$C$2:$C$511,"*d)*",'00 Encuesta'!$E$2:$E$511,"*a)*",'00 Encuesta'!$W$2:$W$511,"*a)*")</f>
        <v>0</v>
      </c>
      <c r="X175" s="52">
        <f>W175/$X$6*100</f>
        <v>0</v>
      </c>
      <c r="Y175" s="53">
        <f>COUNTIFS('00 Encuesta'!$B$2:$B$511,"*c)*",'00 Encuesta'!$C$2:$C$511,"*d)*",'00 Encuesta'!$E$2:$E$511,"*b)*",'00 Encuesta'!$W$2:$W$511,"*a)*")</f>
        <v>0</v>
      </c>
      <c r="Z175" s="52">
        <f>Y175/$X$7*100</f>
        <v>0</v>
      </c>
      <c r="AA175" s="3"/>
      <c r="AB175" s="62">
        <f>G175+N175+U175</f>
        <v>13</v>
      </c>
      <c r="AC175" s="52">
        <f>AB175*100/$AC$5</f>
        <v>7.831325301204819</v>
      </c>
      <c r="AD175" s="3"/>
      <c r="AE175" s="3"/>
      <c r="AF175" s="9" t="str">
        <f t="shared" si="250"/>
        <v>a) Todos los domingos</v>
      </c>
      <c r="AG175" s="72">
        <f>J175</f>
        <v>9.0909090909090917</v>
      </c>
      <c r="AH175" s="72">
        <f>L175</f>
        <v>18.75</v>
      </c>
      <c r="AI175" s="73">
        <f>H175</f>
        <v>13.846153846153847</v>
      </c>
      <c r="AJ175" s="73"/>
      <c r="AK175" s="76">
        <f>Q175</f>
        <v>10.714285714285714</v>
      </c>
      <c r="AL175" s="76">
        <f>S175</f>
        <v>4.3478260869565215</v>
      </c>
      <c r="AM175" s="76">
        <f>O175</f>
        <v>7.8431372549019605</v>
      </c>
      <c r="AN175" s="76"/>
      <c r="AO175" s="81">
        <f>X175</f>
        <v>0</v>
      </c>
      <c r="AP175" s="81">
        <f>Z175</f>
        <v>0</v>
      </c>
      <c r="AQ175" s="81">
        <f>V175</f>
        <v>0</v>
      </c>
      <c r="AR175" s="3"/>
      <c r="AS175" s="76">
        <f t="shared" si="216"/>
        <v>7.831325301204819</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x14ac:dyDescent="0.3">
      <c r="A176" s="8" t="s">
        <v>18</v>
      </c>
      <c r="B176" s="9" t="s">
        <v>133</v>
      </c>
      <c r="C176" s="7"/>
      <c r="D176" s="7"/>
      <c r="E176" s="7"/>
      <c r="F176" s="71"/>
      <c r="G176" s="51">
        <f>I176+K176</f>
        <v>20</v>
      </c>
      <c r="H176" s="52">
        <f>G176/$J$5*100</f>
        <v>30.76923076923077</v>
      </c>
      <c r="I176" s="53">
        <f>COUNTIFS('00 Encuesta'!$B$2:$B$511,"*c)*",'00 Encuesta'!$C$2:$C$511,"*a)*",'00 Encuesta'!$E$2:$E$511,"*a)*",'00 Encuesta'!$W$2:$W$511,"*b)*")</f>
        <v>12</v>
      </c>
      <c r="J176" s="52">
        <f>I176/$J$6*100</f>
        <v>36.363636363636367</v>
      </c>
      <c r="K176" s="53">
        <f>COUNTIFS('00 Encuesta'!$B$2:$B$511,"*c)*",'00 Encuesta'!$C$2:$C$511,"*a)*",'00 Encuesta'!$E$2:$E$511,"*b)*",'00 Encuesta'!$W$2:$W$511,"*b)*")</f>
        <v>8</v>
      </c>
      <c r="L176" s="52">
        <f>K176/$J$7*100</f>
        <v>25</v>
      </c>
      <c r="M176" s="23"/>
      <c r="N176" s="51">
        <f>P176+R176</f>
        <v>8</v>
      </c>
      <c r="O176" s="52">
        <f>N176/$Q$5*100</f>
        <v>15.686274509803921</v>
      </c>
      <c r="P176" s="53">
        <f>COUNTIFS('00 Encuesta'!$B$2:$B$511,"*c)*",'00 Encuesta'!$C$2:$C$511,"*b)*",'00 Encuesta'!$E$2:$E$511,"*a)*",'00 Encuesta'!$W$2:$W$511,"*b)*")</f>
        <v>5</v>
      </c>
      <c r="Q176" s="52">
        <f>P176/$Q$6*100</f>
        <v>17.857142857142858</v>
      </c>
      <c r="R176" s="53">
        <f>COUNTIFS('00 Encuesta'!$B$2:$B$511,"*c)*",'00 Encuesta'!$C$2:$C$511,"*b)*",'00 Encuesta'!$E$2:$E$511,"*b)*",'00 Encuesta'!$W$2:$W$511,"*b)*")</f>
        <v>3</v>
      </c>
      <c r="S176" s="52">
        <f>R176/$Q$7*100</f>
        <v>13.043478260869565</v>
      </c>
      <c r="T176" s="3"/>
      <c r="U176" s="51">
        <f>W176+Y176</f>
        <v>9</v>
      </c>
      <c r="V176" s="52">
        <f>U176/$X$5*100</f>
        <v>18</v>
      </c>
      <c r="W176" s="53">
        <f>COUNTIFS('00 Encuesta'!$B$2:$B$511,"*c)*",'00 Encuesta'!$C$2:$C$511,"*d)*",'00 Encuesta'!$E$2:$E$511,"*a)*",'00 Encuesta'!$W$2:$W$511,"*b)*")</f>
        <v>4</v>
      </c>
      <c r="X176" s="52">
        <f>W176/$X$6*100</f>
        <v>14.814814814814813</v>
      </c>
      <c r="Y176" s="53">
        <f>COUNTIFS('00 Encuesta'!$B$2:$B$511,"*c)*",'00 Encuesta'!$C$2:$C$511,"*d)*",'00 Encuesta'!$E$2:$E$511,"*b)*",'00 Encuesta'!$W$2:$W$511,"*b)*")</f>
        <v>5</v>
      </c>
      <c r="Z176" s="52">
        <f>Y176/$X$7*100</f>
        <v>21.739130434782609</v>
      </c>
      <c r="AA176" s="3"/>
      <c r="AB176" s="62">
        <f>G176+N176+U176</f>
        <v>37</v>
      </c>
      <c r="AC176" s="52">
        <f>AB176*100/$AC$5</f>
        <v>22.289156626506024</v>
      </c>
      <c r="AD176" s="3"/>
      <c r="AE176" s="3"/>
      <c r="AF176" s="9" t="str">
        <f t="shared" si="250"/>
        <v>b) Algunos domingos</v>
      </c>
      <c r="AG176" s="72">
        <f>J176</f>
        <v>36.363636363636367</v>
      </c>
      <c r="AH176" s="72">
        <f>L176</f>
        <v>25</v>
      </c>
      <c r="AI176" s="73">
        <f>H176</f>
        <v>30.76923076923077</v>
      </c>
      <c r="AJ176" s="73"/>
      <c r="AK176" s="76">
        <f>Q176</f>
        <v>17.857142857142858</v>
      </c>
      <c r="AL176" s="76">
        <f>S176</f>
        <v>13.043478260869565</v>
      </c>
      <c r="AM176" s="76">
        <f>O176</f>
        <v>15.686274509803921</v>
      </c>
      <c r="AN176" s="76"/>
      <c r="AO176" s="81">
        <f>X176</f>
        <v>14.814814814814813</v>
      </c>
      <c r="AP176" s="81">
        <f>Z176</f>
        <v>21.739130434782609</v>
      </c>
      <c r="AQ176" s="81">
        <f>V176</f>
        <v>18</v>
      </c>
      <c r="AR176" s="3"/>
      <c r="AS176" s="76">
        <f t="shared" si="216"/>
        <v>22.289156626506024</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26</v>
      </c>
      <c r="H177" s="52">
        <f>G177/$J$5*100</f>
        <v>40</v>
      </c>
      <c r="I177" s="53">
        <f>COUNTIFS('00 Encuesta'!$B$2:$B$511,"*c)*",'00 Encuesta'!$C$2:$C$511,"*a)*",'00 Encuesta'!$E$2:$E$511,"*a)*",'00 Encuesta'!$W$2:$W$511,"*c)*")</f>
        <v>13</v>
      </c>
      <c r="J177" s="52">
        <f>I177/$J$6*100</f>
        <v>39.393939393939391</v>
      </c>
      <c r="K177" s="53">
        <f>COUNTIFS('00 Encuesta'!$B$2:$B$511,"*c)*",'00 Encuesta'!$C$2:$C$511,"*a)*",'00 Encuesta'!$E$2:$E$511,"*b)*",'00 Encuesta'!$W$2:$W$511,"*c)*")</f>
        <v>13</v>
      </c>
      <c r="L177" s="52">
        <f>K177/$J$7*100</f>
        <v>40.625</v>
      </c>
      <c r="M177" s="23"/>
      <c r="N177" s="51">
        <f>P177+R177</f>
        <v>26</v>
      </c>
      <c r="O177" s="52">
        <f>N177/$Q$5*100</f>
        <v>50.980392156862742</v>
      </c>
      <c r="P177" s="53">
        <f>COUNTIFS('00 Encuesta'!$B$2:$B$511,"*c)*",'00 Encuesta'!$C$2:$C$511,"*b)*",'00 Encuesta'!$E$2:$E$511,"*a)*",'00 Encuesta'!$W$2:$W$511,"*c)*")</f>
        <v>11</v>
      </c>
      <c r="Q177" s="52">
        <f>P177/$Q$6*100</f>
        <v>39.285714285714285</v>
      </c>
      <c r="R177" s="53">
        <f>COUNTIFS('00 Encuesta'!$B$2:$B$511,"*c)*",'00 Encuesta'!$C$2:$C$511,"*b)*",'00 Encuesta'!$E$2:$E$511,"*b)*",'00 Encuesta'!$W$2:$W$511,"*c)*")</f>
        <v>15</v>
      </c>
      <c r="S177" s="52">
        <f>R177/$Q$7*100</f>
        <v>65.217391304347828</v>
      </c>
      <c r="T177" s="3"/>
      <c r="U177" s="51">
        <f>W177+Y177</f>
        <v>24</v>
      </c>
      <c r="V177" s="52">
        <f>U177/$X$5*100</f>
        <v>48</v>
      </c>
      <c r="W177" s="53">
        <f>COUNTIFS('00 Encuesta'!$B$2:$B$511,"*c)*",'00 Encuesta'!$C$2:$C$511,"*d)*",'00 Encuesta'!$E$2:$E$511,"*a)*",'00 Encuesta'!$W$2:$W$511,"*c)*")</f>
        <v>14</v>
      </c>
      <c r="X177" s="52">
        <f>W177/$X$6*100</f>
        <v>51.851851851851848</v>
      </c>
      <c r="Y177" s="53">
        <f>COUNTIFS('00 Encuesta'!$B$2:$B$511,"*c)*",'00 Encuesta'!$C$2:$C$511,"*d)*",'00 Encuesta'!$E$2:$E$511,"*b)*",'00 Encuesta'!$W$2:$W$511,"*c)*")</f>
        <v>10</v>
      </c>
      <c r="Z177" s="52">
        <f>Y177/$X$7*100</f>
        <v>43.478260869565219</v>
      </c>
      <c r="AA177" s="3"/>
      <c r="AB177" s="62">
        <f>G177+N177+U177</f>
        <v>76</v>
      </c>
      <c r="AC177" s="52">
        <f>AB177*100/$AC$5</f>
        <v>45.783132530120483</v>
      </c>
      <c r="AD177" s="3"/>
      <c r="AE177" s="3"/>
      <c r="AF177" s="9" t="str">
        <f t="shared" si="250"/>
        <v>c) Sólo en fechas especiales</v>
      </c>
      <c r="AG177" s="72">
        <f>J177</f>
        <v>39.393939393939391</v>
      </c>
      <c r="AH177" s="72">
        <f>L177</f>
        <v>40.625</v>
      </c>
      <c r="AI177" s="73">
        <f>H177</f>
        <v>40</v>
      </c>
      <c r="AJ177" s="73"/>
      <c r="AK177" s="76">
        <f>Q177</f>
        <v>39.285714285714285</v>
      </c>
      <c r="AL177" s="76">
        <f>S177</f>
        <v>65.217391304347828</v>
      </c>
      <c r="AM177" s="76">
        <f>O177</f>
        <v>50.980392156862742</v>
      </c>
      <c r="AN177" s="76"/>
      <c r="AO177" s="81">
        <f>X177</f>
        <v>51.851851851851848</v>
      </c>
      <c r="AP177" s="81">
        <f>Z177</f>
        <v>43.478260869565219</v>
      </c>
      <c r="AQ177" s="81">
        <f>V177</f>
        <v>48</v>
      </c>
      <c r="AR177" s="3"/>
      <c r="AS177" s="76">
        <f t="shared" si="216"/>
        <v>45.783132530120483</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x14ac:dyDescent="0.3">
      <c r="A178" s="8" t="s">
        <v>21</v>
      </c>
      <c r="B178" s="9" t="s">
        <v>135</v>
      </c>
      <c r="C178" s="7"/>
      <c r="D178" s="7"/>
      <c r="E178" s="7"/>
      <c r="F178" s="71"/>
      <c r="G178" s="51">
        <f>I178+K178</f>
        <v>8</v>
      </c>
      <c r="H178" s="52">
        <f>G178/$J$5*100</f>
        <v>12.307692307692308</v>
      </c>
      <c r="I178" s="53">
        <f>COUNTIFS('00 Encuesta'!$B$2:$B$511,"*c)*",'00 Encuesta'!$C$2:$C$511,"*a)*",'00 Encuesta'!$E$2:$E$511,"*a)*",'00 Encuesta'!$W$2:$W$511,"*d)*")</f>
        <v>5</v>
      </c>
      <c r="J178" s="52">
        <f>I178/$J$6*100</f>
        <v>15.151515151515152</v>
      </c>
      <c r="K178" s="53">
        <f>COUNTIFS('00 Encuesta'!$B$2:$B$511,"*c)*",'00 Encuesta'!$C$2:$C$511,"*a)*",'00 Encuesta'!$E$2:$E$511,"*b)*",'00 Encuesta'!$W$2:$W$511,"*d)*")</f>
        <v>3</v>
      </c>
      <c r="L178" s="52">
        <f>K178/$J$7*100</f>
        <v>9.375</v>
      </c>
      <c r="M178" s="23"/>
      <c r="N178" s="51">
        <f>P178+R178</f>
        <v>12</v>
      </c>
      <c r="O178" s="52">
        <f>N178/$Q$5*100</f>
        <v>23.52941176470588</v>
      </c>
      <c r="P178" s="53">
        <f>COUNTIFS('00 Encuesta'!$B$2:$B$511,"*c)*",'00 Encuesta'!$C$2:$C$511,"*b)*",'00 Encuesta'!$E$2:$E$511,"*a)*",'00 Encuesta'!$W$2:$W$511,"*d)*")</f>
        <v>9</v>
      </c>
      <c r="Q178" s="52">
        <f>P178/$Q$6*100</f>
        <v>32.142857142857146</v>
      </c>
      <c r="R178" s="53">
        <f>COUNTIFS('00 Encuesta'!$B$2:$B$511,"*c)*",'00 Encuesta'!$C$2:$C$511,"*b)*",'00 Encuesta'!$E$2:$E$511,"*b)*",'00 Encuesta'!$W$2:$W$511,"*d)*")</f>
        <v>3</v>
      </c>
      <c r="S178" s="52">
        <f>R178/$Q$7*100</f>
        <v>13.043478260869565</v>
      </c>
      <c r="T178" s="3"/>
      <c r="U178" s="51">
        <f>W178+Y178</f>
        <v>17</v>
      </c>
      <c r="V178" s="52">
        <f>U178/$X$5*100</f>
        <v>34</v>
      </c>
      <c r="W178" s="53">
        <f>COUNTIFS('00 Encuesta'!$B$2:$B$511,"*c)*",'00 Encuesta'!$C$2:$C$511,"*d)*",'00 Encuesta'!$E$2:$E$511,"*a)*",'00 Encuesta'!$W$2:$W$511,"*d)*")</f>
        <v>9</v>
      </c>
      <c r="X178" s="52">
        <f>W178/$X$6*100</f>
        <v>33.333333333333329</v>
      </c>
      <c r="Y178" s="53">
        <f>COUNTIFS('00 Encuesta'!$B$2:$B$511,"*c)*",'00 Encuesta'!$C$2:$C$511,"*d)*",'00 Encuesta'!$E$2:$E$511,"*b)*",'00 Encuesta'!$W$2:$W$511,"*d)*")</f>
        <v>8</v>
      </c>
      <c r="Z178" s="52">
        <f>Y178/$X$7*100</f>
        <v>34.782608695652172</v>
      </c>
      <c r="AA178" s="3"/>
      <c r="AB178" s="62">
        <f>G178+N178+U178</f>
        <v>37</v>
      </c>
      <c r="AC178" s="52">
        <f>AB178*100/$AC$5</f>
        <v>22.289156626506024</v>
      </c>
      <c r="AD178" s="7"/>
      <c r="AE178" s="7"/>
      <c r="AF178" s="9" t="str">
        <f t="shared" si="250"/>
        <v>d) Nunca</v>
      </c>
      <c r="AG178" s="72">
        <f>J178</f>
        <v>15.151515151515152</v>
      </c>
      <c r="AH178" s="72">
        <f>L178</f>
        <v>9.375</v>
      </c>
      <c r="AI178" s="73">
        <f>H178</f>
        <v>12.307692307692308</v>
      </c>
      <c r="AJ178" s="73"/>
      <c r="AK178" s="76">
        <f>Q178</f>
        <v>32.142857142857146</v>
      </c>
      <c r="AL178" s="76">
        <f>S178</f>
        <v>13.043478260869565</v>
      </c>
      <c r="AM178" s="76">
        <f>O178</f>
        <v>23.52941176470588</v>
      </c>
      <c r="AN178" s="76"/>
      <c r="AO178" s="81">
        <f>X178</f>
        <v>33.333333333333329</v>
      </c>
      <c r="AP178" s="81">
        <f>Z178</f>
        <v>34.782608695652172</v>
      </c>
      <c r="AQ178" s="81">
        <f>V178</f>
        <v>34</v>
      </c>
      <c r="AR178" s="3"/>
      <c r="AS178" s="76">
        <f t="shared" si="216"/>
        <v>22.289156626506024</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x14ac:dyDescent="0.3">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f>N179/$Q$5*100</f>
        <v>0</v>
      </c>
      <c r="P179" s="53"/>
      <c r="Q179" s="52">
        <f>P179/$Q$6*100</f>
        <v>0</v>
      </c>
      <c r="R179" s="53"/>
      <c r="S179" s="52">
        <f>R179/$Q$7*100</f>
        <v>0</v>
      </c>
      <c r="T179" s="3"/>
      <c r="U179" s="51">
        <f>W179+Y179</f>
        <v>0</v>
      </c>
      <c r="V179" s="52">
        <f>U179/$X$5*100</f>
        <v>0</v>
      </c>
      <c r="W179" s="53"/>
      <c r="X179" s="52">
        <f>W179/$X$6*100</f>
        <v>0</v>
      </c>
      <c r="Y179" s="53"/>
      <c r="Z179" s="52">
        <f>Y179/$X$7*100</f>
        <v>0</v>
      </c>
      <c r="AA179" s="3"/>
      <c r="AB179" s="62">
        <f>G179+N179+U179</f>
        <v>0</v>
      </c>
      <c r="AC179" s="52">
        <f>AB179*100/$AC$5</f>
        <v>0</v>
      </c>
      <c r="AD179" s="3"/>
      <c r="AE179" s="3"/>
      <c r="AF179" s="9" t="str">
        <f t="shared" si="250"/>
        <v>S/R Sin Respuesta</v>
      </c>
      <c r="AG179" s="72">
        <f>J179</f>
        <v>0</v>
      </c>
      <c r="AH179" s="72">
        <f>L179</f>
        <v>0</v>
      </c>
      <c r="AI179" s="73">
        <f>H179</f>
        <v>0</v>
      </c>
      <c r="AJ179" s="73"/>
      <c r="AK179" s="76">
        <f>Q179</f>
        <v>0</v>
      </c>
      <c r="AL179" s="76">
        <f>S179</f>
        <v>0</v>
      </c>
      <c r="AM179" s="76">
        <f>O179</f>
        <v>0</v>
      </c>
      <c r="AN179" s="76"/>
      <c r="AO179" s="81">
        <f>X179</f>
        <v>0</v>
      </c>
      <c r="AP179" s="81">
        <f>Z179</f>
        <v>0</v>
      </c>
      <c r="AQ179" s="81">
        <f>V179</f>
        <v>0</v>
      </c>
      <c r="AR179" s="7"/>
      <c r="AS179" s="76">
        <f t="shared" si="216"/>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x14ac:dyDescent="0.3">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x14ac:dyDescent="0.3">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51">I182+K182</f>
        <v>11</v>
      </c>
      <c r="H182" s="52">
        <f t="shared" ref="H182:H191" si="252">G182/$J$5*100</f>
        <v>16.923076923076923</v>
      </c>
      <c r="I182" s="53">
        <f>COUNTIFS('00 Encuesta'!$B$2:$B$511,"*c)*",'00 Encuesta'!$C$2:$C$511,"*a)*",'00 Encuesta'!$E$2:$E$511,"*a)*",'00 Encuesta'!$X$2:$X$511,"*a)*")</f>
        <v>7</v>
      </c>
      <c r="J182" s="52">
        <f t="shared" ref="J182:J191" si="253">I182/$J$6*100</f>
        <v>21.212121212121211</v>
      </c>
      <c r="K182" s="53">
        <f>COUNTIFS('00 Encuesta'!$B$2:$B$511,"*c)*",'00 Encuesta'!$C$2:$C$511,"*a)*",'00 Encuesta'!$E$2:$E$511,"*b)*",'00 Encuesta'!$X$2:$X$511,"*a)*")</f>
        <v>4</v>
      </c>
      <c r="L182" s="52">
        <f t="shared" ref="L182:L187" si="254">K182/$J$7*100</f>
        <v>12.5</v>
      </c>
      <c r="M182" s="23"/>
      <c r="N182" s="51">
        <f t="shared" ref="N182:N187" si="255">P182+R182</f>
        <v>5</v>
      </c>
      <c r="O182" s="52">
        <f t="shared" ref="O182:O187" si="256">N182/$Q$5*100</f>
        <v>9.8039215686274517</v>
      </c>
      <c r="P182" s="53">
        <f>COUNTIFS('00 Encuesta'!$B$2:$B$511,"*c)*",'00 Encuesta'!$C$2:$C$511,"*b)*",'00 Encuesta'!$E$2:$E$511,"*a)*",'00 Encuesta'!$X$2:$X$511,"*a)*")</f>
        <v>3</v>
      </c>
      <c r="Q182" s="52">
        <f t="shared" ref="Q182:Q190" si="257">P182/$Q$6*100</f>
        <v>10.714285714285714</v>
      </c>
      <c r="R182" s="53">
        <f>COUNTIFS('00 Encuesta'!$B$2:$B$511,"*c)*",'00 Encuesta'!$C$2:$C$511,"*b)*",'00 Encuesta'!$E$2:$E$511,"*b)*",'00 Encuesta'!$X$2:$X$511,"*a)*")</f>
        <v>2</v>
      </c>
      <c r="S182" s="52">
        <f t="shared" ref="S182:S187" si="258">R182/$Q$7*100</f>
        <v>8.695652173913043</v>
      </c>
      <c r="T182" s="3"/>
      <c r="U182" s="51">
        <f t="shared" ref="U182:U187" si="259">W182+Y182</f>
        <v>2</v>
      </c>
      <c r="V182" s="52">
        <f t="shared" ref="V182:V187" si="260">U182/$X$5*100</f>
        <v>4</v>
      </c>
      <c r="W182" s="53">
        <f>COUNTIFS('00 Encuesta'!$B$2:$B$511,"*c)*",'00 Encuesta'!$C$2:$C$511,"*d)*",'00 Encuesta'!$E$2:$E$511,"*a)*",'00 Encuesta'!$X$2:$X$511,"*a)*")</f>
        <v>2</v>
      </c>
      <c r="X182" s="52">
        <f t="shared" ref="X182:X190" si="261">W182/$X$6*100</f>
        <v>7.4074074074074066</v>
      </c>
      <c r="Y182" s="53">
        <f>COUNTIFS('00 Encuesta'!$B$2:$B$511,"*c)*",'00 Encuesta'!$C$2:$C$511,"*d)*",'00 Encuesta'!$E$2:$E$511,"*b)*",'00 Encuesta'!$X$2:$X$511,"*a)*")</f>
        <v>0</v>
      </c>
      <c r="Z182" s="52">
        <f t="shared" ref="Z182:Z191" si="262">Y182/$X$7*100</f>
        <v>0</v>
      </c>
      <c r="AA182" s="3"/>
      <c r="AB182" s="62">
        <f t="shared" ref="AB182:AB191" si="263">G182+N182+U182</f>
        <v>18</v>
      </c>
      <c r="AC182" s="52">
        <f t="shared" ref="AC182:AC191" si="264">AB182*100/$AC$5</f>
        <v>10.843373493975903</v>
      </c>
      <c r="AD182" s="3"/>
      <c r="AE182" s="3"/>
      <c r="AF182" s="9" t="str">
        <f t="shared" ref="AF182:AF191" si="265">A182&amp;" "&amp;B182</f>
        <v>a) Suelo llevar una cruz o algún objeto religioso</v>
      </c>
      <c r="AG182" s="72">
        <f t="shared" ref="AG182:AG191" si="266">J182</f>
        <v>21.212121212121211</v>
      </c>
      <c r="AH182" s="72">
        <f t="shared" ref="AH182:AH191" si="267">L182</f>
        <v>12.5</v>
      </c>
      <c r="AI182" s="73">
        <f t="shared" ref="AI182:AI191" si="268">H182</f>
        <v>16.923076923076923</v>
      </c>
      <c r="AJ182" s="73"/>
      <c r="AK182" s="76">
        <f t="shared" ref="AK182:AK191" si="269">Q182</f>
        <v>10.714285714285714</v>
      </c>
      <c r="AL182" s="76">
        <f t="shared" ref="AL182:AL191" si="270">S182</f>
        <v>8.695652173913043</v>
      </c>
      <c r="AM182" s="76">
        <f t="shared" ref="AM182:AM191" si="271">O182</f>
        <v>9.8039215686274517</v>
      </c>
      <c r="AN182" s="76"/>
      <c r="AO182" s="81">
        <f t="shared" ref="AO182:AO191" si="272">X182</f>
        <v>7.4074074074074066</v>
      </c>
      <c r="AP182" s="81">
        <f t="shared" ref="AP182:AP191" si="273">Z182</f>
        <v>0</v>
      </c>
      <c r="AQ182" s="81">
        <f t="shared" ref="AQ182:AQ191" si="274">V182</f>
        <v>4</v>
      </c>
      <c r="AR182" s="3"/>
      <c r="AS182" s="76">
        <f t="shared" si="216"/>
        <v>10.843373493975903</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x14ac:dyDescent="0.3">
      <c r="A183" s="8" t="s">
        <v>18</v>
      </c>
      <c r="B183" s="9" t="s">
        <v>138</v>
      </c>
      <c r="C183" s="7"/>
      <c r="D183" s="7"/>
      <c r="E183" s="7"/>
      <c r="F183" s="71"/>
      <c r="G183" s="51">
        <f t="shared" si="251"/>
        <v>20</v>
      </c>
      <c r="H183" s="52">
        <f t="shared" si="252"/>
        <v>30.76923076923077</v>
      </c>
      <c r="I183" s="53">
        <f>COUNTIFS('00 Encuesta'!$B$2:$B$511,"*c)*",'00 Encuesta'!$C$2:$C$511,"*a)*",'00 Encuesta'!$E$2:$E$511,"*a)*",'00 Encuesta'!$X$2:$X$511,"*b)*")</f>
        <v>10</v>
      </c>
      <c r="J183" s="52">
        <f t="shared" si="253"/>
        <v>30.303030303030305</v>
      </c>
      <c r="K183" s="53">
        <f>COUNTIFS('00 Encuesta'!$B$2:$B$511,"*c)*",'00 Encuesta'!$C$2:$C$511,"*a)*",'00 Encuesta'!$E$2:$E$511,"*b)*",'00 Encuesta'!$X$2:$X$511,"*b)*")</f>
        <v>10</v>
      </c>
      <c r="L183" s="52">
        <f t="shared" si="254"/>
        <v>31.25</v>
      </c>
      <c r="M183" s="23"/>
      <c r="N183" s="51">
        <f t="shared" si="255"/>
        <v>12</v>
      </c>
      <c r="O183" s="52">
        <f t="shared" si="256"/>
        <v>23.52941176470588</v>
      </c>
      <c r="P183" s="53">
        <f>COUNTIFS('00 Encuesta'!$B$2:$B$511,"*c)*",'00 Encuesta'!$C$2:$C$511,"*b)*",'00 Encuesta'!$E$2:$E$511,"*a)*",'00 Encuesta'!$X$2:$X$511,"*b)*")</f>
        <v>8</v>
      </c>
      <c r="Q183" s="52">
        <f t="shared" si="257"/>
        <v>28.571428571428569</v>
      </c>
      <c r="R183" s="53">
        <f>COUNTIFS('00 Encuesta'!$B$2:$B$511,"*c)*",'00 Encuesta'!$C$2:$C$511,"*b)*",'00 Encuesta'!$E$2:$E$511,"*b)*",'00 Encuesta'!$X$2:$X$511,"*b)*")</f>
        <v>4</v>
      </c>
      <c r="S183" s="52">
        <f t="shared" si="258"/>
        <v>17.391304347826086</v>
      </c>
      <c r="T183" s="3"/>
      <c r="U183" s="51">
        <f t="shared" si="259"/>
        <v>10</v>
      </c>
      <c r="V183" s="52">
        <f t="shared" si="260"/>
        <v>20</v>
      </c>
      <c r="W183" s="53">
        <f>COUNTIFS('00 Encuesta'!$B$2:$B$511,"*c)*",'00 Encuesta'!$C$2:$C$511,"*d)*",'00 Encuesta'!$E$2:$E$511,"*a)*",'00 Encuesta'!$X$2:$X$511,"*b)*")</f>
        <v>6</v>
      </c>
      <c r="X183" s="52">
        <f t="shared" si="261"/>
        <v>22.222222222222221</v>
      </c>
      <c r="Y183" s="53">
        <f>COUNTIFS('00 Encuesta'!$B$2:$B$511,"*c)*",'00 Encuesta'!$C$2:$C$511,"*d)*",'00 Encuesta'!$E$2:$E$511,"*b)*",'00 Encuesta'!$X$2:$X$511,"*b)*")</f>
        <v>4</v>
      </c>
      <c r="Z183" s="52">
        <f t="shared" si="262"/>
        <v>17.391304347826086</v>
      </c>
      <c r="AA183" s="3"/>
      <c r="AB183" s="62">
        <f t="shared" si="263"/>
        <v>42</v>
      </c>
      <c r="AC183" s="52">
        <f t="shared" si="264"/>
        <v>25.301204819277107</v>
      </c>
      <c r="AD183" s="3"/>
      <c r="AE183" s="3"/>
      <c r="AF183" s="9" t="str">
        <f t="shared" si="265"/>
        <v>b) Suelo bendecir los alimentos antes de comer</v>
      </c>
      <c r="AG183" s="72">
        <f t="shared" si="266"/>
        <v>30.303030303030305</v>
      </c>
      <c r="AH183" s="72">
        <f t="shared" si="267"/>
        <v>31.25</v>
      </c>
      <c r="AI183" s="73">
        <f t="shared" si="268"/>
        <v>30.76923076923077</v>
      </c>
      <c r="AJ183" s="73"/>
      <c r="AK183" s="76">
        <f t="shared" si="269"/>
        <v>28.571428571428569</v>
      </c>
      <c r="AL183" s="76">
        <f t="shared" si="270"/>
        <v>17.391304347826086</v>
      </c>
      <c r="AM183" s="76">
        <f t="shared" si="271"/>
        <v>23.52941176470588</v>
      </c>
      <c r="AN183" s="76"/>
      <c r="AO183" s="81">
        <f t="shared" si="272"/>
        <v>22.222222222222221</v>
      </c>
      <c r="AP183" s="81">
        <f t="shared" si="273"/>
        <v>17.391304347826086</v>
      </c>
      <c r="AQ183" s="81">
        <f t="shared" si="274"/>
        <v>20</v>
      </c>
      <c r="AR183" s="3"/>
      <c r="AS183" s="76">
        <f t="shared" si="216"/>
        <v>25.301204819277107</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x14ac:dyDescent="0.3">
      <c r="A184" s="8" t="s">
        <v>20</v>
      </c>
      <c r="B184" s="9" t="s">
        <v>139</v>
      </c>
      <c r="C184" s="7"/>
      <c r="D184" s="7"/>
      <c r="E184" s="7"/>
      <c r="F184" s="71"/>
      <c r="G184" s="51">
        <f t="shared" si="251"/>
        <v>27</v>
      </c>
      <c r="H184" s="52">
        <f t="shared" si="252"/>
        <v>41.53846153846154</v>
      </c>
      <c r="I184" s="53">
        <f>COUNTIFS('00 Encuesta'!$B$2:$B$511,"*c)*",'00 Encuesta'!$C$2:$C$511,"*a)*",'00 Encuesta'!$E$2:$E$511,"*a)*",'00 Encuesta'!$X$2:$X$511,"*c)*")</f>
        <v>10</v>
      </c>
      <c r="J184" s="52">
        <f t="shared" si="253"/>
        <v>30.303030303030305</v>
      </c>
      <c r="K184" s="53">
        <f>COUNTIFS('00 Encuesta'!$B$2:$B$511,"*c)*",'00 Encuesta'!$C$2:$C$511,"*a)*",'00 Encuesta'!$E$2:$E$511,"*b)*",'00 Encuesta'!$X$2:$X$511,"*c)*")</f>
        <v>17</v>
      </c>
      <c r="L184" s="52">
        <f t="shared" si="254"/>
        <v>53.125</v>
      </c>
      <c r="M184" s="23"/>
      <c r="N184" s="51">
        <f t="shared" si="255"/>
        <v>11</v>
      </c>
      <c r="O184" s="52">
        <f t="shared" si="256"/>
        <v>21.568627450980394</v>
      </c>
      <c r="P184" s="53">
        <f>COUNTIFS('00 Encuesta'!$B$2:$B$511,"*c)*",'00 Encuesta'!$C$2:$C$511,"*b)*",'00 Encuesta'!$E$2:$E$511,"*a)*",'00 Encuesta'!$X$2:$X$511,"*c)*")</f>
        <v>9</v>
      </c>
      <c r="Q184" s="52">
        <f t="shared" si="257"/>
        <v>32.142857142857146</v>
      </c>
      <c r="R184" s="53">
        <f>COUNTIFS('00 Encuesta'!$B$2:$B$511,"*c)*",'00 Encuesta'!$C$2:$C$511,"*b)*",'00 Encuesta'!$E$2:$E$511,"*b)*",'00 Encuesta'!$X$2:$X$511,"*c)*")</f>
        <v>2</v>
      </c>
      <c r="S184" s="52">
        <f t="shared" si="258"/>
        <v>8.695652173913043</v>
      </c>
      <c r="T184" s="3"/>
      <c r="U184" s="51">
        <f t="shared" si="259"/>
        <v>11</v>
      </c>
      <c r="V184" s="52">
        <f t="shared" si="260"/>
        <v>22</v>
      </c>
      <c r="W184" s="53">
        <f>COUNTIFS('00 Encuesta'!$B$2:$B$511,"*c)*",'00 Encuesta'!$C$2:$C$511,"*d)*",'00 Encuesta'!$E$2:$E$511,"*a)*",'00 Encuesta'!$X$2:$X$511,"*c)*")</f>
        <v>5</v>
      </c>
      <c r="X184" s="52">
        <f t="shared" si="261"/>
        <v>18.518518518518519</v>
      </c>
      <c r="Y184" s="53">
        <f>COUNTIFS('00 Encuesta'!$B$2:$B$511,"*c)*",'00 Encuesta'!$C$2:$C$511,"*d)*",'00 Encuesta'!$E$2:$E$511,"*b)*",'00 Encuesta'!$X$2:$X$511,"*c)*")</f>
        <v>6</v>
      </c>
      <c r="Z184" s="52">
        <f t="shared" si="262"/>
        <v>26.086956521739129</v>
      </c>
      <c r="AA184" s="3"/>
      <c r="AB184" s="62">
        <f t="shared" si="263"/>
        <v>49</v>
      </c>
      <c r="AC184" s="52">
        <f t="shared" si="264"/>
        <v>29.518072289156628</v>
      </c>
      <c r="AD184" s="3"/>
      <c r="AE184" s="3"/>
      <c r="AF184" s="9" t="str">
        <f t="shared" si="265"/>
        <v>c) Suelo ir los domingos y otras fechas especiales a la iglesia</v>
      </c>
      <c r="AG184" s="72">
        <f t="shared" si="266"/>
        <v>30.303030303030305</v>
      </c>
      <c r="AH184" s="72">
        <f t="shared" si="267"/>
        <v>53.125</v>
      </c>
      <c r="AI184" s="73">
        <f t="shared" si="268"/>
        <v>41.53846153846154</v>
      </c>
      <c r="AJ184" s="73"/>
      <c r="AK184" s="76">
        <f t="shared" si="269"/>
        <v>32.142857142857146</v>
      </c>
      <c r="AL184" s="76">
        <f t="shared" si="270"/>
        <v>8.695652173913043</v>
      </c>
      <c r="AM184" s="76">
        <f t="shared" si="271"/>
        <v>21.568627450980394</v>
      </c>
      <c r="AN184" s="76"/>
      <c r="AO184" s="81">
        <f t="shared" si="272"/>
        <v>18.518518518518519</v>
      </c>
      <c r="AP184" s="81">
        <f t="shared" si="273"/>
        <v>26.086956521739129</v>
      </c>
      <c r="AQ184" s="81">
        <f t="shared" si="274"/>
        <v>22</v>
      </c>
      <c r="AR184" s="3"/>
      <c r="AS184" s="76">
        <f t="shared" si="216"/>
        <v>29.518072289156628</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51"/>
        <v>22</v>
      </c>
      <c r="H185" s="52">
        <f t="shared" si="252"/>
        <v>33.846153846153847</v>
      </c>
      <c r="I185" s="53">
        <f>COUNTIFS('00 Encuesta'!$B$2:$B$511,"*c)*",'00 Encuesta'!$C$2:$C$511,"*a)*",'00 Encuesta'!$E$2:$E$511,"*a)*",'00 Encuesta'!$X$2:$X$511,"*d)*")</f>
        <v>10</v>
      </c>
      <c r="J185" s="52">
        <f t="shared" si="253"/>
        <v>30.303030303030305</v>
      </c>
      <c r="K185" s="53">
        <f>COUNTIFS('00 Encuesta'!$B$2:$B$511,"*c)*",'00 Encuesta'!$C$2:$C$511,"*a)*",'00 Encuesta'!$E$2:$E$511,"*b)*",'00 Encuesta'!$X$2:$X$511,"*d)*")</f>
        <v>12</v>
      </c>
      <c r="L185" s="52">
        <f t="shared" si="254"/>
        <v>37.5</v>
      </c>
      <c r="M185" s="23"/>
      <c r="N185" s="51">
        <f t="shared" si="255"/>
        <v>12</v>
      </c>
      <c r="O185" s="52">
        <f t="shared" si="256"/>
        <v>23.52941176470588</v>
      </c>
      <c r="P185" s="53">
        <f>COUNTIFS('00 Encuesta'!$B$2:$B$511,"*c)*",'00 Encuesta'!$C$2:$C$511,"*b)*",'00 Encuesta'!$E$2:$E$511,"*a)*",'00 Encuesta'!$X$2:$X$511,"*d)*")</f>
        <v>6</v>
      </c>
      <c r="Q185" s="52">
        <f t="shared" si="257"/>
        <v>21.428571428571427</v>
      </c>
      <c r="R185" s="53">
        <f>COUNTIFS('00 Encuesta'!$B$2:$B$511,"*c)*",'00 Encuesta'!$C$2:$C$511,"*b)*",'00 Encuesta'!$E$2:$E$511,"*b)*",'00 Encuesta'!$X$2:$X$511,"*d)*")</f>
        <v>6</v>
      </c>
      <c r="S185" s="52">
        <f t="shared" si="258"/>
        <v>26.086956521739129</v>
      </c>
      <c r="T185" s="3"/>
      <c r="U185" s="51">
        <f t="shared" si="259"/>
        <v>11</v>
      </c>
      <c r="V185" s="52">
        <f t="shared" si="260"/>
        <v>22</v>
      </c>
      <c r="W185" s="53">
        <f>COUNTIFS('00 Encuesta'!$B$2:$B$511,"*c)*",'00 Encuesta'!$C$2:$C$511,"*d)*",'00 Encuesta'!$E$2:$E$511,"*a)*",'00 Encuesta'!$X$2:$X$511,"*d)*")</f>
        <v>3</v>
      </c>
      <c r="X185" s="52">
        <f t="shared" si="261"/>
        <v>11.111111111111111</v>
      </c>
      <c r="Y185" s="53">
        <f>COUNTIFS('00 Encuesta'!$B$2:$B$511,"*c)*",'00 Encuesta'!$C$2:$C$511,"*d)*",'00 Encuesta'!$E$2:$E$511,"*b)*",'00 Encuesta'!$X$2:$X$511,"*d)*")</f>
        <v>8</v>
      </c>
      <c r="Z185" s="52">
        <f t="shared" si="262"/>
        <v>34.782608695652172</v>
      </c>
      <c r="AA185" s="3"/>
      <c r="AB185" s="62">
        <f t="shared" si="263"/>
        <v>45</v>
      </c>
      <c r="AC185" s="52">
        <f t="shared" si="264"/>
        <v>27.108433734939759</v>
      </c>
      <c r="AD185" s="3"/>
      <c r="AE185" s="3"/>
      <c r="AF185" s="9" t="str">
        <f t="shared" si="265"/>
        <v>d) Suelo orar todos los días</v>
      </c>
      <c r="AG185" s="72">
        <f t="shared" si="266"/>
        <v>30.303030303030305</v>
      </c>
      <c r="AH185" s="72">
        <f t="shared" si="267"/>
        <v>37.5</v>
      </c>
      <c r="AI185" s="73">
        <f t="shared" si="268"/>
        <v>33.846153846153847</v>
      </c>
      <c r="AJ185" s="73"/>
      <c r="AK185" s="76">
        <f t="shared" si="269"/>
        <v>21.428571428571427</v>
      </c>
      <c r="AL185" s="76">
        <f t="shared" si="270"/>
        <v>26.086956521739129</v>
      </c>
      <c r="AM185" s="76">
        <f t="shared" si="271"/>
        <v>23.52941176470588</v>
      </c>
      <c r="AN185" s="76"/>
      <c r="AO185" s="81">
        <f t="shared" si="272"/>
        <v>11.111111111111111</v>
      </c>
      <c r="AP185" s="81">
        <f t="shared" si="273"/>
        <v>34.782608695652172</v>
      </c>
      <c r="AQ185" s="81">
        <f t="shared" si="274"/>
        <v>22</v>
      </c>
      <c r="AR185" s="3"/>
      <c r="AS185" s="76">
        <f t="shared" si="216"/>
        <v>27.108433734939759</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x14ac:dyDescent="0.3">
      <c r="A186" s="1" t="s">
        <v>22</v>
      </c>
      <c r="B186" s="2" t="s">
        <v>141</v>
      </c>
      <c r="C186" s="3"/>
      <c r="D186" s="7"/>
      <c r="E186" s="7"/>
      <c r="F186" s="71"/>
      <c r="G186" s="51">
        <f t="shared" si="251"/>
        <v>26</v>
      </c>
      <c r="H186" s="52">
        <f t="shared" si="252"/>
        <v>40</v>
      </c>
      <c r="I186" s="53">
        <f>COUNTIFS('00 Encuesta'!$B$2:$B$511,"*c)*",'00 Encuesta'!$C$2:$C$511,"*a)*",'00 Encuesta'!$E$2:$E$511,"*a)*",'00 Encuesta'!$X$2:$X$511,"*e)*")</f>
        <v>10</v>
      </c>
      <c r="J186" s="52">
        <f t="shared" si="253"/>
        <v>30.303030303030305</v>
      </c>
      <c r="K186" s="53">
        <f>COUNTIFS('00 Encuesta'!$B$2:$B$511,"*c)*",'00 Encuesta'!$C$2:$C$511,"*a)*",'00 Encuesta'!$E$2:$E$511,"*b)*",'00 Encuesta'!$X$2:$X$511,"*e)*")</f>
        <v>16</v>
      </c>
      <c r="L186" s="52">
        <f t="shared" si="254"/>
        <v>50</v>
      </c>
      <c r="M186" s="23"/>
      <c r="N186" s="51">
        <f t="shared" si="255"/>
        <v>22</v>
      </c>
      <c r="O186" s="52">
        <f t="shared" si="256"/>
        <v>43.137254901960787</v>
      </c>
      <c r="P186" s="53">
        <f>COUNTIFS('00 Encuesta'!$B$2:$B$511,"*c)*",'00 Encuesta'!$C$2:$C$511,"*b)*",'00 Encuesta'!$E$2:$E$511,"*a)*",'00 Encuesta'!$X$2:$X$511,"*e)*")</f>
        <v>9</v>
      </c>
      <c r="Q186" s="52">
        <f t="shared" si="257"/>
        <v>32.142857142857146</v>
      </c>
      <c r="R186" s="53">
        <f>COUNTIFS('00 Encuesta'!$B$2:$B$511,"*c)*",'00 Encuesta'!$C$2:$C$511,"*b)*",'00 Encuesta'!$E$2:$E$511,"*b)*",'00 Encuesta'!$X$2:$X$511,"*e)*")</f>
        <v>13</v>
      </c>
      <c r="S186" s="52">
        <f t="shared" si="258"/>
        <v>56.521739130434781</v>
      </c>
      <c r="T186" s="3"/>
      <c r="U186" s="51">
        <f t="shared" si="259"/>
        <v>13</v>
      </c>
      <c r="V186" s="52">
        <f t="shared" si="260"/>
        <v>26</v>
      </c>
      <c r="W186" s="53">
        <f>COUNTIFS('00 Encuesta'!$B$2:$B$511,"*c)*",'00 Encuesta'!$C$2:$C$511,"*d)*",'00 Encuesta'!$E$2:$E$511,"*a)*",'00 Encuesta'!$X$2:$X$511,"*e)*")</f>
        <v>6</v>
      </c>
      <c r="X186" s="52">
        <f t="shared" si="261"/>
        <v>22.222222222222221</v>
      </c>
      <c r="Y186" s="53">
        <f>COUNTIFS('00 Encuesta'!$B$2:$B$511,"*c)*",'00 Encuesta'!$C$2:$C$511,"*d)*",'00 Encuesta'!$E$2:$E$511,"*b)*",'00 Encuesta'!$X$2:$X$511,"*e)*")</f>
        <v>7</v>
      </c>
      <c r="Z186" s="52">
        <f t="shared" si="262"/>
        <v>30.434782608695656</v>
      </c>
      <c r="AA186" s="3"/>
      <c r="AB186" s="62">
        <f t="shared" si="263"/>
        <v>61</v>
      </c>
      <c r="AC186" s="52">
        <f t="shared" si="264"/>
        <v>36.746987951807228</v>
      </c>
      <c r="AD186" s="7"/>
      <c r="AE186" s="7"/>
      <c r="AF186" s="9" t="str">
        <f t="shared" si="265"/>
        <v>e) Voy a misa en las fechas de mis familiares difuntos</v>
      </c>
      <c r="AG186" s="72">
        <f t="shared" si="266"/>
        <v>30.303030303030305</v>
      </c>
      <c r="AH186" s="72">
        <f t="shared" si="267"/>
        <v>50</v>
      </c>
      <c r="AI186" s="73">
        <f t="shared" si="268"/>
        <v>40</v>
      </c>
      <c r="AJ186" s="73"/>
      <c r="AK186" s="76">
        <f t="shared" si="269"/>
        <v>32.142857142857146</v>
      </c>
      <c r="AL186" s="76">
        <f t="shared" si="270"/>
        <v>56.521739130434781</v>
      </c>
      <c r="AM186" s="76">
        <f t="shared" si="271"/>
        <v>43.137254901960787</v>
      </c>
      <c r="AN186" s="76"/>
      <c r="AO186" s="81">
        <f t="shared" si="272"/>
        <v>22.222222222222221</v>
      </c>
      <c r="AP186" s="81">
        <f t="shared" si="273"/>
        <v>30.434782608695656</v>
      </c>
      <c r="AQ186" s="81">
        <f t="shared" si="274"/>
        <v>26</v>
      </c>
      <c r="AR186" s="3"/>
      <c r="AS186" s="76">
        <f t="shared" si="216"/>
        <v>36.746987951807228</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51"/>
        <v>24</v>
      </c>
      <c r="H187" s="52">
        <f t="shared" si="252"/>
        <v>36.923076923076927</v>
      </c>
      <c r="I187" s="53">
        <f>COUNTIFS('00 Encuesta'!$B$2:$B$511,"*c)*",'00 Encuesta'!$C$2:$C$511,"*a)*",'00 Encuesta'!$E$2:$E$511,"*a)*",'00 Encuesta'!$X$2:$X$511,"*f)*")</f>
        <v>7</v>
      </c>
      <c r="J187" s="52">
        <f t="shared" si="253"/>
        <v>21.212121212121211</v>
      </c>
      <c r="K187" s="53">
        <f>COUNTIFS('00 Encuesta'!$B$2:$B$511,"*c)*",'00 Encuesta'!$C$2:$C$511,"*a)*",'00 Encuesta'!$E$2:$E$511,"*b)*",'00 Encuesta'!$X$2:$X$511,"*f)*")</f>
        <v>17</v>
      </c>
      <c r="L187" s="52">
        <f t="shared" si="254"/>
        <v>53.125</v>
      </c>
      <c r="M187" s="23"/>
      <c r="N187" s="51">
        <f t="shared" si="255"/>
        <v>18</v>
      </c>
      <c r="O187" s="52">
        <f t="shared" si="256"/>
        <v>35.294117647058826</v>
      </c>
      <c r="P187" s="53">
        <f>COUNTIFS('00 Encuesta'!$B$2:$B$511,"*c)*",'00 Encuesta'!$C$2:$C$511,"*b)*",'00 Encuesta'!$E$2:$E$511,"*a)*",'00 Encuesta'!$X$2:$X$511,"*f)*")</f>
        <v>10</v>
      </c>
      <c r="Q187" s="52">
        <f t="shared" si="257"/>
        <v>35.714285714285715</v>
      </c>
      <c r="R187" s="53">
        <f>COUNTIFS('00 Encuesta'!$B$2:$B$511,"*c)*",'00 Encuesta'!$C$2:$C$511,"*b)*",'00 Encuesta'!$E$2:$E$511,"*b)*",'00 Encuesta'!$X$2:$X$511,"*f)*")</f>
        <v>8</v>
      </c>
      <c r="S187" s="52">
        <f t="shared" si="258"/>
        <v>34.782608695652172</v>
      </c>
      <c r="T187" s="3"/>
      <c r="U187" s="51">
        <f t="shared" si="259"/>
        <v>13</v>
      </c>
      <c r="V187" s="52">
        <f t="shared" si="260"/>
        <v>26</v>
      </c>
      <c r="W187" s="53">
        <f>COUNTIFS('00 Encuesta'!$B$2:$B$511,"*c)*",'00 Encuesta'!$C$2:$C$511,"*d)*",'00 Encuesta'!$E$2:$E$511,"*a)*",'00 Encuesta'!$X$2:$X$511,"*f)*")</f>
        <v>7</v>
      </c>
      <c r="X187" s="52">
        <f t="shared" si="261"/>
        <v>25.925925925925924</v>
      </c>
      <c r="Y187" s="53">
        <f>COUNTIFS('00 Encuesta'!$B$2:$B$511,"*c)*",'00 Encuesta'!$C$2:$C$511,"*d)*",'00 Encuesta'!$E$2:$E$511,"*b)*",'00 Encuesta'!$X$2:$X$511,"*f)*")</f>
        <v>6</v>
      </c>
      <c r="Z187" s="52">
        <f t="shared" si="262"/>
        <v>26.086956521739129</v>
      </c>
      <c r="AA187" s="3"/>
      <c r="AB187" s="62">
        <f t="shared" si="263"/>
        <v>55</v>
      </c>
      <c r="AC187" s="52">
        <f t="shared" si="264"/>
        <v>33.132530120481931</v>
      </c>
      <c r="AD187" s="7"/>
      <c r="AE187" s="7"/>
      <c r="AF187" s="9" t="str">
        <f t="shared" si="265"/>
        <v>f) En alguna ocasión he rezado el rosario</v>
      </c>
      <c r="AG187" s="72">
        <f t="shared" si="266"/>
        <v>21.212121212121211</v>
      </c>
      <c r="AH187" s="72">
        <f t="shared" si="267"/>
        <v>53.125</v>
      </c>
      <c r="AI187" s="73">
        <f t="shared" si="268"/>
        <v>36.923076923076927</v>
      </c>
      <c r="AJ187" s="73"/>
      <c r="AK187" s="76">
        <f t="shared" si="269"/>
        <v>35.714285714285715</v>
      </c>
      <c r="AL187" s="76">
        <f t="shared" si="270"/>
        <v>34.782608695652172</v>
      </c>
      <c r="AM187" s="76">
        <f t="shared" si="271"/>
        <v>35.294117647058826</v>
      </c>
      <c r="AN187" s="76"/>
      <c r="AO187" s="81">
        <f t="shared" si="272"/>
        <v>25.925925925925924</v>
      </c>
      <c r="AP187" s="81">
        <f t="shared" si="273"/>
        <v>26.086956521739129</v>
      </c>
      <c r="AQ187" s="81">
        <f t="shared" si="274"/>
        <v>26</v>
      </c>
      <c r="AR187" s="7"/>
      <c r="AS187" s="76">
        <f t="shared" si="216"/>
        <v>33.132530120481931</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51"/>
        <v>14</v>
      </c>
      <c r="H188" s="52">
        <f t="shared" si="252"/>
        <v>21.53846153846154</v>
      </c>
      <c r="I188" s="53">
        <f>COUNTIFS('00 Encuesta'!$B$2:$B$511,"*c)*",'00 Encuesta'!$C$2:$C$511,"*a)*",'00 Encuesta'!$E$2:$E$511,"*a)*",'00 Encuesta'!$X$2:$X$511,"*g)*")</f>
        <v>7</v>
      </c>
      <c r="J188" s="52">
        <f t="shared" si="253"/>
        <v>21.212121212121211</v>
      </c>
      <c r="K188" s="53">
        <f>COUNTIFS('00 Encuesta'!$B$2:$B$511,"*c)*",'00 Encuesta'!$C$2:$C$511,"*a)*",'00 Encuesta'!$E$2:$E$511,"*b)*",'00 Encuesta'!$X$2:$X$511,"*g)*")</f>
        <v>7</v>
      </c>
      <c r="L188" s="52">
        <f t="shared" ref="L188:L190" si="275">K188/$J$7*100</f>
        <v>21.875</v>
      </c>
      <c r="M188" s="23"/>
      <c r="N188" s="51">
        <f t="shared" ref="N188:N190" si="276">P188+R188</f>
        <v>12</v>
      </c>
      <c r="O188" s="52">
        <f t="shared" ref="O188:O190" si="277">N188/$Q$5*100</f>
        <v>23.52941176470588</v>
      </c>
      <c r="P188" s="53">
        <f>COUNTIFS('00 Encuesta'!$B$2:$B$511,"*c)*",'00 Encuesta'!$C$2:$C$511,"*b)*",'00 Encuesta'!$E$2:$E$511,"*a)*",'00 Encuesta'!$X$2:$X$511,"*g)*")</f>
        <v>8</v>
      </c>
      <c r="Q188" s="52">
        <f t="shared" si="257"/>
        <v>28.571428571428569</v>
      </c>
      <c r="R188" s="53">
        <f>COUNTIFS('00 Encuesta'!$B$2:$B$511,"*c)*",'00 Encuesta'!$C$2:$C$511,"*b)*",'00 Encuesta'!$E$2:$E$511,"*b)*",'00 Encuesta'!$X$2:$X$511,"*g)*")</f>
        <v>4</v>
      </c>
      <c r="S188" s="52">
        <f t="shared" ref="S188:S190" si="278">R188/$Q$7*100</f>
        <v>17.391304347826086</v>
      </c>
      <c r="T188" s="3"/>
      <c r="U188" s="51">
        <f t="shared" ref="U188:U190" si="279">W188+Y188</f>
        <v>5</v>
      </c>
      <c r="V188" s="52">
        <f t="shared" ref="V188:V190" si="280">U188/$X$5*100</f>
        <v>10</v>
      </c>
      <c r="W188" s="53">
        <f>COUNTIFS('00 Encuesta'!$B$2:$B$511,"*c)*",'00 Encuesta'!$C$2:$C$511,"*d)*",'00 Encuesta'!$E$2:$E$511,"*a)*",'00 Encuesta'!$X$2:$X$511,"*g)*")</f>
        <v>2</v>
      </c>
      <c r="X188" s="52">
        <f t="shared" si="261"/>
        <v>7.4074074074074066</v>
      </c>
      <c r="Y188" s="53">
        <f>COUNTIFS('00 Encuesta'!$B$2:$B$511,"*c)*",'00 Encuesta'!$C$2:$C$511,"*d)*",'00 Encuesta'!$E$2:$E$511,"*b)*",'00 Encuesta'!$X$2:$X$511,"*g)*")</f>
        <v>3</v>
      </c>
      <c r="Z188" s="52">
        <f t="shared" si="262"/>
        <v>13.043478260869565</v>
      </c>
      <c r="AA188" s="3"/>
      <c r="AB188" s="62">
        <f t="shared" si="263"/>
        <v>31</v>
      </c>
      <c r="AC188" s="52">
        <f t="shared" si="264"/>
        <v>18.674698795180724</v>
      </c>
      <c r="AD188" s="7"/>
      <c r="AE188" s="7"/>
      <c r="AF188" s="9" t="str">
        <f t="shared" si="265"/>
        <v>g) En ocasiones, en mi casa tenemos una oración familiar</v>
      </c>
      <c r="AG188" s="72">
        <f t="shared" si="266"/>
        <v>21.212121212121211</v>
      </c>
      <c r="AH188" s="72">
        <f t="shared" si="267"/>
        <v>21.875</v>
      </c>
      <c r="AI188" s="73">
        <f t="shared" si="268"/>
        <v>21.53846153846154</v>
      </c>
      <c r="AJ188" s="73"/>
      <c r="AK188" s="76">
        <f t="shared" si="269"/>
        <v>28.571428571428569</v>
      </c>
      <c r="AL188" s="76">
        <f t="shared" si="270"/>
        <v>17.391304347826086</v>
      </c>
      <c r="AM188" s="76">
        <f t="shared" si="271"/>
        <v>23.52941176470588</v>
      </c>
      <c r="AN188" s="76"/>
      <c r="AO188" s="81">
        <f t="shared" si="272"/>
        <v>7.4074074074074066</v>
      </c>
      <c r="AP188" s="81">
        <f t="shared" si="273"/>
        <v>13.043478260869565</v>
      </c>
      <c r="AQ188" s="81">
        <f t="shared" si="274"/>
        <v>10</v>
      </c>
      <c r="AR188" s="7"/>
      <c r="AS188" s="76">
        <f t="shared" si="216"/>
        <v>18.674698795180724</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x14ac:dyDescent="0.3">
      <c r="A189" s="8" t="s">
        <v>63</v>
      </c>
      <c r="B189" s="9" t="s">
        <v>144</v>
      </c>
      <c r="C189" s="7"/>
      <c r="D189" s="7"/>
      <c r="E189" s="7"/>
      <c r="F189" s="71"/>
      <c r="G189" s="51">
        <f t="shared" si="251"/>
        <v>19</v>
      </c>
      <c r="H189" s="52">
        <f t="shared" si="252"/>
        <v>29.230769230769234</v>
      </c>
      <c r="I189" s="53">
        <f>COUNTIFS('00 Encuesta'!$B$2:$B$511,"*c)*",'00 Encuesta'!$C$2:$C$511,"*a)*",'00 Encuesta'!$E$2:$E$511,"*a)*",'00 Encuesta'!$X$2:$X$511,"*h)*")</f>
        <v>7</v>
      </c>
      <c r="J189" s="52">
        <f t="shared" si="253"/>
        <v>21.212121212121211</v>
      </c>
      <c r="K189" s="53">
        <f>COUNTIFS('00 Encuesta'!$B$2:$B$511,"*c)*",'00 Encuesta'!$C$2:$C$511,"*a)*",'00 Encuesta'!$E$2:$E$511,"*b)*",'00 Encuesta'!$X$2:$X$511,"*h)*")</f>
        <v>12</v>
      </c>
      <c r="L189" s="52">
        <f t="shared" si="275"/>
        <v>37.5</v>
      </c>
      <c r="M189" s="23"/>
      <c r="N189" s="51">
        <f t="shared" si="276"/>
        <v>12</v>
      </c>
      <c r="O189" s="52">
        <f t="shared" si="277"/>
        <v>23.52941176470588</v>
      </c>
      <c r="P189" s="53">
        <f>COUNTIFS('00 Encuesta'!$B$2:$B$511,"*c)*",'00 Encuesta'!$C$2:$C$511,"*b)*",'00 Encuesta'!$E$2:$E$511,"*a)*",'00 Encuesta'!$X$2:$X$511,"*h)*")</f>
        <v>6</v>
      </c>
      <c r="Q189" s="52">
        <f t="shared" si="257"/>
        <v>21.428571428571427</v>
      </c>
      <c r="R189" s="53">
        <f>COUNTIFS('00 Encuesta'!$B$2:$B$511,"*c)*",'00 Encuesta'!$C$2:$C$511,"*b)*",'00 Encuesta'!$E$2:$E$511,"*b)*",'00 Encuesta'!$X$2:$X$511,"*h)*")</f>
        <v>6</v>
      </c>
      <c r="S189" s="52">
        <f t="shared" si="278"/>
        <v>26.086956521739129</v>
      </c>
      <c r="T189" s="3"/>
      <c r="U189" s="51">
        <f t="shared" si="279"/>
        <v>6</v>
      </c>
      <c r="V189" s="52">
        <f t="shared" si="280"/>
        <v>12</v>
      </c>
      <c r="W189" s="53">
        <f>COUNTIFS('00 Encuesta'!$B$2:$B$511,"*c)*",'00 Encuesta'!$C$2:$C$511,"*d)*",'00 Encuesta'!$E$2:$E$511,"*a)*",'00 Encuesta'!$X$2:$X$511,"*h)*")</f>
        <v>4</v>
      </c>
      <c r="X189" s="52">
        <f t="shared" si="261"/>
        <v>14.814814814814813</v>
      </c>
      <c r="Y189" s="53">
        <f>COUNTIFS('00 Encuesta'!$B$2:$B$511,"*c)*",'00 Encuesta'!$C$2:$C$511,"*d)*",'00 Encuesta'!$E$2:$E$511,"*b)*",'00 Encuesta'!$X$2:$X$511,"*h)*")</f>
        <v>2</v>
      </c>
      <c r="Z189" s="52">
        <f t="shared" si="262"/>
        <v>8.695652173913043</v>
      </c>
      <c r="AA189" s="3"/>
      <c r="AB189" s="62">
        <f t="shared" si="263"/>
        <v>37</v>
      </c>
      <c r="AC189" s="52">
        <f t="shared" si="264"/>
        <v>22.289156626506024</v>
      </c>
      <c r="AD189" s="7"/>
      <c r="AE189" s="7"/>
      <c r="AF189" s="9" t="str">
        <f t="shared" si="265"/>
        <v>h) En Semana Santa asisto a las procesiones</v>
      </c>
      <c r="AG189" s="72">
        <f t="shared" si="266"/>
        <v>21.212121212121211</v>
      </c>
      <c r="AH189" s="72">
        <f t="shared" si="267"/>
        <v>37.5</v>
      </c>
      <c r="AI189" s="73">
        <f t="shared" si="268"/>
        <v>29.230769230769234</v>
      </c>
      <c r="AJ189" s="73"/>
      <c r="AK189" s="76">
        <f t="shared" si="269"/>
        <v>21.428571428571427</v>
      </c>
      <c r="AL189" s="76">
        <f t="shared" si="270"/>
        <v>26.086956521739129</v>
      </c>
      <c r="AM189" s="76">
        <f t="shared" si="271"/>
        <v>23.52941176470588</v>
      </c>
      <c r="AN189" s="76"/>
      <c r="AO189" s="81">
        <f t="shared" si="272"/>
        <v>14.814814814814813</v>
      </c>
      <c r="AP189" s="81">
        <f t="shared" si="273"/>
        <v>8.695652173913043</v>
      </c>
      <c r="AQ189" s="81">
        <f t="shared" si="274"/>
        <v>12</v>
      </c>
      <c r="AR189" s="7"/>
      <c r="AS189" s="76">
        <f t="shared" si="216"/>
        <v>22.289156626506024</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x14ac:dyDescent="0.3">
      <c r="A190" s="8" t="s">
        <v>65</v>
      </c>
      <c r="B190" s="9" t="s">
        <v>145</v>
      </c>
      <c r="C190" s="7"/>
      <c r="D190" s="7"/>
      <c r="E190" s="7"/>
      <c r="F190" s="71"/>
      <c r="G190" s="51">
        <f t="shared" si="251"/>
        <v>22</v>
      </c>
      <c r="H190" s="52">
        <f t="shared" si="252"/>
        <v>33.846153846153847</v>
      </c>
      <c r="I190" s="53">
        <f>COUNTIFS('00 Encuesta'!$B$2:$B$511,"*c)*",'00 Encuesta'!$C$2:$C$511,"*a)*",'00 Encuesta'!$E$2:$E$511,"*a)*",'00 Encuesta'!$X$2:$X$511,"*i)*")</f>
        <v>13</v>
      </c>
      <c r="J190" s="52">
        <f t="shared" si="253"/>
        <v>39.393939393939391</v>
      </c>
      <c r="K190" s="53">
        <f>COUNTIFS('00 Encuesta'!$B$2:$B$511,"*c)*",'00 Encuesta'!$C$2:$C$511,"*a)*",'00 Encuesta'!$E$2:$E$511,"*b)*",'00 Encuesta'!$X$2:$X$511,"*i)*")</f>
        <v>9</v>
      </c>
      <c r="L190" s="52">
        <f t="shared" si="275"/>
        <v>28.125</v>
      </c>
      <c r="M190" s="23"/>
      <c r="N190" s="51">
        <f t="shared" si="276"/>
        <v>19</v>
      </c>
      <c r="O190" s="52">
        <f t="shared" si="277"/>
        <v>37.254901960784316</v>
      </c>
      <c r="P190" s="53">
        <f>COUNTIFS('00 Encuesta'!$B$2:$B$511,"*c)*",'00 Encuesta'!$C$2:$C$511,"*b)*",'00 Encuesta'!$E$2:$E$511,"*a)*",'00 Encuesta'!$X$2:$X$511,"*i)*")</f>
        <v>12</v>
      </c>
      <c r="Q190" s="52">
        <f t="shared" si="257"/>
        <v>42.857142857142854</v>
      </c>
      <c r="R190" s="53">
        <f>COUNTIFS('00 Encuesta'!$B$2:$B$511,"*c)*",'00 Encuesta'!$C$2:$C$511,"*b)*",'00 Encuesta'!$E$2:$E$511,"*b)*",'00 Encuesta'!$X$2:$X$511,"*i)*")</f>
        <v>7</v>
      </c>
      <c r="S190" s="52">
        <f t="shared" si="278"/>
        <v>30.434782608695656</v>
      </c>
      <c r="T190" s="3"/>
      <c r="U190" s="51">
        <f t="shared" si="279"/>
        <v>18</v>
      </c>
      <c r="V190" s="52">
        <f t="shared" si="280"/>
        <v>36</v>
      </c>
      <c r="W190" s="53">
        <f>COUNTIFS('00 Encuesta'!$B$2:$B$511,"*c)*",'00 Encuesta'!$C$2:$C$511,"*d)*",'00 Encuesta'!$E$2:$E$511,"*a)*",'00 Encuesta'!$X$2:$X$511,"*i)*")</f>
        <v>10</v>
      </c>
      <c r="X190" s="52">
        <f t="shared" si="261"/>
        <v>37.037037037037038</v>
      </c>
      <c r="Y190" s="53">
        <f>COUNTIFS('00 Encuesta'!$B$2:$B$511,"*c)*",'00 Encuesta'!$C$2:$C$511,"*d)*",'00 Encuesta'!$E$2:$E$511,"*b)*",'00 Encuesta'!$X$2:$X$511,"*i)*")</f>
        <v>8</v>
      </c>
      <c r="Z190" s="52">
        <f t="shared" si="262"/>
        <v>34.782608695652172</v>
      </c>
      <c r="AA190" s="3"/>
      <c r="AB190" s="62">
        <f t="shared" si="263"/>
        <v>59</v>
      </c>
      <c r="AC190" s="52">
        <f t="shared" si="264"/>
        <v>35.542168674698793</v>
      </c>
      <c r="AD190" s="7"/>
      <c r="AE190" s="7"/>
      <c r="AF190" s="9" t="str">
        <f t="shared" si="265"/>
        <v>i) Tengo en mi cuarto alguna imagen religiosa</v>
      </c>
      <c r="AG190" s="72">
        <f t="shared" si="266"/>
        <v>39.393939393939391</v>
      </c>
      <c r="AH190" s="72">
        <f t="shared" si="267"/>
        <v>28.125</v>
      </c>
      <c r="AI190" s="73">
        <f t="shared" si="268"/>
        <v>33.846153846153847</v>
      </c>
      <c r="AJ190" s="73"/>
      <c r="AK190" s="76">
        <f t="shared" si="269"/>
        <v>42.857142857142854</v>
      </c>
      <c r="AL190" s="76">
        <f t="shared" si="270"/>
        <v>30.434782608695656</v>
      </c>
      <c r="AM190" s="76">
        <f t="shared" si="271"/>
        <v>37.254901960784316</v>
      </c>
      <c r="AN190" s="76"/>
      <c r="AO190" s="81">
        <f t="shared" si="272"/>
        <v>37.037037037037038</v>
      </c>
      <c r="AP190" s="81">
        <f t="shared" si="273"/>
        <v>34.782608695652172</v>
      </c>
      <c r="AQ190" s="81">
        <f t="shared" si="274"/>
        <v>36</v>
      </c>
      <c r="AR190" s="7"/>
      <c r="AS190" s="76">
        <f t="shared" si="216"/>
        <v>35.542168674698793</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x14ac:dyDescent="0.3">
      <c r="A191" s="8" t="s">
        <v>23</v>
      </c>
      <c r="B191" s="9" t="s">
        <v>24</v>
      </c>
      <c r="C191" s="7"/>
      <c r="D191" s="7"/>
      <c r="E191" s="7"/>
      <c r="F191" s="71"/>
      <c r="G191" s="51">
        <f t="shared" si="251"/>
        <v>0</v>
      </c>
      <c r="H191" s="52">
        <f t="shared" si="252"/>
        <v>0</v>
      </c>
      <c r="I191" s="53"/>
      <c r="J191" s="52">
        <f t="shared" si="253"/>
        <v>0</v>
      </c>
      <c r="K191" s="53"/>
      <c r="L191" s="52">
        <f t="shared" ref="L191" si="281">K191/$J$7*100</f>
        <v>0</v>
      </c>
      <c r="M191" s="23"/>
      <c r="N191" s="51">
        <f t="shared" ref="N191" si="282">P191+R191</f>
        <v>0</v>
      </c>
      <c r="O191" s="52">
        <f t="shared" ref="O191" si="283">N191/$Q$5*100</f>
        <v>0</v>
      </c>
      <c r="P191" s="53"/>
      <c r="Q191" s="52">
        <f t="shared" ref="Q191" si="284">P191/$Q$6*100</f>
        <v>0</v>
      </c>
      <c r="R191" s="53"/>
      <c r="S191" s="52">
        <f t="shared" ref="S191" si="285">R191/$Q$7*100</f>
        <v>0</v>
      </c>
      <c r="T191" s="3"/>
      <c r="U191" s="51">
        <f t="shared" ref="U191" si="286">W191+Y191</f>
        <v>0</v>
      </c>
      <c r="V191" s="52">
        <f t="shared" ref="V191" si="287">U191/$X$5*100</f>
        <v>0</v>
      </c>
      <c r="W191" s="53"/>
      <c r="X191" s="52">
        <f t="shared" ref="X191" si="288">W191/$X$6*100</f>
        <v>0</v>
      </c>
      <c r="Y191" s="53"/>
      <c r="Z191" s="52">
        <f t="shared" si="262"/>
        <v>0</v>
      </c>
      <c r="AA191" s="3"/>
      <c r="AB191" s="62">
        <f t="shared" si="263"/>
        <v>0</v>
      </c>
      <c r="AC191" s="52">
        <f t="shared" si="264"/>
        <v>0</v>
      </c>
      <c r="AD191" s="7"/>
      <c r="AE191" s="7"/>
      <c r="AF191" s="9" t="str">
        <f t="shared" si="265"/>
        <v>S/R Sin Respuesta</v>
      </c>
      <c r="AG191" s="72">
        <f t="shared" si="266"/>
        <v>0</v>
      </c>
      <c r="AH191" s="72">
        <f t="shared" si="267"/>
        <v>0</v>
      </c>
      <c r="AI191" s="73">
        <f t="shared" si="268"/>
        <v>0</v>
      </c>
      <c r="AJ191" s="73"/>
      <c r="AK191" s="76">
        <f t="shared" si="269"/>
        <v>0</v>
      </c>
      <c r="AL191" s="76">
        <f t="shared" si="270"/>
        <v>0</v>
      </c>
      <c r="AM191" s="76">
        <f t="shared" si="271"/>
        <v>0</v>
      </c>
      <c r="AN191" s="76"/>
      <c r="AO191" s="81">
        <f t="shared" si="272"/>
        <v>0</v>
      </c>
      <c r="AP191" s="81">
        <f t="shared" si="273"/>
        <v>0</v>
      </c>
      <c r="AQ191" s="81">
        <f t="shared" si="274"/>
        <v>0</v>
      </c>
      <c r="AR191" s="7"/>
      <c r="AS191" s="76">
        <f t="shared" si="216"/>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x14ac:dyDescent="0.3">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x14ac:dyDescent="0.3">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x14ac:dyDescent="0.3">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89">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x14ac:dyDescent="0.3">
      <c r="A195" s="8" t="s">
        <v>17</v>
      </c>
      <c r="B195" s="9" t="s">
        <v>147</v>
      </c>
      <c r="C195" s="7"/>
      <c r="D195" s="7"/>
      <c r="E195" s="7"/>
      <c r="F195" s="71"/>
      <c r="G195" s="51">
        <f>I195+K195</f>
        <v>29</v>
      </c>
      <c r="H195" s="52">
        <f>G195/$J$5*100</f>
        <v>44.61538461538462</v>
      </c>
      <c r="I195" s="53">
        <f>COUNTIFS('00 Encuesta'!$B$2:$B$511,"*c)*",'00 Encuesta'!$C$2:$C$511,"*a)*",'00 Encuesta'!$E$2:$E$511,"*a)*",'00 Encuesta'!$Y$2:$Y$511,"*a)*")</f>
        <v>19</v>
      </c>
      <c r="J195" s="52">
        <f>I195/$J$6*100</f>
        <v>57.575757575757578</v>
      </c>
      <c r="K195" s="53">
        <f>COUNTIFS('00 Encuesta'!$B$2:$B$511,"*c)*",'00 Encuesta'!$C$2:$C$511,"*a)*",'00 Encuesta'!$E$2:$E$511,"*b)*",'00 Encuesta'!$Y$2:$Y$511,"*a)*")</f>
        <v>10</v>
      </c>
      <c r="L195" s="52">
        <f>K195/$J$7*100</f>
        <v>31.25</v>
      </c>
      <c r="M195" s="23"/>
      <c r="N195" s="51">
        <f>P195+R195</f>
        <v>18</v>
      </c>
      <c r="O195" s="52">
        <f>N195/$Q$5*100</f>
        <v>35.294117647058826</v>
      </c>
      <c r="P195" s="53">
        <f>COUNTIFS('00 Encuesta'!$B$2:$B$511,"*c)*",'00 Encuesta'!$C$2:$C$511,"*b)*",'00 Encuesta'!$E$2:$E$511,"*a)*",'00 Encuesta'!$Y$2:$Y$511,"*a)*")</f>
        <v>16</v>
      </c>
      <c r="Q195" s="52">
        <f>P195/$Q$6*100</f>
        <v>57.142857142857139</v>
      </c>
      <c r="R195" s="53">
        <f>COUNTIFS('00 Encuesta'!$B$2:$B$511,"*c)*",'00 Encuesta'!$C$2:$C$511,"*b)*",'00 Encuesta'!$E$2:$E$511,"*b)*",'00 Encuesta'!$Y$2:$Y$511,"*a)*")</f>
        <v>2</v>
      </c>
      <c r="S195" s="52">
        <f>R195/$Q$7*100</f>
        <v>8.695652173913043</v>
      </c>
      <c r="T195" s="3"/>
      <c r="U195" s="51">
        <f>W195+Y195</f>
        <v>18</v>
      </c>
      <c r="V195" s="52">
        <f>U195/$X$5*100</f>
        <v>36</v>
      </c>
      <c r="W195" s="53">
        <f>COUNTIFS('00 Encuesta'!$B$2:$B$511,"*c)*",'00 Encuesta'!$C$2:$C$511,"*d)*",'00 Encuesta'!$E$2:$E$511,"*a)*",'00 Encuesta'!$Y$2:$Y$511,"*a)*")</f>
        <v>15</v>
      </c>
      <c r="X195" s="52">
        <f>W195/$X$6*100</f>
        <v>55.555555555555557</v>
      </c>
      <c r="Y195" s="53">
        <f>COUNTIFS('00 Encuesta'!$B$2:$B$511,"*c)*",'00 Encuesta'!$C$2:$C$511,"*d)*",'00 Encuesta'!$E$2:$E$511,"*b)*",'00 Encuesta'!$Y$2:$Y$511,"*a)*")</f>
        <v>3</v>
      </c>
      <c r="Z195" s="52">
        <f>Y195/$X$7*100</f>
        <v>13.043478260869565</v>
      </c>
      <c r="AA195" s="3"/>
      <c r="AB195" s="62">
        <f>G195+N195+U195</f>
        <v>65</v>
      </c>
      <c r="AC195" s="52">
        <f>AB195*100/$AC$5</f>
        <v>39.156626506024097</v>
      </c>
      <c r="AD195" s="3"/>
      <c r="AE195" s="3"/>
      <c r="AF195" s="9" t="str">
        <f t="shared" si="289"/>
        <v>a) Deportivo</v>
      </c>
      <c r="AG195" s="72">
        <f>J195</f>
        <v>57.575757575757578</v>
      </c>
      <c r="AH195" s="72">
        <f>L195</f>
        <v>31.25</v>
      </c>
      <c r="AI195" s="73">
        <f>H195</f>
        <v>44.61538461538462</v>
      </c>
      <c r="AJ195" s="73"/>
      <c r="AK195" s="76">
        <f>Q195</f>
        <v>57.142857142857139</v>
      </c>
      <c r="AL195" s="76">
        <f>S195</f>
        <v>8.695652173913043</v>
      </c>
      <c r="AM195" s="76">
        <f>O195</f>
        <v>35.294117647058826</v>
      </c>
      <c r="AN195" s="76"/>
      <c r="AO195" s="81">
        <f>X195</f>
        <v>55.555555555555557</v>
      </c>
      <c r="AP195" s="81">
        <f>Z195</f>
        <v>13.043478260869565</v>
      </c>
      <c r="AQ195" s="81">
        <f>V195</f>
        <v>36</v>
      </c>
      <c r="AR195" s="3"/>
      <c r="AS195" s="76">
        <f t="shared" si="216"/>
        <v>39.156626506024097</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8</v>
      </c>
      <c r="H196" s="52">
        <f>G196/$J$5*100</f>
        <v>12.307692307692308</v>
      </c>
      <c r="I196" s="53">
        <f>COUNTIFS('00 Encuesta'!$B$2:$B$511,"*c)*",'00 Encuesta'!$C$2:$C$511,"*a)*",'00 Encuesta'!$E$2:$E$511,"*a)*",'00 Encuesta'!$Y$2:$Y$511,"*b)*")</f>
        <v>3</v>
      </c>
      <c r="J196" s="52">
        <f>I196/$J$6*100</f>
        <v>9.0909090909090917</v>
      </c>
      <c r="K196" s="53">
        <f>COUNTIFS('00 Encuesta'!$B$2:$B$511,"*c)*",'00 Encuesta'!$C$2:$C$511,"*a)*",'00 Encuesta'!$E$2:$E$511,"*b)*",'00 Encuesta'!$Y$2:$Y$511,"*b)*")</f>
        <v>5</v>
      </c>
      <c r="L196" s="52">
        <f>K196/$J$7*100</f>
        <v>15.625</v>
      </c>
      <c r="M196" s="23"/>
      <c r="N196" s="51">
        <f>P196+R196</f>
        <v>9</v>
      </c>
      <c r="O196" s="52">
        <f>N196/$Q$5*100</f>
        <v>17.647058823529413</v>
      </c>
      <c r="P196" s="53">
        <f>COUNTIFS('00 Encuesta'!$B$2:$B$511,"*c)*",'00 Encuesta'!$C$2:$C$511,"*b)*",'00 Encuesta'!$E$2:$E$511,"*a)*",'00 Encuesta'!$Y$2:$Y$511,"*b)*")</f>
        <v>6</v>
      </c>
      <c r="Q196" s="52">
        <f>P196/$Q$6*100</f>
        <v>21.428571428571427</v>
      </c>
      <c r="R196" s="53">
        <f>COUNTIFS('00 Encuesta'!$B$2:$B$511,"*c)*",'00 Encuesta'!$C$2:$C$511,"*b)*",'00 Encuesta'!$E$2:$E$511,"*b)*",'00 Encuesta'!$Y$2:$Y$511,"*b)*")</f>
        <v>3</v>
      </c>
      <c r="S196" s="52">
        <f>R196/$Q$7*100</f>
        <v>13.043478260869565</v>
      </c>
      <c r="T196" s="3"/>
      <c r="U196" s="51">
        <f>W196+Y196</f>
        <v>2</v>
      </c>
      <c r="V196" s="52">
        <f>U196/$X$5*100</f>
        <v>4</v>
      </c>
      <c r="W196" s="53">
        <f>COUNTIFS('00 Encuesta'!$B$2:$B$511,"*c)*",'00 Encuesta'!$C$2:$C$511,"*d)*",'00 Encuesta'!$E$2:$E$511,"*a)*",'00 Encuesta'!$Y$2:$Y$511,"*b)*")</f>
        <v>1</v>
      </c>
      <c r="X196" s="52">
        <f>W196/$X$6*100</f>
        <v>3.7037037037037033</v>
      </c>
      <c r="Y196" s="53">
        <f>COUNTIFS('00 Encuesta'!$B$2:$B$511,"*c)*",'00 Encuesta'!$C$2:$C$511,"*d)*",'00 Encuesta'!$E$2:$E$511,"*b)*",'00 Encuesta'!$Y$2:$Y$511,"*b)*")</f>
        <v>1</v>
      </c>
      <c r="Z196" s="52">
        <f>Y196/$X$7*100</f>
        <v>4.3478260869565215</v>
      </c>
      <c r="AA196" s="3"/>
      <c r="AB196" s="62">
        <f>G196+N196+U196</f>
        <v>19</v>
      </c>
      <c r="AC196" s="52">
        <f>AB196*100/$AC$5</f>
        <v>11.445783132530121</v>
      </c>
      <c r="AD196" s="3"/>
      <c r="AE196" s="3"/>
      <c r="AF196" s="9" t="str">
        <f t="shared" si="289"/>
        <v>b) Cultural (folklórico, musicales, danzas, scout, banda marcial...)</v>
      </c>
      <c r="AG196" s="72">
        <f>J196</f>
        <v>9.0909090909090917</v>
      </c>
      <c r="AH196" s="72">
        <f>L196</f>
        <v>15.625</v>
      </c>
      <c r="AI196" s="73">
        <f>H196</f>
        <v>12.307692307692308</v>
      </c>
      <c r="AJ196" s="73"/>
      <c r="AK196" s="76">
        <f>Q196</f>
        <v>21.428571428571427</v>
      </c>
      <c r="AL196" s="76">
        <f>S196</f>
        <v>13.043478260869565</v>
      </c>
      <c r="AM196" s="76">
        <f>O196</f>
        <v>17.647058823529413</v>
      </c>
      <c r="AN196" s="76"/>
      <c r="AO196" s="81">
        <f>X196</f>
        <v>3.7037037037037033</v>
      </c>
      <c r="AP196" s="81">
        <f>Z196</f>
        <v>4.3478260869565215</v>
      </c>
      <c r="AQ196" s="81">
        <f>V196</f>
        <v>4</v>
      </c>
      <c r="AR196" s="3"/>
      <c r="AS196" s="76">
        <f t="shared" si="216"/>
        <v>11.445783132530121</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x14ac:dyDescent="0.3">
      <c r="A197" s="8" t="s">
        <v>20</v>
      </c>
      <c r="B197" s="9" t="s">
        <v>149</v>
      </c>
      <c r="C197" s="7"/>
      <c r="D197" s="7"/>
      <c r="E197" s="7"/>
      <c r="F197" s="71"/>
      <c r="G197" s="51">
        <f>I197+K197</f>
        <v>14</v>
      </c>
      <c r="H197" s="52">
        <f>G197/$J$5*100</f>
        <v>21.53846153846154</v>
      </c>
      <c r="I197" s="53">
        <f>COUNTIFS('00 Encuesta'!$B$2:$B$511,"*c)*",'00 Encuesta'!$C$2:$C$511,"*a)*",'00 Encuesta'!$E$2:$E$511,"*a)*",'00 Encuesta'!$Y$2:$Y$511,"*c)*")</f>
        <v>6</v>
      </c>
      <c r="J197" s="52">
        <f>I197/$J$6*100</f>
        <v>18.181818181818183</v>
      </c>
      <c r="K197" s="53">
        <f>COUNTIFS('00 Encuesta'!$B$2:$B$511,"*c)*",'00 Encuesta'!$C$2:$C$511,"*a)*",'00 Encuesta'!$E$2:$E$511,"*b)*",'00 Encuesta'!$Y$2:$Y$511,"*c)*")</f>
        <v>8</v>
      </c>
      <c r="L197" s="52">
        <f>K197/$J$7*100</f>
        <v>25</v>
      </c>
      <c r="M197" s="23"/>
      <c r="N197" s="51">
        <f>P197+R197</f>
        <v>15</v>
      </c>
      <c r="O197" s="52">
        <f>N197/$Q$5*100</f>
        <v>29.411764705882355</v>
      </c>
      <c r="P197" s="53">
        <f>COUNTIFS('00 Encuesta'!$B$2:$B$511,"*c)*",'00 Encuesta'!$C$2:$C$511,"*b)*",'00 Encuesta'!$E$2:$E$511,"*a)*",'00 Encuesta'!$Y$2:$Y$511,"*c)*")</f>
        <v>10</v>
      </c>
      <c r="Q197" s="52">
        <f>P197/$Q$6*100</f>
        <v>35.714285714285715</v>
      </c>
      <c r="R197" s="53">
        <f>COUNTIFS('00 Encuesta'!$B$2:$B$511,"*c)*",'00 Encuesta'!$C$2:$C$511,"*b)*",'00 Encuesta'!$E$2:$E$511,"*b)*",'00 Encuesta'!$Y$2:$Y$511,"*c)*")</f>
        <v>5</v>
      </c>
      <c r="S197" s="52">
        <f>R197/$Q$7*100</f>
        <v>21.739130434782609</v>
      </c>
      <c r="T197" s="3"/>
      <c r="U197" s="51">
        <f>W197+Y197</f>
        <v>9</v>
      </c>
      <c r="V197" s="52">
        <f>U197/$X$5*100</f>
        <v>18</v>
      </c>
      <c r="W197" s="53">
        <f>COUNTIFS('00 Encuesta'!$B$2:$B$511,"*c)*",'00 Encuesta'!$C$2:$C$511,"*d)*",'00 Encuesta'!$E$2:$E$511,"*a)*",'00 Encuesta'!$Y$2:$Y$511,"*c)*")</f>
        <v>3</v>
      </c>
      <c r="X197" s="52">
        <f>W197/$X$6*100</f>
        <v>11.111111111111111</v>
      </c>
      <c r="Y197" s="53">
        <f>COUNTIFS('00 Encuesta'!$B$2:$B$511,"*c)*",'00 Encuesta'!$C$2:$C$511,"*d)*",'00 Encuesta'!$E$2:$E$511,"*b)*",'00 Encuesta'!$Y$2:$Y$511,"*c)*")</f>
        <v>6</v>
      </c>
      <c r="Z197" s="52">
        <f>Y197/$X$7*100</f>
        <v>26.086956521739129</v>
      </c>
      <c r="AA197" s="3"/>
      <c r="AB197" s="62">
        <f>G197+N197+U197</f>
        <v>38</v>
      </c>
      <c r="AC197" s="52">
        <f>AB197*100/$AC$5</f>
        <v>22.891566265060241</v>
      </c>
      <c r="AD197" s="3"/>
      <c r="AE197" s="3"/>
      <c r="AF197" s="9" t="str">
        <f t="shared" si="289"/>
        <v>c) Religioso o parroquial</v>
      </c>
      <c r="AG197" s="72">
        <f>J197</f>
        <v>18.181818181818183</v>
      </c>
      <c r="AH197" s="72">
        <f>L197</f>
        <v>25</v>
      </c>
      <c r="AI197" s="73">
        <f>H197</f>
        <v>21.53846153846154</v>
      </c>
      <c r="AJ197" s="73"/>
      <c r="AK197" s="76">
        <f>Q197</f>
        <v>35.714285714285715</v>
      </c>
      <c r="AL197" s="76">
        <f>S197</f>
        <v>21.739130434782609</v>
      </c>
      <c r="AM197" s="76">
        <f>O197</f>
        <v>29.411764705882355</v>
      </c>
      <c r="AN197" s="76"/>
      <c r="AO197" s="81">
        <f>X197</f>
        <v>11.111111111111111</v>
      </c>
      <c r="AP197" s="81">
        <f>Z197</f>
        <v>26.086956521739129</v>
      </c>
      <c r="AQ197" s="81">
        <f>V197</f>
        <v>18</v>
      </c>
      <c r="AR197" s="3"/>
      <c r="AS197" s="76">
        <f t="shared" si="216"/>
        <v>22.891566265060241</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x14ac:dyDescent="0.3">
      <c r="A198" s="8" t="s">
        <v>21</v>
      </c>
      <c r="B198" s="9" t="s">
        <v>150</v>
      </c>
      <c r="C198" s="7"/>
      <c r="D198" s="7"/>
      <c r="E198" s="7"/>
      <c r="F198" s="71"/>
      <c r="G198" s="51">
        <f>I198+K198</f>
        <v>21</v>
      </c>
      <c r="H198" s="52">
        <f>G198/$J$5*100</f>
        <v>32.307692307692307</v>
      </c>
      <c r="I198" s="53">
        <f>COUNTIFS('00 Encuesta'!$B$2:$B$511,"*c)*",'00 Encuesta'!$C$2:$C$511,"*a)*",'00 Encuesta'!$E$2:$E$511,"*a)*",'00 Encuesta'!$Y$2:$Y$511,"*d)*")</f>
        <v>8</v>
      </c>
      <c r="J198" s="52">
        <f>I198/$J$6*100</f>
        <v>24.242424242424242</v>
      </c>
      <c r="K198" s="53">
        <f>COUNTIFS('00 Encuesta'!$B$2:$B$511,"*c)*",'00 Encuesta'!$C$2:$C$511,"*a)*",'00 Encuesta'!$E$2:$E$511,"*b)*",'00 Encuesta'!$Y$2:$Y$511,"*d)*")</f>
        <v>13</v>
      </c>
      <c r="L198" s="52">
        <f>K198/$J$7*100</f>
        <v>40.625</v>
      </c>
      <c r="M198" s="23"/>
      <c r="N198" s="51">
        <f>P198+R198</f>
        <v>24</v>
      </c>
      <c r="O198" s="52">
        <f>N198/$Q$5*100</f>
        <v>47.058823529411761</v>
      </c>
      <c r="P198" s="53">
        <f>COUNTIFS('00 Encuesta'!$B$2:$B$511,"*c)*",'00 Encuesta'!$C$2:$C$511,"*b)*",'00 Encuesta'!$E$2:$E$511,"*a)*",'00 Encuesta'!$Y$2:$Y$511,"*d)*")</f>
        <v>7</v>
      </c>
      <c r="Q198" s="52">
        <f>P198/$Q$6*100</f>
        <v>25</v>
      </c>
      <c r="R198" s="53">
        <f>COUNTIFS('00 Encuesta'!$B$2:$B$511,"*c)*",'00 Encuesta'!$C$2:$C$511,"*b)*",'00 Encuesta'!$E$2:$E$511,"*b)*",'00 Encuesta'!$Y$2:$Y$511,"*d)*")</f>
        <v>17</v>
      </c>
      <c r="S198" s="52">
        <f>R198/$Q$7*100</f>
        <v>73.91304347826086</v>
      </c>
      <c r="T198" s="3"/>
      <c r="U198" s="51">
        <f>W198+Y198</f>
        <v>24</v>
      </c>
      <c r="V198" s="52">
        <f>U198/$X$5*100</f>
        <v>48</v>
      </c>
      <c r="W198" s="53">
        <f>COUNTIFS('00 Encuesta'!$B$2:$B$511,"*c)*",'00 Encuesta'!$C$2:$C$511,"*d)*",'00 Encuesta'!$E$2:$E$511,"*a)*",'00 Encuesta'!$Y$2:$Y$511,"*d)*")</f>
        <v>9</v>
      </c>
      <c r="X198" s="52">
        <f>W198/$X$6*100</f>
        <v>33.333333333333329</v>
      </c>
      <c r="Y198" s="53">
        <f>COUNTIFS('00 Encuesta'!$B$2:$B$511,"*c)*",'00 Encuesta'!$C$2:$C$511,"*d)*",'00 Encuesta'!$E$2:$E$511,"*b)*",'00 Encuesta'!$Y$2:$Y$511,"*d)*")</f>
        <v>15</v>
      </c>
      <c r="Z198" s="52">
        <f>Y198/$X$7*100</f>
        <v>65.217391304347828</v>
      </c>
      <c r="AA198" s="3"/>
      <c r="AB198" s="62">
        <f>G198+N198+U198</f>
        <v>69</v>
      </c>
      <c r="AC198" s="52">
        <f>AB198*100/$AC$5</f>
        <v>41.566265060240966</v>
      </c>
      <c r="AD198" s="3"/>
      <c r="AE198" s="3"/>
      <c r="AF198" s="9" t="str">
        <f t="shared" si="289"/>
        <v>d) No pertenezco a ninguno.</v>
      </c>
      <c r="AG198" s="72">
        <f>J198</f>
        <v>24.242424242424242</v>
      </c>
      <c r="AH198" s="72">
        <f>L198</f>
        <v>40.625</v>
      </c>
      <c r="AI198" s="73">
        <f>H198</f>
        <v>32.307692307692307</v>
      </c>
      <c r="AJ198" s="73"/>
      <c r="AK198" s="76">
        <f>Q198</f>
        <v>25</v>
      </c>
      <c r="AL198" s="76">
        <f>S198</f>
        <v>73.91304347826086</v>
      </c>
      <c r="AM198" s="76">
        <f>O198</f>
        <v>47.058823529411761</v>
      </c>
      <c r="AN198" s="76"/>
      <c r="AO198" s="81">
        <f>X198</f>
        <v>33.333333333333329</v>
      </c>
      <c r="AP198" s="81">
        <f>Z198</f>
        <v>65.217391304347828</v>
      </c>
      <c r="AQ198" s="81">
        <f>V198</f>
        <v>48</v>
      </c>
      <c r="AR198" s="3"/>
      <c r="AS198" s="76">
        <f t="shared" si="216"/>
        <v>41.566265060240966</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x14ac:dyDescent="0.3">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f>N199/$Q$5*100</f>
        <v>0</v>
      </c>
      <c r="P199" s="53"/>
      <c r="Q199" s="52">
        <f>P199/$Q$6*100</f>
        <v>0</v>
      </c>
      <c r="R199" s="53"/>
      <c r="S199" s="52">
        <f>R199/$Q$7*100</f>
        <v>0</v>
      </c>
      <c r="T199" s="3"/>
      <c r="U199" s="51">
        <f>W199+Y199</f>
        <v>0</v>
      </c>
      <c r="V199" s="52">
        <f>U199/$X$5*100</f>
        <v>0</v>
      </c>
      <c r="W199" s="53"/>
      <c r="X199" s="52">
        <f>W199/$X$6*100</f>
        <v>0</v>
      </c>
      <c r="Y199" s="53"/>
      <c r="Z199" s="52">
        <f>Y199/$X$7*100</f>
        <v>0</v>
      </c>
      <c r="AA199" s="3"/>
      <c r="AB199" s="62">
        <f>G199+N199+U199</f>
        <v>0</v>
      </c>
      <c r="AC199" s="52">
        <f>AB199*100/$AC$5</f>
        <v>0</v>
      </c>
      <c r="AD199" s="3"/>
      <c r="AE199" s="3"/>
      <c r="AF199" s="9" t="str">
        <f t="shared" si="289"/>
        <v>S/R Sin Respuesta</v>
      </c>
      <c r="AG199" s="72">
        <f>J199</f>
        <v>0</v>
      </c>
      <c r="AH199" s="72">
        <f>L199</f>
        <v>0</v>
      </c>
      <c r="AI199" s="73">
        <f>H199</f>
        <v>0</v>
      </c>
      <c r="AJ199" s="73"/>
      <c r="AK199" s="76">
        <f>Q199</f>
        <v>0</v>
      </c>
      <c r="AL199" s="76">
        <f>S199</f>
        <v>0</v>
      </c>
      <c r="AM199" s="76">
        <f>O199</f>
        <v>0</v>
      </c>
      <c r="AN199" s="76"/>
      <c r="AO199" s="81">
        <f>X199</f>
        <v>0</v>
      </c>
      <c r="AP199" s="81">
        <f>Z199</f>
        <v>0</v>
      </c>
      <c r="AQ199" s="81">
        <f>V199</f>
        <v>0</v>
      </c>
      <c r="AR199" s="3"/>
      <c r="AS199" s="76">
        <f t="shared" si="216"/>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x14ac:dyDescent="0.3">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x14ac:dyDescent="0.3">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90">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x14ac:dyDescent="0.3">
      <c r="A202" s="8" t="s">
        <v>17</v>
      </c>
      <c r="B202" s="9" t="s">
        <v>152</v>
      </c>
      <c r="C202" s="7"/>
      <c r="D202" s="7"/>
      <c r="E202" s="7"/>
      <c r="F202" s="71"/>
      <c r="G202" s="51">
        <f>I202+K202</f>
        <v>15</v>
      </c>
      <c r="H202" s="52">
        <f>G202/$J$5*100</f>
        <v>23.076923076923077</v>
      </c>
      <c r="I202" s="53">
        <f>COUNTIFS('00 Encuesta'!$B$2:$B$511,"*c)*",'00 Encuesta'!$C$2:$C$511,"*a)*",'00 Encuesta'!$E$2:$E$511,"*a)*",'00 Encuesta'!$Z$2:$Z$511,"*a)*")</f>
        <v>9</v>
      </c>
      <c r="J202" s="52">
        <f>I202/$J$6*100</f>
        <v>27.27272727272727</v>
      </c>
      <c r="K202" s="53">
        <f>COUNTIFS('00 Encuesta'!$B$2:$B$511,"*c)*",'00 Encuesta'!$C$2:$C$511,"*a)*",'00 Encuesta'!$E$2:$E$511,"*b)*",'00 Encuesta'!$Z$2:$Z$511,"*a)*")</f>
        <v>6</v>
      </c>
      <c r="L202" s="52">
        <f>K202/$J$7*100</f>
        <v>18.75</v>
      </c>
      <c r="M202" s="23"/>
      <c r="N202" s="51">
        <f>P202+R202</f>
        <v>14</v>
      </c>
      <c r="O202" s="52">
        <f>N202/$Q$5*100</f>
        <v>27.450980392156865</v>
      </c>
      <c r="P202" s="53">
        <f>COUNTIFS('00 Encuesta'!$B$2:$B$511,"*c)*",'00 Encuesta'!$C$2:$C$511,"*b)*",'00 Encuesta'!$E$2:$E$511,"*a)*",'00 Encuesta'!$Z$2:$Z$511,"*a)*")</f>
        <v>9</v>
      </c>
      <c r="Q202" s="52">
        <f>P202/$Q$6*100</f>
        <v>32.142857142857146</v>
      </c>
      <c r="R202" s="53">
        <f>COUNTIFS('00 Encuesta'!$B$2:$B$511,"*c)*",'00 Encuesta'!$C$2:$C$511,"*b)*",'00 Encuesta'!$E$2:$E$511,"*b)*",'00 Encuesta'!$Z$2:$Z$511,"*a)*")</f>
        <v>5</v>
      </c>
      <c r="S202" s="52">
        <f>R202/$Q$7*100</f>
        <v>21.739130434782609</v>
      </c>
      <c r="T202" s="3"/>
      <c r="U202" s="51">
        <f>W202+Y202</f>
        <v>10</v>
      </c>
      <c r="V202" s="52">
        <f>U202/$X$5*100</f>
        <v>20</v>
      </c>
      <c r="W202" s="53">
        <f>COUNTIFS('00 Encuesta'!$B$2:$B$511,"*c)*",'00 Encuesta'!$C$2:$C$511,"*d)*",'00 Encuesta'!$E$2:$E$511,"*a)*",'00 Encuesta'!$Z$2:$Z$511,"*a)*")</f>
        <v>3</v>
      </c>
      <c r="X202" s="52">
        <f>W202/$X$6*100</f>
        <v>11.111111111111111</v>
      </c>
      <c r="Y202" s="53">
        <f>COUNTIFS('00 Encuesta'!$B$2:$B$511,"*c)*",'00 Encuesta'!$C$2:$C$511,"*d)*",'00 Encuesta'!$E$2:$E$511,"*b)*",'00 Encuesta'!$Z$2:$Z$511,"*a)*")</f>
        <v>7</v>
      </c>
      <c r="Z202" s="52">
        <f>Y202/$X$7*100</f>
        <v>30.434782608695656</v>
      </c>
      <c r="AA202" s="3"/>
      <c r="AB202" s="62">
        <f>G202+N202+U202</f>
        <v>39</v>
      </c>
      <c r="AC202" s="52">
        <f>AB202*100/$AC$5</f>
        <v>23.493975903614459</v>
      </c>
      <c r="AD202" s="3"/>
      <c r="AE202" s="3"/>
      <c r="AF202" s="9" t="str">
        <f t="shared" si="290"/>
        <v>a) Un grupo donde profundizo mi fe</v>
      </c>
      <c r="AG202" s="72">
        <f>J202</f>
        <v>27.27272727272727</v>
      </c>
      <c r="AH202" s="72">
        <f>L202</f>
        <v>18.75</v>
      </c>
      <c r="AI202" s="73">
        <f>H202</f>
        <v>23.076923076923077</v>
      </c>
      <c r="AJ202" s="73"/>
      <c r="AK202" s="76">
        <f>Q202</f>
        <v>32.142857142857146</v>
      </c>
      <c r="AL202" s="76">
        <f>S202</f>
        <v>21.739130434782609</v>
      </c>
      <c r="AM202" s="76">
        <f>O202</f>
        <v>27.450980392156865</v>
      </c>
      <c r="AN202" s="76"/>
      <c r="AO202" s="81">
        <f>X202</f>
        <v>11.111111111111111</v>
      </c>
      <c r="AP202" s="81">
        <f>Z202</f>
        <v>30.434782608695656</v>
      </c>
      <c r="AQ202" s="81">
        <f>V202</f>
        <v>20</v>
      </c>
      <c r="AR202" s="3"/>
      <c r="AS202" s="76">
        <f t="shared" si="216"/>
        <v>23.493975903614459</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28</v>
      </c>
      <c r="H203" s="52">
        <f>G203/$J$5*100</f>
        <v>43.07692307692308</v>
      </c>
      <c r="I203" s="53">
        <f>COUNTIFS('00 Encuesta'!$B$2:$B$511,"*c)*",'00 Encuesta'!$C$2:$C$511,"*a)*",'00 Encuesta'!$E$2:$E$511,"*a)*",'00 Encuesta'!$Z$2:$Z$511,"*b)*")</f>
        <v>14</v>
      </c>
      <c r="J203" s="52">
        <f>I203/$J$6*100</f>
        <v>42.424242424242422</v>
      </c>
      <c r="K203" s="53">
        <f>COUNTIFS('00 Encuesta'!$B$2:$B$511,"*c)*",'00 Encuesta'!$C$2:$C$511,"*a)*",'00 Encuesta'!$E$2:$E$511,"*b)*",'00 Encuesta'!$Z$2:$Z$511,"*b)*")</f>
        <v>14</v>
      </c>
      <c r="L203" s="52">
        <f>K203/$J$7*100</f>
        <v>43.75</v>
      </c>
      <c r="M203" s="23"/>
      <c r="N203" s="51">
        <f>P203+R203</f>
        <v>11</v>
      </c>
      <c r="O203" s="52">
        <f>N203/$Q$5*100</f>
        <v>21.568627450980394</v>
      </c>
      <c r="P203" s="53">
        <f>COUNTIFS('00 Encuesta'!$B$2:$B$511,"*c)*",'00 Encuesta'!$C$2:$C$511,"*b)*",'00 Encuesta'!$E$2:$E$511,"*a)*",'00 Encuesta'!$Z$2:$Z$511,"*b)*")</f>
        <v>7</v>
      </c>
      <c r="Q203" s="52">
        <f>P203/$Q$6*100</f>
        <v>25</v>
      </c>
      <c r="R203" s="53">
        <f>COUNTIFS('00 Encuesta'!$B$2:$B$511,"*c)*",'00 Encuesta'!$C$2:$C$511,"*b)*",'00 Encuesta'!$E$2:$E$511,"*b)*",'00 Encuesta'!$Z$2:$Z$511,"*b)*")</f>
        <v>4</v>
      </c>
      <c r="S203" s="52">
        <f>R203/$Q$7*100</f>
        <v>17.391304347826086</v>
      </c>
      <c r="T203" s="3"/>
      <c r="U203" s="51">
        <f>W203+Y203</f>
        <v>5</v>
      </c>
      <c r="V203" s="52">
        <f>U203/$X$5*100</f>
        <v>10</v>
      </c>
      <c r="W203" s="53">
        <f>COUNTIFS('00 Encuesta'!$B$2:$B$511,"*c)*",'00 Encuesta'!$C$2:$C$511,"*d)*",'00 Encuesta'!$E$2:$E$511,"*a)*",'00 Encuesta'!$Z$2:$Z$511,"*b)*")</f>
        <v>4</v>
      </c>
      <c r="X203" s="52">
        <f>W203/$X$6*100</f>
        <v>14.814814814814813</v>
      </c>
      <c r="Y203" s="53">
        <f>COUNTIFS('00 Encuesta'!$B$2:$B$511,"*c)*",'00 Encuesta'!$C$2:$C$511,"*d)*",'00 Encuesta'!$E$2:$E$511,"*b)*",'00 Encuesta'!$Z$2:$Z$511,"*b)*")</f>
        <v>1</v>
      </c>
      <c r="Z203" s="52">
        <f>Y203/$X$7*100</f>
        <v>4.3478260869565215</v>
      </c>
      <c r="AA203" s="3"/>
      <c r="AB203" s="62">
        <f>G203+N203+U203</f>
        <v>44</v>
      </c>
      <c r="AC203" s="52">
        <f>AB203*100/$AC$5</f>
        <v>26.506024096385541</v>
      </c>
      <c r="AD203" s="3"/>
      <c r="AE203" s="3"/>
      <c r="AF203" s="9" t="str">
        <f t="shared" si="290"/>
        <v>b) Un lugar donde comparto con mis compañeros</v>
      </c>
      <c r="AG203" s="72">
        <f>J203</f>
        <v>42.424242424242422</v>
      </c>
      <c r="AH203" s="72">
        <f>L203</f>
        <v>43.75</v>
      </c>
      <c r="AI203" s="73">
        <f>H203</f>
        <v>43.07692307692308</v>
      </c>
      <c r="AJ203" s="73"/>
      <c r="AK203" s="76">
        <f>Q203</f>
        <v>25</v>
      </c>
      <c r="AL203" s="76">
        <f>S203</f>
        <v>17.391304347826086</v>
      </c>
      <c r="AM203" s="76">
        <f>O203</f>
        <v>21.568627450980394</v>
      </c>
      <c r="AN203" s="76"/>
      <c r="AO203" s="81">
        <f>X203</f>
        <v>14.814814814814813</v>
      </c>
      <c r="AP203" s="81">
        <f>Z203</f>
        <v>4.3478260869565215</v>
      </c>
      <c r="AQ203" s="81">
        <f>V203</f>
        <v>10</v>
      </c>
      <c r="AR203" s="3"/>
      <c r="AS203" s="76">
        <f t="shared" si="216"/>
        <v>26.506024096385541</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x14ac:dyDescent="0.3">
      <c r="A204" s="8" t="s">
        <v>20</v>
      </c>
      <c r="B204" s="9" t="s">
        <v>154</v>
      </c>
      <c r="C204" s="7"/>
      <c r="D204" s="7"/>
      <c r="E204" s="7"/>
      <c r="F204" s="71"/>
      <c r="G204" s="51">
        <f>I204+K204</f>
        <v>5</v>
      </c>
      <c r="H204" s="52">
        <f>G204/$J$5*100</f>
        <v>7.6923076923076925</v>
      </c>
      <c r="I204" s="53">
        <f>COUNTIFS('00 Encuesta'!$B$2:$B$511,"*c)*",'00 Encuesta'!$C$2:$C$511,"*a)*",'00 Encuesta'!$E$2:$E$511,"*a)*",'00 Encuesta'!$Z$2:$Z$511,"*c)*")</f>
        <v>2</v>
      </c>
      <c r="J204" s="52">
        <f>I204/$J$6*100</f>
        <v>6.0606060606060606</v>
      </c>
      <c r="K204" s="53">
        <f>COUNTIFS('00 Encuesta'!$B$2:$B$511,"*c)*",'00 Encuesta'!$C$2:$C$511,"*a)*",'00 Encuesta'!$E$2:$E$511,"*b)*",'00 Encuesta'!$Z$2:$Z$511,"*c)*")</f>
        <v>3</v>
      </c>
      <c r="L204" s="52">
        <f>K204/$J$7*100</f>
        <v>9.375</v>
      </c>
      <c r="M204" s="23"/>
      <c r="N204" s="51">
        <f>P204+R204</f>
        <v>8</v>
      </c>
      <c r="O204" s="52">
        <f>N204/$Q$5*100</f>
        <v>15.686274509803921</v>
      </c>
      <c r="P204" s="53">
        <f>COUNTIFS('00 Encuesta'!$B$2:$B$511,"*c)*",'00 Encuesta'!$C$2:$C$511,"*b)*",'00 Encuesta'!$E$2:$E$511,"*a)*",'00 Encuesta'!$Z$2:$Z$511,"*c)*")</f>
        <v>4</v>
      </c>
      <c r="Q204" s="52">
        <f>P204/$Q$6*100</f>
        <v>14.285714285714285</v>
      </c>
      <c r="R204" s="53">
        <f>COUNTIFS('00 Encuesta'!$B$2:$B$511,"*c)*",'00 Encuesta'!$C$2:$C$511,"*b)*",'00 Encuesta'!$E$2:$E$511,"*b)*",'00 Encuesta'!$Z$2:$Z$511,"*c)*")</f>
        <v>4</v>
      </c>
      <c r="S204" s="52">
        <f>R204/$Q$7*100</f>
        <v>17.391304347826086</v>
      </c>
      <c r="T204" s="3"/>
      <c r="U204" s="51">
        <f>W204+Y204</f>
        <v>10</v>
      </c>
      <c r="V204" s="52">
        <f>U204/$X$5*100</f>
        <v>20</v>
      </c>
      <c r="W204" s="53">
        <f>COUNTIFS('00 Encuesta'!$B$2:$B$511,"*c)*",'00 Encuesta'!$C$2:$C$511,"*d)*",'00 Encuesta'!$E$2:$E$511,"*a)*",'00 Encuesta'!$Z$2:$Z$511,"*c)*")</f>
        <v>9</v>
      </c>
      <c r="X204" s="52">
        <f>W204/$X$6*100</f>
        <v>33.333333333333329</v>
      </c>
      <c r="Y204" s="53">
        <f>COUNTIFS('00 Encuesta'!$B$2:$B$511,"*c)*",'00 Encuesta'!$C$2:$C$511,"*d)*",'00 Encuesta'!$E$2:$E$511,"*b)*",'00 Encuesta'!$Z$2:$Z$511,"*c)*")</f>
        <v>1</v>
      </c>
      <c r="Z204" s="52">
        <f>Y204/$X$7*100</f>
        <v>4.3478260869565215</v>
      </c>
      <c r="AA204" s="3"/>
      <c r="AB204" s="62">
        <f>G204+N204+U204</f>
        <v>23</v>
      </c>
      <c r="AC204" s="52">
        <f>AB204*100/$AC$5</f>
        <v>13.855421686746988</v>
      </c>
      <c r="AD204" s="3"/>
      <c r="AE204" s="3"/>
      <c r="AF204" s="9" t="str">
        <f t="shared" si="290"/>
        <v>c) Un lugar donde me lo paso bien</v>
      </c>
      <c r="AG204" s="72">
        <f>J204</f>
        <v>6.0606060606060606</v>
      </c>
      <c r="AH204" s="72">
        <f>L204</f>
        <v>9.375</v>
      </c>
      <c r="AI204" s="73">
        <f>H204</f>
        <v>7.6923076923076925</v>
      </c>
      <c r="AJ204" s="73"/>
      <c r="AK204" s="76">
        <f>Q204</f>
        <v>14.285714285714285</v>
      </c>
      <c r="AL204" s="76">
        <f>S204</f>
        <v>17.391304347826086</v>
      </c>
      <c r="AM204" s="76">
        <f>O204</f>
        <v>15.686274509803921</v>
      </c>
      <c r="AN204" s="76"/>
      <c r="AO204" s="81">
        <f>X204</f>
        <v>33.333333333333329</v>
      </c>
      <c r="AP204" s="81">
        <f>Z204</f>
        <v>4.3478260869565215</v>
      </c>
      <c r="AQ204" s="81">
        <f>V204</f>
        <v>20</v>
      </c>
      <c r="AR204" s="3"/>
      <c r="AS204" s="76">
        <f t="shared" si="216"/>
        <v>13.855421686746988</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x14ac:dyDescent="0.3">
      <c r="A205" s="8" t="s">
        <v>21</v>
      </c>
      <c r="B205" s="9" t="s">
        <v>155</v>
      </c>
      <c r="C205" s="7"/>
      <c r="D205" s="7"/>
      <c r="E205" s="7"/>
      <c r="F205" s="71"/>
      <c r="G205" s="51">
        <f>I205+K205</f>
        <v>14</v>
      </c>
      <c r="H205" s="52">
        <f>G205/$J$5*100</f>
        <v>21.53846153846154</v>
      </c>
      <c r="I205" s="53">
        <f>COUNTIFS('00 Encuesta'!$B$2:$B$511,"*c)*",'00 Encuesta'!$C$2:$C$511,"*a)*",'00 Encuesta'!$E$2:$E$511,"*a)*",'00 Encuesta'!$Z$2:$Z$511,"*d)*")</f>
        <v>6</v>
      </c>
      <c r="J205" s="52">
        <f>I205/$J$6*100</f>
        <v>18.181818181818183</v>
      </c>
      <c r="K205" s="53">
        <f>COUNTIFS('00 Encuesta'!$B$2:$B$511,"*c)*",'00 Encuesta'!$C$2:$C$511,"*a)*",'00 Encuesta'!$E$2:$E$511,"*b)*",'00 Encuesta'!$Z$2:$Z$511,"*d)*")</f>
        <v>8</v>
      </c>
      <c r="L205" s="52">
        <f>K205/$J$7*100</f>
        <v>25</v>
      </c>
      <c r="M205" s="23"/>
      <c r="N205" s="51">
        <f>P205+R205</f>
        <v>18</v>
      </c>
      <c r="O205" s="52">
        <f>N205/$Q$5*100</f>
        <v>35.294117647058826</v>
      </c>
      <c r="P205" s="53">
        <f>COUNTIFS('00 Encuesta'!$B$2:$B$511,"*c)*",'00 Encuesta'!$C$2:$C$511,"*b)*",'00 Encuesta'!$E$2:$E$511,"*a)*",'00 Encuesta'!$Z$2:$Z$511,"*d)*")</f>
        <v>8</v>
      </c>
      <c r="Q205" s="52">
        <f>P205/$Q$6*100</f>
        <v>28.571428571428569</v>
      </c>
      <c r="R205" s="53">
        <f>COUNTIFS('00 Encuesta'!$B$2:$B$511,"*c)*",'00 Encuesta'!$C$2:$C$511,"*b)*",'00 Encuesta'!$E$2:$E$511,"*b)*",'00 Encuesta'!$Z$2:$Z$511,"*d)*")</f>
        <v>10</v>
      </c>
      <c r="S205" s="52">
        <f>R205/$Q$7*100</f>
        <v>43.478260869565219</v>
      </c>
      <c r="T205" s="3"/>
      <c r="U205" s="51">
        <f>W205+Y205</f>
        <v>24</v>
      </c>
      <c r="V205" s="52">
        <f>U205/$X$5*100</f>
        <v>48</v>
      </c>
      <c r="W205" s="53">
        <f>COUNTIFS('00 Encuesta'!$B$2:$B$511,"*c)*",'00 Encuesta'!$C$2:$C$511,"*d)*",'00 Encuesta'!$E$2:$E$511,"*a)*",'00 Encuesta'!$Z$2:$Z$511,"*d)*")</f>
        <v>11</v>
      </c>
      <c r="X205" s="52">
        <f>W205/$X$6*100</f>
        <v>40.74074074074074</v>
      </c>
      <c r="Y205" s="53">
        <f>COUNTIFS('00 Encuesta'!$B$2:$B$511,"*c)*",'00 Encuesta'!$C$2:$C$511,"*d)*",'00 Encuesta'!$E$2:$E$511,"*b)*",'00 Encuesta'!$Z$2:$Z$511,"*d)*")</f>
        <v>13</v>
      </c>
      <c r="Z205" s="52">
        <f>Y205/$X$7*100</f>
        <v>56.521739130434781</v>
      </c>
      <c r="AA205" s="3"/>
      <c r="AB205" s="62">
        <f>G205+N205+U205</f>
        <v>56</v>
      </c>
      <c r="AC205" s="52">
        <f>AB205*100/$AC$5</f>
        <v>33.734939759036145</v>
      </c>
      <c r="AD205" s="3"/>
      <c r="AE205" s="3"/>
      <c r="AF205" s="9" t="str">
        <f t="shared" si="290"/>
        <v>d) No pertenezco a grupos juveniles cristianos</v>
      </c>
      <c r="AG205" s="72">
        <f>J205</f>
        <v>18.181818181818183</v>
      </c>
      <c r="AH205" s="72">
        <f>L205</f>
        <v>25</v>
      </c>
      <c r="AI205" s="73">
        <f>H205</f>
        <v>21.53846153846154</v>
      </c>
      <c r="AJ205" s="73"/>
      <c r="AK205" s="76">
        <f>Q205</f>
        <v>28.571428571428569</v>
      </c>
      <c r="AL205" s="76">
        <f>S205</f>
        <v>43.478260869565219</v>
      </c>
      <c r="AM205" s="76">
        <f>O205</f>
        <v>35.294117647058826</v>
      </c>
      <c r="AN205" s="76"/>
      <c r="AO205" s="81">
        <f>X205</f>
        <v>40.74074074074074</v>
      </c>
      <c r="AP205" s="81">
        <f>Z205</f>
        <v>56.521739130434781</v>
      </c>
      <c r="AQ205" s="81">
        <f>V205</f>
        <v>48</v>
      </c>
      <c r="AR205" s="3"/>
      <c r="AS205" s="76">
        <f t="shared" si="216"/>
        <v>33.734939759036145</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x14ac:dyDescent="0.3">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f>N206/$Q$5*100</f>
        <v>0</v>
      </c>
      <c r="P206" s="53"/>
      <c r="Q206" s="52">
        <f>P206/$Q$6*100</f>
        <v>0</v>
      </c>
      <c r="R206" s="53"/>
      <c r="S206" s="52">
        <f>R206/$Q$7*100</f>
        <v>0</v>
      </c>
      <c r="T206" s="3"/>
      <c r="U206" s="51">
        <f>W206+Y206</f>
        <v>0</v>
      </c>
      <c r="V206" s="52">
        <f>U206/$X$5*100</f>
        <v>0</v>
      </c>
      <c r="W206" s="53"/>
      <c r="X206" s="52">
        <f>W206/$X$6*100</f>
        <v>0</v>
      </c>
      <c r="Y206" s="53"/>
      <c r="Z206" s="52">
        <f>Y206/$X$7*100</f>
        <v>0</v>
      </c>
      <c r="AA206" s="3"/>
      <c r="AB206" s="62">
        <f>G206+N206+U206</f>
        <v>0</v>
      </c>
      <c r="AC206" s="52">
        <f>AB206*100/$AC$5</f>
        <v>0</v>
      </c>
      <c r="AD206" s="3"/>
      <c r="AE206" s="3"/>
      <c r="AF206" s="9" t="str">
        <f t="shared" si="290"/>
        <v>S/R Sin Respuesta</v>
      </c>
      <c r="AG206" s="72">
        <f>J206</f>
        <v>0</v>
      </c>
      <c r="AH206" s="72">
        <f>L206</f>
        <v>0</v>
      </c>
      <c r="AI206" s="73">
        <f>H206</f>
        <v>0</v>
      </c>
      <c r="AJ206" s="73"/>
      <c r="AK206" s="76">
        <f>Q206</f>
        <v>0</v>
      </c>
      <c r="AL206" s="76">
        <f>S206</f>
        <v>0</v>
      </c>
      <c r="AM206" s="76">
        <f>O206</f>
        <v>0</v>
      </c>
      <c r="AN206" s="76"/>
      <c r="AO206" s="81">
        <f>X206</f>
        <v>0</v>
      </c>
      <c r="AP206" s="81">
        <f>Z206</f>
        <v>0</v>
      </c>
      <c r="AQ206" s="81">
        <f>V206</f>
        <v>0</v>
      </c>
      <c r="AR206" s="3"/>
      <c r="AS206" s="76">
        <f t="shared" si="216"/>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x14ac:dyDescent="0.3">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x14ac:dyDescent="0.3">
      <c r="A209" s="8" t="s">
        <v>17</v>
      </c>
      <c r="B209" s="9" t="s">
        <v>49</v>
      </c>
      <c r="C209" s="7"/>
      <c r="D209" s="7"/>
      <c r="E209" s="7"/>
      <c r="F209" s="71"/>
      <c r="G209" s="51">
        <f>I209+K209</f>
        <v>4</v>
      </c>
      <c r="H209" s="52">
        <f>G209/$J$5*100</f>
        <v>6.1538461538461542</v>
      </c>
      <c r="I209" s="53">
        <f>COUNTIFS('00 Encuesta'!$B$2:$B$511,"*c)*",'00 Encuesta'!$C$2:$C$511,"*a)*",'00 Encuesta'!$E$2:$E$511,"*a)*",'00 Encuesta'!$AA$2:$AA$511,"*a)*")</f>
        <v>2</v>
      </c>
      <c r="J209" s="52">
        <f>I209/$J$6*100</f>
        <v>6.0606060606060606</v>
      </c>
      <c r="K209" s="53">
        <f>COUNTIFS('00 Encuesta'!$B$2:$B$511,"*c)*",'00 Encuesta'!$C$2:$C$511,"*a)*",'00 Encuesta'!$E$2:$E$511,"*b)*",'00 Encuesta'!$AA$2:$AA$511,"*a)*")</f>
        <v>2</v>
      </c>
      <c r="L209" s="52">
        <f>K209/$J$7*100</f>
        <v>6.25</v>
      </c>
      <c r="M209" s="23"/>
      <c r="N209" s="51">
        <f>P209+R209</f>
        <v>3</v>
      </c>
      <c r="O209" s="52">
        <f>N209/$Q$5*100</f>
        <v>5.8823529411764701</v>
      </c>
      <c r="P209" s="53">
        <f>COUNTIFS('00 Encuesta'!$B$2:$B$511,"*c)*",'00 Encuesta'!$C$2:$C$511,"*b)*",'00 Encuesta'!$E$2:$E$511,"*a)*",'00 Encuesta'!$AA$2:$AA$511,"*a)*")</f>
        <v>3</v>
      </c>
      <c r="Q209" s="52">
        <f>P209/$Q$6*100</f>
        <v>10.714285714285714</v>
      </c>
      <c r="R209" s="53">
        <f>COUNTIFS('00 Encuesta'!$B$2:$B$511,"*c)*",'00 Encuesta'!$C$2:$C$511,"*b)*",'00 Encuesta'!$E$2:$E$511,"*b)*",'00 Encuesta'!$AA$2:$AA$511,"*a)*")</f>
        <v>0</v>
      </c>
      <c r="S209" s="52">
        <f>R209/$Q$7*100</f>
        <v>0</v>
      </c>
      <c r="T209" s="3"/>
      <c r="U209" s="51">
        <f>W209+Y209</f>
        <v>2</v>
      </c>
      <c r="V209" s="52">
        <f>U209/$X$5*100</f>
        <v>4</v>
      </c>
      <c r="W209" s="53">
        <f>COUNTIFS('00 Encuesta'!$B$2:$B$511,"*c)*",'00 Encuesta'!$C$2:$C$511,"*d)*",'00 Encuesta'!$E$2:$E$511,"*a)*",'00 Encuesta'!$AA$2:$AA$511,"*a)*")</f>
        <v>1</v>
      </c>
      <c r="X209" s="52">
        <f>W209/$X$6*100</f>
        <v>3.7037037037037033</v>
      </c>
      <c r="Y209" s="53">
        <f>COUNTIFS('00 Encuesta'!$B$2:$B$511,"*c)*",'00 Encuesta'!$C$2:$C$511,"*d)*",'00 Encuesta'!$E$2:$E$511,"*b)*",'00 Encuesta'!$AA$2:$AA$511,"*a)*")</f>
        <v>1</v>
      </c>
      <c r="Z209" s="52">
        <f>Y209/$X$7*100</f>
        <v>4.3478260869565215</v>
      </c>
      <c r="AA209" s="3"/>
      <c r="AB209" s="62">
        <f>G209+N209+U209</f>
        <v>9</v>
      </c>
      <c r="AC209" s="52">
        <f>AB209*100/$AC$5</f>
        <v>5.4216867469879517</v>
      </c>
      <c r="AD209" s="3"/>
      <c r="AE209" s="3"/>
      <c r="AF209" s="9" t="str">
        <f>A209&amp;" "&amp;B209</f>
        <v>a) Si</v>
      </c>
      <c r="AG209" s="72">
        <f>J209</f>
        <v>6.0606060606060606</v>
      </c>
      <c r="AH209" s="72">
        <f>L209</f>
        <v>6.25</v>
      </c>
      <c r="AI209" s="73">
        <f>H209</f>
        <v>6.1538461538461542</v>
      </c>
      <c r="AJ209" s="73"/>
      <c r="AK209" s="76">
        <f>Q209</f>
        <v>10.714285714285714</v>
      </c>
      <c r="AL209" s="76">
        <f>S209</f>
        <v>0</v>
      </c>
      <c r="AM209" s="76">
        <f>O209</f>
        <v>5.8823529411764701</v>
      </c>
      <c r="AN209" s="76"/>
      <c r="AO209" s="81">
        <f>X209</f>
        <v>3.7037037037037033</v>
      </c>
      <c r="AP209" s="81">
        <f>Z209</f>
        <v>4.3478260869565215</v>
      </c>
      <c r="AQ209" s="81">
        <f>V209</f>
        <v>4</v>
      </c>
      <c r="AR209" s="3"/>
      <c r="AS209" s="76">
        <f t="shared" ref="AS209:AS270" si="291">AC209</f>
        <v>5.4216867469879517</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x14ac:dyDescent="0.3">
      <c r="A210" s="8" t="s">
        <v>18</v>
      </c>
      <c r="B210" s="9" t="s">
        <v>50</v>
      </c>
      <c r="C210" s="7"/>
      <c r="D210" s="7"/>
      <c r="E210" s="7"/>
      <c r="F210" s="71"/>
      <c r="G210" s="51">
        <f>I210+K210</f>
        <v>49</v>
      </c>
      <c r="H210" s="52">
        <f>G210/$J$5*100</f>
        <v>75.384615384615387</v>
      </c>
      <c r="I210" s="53">
        <f>COUNTIFS('00 Encuesta'!$B$2:$B$511,"*c)*",'00 Encuesta'!$C$2:$C$511,"*a)*",'00 Encuesta'!$E$2:$E$511,"*a)*",'00 Encuesta'!$AA$2:$AA$511,"*b)*")</f>
        <v>23</v>
      </c>
      <c r="J210" s="52">
        <f>I210/$J$6*100</f>
        <v>69.696969696969703</v>
      </c>
      <c r="K210" s="53">
        <f>COUNTIFS('00 Encuesta'!$B$2:$B$511,"*c)*",'00 Encuesta'!$C$2:$C$511,"*a)*",'00 Encuesta'!$E$2:$E$511,"*b)*",'00 Encuesta'!$AA$2:$AA$511,"*b)*")</f>
        <v>26</v>
      </c>
      <c r="L210" s="52">
        <f>K210/$J$7*100</f>
        <v>81.25</v>
      </c>
      <c r="M210" s="23"/>
      <c r="N210" s="51">
        <f>P210+R210</f>
        <v>44</v>
      </c>
      <c r="O210" s="52">
        <f>N210/$Q$5*100</f>
        <v>86.274509803921575</v>
      </c>
      <c r="P210" s="53">
        <f>COUNTIFS('00 Encuesta'!$B$2:$B$511,"*c)*",'00 Encuesta'!$C$2:$C$511,"*b)*",'00 Encuesta'!$E$2:$E$511,"*a)*",'00 Encuesta'!$AA$2:$AA$511,"*b)*")</f>
        <v>22</v>
      </c>
      <c r="Q210" s="52">
        <f>P210/$Q$6*100</f>
        <v>78.571428571428569</v>
      </c>
      <c r="R210" s="53">
        <f>COUNTIFS('00 Encuesta'!$B$2:$B$511,"*c)*",'00 Encuesta'!$C$2:$C$511,"*b)*",'00 Encuesta'!$E$2:$E$511,"*b)*",'00 Encuesta'!$AA$2:$AA$511,"*b)*")</f>
        <v>22</v>
      </c>
      <c r="S210" s="52">
        <f>R210/$Q$7*100</f>
        <v>95.652173913043484</v>
      </c>
      <c r="T210" s="3"/>
      <c r="U210" s="51">
        <f>W210+Y210</f>
        <v>44</v>
      </c>
      <c r="V210" s="52">
        <f>U210/$X$5*100</f>
        <v>88</v>
      </c>
      <c r="W210" s="53">
        <f>COUNTIFS('00 Encuesta'!$B$2:$B$511,"*c)*",'00 Encuesta'!$C$2:$C$511,"*d)*",'00 Encuesta'!$E$2:$E$511,"*a)*",'00 Encuesta'!$AA$2:$AA$511,"*b)*")</f>
        <v>24</v>
      </c>
      <c r="X210" s="52">
        <f>W210/$X$6*100</f>
        <v>88.888888888888886</v>
      </c>
      <c r="Y210" s="53">
        <f>COUNTIFS('00 Encuesta'!$B$2:$B$511,"*c)*",'00 Encuesta'!$C$2:$C$511,"*d)*",'00 Encuesta'!$E$2:$E$511,"*b)*",'00 Encuesta'!$AA$2:$AA$511,"*b)*")</f>
        <v>20</v>
      </c>
      <c r="Z210" s="52">
        <f>Y210/$X$7*100</f>
        <v>86.956521739130437</v>
      </c>
      <c r="AA210" s="3"/>
      <c r="AB210" s="62">
        <f>G210+N210+U210</f>
        <v>137</v>
      </c>
      <c r="AC210" s="52">
        <f>AB210*100/$AC$5</f>
        <v>82.53012048192771</v>
      </c>
      <c r="AD210" s="3"/>
      <c r="AE210" s="3"/>
      <c r="AF210" s="9" t="str">
        <f>A210&amp;" "&amp;B210</f>
        <v>b) No</v>
      </c>
      <c r="AG210" s="72">
        <f>J210</f>
        <v>69.696969696969703</v>
      </c>
      <c r="AH210" s="72">
        <f>L210</f>
        <v>81.25</v>
      </c>
      <c r="AI210" s="73">
        <f>H210</f>
        <v>75.384615384615387</v>
      </c>
      <c r="AJ210" s="73"/>
      <c r="AK210" s="76">
        <f>Q210</f>
        <v>78.571428571428569</v>
      </c>
      <c r="AL210" s="76">
        <f>S210</f>
        <v>95.652173913043484</v>
      </c>
      <c r="AM210" s="76">
        <f>O210</f>
        <v>86.274509803921575</v>
      </c>
      <c r="AN210" s="76"/>
      <c r="AO210" s="81">
        <f>X210</f>
        <v>88.888888888888886</v>
      </c>
      <c r="AP210" s="81">
        <f>Z210</f>
        <v>86.956521739130437</v>
      </c>
      <c r="AQ210" s="81">
        <f>V210</f>
        <v>88</v>
      </c>
      <c r="AR210" s="3"/>
      <c r="AS210" s="76">
        <f t="shared" si="291"/>
        <v>82.53012048192771</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x14ac:dyDescent="0.3">
      <c r="A211" s="8" t="s">
        <v>20</v>
      </c>
      <c r="B211" s="9" t="s">
        <v>51</v>
      </c>
      <c r="C211" s="7"/>
      <c r="D211" s="7"/>
      <c r="E211" s="7"/>
      <c r="F211" s="71"/>
      <c r="G211" s="51">
        <f>I211+K211</f>
        <v>10</v>
      </c>
      <c r="H211" s="52">
        <f>G211/$J$5*100</f>
        <v>15.384615384615385</v>
      </c>
      <c r="I211" s="53">
        <f>COUNTIFS('00 Encuesta'!$B$2:$B$511,"*c)*",'00 Encuesta'!$C$2:$C$511,"*a)*",'00 Encuesta'!$E$2:$E$511,"*a)*",'00 Encuesta'!$AA$2:$AA$511,"*c)*")</f>
        <v>7</v>
      </c>
      <c r="J211" s="52">
        <f>I211/$J$6*100</f>
        <v>21.212121212121211</v>
      </c>
      <c r="K211" s="53">
        <f>COUNTIFS('00 Encuesta'!$B$2:$B$511,"*c)*",'00 Encuesta'!$C$2:$C$511,"*a)*",'00 Encuesta'!$E$2:$E$511,"*b)*",'00 Encuesta'!$AA$2:$AA$511,"*c)*")</f>
        <v>3</v>
      </c>
      <c r="L211" s="52">
        <f>K211/$J$7*100</f>
        <v>9.375</v>
      </c>
      <c r="M211" s="23"/>
      <c r="N211" s="51">
        <f>P211+R211</f>
        <v>4</v>
      </c>
      <c r="O211" s="52">
        <f>N211/$Q$5*100</f>
        <v>7.8431372549019605</v>
      </c>
      <c r="P211" s="53">
        <f>COUNTIFS('00 Encuesta'!$B$2:$B$511,"*c)*",'00 Encuesta'!$C$2:$C$511,"*b)*",'00 Encuesta'!$E$2:$E$511,"*a)*",'00 Encuesta'!$AA$2:$AA$511,"*c)*")</f>
        <v>3</v>
      </c>
      <c r="Q211" s="52">
        <f>P211/$Q$6*100</f>
        <v>10.714285714285714</v>
      </c>
      <c r="R211" s="53">
        <f>COUNTIFS('00 Encuesta'!$B$2:$B$511,"*c)*",'00 Encuesta'!$C$2:$C$511,"*b)*",'00 Encuesta'!$E$2:$E$511,"*b)*",'00 Encuesta'!$AA$2:$AA$511,"*c)*")</f>
        <v>1</v>
      </c>
      <c r="S211" s="52">
        <f>R211/$Q$7*100</f>
        <v>4.3478260869565215</v>
      </c>
      <c r="T211" s="3"/>
      <c r="U211" s="51">
        <f>W211+Y211</f>
        <v>4</v>
      </c>
      <c r="V211" s="52">
        <f>U211/$X$5*100</f>
        <v>8</v>
      </c>
      <c r="W211" s="53">
        <f>COUNTIFS('00 Encuesta'!$B$2:$B$511,"*c)*",'00 Encuesta'!$C$2:$C$511,"*d)*",'00 Encuesta'!$E$2:$E$511,"*a)*",'00 Encuesta'!$AA$2:$AA$511,"*c)*")</f>
        <v>2</v>
      </c>
      <c r="X211" s="52">
        <f>W211/$X$6*100</f>
        <v>7.4074074074074066</v>
      </c>
      <c r="Y211" s="53">
        <f>COUNTIFS('00 Encuesta'!$B$2:$B$511,"*c)*",'00 Encuesta'!$C$2:$C$511,"*d)*",'00 Encuesta'!$E$2:$E$511,"*b)*",'00 Encuesta'!$AA$2:$AA$511,"*c)*")</f>
        <v>2</v>
      </c>
      <c r="Z211" s="52">
        <f>Y211/$X$7*100</f>
        <v>8.695652173913043</v>
      </c>
      <c r="AA211" s="3"/>
      <c r="AB211" s="62">
        <f>G211+N211+U211</f>
        <v>18</v>
      </c>
      <c r="AC211" s="52">
        <f>AB211*100/$AC$5</f>
        <v>10.843373493975903</v>
      </c>
      <c r="AD211" s="3"/>
      <c r="AE211" s="3"/>
      <c r="AF211" s="9" t="str">
        <f>A211&amp;" "&amp;B211</f>
        <v>c) Algo</v>
      </c>
      <c r="AG211" s="72">
        <f>J211</f>
        <v>21.212121212121211</v>
      </c>
      <c r="AH211" s="72">
        <f>L211</f>
        <v>9.375</v>
      </c>
      <c r="AI211" s="73">
        <f>H211</f>
        <v>15.384615384615385</v>
      </c>
      <c r="AJ211" s="73"/>
      <c r="AK211" s="76">
        <f>Q211</f>
        <v>10.714285714285714</v>
      </c>
      <c r="AL211" s="76">
        <f>S211</f>
        <v>4.3478260869565215</v>
      </c>
      <c r="AM211" s="76">
        <f>O211</f>
        <v>7.8431372549019605</v>
      </c>
      <c r="AN211" s="76"/>
      <c r="AO211" s="81">
        <f>X211</f>
        <v>7.4074074074074066</v>
      </c>
      <c r="AP211" s="81">
        <f>Z211</f>
        <v>8.695652173913043</v>
      </c>
      <c r="AQ211" s="81">
        <f>V211</f>
        <v>8</v>
      </c>
      <c r="AR211" s="3"/>
      <c r="AS211" s="76">
        <f t="shared" si="291"/>
        <v>10.843373493975903</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x14ac:dyDescent="0.3">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f>N212/$Q$5*100</f>
        <v>0</v>
      </c>
      <c r="P212" s="53"/>
      <c r="Q212" s="52">
        <f>P212/$Q$6*100</f>
        <v>0</v>
      </c>
      <c r="R212" s="53"/>
      <c r="S212" s="52">
        <f>R212/$Q$7*100</f>
        <v>0</v>
      </c>
      <c r="T212" s="3"/>
      <c r="U212" s="51">
        <f>W212+Y212</f>
        <v>0</v>
      </c>
      <c r="V212" s="52">
        <f>U212/$X$5*100</f>
        <v>0</v>
      </c>
      <c r="W212" s="53"/>
      <c r="X212" s="52">
        <f>W212/$X$6*100</f>
        <v>0</v>
      </c>
      <c r="Y212" s="53"/>
      <c r="Z212" s="52">
        <f>Y212/$X$7*100</f>
        <v>0</v>
      </c>
      <c r="AA212" s="3"/>
      <c r="AB212" s="62">
        <f>G212+N212+U212</f>
        <v>0</v>
      </c>
      <c r="AC212" s="52">
        <f>AB212*100/$AC$5</f>
        <v>0</v>
      </c>
      <c r="AD212" s="3"/>
      <c r="AE212" s="3"/>
      <c r="AF212" s="9" t="str">
        <f>A212&amp;" "&amp;B212</f>
        <v>S/R Sin Respuesta</v>
      </c>
      <c r="AG212" s="72">
        <f>J212</f>
        <v>0</v>
      </c>
      <c r="AH212" s="72">
        <f>L212</f>
        <v>0</v>
      </c>
      <c r="AI212" s="73">
        <f>H212</f>
        <v>0</v>
      </c>
      <c r="AJ212" s="73"/>
      <c r="AK212" s="76">
        <f>Q212</f>
        <v>0</v>
      </c>
      <c r="AL212" s="76">
        <f>S212</f>
        <v>0</v>
      </c>
      <c r="AM212" s="76">
        <f>O212</f>
        <v>0</v>
      </c>
      <c r="AN212" s="76"/>
      <c r="AO212" s="81">
        <f>X212</f>
        <v>0</v>
      </c>
      <c r="AP212" s="81">
        <f>Z212</f>
        <v>0</v>
      </c>
      <c r="AQ212" s="81">
        <f>V212</f>
        <v>0</v>
      </c>
      <c r="AR212" s="3"/>
      <c r="AS212" s="76">
        <f t="shared" si="291"/>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x14ac:dyDescent="0.3">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x14ac:dyDescent="0.3">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x14ac:dyDescent="0.3">
      <c r="A215" s="8" t="s">
        <v>17</v>
      </c>
      <c r="B215" s="9" t="s">
        <v>49</v>
      </c>
      <c r="C215" s="7"/>
      <c r="D215" s="7"/>
      <c r="E215" s="7"/>
      <c r="F215" s="71"/>
      <c r="G215" s="51">
        <f>I215+K215</f>
        <v>5</v>
      </c>
      <c r="H215" s="52">
        <f>G215/$J$5*100</f>
        <v>7.6923076923076925</v>
      </c>
      <c r="I215" s="53">
        <f>COUNTIFS('00 Encuesta'!$B$2:$B$511,"*c)*",'00 Encuesta'!$C$2:$C$511,"*a)*",'00 Encuesta'!$E$2:$E$511,"*a)*",'00 Encuesta'!$AB$2:$AB$511,"*a)*")</f>
        <v>1</v>
      </c>
      <c r="J215" s="52">
        <f>I215/$J$6*100</f>
        <v>3.0303030303030303</v>
      </c>
      <c r="K215" s="53">
        <f>COUNTIFS('00 Encuesta'!$B$2:$B$511,"*c)*",'00 Encuesta'!$C$2:$C$511,"*a)*",'00 Encuesta'!$E$2:$E$511,"*b)*",'00 Encuesta'!$AB$2:$AB$511,"*a)*")</f>
        <v>4</v>
      </c>
      <c r="L215" s="52">
        <f>K215/$J$7*100</f>
        <v>12.5</v>
      </c>
      <c r="M215" s="23"/>
      <c r="N215" s="51">
        <f>P215+R215</f>
        <v>1</v>
      </c>
      <c r="O215" s="52">
        <f>N215/$Q$5*100</f>
        <v>1.9607843137254901</v>
      </c>
      <c r="P215" s="53">
        <f>COUNTIFS('00 Encuesta'!$B$2:$B$511,"*c)*",'00 Encuesta'!$C$2:$C$511,"*b)*",'00 Encuesta'!$E$2:$E$511,"*a)*",'00 Encuesta'!$AB$2:$AB$511,"*a)*")</f>
        <v>1</v>
      </c>
      <c r="Q215" s="52">
        <f>P215/$Q$6*100</f>
        <v>3.5714285714285712</v>
      </c>
      <c r="R215" s="53">
        <f>COUNTIFS('00 Encuesta'!$B$2:$B$511,"*c)*",'00 Encuesta'!$C$2:$C$511,"*b)*",'00 Encuesta'!$E$2:$E$511,"*b)*",'00 Encuesta'!$AB$2:$AB$511,"*a)*")</f>
        <v>0</v>
      </c>
      <c r="S215" s="52">
        <f>R215/$Q$7*100</f>
        <v>0</v>
      </c>
      <c r="T215" s="3"/>
      <c r="U215" s="51">
        <f>W215+Y215</f>
        <v>0</v>
      </c>
      <c r="V215" s="52">
        <f>U215/$X$5*100</f>
        <v>0</v>
      </c>
      <c r="W215" s="53">
        <f>COUNTIFS('00 Encuesta'!$B$2:$B$511,"*c)*",'00 Encuesta'!$C$2:$C$511,"*d)*",'00 Encuesta'!$E$2:$E$511,"*a)*",'00 Encuesta'!$AB$2:$AB$511,"*a)*")</f>
        <v>0</v>
      </c>
      <c r="X215" s="52">
        <f>W215/$X$6*100</f>
        <v>0</v>
      </c>
      <c r="Y215" s="53">
        <f>COUNTIFS('00 Encuesta'!$B$2:$B$511,"*c)*",'00 Encuesta'!$C$2:$C$511,"*d)*",'00 Encuesta'!$E$2:$E$511,"*b)*",'00 Encuesta'!$AB$2:$AB$511,"*a)*")</f>
        <v>0</v>
      </c>
      <c r="Z215" s="52">
        <f>Y215/$X$7*100</f>
        <v>0</v>
      </c>
      <c r="AA215" s="3"/>
      <c r="AB215" s="62">
        <f>G215+N215+U215</f>
        <v>6</v>
      </c>
      <c r="AC215" s="52">
        <f>AB215*100/$AC$5</f>
        <v>3.6144578313253013</v>
      </c>
      <c r="AD215" s="3"/>
      <c r="AE215" s="3"/>
      <c r="AF215" s="9" t="str">
        <f>A215&amp;" "&amp;B215</f>
        <v>a) Si</v>
      </c>
      <c r="AG215" s="72">
        <f>J215</f>
        <v>3.0303030303030303</v>
      </c>
      <c r="AH215" s="72">
        <f>L215</f>
        <v>12.5</v>
      </c>
      <c r="AI215" s="73">
        <f>H215</f>
        <v>7.6923076923076925</v>
      </c>
      <c r="AJ215" s="73"/>
      <c r="AK215" s="76">
        <f>Q215</f>
        <v>3.5714285714285712</v>
      </c>
      <c r="AL215" s="76">
        <f>S215</f>
        <v>0</v>
      </c>
      <c r="AM215" s="76">
        <f>O215</f>
        <v>1.9607843137254901</v>
      </c>
      <c r="AN215" s="76"/>
      <c r="AO215" s="81">
        <f>X215</f>
        <v>0</v>
      </c>
      <c r="AP215" s="81">
        <f>Z215</f>
        <v>0</v>
      </c>
      <c r="AQ215" s="81">
        <f>V215</f>
        <v>0</v>
      </c>
      <c r="AR215" s="3"/>
      <c r="AS215" s="76">
        <f t="shared" si="291"/>
        <v>3.6144578313253013</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x14ac:dyDescent="0.3">
      <c r="A216" s="8" t="s">
        <v>18</v>
      </c>
      <c r="B216" s="9" t="s">
        <v>50</v>
      </c>
      <c r="C216" s="7"/>
      <c r="D216" s="7"/>
      <c r="E216" s="7"/>
      <c r="F216" s="71"/>
      <c r="G216" s="51">
        <f>I216+K216</f>
        <v>45</v>
      </c>
      <c r="H216" s="52">
        <f>G216/$J$5*100</f>
        <v>69.230769230769226</v>
      </c>
      <c r="I216" s="53">
        <f>COUNTIFS('00 Encuesta'!$B$2:$B$511,"*c)*",'00 Encuesta'!$C$2:$C$511,"*a)*",'00 Encuesta'!$E$2:$E$511,"*a)*",'00 Encuesta'!$AB$2:$AB$511,"*b)*")</f>
        <v>23</v>
      </c>
      <c r="J216" s="52">
        <f>I216/$J$6*100</f>
        <v>69.696969696969703</v>
      </c>
      <c r="K216" s="53">
        <f>COUNTIFS('00 Encuesta'!$B$2:$B$511,"*c)*",'00 Encuesta'!$C$2:$C$511,"*a)*",'00 Encuesta'!$E$2:$E$511,"*b)*",'00 Encuesta'!$AB$2:$AB$511,"*b)*")</f>
        <v>22</v>
      </c>
      <c r="L216" s="52">
        <f>K216/$J$7*100</f>
        <v>68.75</v>
      </c>
      <c r="M216" s="23"/>
      <c r="N216" s="51">
        <f>P216+R216</f>
        <v>43</v>
      </c>
      <c r="O216" s="52">
        <f>N216/$Q$5*100</f>
        <v>84.313725490196077</v>
      </c>
      <c r="P216" s="53">
        <f>COUNTIFS('00 Encuesta'!$B$2:$B$511,"*c)*",'00 Encuesta'!$C$2:$C$511,"*b)*",'00 Encuesta'!$E$2:$E$511,"*a)*",'00 Encuesta'!$AB$2:$AB$511,"*b)*")</f>
        <v>20</v>
      </c>
      <c r="Q216" s="52">
        <f>P216/$Q$6*100</f>
        <v>71.428571428571431</v>
      </c>
      <c r="R216" s="53">
        <f>COUNTIFS('00 Encuesta'!$B$2:$B$511,"*c)*",'00 Encuesta'!$C$2:$C$511,"*b)*",'00 Encuesta'!$E$2:$E$511,"*b)*",'00 Encuesta'!$AB$2:$AB$511,"*b)*")</f>
        <v>23</v>
      </c>
      <c r="S216" s="52">
        <f>R216/$Q$7*100</f>
        <v>100</v>
      </c>
      <c r="T216" s="3"/>
      <c r="U216" s="51">
        <f>W216+Y216</f>
        <v>50</v>
      </c>
      <c r="V216" s="52">
        <f>U216/$X$5*100</f>
        <v>100</v>
      </c>
      <c r="W216" s="53">
        <f>COUNTIFS('00 Encuesta'!$B$2:$B$511,"*c)*",'00 Encuesta'!$C$2:$C$511,"*d)*",'00 Encuesta'!$E$2:$E$511,"*a)*",'00 Encuesta'!$AB$2:$AB$511,"*b)*")</f>
        <v>27</v>
      </c>
      <c r="X216" s="52">
        <f>W216/$X$6*100</f>
        <v>100</v>
      </c>
      <c r="Y216" s="53">
        <f>COUNTIFS('00 Encuesta'!$B$2:$B$511,"*c)*",'00 Encuesta'!$C$2:$C$511,"*d)*",'00 Encuesta'!$E$2:$E$511,"*b)*",'00 Encuesta'!$AB$2:$AB$511,"*b)*")</f>
        <v>23</v>
      </c>
      <c r="Z216" s="52">
        <f>Y216/$X$7*100</f>
        <v>100</v>
      </c>
      <c r="AA216" s="3"/>
      <c r="AB216" s="62">
        <f>G216+N216+U216</f>
        <v>138</v>
      </c>
      <c r="AC216" s="52">
        <f>AB216*100/$AC$5</f>
        <v>83.132530120481931</v>
      </c>
      <c r="AD216" s="3"/>
      <c r="AE216" s="3"/>
      <c r="AF216" s="9" t="str">
        <f>A216&amp;" "&amp;B216</f>
        <v>b) No</v>
      </c>
      <c r="AG216" s="72">
        <f>J216</f>
        <v>69.696969696969703</v>
      </c>
      <c r="AH216" s="72">
        <f>L216</f>
        <v>68.75</v>
      </c>
      <c r="AI216" s="73">
        <f>H216</f>
        <v>69.230769230769226</v>
      </c>
      <c r="AJ216" s="73"/>
      <c r="AK216" s="76">
        <f>Q216</f>
        <v>71.428571428571431</v>
      </c>
      <c r="AL216" s="76">
        <f>S216</f>
        <v>100</v>
      </c>
      <c r="AM216" s="76">
        <f>O216</f>
        <v>84.313725490196077</v>
      </c>
      <c r="AN216" s="76"/>
      <c r="AO216" s="81">
        <f>X216</f>
        <v>100</v>
      </c>
      <c r="AP216" s="81">
        <f>Z216</f>
        <v>100</v>
      </c>
      <c r="AQ216" s="81">
        <f>V216</f>
        <v>100</v>
      </c>
      <c r="AR216" s="3"/>
      <c r="AS216" s="76">
        <f t="shared" si="291"/>
        <v>83.132530120481931</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x14ac:dyDescent="0.3">
      <c r="A217" s="8" t="s">
        <v>20</v>
      </c>
      <c r="B217" s="9" t="s">
        <v>51</v>
      </c>
      <c r="C217" s="7"/>
      <c r="D217" s="7"/>
      <c r="E217" s="7"/>
      <c r="F217" s="71"/>
      <c r="G217" s="51">
        <f>I217+K217</f>
        <v>12</v>
      </c>
      <c r="H217" s="52">
        <f>G217/$J$5*100</f>
        <v>18.461538461538463</v>
      </c>
      <c r="I217" s="53">
        <f>COUNTIFS('00 Encuesta'!$B$2:$B$511,"*c)*",'00 Encuesta'!$C$2:$C$511,"*a)*",'00 Encuesta'!$E$2:$E$511,"*a)*",'00 Encuesta'!$AB$2:$AB$511,"*c)*")</f>
        <v>8</v>
      </c>
      <c r="J217" s="52">
        <f>I217/$J$6*100</f>
        <v>24.242424242424242</v>
      </c>
      <c r="K217" s="53">
        <f>COUNTIFS('00 Encuesta'!$B$2:$B$511,"*c)*",'00 Encuesta'!$C$2:$C$511,"*a)*",'00 Encuesta'!$E$2:$E$511,"*b)*",'00 Encuesta'!$AB$2:$AB$511,"*c)*")</f>
        <v>4</v>
      </c>
      <c r="L217" s="52">
        <f>K217/$J$7*100</f>
        <v>12.5</v>
      </c>
      <c r="M217" s="23"/>
      <c r="N217" s="51">
        <f>P217+R217</f>
        <v>7</v>
      </c>
      <c r="O217" s="52">
        <f>N217/$Q$5*100</f>
        <v>13.725490196078432</v>
      </c>
      <c r="P217" s="53">
        <f>COUNTIFS('00 Encuesta'!$B$2:$B$511,"*c)*",'00 Encuesta'!$C$2:$C$511,"*b)*",'00 Encuesta'!$E$2:$E$511,"*a)*",'00 Encuesta'!$AB$2:$AB$511,"*c)*")</f>
        <v>7</v>
      </c>
      <c r="Q217" s="52">
        <f>P217/$Q$6*100</f>
        <v>25</v>
      </c>
      <c r="R217" s="53">
        <f>COUNTIFS('00 Encuesta'!$B$2:$B$511,"*c)*",'00 Encuesta'!$C$2:$C$511,"*b)*",'00 Encuesta'!$E$2:$E$511,"*b)*",'00 Encuesta'!$AB$2:$AB$511,"*c)*")</f>
        <v>0</v>
      </c>
      <c r="S217" s="52">
        <f>R217/$Q$7*100</f>
        <v>0</v>
      </c>
      <c r="T217" s="3"/>
      <c r="U217" s="51">
        <f>W217+Y217</f>
        <v>0</v>
      </c>
      <c r="V217" s="52">
        <f>U217/$X$5*100</f>
        <v>0</v>
      </c>
      <c r="W217" s="53">
        <f>COUNTIFS('00 Encuesta'!$B$2:$B$511,"*c)*",'00 Encuesta'!$C$2:$C$511,"*d)*",'00 Encuesta'!$E$2:$E$511,"*a)*",'00 Encuesta'!$AB$2:$AB$511,"*c)*")</f>
        <v>0</v>
      </c>
      <c r="X217" s="52">
        <f>W217/$X$6*100</f>
        <v>0</v>
      </c>
      <c r="Y217" s="53">
        <f>COUNTIFS('00 Encuesta'!$B$2:$B$511,"*c)*",'00 Encuesta'!$C$2:$C$511,"*d)*",'00 Encuesta'!$E$2:$E$511,"*b)*",'00 Encuesta'!$AB$2:$AB$511,"*c)*")</f>
        <v>0</v>
      </c>
      <c r="Z217" s="52">
        <f>Y217/$X$7*100</f>
        <v>0</v>
      </c>
      <c r="AA217" s="3"/>
      <c r="AB217" s="62">
        <f>G217+N217+U217</f>
        <v>19</v>
      </c>
      <c r="AC217" s="52">
        <f>AB217*100/$AC$5</f>
        <v>11.445783132530121</v>
      </c>
      <c r="AD217" s="3"/>
      <c r="AE217" s="3"/>
      <c r="AF217" s="9" t="str">
        <f>A217&amp;" "&amp;B217</f>
        <v>c) Algo</v>
      </c>
      <c r="AG217" s="72">
        <f>J217</f>
        <v>24.242424242424242</v>
      </c>
      <c r="AH217" s="72">
        <f>L217</f>
        <v>12.5</v>
      </c>
      <c r="AI217" s="73">
        <f>H217</f>
        <v>18.461538461538463</v>
      </c>
      <c r="AJ217" s="73"/>
      <c r="AK217" s="76">
        <f>Q217</f>
        <v>25</v>
      </c>
      <c r="AL217" s="76">
        <f>S217</f>
        <v>0</v>
      </c>
      <c r="AM217" s="76">
        <f>O217</f>
        <v>13.725490196078432</v>
      </c>
      <c r="AN217" s="76"/>
      <c r="AO217" s="81">
        <f>X217</f>
        <v>0</v>
      </c>
      <c r="AP217" s="81">
        <f>Z217</f>
        <v>0</v>
      </c>
      <c r="AQ217" s="81">
        <f>V217</f>
        <v>0</v>
      </c>
      <c r="AR217" s="3"/>
      <c r="AS217" s="76">
        <f t="shared" si="291"/>
        <v>11.445783132530121</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x14ac:dyDescent="0.3">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f>N218/$Q$5*100</f>
        <v>0</v>
      </c>
      <c r="P218" s="53"/>
      <c r="Q218" s="52">
        <f>P218/$Q$6*100</f>
        <v>0</v>
      </c>
      <c r="R218" s="53"/>
      <c r="S218" s="52">
        <f>R218/$Q$7*100</f>
        <v>0</v>
      </c>
      <c r="T218" s="3"/>
      <c r="U218" s="51">
        <f>W218+Y218</f>
        <v>0</v>
      </c>
      <c r="V218" s="52">
        <f>U218/$X$5*100</f>
        <v>0</v>
      </c>
      <c r="W218" s="53"/>
      <c r="X218" s="52">
        <f>W218/$X$6*100</f>
        <v>0</v>
      </c>
      <c r="Y218" s="53"/>
      <c r="Z218" s="52">
        <f>Y218/$X$7*100</f>
        <v>0</v>
      </c>
      <c r="AA218" s="3"/>
      <c r="AB218" s="62">
        <f>G218+N218+U218</f>
        <v>0</v>
      </c>
      <c r="AC218" s="52">
        <f>AB218*100/$AC$5</f>
        <v>0</v>
      </c>
      <c r="AD218" s="3"/>
      <c r="AE218" s="3"/>
      <c r="AF218" s="9" t="str">
        <f>A218&amp;" "&amp;B218</f>
        <v>S/R Sin respuesta</v>
      </c>
      <c r="AG218" s="72">
        <f>J218</f>
        <v>0</v>
      </c>
      <c r="AH218" s="72">
        <f>L218</f>
        <v>0</v>
      </c>
      <c r="AI218" s="73">
        <f>H218</f>
        <v>0</v>
      </c>
      <c r="AJ218" s="73"/>
      <c r="AK218" s="76">
        <f>Q218</f>
        <v>0</v>
      </c>
      <c r="AL218" s="76">
        <f>S218</f>
        <v>0</v>
      </c>
      <c r="AM218" s="76">
        <f>O218</f>
        <v>0</v>
      </c>
      <c r="AN218" s="76"/>
      <c r="AO218" s="81">
        <f>X218</f>
        <v>0</v>
      </c>
      <c r="AP218" s="81">
        <f>Z218</f>
        <v>0</v>
      </c>
      <c r="AQ218" s="81">
        <f>V218</f>
        <v>0</v>
      </c>
      <c r="AR218" s="3"/>
      <c r="AS218" s="76">
        <f t="shared" si="291"/>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x14ac:dyDescent="0.3">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x14ac:dyDescent="0.3">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x14ac:dyDescent="0.3">
      <c r="A222" s="8" t="s">
        <v>17</v>
      </c>
      <c r="B222" s="9" t="s">
        <v>160</v>
      </c>
      <c r="C222" s="7"/>
      <c r="D222" s="7"/>
      <c r="E222" s="7"/>
      <c r="F222" s="71"/>
      <c r="G222" s="51">
        <f t="shared" ref="G222:G232" si="292">I222+K222</f>
        <v>21</v>
      </c>
      <c r="H222" s="52">
        <f t="shared" ref="H222:H232" si="293">G222/$J$5*100</f>
        <v>32.307692307692307</v>
      </c>
      <c r="I222" s="53">
        <f>COUNTIFS('00 Encuesta'!$B$2:$B$511,"*c)*",'00 Encuesta'!$C$2:$C$511,"*a)*",'00 Encuesta'!$E$2:$E$511,"*a)*",'00 Encuesta'!$AC$2:$AC$511,"*a)*")</f>
        <v>11</v>
      </c>
      <c r="J222" s="52">
        <f t="shared" ref="J222:J232" si="294">I222/$J$6*100</f>
        <v>33.333333333333329</v>
      </c>
      <c r="K222" s="53">
        <f>COUNTIFS('00 Encuesta'!$B$2:$B$511,"*c)*",'00 Encuesta'!$C$2:$C$511,"*a)*",'00 Encuesta'!$E$2:$E$511,"*b)*",'00 Encuesta'!$AC$2:$AC$511,"*a)*")</f>
        <v>10</v>
      </c>
      <c r="L222" s="52">
        <f t="shared" ref="L222:L227" si="295">K222/$J$7*100</f>
        <v>31.25</v>
      </c>
      <c r="M222" s="23"/>
      <c r="N222" s="51">
        <f t="shared" ref="N222:N227" si="296">P222+R222</f>
        <v>9</v>
      </c>
      <c r="O222" s="52">
        <f t="shared" ref="O222:O227" si="297">N222/$Q$5*100</f>
        <v>17.647058823529413</v>
      </c>
      <c r="P222" s="53">
        <f>COUNTIFS('00 Encuesta'!$B$2:$B$511,"*c)*",'00 Encuesta'!$C$2:$C$511,"*b)*",'00 Encuesta'!$E$2:$E$511,"*a)*",'00 Encuesta'!$AC$2:$AC$511,"*a)*")</f>
        <v>3</v>
      </c>
      <c r="Q222" s="52">
        <f t="shared" ref="Q222:Q231" si="298">P222/$Q$6*100</f>
        <v>10.714285714285714</v>
      </c>
      <c r="R222" s="53">
        <f>COUNTIFS('00 Encuesta'!$B$2:$B$511,"*c)*",'00 Encuesta'!$C$2:$C$511,"*b)*",'00 Encuesta'!$E$2:$E$511,"*b)*",'00 Encuesta'!$AC$2:$AC$511,"*a)*")</f>
        <v>6</v>
      </c>
      <c r="S222" s="52">
        <f t="shared" ref="S222:S227" si="299">R222/$Q$7*100</f>
        <v>26.086956521739129</v>
      </c>
      <c r="T222" s="3"/>
      <c r="U222" s="51">
        <f t="shared" ref="U222:U227" si="300">W222+Y222</f>
        <v>13</v>
      </c>
      <c r="V222" s="52">
        <f t="shared" ref="V222:V227" si="301">U222/$X$5*100</f>
        <v>26</v>
      </c>
      <c r="W222" s="53">
        <f>COUNTIFS('00 Encuesta'!$B$2:$B$511,"*c)*",'00 Encuesta'!$C$2:$C$511,"*d)*",'00 Encuesta'!$E$2:$E$511,"*a)*",'00 Encuesta'!$AC$2:$AC$511,"*a)*")</f>
        <v>2</v>
      </c>
      <c r="X222" s="52">
        <f t="shared" ref="X222:X231" si="302">W222/$X$6*100</f>
        <v>7.4074074074074066</v>
      </c>
      <c r="Y222" s="53">
        <f>COUNTIFS('00 Encuesta'!$B$2:$B$511,"*c)*",'00 Encuesta'!$C$2:$C$511,"*d)*",'00 Encuesta'!$E$2:$E$511,"*b)*",'00 Encuesta'!$AC$2:$AC$511,"*a)*")</f>
        <v>11</v>
      </c>
      <c r="Z222" s="52">
        <f t="shared" ref="Z222:Z232" si="303">Y222/$X$7*100</f>
        <v>47.826086956521742</v>
      </c>
      <c r="AA222" s="3"/>
      <c r="AB222" s="62">
        <f t="shared" ref="AB222:AB232" si="304">G222+N222+U222</f>
        <v>43</v>
      </c>
      <c r="AC222" s="52">
        <f t="shared" ref="AC222:AC232" si="305">AB222*100/$AC$5</f>
        <v>25.903614457831324</v>
      </c>
      <c r="AD222" s="3"/>
      <c r="AE222" s="3"/>
      <c r="AF222" s="9" t="str">
        <f t="shared" ref="AF222:AF232" si="306">A222&amp;" "&amp;B222</f>
        <v>a) Medicina</v>
      </c>
      <c r="AG222" s="72">
        <f t="shared" ref="AG222:AG232" si="307">J222</f>
        <v>33.333333333333329</v>
      </c>
      <c r="AH222" s="72">
        <f t="shared" ref="AH222:AH232" si="308">L222</f>
        <v>31.25</v>
      </c>
      <c r="AI222" s="73">
        <f t="shared" ref="AI222:AI232" si="309">H222</f>
        <v>32.307692307692307</v>
      </c>
      <c r="AJ222" s="73"/>
      <c r="AK222" s="76">
        <f t="shared" ref="AK222:AK232" si="310">Q222</f>
        <v>10.714285714285714</v>
      </c>
      <c r="AL222" s="76">
        <f t="shared" ref="AL222:AL232" si="311">S222</f>
        <v>26.086956521739129</v>
      </c>
      <c r="AM222" s="76">
        <f t="shared" ref="AM222:AM232" si="312">O222</f>
        <v>17.647058823529413</v>
      </c>
      <c r="AN222" s="76"/>
      <c r="AO222" s="81">
        <f t="shared" ref="AO222:AO232" si="313">X222</f>
        <v>7.4074074074074066</v>
      </c>
      <c r="AP222" s="81">
        <f t="shared" ref="AP222:AP232" si="314">Z222</f>
        <v>47.826086956521742</v>
      </c>
      <c r="AQ222" s="81">
        <f t="shared" ref="AQ222:AQ232" si="315">V222</f>
        <v>26</v>
      </c>
      <c r="AR222" s="3"/>
      <c r="AS222" s="76">
        <f t="shared" si="291"/>
        <v>25.903614457831324</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x14ac:dyDescent="0.3">
      <c r="A223" s="8" t="s">
        <v>18</v>
      </c>
      <c r="B223" s="9" t="s">
        <v>161</v>
      </c>
      <c r="C223" s="7"/>
      <c r="D223" s="7"/>
      <c r="E223" s="7"/>
      <c r="F223" s="71"/>
      <c r="G223" s="51">
        <f t="shared" si="292"/>
        <v>3</v>
      </c>
      <c r="H223" s="52">
        <f t="shared" si="293"/>
        <v>4.6153846153846159</v>
      </c>
      <c r="I223" s="53">
        <f>COUNTIFS('00 Encuesta'!$B$2:$B$511,"*c)*",'00 Encuesta'!$C$2:$C$511,"*a)*",'00 Encuesta'!$E$2:$E$511,"*a)*",'00 Encuesta'!$AC$2:$AC$511,"*b)*")</f>
        <v>0</v>
      </c>
      <c r="J223" s="52">
        <f t="shared" si="294"/>
        <v>0</v>
      </c>
      <c r="K223" s="53">
        <f>COUNTIFS('00 Encuesta'!$B$2:$B$511,"*c)*",'00 Encuesta'!$C$2:$C$511,"*a)*",'00 Encuesta'!$E$2:$E$511,"*b)*",'00 Encuesta'!$AC$2:$AC$511,"*b)*")</f>
        <v>3</v>
      </c>
      <c r="L223" s="52">
        <f t="shared" si="295"/>
        <v>9.375</v>
      </c>
      <c r="M223" s="23"/>
      <c r="N223" s="51">
        <f t="shared" si="296"/>
        <v>2</v>
      </c>
      <c r="O223" s="52">
        <f t="shared" si="297"/>
        <v>3.9215686274509802</v>
      </c>
      <c r="P223" s="53">
        <f>COUNTIFS('00 Encuesta'!$B$2:$B$511,"*c)*",'00 Encuesta'!$C$2:$C$511,"*b)*",'00 Encuesta'!$E$2:$E$511,"*a)*",'00 Encuesta'!$AC$2:$AC$511,"*b)*")</f>
        <v>1</v>
      </c>
      <c r="Q223" s="52">
        <f t="shared" si="298"/>
        <v>3.5714285714285712</v>
      </c>
      <c r="R223" s="53">
        <f>COUNTIFS('00 Encuesta'!$B$2:$B$511,"*c)*",'00 Encuesta'!$C$2:$C$511,"*b)*",'00 Encuesta'!$E$2:$E$511,"*b)*",'00 Encuesta'!$AC$2:$AC$511,"*b)*")</f>
        <v>1</v>
      </c>
      <c r="S223" s="52">
        <f t="shared" si="299"/>
        <v>4.3478260869565215</v>
      </c>
      <c r="T223" s="3"/>
      <c r="U223" s="51">
        <f t="shared" si="300"/>
        <v>2</v>
      </c>
      <c r="V223" s="52">
        <f t="shared" si="301"/>
        <v>4</v>
      </c>
      <c r="W223" s="53">
        <f>COUNTIFS('00 Encuesta'!$B$2:$B$511,"*c)*",'00 Encuesta'!$C$2:$C$511,"*d)*",'00 Encuesta'!$E$2:$E$511,"*a)*",'00 Encuesta'!$AC$2:$AC$511,"*b)*")</f>
        <v>1</v>
      </c>
      <c r="X223" s="52">
        <f t="shared" si="302"/>
        <v>3.7037037037037033</v>
      </c>
      <c r="Y223" s="53">
        <f>COUNTIFS('00 Encuesta'!$B$2:$B$511,"*c)*",'00 Encuesta'!$C$2:$C$511,"*d)*",'00 Encuesta'!$E$2:$E$511,"*b)*",'00 Encuesta'!$AC$2:$AC$511,"*b)*")</f>
        <v>1</v>
      </c>
      <c r="Z223" s="52">
        <f t="shared" si="303"/>
        <v>4.3478260869565215</v>
      </c>
      <c r="AA223" s="3"/>
      <c r="AB223" s="62">
        <f t="shared" si="304"/>
        <v>7</v>
      </c>
      <c r="AC223" s="52">
        <f t="shared" si="305"/>
        <v>4.2168674698795181</v>
      </c>
      <c r="AD223" s="3"/>
      <c r="AE223" s="3"/>
      <c r="AF223" s="9" t="str">
        <f t="shared" si="306"/>
        <v>b) Docencia</v>
      </c>
      <c r="AG223" s="72">
        <f t="shared" si="307"/>
        <v>0</v>
      </c>
      <c r="AH223" s="72">
        <f t="shared" si="308"/>
        <v>9.375</v>
      </c>
      <c r="AI223" s="73">
        <f t="shared" si="309"/>
        <v>4.6153846153846159</v>
      </c>
      <c r="AJ223" s="73"/>
      <c r="AK223" s="76">
        <f t="shared" si="310"/>
        <v>3.5714285714285712</v>
      </c>
      <c r="AL223" s="76">
        <f t="shared" si="311"/>
        <v>4.3478260869565215</v>
      </c>
      <c r="AM223" s="76">
        <f t="shared" si="312"/>
        <v>3.9215686274509802</v>
      </c>
      <c r="AN223" s="76"/>
      <c r="AO223" s="81">
        <f t="shared" si="313"/>
        <v>3.7037037037037033</v>
      </c>
      <c r="AP223" s="81">
        <f t="shared" si="314"/>
        <v>4.3478260869565215</v>
      </c>
      <c r="AQ223" s="81">
        <f t="shared" si="315"/>
        <v>4</v>
      </c>
      <c r="AR223" s="3"/>
      <c r="AS223" s="76">
        <f t="shared" si="291"/>
        <v>4.2168674698795181</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x14ac:dyDescent="0.3">
      <c r="A224" s="8" t="s">
        <v>20</v>
      </c>
      <c r="B224" s="9" t="s">
        <v>162</v>
      </c>
      <c r="C224" s="7"/>
      <c r="D224" s="7"/>
      <c r="E224" s="7"/>
      <c r="F224" s="71"/>
      <c r="G224" s="51">
        <f t="shared" si="292"/>
        <v>1</v>
      </c>
      <c r="H224" s="52">
        <f t="shared" si="293"/>
        <v>1.5384615384615385</v>
      </c>
      <c r="I224" s="53">
        <f>COUNTIFS('00 Encuesta'!$B$2:$B$511,"*c)*",'00 Encuesta'!$C$2:$C$511,"*a)*",'00 Encuesta'!$E$2:$E$511,"*a)*",'00 Encuesta'!$AC$2:$AC$511,"*c)*")</f>
        <v>1</v>
      </c>
      <c r="J224" s="52">
        <f t="shared" si="294"/>
        <v>3.0303030303030303</v>
      </c>
      <c r="K224" s="53">
        <f>COUNTIFS('00 Encuesta'!$B$2:$B$511,"*c)*",'00 Encuesta'!$C$2:$C$511,"*a)*",'00 Encuesta'!$E$2:$E$511,"*b)*",'00 Encuesta'!$AC$2:$AC$511,"*c)*")</f>
        <v>0</v>
      </c>
      <c r="L224" s="52">
        <f t="shared" si="295"/>
        <v>0</v>
      </c>
      <c r="M224" s="23"/>
      <c r="N224" s="51">
        <f t="shared" si="296"/>
        <v>1</v>
      </c>
      <c r="O224" s="52">
        <f t="shared" si="297"/>
        <v>1.9607843137254901</v>
      </c>
      <c r="P224" s="53">
        <f>COUNTIFS('00 Encuesta'!$B$2:$B$511,"*c)*",'00 Encuesta'!$C$2:$C$511,"*b)*",'00 Encuesta'!$E$2:$E$511,"*a)*",'00 Encuesta'!$AC$2:$AC$511,"*c)*")</f>
        <v>1</v>
      </c>
      <c r="Q224" s="52">
        <f t="shared" si="298"/>
        <v>3.5714285714285712</v>
      </c>
      <c r="R224" s="53">
        <f>COUNTIFS('00 Encuesta'!$B$2:$B$511,"*c)*",'00 Encuesta'!$C$2:$C$511,"*b)*",'00 Encuesta'!$E$2:$E$511,"*b)*",'00 Encuesta'!$AC$2:$AC$511,"*c)*")</f>
        <v>0</v>
      </c>
      <c r="S224" s="52">
        <f t="shared" si="299"/>
        <v>0</v>
      </c>
      <c r="T224" s="3"/>
      <c r="U224" s="51">
        <f t="shared" si="300"/>
        <v>1</v>
      </c>
      <c r="V224" s="52">
        <f t="shared" si="301"/>
        <v>2</v>
      </c>
      <c r="W224" s="53">
        <f>COUNTIFS('00 Encuesta'!$B$2:$B$511,"*c)*",'00 Encuesta'!$C$2:$C$511,"*d)*",'00 Encuesta'!$E$2:$E$511,"*a)*",'00 Encuesta'!$AC$2:$AC$511,"*c)*")</f>
        <v>0</v>
      </c>
      <c r="X224" s="52">
        <f t="shared" si="302"/>
        <v>0</v>
      </c>
      <c r="Y224" s="53">
        <f>COUNTIFS('00 Encuesta'!$B$2:$B$511,"*c)*",'00 Encuesta'!$C$2:$C$511,"*d)*",'00 Encuesta'!$E$2:$E$511,"*b)*",'00 Encuesta'!$AC$2:$AC$511,"*c)*")</f>
        <v>1</v>
      </c>
      <c r="Z224" s="52">
        <f t="shared" si="303"/>
        <v>4.3478260869565215</v>
      </c>
      <c r="AA224" s="3"/>
      <c r="AB224" s="62">
        <f t="shared" si="304"/>
        <v>3</v>
      </c>
      <c r="AC224" s="52">
        <f t="shared" si="305"/>
        <v>1.8072289156626506</v>
      </c>
      <c r="AD224" s="3"/>
      <c r="AE224" s="3"/>
      <c r="AF224" s="9" t="str">
        <f t="shared" si="306"/>
        <v>c) Sacerdocio o hermana religiosa</v>
      </c>
      <c r="AG224" s="72">
        <f t="shared" si="307"/>
        <v>3.0303030303030303</v>
      </c>
      <c r="AH224" s="72">
        <f t="shared" si="308"/>
        <v>0</v>
      </c>
      <c r="AI224" s="73">
        <f t="shared" si="309"/>
        <v>1.5384615384615385</v>
      </c>
      <c r="AJ224" s="73"/>
      <c r="AK224" s="76">
        <f t="shared" si="310"/>
        <v>3.5714285714285712</v>
      </c>
      <c r="AL224" s="76">
        <f t="shared" si="311"/>
        <v>0</v>
      </c>
      <c r="AM224" s="76">
        <f t="shared" si="312"/>
        <v>1.9607843137254901</v>
      </c>
      <c r="AN224" s="76"/>
      <c r="AO224" s="81">
        <f t="shared" si="313"/>
        <v>0</v>
      </c>
      <c r="AP224" s="81">
        <f t="shared" si="314"/>
        <v>4.3478260869565215</v>
      </c>
      <c r="AQ224" s="81">
        <f t="shared" si="315"/>
        <v>2</v>
      </c>
      <c r="AR224" s="3"/>
      <c r="AS224" s="76">
        <f t="shared" si="291"/>
        <v>1.8072289156626506</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92"/>
        <v>18</v>
      </c>
      <c r="H225" s="52">
        <f t="shared" si="293"/>
        <v>27.692307692307693</v>
      </c>
      <c r="I225" s="53">
        <f>COUNTIFS('00 Encuesta'!$B$2:$B$511,"*c)*",'00 Encuesta'!$C$2:$C$511,"*a)*",'00 Encuesta'!$E$2:$E$511,"*a)*",'00 Encuesta'!$AC$2:$AC$511,"*d)*")</f>
        <v>15</v>
      </c>
      <c r="J225" s="52">
        <f t="shared" si="294"/>
        <v>45.454545454545453</v>
      </c>
      <c r="K225" s="53">
        <f>COUNTIFS('00 Encuesta'!$B$2:$B$511,"*c)*",'00 Encuesta'!$C$2:$C$511,"*a)*",'00 Encuesta'!$E$2:$E$511,"*b)*",'00 Encuesta'!$AC$2:$AC$511,"*d)*")</f>
        <v>3</v>
      </c>
      <c r="L225" s="52">
        <f t="shared" si="295"/>
        <v>9.375</v>
      </c>
      <c r="M225" s="23"/>
      <c r="N225" s="51">
        <f t="shared" si="296"/>
        <v>10</v>
      </c>
      <c r="O225" s="52">
        <f t="shared" si="297"/>
        <v>19.607843137254903</v>
      </c>
      <c r="P225" s="53">
        <f>COUNTIFS('00 Encuesta'!$B$2:$B$511,"*c)*",'00 Encuesta'!$C$2:$C$511,"*b)*",'00 Encuesta'!$E$2:$E$511,"*a)*",'00 Encuesta'!$AC$2:$AC$511,"*d)*")</f>
        <v>8</v>
      </c>
      <c r="Q225" s="52">
        <f t="shared" si="298"/>
        <v>28.571428571428569</v>
      </c>
      <c r="R225" s="53">
        <f>COUNTIFS('00 Encuesta'!$B$2:$B$511,"*c)*",'00 Encuesta'!$C$2:$C$511,"*b)*",'00 Encuesta'!$E$2:$E$511,"*b)*",'00 Encuesta'!$AC$2:$AC$511,"*d)*")</f>
        <v>2</v>
      </c>
      <c r="S225" s="52">
        <f t="shared" si="299"/>
        <v>8.695652173913043</v>
      </c>
      <c r="T225" s="3"/>
      <c r="U225" s="51">
        <f t="shared" si="300"/>
        <v>12</v>
      </c>
      <c r="V225" s="52">
        <f t="shared" si="301"/>
        <v>24</v>
      </c>
      <c r="W225" s="53">
        <f>COUNTIFS('00 Encuesta'!$B$2:$B$511,"*c)*",'00 Encuesta'!$C$2:$C$511,"*d)*",'00 Encuesta'!$E$2:$E$511,"*a)*",'00 Encuesta'!$AC$2:$AC$511,"*d)*")</f>
        <v>8</v>
      </c>
      <c r="X225" s="52">
        <f t="shared" si="302"/>
        <v>29.629629629629626</v>
      </c>
      <c r="Y225" s="53">
        <f>COUNTIFS('00 Encuesta'!$B$2:$B$511,"*c)*",'00 Encuesta'!$C$2:$C$511,"*d)*",'00 Encuesta'!$E$2:$E$511,"*b)*",'00 Encuesta'!$AC$2:$AC$511,"*d)*")</f>
        <v>4</v>
      </c>
      <c r="Z225" s="52">
        <f t="shared" si="303"/>
        <v>17.391304347826086</v>
      </c>
      <c r="AA225" s="3"/>
      <c r="AB225" s="62">
        <f t="shared" si="304"/>
        <v>40</v>
      </c>
      <c r="AC225" s="52">
        <f t="shared" si="305"/>
        <v>24.096385542168676</v>
      </c>
      <c r="AD225" s="3"/>
      <c r="AE225" s="3"/>
      <c r="AF225" s="9" t="str">
        <f t="shared" si="306"/>
        <v>d) Ingeniería</v>
      </c>
      <c r="AG225" s="72">
        <f t="shared" si="307"/>
        <v>45.454545454545453</v>
      </c>
      <c r="AH225" s="72">
        <f t="shared" si="308"/>
        <v>9.375</v>
      </c>
      <c r="AI225" s="73">
        <f t="shared" si="309"/>
        <v>27.692307692307693</v>
      </c>
      <c r="AJ225" s="73"/>
      <c r="AK225" s="76">
        <f t="shared" si="310"/>
        <v>28.571428571428569</v>
      </c>
      <c r="AL225" s="76">
        <f t="shared" si="311"/>
        <v>8.695652173913043</v>
      </c>
      <c r="AM225" s="76">
        <f t="shared" si="312"/>
        <v>19.607843137254903</v>
      </c>
      <c r="AN225" s="76"/>
      <c r="AO225" s="81">
        <f t="shared" si="313"/>
        <v>29.629629629629626</v>
      </c>
      <c r="AP225" s="81">
        <f t="shared" si="314"/>
        <v>17.391304347826086</v>
      </c>
      <c r="AQ225" s="81">
        <f t="shared" si="315"/>
        <v>24</v>
      </c>
      <c r="AR225" s="3"/>
      <c r="AS225" s="76">
        <f t="shared" si="291"/>
        <v>24.096385542168676</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x14ac:dyDescent="0.3">
      <c r="A226" s="8" t="s">
        <v>22</v>
      </c>
      <c r="B226" s="9" t="s">
        <v>164</v>
      </c>
      <c r="C226" s="7"/>
      <c r="D226" s="7"/>
      <c r="E226" s="7"/>
      <c r="F226" s="71"/>
      <c r="G226" s="51">
        <f t="shared" si="292"/>
        <v>8</v>
      </c>
      <c r="H226" s="52">
        <f t="shared" si="293"/>
        <v>12.307692307692308</v>
      </c>
      <c r="I226" s="53">
        <f>COUNTIFS('00 Encuesta'!$B$2:$B$511,"*c)*",'00 Encuesta'!$C$2:$C$511,"*a)*",'00 Encuesta'!$E$2:$E$511,"*a)*",'00 Encuesta'!$AC$2:$AC$511,"*e)*")</f>
        <v>4</v>
      </c>
      <c r="J226" s="52">
        <f t="shared" si="294"/>
        <v>12.121212121212121</v>
      </c>
      <c r="K226" s="53">
        <f>COUNTIFS('00 Encuesta'!$B$2:$B$511,"*c)*",'00 Encuesta'!$C$2:$C$511,"*a)*",'00 Encuesta'!$E$2:$E$511,"*b)*",'00 Encuesta'!$AC$2:$AC$511,"*e)*")</f>
        <v>4</v>
      </c>
      <c r="L226" s="52">
        <f t="shared" si="295"/>
        <v>12.5</v>
      </c>
      <c r="M226" s="23"/>
      <c r="N226" s="51">
        <f t="shared" si="296"/>
        <v>4</v>
      </c>
      <c r="O226" s="52">
        <f t="shared" si="297"/>
        <v>7.8431372549019605</v>
      </c>
      <c r="P226" s="53">
        <f>COUNTIFS('00 Encuesta'!$B$2:$B$511,"*c)*",'00 Encuesta'!$C$2:$C$511,"*b)*",'00 Encuesta'!$E$2:$E$511,"*a)*",'00 Encuesta'!$AC$2:$AC$511,"*e)*")</f>
        <v>0</v>
      </c>
      <c r="Q226" s="52">
        <f t="shared" si="298"/>
        <v>0</v>
      </c>
      <c r="R226" s="53">
        <f>COUNTIFS('00 Encuesta'!$B$2:$B$511,"*c)*",'00 Encuesta'!$C$2:$C$511,"*b)*",'00 Encuesta'!$E$2:$E$511,"*b)*",'00 Encuesta'!$AC$2:$AC$511,"*e)*")</f>
        <v>4</v>
      </c>
      <c r="S226" s="52">
        <f t="shared" si="299"/>
        <v>17.391304347826086</v>
      </c>
      <c r="T226" s="3"/>
      <c r="U226" s="51">
        <f t="shared" si="300"/>
        <v>4</v>
      </c>
      <c r="V226" s="52">
        <f t="shared" si="301"/>
        <v>8</v>
      </c>
      <c r="W226" s="53">
        <f>COUNTIFS('00 Encuesta'!$B$2:$B$511,"*c)*",'00 Encuesta'!$C$2:$C$511,"*d)*",'00 Encuesta'!$E$2:$E$511,"*a)*",'00 Encuesta'!$AC$2:$AC$511,"*e)*")</f>
        <v>2</v>
      </c>
      <c r="X226" s="52">
        <f t="shared" si="302"/>
        <v>7.4074074074074066</v>
      </c>
      <c r="Y226" s="53">
        <f>COUNTIFS('00 Encuesta'!$B$2:$B$511,"*c)*",'00 Encuesta'!$C$2:$C$511,"*d)*",'00 Encuesta'!$E$2:$E$511,"*b)*",'00 Encuesta'!$AC$2:$AC$511,"*e)*")</f>
        <v>2</v>
      </c>
      <c r="Z226" s="52">
        <f t="shared" si="303"/>
        <v>8.695652173913043</v>
      </c>
      <c r="AA226" s="3"/>
      <c r="AB226" s="62">
        <f t="shared" si="304"/>
        <v>16</v>
      </c>
      <c r="AC226" s="52">
        <f t="shared" si="305"/>
        <v>9.6385542168674707</v>
      </c>
      <c r="AD226" s="3"/>
      <c r="AE226" s="3"/>
      <c r="AF226" s="9" t="str">
        <f t="shared" si="306"/>
        <v>e) Derecho</v>
      </c>
      <c r="AG226" s="72">
        <f t="shared" si="307"/>
        <v>12.121212121212121</v>
      </c>
      <c r="AH226" s="72">
        <f t="shared" si="308"/>
        <v>12.5</v>
      </c>
      <c r="AI226" s="73">
        <f t="shared" si="309"/>
        <v>12.307692307692308</v>
      </c>
      <c r="AJ226" s="73"/>
      <c r="AK226" s="76">
        <f t="shared" si="310"/>
        <v>0</v>
      </c>
      <c r="AL226" s="76">
        <f t="shared" si="311"/>
        <v>17.391304347826086</v>
      </c>
      <c r="AM226" s="76">
        <f t="shared" si="312"/>
        <v>7.8431372549019605</v>
      </c>
      <c r="AN226" s="76"/>
      <c r="AO226" s="81">
        <f t="shared" si="313"/>
        <v>7.4074074074074066</v>
      </c>
      <c r="AP226" s="81">
        <f t="shared" si="314"/>
        <v>8.695652173913043</v>
      </c>
      <c r="AQ226" s="81">
        <f t="shared" si="315"/>
        <v>8</v>
      </c>
      <c r="AR226" s="3"/>
      <c r="AS226" s="76">
        <f t="shared" si="291"/>
        <v>9.6385542168674707</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x14ac:dyDescent="0.3">
      <c r="A227" s="1" t="s">
        <v>45</v>
      </c>
      <c r="B227" s="2" t="s">
        <v>165</v>
      </c>
      <c r="C227" s="3"/>
      <c r="D227" s="7"/>
      <c r="E227" s="7"/>
      <c r="F227" s="71"/>
      <c r="G227" s="51">
        <f t="shared" si="292"/>
        <v>7</v>
      </c>
      <c r="H227" s="52">
        <f t="shared" si="293"/>
        <v>10.76923076923077</v>
      </c>
      <c r="I227" s="53">
        <f>COUNTIFS('00 Encuesta'!$B$2:$B$511,"*c)*",'00 Encuesta'!$C$2:$C$511,"*a)*",'00 Encuesta'!$E$2:$E$511,"*a)*",'00 Encuesta'!$AC$2:$AC$511,"*f)*")</f>
        <v>5</v>
      </c>
      <c r="J227" s="52">
        <f t="shared" si="294"/>
        <v>15.151515151515152</v>
      </c>
      <c r="K227" s="53">
        <f>COUNTIFS('00 Encuesta'!$B$2:$B$511,"*c)*",'00 Encuesta'!$C$2:$C$511,"*a)*",'00 Encuesta'!$E$2:$E$511,"*b)*",'00 Encuesta'!$AC$2:$AC$511,"*f)*")</f>
        <v>2</v>
      </c>
      <c r="L227" s="52">
        <f t="shared" si="295"/>
        <v>6.25</v>
      </c>
      <c r="M227" s="23"/>
      <c r="N227" s="51">
        <f t="shared" si="296"/>
        <v>4</v>
      </c>
      <c r="O227" s="52">
        <f t="shared" si="297"/>
        <v>7.8431372549019605</v>
      </c>
      <c r="P227" s="53">
        <f>COUNTIFS('00 Encuesta'!$B$2:$B$511,"*c)*",'00 Encuesta'!$C$2:$C$511,"*b)*",'00 Encuesta'!$E$2:$E$511,"*a)*",'00 Encuesta'!$AC$2:$AC$511,"*f)*")</f>
        <v>2</v>
      </c>
      <c r="Q227" s="52">
        <f t="shared" si="298"/>
        <v>7.1428571428571423</v>
      </c>
      <c r="R227" s="53">
        <f>COUNTIFS('00 Encuesta'!$B$2:$B$511,"*c)*",'00 Encuesta'!$C$2:$C$511,"*b)*",'00 Encuesta'!$E$2:$E$511,"*b)*",'00 Encuesta'!$AC$2:$AC$511,"*f)*")</f>
        <v>2</v>
      </c>
      <c r="S227" s="52">
        <f t="shared" si="299"/>
        <v>8.695652173913043</v>
      </c>
      <c r="T227" s="3"/>
      <c r="U227" s="51">
        <f t="shared" si="300"/>
        <v>6</v>
      </c>
      <c r="V227" s="52">
        <f t="shared" si="301"/>
        <v>12</v>
      </c>
      <c r="W227" s="53">
        <f>COUNTIFS('00 Encuesta'!$B$2:$B$511,"*c)*",'00 Encuesta'!$C$2:$C$511,"*d)*",'00 Encuesta'!$E$2:$E$511,"*a)*",'00 Encuesta'!$AC$2:$AC$511,"*f)*")</f>
        <v>4</v>
      </c>
      <c r="X227" s="52">
        <f t="shared" si="302"/>
        <v>14.814814814814813</v>
      </c>
      <c r="Y227" s="53">
        <f>COUNTIFS('00 Encuesta'!$B$2:$B$511,"*c)*",'00 Encuesta'!$C$2:$C$511,"*d)*",'00 Encuesta'!$E$2:$E$511,"*b)*",'00 Encuesta'!$AC$2:$AC$511,"*f)*")</f>
        <v>2</v>
      </c>
      <c r="Z227" s="52">
        <f t="shared" si="303"/>
        <v>8.695652173913043</v>
      </c>
      <c r="AA227" s="3"/>
      <c r="AB227" s="62">
        <f t="shared" si="304"/>
        <v>17</v>
      </c>
      <c r="AC227" s="52">
        <f t="shared" si="305"/>
        <v>10.240963855421686</v>
      </c>
      <c r="AD227" s="3"/>
      <c r="AE227" s="3"/>
      <c r="AF227" s="9" t="str">
        <f t="shared" si="306"/>
        <v>f) Ciencias policiales o artes militares</v>
      </c>
      <c r="AG227" s="72">
        <f t="shared" si="307"/>
        <v>15.151515151515152</v>
      </c>
      <c r="AH227" s="72">
        <f t="shared" si="308"/>
        <v>6.25</v>
      </c>
      <c r="AI227" s="73">
        <f t="shared" si="309"/>
        <v>10.76923076923077</v>
      </c>
      <c r="AJ227" s="73"/>
      <c r="AK227" s="76">
        <f t="shared" si="310"/>
        <v>7.1428571428571423</v>
      </c>
      <c r="AL227" s="76">
        <f t="shared" si="311"/>
        <v>8.695652173913043</v>
      </c>
      <c r="AM227" s="76">
        <f t="shared" si="312"/>
        <v>7.8431372549019605</v>
      </c>
      <c r="AN227" s="76"/>
      <c r="AO227" s="81">
        <f t="shared" si="313"/>
        <v>14.814814814814813</v>
      </c>
      <c r="AP227" s="81">
        <f t="shared" si="314"/>
        <v>8.695652173913043</v>
      </c>
      <c r="AQ227" s="81">
        <f t="shared" si="315"/>
        <v>12</v>
      </c>
      <c r="AR227" s="3"/>
      <c r="AS227" s="76">
        <f t="shared" si="291"/>
        <v>10.240963855421686</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x14ac:dyDescent="0.3">
      <c r="A228" s="1" t="s">
        <v>61</v>
      </c>
      <c r="B228" s="2" t="s">
        <v>166</v>
      </c>
      <c r="C228" s="3"/>
      <c r="D228" s="7"/>
      <c r="E228" s="7"/>
      <c r="F228" s="71"/>
      <c r="G228" s="51">
        <f t="shared" si="292"/>
        <v>7</v>
      </c>
      <c r="H228" s="52">
        <f t="shared" si="293"/>
        <v>10.76923076923077</v>
      </c>
      <c r="I228" s="53">
        <f>COUNTIFS('00 Encuesta'!$B$2:$B$511,"*c)*",'00 Encuesta'!$C$2:$C$511,"*a)*",'00 Encuesta'!$E$2:$E$511,"*a)*",'00 Encuesta'!$AC$2:$AC$511,"*g)*")</f>
        <v>3</v>
      </c>
      <c r="J228" s="52">
        <f t="shared" si="294"/>
        <v>9.0909090909090917</v>
      </c>
      <c r="K228" s="53">
        <f>COUNTIFS('00 Encuesta'!$B$2:$B$511,"*c)*",'00 Encuesta'!$C$2:$C$511,"*a)*",'00 Encuesta'!$E$2:$E$511,"*b)*",'00 Encuesta'!$AC$2:$AC$511,"*g)*")</f>
        <v>4</v>
      </c>
      <c r="L228" s="52">
        <f t="shared" ref="L228:L231" si="316">K228/$J$7*100</f>
        <v>12.5</v>
      </c>
      <c r="M228" s="23"/>
      <c r="N228" s="51">
        <f t="shared" ref="N228:N231" si="317">P228+R228</f>
        <v>11</v>
      </c>
      <c r="O228" s="52">
        <f t="shared" ref="O228:O231" si="318">N228/$Q$5*100</f>
        <v>21.568627450980394</v>
      </c>
      <c r="P228" s="53">
        <f>COUNTIFS('00 Encuesta'!$B$2:$B$511,"*c)*",'00 Encuesta'!$C$2:$C$511,"*b)*",'00 Encuesta'!$E$2:$E$511,"*a)*",'00 Encuesta'!$AC$2:$AC$511,"*g)*")</f>
        <v>5</v>
      </c>
      <c r="Q228" s="52">
        <f t="shared" si="298"/>
        <v>17.857142857142858</v>
      </c>
      <c r="R228" s="53">
        <f>COUNTIFS('00 Encuesta'!$B$2:$B$511,"*c)*",'00 Encuesta'!$C$2:$C$511,"*b)*",'00 Encuesta'!$E$2:$E$511,"*b)*",'00 Encuesta'!$AC$2:$AC$511,"*g)*")</f>
        <v>6</v>
      </c>
      <c r="S228" s="52">
        <f t="shared" ref="S228:S231" si="319">R228/$Q$7*100</f>
        <v>26.086956521739129</v>
      </c>
      <c r="T228" s="3"/>
      <c r="U228" s="51">
        <f t="shared" ref="U228:U231" si="320">W228+Y228</f>
        <v>5</v>
      </c>
      <c r="V228" s="52">
        <f t="shared" ref="V228:V231" si="321">U228/$X$5*100</f>
        <v>10</v>
      </c>
      <c r="W228" s="53">
        <f>COUNTIFS('00 Encuesta'!$B$2:$B$511,"*c)*",'00 Encuesta'!$C$2:$C$511,"*d)*",'00 Encuesta'!$E$2:$E$511,"*a)*",'00 Encuesta'!$AC$2:$AC$511,"*g)*")</f>
        <v>3</v>
      </c>
      <c r="X228" s="52">
        <f t="shared" si="302"/>
        <v>11.111111111111111</v>
      </c>
      <c r="Y228" s="53">
        <f>COUNTIFS('00 Encuesta'!$B$2:$B$511,"*c)*",'00 Encuesta'!$C$2:$C$511,"*d)*",'00 Encuesta'!$E$2:$E$511,"*b)*",'00 Encuesta'!$AC$2:$AC$511,"*g)*")</f>
        <v>2</v>
      </c>
      <c r="Z228" s="52">
        <f t="shared" si="303"/>
        <v>8.695652173913043</v>
      </c>
      <c r="AA228" s="3"/>
      <c r="AB228" s="62">
        <f t="shared" si="304"/>
        <v>23</v>
      </c>
      <c r="AC228" s="52">
        <f t="shared" si="305"/>
        <v>13.855421686746988</v>
      </c>
      <c r="AD228" s="3"/>
      <c r="AE228" s="3"/>
      <c r="AF228" s="9" t="str">
        <f t="shared" si="306"/>
        <v>g) Artista</v>
      </c>
      <c r="AG228" s="72">
        <f t="shared" si="307"/>
        <v>9.0909090909090917</v>
      </c>
      <c r="AH228" s="72">
        <f t="shared" si="308"/>
        <v>12.5</v>
      </c>
      <c r="AI228" s="73">
        <f t="shared" si="309"/>
        <v>10.76923076923077</v>
      </c>
      <c r="AJ228" s="73"/>
      <c r="AK228" s="76">
        <f t="shared" si="310"/>
        <v>17.857142857142858</v>
      </c>
      <c r="AL228" s="76">
        <f t="shared" si="311"/>
        <v>26.086956521739129</v>
      </c>
      <c r="AM228" s="76">
        <f t="shared" si="312"/>
        <v>21.568627450980394</v>
      </c>
      <c r="AN228" s="76"/>
      <c r="AO228" s="81">
        <f t="shared" si="313"/>
        <v>11.111111111111111</v>
      </c>
      <c r="AP228" s="81">
        <f t="shared" si="314"/>
        <v>8.695652173913043</v>
      </c>
      <c r="AQ228" s="81">
        <f t="shared" si="315"/>
        <v>10</v>
      </c>
      <c r="AR228" s="3"/>
      <c r="AS228" s="76">
        <f t="shared" si="291"/>
        <v>13.855421686746988</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92"/>
        <v>1</v>
      </c>
      <c r="H229" s="52">
        <f t="shared" si="293"/>
        <v>1.5384615384615385</v>
      </c>
      <c r="I229" s="53">
        <f>COUNTIFS('00 Encuesta'!$B$2:$B$511,"*c)*",'00 Encuesta'!$C$2:$C$511,"*a)*",'00 Encuesta'!$E$2:$E$511,"*a)*",'00 Encuesta'!$AC$2:$AC$511,"*h)*")</f>
        <v>0</v>
      </c>
      <c r="J229" s="52">
        <f t="shared" si="294"/>
        <v>0</v>
      </c>
      <c r="K229" s="53">
        <f>COUNTIFS('00 Encuesta'!$B$2:$B$511,"*c)*",'00 Encuesta'!$C$2:$C$511,"*a)*",'00 Encuesta'!$E$2:$E$511,"*b)*",'00 Encuesta'!$AC$2:$AC$511,"*h)*")</f>
        <v>1</v>
      </c>
      <c r="L229" s="52">
        <f t="shared" si="316"/>
        <v>3.125</v>
      </c>
      <c r="M229" s="23"/>
      <c r="N229" s="51">
        <f t="shared" si="317"/>
        <v>3</v>
      </c>
      <c r="O229" s="52">
        <f t="shared" si="318"/>
        <v>5.8823529411764701</v>
      </c>
      <c r="P229" s="53">
        <f>COUNTIFS('00 Encuesta'!$B$2:$B$511,"*c)*",'00 Encuesta'!$C$2:$C$511,"*b)*",'00 Encuesta'!$E$2:$E$511,"*a)*",'00 Encuesta'!$AC$2:$AC$511,"*h)*")</f>
        <v>2</v>
      </c>
      <c r="Q229" s="52">
        <f t="shared" si="298"/>
        <v>7.1428571428571423</v>
      </c>
      <c r="R229" s="53">
        <f>COUNTIFS('00 Encuesta'!$B$2:$B$511,"*c)*",'00 Encuesta'!$C$2:$C$511,"*b)*",'00 Encuesta'!$E$2:$E$511,"*b)*",'00 Encuesta'!$AC$2:$AC$511,"*h)*")</f>
        <v>1</v>
      </c>
      <c r="S229" s="52">
        <f t="shared" si="319"/>
        <v>4.3478260869565215</v>
      </c>
      <c r="T229" s="3"/>
      <c r="U229" s="51">
        <f t="shared" si="320"/>
        <v>3</v>
      </c>
      <c r="V229" s="52">
        <f t="shared" si="321"/>
        <v>6</v>
      </c>
      <c r="W229" s="53">
        <f>COUNTIFS('00 Encuesta'!$B$2:$B$511,"*c)*",'00 Encuesta'!$C$2:$C$511,"*d)*",'00 Encuesta'!$E$2:$E$511,"*a)*",'00 Encuesta'!$AC$2:$AC$511,"*h)*")</f>
        <v>0</v>
      </c>
      <c r="X229" s="52">
        <f t="shared" si="302"/>
        <v>0</v>
      </c>
      <c r="Y229" s="53">
        <f>COUNTIFS('00 Encuesta'!$B$2:$B$511,"*c)*",'00 Encuesta'!$C$2:$C$511,"*d)*",'00 Encuesta'!$E$2:$E$511,"*b)*",'00 Encuesta'!$AC$2:$AC$511,"*h)*")</f>
        <v>3</v>
      </c>
      <c r="Z229" s="52">
        <f t="shared" si="303"/>
        <v>13.043478260869565</v>
      </c>
      <c r="AA229" s="3"/>
      <c r="AB229" s="62">
        <f t="shared" si="304"/>
        <v>7</v>
      </c>
      <c r="AC229" s="52">
        <f t="shared" si="305"/>
        <v>4.2168674698795181</v>
      </c>
      <c r="AD229" s="3"/>
      <c r="AE229" s="3"/>
      <c r="AF229" s="9" t="str">
        <f t="shared" si="306"/>
        <v>h) Ciencias Políticas</v>
      </c>
      <c r="AG229" s="72">
        <f t="shared" si="307"/>
        <v>0</v>
      </c>
      <c r="AH229" s="72">
        <f t="shared" si="308"/>
        <v>3.125</v>
      </c>
      <c r="AI229" s="73">
        <f t="shared" si="309"/>
        <v>1.5384615384615385</v>
      </c>
      <c r="AJ229" s="73"/>
      <c r="AK229" s="76">
        <f t="shared" si="310"/>
        <v>7.1428571428571423</v>
      </c>
      <c r="AL229" s="76">
        <f t="shared" si="311"/>
        <v>4.3478260869565215</v>
      </c>
      <c r="AM229" s="76">
        <f t="shared" si="312"/>
        <v>5.8823529411764701</v>
      </c>
      <c r="AN229" s="76"/>
      <c r="AO229" s="81">
        <f t="shared" si="313"/>
        <v>0</v>
      </c>
      <c r="AP229" s="81">
        <f t="shared" si="314"/>
        <v>13.043478260869565</v>
      </c>
      <c r="AQ229" s="81">
        <f t="shared" si="315"/>
        <v>6</v>
      </c>
      <c r="AR229" s="3"/>
      <c r="AS229" s="76">
        <f t="shared" si="291"/>
        <v>4.2168674698795181</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x14ac:dyDescent="0.3">
      <c r="A230" s="84" t="s">
        <v>65</v>
      </c>
      <c r="B230" s="9" t="s">
        <v>168</v>
      </c>
      <c r="C230" s="7"/>
      <c r="D230" s="7"/>
      <c r="E230" s="7"/>
      <c r="F230" s="71"/>
      <c r="G230" s="51">
        <f t="shared" si="292"/>
        <v>1</v>
      </c>
      <c r="H230" s="52">
        <f t="shared" si="293"/>
        <v>1.5384615384615385</v>
      </c>
      <c r="I230" s="53">
        <f>COUNTIFS('00 Encuesta'!$B$2:$B$511,"*c)*",'00 Encuesta'!$C$2:$C$511,"*a)*",'00 Encuesta'!$E$2:$E$511,"*a)*",'00 Encuesta'!$AC$2:$AC$511,"*i)*")</f>
        <v>0</v>
      </c>
      <c r="J230" s="52">
        <f t="shared" si="294"/>
        <v>0</v>
      </c>
      <c r="K230" s="53">
        <f>COUNTIFS('00 Encuesta'!$B$2:$B$511,"*c)*",'00 Encuesta'!$C$2:$C$511,"*a)*",'00 Encuesta'!$E$2:$E$511,"*b)*",'00 Encuesta'!$AC$2:$AC$511,"*i)*")</f>
        <v>1</v>
      </c>
      <c r="L230" s="52">
        <f t="shared" si="316"/>
        <v>3.125</v>
      </c>
      <c r="M230" s="23"/>
      <c r="N230" s="51">
        <f t="shared" si="317"/>
        <v>2</v>
      </c>
      <c r="O230" s="52">
        <f t="shared" si="318"/>
        <v>3.9215686274509802</v>
      </c>
      <c r="P230" s="53">
        <f>COUNTIFS('00 Encuesta'!$B$2:$B$511,"*c)*",'00 Encuesta'!$C$2:$C$511,"*b)*",'00 Encuesta'!$E$2:$E$511,"*a)*",'00 Encuesta'!$AC$2:$AC$511,"*i)*")</f>
        <v>2</v>
      </c>
      <c r="Q230" s="52">
        <f t="shared" si="298"/>
        <v>7.1428571428571423</v>
      </c>
      <c r="R230" s="53">
        <f>COUNTIFS('00 Encuesta'!$B$2:$B$511,"*c)*",'00 Encuesta'!$C$2:$C$511,"*b)*",'00 Encuesta'!$E$2:$E$511,"*b)*",'00 Encuesta'!$AC$2:$AC$511,"*i)*")</f>
        <v>0</v>
      </c>
      <c r="S230" s="52">
        <f t="shared" si="319"/>
        <v>0</v>
      </c>
      <c r="T230" s="3"/>
      <c r="U230" s="51">
        <f t="shared" si="320"/>
        <v>4</v>
      </c>
      <c r="V230" s="52">
        <f t="shared" si="321"/>
        <v>8</v>
      </c>
      <c r="W230" s="53">
        <f>COUNTIFS('00 Encuesta'!$B$2:$B$511,"*c)*",'00 Encuesta'!$C$2:$C$511,"*d)*",'00 Encuesta'!$E$2:$E$511,"*a)*",'00 Encuesta'!$AC$2:$AC$511,"*i)*")</f>
        <v>3</v>
      </c>
      <c r="X230" s="52">
        <f t="shared" si="302"/>
        <v>11.111111111111111</v>
      </c>
      <c r="Y230" s="53">
        <f>COUNTIFS('00 Encuesta'!$B$2:$B$511,"*c)*",'00 Encuesta'!$C$2:$C$511,"*d)*",'00 Encuesta'!$E$2:$E$511,"*b)*",'00 Encuesta'!$AC$2:$AC$511,"*i)*")</f>
        <v>1</v>
      </c>
      <c r="Z230" s="52">
        <f t="shared" si="303"/>
        <v>4.3478260869565215</v>
      </c>
      <c r="AA230" s="3"/>
      <c r="AB230" s="62">
        <f t="shared" si="304"/>
        <v>7</v>
      </c>
      <c r="AC230" s="52">
        <f t="shared" si="305"/>
        <v>4.2168674698795181</v>
      </c>
      <c r="AD230" s="3"/>
      <c r="AE230" s="3"/>
      <c r="AF230" s="9" t="str">
        <f t="shared" si="306"/>
        <v>i) Comerciante</v>
      </c>
      <c r="AG230" s="72">
        <f t="shared" si="307"/>
        <v>0</v>
      </c>
      <c r="AH230" s="72">
        <f t="shared" si="308"/>
        <v>3.125</v>
      </c>
      <c r="AI230" s="73">
        <f t="shared" si="309"/>
        <v>1.5384615384615385</v>
      </c>
      <c r="AJ230" s="73"/>
      <c r="AK230" s="76">
        <f t="shared" si="310"/>
        <v>7.1428571428571423</v>
      </c>
      <c r="AL230" s="76">
        <f t="shared" si="311"/>
        <v>0</v>
      </c>
      <c r="AM230" s="76">
        <f t="shared" si="312"/>
        <v>3.9215686274509802</v>
      </c>
      <c r="AN230" s="76"/>
      <c r="AO230" s="81">
        <f t="shared" si="313"/>
        <v>11.111111111111111</v>
      </c>
      <c r="AP230" s="81">
        <f t="shared" si="314"/>
        <v>4.3478260869565215</v>
      </c>
      <c r="AQ230" s="81">
        <f t="shared" si="315"/>
        <v>8</v>
      </c>
      <c r="AR230" s="3"/>
      <c r="AS230" s="76">
        <f t="shared" si="291"/>
        <v>4.2168674698795181</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x14ac:dyDescent="0.3">
      <c r="A231" s="84" t="s">
        <v>67</v>
      </c>
      <c r="B231" s="9" t="s">
        <v>169</v>
      </c>
      <c r="C231" s="7"/>
      <c r="D231" s="7"/>
      <c r="E231" s="7"/>
      <c r="F231" s="71"/>
      <c r="G231" s="51">
        <f t="shared" si="292"/>
        <v>6</v>
      </c>
      <c r="H231" s="52">
        <f t="shared" si="293"/>
        <v>9.2307692307692317</v>
      </c>
      <c r="I231" s="53">
        <f>COUNTIFS('00 Encuesta'!$B$2:$B$511,"*c)*",'00 Encuesta'!$C$2:$C$511,"*a)*",'00 Encuesta'!$E$2:$E$511,"*a)*",'00 Encuesta'!$AC$2:$AC$511,"*j)*")</f>
        <v>5</v>
      </c>
      <c r="J231" s="52">
        <f t="shared" si="294"/>
        <v>15.151515151515152</v>
      </c>
      <c r="K231" s="53">
        <f>COUNTIFS('00 Encuesta'!$B$2:$B$511,"*c)*",'00 Encuesta'!$C$2:$C$511,"*a)*",'00 Encuesta'!$E$2:$E$511,"*b)*",'00 Encuesta'!$AC$2:$AC$511,"*j)*")</f>
        <v>1</v>
      </c>
      <c r="L231" s="52">
        <f t="shared" si="316"/>
        <v>3.125</v>
      </c>
      <c r="M231" s="23"/>
      <c r="N231" s="51">
        <f t="shared" si="317"/>
        <v>3</v>
      </c>
      <c r="O231" s="52">
        <f t="shared" si="318"/>
        <v>5.8823529411764701</v>
      </c>
      <c r="P231" s="53">
        <f>COUNTIFS('00 Encuesta'!$B$2:$B$511,"*c)*",'00 Encuesta'!$C$2:$C$511,"*b)*",'00 Encuesta'!$E$2:$E$511,"*a)*",'00 Encuesta'!$AC$2:$AC$511,"*j)*")</f>
        <v>2</v>
      </c>
      <c r="Q231" s="52">
        <f t="shared" si="298"/>
        <v>7.1428571428571423</v>
      </c>
      <c r="R231" s="53">
        <f>COUNTIFS('00 Encuesta'!$B$2:$B$511,"*c)*",'00 Encuesta'!$C$2:$C$511,"*b)*",'00 Encuesta'!$E$2:$E$511,"*b)*",'00 Encuesta'!$AC$2:$AC$511,"*j)*")</f>
        <v>1</v>
      </c>
      <c r="S231" s="52">
        <f t="shared" si="319"/>
        <v>4.3478260869565215</v>
      </c>
      <c r="T231" s="3"/>
      <c r="U231" s="51">
        <f t="shared" si="320"/>
        <v>3</v>
      </c>
      <c r="V231" s="52">
        <f t="shared" si="321"/>
        <v>6</v>
      </c>
      <c r="W231" s="53">
        <f>COUNTIFS('00 Encuesta'!$B$2:$B$511,"*c)*",'00 Encuesta'!$C$2:$C$511,"*d)*",'00 Encuesta'!$E$2:$E$511,"*a)*",'00 Encuesta'!$AC$2:$AC$511,"*j)*")</f>
        <v>3</v>
      </c>
      <c r="X231" s="52">
        <f t="shared" si="302"/>
        <v>11.111111111111111</v>
      </c>
      <c r="Y231" s="53">
        <f>COUNTIFS('00 Encuesta'!$B$2:$B$511,"*c)*",'00 Encuesta'!$C$2:$C$511,"*d)*",'00 Encuesta'!$E$2:$E$511,"*b)*",'00 Encuesta'!$AC$2:$AC$511,"*j)*")</f>
        <v>0</v>
      </c>
      <c r="Z231" s="52">
        <f t="shared" si="303"/>
        <v>0</v>
      </c>
      <c r="AA231" s="3"/>
      <c r="AB231" s="62">
        <f t="shared" si="304"/>
        <v>12</v>
      </c>
      <c r="AC231" s="52">
        <f t="shared" si="305"/>
        <v>7.2289156626506026</v>
      </c>
      <c r="AD231" s="3"/>
      <c r="AE231" s="3"/>
      <c r="AF231" s="9" t="str">
        <f t="shared" si="306"/>
        <v>j) Trabajador calificado</v>
      </c>
      <c r="AG231" s="72">
        <f t="shared" si="307"/>
        <v>15.151515151515152</v>
      </c>
      <c r="AH231" s="72">
        <f t="shared" si="308"/>
        <v>3.125</v>
      </c>
      <c r="AI231" s="73">
        <f t="shared" si="309"/>
        <v>9.2307692307692317</v>
      </c>
      <c r="AJ231" s="73"/>
      <c r="AK231" s="76">
        <f t="shared" si="310"/>
        <v>7.1428571428571423</v>
      </c>
      <c r="AL231" s="76">
        <f t="shared" si="311"/>
        <v>4.3478260869565215</v>
      </c>
      <c r="AM231" s="76">
        <f t="shared" si="312"/>
        <v>5.8823529411764701</v>
      </c>
      <c r="AN231" s="76"/>
      <c r="AO231" s="81">
        <f t="shared" si="313"/>
        <v>11.111111111111111</v>
      </c>
      <c r="AP231" s="81">
        <f t="shared" si="314"/>
        <v>0</v>
      </c>
      <c r="AQ231" s="81">
        <f t="shared" si="315"/>
        <v>6</v>
      </c>
      <c r="AR231" s="3"/>
      <c r="AS231" s="76">
        <f t="shared" si="291"/>
        <v>7.2289156626506026</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x14ac:dyDescent="0.3">
      <c r="A232" s="8" t="s">
        <v>23</v>
      </c>
      <c r="B232" s="9" t="s">
        <v>158</v>
      </c>
      <c r="C232" s="7"/>
      <c r="D232" s="7"/>
      <c r="E232" s="7"/>
      <c r="F232" s="71"/>
      <c r="G232" s="51">
        <f t="shared" si="292"/>
        <v>0</v>
      </c>
      <c r="H232" s="52">
        <f t="shared" si="293"/>
        <v>0</v>
      </c>
      <c r="I232" s="53"/>
      <c r="J232" s="52">
        <f t="shared" si="294"/>
        <v>0</v>
      </c>
      <c r="K232" s="53"/>
      <c r="L232" s="52">
        <f t="shared" ref="L232" si="322">K232/$J$7*100</f>
        <v>0</v>
      </c>
      <c r="M232" s="23"/>
      <c r="N232" s="51">
        <f t="shared" ref="N232" si="323">P232+R232</f>
        <v>0</v>
      </c>
      <c r="O232" s="52">
        <f t="shared" ref="O232" si="324">N232/$Q$5*100</f>
        <v>0</v>
      </c>
      <c r="P232" s="53"/>
      <c r="Q232" s="52">
        <f t="shared" ref="Q232" si="325">P232/$Q$6*100</f>
        <v>0</v>
      </c>
      <c r="R232" s="53"/>
      <c r="S232" s="52">
        <f t="shared" ref="S232" si="326">R232/$Q$7*100</f>
        <v>0</v>
      </c>
      <c r="T232" s="3"/>
      <c r="U232" s="51">
        <f t="shared" ref="U232" si="327">W232+Y232</f>
        <v>0</v>
      </c>
      <c r="V232" s="52">
        <f t="shared" ref="V232" si="328">U232/$X$5*100</f>
        <v>0</v>
      </c>
      <c r="W232" s="53"/>
      <c r="X232" s="52">
        <f t="shared" ref="X232" si="329">W232/$X$6*100</f>
        <v>0</v>
      </c>
      <c r="Y232" s="53"/>
      <c r="Z232" s="52">
        <f t="shared" si="303"/>
        <v>0</v>
      </c>
      <c r="AA232" s="3"/>
      <c r="AB232" s="62">
        <f t="shared" si="304"/>
        <v>0</v>
      </c>
      <c r="AC232" s="52">
        <f t="shared" si="305"/>
        <v>0</v>
      </c>
      <c r="AD232" s="3"/>
      <c r="AE232" s="3"/>
      <c r="AF232" s="9" t="str">
        <f t="shared" si="306"/>
        <v>S/R Sin respuesta</v>
      </c>
      <c r="AG232" s="72">
        <f t="shared" si="307"/>
        <v>0</v>
      </c>
      <c r="AH232" s="72">
        <f t="shared" si="308"/>
        <v>0</v>
      </c>
      <c r="AI232" s="73">
        <f t="shared" si="309"/>
        <v>0</v>
      </c>
      <c r="AJ232" s="73"/>
      <c r="AK232" s="76">
        <f t="shared" si="310"/>
        <v>0</v>
      </c>
      <c r="AL232" s="76">
        <f t="shared" si="311"/>
        <v>0</v>
      </c>
      <c r="AM232" s="76">
        <f t="shared" si="312"/>
        <v>0</v>
      </c>
      <c r="AN232" s="76"/>
      <c r="AO232" s="81">
        <f t="shared" si="313"/>
        <v>0</v>
      </c>
      <c r="AP232" s="81">
        <f t="shared" si="314"/>
        <v>0</v>
      </c>
      <c r="AQ232" s="81">
        <f t="shared" si="315"/>
        <v>0</v>
      </c>
      <c r="AR232" s="3"/>
      <c r="AS232" s="76">
        <f t="shared" si="291"/>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x14ac:dyDescent="0.3">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x14ac:dyDescent="0.3">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x14ac:dyDescent="0.3">
      <c r="A235" s="8" t="s">
        <v>17</v>
      </c>
      <c r="B235" s="9" t="s">
        <v>171</v>
      </c>
      <c r="C235" s="7"/>
      <c r="D235" s="7"/>
      <c r="E235" s="7"/>
      <c r="F235" s="71"/>
      <c r="G235" s="51">
        <f t="shared" ref="G235:G241" si="330">I235+K235</f>
        <v>5</v>
      </c>
      <c r="H235" s="52">
        <f t="shared" ref="H235:H241" si="331">G235/$J$5*100</f>
        <v>7.6923076923076925</v>
      </c>
      <c r="I235" s="53">
        <f>COUNTIFS('00 Encuesta'!$B$2:$B$511,"*c)*",'00 Encuesta'!$C$2:$C$511,"*a)*",'00 Encuesta'!$E$2:$E$511,"*a)*",'00 Encuesta'!$AE$2:$AE$511,"*a)*")</f>
        <v>2</v>
      </c>
      <c r="J235" s="52">
        <f t="shared" ref="J235:J241" si="332">I235/$J$6*100</f>
        <v>6.0606060606060606</v>
      </c>
      <c r="K235" s="53">
        <f>COUNTIFS('00 Encuesta'!$B$2:$B$511,"*c)*",'00 Encuesta'!$C$2:$C$511,"*a)*",'00 Encuesta'!$E$2:$E$511,"*b)*",'00 Encuesta'!$AE$2:$AE$511,"*a)*")</f>
        <v>3</v>
      </c>
      <c r="L235" s="52">
        <f t="shared" ref="L235:L240" si="333">K235/$J$7*100</f>
        <v>9.375</v>
      </c>
      <c r="M235" s="23"/>
      <c r="N235" s="51">
        <f t="shared" ref="N235:N240" si="334">P235+R235</f>
        <v>8</v>
      </c>
      <c r="O235" s="52">
        <f t="shared" ref="O235:O240" si="335">N235/$Q$5*100</f>
        <v>15.686274509803921</v>
      </c>
      <c r="P235" s="53">
        <f>COUNTIFS('00 Encuesta'!$B$2:$B$511,"*c)*",'00 Encuesta'!$C$2:$C$511,"*b)*",'00 Encuesta'!$E$2:$E$511,"*a)*",'00 Encuesta'!$AE$2:$AE$511,"*a)*")</f>
        <v>5</v>
      </c>
      <c r="Q235" s="52">
        <f t="shared" ref="Q235:Q240" si="336">P235/$Q$6*100</f>
        <v>17.857142857142858</v>
      </c>
      <c r="R235" s="53">
        <f>COUNTIFS('00 Encuesta'!$B$2:$B$511,"*c)*",'00 Encuesta'!$C$2:$C$511,"*b)*",'00 Encuesta'!$E$2:$E$511,"*b)*",'00 Encuesta'!$AE$2:$AE$511,"*a)*")</f>
        <v>3</v>
      </c>
      <c r="S235" s="52">
        <f t="shared" ref="S235:S240" si="337">R235/$Q$7*100</f>
        <v>13.043478260869565</v>
      </c>
      <c r="T235" s="3"/>
      <c r="U235" s="51">
        <f t="shared" ref="U235:U240" si="338">W235+Y235</f>
        <v>8</v>
      </c>
      <c r="V235" s="52">
        <f t="shared" ref="V235:V240" si="339">U235/$X$5*100</f>
        <v>16</v>
      </c>
      <c r="W235" s="53">
        <f>COUNTIFS('00 Encuesta'!$B$2:$B$511,"*c)*",'00 Encuesta'!$C$2:$C$511,"*d)*",'00 Encuesta'!$E$2:$E$511,"*a)*",'00 Encuesta'!$AE$2:$AE$511,"*a)*")</f>
        <v>5</v>
      </c>
      <c r="X235" s="52">
        <f t="shared" ref="X235:X240" si="340">W235/$X$6*100</f>
        <v>18.518518518518519</v>
      </c>
      <c r="Y235" s="53">
        <f>COUNTIFS('00 Encuesta'!$B$2:$B$511,"*c)*",'00 Encuesta'!$C$2:$C$511,"*d)*",'00 Encuesta'!$E$2:$E$511,"*b)*",'00 Encuesta'!$AE$2:$AE$511,"*a)*")</f>
        <v>3</v>
      </c>
      <c r="Z235" s="52">
        <f t="shared" ref="Z235:Z241" si="341">Y235/$X$7*100</f>
        <v>13.043478260869565</v>
      </c>
      <c r="AA235" s="3"/>
      <c r="AB235" s="62">
        <f t="shared" ref="AB235:AB241" si="342">G235+N235+U235</f>
        <v>21</v>
      </c>
      <c r="AC235" s="52">
        <f t="shared" ref="AC235:AC241" si="343">AB235*100/$AC$5</f>
        <v>12.650602409638553</v>
      </c>
      <c r="AD235" s="3"/>
      <c r="AE235" s="3"/>
      <c r="AF235" s="9" t="str">
        <f t="shared" ref="AF235:AF241" si="344">A235&amp;" "&amp;B235</f>
        <v>a) Ganar mucho dinero</v>
      </c>
      <c r="AG235" s="72">
        <f t="shared" ref="AG235:AG241" si="345">J235</f>
        <v>6.0606060606060606</v>
      </c>
      <c r="AH235" s="72">
        <f t="shared" ref="AH235:AH241" si="346">L235</f>
        <v>9.375</v>
      </c>
      <c r="AI235" s="73">
        <f t="shared" ref="AI235:AI241" si="347">H235</f>
        <v>7.6923076923076925</v>
      </c>
      <c r="AJ235" s="73"/>
      <c r="AK235" s="76">
        <f t="shared" ref="AK235:AK241" si="348">Q235</f>
        <v>17.857142857142858</v>
      </c>
      <c r="AL235" s="76">
        <f t="shared" ref="AL235:AL241" si="349">S235</f>
        <v>13.043478260869565</v>
      </c>
      <c r="AM235" s="76">
        <f t="shared" ref="AM235:AM241" si="350">O235</f>
        <v>15.686274509803921</v>
      </c>
      <c r="AN235" s="76"/>
      <c r="AO235" s="81">
        <f t="shared" ref="AO235:AO241" si="351">X235</f>
        <v>18.518518518518519</v>
      </c>
      <c r="AP235" s="81">
        <f t="shared" ref="AP235:AP241" si="352">Z235</f>
        <v>13.043478260869565</v>
      </c>
      <c r="AQ235" s="81">
        <f t="shared" ref="AQ235:AQ241" si="353">V235</f>
        <v>16</v>
      </c>
      <c r="AR235" s="3"/>
      <c r="AS235" s="76">
        <f t="shared" si="291"/>
        <v>12.650602409638553</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330"/>
        <v>8</v>
      </c>
      <c r="H236" s="52">
        <f t="shared" si="331"/>
        <v>12.307692307692308</v>
      </c>
      <c r="I236" s="53">
        <f>COUNTIFS('00 Encuesta'!$B$2:$B$511,"*c)*",'00 Encuesta'!$C$2:$C$511,"*a)*",'00 Encuesta'!$E$2:$E$511,"*a)*",'00 Encuesta'!$AE$2:$AE$511,"*b)*")</f>
        <v>6</v>
      </c>
      <c r="J236" s="52">
        <f t="shared" si="332"/>
        <v>18.181818181818183</v>
      </c>
      <c r="K236" s="53">
        <f>COUNTIFS('00 Encuesta'!$B$2:$B$511,"*c)*",'00 Encuesta'!$C$2:$C$511,"*a)*",'00 Encuesta'!$E$2:$E$511,"*b)*",'00 Encuesta'!$AE$2:$AE$511,"*b)*")</f>
        <v>2</v>
      </c>
      <c r="L236" s="52">
        <f t="shared" si="333"/>
        <v>6.25</v>
      </c>
      <c r="M236" s="23"/>
      <c r="N236" s="51">
        <f t="shared" si="334"/>
        <v>10</v>
      </c>
      <c r="O236" s="52">
        <f t="shared" si="335"/>
        <v>19.607843137254903</v>
      </c>
      <c r="P236" s="53">
        <f>COUNTIFS('00 Encuesta'!$B$2:$B$511,"*c)*",'00 Encuesta'!$C$2:$C$511,"*b)*",'00 Encuesta'!$E$2:$E$511,"*a)*",'00 Encuesta'!$AE$2:$AE$511,"*b)*")</f>
        <v>7</v>
      </c>
      <c r="Q236" s="52">
        <f t="shared" si="336"/>
        <v>25</v>
      </c>
      <c r="R236" s="53">
        <f>COUNTIFS('00 Encuesta'!$B$2:$B$511,"*c)*",'00 Encuesta'!$C$2:$C$511,"*b)*",'00 Encuesta'!$E$2:$E$511,"*b)*",'00 Encuesta'!$AE$2:$AE$511,"*b)*")</f>
        <v>3</v>
      </c>
      <c r="S236" s="52">
        <f t="shared" si="337"/>
        <v>13.043478260869565</v>
      </c>
      <c r="T236" s="3"/>
      <c r="U236" s="51">
        <f t="shared" si="338"/>
        <v>8</v>
      </c>
      <c r="V236" s="52">
        <f t="shared" si="339"/>
        <v>16</v>
      </c>
      <c r="W236" s="53">
        <f>COUNTIFS('00 Encuesta'!$B$2:$B$511,"*c)*",'00 Encuesta'!$C$2:$C$511,"*d)*",'00 Encuesta'!$E$2:$E$511,"*a)*",'00 Encuesta'!$AE$2:$AE$511,"*b)*")</f>
        <v>5</v>
      </c>
      <c r="X236" s="52">
        <f t="shared" si="340"/>
        <v>18.518518518518519</v>
      </c>
      <c r="Y236" s="53">
        <f>COUNTIFS('00 Encuesta'!$B$2:$B$511,"*c)*",'00 Encuesta'!$C$2:$C$511,"*d)*",'00 Encuesta'!$E$2:$E$511,"*b)*",'00 Encuesta'!$AE$2:$AE$511,"*b)*")</f>
        <v>3</v>
      </c>
      <c r="Z236" s="52">
        <f t="shared" si="341"/>
        <v>13.043478260869565</v>
      </c>
      <c r="AA236" s="3"/>
      <c r="AB236" s="62">
        <f t="shared" si="342"/>
        <v>26</v>
      </c>
      <c r="AC236" s="52">
        <f t="shared" si="343"/>
        <v>15.662650602409638</v>
      </c>
      <c r="AD236" s="3"/>
      <c r="AE236" s="3"/>
      <c r="AF236" s="9" t="str">
        <f t="shared" si="344"/>
        <v>b) Tener una buena posición social, ser importante</v>
      </c>
      <c r="AG236" s="72">
        <f t="shared" si="345"/>
        <v>18.181818181818183</v>
      </c>
      <c r="AH236" s="72">
        <f t="shared" si="346"/>
        <v>6.25</v>
      </c>
      <c r="AI236" s="73">
        <f t="shared" si="347"/>
        <v>12.307692307692308</v>
      </c>
      <c r="AJ236" s="73"/>
      <c r="AK236" s="76">
        <f t="shared" si="348"/>
        <v>25</v>
      </c>
      <c r="AL236" s="76">
        <f t="shared" si="349"/>
        <v>13.043478260869565</v>
      </c>
      <c r="AM236" s="76">
        <f t="shared" si="350"/>
        <v>19.607843137254903</v>
      </c>
      <c r="AN236" s="76"/>
      <c r="AO236" s="81">
        <f t="shared" si="351"/>
        <v>18.518518518518519</v>
      </c>
      <c r="AP236" s="81">
        <f t="shared" si="352"/>
        <v>13.043478260869565</v>
      </c>
      <c r="AQ236" s="81">
        <f t="shared" si="353"/>
        <v>16</v>
      </c>
      <c r="AR236" s="3"/>
      <c r="AS236" s="76">
        <f t="shared" si="291"/>
        <v>15.662650602409638</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x14ac:dyDescent="0.3">
      <c r="A237" s="8" t="s">
        <v>20</v>
      </c>
      <c r="B237" s="9" t="s">
        <v>173</v>
      </c>
      <c r="C237" s="7"/>
      <c r="D237" s="7"/>
      <c r="E237" s="7"/>
      <c r="F237" s="71"/>
      <c r="G237" s="51">
        <f t="shared" si="330"/>
        <v>34</v>
      </c>
      <c r="H237" s="52">
        <f t="shared" si="331"/>
        <v>52.307692307692314</v>
      </c>
      <c r="I237" s="53">
        <f>COUNTIFS('00 Encuesta'!$B$2:$B$511,"*c)*",'00 Encuesta'!$C$2:$C$511,"*a)*",'00 Encuesta'!$E$2:$E$511,"*a)*",'00 Encuesta'!$AE$2:$AE$511,"*c)*")</f>
        <v>21</v>
      </c>
      <c r="J237" s="52">
        <f t="shared" si="332"/>
        <v>63.636363636363633</v>
      </c>
      <c r="K237" s="53">
        <f>COUNTIFS('00 Encuesta'!$B$2:$B$511,"*c)*",'00 Encuesta'!$C$2:$C$511,"*a)*",'00 Encuesta'!$E$2:$E$511,"*b)*",'00 Encuesta'!$AE$2:$AE$511,"*c)*")</f>
        <v>13</v>
      </c>
      <c r="L237" s="52">
        <f t="shared" si="333"/>
        <v>40.625</v>
      </c>
      <c r="M237" s="23"/>
      <c r="N237" s="51">
        <f t="shared" si="334"/>
        <v>17</v>
      </c>
      <c r="O237" s="52">
        <f t="shared" si="335"/>
        <v>33.333333333333329</v>
      </c>
      <c r="P237" s="53">
        <f>COUNTIFS('00 Encuesta'!$B$2:$B$511,"*c)*",'00 Encuesta'!$C$2:$C$511,"*b)*",'00 Encuesta'!$E$2:$E$511,"*a)*",'00 Encuesta'!$AE$2:$AE$511,"*c)*")</f>
        <v>9</v>
      </c>
      <c r="Q237" s="52">
        <f t="shared" si="336"/>
        <v>32.142857142857146</v>
      </c>
      <c r="R237" s="53">
        <f>COUNTIFS('00 Encuesta'!$B$2:$B$511,"*c)*",'00 Encuesta'!$C$2:$C$511,"*b)*",'00 Encuesta'!$E$2:$E$511,"*b)*",'00 Encuesta'!$AE$2:$AE$511,"*c)*")</f>
        <v>8</v>
      </c>
      <c r="S237" s="52">
        <f t="shared" si="337"/>
        <v>34.782608695652172</v>
      </c>
      <c r="T237" s="3"/>
      <c r="U237" s="51">
        <f t="shared" si="338"/>
        <v>13</v>
      </c>
      <c r="V237" s="52">
        <f t="shared" si="339"/>
        <v>26</v>
      </c>
      <c r="W237" s="53">
        <f>COUNTIFS('00 Encuesta'!$B$2:$B$511,"*c)*",'00 Encuesta'!$C$2:$C$511,"*d)*",'00 Encuesta'!$E$2:$E$511,"*a)*",'00 Encuesta'!$AE$2:$AE$511,"*c)*")</f>
        <v>6</v>
      </c>
      <c r="X237" s="52">
        <f t="shared" si="340"/>
        <v>22.222222222222221</v>
      </c>
      <c r="Y237" s="53">
        <f>COUNTIFS('00 Encuesta'!$B$2:$B$511,"*c)*",'00 Encuesta'!$C$2:$C$511,"*d)*",'00 Encuesta'!$E$2:$E$511,"*b)*",'00 Encuesta'!$AE$2:$AE$511,"*c)*")</f>
        <v>7</v>
      </c>
      <c r="Z237" s="52">
        <f t="shared" si="341"/>
        <v>30.434782608695656</v>
      </c>
      <c r="AA237" s="3"/>
      <c r="AB237" s="62">
        <f t="shared" si="342"/>
        <v>64</v>
      </c>
      <c r="AC237" s="52">
        <f t="shared" si="343"/>
        <v>38.554216867469883</v>
      </c>
      <c r="AD237" s="3"/>
      <c r="AE237" s="3"/>
      <c r="AF237" s="9" t="str">
        <f t="shared" si="344"/>
        <v>c) Ser un excelente profesional</v>
      </c>
      <c r="AG237" s="72">
        <f t="shared" si="345"/>
        <v>63.636363636363633</v>
      </c>
      <c r="AH237" s="72">
        <f t="shared" si="346"/>
        <v>40.625</v>
      </c>
      <c r="AI237" s="73">
        <f t="shared" si="347"/>
        <v>52.307692307692314</v>
      </c>
      <c r="AJ237" s="73"/>
      <c r="AK237" s="76">
        <f t="shared" si="348"/>
        <v>32.142857142857146</v>
      </c>
      <c r="AL237" s="76">
        <f t="shared" si="349"/>
        <v>34.782608695652172</v>
      </c>
      <c r="AM237" s="76">
        <f t="shared" si="350"/>
        <v>33.333333333333329</v>
      </c>
      <c r="AN237" s="76"/>
      <c r="AO237" s="81">
        <f t="shared" si="351"/>
        <v>22.222222222222221</v>
      </c>
      <c r="AP237" s="81">
        <f t="shared" si="352"/>
        <v>30.434782608695656</v>
      </c>
      <c r="AQ237" s="81">
        <f t="shared" si="353"/>
        <v>26</v>
      </c>
      <c r="AR237" s="3"/>
      <c r="AS237" s="76">
        <f t="shared" si="291"/>
        <v>38.554216867469883</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x14ac:dyDescent="0.3">
      <c r="A238" s="8" t="s">
        <v>21</v>
      </c>
      <c r="B238" s="9" t="s">
        <v>174</v>
      </c>
      <c r="C238" s="7"/>
      <c r="D238" s="7"/>
      <c r="E238" s="7"/>
      <c r="F238" s="71"/>
      <c r="G238" s="51">
        <f t="shared" si="330"/>
        <v>3</v>
      </c>
      <c r="H238" s="52">
        <f t="shared" si="331"/>
        <v>4.6153846153846159</v>
      </c>
      <c r="I238" s="53">
        <f>COUNTIFS('00 Encuesta'!$B$2:$B$511,"*c)*",'00 Encuesta'!$C$2:$C$511,"*a)*",'00 Encuesta'!$E$2:$E$511,"*a)*",'00 Encuesta'!$AE$2:$AE$511,"*d)*")</f>
        <v>0</v>
      </c>
      <c r="J238" s="52">
        <f t="shared" si="332"/>
        <v>0</v>
      </c>
      <c r="K238" s="53">
        <f>COUNTIFS('00 Encuesta'!$B$2:$B$511,"*c)*",'00 Encuesta'!$C$2:$C$511,"*a)*",'00 Encuesta'!$E$2:$E$511,"*b)*",'00 Encuesta'!$AE$2:$AE$511,"*d)*")</f>
        <v>3</v>
      </c>
      <c r="L238" s="52">
        <f t="shared" si="333"/>
        <v>9.375</v>
      </c>
      <c r="M238" s="23"/>
      <c r="N238" s="51">
        <f t="shared" si="334"/>
        <v>10</v>
      </c>
      <c r="O238" s="52">
        <f t="shared" si="335"/>
        <v>19.607843137254903</v>
      </c>
      <c r="P238" s="53">
        <f>COUNTIFS('00 Encuesta'!$B$2:$B$511,"*c)*",'00 Encuesta'!$C$2:$C$511,"*b)*",'00 Encuesta'!$E$2:$E$511,"*a)*",'00 Encuesta'!$AE$2:$AE$511,"*d)*")</f>
        <v>3</v>
      </c>
      <c r="Q238" s="52">
        <f t="shared" si="336"/>
        <v>10.714285714285714</v>
      </c>
      <c r="R238" s="53">
        <f>COUNTIFS('00 Encuesta'!$B$2:$B$511,"*c)*",'00 Encuesta'!$C$2:$C$511,"*b)*",'00 Encuesta'!$E$2:$E$511,"*b)*",'00 Encuesta'!$AE$2:$AE$511,"*d)*")</f>
        <v>7</v>
      </c>
      <c r="S238" s="52">
        <f t="shared" si="337"/>
        <v>30.434782608695656</v>
      </c>
      <c r="T238" s="3"/>
      <c r="U238" s="51">
        <f t="shared" si="338"/>
        <v>12</v>
      </c>
      <c r="V238" s="52">
        <f t="shared" si="339"/>
        <v>24</v>
      </c>
      <c r="W238" s="53">
        <f>COUNTIFS('00 Encuesta'!$B$2:$B$511,"*c)*",'00 Encuesta'!$C$2:$C$511,"*d)*",'00 Encuesta'!$E$2:$E$511,"*a)*",'00 Encuesta'!$AE$2:$AE$511,"*d)*")</f>
        <v>7</v>
      </c>
      <c r="X238" s="52">
        <f t="shared" si="340"/>
        <v>25.925925925925924</v>
      </c>
      <c r="Y238" s="53">
        <f>COUNTIFS('00 Encuesta'!$B$2:$B$511,"*c)*",'00 Encuesta'!$C$2:$C$511,"*d)*",'00 Encuesta'!$E$2:$E$511,"*b)*",'00 Encuesta'!$AE$2:$AE$511,"*d)*")</f>
        <v>5</v>
      </c>
      <c r="Z238" s="52">
        <f t="shared" si="341"/>
        <v>21.739130434782609</v>
      </c>
      <c r="AA238" s="3"/>
      <c r="AB238" s="62">
        <f t="shared" si="342"/>
        <v>25</v>
      </c>
      <c r="AC238" s="52">
        <f t="shared" si="343"/>
        <v>15.060240963855422</v>
      </c>
      <c r="AD238" s="3"/>
      <c r="AE238" s="3"/>
      <c r="AF238" s="9" t="str">
        <f t="shared" si="344"/>
        <v>d) Desarrollarme personalmente</v>
      </c>
      <c r="AG238" s="72">
        <f t="shared" si="345"/>
        <v>0</v>
      </c>
      <c r="AH238" s="72">
        <f t="shared" si="346"/>
        <v>9.375</v>
      </c>
      <c r="AI238" s="73">
        <f t="shared" si="347"/>
        <v>4.6153846153846159</v>
      </c>
      <c r="AJ238" s="73"/>
      <c r="AK238" s="76">
        <f t="shared" si="348"/>
        <v>10.714285714285714</v>
      </c>
      <c r="AL238" s="76">
        <f t="shared" si="349"/>
        <v>30.434782608695656</v>
      </c>
      <c r="AM238" s="76">
        <f t="shared" si="350"/>
        <v>19.607843137254903</v>
      </c>
      <c r="AN238" s="76"/>
      <c r="AO238" s="81">
        <f t="shared" si="351"/>
        <v>25.925925925925924</v>
      </c>
      <c r="AP238" s="81">
        <f t="shared" si="352"/>
        <v>21.739130434782609</v>
      </c>
      <c r="AQ238" s="81">
        <f t="shared" si="353"/>
        <v>24</v>
      </c>
      <c r="AR238" s="3"/>
      <c r="AS238" s="76">
        <f t="shared" si="291"/>
        <v>15.060240963855422</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330"/>
        <v>11</v>
      </c>
      <c r="H239" s="52">
        <f t="shared" si="331"/>
        <v>16.923076923076923</v>
      </c>
      <c r="I239" s="53">
        <f>COUNTIFS('00 Encuesta'!$B$2:$B$511,"*c)*",'00 Encuesta'!$C$2:$C$511,"*a)*",'00 Encuesta'!$E$2:$E$511,"*a)*",'00 Encuesta'!$AE$2:$AE$511,"*e)*")</f>
        <v>2</v>
      </c>
      <c r="J239" s="52">
        <f t="shared" si="332"/>
        <v>6.0606060606060606</v>
      </c>
      <c r="K239" s="53">
        <f>COUNTIFS('00 Encuesta'!$B$2:$B$511,"*c)*",'00 Encuesta'!$C$2:$C$511,"*a)*",'00 Encuesta'!$E$2:$E$511,"*b)*",'00 Encuesta'!$AE$2:$AE$511,"*e)*")</f>
        <v>9</v>
      </c>
      <c r="L239" s="52">
        <f t="shared" si="333"/>
        <v>28.125</v>
      </c>
      <c r="M239" s="23"/>
      <c r="N239" s="51">
        <f t="shared" si="334"/>
        <v>3</v>
      </c>
      <c r="O239" s="52">
        <f t="shared" si="335"/>
        <v>5.8823529411764701</v>
      </c>
      <c r="P239" s="53">
        <f>COUNTIFS('00 Encuesta'!$B$2:$B$511,"*c)*",'00 Encuesta'!$C$2:$C$511,"*b)*",'00 Encuesta'!$E$2:$E$511,"*a)*",'00 Encuesta'!$AE$2:$AE$511,"*e)*")</f>
        <v>2</v>
      </c>
      <c r="Q239" s="52">
        <f t="shared" si="336"/>
        <v>7.1428571428571423</v>
      </c>
      <c r="R239" s="53">
        <f>COUNTIFS('00 Encuesta'!$B$2:$B$511,"*c)*",'00 Encuesta'!$C$2:$C$511,"*b)*",'00 Encuesta'!$E$2:$E$511,"*b)*",'00 Encuesta'!$AE$2:$AE$511,"*e)*")</f>
        <v>1</v>
      </c>
      <c r="S239" s="52">
        <f t="shared" si="337"/>
        <v>4.3478260869565215</v>
      </c>
      <c r="T239" s="3"/>
      <c r="U239" s="51">
        <f t="shared" si="338"/>
        <v>7</v>
      </c>
      <c r="V239" s="52">
        <f t="shared" si="339"/>
        <v>14.000000000000002</v>
      </c>
      <c r="W239" s="53">
        <f>COUNTIFS('00 Encuesta'!$B$2:$B$511,"*c)*",'00 Encuesta'!$C$2:$C$511,"*d)*",'00 Encuesta'!$E$2:$E$511,"*a)*",'00 Encuesta'!$AE$2:$AE$511,"*e)*")</f>
        <v>3</v>
      </c>
      <c r="X239" s="52">
        <f t="shared" si="340"/>
        <v>11.111111111111111</v>
      </c>
      <c r="Y239" s="53">
        <f>COUNTIFS('00 Encuesta'!$B$2:$B$511,"*c)*",'00 Encuesta'!$C$2:$C$511,"*d)*",'00 Encuesta'!$E$2:$E$511,"*b)*",'00 Encuesta'!$AE$2:$AE$511,"*e)*")</f>
        <v>4</v>
      </c>
      <c r="Z239" s="52">
        <f t="shared" si="341"/>
        <v>17.391304347826086</v>
      </c>
      <c r="AA239" s="3"/>
      <c r="AB239" s="62">
        <f t="shared" si="342"/>
        <v>21</v>
      </c>
      <c r="AC239" s="52">
        <f t="shared" si="343"/>
        <v>12.650602409638553</v>
      </c>
      <c r="AD239" s="3"/>
      <c r="AE239" s="3"/>
      <c r="AF239" s="9" t="str">
        <f t="shared" si="344"/>
        <v>e) Servir a los demás</v>
      </c>
      <c r="AG239" s="72">
        <f t="shared" si="345"/>
        <v>6.0606060606060606</v>
      </c>
      <c r="AH239" s="72">
        <f t="shared" si="346"/>
        <v>28.125</v>
      </c>
      <c r="AI239" s="73">
        <f t="shared" si="347"/>
        <v>16.923076923076923</v>
      </c>
      <c r="AJ239" s="73"/>
      <c r="AK239" s="76">
        <f t="shared" si="348"/>
        <v>7.1428571428571423</v>
      </c>
      <c r="AL239" s="76">
        <f t="shared" si="349"/>
        <v>4.3478260869565215</v>
      </c>
      <c r="AM239" s="76">
        <f t="shared" si="350"/>
        <v>5.8823529411764701</v>
      </c>
      <c r="AN239" s="76"/>
      <c r="AO239" s="81">
        <f t="shared" si="351"/>
        <v>11.111111111111111</v>
      </c>
      <c r="AP239" s="81">
        <f t="shared" si="352"/>
        <v>17.391304347826086</v>
      </c>
      <c r="AQ239" s="81">
        <f t="shared" si="353"/>
        <v>14.000000000000002</v>
      </c>
      <c r="AR239" s="3"/>
      <c r="AS239" s="76">
        <f t="shared" si="291"/>
        <v>12.650602409638553</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x14ac:dyDescent="0.3">
      <c r="A240" s="8" t="s">
        <v>45</v>
      </c>
      <c r="B240" s="9" t="s">
        <v>176</v>
      </c>
      <c r="C240" s="7"/>
      <c r="D240" s="7"/>
      <c r="E240" s="7"/>
      <c r="F240" s="71"/>
      <c r="G240" s="51">
        <f t="shared" si="330"/>
        <v>2</v>
      </c>
      <c r="H240" s="52">
        <f t="shared" si="331"/>
        <v>3.0769230769230771</v>
      </c>
      <c r="I240" s="53">
        <f>COUNTIFS('00 Encuesta'!$B$2:$B$511,"*c)*",'00 Encuesta'!$C$2:$C$511,"*a)*",'00 Encuesta'!$E$2:$E$511,"*a)*",'00 Encuesta'!$AE$2:$AE$511,"*f)*")</f>
        <v>1</v>
      </c>
      <c r="J240" s="52">
        <f t="shared" si="332"/>
        <v>3.0303030303030303</v>
      </c>
      <c r="K240" s="53">
        <f>COUNTIFS('00 Encuesta'!$B$2:$B$511,"*c)*",'00 Encuesta'!$C$2:$C$511,"*a)*",'00 Encuesta'!$E$2:$E$511,"*b)*",'00 Encuesta'!$AE$2:$AE$511,"*f)*")</f>
        <v>1</v>
      </c>
      <c r="L240" s="52">
        <f t="shared" si="333"/>
        <v>3.125</v>
      </c>
      <c r="M240" s="23"/>
      <c r="N240" s="51">
        <f t="shared" si="334"/>
        <v>1</v>
      </c>
      <c r="O240" s="52">
        <f t="shared" si="335"/>
        <v>1.9607843137254901</v>
      </c>
      <c r="P240" s="53">
        <f>COUNTIFS('00 Encuesta'!$B$2:$B$511,"*c)*",'00 Encuesta'!$C$2:$C$511,"*b)*",'00 Encuesta'!$E$2:$E$511,"*a)*",'00 Encuesta'!$AE$2:$AE$511,"*f)*")</f>
        <v>1</v>
      </c>
      <c r="Q240" s="52">
        <f t="shared" si="336"/>
        <v>3.5714285714285712</v>
      </c>
      <c r="R240" s="53">
        <f>COUNTIFS('00 Encuesta'!$B$2:$B$511,"*c)*",'00 Encuesta'!$C$2:$C$511,"*b)*",'00 Encuesta'!$E$2:$E$511,"*b)*",'00 Encuesta'!$AE$2:$AE$511,"*f)*")</f>
        <v>0</v>
      </c>
      <c r="S240" s="52">
        <f t="shared" si="337"/>
        <v>0</v>
      </c>
      <c r="T240" s="3"/>
      <c r="U240" s="51">
        <f t="shared" si="338"/>
        <v>1</v>
      </c>
      <c r="V240" s="52">
        <f t="shared" si="339"/>
        <v>2</v>
      </c>
      <c r="W240" s="53">
        <f>COUNTIFS('00 Encuesta'!$B$2:$B$511,"*c)*",'00 Encuesta'!$C$2:$C$511,"*d)*",'00 Encuesta'!$E$2:$E$511,"*a)*",'00 Encuesta'!$AE$2:$AE$511,"*f)*")</f>
        <v>0</v>
      </c>
      <c r="X240" s="52">
        <f t="shared" si="340"/>
        <v>0</v>
      </c>
      <c r="Y240" s="53">
        <f>COUNTIFS('00 Encuesta'!$B$2:$B$511,"*c)*",'00 Encuesta'!$C$2:$C$511,"*d)*",'00 Encuesta'!$E$2:$E$511,"*b)*",'00 Encuesta'!$AE$2:$AE$511,"*f)*")</f>
        <v>1</v>
      </c>
      <c r="Z240" s="52">
        <f t="shared" si="341"/>
        <v>4.3478260869565215</v>
      </c>
      <c r="AA240" s="3"/>
      <c r="AB240" s="62">
        <f t="shared" si="342"/>
        <v>4</v>
      </c>
      <c r="AC240" s="52">
        <f t="shared" si="343"/>
        <v>2.4096385542168677</v>
      </c>
      <c r="AD240" s="3"/>
      <c r="AE240" s="3"/>
      <c r="AF240" s="9" t="str">
        <f t="shared" si="344"/>
        <v>f) Ejecutar una tarea conforme a mi fe</v>
      </c>
      <c r="AG240" s="72">
        <f t="shared" si="345"/>
        <v>3.0303030303030303</v>
      </c>
      <c r="AH240" s="72">
        <f t="shared" si="346"/>
        <v>3.125</v>
      </c>
      <c r="AI240" s="73">
        <f t="shared" si="347"/>
        <v>3.0769230769230771</v>
      </c>
      <c r="AJ240" s="73"/>
      <c r="AK240" s="76">
        <f t="shared" si="348"/>
        <v>3.5714285714285712</v>
      </c>
      <c r="AL240" s="76">
        <f t="shared" si="349"/>
        <v>0</v>
      </c>
      <c r="AM240" s="76">
        <f t="shared" si="350"/>
        <v>1.9607843137254901</v>
      </c>
      <c r="AN240" s="76"/>
      <c r="AO240" s="81">
        <f t="shared" si="351"/>
        <v>0</v>
      </c>
      <c r="AP240" s="81">
        <f t="shared" si="352"/>
        <v>4.3478260869565215</v>
      </c>
      <c r="AQ240" s="81">
        <f t="shared" si="353"/>
        <v>2</v>
      </c>
      <c r="AR240" s="3"/>
      <c r="AS240" s="76">
        <f t="shared" si="291"/>
        <v>2.4096385542168677</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x14ac:dyDescent="0.3">
      <c r="A241" s="8" t="s">
        <v>23</v>
      </c>
      <c r="B241" s="9" t="s">
        <v>24</v>
      </c>
      <c r="C241" s="7"/>
      <c r="D241" s="7"/>
      <c r="E241" s="7"/>
      <c r="F241" s="71"/>
      <c r="G241" s="51">
        <f t="shared" si="330"/>
        <v>0</v>
      </c>
      <c r="H241" s="52">
        <f t="shared" si="331"/>
        <v>0</v>
      </c>
      <c r="I241" s="53"/>
      <c r="J241" s="52">
        <f t="shared" si="332"/>
        <v>0</v>
      </c>
      <c r="K241" s="53"/>
      <c r="L241" s="52">
        <f t="shared" ref="L241" si="354">K241/$J$7*100</f>
        <v>0</v>
      </c>
      <c r="M241" s="23"/>
      <c r="N241" s="51">
        <f t="shared" ref="N241" si="355">P241+R241</f>
        <v>0</v>
      </c>
      <c r="O241" s="52">
        <f t="shared" ref="O241" si="356">N241/$Q$5*100</f>
        <v>0</v>
      </c>
      <c r="P241" s="53"/>
      <c r="Q241" s="52">
        <f t="shared" ref="Q241" si="357">P241/$Q$6*100</f>
        <v>0</v>
      </c>
      <c r="R241" s="53"/>
      <c r="S241" s="52">
        <f t="shared" ref="S241" si="358">R241/$Q$7*100</f>
        <v>0</v>
      </c>
      <c r="T241" s="3"/>
      <c r="U241" s="51">
        <f t="shared" ref="U241" si="359">W241+Y241</f>
        <v>0</v>
      </c>
      <c r="V241" s="52">
        <f t="shared" ref="V241" si="360">U241/$X$5*100</f>
        <v>0</v>
      </c>
      <c r="W241" s="53"/>
      <c r="X241" s="52">
        <f t="shared" ref="X241" si="361">W241/$X$6*100</f>
        <v>0</v>
      </c>
      <c r="Y241" s="53"/>
      <c r="Z241" s="52">
        <f t="shared" si="341"/>
        <v>0</v>
      </c>
      <c r="AA241" s="3"/>
      <c r="AB241" s="62">
        <f t="shared" si="342"/>
        <v>0</v>
      </c>
      <c r="AC241" s="52">
        <f t="shared" si="343"/>
        <v>0</v>
      </c>
      <c r="AD241" s="3"/>
      <c r="AE241" s="3"/>
      <c r="AF241" s="9" t="str">
        <f t="shared" si="344"/>
        <v>S/R Sin Respuesta</v>
      </c>
      <c r="AG241" s="72">
        <f t="shared" si="345"/>
        <v>0</v>
      </c>
      <c r="AH241" s="72">
        <f t="shared" si="346"/>
        <v>0</v>
      </c>
      <c r="AI241" s="73">
        <f t="shared" si="347"/>
        <v>0</v>
      </c>
      <c r="AJ241" s="73"/>
      <c r="AK241" s="76">
        <f t="shared" si="348"/>
        <v>0</v>
      </c>
      <c r="AL241" s="76">
        <f t="shared" si="349"/>
        <v>0</v>
      </c>
      <c r="AM241" s="76">
        <f t="shared" si="350"/>
        <v>0</v>
      </c>
      <c r="AN241" s="76"/>
      <c r="AO241" s="81">
        <f t="shared" si="351"/>
        <v>0</v>
      </c>
      <c r="AP241" s="81">
        <f t="shared" si="352"/>
        <v>0</v>
      </c>
      <c r="AQ241" s="81">
        <f t="shared" si="353"/>
        <v>0</v>
      </c>
      <c r="AR241" s="3"/>
      <c r="AS241" s="76">
        <f t="shared" si="291"/>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x14ac:dyDescent="0.3">
      <c r="A244" s="8" t="s">
        <v>17</v>
      </c>
      <c r="B244" s="9" t="s">
        <v>178</v>
      </c>
      <c r="C244" s="7"/>
      <c r="D244" s="7"/>
      <c r="E244" s="7"/>
      <c r="F244" s="71">
        <v>0</v>
      </c>
      <c r="G244" s="51">
        <f t="shared" ref="G244:G249" si="362">I244+K244</f>
        <v>3</v>
      </c>
      <c r="H244" s="52">
        <f t="shared" ref="H244:H249" si="363">G244/$J$5*100</f>
        <v>4.6153846153846159</v>
      </c>
      <c r="I244" s="53">
        <f>COUNTIFS('00 Encuesta'!$B$2:$B$511,"*c)*",'00 Encuesta'!$C$2:$C$511,"*a)*",'00 Encuesta'!$E$2:$E$511,"*a)*",'00 Encuesta'!$AF$2:$AF$511,"*a)*")</f>
        <v>3</v>
      </c>
      <c r="J244" s="52">
        <f t="shared" ref="J244:J249" si="364">I244/$J$6*100</f>
        <v>9.0909090909090917</v>
      </c>
      <c r="K244" s="53">
        <f>COUNTIFS('00 Encuesta'!$B$2:$B$511,"*c)*",'00 Encuesta'!$C$2:$C$511,"*a)*",'00 Encuesta'!$E$2:$E$511,"*b)*",'00 Encuesta'!$AF$2:$AF$511,"*a)*")</f>
        <v>0</v>
      </c>
      <c r="L244" s="52">
        <f>K244/$J$7*100</f>
        <v>0</v>
      </c>
      <c r="M244" s="23"/>
      <c r="N244" s="51">
        <f>P244+R244</f>
        <v>1</v>
      </c>
      <c r="O244" s="52">
        <f>N244/$Q$5*100</f>
        <v>1.9607843137254901</v>
      </c>
      <c r="P244" s="53">
        <f>COUNTIFS('00 Encuesta'!$B$2:$B$511,"*c)*",'00 Encuesta'!$C$2:$C$511,"*b)*",'00 Encuesta'!$E$2:$E$511,"*a)*",'00 Encuesta'!$AF$2:$AF$511,"*a)*")</f>
        <v>0</v>
      </c>
      <c r="Q244" s="52">
        <f>P244/$Q$6*100</f>
        <v>0</v>
      </c>
      <c r="R244" s="53">
        <f>COUNTIFS('00 Encuesta'!$B$2:$B$511,"*c)*",'00 Encuesta'!$C$2:$C$511,"*b)*",'00 Encuesta'!$E$2:$E$511,"*b)*",'00 Encuesta'!$AF$2:$AF$511,"*a)*")</f>
        <v>1</v>
      </c>
      <c r="S244" s="52">
        <f>R244/$Q$7*100</f>
        <v>4.3478260869565215</v>
      </c>
      <c r="T244" s="3"/>
      <c r="U244" s="51">
        <f>W244+Y244</f>
        <v>4</v>
      </c>
      <c r="V244" s="52">
        <f>U244/$X$5*100</f>
        <v>8</v>
      </c>
      <c r="W244" s="53">
        <f>COUNTIFS('00 Encuesta'!$B$2:$B$511,"*c)*",'00 Encuesta'!$C$2:$C$511,"*d)*",'00 Encuesta'!$E$2:$E$511,"*a)*",'00 Encuesta'!$AF$2:$AF$511,"*a)*")</f>
        <v>3</v>
      </c>
      <c r="X244" s="52">
        <f>W244/$X$6*100</f>
        <v>11.111111111111111</v>
      </c>
      <c r="Y244" s="53">
        <f>COUNTIFS('00 Encuesta'!$B$2:$B$511,"*c)*",'00 Encuesta'!$C$2:$C$511,"*d)*",'00 Encuesta'!$E$2:$E$511,"*b)*",'00 Encuesta'!$AF$2:$AF$511,"*a)*")</f>
        <v>1</v>
      </c>
      <c r="Z244" s="52">
        <f t="shared" ref="Z244:Z249" si="365">Y244/$X$7*100</f>
        <v>4.3478260869565215</v>
      </c>
      <c r="AA244" s="3"/>
      <c r="AB244" s="62">
        <f t="shared" ref="AB244:AB249" si="366">G244+N244+U244</f>
        <v>8</v>
      </c>
      <c r="AC244" s="52">
        <f t="shared" ref="AC244:AC249" si="367">AB244*100/$AC$5</f>
        <v>4.8192771084337354</v>
      </c>
      <c r="AD244" s="3"/>
      <c r="AE244" s="3"/>
      <c r="AF244" s="9" t="str">
        <f t="shared" ref="AF244:AF249" si="368">A244&amp;" "&amp;B244</f>
        <v>a) No, en absoluto</v>
      </c>
      <c r="AG244" s="72">
        <f t="shared" ref="AG244:AG249" si="369">J244</f>
        <v>9.0909090909090917</v>
      </c>
      <c r="AH244" s="72">
        <f t="shared" ref="AH244:AH249" si="370">L244</f>
        <v>0</v>
      </c>
      <c r="AI244" s="73">
        <f t="shared" ref="AI244:AI249" si="371">H244</f>
        <v>4.6153846153846159</v>
      </c>
      <c r="AJ244" s="73"/>
      <c r="AK244" s="76">
        <f t="shared" ref="AK244:AK249" si="372">Q244</f>
        <v>0</v>
      </c>
      <c r="AL244" s="76">
        <f t="shared" ref="AL244:AL249" si="373">S244</f>
        <v>4.3478260869565215</v>
      </c>
      <c r="AM244" s="76">
        <f t="shared" ref="AM244:AM249" si="374">O244</f>
        <v>1.9607843137254901</v>
      </c>
      <c r="AN244" s="76"/>
      <c r="AO244" s="81">
        <f t="shared" ref="AO244:AO249" si="375">X244</f>
        <v>11.111111111111111</v>
      </c>
      <c r="AP244" s="81">
        <f t="shared" ref="AP244:AP249" si="376">Z244</f>
        <v>4.3478260869565215</v>
      </c>
      <c r="AQ244" s="81">
        <f t="shared" ref="AQ244:AQ249" si="377">V244</f>
        <v>8</v>
      </c>
      <c r="AR244" s="3"/>
      <c r="AS244" s="76">
        <f t="shared" si="291"/>
        <v>4.8192771084337354</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x14ac:dyDescent="0.3">
      <c r="A245" s="8" t="s">
        <v>18</v>
      </c>
      <c r="B245" s="9" t="s">
        <v>104</v>
      </c>
      <c r="C245" s="7"/>
      <c r="D245" s="7"/>
      <c r="E245" s="7"/>
      <c r="F245" s="71">
        <v>33.33</v>
      </c>
      <c r="G245" s="51">
        <f t="shared" si="362"/>
        <v>16</v>
      </c>
      <c r="H245" s="52">
        <f t="shared" si="363"/>
        <v>24.615384615384617</v>
      </c>
      <c r="I245" s="53">
        <f>COUNTIFS('00 Encuesta'!$B$2:$B$511,"*c)*",'00 Encuesta'!$C$2:$C$511,"*a)*",'00 Encuesta'!$E$2:$E$511,"*a)*",'00 Encuesta'!$AF$2:$AF$511,"*b)*")</f>
        <v>8</v>
      </c>
      <c r="J245" s="52">
        <f t="shared" si="364"/>
        <v>24.242424242424242</v>
      </c>
      <c r="K245" s="53">
        <f>COUNTIFS('00 Encuesta'!$B$2:$B$511,"*c)*",'00 Encuesta'!$C$2:$C$511,"*a)*",'00 Encuesta'!$E$2:$E$511,"*b)*",'00 Encuesta'!$AF$2:$AF$511,"*b)*")</f>
        <v>8</v>
      </c>
      <c r="L245" s="52">
        <f>K245/$J$7*100</f>
        <v>25</v>
      </c>
      <c r="M245" s="23"/>
      <c r="N245" s="51">
        <f>P245+R245</f>
        <v>16</v>
      </c>
      <c r="O245" s="52">
        <f>N245/$Q$5*100</f>
        <v>31.372549019607842</v>
      </c>
      <c r="P245" s="53">
        <f>COUNTIFS('00 Encuesta'!$B$2:$B$511,"*c)*",'00 Encuesta'!$C$2:$C$511,"*b)*",'00 Encuesta'!$E$2:$E$511,"*a)*",'00 Encuesta'!$AF$2:$AF$511,"*b)*")</f>
        <v>11</v>
      </c>
      <c r="Q245" s="52">
        <f>P245/$Q$6*100</f>
        <v>39.285714285714285</v>
      </c>
      <c r="R245" s="53">
        <f>COUNTIFS('00 Encuesta'!$B$2:$B$511,"*c)*",'00 Encuesta'!$C$2:$C$511,"*b)*",'00 Encuesta'!$E$2:$E$511,"*b)*",'00 Encuesta'!$AF$2:$AF$511,"*b)*")</f>
        <v>5</v>
      </c>
      <c r="S245" s="52">
        <f>R245/$Q$7*100</f>
        <v>21.739130434782609</v>
      </c>
      <c r="T245" s="3"/>
      <c r="U245" s="51">
        <f>W245+Y245</f>
        <v>13</v>
      </c>
      <c r="V245" s="52">
        <f>U245/$X$5*100</f>
        <v>26</v>
      </c>
      <c r="W245" s="53">
        <f>COUNTIFS('00 Encuesta'!$B$2:$B$511,"*c)*",'00 Encuesta'!$C$2:$C$511,"*d)*",'00 Encuesta'!$E$2:$E$511,"*a)*",'00 Encuesta'!$AF$2:$AF$511,"*b)*")</f>
        <v>8</v>
      </c>
      <c r="X245" s="52">
        <f>W245/$X$6*100</f>
        <v>29.629629629629626</v>
      </c>
      <c r="Y245" s="53">
        <f>COUNTIFS('00 Encuesta'!$B$2:$B$511,"*c)*",'00 Encuesta'!$C$2:$C$511,"*d)*",'00 Encuesta'!$E$2:$E$511,"*b)*",'00 Encuesta'!$AF$2:$AF$511,"*b)*")</f>
        <v>5</v>
      </c>
      <c r="Z245" s="52">
        <f t="shared" si="365"/>
        <v>21.739130434782609</v>
      </c>
      <c r="AA245" s="3"/>
      <c r="AB245" s="62">
        <f t="shared" si="366"/>
        <v>45</v>
      </c>
      <c r="AC245" s="52">
        <f t="shared" si="367"/>
        <v>27.108433734939759</v>
      </c>
      <c r="AD245" s="3"/>
      <c r="AE245" s="3"/>
      <c r="AF245" s="9" t="str">
        <f t="shared" si="368"/>
        <v>b) Poco</v>
      </c>
      <c r="AG245" s="72">
        <f t="shared" si="369"/>
        <v>24.242424242424242</v>
      </c>
      <c r="AH245" s="72">
        <f t="shared" si="370"/>
        <v>25</v>
      </c>
      <c r="AI245" s="73">
        <f t="shared" si="371"/>
        <v>24.615384615384617</v>
      </c>
      <c r="AJ245" s="73"/>
      <c r="AK245" s="76">
        <f t="shared" si="372"/>
        <v>39.285714285714285</v>
      </c>
      <c r="AL245" s="76">
        <f t="shared" si="373"/>
        <v>21.739130434782609</v>
      </c>
      <c r="AM245" s="76">
        <f t="shared" si="374"/>
        <v>31.372549019607842</v>
      </c>
      <c r="AN245" s="76"/>
      <c r="AO245" s="81">
        <f t="shared" si="375"/>
        <v>29.629629629629626</v>
      </c>
      <c r="AP245" s="81">
        <f t="shared" si="376"/>
        <v>21.739130434782609</v>
      </c>
      <c r="AQ245" s="81">
        <f t="shared" si="377"/>
        <v>26</v>
      </c>
      <c r="AR245" s="3"/>
      <c r="AS245" s="76">
        <f t="shared" si="291"/>
        <v>27.108433734939759</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x14ac:dyDescent="0.3">
      <c r="A246" s="8" t="s">
        <v>20</v>
      </c>
      <c r="B246" s="9" t="s">
        <v>179</v>
      </c>
      <c r="C246" s="7"/>
      <c r="D246" s="7"/>
      <c r="E246" s="7"/>
      <c r="F246" s="71">
        <v>66.66</v>
      </c>
      <c r="G246" s="51">
        <f t="shared" si="362"/>
        <v>23</v>
      </c>
      <c r="H246" s="52">
        <f t="shared" si="363"/>
        <v>35.384615384615387</v>
      </c>
      <c r="I246" s="53">
        <f>COUNTIFS('00 Encuesta'!$B$2:$B$511,"*c)*",'00 Encuesta'!$C$2:$C$511,"*a)*",'00 Encuesta'!$E$2:$E$511,"*a)*",'00 Encuesta'!$AF$2:$AF$511,"*c)*")</f>
        <v>8</v>
      </c>
      <c r="J246" s="52">
        <f t="shared" si="364"/>
        <v>24.242424242424242</v>
      </c>
      <c r="K246" s="53">
        <f>COUNTIFS('00 Encuesta'!$B$2:$B$511,"*c)*",'00 Encuesta'!$C$2:$C$511,"*a)*",'00 Encuesta'!$E$2:$E$511,"*b)*",'00 Encuesta'!$AF$2:$AF$511,"*c)*")</f>
        <v>15</v>
      </c>
      <c r="L246" s="52">
        <f>K246/$J$7*100</f>
        <v>46.875</v>
      </c>
      <c r="M246" s="23"/>
      <c r="N246" s="51">
        <f>P246+R246</f>
        <v>11</v>
      </c>
      <c r="O246" s="52">
        <f>N246/$Q$5*100</f>
        <v>21.568627450980394</v>
      </c>
      <c r="P246" s="53">
        <f>COUNTIFS('00 Encuesta'!$B$2:$B$511,"*c)*",'00 Encuesta'!$C$2:$C$511,"*b)*",'00 Encuesta'!$E$2:$E$511,"*a)*",'00 Encuesta'!$AF$2:$AF$511,"*c)*")</f>
        <v>6</v>
      </c>
      <c r="Q246" s="52">
        <f>P246/$Q$6*100</f>
        <v>21.428571428571427</v>
      </c>
      <c r="R246" s="53">
        <f>COUNTIFS('00 Encuesta'!$B$2:$B$511,"*c)*",'00 Encuesta'!$C$2:$C$511,"*b)*",'00 Encuesta'!$E$2:$E$511,"*b)*",'00 Encuesta'!$AF$2:$AF$511,"*c)*")</f>
        <v>5</v>
      </c>
      <c r="S246" s="52">
        <f>R246/$Q$7*100</f>
        <v>21.739130434782609</v>
      </c>
      <c r="T246" s="3"/>
      <c r="U246" s="51">
        <f>W246+Y246</f>
        <v>23</v>
      </c>
      <c r="V246" s="52">
        <f>U246/$X$5*100</f>
        <v>46</v>
      </c>
      <c r="W246" s="53">
        <f>COUNTIFS('00 Encuesta'!$B$2:$B$511,"*c)*",'00 Encuesta'!$C$2:$C$511,"*d)*",'00 Encuesta'!$E$2:$E$511,"*a)*",'00 Encuesta'!$AF$2:$AF$511,"*c)*")</f>
        <v>12</v>
      </c>
      <c r="X246" s="52">
        <f>W246/$X$6*100</f>
        <v>44.444444444444443</v>
      </c>
      <c r="Y246" s="53">
        <f>COUNTIFS('00 Encuesta'!$B$2:$B$511,"*c)*",'00 Encuesta'!$C$2:$C$511,"*d)*",'00 Encuesta'!$E$2:$E$511,"*b)*",'00 Encuesta'!$AF$2:$AF$511,"*c)*")</f>
        <v>11</v>
      </c>
      <c r="Z246" s="52">
        <f t="shared" si="365"/>
        <v>47.826086956521742</v>
      </c>
      <c r="AA246" s="3"/>
      <c r="AB246" s="62">
        <f t="shared" si="366"/>
        <v>57</v>
      </c>
      <c r="AC246" s="52">
        <f t="shared" si="367"/>
        <v>34.337349397590359</v>
      </c>
      <c r="AD246" s="3"/>
      <c r="AE246" s="3"/>
      <c r="AF246" s="9" t="str">
        <f t="shared" si="368"/>
        <v>c) Bastante</v>
      </c>
      <c r="AG246" s="72">
        <f t="shared" si="369"/>
        <v>24.242424242424242</v>
      </c>
      <c r="AH246" s="72">
        <f t="shared" si="370"/>
        <v>46.875</v>
      </c>
      <c r="AI246" s="73">
        <f t="shared" si="371"/>
        <v>35.384615384615387</v>
      </c>
      <c r="AJ246" s="73"/>
      <c r="AK246" s="76">
        <f t="shared" si="372"/>
        <v>21.428571428571427</v>
      </c>
      <c r="AL246" s="76">
        <f t="shared" si="373"/>
        <v>21.739130434782609</v>
      </c>
      <c r="AM246" s="76">
        <f t="shared" si="374"/>
        <v>21.568627450980394</v>
      </c>
      <c r="AN246" s="76"/>
      <c r="AO246" s="81">
        <f t="shared" si="375"/>
        <v>44.444444444444443</v>
      </c>
      <c r="AP246" s="81">
        <f t="shared" si="376"/>
        <v>47.826086956521742</v>
      </c>
      <c r="AQ246" s="81">
        <f t="shared" si="377"/>
        <v>46</v>
      </c>
      <c r="AR246" s="3"/>
      <c r="AS246" s="76">
        <f t="shared" si="291"/>
        <v>34.337349397590359</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362"/>
        <v>14</v>
      </c>
      <c r="H247" s="52">
        <f t="shared" si="363"/>
        <v>21.53846153846154</v>
      </c>
      <c r="I247" s="53">
        <f>COUNTIFS('00 Encuesta'!$B$2:$B$511,"*c)*",'00 Encuesta'!$C$2:$C$511,"*a)*",'00 Encuesta'!$E$2:$E$511,"*a)*",'00 Encuesta'!$AF$2:$AF$511,"*d)*")</f>
        <v>10</v>
      </c>
      <c r="J247" s="52">
        <f t="shared" si="364"/>
        <v>30.303030303030305</v>
      </c>
      <c r="K247" s="53">
        <f>COUNTIFS('00 Encuesta'!$B$2:$B$511,"*c)*",'00 Encuesta'!$C$2:$C$511,"*a)*",'00 Encuesta'!$E$2:$E$511,"*b)*",'00 Encuesta'!$AF$2:$AF$511,"*d)*")</f>
        <v>4</v>
      </c>
      <c r="L247" s="52">
        <f>K247/$J$7*100</f>
        <v>12.5</v>
      </c>
      <c r="M247" s="23"/>
      <c r="N247" s="51">
        <f>P247+R247</f>
        <v>10</v>
      </c>
      <c r="O247" s="52">
        <f>N247/$Q$5*100</f>
        <v>19.607843137254903</v>
      </c>
      <c r="P247" s="53">
        <f>COUNTIFS('00 Encuesta'!$B$2:$B$511,"*c)*",'00 Encuesta'!$C$2:$C$511,"*b)*",'00 Encuesta'!$E$2:$E$511,"*a)*",'00 Encuesta'!$AF$2:$AF$511,"*d)*")</f>
        <v>6</v>
      </c>
      <c r="Q247" s="52">
        <f>P247/$Q$6*100</f>
        <v>21.428571428571427</v>
      </c>
      <c r="R247" s="53">
        <f>COUNTIFS('00 Encuesta'!$B$2:$B$511,"*c)*",'00 Encuesta'!$C$2:$C$511,"*b)*",'00 Encuesta'!$E$2:$E$511,"*b)*",'00 Encuesta'!$AF$2:$AF$511,"*d)*")</f>
        <v>4</v>
      </c>
      <c r="S247" s="52">
        <f>R247/$Q$7*100</f>
        <v>17.391304347826086</v>
      </c>
      <c r="T247" s="3"/>
      <c r="U247" s="51">
        <f>W247+Y247</f>
        <v>8</v>
      </c>
      <c r="V247" s="52">
        <f>U247/$X$5*100</f>
        <v>16</v>
      </c>
      <c r="W247" s="53">
        <f>COUNTIFS('00 Encuesta'!$B$2:$B$511,"*c)*",'00 Encuesta'!$C$2:$C$511,"*d)*",'00 Encuesta'!$E$2:$E$511,"*a)*",'00 Encuesta'!$AF$2:$AF$511,"*d)*")</f>
        <v>3</v>
      </c>
      <c r="X247" s="52">
        <f>W247/$X$6*100</f>
        <v>11.111111111111111</v>
      </c>
      <c r="Y247" s="53">
        <f>COUNTIFS('00 Encuesta'!$B$2:$B$511,"*c)*",'00 Encuesta'!$C$2:$C$511,"*d)*",'00 Encuesta'!$E$2:$E$511,"*b)*",'00 Encuesta'!$AF$2:$AF$511,"*d)*")</f>
        <v>5</v>
      </c>
      <c r="Z247" s="52">
        <f t="shared" si="365"/>
        <v>21.739130434782609</v>
      </c>
      <c r="AA247" s="3"/>
      <c r="AB247" s="62">
        <f t="shared" si="366"/>
        <v>32</v>
      </c>
      <c r="AC247" s="52">
        <f t="shared" si="367"/>
        <v>19.277108433734941</v>
      </c>
      <c r="AD247" s="3"/>
      <c r="AE247" s="3"/>
      <c r="AF247" s="9" t="str">
        <f t="shared" si="368"/>
        <v>d) Mucho o muchísimo</v>
      </c>
      <c r="AG247" s="72">
        <f t="shared" si="369"/>
        <v>30.303030303030305</v>
      </c>
      <c r="AH247" s="72">
        <f t="shared" si="370"/>
        <v>12.5</v>
      </c>
      <c r="AI247" s="73">
        <f t="shared" si="371"/>
        <v>21.53846153846154</v>
      </c>
      <c r="AJ247" s="73"/>
      <c r="AK247" s="76">
        <f t="shared" si="372"/>
        <v>21.428571428571427</v>
      </c>
      <c r="AL247" s="76">
        <f t="shared" si="373"/>
        <v>17.391304347826086</v>
      </c>
      <c r="AM247" s="76">
        <f t="shared" si="374"/>
        <v>19.607843137254903</v>
      </c>
      <c r="AN247" s="76"/>
      <c r="AO247" s="81">
        <f t="shared" si="375"/>
        <v>11.111111111111111</v>
      </c>
      <c r="AP247" s="81">
        <f t="shared" si="376"/>
        <v>21.739130434782609</v>
      </c>
      <c r="AQ247" s="81">
        <f t="shared" si="377"/>
        <v>16</v>
      </c>
      <c r="AR247" s="3"/>
      <c r="AS247" s="76">
        <f t="shared" si="291"/>
        <v>19.277108433734941</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362"/>
        <v>7</v>
      </c>
      <c r="H248" s="52">
        <f t="shared" si="363"/>
        <v>10.76923076923077</v>
      </c>
      <c r="I248" s="53">
        <f>COUNTIFS('00 Encuesta'!$B$2:$B$511,"*c)*",'00 Encuesta'!$C$2:$C$511,"*a)*",'00 Encuesta'!$E$2:$E$511,"*a)*",'00 Encuesta'!$AF$2:$AF$511,"*e)*")</f>
        <v>3</v>
      </c>
      <c r="J248" s="52">
        <f t="shared" si="364"/>
        <v>9.0909090909090917</v>
      </c>
      <c r="K248" s="53">
        <f>COUNTIFS('00 Encuesta'!$B$2:$B$511,"*c)*",'00 Encuesta'!$C$2:$C$511,"*a)*",'00 Encuesta'!$E$2:$E$511,"*b)*",'00 Encuesta'!$AF$2:$AF$511,"*e)*")</f>
        <v>4</v>
      </c>
      <c r="L248" s="52">
        <f>K248/$J$7*100</f>
        <v>12.5</v>
      </c>
      <c r="M248" s="23"/>
      <c r="N248" s="51">
        <f>P248+R248</f>
        <v>13</v>
      </c>
      <c r="O248" s="52">
        <f>N248/$Q$5*100</f>
        <v>25.490196078431371</v>
      </c>
      <c r="P248" s="53">
        <f>COUNTIFS('00 Encuesta'!$B$2:$B$511,"*c)*",'00 Encuesta'!$C$2:$C$511,"*b)*",'00 Encuesta'!$E$2:$E$511,"*a)*",'00 Encuesta'!$AF$2:$AF$511,"*e)*")</f>
        <v>5</v>
      </c>
      <c r="Q248" s="52">
        <f>P248/$Q$6*100</f>
        <v>17.857142857142858</v>
      </c>
      <c r="R248" s="53">
        <f>COUNTIFS('00 Encuesta'!$B$2:$B$511,"*c)*",'00 Encuesta'!$C$2:$C$511,"*b)*",'00 Encuesta'!$E$2:$E$511,"*b)*",'00 Encuesta'!$AF$2:$AF$511,"*e)*")</f>
        <v>8</v>
      </c>
      <c r="S248" s="52">
        <f>R248/$Q$7*100</f>
        <v>34.782608695652172</v>
      </c>
      <c r="T248" s="3"/>
      <c r="U248" s="51">
        <f>W248+Y248</f>
        <v>2</v>
      </c>
      <c r="V248" s="52">
        <f>U248/$X$5*100</f>
        <v>4</v>
      </c>
      <c r="W248" s="53">
        <f>COUNTIFS('00 Encuesta'!$B$2:$B$511,"*c)*",'00 Encuesta'!$C$2:$C$511,"*d)*",'00 Encuesta'!$E$2:$E$511,"*a)*",'00 Encuesta'!$AF$2:$AF$511,"*e)*")</f>
        <v>1</v>
      </c>
      <c r="X248" s="52">
        <f>W248/$X$6*100</f>
        <v>3.7037037037037033</v>
      </c>
      <c r="Y248" s="53">
        <f>COUNTIFS('00 Encuesta'!$B$2:$B$511,"*c)*",'00 Encuesta'!$C$2:$C$511,"*d)*",'00 Encuesta'!$E$2:$E$511,"*b)*",'00 Encuesta'!$AF$2:$AF$511,"*e)*")</f>
        <v>1</v>
      </c>
      <c r="Z248" s="52">
        <f t="shared" si="365"/>
        <v>4.3478260869565215</v>
      </c>
      <c r="AA248" s="3"/>
      <c r="AB248" s="62">
        <f t="shared" si="366"/>
        <v>22</v>
      </c>
      <c r="AC248" s="52">
        <f t="shared" si="367"/>
        <v>13.253012048192771</v>
      </c>
      <c r="AD248" s="3"/>
      <c r="AE248" s="3"/>
      <c r="AF248" s="9" t="str">
        <f t="shared" si="368"/>
        <v>e) No sé</v>
      </c>
      <c r="AG248" s="72">
        <f t="shared" si="369"/>
        <v>9.0909090909090917</v>
      </c>
      <c r="AH248" s="72">
        <f t="shared" si="370"/>
        <v>12.5</v>
      </c>
      <c r="AI248" s="73">
        <f t="shared" si="371"/>
        <v>10.76923076923077</v>
      </c>
      <c r="AJ248" s="73"/>
      <c r="AK248" s="76">
        <f t="shared" si="372"/>
        <v>17.857142857142858</v>
      </c>
      <c r="AL248" s="76">
        <f t="shared" si="373"/>
        <v>34.782608695652172</v>
      </c>
      <c r="AM248" s="76">
        <f t="shared" si="374"/>
        <v>25.490196078431371</v>
      </c>
      <c r="AN248" s="76"/>
      <c r="AO248" s="81">
        <f t="shared" si="375"/>
        <v>3.7037037037037033</v>
      </c>
      <c r="AP248" s="81">
        <f t="shared" si="376"/>
        <v>4.3478260869565215</v>
      </c>
      <c r="AQ248" s="81">
        <f t="shared" si="377"/>
        <v>4</v>
      </c>
      <c r="AR248" s="3"/>
      <c r="AS248" s="76">
        <f t="shared" si="291"/>
        <v>13.253012048192771</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x14ac:dyDescent="0.3">
      <c r="A249" s="8" t="s">
        <v>23</v>
      </c>
      <c r="B249" s="9" t="s">
        <v>24</v>
      </c>
      <c r="C249" s="7"/>
      <c r="D249" s="7"/>
      <c r="E249" s="7"/>
      <c r="F249" s="71"/>
      <c r="G249" s="51">
        <f t="shared" si="362"/>
        <v>0</v>
      </c>
      <c r="H249" s="52">
        <f t="shared" si="363"/>
        <v>0</v>
      </c>
      <c r="I249" s="53"/>
      <c r="J249" s="52">
        <f t="shared" si="364"/>
        <v>0</v>
      </c>
      <c r="K249" s="53"/>
      <c r="L249" s="52">
        <f t="shared" ref="L249" si="378">K249/$J$7*100</f>
        <v>0</v>
      </c>
      <c r="M249" s="23"/>
      <c r="N249" s="51">
        <f t="shared" ref="N249" si="379">P249+R249</f>
        <v>0</v>
      </c>
      <c r="O249" s="52">
        <f t="shared" ref="O249" si="380">N249/$Q$5*100</f>
        <v>0</v>
      </c>
      <c r="P249" s="53"/>
      <c r="Q249" s="52">
        <f t="shared" ref="Q249" si="381">P249/$Q$6*100</f>
        <v>0</v>
      </c>
      <c r="R249" s="53"/>
      <c r="S249" s="52">
        <f t="shared" ref="S249" si="382">R249/$Q$7*100</f>
        <v>0</v>
      </c>
      <c r="T249" s="3"/>
      <c r="U249" s="51">
        <f t="shared" ref="U249" si="383">W249+Y249</f>
        <v>0</v>
      </c>
      <c r="V249" s="52">
        <f t="shared" ref="V249" si="384">U249/$X$5*100</f>
        <v>0</v>
      </c>
      <c r="W249" s="53"/>
      <c r="X249" s="52">
        <f t="shared" ref="X249" si="385">W249/$X$6*100</f>
        <v>0</v>
      </c>
      <c r="Y249" s="53"/>
      <c r="Z249" s="52">
        <f t="shared" si="365"/>
        <v>0</v>
      </c>
      <c r="AA249" s="3"/>
      <c r="AB249" s="62">
        <f t="shared" si="366"/>
        <v>0</v>
      </c>
      <c r="AC249" s="52">
        <f t="shared" si="367"/>
        <v>0</v>
      </c>
      <c r="AD249" s="3"/>
      <c r="AE249" s="3"/>
      <c r="AF249" s="9" t="str">
        <f t="shared" si="368"/>
        <v>S/R Sin Respuesta</v>
      </c>
      <c r="AG249" s="72">
        <f t="shared" si="369"/>
        <v>0</v>
      </c>
      <c r="AH249" s="72">
        <f t="shared" si="370"/>
        <v>0</v>
      </c>
      <c r="AI249" s="73">
        <f t="shared" si="371"/>
        <v>0</v>
      </c>
      <c r="AJ249" s="73"/>
      <c r="AK249" s="76">
        <f t="shared" si="372"/>
        <v>0</v>
      </c>
      <c r="AL249" s="76">
        <f t="shared" si="373"/>
        <v>0</v>
      </c>
      <c r="AM249" s="76">
        <f t="shared" si="374"/>
        <v>0</v>
      </c>
      <c r="AN249" s="76"/>
      <c r="AO249" s="81">
        <f t="shared" si="375"/>
        <v>0</v>
      </c>
      <c r="AP249" s="81">
        <f t="shared" si="376"/>
        <v>0</v>
      </c>
      <c r="AQ249" s="81">
        <f t="shared" si="377"/>
        <v>0</v>
      </c>
      <c r="AR249" s="3"/>
      <c r="AS249" s="76">
        <f t="shared" si="291"/>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x14ac:dyDescent="0.3">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62.066206896551726</v>
      </c>
      <c r="AH250" s="82">
        <f>($F245*K245+$F246*K246+$F247*K247+$F244*K244)/(+K245+K246+K247+K244)</f>
        <v>61.723703703703706</v>
      </c>
      <c r="AI250" s="82">
        <f>($F245*G245+$F246*G246+$F247*G247+$F244*G244)/(G245+G246+G247+G244)</f>
        <v>61.901071428571427</v>
      </c>
      <c r="AJ250" s="82"/>
      <c r="AK250" s="82">
        <f>($F245*P245+$F246*P246+$F247*P247+$F248*P248)/(P245+P246+P247+P248)</f>
        <v>48.806785714285709</v>
      </c>
      <c r="AL250" s="82">
        <f>($F245*R245+$F246*R246+$F247*R247+$F248*R248)/(R245+R246+R247+R248)</f>
        <v>40.906818181818181</v>
      </c>
      <c r="AM250" s="82">
        <f>($F245*N245+$F246*N246+$F247*N247+$F248*N248)/(N245+N246+N247+N248)</f>
        <v>45.330799999999996</v>
      </c>
      <c r="AN250" s="82"/>
      <c r="AO250" s="82">
        <f>($F245*W245+$F246*W246+$F247*W247+$F244*W244)/(W245+W246+W247+W244)</f>
        <v>52.559999999999995</v>
      </c>
      <c r="AP250" s="82">
        <f>($F245*Y245+$F246*Y246+$F247*Y247+$F244*Y244)/(Y245+Y246+Y247+Y244)</f>
        <v>63.632272727272721</v>
      </c>
      <c r="AQ250" s="82">
        <f>($F245*U245+$F246*U246+$F247*U247+$F244*U244)/(U245+U246+U247+U244)</f>
        <v>57.634791666666665</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x14ac:dyDescent="0.3">
      <c r="A252" s="8" t="s">
        <v>17</v>
      </c>
      <c r="B252" s="9" t="s">
        <v>182</v>
      </c>
      <c r="C252" s="7"/>
      <c r="D252" s="7"/>
      <c r="E252" s="7"/>
      <c r="F252" s="71"/>
      <c r="G252" s="51">
        <f t="shared" ref="G252:G261" si="386">I252+K252</f>
        <v>28</v>
      </c>
      <c r="H252" s="52">
        <f t="shared" ref="H252:H261" si="387">G252/$J$5*100</f>
        <v>43.07692307692308</v>
      </c>
      <c r="I252" s="53">
        <f>COUNTIFS('00 Encuesta'!$B$2:$B$511,"*c)*",'00 Encuesta'!$C$2:$C$511,"*a)*",'00 Encuesta'!$E$2:$E$511,"*a)*",'00 Encuesta'!$AG$2:$AG$511,"*a)*")</f>
        <v>17</v>
      </c>
      <c r="J252" s="52">
        <f t="shared" ref="J252:J261" si="388">I252/$J$6*100</f>
        <v>51.515151515151516</v>
      </c>
      <c r="K252" s="53">
        <f>COUNTIFS('00 Encuesta'!$B$2:$B$511,"*c)*",'00 Encuesta'!$C$2:$C$511,"*a)*",'00 Encuesta'!$E$2:$E$511,"*b)*",'00 Encuesta'!$AG$2:$AG$511,"*a)*")</f>
        <v>11</v>
      </c>
      <c r="L252" s="52">
        <f t="shared" ref="L252:L257" si="389">K252/$J$7*100</f>
        <v>34.375</v>
      </c>
      <c r="M252" s="23"/>
      <c r="N252" s="51">
        <f t="shared" ref="N252:N257" si="390">P252+R252</f>
        <v>26</v>
      </c>
      <c r="O252" s="52">
        <f t="shared" ref="O252:O257" si="391">N252/$Q$5*100</f>
        <v>50.980392156862742</v>
      </c>
      <c r="P252" s="53">
        <f>COUNTIFS('00 Encuesta'!$B$2:$B$511,"*c)*",'00 Encuesta'!$C$2:$C$511,"*b)*",'00 Encuesta'!$E$2:$E$511,"*a)*",'00 Encuesta'!$AG$2:$AG$511,"*a)*")</f>
        <v>14</v>
      </c>
      <c r="Q252" s="52">
        <f t="shared" ref="Q252:Q260" si="392">P252/$Q$6*100</f>
        <v>50</v>
      </c>
      <c r="R252" s="53">
        <f>COUNTIFS('00 Encuesta'!$B$2:$B$511,"*c)*",'00 Encuesta'!$C$2:$C$511,"*b)*",'00 Encuesta'!$E$2:$E$511,"*b)*",'00 Encuesta'!$AG$2:$AG$511,"*a)*")</f>
        <v>12</v>
      </c>
      <c r="S252" s="52">
        <f t="shared" ref="S252:S257" si="393">R252/$Q$7*100</f>
        <v>52.173913043478258</v>
      </c>
      <c r="T252" s="3"/>
      <c r="U252" s="51">
        <f t="shared" ref="U252:U257" si="394">W252+Y252</f>
        <v>20</v>
      </c>
      <c r="V252" s="52">
        <f t="shared" ref="V252:V257" si="395">U252/$X$5*100</f>
        <v>40</v>
      </c>
      <c r="W252" s="53">
        <f>COUNTIFS('00 Encuesta'!$B$2:$B$511,"*c)*",'00 Encuesta'!$C$2:$C$511,"*d)*",'00 Encuesta'!$E$2:$E$511,"*a)*",'00 Encuesta'!$AG$2:$AG$511,"*a)*")</f>
        <v>14</v>
      </c>
      <c r="X252" s="52">
        <f t="shared" ref="X252:X260" si="396">W252/$X$6*100</f>
        <v>51.851851851851848</v>
      </c>
      <c r="Y252" s="53">
        <f>COUNTIFS('00 Encuesta'!$B$2:$B$511,"*c)*",'00 Encuesta'!$C$2:$C$511,"*d)*",'00 Encuesta'!$E$2:$E$511,"*b)*",'00 Encuesta'!$AG$2:$AG$511,"*a)*")</f>
        <v>6</v>
      </c>
      <c r="Z252" s="52">
        <f t="shared" ref="Z252:Z261" si="397">Y252/$X$7*100</f>
        <v>26.086956521739129</v>
      </c>
      <c r="AA252" s="3"/>
      <c r="AB252" s="62">
        <f t="shared" ref="AB252:AB261" si="398">G252+N252+U252</f>
        <v>74</v>
      </c>
      <c r="AC252" s="52">
        <f t="shared" ref="AC252:AC261" si="399">AB252*100/$AC$5</f>
        <v>44.578313253012048</v>
      </c>
      <c r="AD252" s="3"/>
      <c r="AE252" s="3"/>
      <c r="AF252" s="9" t="str">
        <f t="shared" ref="AF252:AF261" si="400">A252&amp;" "&amp;B252</f>
        <v>a) Los deportes y diversiones</v>
      </c>
      <c r="AG252" s="72">
        <f t="shared" ref="AG252:AG261" si="401">J252</f>
        <v>51.515151515151516</v>
      </c>
      <c r="AH252" s="72">
        <f t="shared" ref="AH252:AH261" si="402">L252</f>
        <v>34.375</v>
      </c>
      <c r="AI252" s="73">
        <f t="shared" ref="AI252:AI261" si="403">H252</f>
        <v>43.07692307692308</v>
      </c>
      <c r="AJ252" s="73"/>
      <c r="AK252" s="76">
        <f t="shared" ref="AK252:AK261" si="404">Q252</f>
        <v>50</v>
      </c>
      <c r="AL252" s="76">
        <f t="shared" ref="AL252:AL261" si="405">S252</f>
        <v>52.173913043478258</v>
      </c>
      <c r="AM252" s="76">
        <f t="shared" ref="AM252:AM261" si="406">O252</f>
        <v>50.980392156862742</v>
      </c>
      <c r="AN252" s="76"/>
      <c r="AO252" s="81">
        <f t="shared" ref="AO252:AO261" si="407">X252</f>
        <v>51.851851851851848</v>
      </c>
      <c r="AP252" s="81">
        <f t="shared" ref="AP252:AP261" si="408">Z252</f>
        <v>26.086956521739129</v>
      </c>
      <c r="AQ252" s="81">
        <f t="shared" ref="AQ252:AQ261" si="409">V252</f>
        <v>40</v>
      </c>
      <c r="AR252" s="3"/>
      <c r="AS252" s="76">
        <f t="shared" si="291"/>
        <v>44.578313253012048</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x14ac:dyDescent="0.3">
      <c r="A253" s="8" t="s">
        <v>18</v>
      </c>
      <c r="B253" s="9" t="s">
        <v>183</v>
      </c>
      <c r="C253" s="7"/>
      <c r="D253" s="7"/>
      <c r="E253" s="7"/>
      <c r="F253" s="71"/>
      <c r="G253" s="51">
        <f t="shared" si="386"/>
        <v>19</v>
      </c>
      <c r="H253" s="52">
        <f t="shared" si="387"/>
        <v>29.230769230769234</v>
      </c>
      <c r="I253" s="53">
        <f>COUNTIFS('00 Encuesta'!$B$2:$B$511,"*c)*",'00 Encuesta'!$C$2:$C$511,"*a)*",'00 Encuesta'!$E$2:$E$511,"*a)*",'00 Encuesta'!$AG$2:$AG$511,"*b)*")</f>
        <v>11</v>
      </c>
      <c r="J253" s="52">
        <f t="shared" si="388"/>
        <v>33.333333333333329</v>
      </c>
      <c r="K253" s="53">
        <f>COUNTIFS('00 Encuesta'!$B$2:$B$511,"*c)*",'00 Encuesta'!$C$2:$C$511,"*a)*",'00 Encuesta'!$E$2:$E$511,"*b)*",'00 Encuesta'!$AG$2:$AG$511,"*b)*")</f>
        <v>8</v>
      </c>
      <c r="L253" s="52">
        <f t="shared" si="389"/>
        <v>25</v>
      </c>
      <c r="M253" s="23"/>
      <c r="N253" s="51">
        <f t="shared" si="390"/>
        <v>12</v>
      </c>
      <c r="O253" s="52">
        <f t="shared" si="391"/>
        <v>23.52941176470588</v>
      </c>
      <c r="P253" s="53">
        <f>COUNTIFS('00 Encuesta'!$B$2:$B$511,"*c)*",'00 Encuesta'!$C$2:$C$511,"*b)*",'00 Encuesta'!$E$2:$E$511,"*a)*",'00 Encuesta'!$AG$2:$AG$511,"*b)*")</f>
        <v>6</v>
      </c>
      <c r="Q253" s="52">
        <f t="shared" si="392"/>
        <v>21.428571428571427</v>
      </c>
      <c r="R253" s="53">
        <f>COUNTIFS('00 Encuesta'!$B$2:$B$511,"*c)*",'00 Encuesta'!$C$2:$C$511,"*b)*",'00 Encuesta'!$E$2:$E$511,"*b)*",'00 Encuesta'!$AG$2:$AG$511,"*b)*")</f>
        <v>6</v>
      </c>
      <c r="S253" s="52">
        <f t="shared" si="393"/>
        <v>26.086956521739129</v>
      </c>
      <c r="T253" s="3"/>
      <c r="U253" s="51">
        <f t="shared" si="394"/>
        <v>14</v>
      </c>
      <c r="V253" s="52">
        <f t="shared" si="395"/>
        <v>28.000000000000004</v>
      </c>
      <c r="W253" s="53">
        <f>COUNTIFS('00 Encuesta'!$B$2:$B$511,"*c)*",'00 Encuesta'!$C$2:$C$511,"*d)*",'00 Encuesta'!$E$2:$E$511,"*a)*",'00 Encuesta'!$AG$2:$AG$511,"*b)*")</f>
        <v>5</v>
      </c>
      <c r="X253" s="52">
        <f t="shared" si="396"/>
        <v>18.518518518518519</v>
      </c>
      <c r="Y253" s="53">
        <f>COUNTIFS('00 Encuesta'!$B$2:$B$511,"*c)*",'00 Encuesta'!$C$2:$C$511,"*d)*",'00 Encuesta'!$E$2:$E$511,"*b)*",'00 Encuesta'!$AG$2:$AG$511,"*b)*")</f>
        <v>9</v>
      </c>
      <c r="Z253" s="52">
        <f t="shared" si="397"/>
        <v>39.130434782608695</v>
      </c>
      <c r="AA253" s="3"/>
      <c r="AB253" s="62">
        <f t="shared" si="398"/>
        <v>45</v>
      </c>
      <c r="AC253" s="52">
        <f t="shared" si="399"/>
        <v>27.108433734939759</v>
      </c>
      <c r="AD253" s="3"/>
      <c r="AE253" s="3"/>
      <c r="AF253" s="9" t="str">
        <f t="shared" si="400"/>
        <v>b) El ambiente de estudio y de trabajo</v>
      </c>
      <c r="AG253" s="72">
        <f t="shared" si="401"/>
        <v>33.333333333333329</v>
      </c>
      <c r="AH253" s="72">
        <f t="shared" si="402"/>
        <v>25</v>
      </c>
      <c r="AI253" s="73">
        <f t="shared" si="403"/>
        <v>29.230769230769234</v>
      </c>
      <c r="AJ253" s="73"/>
      <c r="AK253" s="76">
        <f t="shared" si="404"/>
        <v>21.428571428571427</v>
      </c>
      <c r="AL253" s="76">
        <f t="shared" si="405"/>
        <v>26.086956521739129</v>
      </c>
      <c r="AM253" s="76">
        <f t="shared" si="406"/>
        <v>23.52941176470588</v>
      </c>
      <c r="AN253" s="76"/>
      <c r="AO253" s="81">
        <f t="shared" si="407"/>
        <v>18.518518518518519</v>
      </c>
      <c r="AP253" s="81">
        <f t="shared" si="408"/>
        <v>39.130434782608695</v>
      </c>
      <c r="AQ253" s="81">
        <f t="shared" si="409"/>
        <v>28.000000000000004</v>
      </c>
      <c r="AR253" s="3"/>
      <c r="AS253" s="76">
        <f t="shared" si="291"/>
        <v>27.108433734939759</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x14ac:dyDescent="0.3">
      <c r="A254" s="8" t="s">
        <v>20</v>
      </c>
      <c r="B254" s="9" t="s">
        <v>184</v>
      </c>
      <c r="C254" s="7"/>
      <c r="D254" s="7"/>
      <c r="E254" s="7"/>
      <c r="F254" s="71"/>
      <c r="G254" s="51">
        <f t="shared" si="386"/>
        <v>12</v>
      </c>
      <c r="H254" s="52">
        <f t="shared" si="387"/>
        <v>18.461538461538463</v>
      </c>
      <c r="I254" s="53">
        <f>COUNTIFS('00 Encuesta'!$B$2:$B$511,"*c)*",'00 Encuesta'!$C$2:$C$511,"*a)*",'00 Encuesta'!$E$2:$E$511,"*a)*",'00 Encuesta'!$AG$2:$AG$511,"*c)*")</f>
        <v>7</v>
      </c>
      <c r="J254" s="52">
        <f t="shared" si="388"/>
        <v>21.212121212121211</v>
      </c>
      <c r="K254" s="53">
        <f>COUNTIFS('00 Encuesta'!$B$2:$B$511,"*c)*",'00 Encuesta'!$C$2:$C$511,"*a)*",'00 Encuesta'!$E$2:$E$511,"*b)*",'00 Encuesta'!$AG$2:$AG$511,"*c)*")</f>
        <v>5</v>
      </c>
      <c r="L254" s="52">
        <f t="shared" si="389"/>
        <v>15.625</v>
      </c>
      <c r="M254" s="23"/>
      <c r="N254" s="51">
        <f t="shared" si="390"/>
        <v>9</v>
      </c>
      <c r="O254" s="52">
        <f t="shared" si="391"/>
        <v>17.647058823529413</v>
      </c>
      <c r="P254" s="53">
        <f>COUNTIFS('00 Encuesta'!$B$2:$B$511,"*c)*",'00 Encuesta'!$C$2:$C$511,"*b)*",'00 Encuesta'!$E$2:$E$511,"*a)*",'00 Encuesta'!$AG$2:$AG$511,"*c)*")</f>
        <v>4</v>
      </c>
      <c r="Q254" s="52">
        <f t="shared" si="392"/>
        <v>14.285714285714285</v>
      </c>
      <c r="R254" s="53">
        <f>COUNTIFS('00 Encuesta'!$B$2:$B$511,"*c)*",'00 Encuesta'!$C$2:$C$511,"*b)*",'00 Encuesta'!$E$2:$E$511,"*b)*",'00 Encuesta'!$AG$2:$AG$511,"*c)*")</f>
        <v>5</v>
      </c>
      <c r="S254" s="52">
        <f t="shared" si="393"/>
        <v>21.739130434782609</v>
      </c>
      <c r="T254" s="3"/>
      <c r="U254" s="51">
        <f t="shared" si="394"/>
        <v>14</v>
      </c>
      <c r="V254" s="52">
        <f t="shared" si="395"/>
        <v>28.000000000000004</v>
      </c>
      <c r="W254" s="53">
        <f>COUNTIFS('00 Encuesta'!$B$2:$B$511,"*c)*",'00 Encuesta'!$C$2:$C$511,"*d)*",'00 Encuesta'!$E$2:$E$511,"*a)*",'00 Encuesta'!$AG$2:$AG$511,"*c)*")</f>
        <v>7</v>
      </c>
      <c r="X254" s="52">
        <f t="shared" si="396"/>
        <v>25.925925925925924</v>
      </c>
      <c r="Y254" s="53">
        <f>COUNTIFS('00 Encuesta'!$B$2:$B$511,"*c)*",'00 Encuesta'!$C$2:$C$511,"*d)*",'00 Encuesta'!$E$2:$E$511,"*b)*",'00 Encuesta'!$AG$2:$AG$511,"*c)*")</f>
        <v>7</v>
      </c>
      <c r="Z254" s="52">
        <f t="shared" si="397"/>
        <v>30.434782608695656</v>
      </c>
      <c r="AA254" s="3"/>
      <c r="AB254" s="62">
        <f t="shared" si="398"/>
        <v>35</v>
      </c>
      <c r="AC254" s="52">
        <f t="shared" si="399"/>
        <v>21.08433734939759</v>
      </c>
      <c r="AD254" s="3"/>
      <c r="AE254" s="3"/>
      <c r="AF254" s="9" t="str">
        <f t="shared" si="400"/>
        <v>c) Las instalaciones del colegio</v>
      </c>
      <c r="AG254" s="72">
        <f t="shared" si="401"/>
        <v>21.212121212121211</v>
      </c>
      <c r="AH254" s="72">
        <f t="shared" si="402"/>
        <v>15.625</v>
      </c>
      <c r="AI254" s="73">
        <f t="shared" si="403"/>
        <v>18.461538461538463</v>
      </c>
      <c r="AJ254" s="73"/>
      <c r="AK254" s="76">
        <f t="shared" si="404"/>
        <v>14.285714285714285</v>
      </c>
      <c r="AL254" s="76">
        <f t="shared" si="405"/>
        <v>21.739130434782609</v>
      </c>
      <c r="AM254" s="76">
        <f t="shared" si="406"/>
        <v>17.647058823529413</v>
      </c>
      <c r="AN254" s="76"/>
      <c r="AO254" s="81">
        <f t="shared" si="407"/>
        <v>25.925925925925924</v>
      </c>
      <c r="AP254" s="81">
        <f t="shared" si="408"/>
        <v>30.434782608695656</v>
      </c>
      <c r="AQ254" s="81">
        <f t="shared" si="409"/>
        <v>28.000000000000004</v>
      </c>
      <c r="AR254" s="3"/>
      <c r="AS254" s="76">
        <f t="shared" si="291"/>
        <v>21.08433734939759</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x14ac:dyDescent="0.3">
      <c r="A255" s="8" t="s">
        <v>21</v>
      </c>
      <c r="B255" s="9" t="s">
        <v>185</v>
      </c>
      <c r="C255" s="7"/>
      <c r="D255" s="7"/>
      <c r="E255" s="7"/>
      <c r="F255" s="71"/>
      <c r="G255" s="51">
        <f t="shared" si="386"/>
        <v>7</v>
      </c>
      <c r="H255" s="52">
        <f t="shared" si="387"/>
        <v>10.76923076923077</v>
      </c>
      <c r="I255" s="53">
        <f>COUNTIFS('00 Encuesta'!$B$2:$B$511,"*c)*",'00 Encuesta'!$C$2:$C$511,"*a)*",'00 Encuesta'!$E$2:$E$511,"*a)*",'00 Encuesta'!$AG$2:$AG$511,"*d)*")</f>
        <v>4</v>
      </c>
      <c r="J255" s="52">
        <f t="shared" si="388"/>
        <v>12.121212121212121</v>
      </c>
      <c r="K255" s="53">
        <f>COUNTIFS('00 Encuesta'!$B$2:$B$511,"*c)*",'00 Encuesta'!$C$2:$C$511,"*a)*",'00 Encuesta'!$E$2:$E$511,"*b)*",'00 Encuesta'!$AG$2:$AG$511,"*d)*")</f>
        <v>3</v>
      </c>
      <c r="L255" s="52">
        <f t="shared" si="389"/>
        <v>9.375</v>
      </c>
      <c r="M255" s="23"/>
      <c r="N255" s="51">
        <f t="shared" si="390"/>
        <v>6</v>
      </c>
      <c r="O255" s="52">
        <f t="shared" si="391"/>
        <v>11.76470588235294</v>
      </c>
      <c r="P255" s="53">
        <f>COUNTIFS('00 Encuesta'!$B$2:$B$511,"*c)*",'00 Encuesta'!$C$2:$C$511,"*b)*",'00 Encuesta'!$E$2:$E$511,"*a)*",'00 Encuesta'!$AG$2:$AG$511,"*d)*")</f>
        <v>3</v>
      </c>
      <c r="Q255" s="52">
        <f t="shared" si="392"/>
        <v>10.714285714285714</v>
      </c>
      <c r="R255" s="53">
        <f>COUNTIFS('00 Encuesta'!$B$2:$B$511,"*c)*",'00 Encuesta'!$C$2:$C$511,"*b)*",'00 Encuesta'!$E$2:$E$511,"*b)*",'00 Encuesta'!$AG$2:$AG$511,"*d)*")</f>
        <v>3</v>
      </c>
      <c r="S255" s="52">
        <f t="shared" si="393"/>
        <v>13.043478260869565</v>
      </c>
      <c r="T255" s="3"/>
      <c r="U255" s="51">
        <f t="shared" si="394"/>
        <v>4</v>
      </c>
      <c r="V255" s="52">
        <f t="shared" si="395"/>
        <v>8</v>
      </c>
      <c r="W255" s="53">
        <f>COUNTIFS('00 Encuesta'!$B$2:$B$511,"*c)*",'00 Encuesta'!$C$2:$C$511,"*d)*",'00 Encuesta'!$E$2:$E$511,"*a)*",'00 Encuesta'!$AG$2:$AG$511,"*d)*")</f>
        <v>3</v>
      </c>
      <c r="X255" s="52">
        <f t="shared" si="396"/>
        <v>11.111111111111111</v>
      </c>
      <c r="Y255" s="53">
        <f>COUNTIFS('00 Encuesta'!$B$2:$B$511,"*c)*",'00 Encuesta'!$C$2:$C$511,"*d)*",'00 Encuesta'!$E$2:$E$511,"*b)*",'00 Encuesta'!$AG$2:$AG$511,"*d)*")</f>
        <v>1</v>
      </c>
      <c r="Z255" s="52">
        <f t="shared" si="397"/>
        <v>4.3478260869565215</v>
      </c>
      <c r="AA255" s="3"/>
      <c r="AB255" s="62">
        <f t="shared" si="398"/>
        <v>17</v>
      </c>
      <c r="AC255" s="52">
        <f t="shared" si="399"/>
        <v>10.240963855421686</v>
      </c>
      <c r="AD255" s="3"/>
      <c r="AE255" s="3"/>
      <c r="AF255" s="9" t="str">
        <f t="shared" si="400"/>
        <v>d) Los grupos juveniles cristianos</v>
      </c>
      <c r="AG255" s="72">
        <f t="shared" si="401"/>
        <v>12.121212121212121</v>
      </c>
      <c r="AH255" s="72">
        <f t="shared" si="402"/>
        <v>9.375</v>
      </c>
      <c r="AI255" s="73">
        <f t="shared" si="403"/>
        <v>10.76923076923077</v>
      </c>
      <c r="AJ255" s="73"/>
      <c r="AK255" s="76">
        <f t="shared" si="404"/>
        <v>10.714285714285714</v>
      </c>
      <c r="AL255" s="76">
        <f t="shared" si="405"/>
        <v>13.043478260869565</v>
      </c>
      <c r="AM255" s="76">
        <f t="shared" si="406"/>
        <v>11.76470588235294</v>
      </c>
      <c r="AN255" s="76"/>
      <c r="AO255" s="81">
        <f t="shared" si="407"/>
        <v>11.111111111111111</v>
      </c>
      <c r="AP255" s="81">
        <f t="shared" si="408"/>
        <v>4.3478260869565215</v>
      </c>
      <c r="AQ255" s="81">
        <f t="shared" si="409"/>
        <v>8</v>
      </c>
      <c r="AR255" s="3"/>
      <c r="AS255" s="76">
        <f t="shared" si="291"/>
        <v>10.240963855421686</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x14ac:dyDescent="0.3">
      <c r="A256" s="8" t="s">
        <v>22</v>
      </c>
      <c r="B256" s="9" t="s">
        <v>186</v>
      </c>
      <c r="C256" s="7"/>
      <c r="D256" s="7"/>
      <c r="E256" s="7"/>
      <c r="F256" s="71"/>
      <c r="G256" s="51">
        <f t="shared" si="386"/>
        <v>9</v>
      </c>
      <c r="H256" s="52">
        <f t="shared" si="387"/>
        <v>13.846153846153847</v>
      </c>
      <c r="I256" s="53">
        <f>COUNTIFS('00 Encuesta'!$B$2:$B$511,"*c)*",'00 Encuesta'!$C$2:$C$511,"*a)*",'00 Encuesta'!$E$2:$E$511,"*a)*",'00 Encuesta'!$AG$2:$AG$511,"*e)*")</f>
        <v>4</v>
      </c>
      <c r="J256" s="52">
        <f t="shared" si="388"/>
        <v>12.121212121212121</v>
      </c>
      <c r="K256" s="53">
        <f>COUNTIFS('00 Encuesta'!$B$2:$B$511,"*c)*",'00 Encuesta'!$C$2:$C$511,"*a)*",'00 Encuesta'!$E$2:$E$511,"*b)*",'00 Encuesta'!$AG$2:$AG$511,"*e)*")</f>
        <v>5</v>
      </c>
      <c r="L256" s="52">
        <f t="shared" si="389"/>
        <v>15.625</v>
      </c>
      <c r="M256" s="23"/>
      <c r="N256" s="51">
        <f t="shared" si="390"/>
        <v>2</v>
      </c>
      <c r="O256" s="52">
        <f t="shared" si="391"/>
        <v>3.9215686274509802</v>
      </c>
      <c r="P256" s="53">
        <f>COUNTIFS('00 Encuesta'!$B$2:$B$511,"*c)*",'00 Encuesta'!$C$2:$C$511,"*b)*",'00 Encuesta'!$E$2:$E$511,"*a)*",'00 Encuesta'!$AG$2:$AG$511,"*e)*")</f>
        <v>1</v>
      </c>
      <c r="Q256" s="52">
        <f t="shared" si="392"/>
        <v>3.5714285714285712</v>
      </c>
      <c r="R256" s="53">
        <f>COUNTIFS('00 Encuesta'!$B$2:$B$511,"*c)*",'00 Encuesta'!$C$2:$C$511,"*b)*",'00 Encuesta'!$E$2:$E$511,"*b)*",'00 Encuesta'!$AG$2:$AG$511,"*e)*")</f>
        <v>1</v>
      </c>
      <c r="S256" s="52">
        <f t="shared" si="393"/>
        <v>4.3478260869565215</v>
      </c>
      <c r="T256" s="3"/>
      <c r="U256" s="51">
        <f t="shared" si="394"/>
        <v>3</v>
      </c>
      <c r="V256" s="52">
        <f t="shared" si="395"/>
        <v>6</v>
      </c>
      <c r="W256" s="53">
        <f>COUNTIFS('00 Encuesta'!$B$2:$B$511,"*c)*",'00 Encuesta'!$C$2:$C$511,"*d)*",'00 Encuesta'!$E$2:$E$511,"*a)*",'00 Encuesta'!$AG$2:$AG$511,"*e)*")</f>
        <v>1</v>
      </c>
      <c r="X256" s="52">
        <f t="shared" si="396"/>
        <v>3.7037037037037033</v>
      </c>
      <c r="Y256" s="53">
        <f>COUNTIFS('00 Encuesta'!$B$2:$B$511,"*c)*",'00 Encuesta'!$C$2:$C$511,"*d)*",'00 Encuesta'!$E$2:$E$511,"*b)*",'00 Encuesta'!$AG$2:$AG$511,"*e)*")</f>
        <v>2</v>
      </c>
      <c r="Z256" s="52">
        <f t="shared" si="397"/>
        <v>8.695652173913043</v>
      </c>
      <c r="AA256" s="3"/>
      <c r="AB256" s="62">
        <f t="shared" si="398"/>
        <v>14</v>
      </c>
      <c r="AC256" s="52">
        <f t="shared" si="399"/>
        <v>8.4337349397590362</v>
      </c>
      <c r="AD256" s="3"/>
      <c r="AE256" s="3"/>
      <c r="AF256" s="9" t="str">
        <f t="shared" si="400"/>
        <v>e) La mayor posibilidad de vivir mi fe</v>
      </c>
      <c r="AG256" s="72">
        <f t="shared" si="401"/>
        <v>12.121212121212121</v>
      </c>
      <c r="AH256" s="72">
        <f t="shared" si="402"/>
        <v>15.625</v>
      </c>
      <c r="AI256" s="73">
        <f t="shared" si="403"/>
        <v>13.846153846153847</v>
      </c>
      <c r="AJ256" s="73"/>
      <c r="AK256" s="76">
        <f t="shared" si="404"/>
        <v>3.5714285714285712</v>
      </c>
      <c r="AL256" s="76">
        <f t="shared" si="405"/>
        <v>4.3478260869565215</v>
      </c>
      <c r="AM256" s="76">
        <f t="shared" si="406"/>
        <v>3.9215686274509802</v>
      </c>
      <c r="AN256" s="76"/>
      <c r="AO256" s="81">
        <f t="shared" si="407"/>
        <v>3.7037037037037033</v>
      </c>
      <c r="AP256" s="81">
        <f t="shared" si="408"/>
        <v>8.695652173913043</v>
      </c>
      <c r="AQ256" s="81">
        <f t="shared" si="409"/>
        <v>6</v>
      </c>
      <c r="AR256" s="3"/>
      <c r="AS256" s="76">
        <f t="shared" si="291"/>
        <v>8.4337349397590362</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x14ac:dyDescent="0.3">
      <c r="A257" s="8" t="s">
        <v>45</v>
      </c>
      <c r="B257" s="9" t="s">
        <v>187</v>
      </c>
      <c r="C257" s="7"/>
      <c r="D257" s="7"/>
      <c r="E257" s="7"/>
      <c r="F257" s="71"/>
      <c r="G257" s="51">
        <f t="shared" si="386"/>
        <v>1</v>
      </c>
      <c r="H257" s="52">
        <f t="shared" si="387"/>
        <v>1.5384615384615385</v>
      </c>
      <c r="I257" s="53">
        <f>COUNTIFS('00 Encuesta'!$B$2:$B$511,"*c)*",'00 Encuesta'!$C$2:$C$511,"*a)*",'00 Encuesta'!$E$2:$E$511,"*a)*",'00 Encuesta'!$AG$2:$AG$511,"*f)*")</f>
        <v>0</v>
      </c>
      <c r="J257" s="52">
        <f t="shared" si="388"/>
        <v>0</v>
      </c>
      <c r="K257" s="53">
        <f>COUNTIFS('00 Encuesta'!$B$2:$B$511,"*c)*",'00 Encuesta'!$C$2:$C$511,"*a)*",'00 Encuesta'!$E$2:$E$511,"*b)*",'00 Encuesta'!$AG$2:$AG$511,"*f)*")</f>
        <v>1</v>
      </c>
      <c r="L257" s="52">
        <f t="shared" si="389"/>
        <v>3.125</v>
      </c>
      <c r="M257" s="23"/>
      <c r="N257" s="51">
        <f t="shared" si="390"/>
        <v>1</v>
      </c>
      <c r="O257" s="52">
        <f t="shared" si="391"/>
        <v>1.9607843137254901</v>
      </c>
      <c r="P257" s="53">
        <f>COUNTIFS('00 Encuesta'!$B$2:$B$511,"*c)*",'00 Encuesta'!$C$2:$C$511,"*b)*",'00 Encuesta'!$E$2:$E$511,"*a)*",'00 Encuesta'!$AG$2:$AG$511,"*f)*")</f>
        <v>1</v>
      </c>
      <c r="Q257" s="52">
        <f t="shared" si="392"/>
        <v>3.5714285714285712</v>
      </c>
      <c r="R257" s="53">
        <f>COUNTIFS('00 Encuesta'!$B$2:$B$511,"*c)*",'00 Encuesta'!$C$2:$C$511,"*b)*",'00 Encuesta'!$E$2:$E$511,"*b)*",'00 Encuesta'!$AG$2:$AG$511,"*f)*")</f>
        <v>0</v>
      </c>
      <c r="S257" s="52">
        <f t="shared" si="393"/>
        <v>0</v>
      </c>
      <c r="T257" s="3"/>
      <c r="U257" s="51">
        <f t="shared" si="394"/>
        <v>1</v>
      </c>
      <c r="V257" s="52">
        <f t="shared" si="395"/>
        <v>2</v>
      </c>
      <c r="W257" s="53">
        <f>COUNTIFS('00 Encuesta'!$B$2:$B$511,"*c)*",'00 Encuesta'!$C$2:$C$511,"*d)*",'00 Encuesta'!$E$2:$E$511,"*a)*",'00 Encuesta'!$AG$2:$AG$511,"*f)*")</f>
        <v>1</v>
      </c>
      <c r="X257" s="52">
        <f t="shared" si="396"/>
        <v>3.7037037037037033</v>
      </c>
      <c r="Y257" s="53">
        <f>COUNTIFS('00 Encuesta'!$B$2:$B$511,"*c)*",'00 Encuesta'!$C$2:$C$511,"*d)*",'00 Encuesta'!$E$2:$E$511,"*b)*",'00 Encuesta'!$AG$2:$AG$511,"*f)*")</f>
        <v>0</v>
      </c>
      <c r="Z257" s="52">
        <f t="shared" si="397"/>
        <v>0</v>
      </c>
      <c r="AA257" s="3"/>
      <c r="AB257" s="62">
        <f t="shared" si="398"/>
        <v>3</v>
      </c>
      <c r="AC257" s="52">
        <f t="shared" si="399"/>
        <v>1.8072289156626506</v>
      </c>
      <c r="AD257" s="3"/>
      <c r="AE257" s="3"/>
      <c r="AF257" s="9" t="str">
        <f t="shared" si="400"/>
        <v>f) La igualdad de trato que se da a todos</v>
      </c>
      <c r="AG257" s="72">
        <f t="shared" si="401"/>
        <v>0</v>
      </c>
      <c r="AH257" s="72">
        <f t="shared" si="402"/>
        <v>3.125</v>
      </c>
      <c r="AI257" s="73">
        <f t="shared" si="403"/>
        <v>1.5384615384615385</v>
      </c>
      <c r="AJ257" s="73"/>
      <c r="AK257" s="76">
        <f t="shared" si="404"/>
        <v>3.5714285714285712</v>
      </c>
      <c r="AL257" s="76">
        <f t="shared" si="405"/>
        <v>0</v>
      </c>
      <c r="AM257" s="76">
        <f t="shared" si="406"/>
        <v>1.9607843137254901</v>
      </c>
      <c r="AN257" s="76"/>
      <c r="AO257" s="81">
        <f t="shared" si="407"/>
        <v>3.7037037037037033</v>
      </c>
      <c r="AP257" s="81">
        <f t="shared" si="408"/>
        <v>0</v>
      </c>
      <c r="AQ257" s="81">
        <f t="shared" si="409"/>
        <v>2</v>
      </c>
      <c r="AR257" s="3"/>
      <c r="AS257" s="76">
        <f t="shared" si="291"/>
        <v>1.8072289156626506</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86"/>
        <v>8</v>
      </c>
      <c r="H258" s="52">
        <f t="shared" si="387"/>
        <v>12.307692307692308</v>
      </c>
      <c r="I258" s="53">
        <f>COUNTIFS('00 Encuesta'!$B$2:$B$511,"*c)*",'00 Encuesta'!$C$2:$C$511,"*a)*",'00 Encuesta'!$E$2:$E$511,"*a)*",'00 Encuesta'!$AG$2:$AG$511,"*g)*")</f>
        <v>1</v>
      </c>
      <c r="J258" s="52">
        <f t="shared" si="388"/>
        <v>3.0303030303030303</v>
      </c>
      <c r="K258" s="53">
        <f>COUNTIFS('00 Encuesta'!$B$2:$B$511,"*c)*",'00 Encuesta'!$C$2:$C$511,"*a)*",'00 Encuesta'!$E$2:$E$511,"*b)*",'00 Encuesta'!$AG$2:$AG$511,"*g)*")</f>
        <v>7</v>
      </c>
      <c r="L258" s="52">
        <f t="shared" ref="L258:L260" si="410">K258/$J$7*100</f>
        <v>21.875</v>
      </c>
      <c r="M258" s="23"/>
      <c r="N258" s="51">
        <f t="shared" ref="N258:N260" si="411">P258+R258</f>
        <v>7</v>
      </c>
      <c r="O258" s="52">
        <f t="shared" ref="O258:O260" si="412">N258/$Q$5*100</f>
        <v>13.725490196078432</v>
      </c>
      <c r="P258" s="53">
        <f>COUNTIFS('00 Encuesta'!$B$2:$B$511,"*c)*",'00 Encuesta'!$C$2:$C$511,"*b)*",'00 Encuesta'!$E$2:$E$511,"*a)*",'00 Encuesta'!$AG$2:$AG$511,"*g)*")</f>
        <v>5</v>
      </c>
      <c r="Q258" s="52">
        <f t="shared" si="392"/>
        <v>17.857142857142858</v>
      </c>
      <c r="R258" s="53">
        <f>COUNTIFS('00 Encuesta'!$B$2:$B$511,"*c)*",'00 Encuesta'!$C$2:$C$511,"*b)*",'00 Encuesta'!$E$2:$E$511,"*b)*",'00 Encuesta'!$AG$2:$AG$511,"*g)*")</f>
        <v>2</v>
      </c>
      <c r="S258" s="52">
        <f t="shared" ref="S258:S260" si="413">R258/$Q$7*100</f>
        <v>8.695652173913043</v>
      </c>
      <c r="T258" s="3"/>
      <c r="U258" s="51">
        <f t="shared" ref="U258:U260" si="414">W258+Y258</f>
        <v>2</v>
      </c>
      <c r="V258" s="52">
        <f t="shared" ref="V258:V260" si="415">U258/$X$5*100</f>
        <v>4</v>
      </c>
      <c r="W258" s="53">
        <f>COUNTIFS('00 Encuesta'!$B$2:$B$511,"*c)*",'00 Encuesta'!$C$2:$C$511,"*d)*",'00 Encuesta'!$E$2:$E$511,"*a)*",'00 Encuesta'!$AG$2:$AG$511,"*g)*")</f>
        <v>1</v>
      </c>
      <c r="X258" s="52">
        <f t="shared" si="396"/>
        <v>3.7037037037037033</v>
      </c>
      <c r="Y258" s="53">
        <f>COUNTIFS('00 Encuesta'!$B$2:$B$511,"*c)*",'00 Encuesta'!$C$2:$C$511,"*d)*",'00 Encuesta'!$E$2:$E$511,"*b)*",'00 Encuesta'!$AG$2:$AG$511,"*g)*")</f>
        <v>1</v>
      </c>
      <c r="Z258" s="52">
        <f t="shared" si="397"/>
        <v>4.3478260869565215</v>
      </c>
      <c r="AA258" s="3"/>
      <c r="AB258" s="62">
        <f t="shared" si="398"/>
        <v>17</v>
      </c>
      <c r="AC258" s="52">
        <f t="shared" si="399"/>
        <v>10.240963855421686</v>
      </c>
      <c r="AD258" s="3"/>
      <c r="AE258" s="3"/>
      <c r="AF258" s="9" t="str">
        <f t="shared" si="400"/>
        <v>g) La relación con los docentes</v>
      </c>
      <c r="AG258" s="72">
        <f t="shared" si="401"/>
        <v>3.0303030303030303</v>
      </c>
      <c r="AH258" s="72">
        <f t="shared" si="402"/>
        <v>21.875</v>
      </c>
      <c r="AI258" s="73">
        <f t="shared" si="403"/>
        <v>12.307692307692308</v>
      </c>
      <c r="AJ258" s="73"/>
      <c r="AK258" s="76">
        <f t="shared" si="404"/>
        <v>17.857142857142858</v>
      </c>
      <c r="AL258" s="76">
        <f t="shared" si="405"/>
        <v>8.695652173913043</v>
      </c>
      <c r="AM258" s="76">
        <f t="shared" si="406"/>
        <v>13.725490196078432</v>
      </c>
      <c r="AN258" s="76"/>
      <c r="AO258" s="81">
        <f t="shared" si="407"/>
        <v>3.7037037037037033</v>
      </c>
      <c r="AP258" s="81">
        <f t="shared" si="408"/>
        <v>4.3478260869565215</v>
      </c>
      <c r="AQ258" s="81">
        <f t="shared" si="409"/>
        <v>4</v>
      </c>
      <c r="AR258" s="3"/>
      <c r="AS258" s="76">
        <f t="shared" si="291"/>
        <v>10.240963855421686</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x14ac:dyDescent="0.3">
      <c r="A259" s="8" t="s">
        <v>63</v>
      </c>
      <c r="B259" s="9" t="s">
        <v>189</v>
      </c>
      <c r="C259" s="7"/>
      <c r="D259" s="7"/>
      <c r="E259" s="7"/>
      <c r="F259" s="71"/>
      <c r="G259" s="51">
        <f t="shared" si="386"/>
        <v>13</v>
      </c>
      <c r="H259" s="52">
        <f t="shared" si="387"/>
        <v>20</v>
      </c>
      <c r="I259" s="53">
        <f>COUNTIFS('00 Encuesta'!$B$2:$B$511,"*c)*",'00 Encuesta'!$C$2:$C$511,"*a)*",'00 Encuesta'!$E$2:$E$511,"*a)*",'00 Encuesta'!$AG$2:$AG$511,"*h)*")</f>
        <v>3</v>
      </c>
      <c r="J259" s="52">
        <f t="shared" si="388"/>
        <v>9.0909090909090917</v>
      </c>
      <c r="K259" s="53">
        <f>COUNTIFS('00 Encuesta'!$B$2:$B$511,"*c)*",'00 Encuesta'!$C$2:$C$511,"*a)*",'00 Encuesta'!$E$2:$E$511,"*b)*",'00 Encuesta'!$AG$2:$AG$511,"*h)*")</f>
        <v>10</v>
      </c>
      <c r="L259" s="52">
        <f t="shared" si="410"/>
        <v>31.25</v>
      </c>
      <c r="M259" s="23"/>
      <c r="N259" s="51">
        <f t="shared" si="411"/>
        <v>13</v>
      </c>
      <c r="O259" s="52">
        <f t="shared" si="412"/>
        <v>25.490196078431371</v>
      </c>
      <c r="P259" s="53">
        <f>COUNTIFS('00 Encuesta'!$B$2:$B$511,"*c)*",'00 Encuesta'!$C$2:$C$511,"*b)*",'00 Encuesta'!$E$2:$E$511,"*a)*",'00 Encuesta'!$AG$2:$AG$511,"*h)*")</f>
        <v>4</v>
      </c>
      <c r="Q259" s="52">
        <f t="shared" si="392"/>
        <v>14.285714285714285</v>
      </c>
      <c r="R259" s="53">
        <f>COUNTIFS('00 Encuesta'!$B$2:$B$511,"*c)*",'00 Encuesta'!$C$2:$C$511,"*b)*",'00 Encuesta'!$E$2:$E$511,"*b)*",'00 Encuesta'!$AG$2:$AG$511,"*h)*")</f>
        <v>9</v>
      </c>
      <c r="S259" s="52">
        <f t="shared" si="413"/>
        <v>39.130434782608695</v>
      </c>
      <c r="T259" s="3"/>
      <c r="U259" s="51">
        <f t="shared" si="414"/>
        <v>15</v>
      </c>
      <c r="V259" s="52">
        <f t="shared" si="415"/>
        <v>30</v>
      </c>
      <c r="W259" s="53">
        <f>COUNTIFS('00 Encuesta'!$B$2:$B$511,"*c)*",'00 Encuesta'!$C$2:$C$511,"*d)*",'00 Encuesta'!$E$2:$E$511,"*a)*",'00 Encuesta'!$AG$2:$AG$511,"*h)*")</f>
        <v>10</v>
      </c>
      <c r="X259" s="52">
        <f t="shared" si="396"/>
        <v>37.037037037037038</v>
      </c>
      <c r="Y259" s="53">
        <f>COUNTIFS('00 Encuesta'!$B$2:$B$511,"*c)*",'00 Encuesta'!$C$2:$C$511,"*d)*",'00 Encuesta'!$E$2:$E$511,"*b)*",'00 Encuesta'!$AG$2:$AG$511,"*h)*")</f>
        <v>5</v>
      </c>
      <c r="Z259" s="52">
        <f t="shared" si="397"/>
        <v>21.739130434782609</v>
      </c>
      <c r="AA259" s="3"/>
      <c r="AB259" s="62">
        <f t="shared" si="398"/>
        <v>41</v>
      </c>
      <c r="AC259" s="52">
        <f t="shared" si="399"/>
        <v>24.698795180722893</v>
      </c>
      <c r="AD259" s="3"/>
      <c r="AE259" s="3"/>
      <c r="AF259" s="9" t="str">
        <f t="shared" si="400"/>
        <v>h) Las actividades extraescolares</v>
      </c>
      <c r="AG259" s="72">
        <f t="shared" si="401"/>
        <v>9.0909090909090917</v>
      </c>
      <c r="AH259" s="72">
        <f t="shared" si="402"/>
        <v>31.25</v>
      </c>
      <c r="AI259" s="73">
        <f t="shared" si="403"/>
        <v>20</v>
      </c>
      <c r="AJ259" s="73"/>
      <c r="AK259" s="76">
        <f t="shared" si="404"/>
        <v>14.285714285714285</v>
      </c>
      <c r="AL259" s="76">
        <f t="shared" si="405"/>
        <v>39.130434782608695</v>
      </c>
      <c r="AM259" s="76">
        <f t="shared" si="406"/>
        <v>25.490196078431371</v>
      </c>
      <c r="AN259" s="76"/>
      <c r="AO259" s="81">
        <f t="shared" si="407"/>
        <v>37.037037037037038</v>
      </c>
      <c r="AP259" s="81">
        <f t="shared" si="408"/>
        <v>21.739130434782609</v>
      </c>
      <c r="AQ259" s="81">
        <f t="shared" si="409"/>
        <v>30</v>
      </c>
      <c r="AR259" s="3"/>
      <c r="AS259" s="76">
        <f t="shared" si="291"/>
        <v>24.698795180722893</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x14ac:dyDescent="0.3">
      <c r="A260" s="8" t="s">
        <v>65</v>
      </c>
      <c r="B260" s="9" t="s">
        <v>190</v>
      </c>
      <c r="C260" s="7"/>
      <c r="D260" s="7"/>
      <c r="E260" s="7"/>
      <c r="F260" s="71"/>
      <c r="G260" s="51">
        <f t="shared" si="386"/>
        <v>1</v>
      </c>
      <c r="H260" s="52">
        <f t="shared" si="387"/>
        <v>1.5384615384615385</v>
      </c>
      <c r="I260" s="53">
        <f>COUNTIFS('00 Encuesta'!$B$2:$B$511,"*c)*",'00 Encuesta'!$C$2:$C$511,"*a)*",'00 Encuesta'!$E$2:$E$511,"*a)*",'00 Encuesta'!$AG$2:$AG$511,"*i)*")</f>
        <v>0</v>
      </c>
      <c r="J260" s="52">
        <f t="shared" si="388"/>
        <v>0</v>
      </c>
      <c r="K260" s="53">
        <f>COUNTIFS('00 Encuesta'!$B$2:$B$511,"*c)*",'00 Encuesta'!$C$2:$C$511,"*a)*",'00 Encuesta'!$E$2:$E$511,"*b)*",'00 Encuesta'!$AG$2:$AG$511,"*i)*")</f>
        <v>1</v>
      </c>
      <c r="L260" s="52">
        <f t="shared" si="410"/>
        <v>3.125</v>
      </c>
      <c r="M260" s="23"/>
      <c r="N260" s="51">
        <f t="shared" si="411"/>
        <v>5</v>
      </c>
      <c r="O260" s="52">
        <f t="shared" si="412"/>
        <v>9.8039215686274517</v>
      </c>
      <c r="P260" s="53">
        <f>COUNTIFS('00 Encuesta'!$B$2:$B$511,"*c)*",'00 Encuesta'!$C$2:$C$511,"*b)*",'00 Encuesta'!$E$2:$E$511,"*a)*",'00 Encuesta'!$AG$2:$AG$511,"*i)*")</f>
        <v>3</v>
      </c>
      <c r="Q260" s="52">
        <f t="shared" si="392"/>
        <v>10.714285714285714</v>
      </c>
      <c r="R260" s="53">
        <f>COUNTIFS('00 Encuesta'!$B$2:$B$511,"*c)*",'00 Encuesta'!$C$2:$C$511,"*b)*",'00 Encuesta'!$E$2:$E$511,"*b)*",'00 Encuesta'!$AG$2:$AG$511,"*i)*")</f>
        <v>2</v>
      </c>
      <c r="S260" s="52">
        <f t="shared" si="413"/>
        <v>8.695652173913043</v>
      </c>
      <c r="T260" s="3"/>
      <c r="U260" s="51">
        <f t="shared" si="414"/>
        <v>4</v>
      </c>
      <c r="V260" s="52">
        <f t="shared" si="415"/>
        <v>8</v>
      </c>
      <c r="W260" s="53">
        <f>COUNTIFS('00 Encuesta'!$B$2:$B$511,"*c)*",'00 Encuesta'!$C$2:$C$511,"*d)*",'00 Encuesta'!$E$2:$E$511,"*a)*",'00 Encuesta'!$AG$2:$AG$511,"*i)*")</f>
        <v>3</v>
      </c>
      <c r="X260" s="52">
        <f t="shared" si="396"/>
        <v>11.111111111111111</v>
      </c>
      <c r="Y260" s="53">
        <f>COUNTIFS('00 Encuesta'!$B$2:$B$511,"*c)*",'00 Encuesta'!$C$2:$C$511,"*d)*",'00 Encuesta'!$E$2:$E$511,"*b)*",'00 Encuesta'!$AG$2:$AG$511,"*i)*")</f>
        <v>1</v>
      </c>
      <c r="Z260" s="52">
        <f t="shared" si="397"/>
        <v>4.3478260869565215</v>
      </c>
      <c r="AA260" s="3"/>
      <c r="AB260" s="62">
        <f t="shared" si="398"/>
        <v>10</v>
      </c>
      <c r="AC260" s="52">
        <f t="shared" si="399"/>
        <v>6.024096385542169</v>
      </c>
      <c r="AD260" s="3"/>
      <c r="AE260" s="3"/>
      <c r="AF260" s="9" t="str">
        <f t="shared" si="400"/>
        <v>i) No me gusta nada</v>
      </c>
      <c r="AG260" s="72">
        <f t="shared" si="401"/>
        <v>0</v>
      </c>
      <c r="AH260" s="72">
        <f t="shared" si="402"/>
        <v>3.125</v>
      </c>
      <c r="AI260" s="73">
        <f t="shared" si="403"/>
        <v>1.5384615384615385</v>
      </c>
      <c r="AJ260" s="73"/>
      <c r="AK260" s="76">
        <f t="shared" si="404"/>
        <v>10.714285714285714</v>
      </c>
      <c r="AL260" s="76">
        <f t="shared" si="405"/>
        <v>8.695652173913043</v>
      </c>
      <c r="AM260" s="76">
        <f t="shared" si="406"/>
        <v>9.8039215686274517</v>
      </c>
      <c r="AN260" s="76"/>
      <c r="AO260" s="81">
        <f t="shared" si="407"/>
        <v>11.111111111111111</v>
      </c>
      <c r="AP260" s="81">
        <f t="shared" si="408"/>
        <v>4.3478260869565215</v>
      </c>
      <c r="AQ260" s="81">
        <f t="shared" si="409"/>
        <v>8</v>
      </c>
      <c r="AR260" s="3"/>
      <c r="AS260" s="76">
        <f t="shared" si="291"/>
        <v>6.024096385542169</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x14ac:dyDescent="0.3">
      <c r="A261" s="8" t="s">
        <v>23</v>
      </c>
      <c r="B261" s="9" t="s">
        <v>24</v>
      </c>
      <c r="C261" s="7"/>
      <c r="D261" s="7"/>
      <c r="E261" s="7"/>
      <c r="F261" s="71"/>
      <c r="G261" s="51">
        <f t="shared" si="386"/>
        <v>0</v>
      </c>
      <c r="H261" s="52">
        <f t="shared" si="387"/>
        <v>0</v>
      </c>
      <c r="I261" s="53"/>
      <c r="J261" s="52">
        <f t="shared" si="388"/>
        <v>0</v>
      </c>
      <c r="K261" s="53"/>
      <c r="L261" s="52">
        <f t="shared" ref="L261" si="416">K261/$J$7*100</f>
        <v>0</v>
      </c>
      <c r="M261" s="23"/>
      <c r="N261" s="51">
        <f t="shared" ref="N261" si="417">P261+R261</f>
        <v>0</v>
      </c>
      <c r="O261" s="52">
        <f t="shared" ref="O261" si="418">N261/$Q$5*100</f>
        <v>0</v>
      </c>
      <c r="P261" s="53"/>
      <c r="Q261" s="52">
        <f t="shared" ref="Q261" si="419">P261/$Q$6*100</f>
        <v>0</v>
      </c>
      <c r="R261" s="53"/>
      <c r="S261" s="52">
        <f t="shared" ref="S261" si="420">R261/$Q$7*100</f>
        <v>0</v>
      </c>
      <c r="T261" s="3"/>
      <c r="U261" s="51">
        <f t="shared" ref="U261" si="421">W261+Y261</f>
        <v>0</v>
      </c>
      <c r="V261" s="52">
        <f t="shared" ref="V261" si="422">U261/$X$5*100</f>
        <v>0</v>
      </c>
      <c r="W261" s="53"/>
      <c r="X261" s="52">
        <f t="shared" ref="X261" si="423">W261/$X$6*100</f>
        <v>0</v>
      </c>
      <c r="Y261" s="53"/>
      <c r="Z261" s="52">
        <f t="shared" si="397"/>
        <v>0</v>
      </c>
      <c r="AA261" s="3"/>
      <c r="AB261" s="62">
        <f t="shared" si="398"/>
        <v>0</v>
      </c>
      <c r="AC261" s="52">
        <f t="shared" si="399"/>
        <v>0</v>
      </c>
      <c r="AD261" s="3"/>
      <c r="AE261" s="3"/>
      <c r="AF261" s="9" t="str">
        <f t="shared" si="400"/>
        <v>S/R Sin Respuesta</v>
      </c>
      <c r="AG261" s="72">
        <f t="shared" si="401"/>
        <v>0</v>
      </c>
      <c r="AH261" s="72">
        <f t="shared" si="402"/>
        <v>0</v>
      </c>
      <c r="AI261" s="73">
        <f t="shared" si="403"/>
        <v>0</v>
      </c>
      <c r="AJ261" s="73"/>
      <c r="AK261" s="76">
        <f t="shared" si="404"/>
        <v>0</v>
      </c>
      <c r="AL261" s="76">
        <f t="shared" si="405"/>
        <v>0</v>
      </c>
      <c r="AM261" s="76">
        <f t="shared" si="406"/>
        <v>0</v>
      </c>
      <c r="AN261" s="76"/>
      <c r="AO261" s="81">
        <f t="shared" si="407"/>
        <v>0</v>
      </c>
      <c r="AP261" s="81">
        <f t="shared" si="408"/>
        <v>0</v>
      </c>
      <c r="AQ261" s="81">
        <f t="shared" si="409"/>
        <v>0</v>
      </c>
      <c r="AR261" s="3"/>
      <c r="AS261" s="76">
        <f t="shared" si="291"/>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x14ac:dyDescent="0.3">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x14ac:dyDescent="0.3">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x14ac:dyDescent="0.3">
      <c r="A264" s="8" t="s">
        <v>17</v>
      </c>
      <c r="B264" s="9" t="s">
        <v>192</v>
      </c>
      <c r="C264" s="7"/>
      <c r="D264" s="7"/>
      <c r="E264" s="7"/>
      <c r="F264" s="71"/>
      <c r="G264" s="51">
        <f t="shared" ref="G264:G270" si="424">I264+K264</f>
        <v>21</v>
      </c>
      <c r="H264" s="52">
        <f t="shared" ref="H264:H270" si="425">G264/$J$5*100</f>
        <v>32.307692307692307</v>
      </c>
      <c r="I264" s="53">
        <f>COUNTIFS('00 Encuesta'!$B$2:$B$511,"*c)*",'00 Encuesta'!$C$2:$C$511,"*a)*",'00 Encuesta'!$E$2:$E$511,"*a)*",'00 Encuesta'!$AI$2:$AI$511,"*a)*")</f>
        <v>10</v>
      </c>
      <c r="J264" s="52">
        <f t="shared" ref="J264:J270" si="426">I264/$J$6*100</f>
        <v>30.303030303030305</v>
      </c>
      <c r="K264" s="53">
        <f>COUNTIFS('00 Encuesta'!$B$2:$B$511,"*c)*",'00 Encuesta'!$C$2:$C$511,"*a)*",'00 Encuesta'!$E$2:$E$511,"*b)*",'00 Encuesta'!$AI$2:$AI$511,"*a)*")</f>
        <v>11</v>
      </c>
      <c r="L264" s="52">
        <f t="shared" ref="L264:L269" si="427">K264/$J$7*100</f>
        <v>34.375</v>
      </c>
      <c r="M264" s="23"/>
      <c r="N264" s="51">
        <f t="shared" ref="N264:N269" si="428">P264+R264</f>
        <v>19</v>
      </c>
      <c r="O264" s="52">
        <f t="shared" ref="O264:O269" si="429">N264/$Q$5*100</f>
        <v>37.254901960784316</v>
      </c>
      <c r="P264" s="53">
        <f>COUNTIFS('00 Encuesta'!$B$2:$B$511,"*c)*",'00 Encuesta'!$C$2:$C$511,"*b)*",'00 Encuesta'!$E$2:$E$511,"*a)*",'00 Encuesta'!$AI$2:$AI$511,"*a)*")</f>
        <v>9</v>
      </c>
      <c r="Q264" s="52">
        <f t="shared" ref="Q264:Q269" si="430">P264/$Q$6*100</f>
        <v>32.142857142857146</v>
      </c>
      <c r="R264" s="53">
        <f>COUNTIFS('00 Encuesta'!$B$2:$B$511,"*c)*",'00 Encuesta'!$C$2:$C$511,"*b)*",'00 Encuesta'!$E$2:$E$511,"*b)*",'00 Encuesta'!$AI$2:$AI$511,"*a)*")</f>
        <v>10</v>
      </c>
      <c r="S264" s="52">
        <f t="shared" ref="S264:S269" si="431">R264/$Q$7*100</f>
        <v>43.478260869565219</v>
      </c>
      <c r="T264" s="3"/>
      <c r="U264" s="51">
        <f t="shared" ref="U264:U269" si="432">W264+Y264</f>
        <v>25</v>
      </c>
      <c r="V264" s="52">
        <f t="shared" ref="V264:V269" si="433">U264/$X$5*100</f>
        <v>50</v>
      </c>
      <c r="W264" s="53">
        <f>COUNTIFS('00 Encuesta'!$B$2:$B$511,"*c)*",'00 Encuesta'!$C$2:$C$511,"*d)*",'00 Encuesta'!$E$2:$E$511,"*a)*",'00 Encuesta'!$AI$2:$AI$511,"*a)*")</f>
        <v>16</v>
      </c>
      <c r="X264" s="52">
        <f t="shared" ref="X264:X269" si="434">W264/$X$6*100</f>
        <v>59.259259259259252</v>
      </c>
      <c r="Y264" s="53">
        <f>COUNTIFS('00 Encuesta'!$B$2:$B$511,"*c)*",'00 Encuesta'!$C$2:$C$511,"*d)*",'00 Encuesta'!$E$2:$E$511,"*b)*",'00 Encuesta'!$AI$2:$AI$511,"*a)*")</f>
        <v>9</v>
      </c>
      <c r="Z264" s="52">
        <f t="shared" ref="Z264:Z270" si="435">Y264/$X$7*100</f>
        <v>39.130434782608695</v>
      </c>
      <c r="AA264" s="3"/>
      <c r="AB264" s="62">
        <f t="shared" ref="AB264:AB270" si="436">G264+N264+U264</f>
        <v>65</v>
      </c>
      <c r="AC264" s="52">
        <f t="shared" ref="AC264:AC270" si="437">AB264*100/$AC$5</f>
        <v>39.156626506024097</v>
      </c>
      <c r="AD264" s="3"/>
      <c r="AE264" s="3"/>
      <c r="AF264" s="9" t="str">
        <f t="shared" ref="AF264:AF270" si="438">A264&amp;" "&amp;B264</f>
        <v>a) De 0 a 2 horas</v>
      </c>
      <c r="AG264" s="72">
        <f t="shared" ref="AG264:AG270" si="439">J264</f>
        <v>30.303030303030305</v>
      </c>
      <c r="AH264" s="72">
        <f t="shared" ref="AH264:AH270" si="440">L264</f>
        <v>34.375</v>
      </c>
      <c r="AI264" s="73">
        <f t="shared" ref="AI264:AI270" si="441">H264</f>
        <v>32.307692307692307</v>
      </c>
      <c r="AJ264" s="73"/>
      <c r="AK264" s="76">
        <f t="shared" ref="AK264:AK270" si="442">Q264</f>
        <v>32.142857142857146</v>
      </c>
      <c r="AL264" s="76">
        <f t="shared" ref="AL264:AL270" si="443">S264</f>
        <v>43.478260869565219</v>
      </c>
      <c r="AM264" s="76">
        <f t="shared" ref="AM264:AM270" si="444">O264</f>
        <v>37.254901960784316</v>
      </c>
      <c r="AN264" s="76"/>
      <c r="AO264" s="81">
        <f t="shared" ref="AO264:AO270" si="445">X264</f>
        <v>59.259259259259252</v>
      </c>
      <c r="AP264" s="81">
        <f t="shared" ref="AP264:AP270" si="446">Z264</f>
        <v>39.130434782608695</v>
      </c>
      <c r="AQ264" s="81">
        <f t="shared" ref="AQ264:AQ270" si="447">V264</f>
        <v>50</v>
      </c>
      <c r="AR264" s="3"/>
      <c r="AS264" s="76">
        <f t="shared" si="291"/>
        <v>39.156626506024097</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x14ac:dyDescent="0.3">
      <c r="A265" s="8" t="s">
        <v>18</v>
      </c>
      <c r="B265" s="9" t="s">
        <v>193</v>
      </c>
      <c r="C265" s="7"/>
      <c r="D265" s="7"/>
      <c r="E265" s="7"/>
      <c r="F265" s="71"/>
      <c r="G265" s="51">
        <f t="shared" si="424"/>
        <v>12</v>
      </c>
      <c r="H265" s="52">
        <f t="shared" si="425"/>
        <v>18.461538461538463</v>
      </c>
      <c r="I265" s="53">
        <f>COUNTIFS('00 Encuesta'!$B$2:$B$511,"*c)*",'00 Encuesta'!$C$2:$C$511,"*a)*",'00 Encuesta'!$E$2:$E$511,"*a)*",'00 Encuesta'!$AI$2:$AI$511,"*b)*")</f>
        <v>7</v>
      </c>
      <c r="J265" s="52">
        <f t="shared" si="426"/>
        <v>21.212121212121211</v>
      </c>
      <c r="K265" s="53">
        <f>COUNTIFS('00 Encuesta'!$B$2:$B$511,"*c)*",'00 Encuesta'!$C$2:$C$511,"*a)*",'00 Encuesta'!$E$2:$E$511,"*b)*",'00 Encuesta'!$AI$2:$AI$511,"*b)*")</f>
        <v>5</v>
      </c>
      <c r="L265" s="52">
        <f t="shared" si="427"/>
        <v>15.625</v>
      </c>
      <c r="M265" s="23"/>
      <c r="N265" s="51">
        <f t="shared" si="428"/>
        <v>15</v>
      </c>
      <c r="O265" s="52">
        <f t="shared" si="429"/>
        <v>29.411764705882355</v>
      </c>
      <c r="P265" s="53">
        <f>COUNTIFS('00 Encuesta'!$B$2:$B$511,"*c)*",'00 Encuesta'!$C$2:$C$511,"*b)*",'00 Encuesta'!$E$2:$E$511,"*a)*",'00 Encuesta'!$AI$2:$AI$511,"*b)*")</f>
        <v>8</v>
      </c>
      <c r="Q265" s="52">
        <f t="shared" si="430"/>
        <v>28.571428571428569</v>
      </c>
      <c r="R265" s="53">
        <f>COUNTIFS('00 Encuesta'!$B$2:$B$511,"*c)*",'00 Encuesta'!$C$2:$C$511,"*b)*",'00 Encuesta'!$E$2:$E$511,"*b)*",'00 Encuesta'!$AI$2:$AI$511,"*b)*")</f>
        <v>7</v>
      </c>
      <c r="S265" s="52">
        <f t="shared" si="431"/>
        <v>30.434782608695656</v>
      </c>
      <c r="T265" s="3"/>
      <c r="U265" s="51">
        <f t="shared" si="432"/>
        <v>8</v>
      </c>
      <c r="V265" s="52">
        <f t="shared" si="433"/>
        <v>16</v>
      </c>
      <c r="W265" s="53">
        <f>COUNTIFS('00 Encuesta'!$B$2:$B$511,"*c)*",'00 Encuesta'!$C$2:$C$511,"*d)*",'00 Encuesta'!$E$2:$E$511,"*a)*",'00 Encuesta'!$AI$2:$AI$511,"*b)*")</f>
        <v>5</v>
      </c>
      <c r="X265" s="52">
        <f t="shared" si="434"/>
        <v>18.518518518518519</v>
      </c>
      <c r="Y265" s="53">
        <f>COUNTIFS('00 Encuesta'!$B$2:$B$511,"*c)*",'00 Encuesta'!$C$2:$C$511,"*d)*",'00 Encuesta'!$E$2:$E$511,"*b)*",'00 Encuesta'!$AI$2:$AI$511,"*b)*")</f>
        <v>3</v>
      </c>
      <c r="Z265" s="52">
        <f t="shared" si="435"/>
        <v>13.043478260869565</v>
      </c>
      <c r="AA265" s="3"/>
      <c r="AB265" s="62">
        <f t="shared" si="436"/>
        <v>35</v>
      </c>
      <c r="AC265" s="52">
        <f t="shared" si="437"/>
        <v>21.08433734939759</v>
      </c>
      <c r="AD265" s="3"/>
      <c r="AE265" s="3"/>
      <c r="AF265" s="9" t="str">
        <f t="shared" si="438"/>
        <v>b) De 3 a 4 horas</v>
      </c>
      <c r="AG265" s="72">
        <f t="shared" si="439"/>
        <v>21.212121212121211</v>
      </c>
      <c r="AH265" s="72">
        <f t="shared" si="440"/>
        <v>15.625</v>
      </c>
      <c r="AI265" s="73">
        <f t="shared" si="441"/>
        <v>18.461538461538463</v>
      </c>
      <c r="AJ265" s="73"/>
      <c r="AK265" s="76">
        <f t="shared" si="442"/>
        <v>28.571428571428569</v>
      </c>
      <c r="AL265" s="76">
        <f t="shared" si="443"/>
        <v>30.434782608695656</v>
      </c>
      <c r="AM265" s="76">
        <f t="shared" si="444"/>
        <v>29.411764705882355</v>
      </c>
      <c r="AN265" s="76"/>
      <c r="AO265" s="81">
        <f t="shared" si="445"/>
        <v>18.518518518518519</v>
      </c>
      <c r="AP265" s="81">
        <f t="shared" si="446"/>
        <v>13.043478260869565</v>
      </c>
      <c r="AQ265" s="81">
        <f t="shared" si="447"/>
        <v>16</v>
      </c>
      <c r="AR265" s="3"/>
      <c r="AS265" s="76">
        <f t="shared" si="291"/>
        <v>21.08433734939759</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x14ac:dyDescent="0.3">
      <c r="A266" s="8" t="s">
        <v>20</v>
      </c>
      <c r="B266" s="9" t="s">
        <v>194</v>
      </c>
      <c r="C266" s="7"/>
      <c r="D266" s="7"/>
      <c r="E266" s="7"/>
      <c r="F266" s="71"/>
      <c r="G266" s="51">
        <f t="shared" si="424"/>
        <v>9</v>
      </c>
      <c r="H266" s="52">
        <f t="shared" si="425"/>
        <v>13.846153846153847</v>
      </c>
      <c r="I266" s="53">
        <f>COUNTIFS('00 Encuesta'!$B$2:$B$511,"*c)*",'00 Encuesta'!$C$2:$C$511,"*a)*",'00 Encuesta'!$E$2:$E$511,"*a)*",'00 Encuesta'!$AI$2:$AI$511,"*c)*")</f>
        <v>6</v>
      </c>
      <c r="J266" s="52">
        <f t="shared" si="426"/>
        <v>18.181818181818183</v>
      </c>
      <c r="K266" s="53">
        <f>COUNTIFS('00 Encuesta'!$B$2:$B$511,"*c)*",'00 Encuesta'!$C$2:$C$511,"*a)*",'00 Encuesta'!$E$2:$E$511,"*b)*",'00 Encuesta'!$AI$2:$AI$511,"*c)*")</f>
        <v>3</v>
      </c>
      <c r="L266" s="52">
        <f t="shared" si="427"/>
        <v>9.375</v>
      </c>
      <c r="M266" s="23"/>
      <c r="N266" s="51">
        <f t="shared" si="428"/>
        <v>3</v>
      </c>
      <c r="O266" s="52">
        <f t="shared" si="429"/>
        <v>5.8823529411764701</v>
      </c>
      <c r="P266" s="53">
        <f>COUNTIFS('00 Encuesta'!$B$2:$B$511,"*c)*",'00 Encuesta'!$C$2:$C$511,"*b)*",'00 Encuesta'!$E$2:$E$511,"*a)*",'00 Encuesta'!$AI$2:$AI$511,"*c)*")</f>
        <v>1</v>
      </c>
      <c r="Q266" s="52">
        <f t="shared" si="430"/>
        <v>3.5714285714285712</v>
      </c>
      <c r="R266" s="53">
        <f>COUNTIFS('00 Encuesta'!$B$2:$B$511,"*c)*",'00 Encuesta'!$C$2:$C$511,"*b)*",'00 Encuesta'!$E$2:$E$511,"*b)*",'00 Encuesta'!$AI$2:$AI$511,"*c)*")</f>
        <v>2</v>
      </c>
      <c r="S266" s="52">
        <f t="shared" si="431"/>
        <v>8.695652173913043</v>
      </c>
      <c r="T266" s="3"/>
      <c r="U266" s="51">
        <f t="shared" si="432"/>
        <v>6</v>
      </c>
      <c r="V266" s="52">
        <f t="shared" si="433"/>
        <v>12</v>
      </c>
      <c r="W266" s="53">
        <f>COUNTIFS('00 Encuesta'!$B$2:$B$511,"*c)*",'00 Encuesta'!$C$2:$C$511,"*d)*",'00 Encuesta'!$E$2:$E$511,"*a)*",'00 Encuesta'!$AI$2:$AI$511,"*c)*")</f>
        <v>2</v>
      </c>
      <c r="X266" s="52">
        <f t="shared" si="434"/>
        <v>7.4074074074074066</v>
      </c>
      <c r="Y266" s="53">
        <f>COUNTIFS('00 Encuesta'!$B$2:$B$511,"*c)*",'00 Encuesta'!$C$2:$C$511,"*d)*",'00 Encuesta'!$E$2:$E$511,"*b)*",'00 Encuesta'!$AI$2:$AI$511,"*c)*")</f>
        <v>4</v>
      </c>
      <c r="Z266" s="52">
        <f t="shared" si="435"/>
        <v>17.391304347826086</v>
      </c>
      <c r="AA266" s="3"/>
      <c r="AB266" s="62">
        <f t="shared" si="436"/>
        <v>18</v>
      </c>
      <c r="AC266" s="52">
        <f t="shared" si="437"/>
        <v>10.843373493975903</v>
      </c>
      <c r="AD266" s="3"/>
      <c r="AE266" s="3"/>
      <c r="AF266" s="9" t="str">
        <f t="shared" si="438"/>
        <v>c) De 5 a 6 horas</v>
      </c>
      <c r="AG266" s="72">
        <f t="shared" si="439"/>
        <v>18.181818181818183</v>
      </c>
      <c r="AH266" s="72">
        <f t="shared" si="440"/>
        <v>9.375</v>
      </c>
      <c r="AI266" s="73">
        <f t="shared" si="441"/>
        <v>13.846153846153847</v>
      </c>
      <c r="AJ266" s="73"/>
      <c r="AK266" s="76">
        <f t="shared" si="442"/>
        <v>3.5714285714285712</v>
      </c>
      <c r="AL266" s="76">
        <f t="shared" si="443"/>
        <v>8.695652173913043</v>
      </c>
      <c r="AM266" s="76">
        <f t="shared" si="444"/>
        <v>5.8823529411764701</v>
      </c>
      <c r="AN266" s="76"/>
      <c r="AO266" s="81">
        <f t="shared" si="445"/>
        <v>7.4074074074074066</v>
      </c>
      <c r="AP266" s="81">
        <f t="shared" si="446"/>
        <v>17.391304347826086</v>
      </c>
      <c r="AQ266" s="81">
        <f t="shared" si="447"/>
        <v>12</v>
      </c>
      <c r="AR266" s="3"/>
      <c r="AS266" s="76">
        <f t="shared" si="291"/>
        <v>10.843373493975903</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x14ac:dyDescent="0.3">
      <c r="A267" s="8" t="s">
        <v>21</v>
      </c>
      <c r="B267" s="9" t="s">
        <v>195</v>
      </c>
      <c r="C267" s="7"/>
      <c r="D267" s="7"/>
      <c r="E267" s="7"/>
      <c r="F267" s="71"/>
      <c r="G267" s="51">
        <f t="shared" si="424"/>
        <v>5</v>
      </c>
      <c r="H267" s="52">
        <f t="shared" si="425"/>
        <v>7.6923076923076925</v>
      </c>
      <c r="I267" s="53">
        <f>COUNTIFS('00 Encuesta'!$B$2:$B$511,"*c)*",'00 Encuesta'!$C$2:$C$511,"*a)*",'00 Encuesta'!$E$2:$E$511,"*a)*",'00 Encuesta'!$AI$2:$AI$511,"*d)*")</f>
        <v>2</v>
      </c>
      <c r="J267" s="52">
        <f t="shared" si="426"/>
        <v>6.0606060606060606</v>
      </c>
      <c r="K267" s="53">
        <f>COUNTIFS('00 Encuesta'!$B$2:$B$511,"*c)*",'00 Encuesta'!$C$2:$C$511,"*a)*",'00 Encuesta'!$E$2:$E$511,"*b)*",'00 Encuesta'!$AI$2:$AI$511,"*d)*")</f>
        <v>3</v>
      </c>
      <c r="L267" s="52">
        <f t="shared" si="427"/>
        <v>9.375</v>
      </c>
      <c r="M267" s="23"/>
      <c r="N267" s="51">
        <f t="shared" si="428"/>
        <v>6</v>
      </c>
      <c r="O267" s="52">
        <f t="shared" si="429"/>
        <v>11.76470588235294</v>
      </c>
      <c r="P267" s="53">
        <f>COUNTIFS('00 Encuesta'!$B$2:$B$511,"*c)*",'00 Encuesta'!$C$2:$C$511,"*b)*",'00 Encuesta'!$E$2:$E$511,"*a)*",'00 Encuesta'!$AI$2:$AI$511,"*d)*")</f>
        <v>3</v>
      </c>
      <c r="Q267" s="52">
        <f t="shared" si="430"/>
        <v>10.714285714285714</v>
      </c>
      <c r="R267" s="53">
        <f>COUNTIFS('00 Encuesta'!$B$2:$B$511,"*c)*",'00 Encuesta'!$C$2:$C$511,"*b)*",'00 Encuesta'!$E$2:$E$511,"*b)*",'00 Encuesta'!$AI$2:$AI$511,"*d)*")</f>
        <v>3</v>
      </c>
      <c r="S267" s="52">
        <f t="shared" si="431"/>
        <v>13.043478260869565</v>
      </c>
      <c r="T267" s="3"/>
      <c r="U267" s="51">
        <f t="shared" si="432"/>
        <v>1</v>
      </c>
      <c r="V267" s="52">
        <f t="shared" si="433"/>
        <v>2</v>
      </c>
      <c r="W267" s="53">
        <f>COUNTIFS('00 Encuesta'!$B$2:$B$511,"*c)*",'00 Encuesta'!$C$2:$C$511,"*d)*",'00 Encuesta'!$E$2:$E$511,"*a)*",'00 Encuesta'!$AI$2:$AI$511,"*d)*")</f>
        <v>0</v>
      </c>
      <c r="X267" s="52">
        <f t="shared" si="434"/>
        <v>0</v>
      </c>
      <c r="Y267" s="53">
        <f>COUNTIFS('00 Encuesta'!$B$2:$B$511,"*c)*",'00 Encuesta'!$C$2:$C$511,"*d)*",'00 Encuesta'!$E$2:$E$511,"*b)*",'00 Encuesta'!$AI$2:$AI$511,"*d)*")</f>
        <v>1</v>
      </c>
      <c r="Z267" s="52">
        <f t="shared" si="435"/>
        <v>4.3478260869565215</v>
      </c>
      <c r="AA267" s="3"/>
      <c r="AB267" s="62">
        <f t="shared" si="436"/>
        <v>12</v>
      </c>
      <c r="AC267" s="52">
        <f t="shared" si="437"/>
        <v>7.2289156626506026</v>
      </c>
      <c r="AD267" s="3"/>
      <c r="AE267" s="3"/>
      <c r="AF267" s="9" t="str">
        <f t="shared" si="438"/>
        <v>d) De 7 a 8 horas</v>
      </c>
      <c r="AG267" s="72">
        <f t="shared" si="439"/>
        <v>6.0606060606060606</v>
      </c>
      <c r="AH267" s="72">
        <f t="shared" si="440"/>
        <v>9.375</v>
      </c>
      <c r="AI267" s="73">
        <f t="shared" si="441"/>
        <v>7.6923076923076925</v>
      </c>
      <c r="AJ267" s="73"/>
      <c r="AK267" s="76">
        <f t="shared" si="442"/>
        <v>10.714285714285714</v>
      </c>
      <c r="AL267" s="76">
        <f t="shared" si="443"/>
        <v>13.043478260869565</v>
      </c>
      <c r="AM267" s="76">
        <f t="shared" si="444"/>
        <v>11.76470588235294</v>
      </c>
      <c r="AN267" s="76"/>
      <c r="AO267" s="81">
        <f t="shared" si="445"/>
        <v>0</v>
      </c>
      <c r="AP267" s="81">
        <f t="shared" si="446"/>
        <v>4.3478260869565215</v>
      </c>
      <c r="AQ267" s="81">
        <f t="shared" si="447"/>
        <v>2</v>
      </c>
      <c r="AR267" s="3"/>
      <c r="AS267" s="76">
        <f t="shared" si="291"/>
        <v>7.2289156626506026</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x14ac:dyDescent="0.3">
      <c r="A268" s="8" t="s">
        <v>22</v>
      </c>
      <c r="B268" s="9" t="s">
        <v>196</v>
      </c>
      <c r="C268" s="7"/>
      <c r="D268" s="7"/>
      <c r="E268" s="7"/>
      <c r="F268" s="71"/>
      <c r="G268" s="51">
        <f t="shared" si="424"/>
        <v>5</v>
      </c>
      <c r="H268" s="52">
        <f t="shared" si="425"/>
        <v>7.6923076923076925</v>
      </c>
      <c r="I268" s="53">
        <f>COUNTIFS('00 Encuesta'!$B$2:$B$511,"*c)*",'00 Encuesta'!$C$2:$C$511,"*a)*",'00 Encuesta'!$E$2:$E$511,"*a)*",'00 Encuesta'!$AI$2:$AI$511,"*e)*")</f>
        <v>2</v>
      </c>
      <c r="J268" s="52">
        <f t="shared" si="426"/>
        <v>6.0606060606060606</v>
      </c>
      <c r="K268" s="53">
        <f>COUNTIFS('00 Encuesta'!$B$2:$B$511,"*c)*",'00 Encuesta'!$C$2:$C$511,"*a)*",'00 Encuesta'!$E$2:$E$511,"*b)*",'00 Encuesta'!$AI$2:$AI$511,"*e)*")</f>
        <v>3</v>
      </c>
      <c r="L268" s="52">
        <f t="shared" si="427"/>
        <v>9.375</v>
      </c>
      <c r="M268" s="23"/>
      <c r="N268" s="51">
        <f t="shared" si="428"/>
        <v>6</v>
      </c>
      <c r="O268" s="52">
        <f t="shared" si="429"/>
        <v>11.76470588235294</v>
      </c>
      <c r="P268" s="53">
        <f>COUNTIFS('00 Encuesta'!$B$2:$B$511,"*c)*",'00 Encuesta'!$C$2:$C$511,"*b)*",'00 Encuesta'!$E$2:$E$511,"*a)*",'00 Encuesta'!$AI$2:$AI$511,"*e)*")</f>
        <v>5</v>
      </c>
      <c r="Q268" s="52">
        <f t="shared" si="430"/>
        <v>17.857142857142858</v>
      </c>
      <c r="R268" s="53">
        <f>COUNTIFS('00 Encuesta'!$B$2:$B$511,"*c)*",'00 Encuesta'!$C$2:$C$511,"*b)*",'00 Encuesta'!$E$2:$E$511,"*b)*",'00 Encuesta'!$AI$2:$AI$511,"*e)*")</f>
        <v>1</v>
      </c>
      <c r="S268" s="52">
        <f t="shared" si="431"/>
        <v>4.3478260869565215</v>
      </c>
      <c r="T268" s="3"/>
      <c r="U268" s="51">
        <f t="shared" si="432"/>
        <v>2</v>
      </c>
      <c r="V268" s="52">
        <f t="shared" si="433"/>
        <v>4</v>
      </c>
      <c r="W268" s="53">
        <f>COUNTIFS('00 Encuesta'!$B$2:$B$511,"*c)*",'00 Encuesta'!$C$2:$C$511,"*d)*",'00 Encuesta'!$E$2:$E$511,"*a)*",'00 Encuesta'!$AI$2:$AI$511,"*e)*")</f>
        <v>1</v>
      </c>
      <c r="X268" s="52">
        <f t="shared" si="434"/>
        <v>3.7037037037037033</v>
      </c>
      <c r="Y268" s="53">
        <f>COUNTIFS('00 Encuesta'!$B$2:$B$511,"*c)*",'00 Encuesta'!$C$2:$C$511,"*d)*",'00 Encuesta'!$E$2:$E$511,"*b)*",'00 Encuesta'!$AI$2:$AI$511,"*e)*")</f>
        <v>1</v>
      </c>
      <c r="Z268" s="52">
        <f t="shared" si="435"/>
        <v>4.3478260869565215</v>
      </c>
      <c r="AA268" s="3"/>
      <c r="AB268" s="62">
        <f t="shared" si="436"/>
        <v>13</v>
      </c>
      <c r="AC268" s="52">
        <f t="shared" si="437"/>
        <v>7.831325301204819</v>
      </c>
      <c r="AD268" s="3"/>
      <c r="AE268" s="3"/>
      <c r="AF268" s="9" t="str">
        <f t="shared" si="438"/>
        <v>e) De 9 a 10 horas</v>
      </c>
      <c r="AG268" s="72">
        <f t="shared" si="439"/>
        <v>6.0606060606060606</v>
      </c>
      <c r="AH268" s="72">
        <f t="shared" si="440"/>
        <v>9.375</v>
      </c>
      <c r="AI268" s="73">
        <f t="shared" si="441"/>
        <v>7.6923076923076925</v>
      </c>
      <c r="AJ268" s="73"/>
      <c r="AK268" s="76">
        <f t="shared" si="442"/>
        <v>17.857142857142858</v>
      </c>
      <c r="AL268" s="76">
        <f t="shared" si="443"/>
        <v>4.3478260869565215</v>
      </c>
      <c r="AM268" s="76">
        <f t="shared" si="444"/>
        <v>11.76470588235294</v>
      </c>
      <c r="AN268" s="76"/>
      <c r="AO268" s="81">
        <f t="shared" si="445"/>
        <v>3.7037037037037033</v>
      </c>
      <c r="AP268" s="81">
        <f t="shared" si="446"/>
        <v>4.3478260869565215</v>
      </c>
      <c r="AQ268" s="81">
        <f t="shared" si="447"/>
        <v>4</v>
      </c>
      <c r="AR268" s="3"/>
      <c r="AS268" s="76">
        <f t="shared" si="291"/>
        <v>7.831325301204819</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x14ac:dyDescent="0.3">
      <c r="A269" s="8" t="s">
        <v>45</v>
      </c>
      <c r="B269" s="9" t="s">
        <v>197</v>
      </c>
      <c r="C269" s="7"/>
      <c r="D269" s="7"/>
      <c r="E269" s="7"/>
      <c r="F269" s="71"/>
      <c r="G269" s="51">
        <f t="shared" si="424"/>
        <v>10</v>
      </c>
      <c r="H269" s="52">
        <f t="shared" si="425"/>
        <v>15.384615384615385</v>
      </c>
      <c r="I269" s="53">
        <f>COUNTIFS('00 Encuesta'!$B$2:$B$511,"*c)*",'00 Encuesta'!$C$2:$C$511,"*a)*",'00 Encuesta'!$E$2:$E$511,"*a)*",'00 Encuesta'!$AI$2:$AI$511,"*f)*")</f>
        <v>4</v>
      </c>
      <c r="J269" s="52">
        <f t="shared" si="426"/>
        <v>12.121212121212121</v>
      </c>
      <c r="K269" s="53">
        <f>COUNTIFS('00 Encuesta'!$B$2:$B$511,"*c)*",'00 Encuesta'!$C$2:$C$511,"*a)*",'00 Encuesta'!$E$2:$E$511,"*b)*",'00 Encuesta'!$AI$2:$AI$511,"*f)*")</f>
        <v>6</v>
      </c>
      <c r="L269" s="52">
        <f t="shared" si="427"/>
        <v>18.75</v>
      </c>
      <c r="M269" s="23"/>
      <c r="N269" s="51">
        <f t="shared" si="428"/>
        <v>2</v>
      </c>
      <c r="O269" s="52">
        <f t="shared" si="429"/>
        <v>3.9215686274509802</v>
      </c>
      <c r="P269" s="53">
        <f>COUNTIFS('00 Encuesta'!$B$2:$B$511,"*c)*",'00 Encuesta'!$C$2:$C$511,"*b)*",'00 Encuesta'!$E$2:$E$511,"*a)*",'00 Encuesta'!$AI$2:$AI$511,"*f)*")</f>
        <v>2</v>
      </c>
      <c r="Q269" s="52">
        <f t="shared" si="430"/>
        <v>7.1428571428571423</v>
      </c>
      <c r="R269" s="53">
        <f>COUNTIFS('00 Encuesta'!$B$2:$B$511,"*c)*",'00 Encuesta'!$C$2:$C$511,"*b)*",'00 Encuesta'!$E$2:$E$511,"*b)*",'00 Encuesta'!$AI$2:$AI$511,"*f)*")</f>
        <v>0</v>
      </c>
      <c r="S269" s="52">
        <f t="shared" si="431"/>
        <v>0</v>
      </c>
      <c r="T269" s="3"/>
      <c r="U269" s="51">
        <f t="shared" si="432"/>
        <v>7</v>
      </c>
      <c r="V269" s="52">
        <f t="shared" si="433"/>
        <v>14.000000000000002</v>
      </c>
      <c r="W269" s="53">
        <f>COUNTIFS('00 Encuesta'!$B$2:$B$511,"*c)*",'00 Encuesta'!$C$2:$C$511,"*d)*",'00 Encuesta'!$E$2:$E$511,"*a)*",'00 Encuesta'!$AI$2:$AI$511,"*f)*")</f>
        <v>2</v>
      </c>
      <c r="X269" s="52">
        <f t="shared" si="434"/>
        <v>7.4074074074074066</v>
      </c>
      <c r="Y269" s="53">
        <f>COUNTIFS('00 Encuesta'!$B$2:$B$511,"*c)*",'00 Encuesta'!$C$2:$C$511,"*d)*",'00 Encuesta'!$E$2:$E$511,"*b)*",'00 Encuesta'!$AI$2:$AI$511,"*f)*")</f>
        <v>5</v>
      </c>
      <c r="Z269" s="52">
        <f t="shared" si="435"/>
        <v>21.739130434782609</v>
      </c>
      <c r="AA269" s="3"/>
      <c r="AB269" s="62">
        <f t="shared" si="436"/>
        <v>19</v>
      </c>
      <c r="AC269" s="52">
        <f t="shared" si="437"/>
        <v>11.445783132530121</v>
      </c>
      <c r="AD269" s="3"/>
      <c r="AE269" s="3"/>
      <c r="AF269" s="9" t="str">
        <f t="shared" si="438"/>
        <v>f) Mas de 11 horas</v>
      </c>
      <c r="AG269" s="72">
        <f t="shared" si="439"/>
        <v>12.121212121212121</v>
      </c>
      <c r="AH269" s="72">
        <f t="shared" si="440"/>
        <v>18.75</v>
      </c>
      <c r="AI269" s="73">
        <f t="shared" si="441"/>
        <v>15.384615384615385</v>
      </c>
      <c r="AJ269" s="73"/>
      <c r="AK269" s="76">
        <f t="shared" si="442"/>
        <v>7.1428571428571423</v>
      </c>
      <c r="AL269" s="76">
        <f t="shared" si="443"/>
        <v>0</v>
      </c>
      <c r="AM269" s="76">
        <f t="shared" si="444"/>
        <v>3.9215686274509802</v>
      </c>
      <c r="AN269" s="76"/>
      <c r="AO269" s="81">
        <f t="shared" si="445"/>
        <v>7.4074074074074066</v>
      </c>
      <c r="AP269" s="81">
        <f t="shared" si="446"/>
        <v>21.739130434782609</v>
      </c>
      <c r="AQ269" s="81">
        <f t="shared" si="447"/>
        <v>14.000000000000002</v>
      </c>
      <c r="AR269" s="3"/>
      <c r="AS269" s="76">
        <f t="shared" si="291"/>
        <v>11.445783132530121</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x14ac:dyDescent="0.3">
      <c r="A270" s="8" t="s">
        <v>23</v>
      </c>
      <c r="B270" s="9" t="s">
        <v>24</v>
      </c>
      <c r="C270" s="7"/>
      <c r="D270" s="7"/>
      <c r="E270" s="7"/>
      <c r="F270" s="71"/>
      <c r="G270" s="51">
        <f t="shared" si="424"/>
        <v>0</v>
      </c>
      <c r="H270" s="52">
        <f t="shared" si="425"/>
        <v>0</v>
      </c>
      <c r="I270" s="53"/>
      <c r="J270" s="52">
        <f t="shared" si="426"/>
        <v>0</v>
      </c>
      <c r="K270" s="53"/>
      <c r="L270" s="52">
        <f t="shared" ref="L270" si="448">K270/$J$7*100</f>
        <v>0</v>
      </c>
      <c r="M270" s="23"/>
      <c r="N270" s="51">
        <f t="shared" ref="N270" si="449">P270+R270</f>
        <v>0</v>
      </c>
      <c r="O270" s="52">
        <f t="shared" ref="O270" si="450">N270/$Q$5*100</f>
        <v>0</v>
      </c>
      <c r="P270" s="53"/>
      <c r="Q270" s="52">
        <f t="shared" ref="Q270" si="451">P270/$Q$6*100</f>
        <v>0</v>
      </c>
      <c r="R270" s="53"/>
      <c r="S270" s="52">
        <f t="shared" ref="S270" si="452">R270/$Q$7*100</f>
        <v>0</v>
      </c>
      <c r="T270" s="3"/>
      <c r="U270" s="51">
        <f t="shared" ref="U270" si="453">W270+Y270</f>
        <v>0</v>
      </c>
      <c r="V270" s="52">
        <f t="shared" ref="V270" si="454">U270/$X$5*100</f>
        <v>0</v>
      </c>
      <c r="W270" s="53"/>
      <c r="X270" s="52">
        <f t="shared" ref="X270" si="455">W270/$X$6*100</f>
        <v>0</v>
      </c>
      <c r="Y270" s="53"/>
      <c r="Z270" s="52">
        <f t="shared" si="435"/>
        <v>0</v>
      </c>
      <c r="AA270" s="3"/>
      <c r="AB270" s="62">
        <f t="shared" si="436"/>
        <v>0</v>
      </c>
      <c r="AC270" s="52">
        <f t="shared" si="437"/>
        <v>0</v>
      </c>
      <c r="AD270" s="3"/>
      <c r="AE270" s="3"/>
      <c r="AF270" s="9" t="str">
        <f t="shared" si="438"/>
        <v>S/R Sin Respuesta</v>
      </c>
      <c r="AG270" s="72">
        <f t="shared" si="439"/>
        <v>0</v>
      </c>
      <c r="AH270" s="72">
        <f t="shared" si="440"/>
        <v>0</v>
      </c>
      <c r="AI270" s="73">
        <f t="shared" si="441"/>
        <v>0</v>
      </c>
      <c r="AJ270" s="73"/>
      <c r="AK270" s="76">
        <f t="shared" si="442"/>
        <v>0</v>
      </c>
      <c r="AL270" s="76">
        <f t="shared" si="443"/>
        <v>0</v>
      </c>
      <c r="AM270" s="76">
        <f t="shared" si="444"/>
        <v>0</v>
      </c>
      <c r="AN270" s="76"/>
      <c r="AO270" s="81">
        <f t="shared" si="445"/>
        <v>0</v>
      </c>
      <c r="AP270" s="81">
        <f t="shared" si="446"/>
        <v>0</v>
      </c>
      <c r="AQ270" s="81">
        <f t="shared" si="447"/>
        <v>0</v>
      </c>
      <c r="AR270" s="3"/>
      <c r="AS270" s="76">
        <f t="shared" si="291"/>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x14ac:dyDescent="0.3">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x14ac:dyDescent="0.3">
      <c r="A273" s="8" t="s">
        <v>17</v>
      </c>
      <c r="B273" s="85" t="s">
        <v>199</v>
      </c>
      <c r="C273" s="7"/>
      <c r="D273" s="7"/>
      <c r="E273" s="7"/>
      <c r="F273" s="71"/>
      <c r="G273" s="51">
        <f t="shared" ref="G273:G286" si="456">I273+K273</f>
        <v>21</v>
      </c>
      <c r="H273" s="52">
        <f t="shared" ref="H273:H286" si="457">G273/$J$5*100</f>
        <v>32.307692307692307</v>
      </c>
      <c r="I273" s="53">
        <f>COUNTIFS('00 Encuesta'!$B$2:$B$511,"*c)*",'00 Encuesta'!$C$2:$C$511,"*a)*",'00 Encuesta'!$E$2:$E$511,"*a)*",'00 Encuesta'!$AJ$2:$AJ$511,"*a)*")</f>
        <v>14</v>
      </c>
      <c r="J273" s="52">
        <f t="shared" ref="J273:J286" si="458">I273/$J$6*100</f>
        <v>42.424242424242422</v>
      </c>
      <c r="K273" s="53">
        <f>COUNTIFS('00 Encuesta'!$B$2:$B$511,"*c)*",'00 Encuesta'!$C$2:$C$511,"*a)*",'00 Encuesta'!$E$2:$E$511,"*b)*",'00 Encuesta'!$AJ$2:$AJ$511,"*a)*")</f>
        <v>7</v>
      </c>
      <c r="L273" s="52">
        <f t="shared" ref="L273:L278" si="459">K273/$J$7*100</f>
        <v>21.875</v>
      </c>
      <c r="M273" s="23"/>
      <c r="N273" s="51">
        <f t="shared" ref="N273:N278" si="460">P273+R273</f>
        <v>11</v>
      </c>
      <c r="O273" s="52">
        <f t="shared" ref="O273:O278" si="461">N273/$Q$5*100</f>
        <v>21.568627450980394</v>
      </c>
      <c r="P273" s="53">
        <f>COUNTIFS('00 Encuesta'!$B$2:$B$511,"*c)*",'00 Encuesta'!$C$2:$C$511,"*b)*",'00 Encuesta'!$E$2:$E$511,"*a)*",'00 Encuesta'!$AJ$2:$AJ$511,"*a)*")</f>
        <v>6</v>
      </c>
      <c r="Q273" s="52">
        <f t="shared" ref="Q273:Q286" si="462">P273/$Q$6*100</f>
        <v>21.428571428571427</v>
      </c>
      <c r="R273" s="53">
        <f>COUNTIFS('00 Encuesta'!$B$2:$B$511,"*c)*",'00 Encuesta'!$C$2:$C$511,"*b)*",'00 Encuesta'!$E$2:$E$511,"*b)*",'00 Encuesta'!$AJ$2:$AJ$511,"*a)*")</f>
        <v>5</v>
      </c>
      <c r="S273" s="52">
        <f t="shared" ref="S273:S278" si="463">R273/$Q$7*100</f>
        <v>21.739130434782609</v>
      </c>
      <c r="T273" s="3"/>
      <c r="U273" s="51">
        <f t="shared" ref="U273:U278" si="464">W273+Y273</f>
        <v>8</v>
      </c>
      <c r="V273" s="52">
        <f t="shared" ref="V273:V278" si="465">U273/$X$5*100</f>
        <v>16</v>
      </c>
      <c r="W273" s="53">
        <f>COUNTIFS('00 Encuesta'!$B$2:$B$511,"*c)*",'00 Encuesta'!$C$2:$C$511,"*d)*",'00 Encuesta'!$E$2:$E$511,"*a)*",'00 Encuesta'!$AJ$2:$AJ$511,"*a)*")</f>
        <v>8</v>
      </c>
      <c r="X273" s="52">
        <f t="shared" ref="X273:X286" si="466">W273/$X$6*100</f>
        <v>29.629629629629626</v>
      </c>
      <c r="Y273" s="53">
        <f>COUNTIFS('00 Encuesta'!$B$2:$B$511,"*c)*",'00 Encuesta'!$C$2:$C$511,"*d)*",'00 Encuesta'!$E$2:$E$511,"*b)*",'00 Encuesta'!$AJ$2:$AJ$511,"*a)*")</f>
        <v>0</v>
      </c>
      <c r="Z273" s="52">
        <f t="shared" ref="Z273:Z286" si="467">Y273/$X$7*100</f>
        <v>0</v>
      </c>
      <c r="AA273" s="3"/>
      <c r="AB273" s="62">
        <f t="shared" ref="AB273:AB286" si="468">G273+N273+U273</f>
        <v>40</v>
      </c>
      <c r="AC273" s="52">
        <f t="shared" ref="AC273:AC286" si="469">AB273*100/$AC$5</f>
        <v>24.096385542168676</v>
      </c>
      <c r="AD273" s="3"/>
      <c r="AE273" s="3"/>
      <c r="AF273" s="9" t="str">
        <f t="shared" ref="AF273:AF287" si="470">A273&amp;" "&amp;B273</f>
        <v>a) Me divierto con juegos para computadoras</v>
      </c>
      <c r="AG273" s="72">
        <f>J273</f>
        <v>42.424242424242422</v>
      </c>
      <c r="AH273" s="72">
        <f>L273</f>
        <v>21.875</v>
      </c>
      <c r="AI273" s="73">
        <f>H273</f>
        <v>32.307692307692307</v>
      </c>
      <c r="AJ273" s="73"/>
      <c r="AK273" s="76">
        <f t="shared" ref="AK273:AK287" si="471">Q273</f>
        <v>21.428571428571427</v>
      </c>
      <c r="AL273" s="76">
        <f t="shared" ref="AL273:AL287" si="472">S273</f>
        <v>21.739130434782609</v>
      </c>
      <c r="AM273" s="76">
        <f t="shared" ref="AM273:AM287" si="473">O273</f>
        <v>21.568627450980394</v>
      </c>
      <c r="AN273" s="76"/>
      <c r="AO273" s="81">
        <f t="shared" ref="AO273:AO287" si="474">X273</f>
        <v>29.629629629629626</v>
      </c>
      <c r="AP273" s="81">
        <f t="shared" ref="AP273:AP287" si="475">Z273</f>
        <v>0</v>
      </c>
      <c r="AQ273" s="81">
        <f t="shared" ref="AQ273:AQ287" si="476">V273</f>
        <v>16</v>
      </c>
      <c r="AR273" s="3"/>
      <c r="AS273" s="76">
        <f t="shared" ref="AS273:AS342" si="477">AC273</f>
        <v>24.096385542168676</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x14ac:dyDescent="0.3">
      <c r="A274" s="8" t="s">
        <v>18</v>
      </c>
      <c r="B274" s="85" t="s">
        <v>200</v>
      </c>
      <c r="C274" s="7"/>
      <c r="D274" s="7"/>
      <c r="E274" s="7"/>
      <c r="F274" s="71"/>
      <c r="G274" s="51">
        <f t="shared" si="456"/>
        <v>25</v>
      </c>
      <c r="H274" s="52">
        <f t="shared" si="457"/>
        <v>38.461538461538467</v>
      </c>
      <c r="I274" s="53">
        <f>COUNTIFS('00 Encuesta'!$B$2:$B$511,"*c)*",'00 Encuesta'!$C$2:$C$511,"*a)*",'00 Encuesta'!$E$2:$E$511,"*a)*",'00 Encuesta'!$AJ$2:$AJ$511,"*b)*")</f>
        <v>12</v>
      </c>
      <c r="J274" s="52">
        <f t="shared" si="458"/>
        <v>36.363636363636367</v>
      </c>
      <c r="K274" s="53">
        <f>COUNTIFS('00 Encuesta'!$B$2:$B$511,"*c)*",'00 Encuesta'!$C$2:$C$511,"*a)*",'00 Encuesta'!$E$2:$E$511,"*b)*",'00 Encuesta'!$AJ$2:$AJ$511,"*b)*")</f>
        <v>13</v>
      </c>
      <c r="L274" s="52">
        <f t="shared" si="459"/>
        <v>40.625</v>
      </c>
      <c r="M274" s="23"/>
      <c r="N274" s="51">
        <f t="shared" si="460"/>
        <v>18</v>
      </c>
      <c r="O274" s="52">
        <f t="shared" si="461"/>
        <v>35.294117647058826</v>
      </c>
      <c r="P274" s="53">
        <f>COUNTIFS('00 Encuesta'!$B$2:$B$511,"*c)*",'00 Encuesta'!$C$2:$C$511,"*b)*",'00 Encuesta'!$E$2:$E$511,"*a)*",'00 Encuesta'!$AJ$2:$AJ$511,"*b)*")</f>
        <v>10</v>
      </c>
      <c r="Q274" s="52">
        <f t="shared" si="462"/>
        <v>35.714285714285715</v>
      </c>
      <c r="R274" s="53">
        <f>COUNTIFS('00 Encuesta'!$B$2:$B$511,"*c)*",'00 Encuesta'!$C$2:$C$511,"*b)*",'00 Encuesta'!$E$2:$E$511,"*b)*",'00 Encuesta'!$AJ$2:$AJ$511,"*b)*")</f>
        <v>8</v>
      </c>
      <c r="S274" s="52">
        <f t="shared" si="463"/>
        <v>34.782608695652172</v>
      </c>
      <c r="T274" s="3"/>
      <c r="U274" s="51">
        <f t="shared" si="464"/>
        <v>17</v>
      </c>
      <c r="V274" s="52">
        <f t="shared" si="465"/>
        <v>34</v>
      </c>
      <c r="W274" s="53">
        <f>COUNTIFS('00 Encuesta'!$B$2:$B$511,"*c)*",'00 Encuesta'!$C$2:$C$511,"*d)*",'00 Encuesta'!$E$2:$E$511,"*a)*",'00 Encuesta'!$AJ$2:$AJ$511,"*b)*")</f>
        <v>5</v>
      </c>
      <c r="X274" s="52">
        <f t="shared" si="466"/>
        <v>18.518518518518519</v>
      </c>
      <c r="Y274" s="53">
        <f>COUNTIFS('00 Encuesta'!$B$2:$B$511,"*c)*",'00 Encuesta'!$C$2:$C$511,"*d)*",'00 Encuesta'!$E$2:$E$511,"*b)*",'00 Encuesta'!$AJ$2:$AJ$511,"*b)*")</f>
        <v>12</v>
      </c>
      <c r="Z274" s="52">
        <f t="shared" si="467"/>
        <v>52.173913043478258</v>
      </c>
      <c r="AA274" s="3"/>
      <c r="AB274" s="62">
        <f t="shared" si="468"/>
        <v>60</v>
      </c>
      <c r="AC274" s="52">
        <f t="shared" si="469"/>
        <v>36.144578313253014</v>
      </c>
      <c r="AD274" s="3"/>
      <c r="AE274" s="3"/>
      <c r="AF274" s="9" t="str">
        <f t="shared" si="470"/>
        <v>b) Navego en Internet</v>
      </c>
      <c r="AG274" s="72">
        <f t="shared" ref="AG274:AG287" si="478">J274</f>
        <v>36.363636363636367</v>
      </c>
      <c r="AH274" s="72">
        <f t="shared" ref="AH274:AH287" si="479">L274</f>
        <v>40.625</v>
      </c>
      <c r="AI274" s="73">
        <f t="shared" ref="AI274:AI287" si="480">H274</f>
        <v>38.461538461538467</v>
      </c>
      <c r="AJ274" s="73"/>
      <c r="AK274" s="76">
        <f t="shared" si="471"/>
        <v>35.714285714285715</v>
      </c>
      <c r="AL274" s="76">
        <f t="shared" si="472"/>
        <v>34.782608695652172</v>
      </c>
      <c r="AM274" s="76">
        <f t="shared" si="473"/>
        <v>35.294117647058826</v>
      </c>
      <c r="AN274" s="76"/>
      <c r="AO274" s="81">
        <f t="shared" si="474"/>
        <v>18.518518518518519</v>
      </c>
      <c r="AP274" s="81">
        <f t="shared" si="475"/>
        <v>52.173913043478258</v>
      </c>
      <c r="AQ274" s="81">
        <f t="shared" si="476"/>
        <v>34</v>
      </c>
      <c r="AR274" s="3"/>
      <c r="AS274" s="76">
        <f t="shared" si="477"/>
        <v>36.144578313253014</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456"/>
        <v>4</v>
      </c>
      <c r="H275" s="52">
        <f t="shared" si="457"/>
        <v>6.1538461538461542</v>
      </c>
      <c r="I275" s="53">
        <f>COUNTIFS('00 Encuesta'!$B$2:$B$511,"*c)*",'00 Encuesta'!$C$2:$C$511,"*a)*",'00 Encuesta'!$E$2:$E$511,"*a)*",'00 Encuesta'!$AJ$2:$AJ$511,"*c)*")</f>
        <v>4</v>
      </c>
      <c r="J275" s="52">
        <f t="shared" si="458"/>
        <v>12.121212121212121</v>
      </c>
      <c r="K275" s="53">
        <f>COUNTIFS('00 Encuesta'!$B$2:$B$511,"*c)*",'00 Encuesta'!$C$2:$C$511,"*a)*",'00 Encuesta'!$E$2:$E$511,"*b)*",'00 Encuesta'!$AJ$2:$AJ$511,"*c)*")</f>
        <v>0</v>
      </c>
      <c r="L275" s="52">
        <f t="shared" si="459"/>
        <v>0</v>
      </c>
      <c r="M275" s="23"/>
      <c r="N275" s="51">
        <f t="shared" si="460"/>
        <v>0</v>
      </c>
      <c r="O275" s="52">
        <f t="shared" si="461"/>
        <v>0</v>
      </c>
      <c r="P275" s="53">
        <f>COUNTIFS('00 Encuesta'!$B$2:$B$511,"*c)*",'00 Encuesta'!$C$2:$C$511,"*b)*",'00 Encuesta'!$E$2:$E$511,"*a)*",'00 Encuesta'!$AJ$2:$AJ$511,"*c)*")</f>
        <v>0</v>
      </c>
      <c r="Q275" s="52">
        <f t="shared" si="462"/>
        <v>0</v>
      </c>
      <c r="R275" s="53">
        <f>COUNTIFS('00 Encuesta'!$B$2:$B$511,"*c)*",'00 Encuesta'!$C$2:$C$511,"*b)*",'00 Encuesta'!$E$2:$E$511,"*b)*",'00 Encuesta'!$AJ$2:$AJ$511,"*c)*")</f>
        <v>0</v>
      </c>
      <c r="S275" s="52">
        <f t="shared" si="463"/>
        <v>0</v>
      </c>
      <c r="T275" s="3"/>
      <c r="U275" s="51">
        <f t="shared" si="464"/>
        <v>0</v>
      </c>
      <c r="V275" s="52">
        <f t="shared" si="465"/>
        <v>0</v>
      </c>
      <c r="W275" s="53">
        <f>COUNTIFS('00 Encuesta'!$B$2:$B$511,"*c)*",'00 Encuesta'!$C$2:$C$511,"*d)*",'00 Encuesta'!$E$2:$E$511,"*a)*",'00 Encuesta'!$AJ$2:$AJ$511,"*c)*")</f>
        <v>0</v>
      </c>
      <c r="X275" s="52">
        <f t="shared" si="466"/>
        <v>0</v>
      </c>
      <c r="Y275" s="53">
        <f>COUNTIFS('00 Encuesta'!$B$2:$B$511,"*c)*",'00 Encuesta'!$C$2:$C$511,"*d)*",'00 Encuesta'!$E$2:$E$511,"*b)*",'00 Encuesta'!$AJ$2:$AJ$511,"*c)*")</f>
        <v>0</v>
      </c>
      <c r="Z275" s="52">
        <f t="shared" si="467"/>
        <v>0</v>
      </c>
      <c r="AA275" s="3"/>
      <c r="AB275" s="62">
        <f t="shared" si="468"/>
        <v>4</v>
      </c>
      <c r="AC275" s="52">
        <f t="shared" si="469"/>
        <v>2.4096385542168677</v>
      </c>
      <c r="AD275" s="3"/>
      <c r="AE275" s="3"/>
      <c r="AF275" s="9" t="str">
        <f t="shared" si="470"/>
        <v>c) Suelo ir a centros de video (máquinas de juegos)</v>
      </c>
      <c r="AG275" s="72">
        <f t="shared" si="478"/>
        <v>12.121212121212121</v>
      </c>
      <c r="AH275" s="72">
        <f t="shared" si="479"/>
        <v>0</v>
      </c>
      <c r="AI275" s="73">
        <f t="shared" si="480"/>
        <v>6.1538461538461542</v>
      </c>
      <c r="AJ275" s="73"/>
      <c r="AK275" s="76">
        <f t="shared" si="471"/>
        <v>0</v>
      </c>
      <c r="AL275" s="76">
        <f t="shared" si="472"/>
        <v>0</v>
      </c>
      <c r="AM275" s="76">
        <f t="shared" si="473"/>
        <v>0</v>
      </c>
      <c r="AN275" s="76"/>
      <c r="AO275" s="81">
        <f t="shared" si="474"/>
        <v>0</v>
      </c>
      <c r="AP275" s="81">
        <f t="shared" si="475"/>
        <v>0</v>
      </c>
      <c r="AQ275" s="81">
        <f t="shared" si="476"/>
        <v>0</v>
      </c>
      <c r="AR275" s="3"/>
      <c r="AS275" s="76">
        <f t="shared" si="477"/>
        <v>2.4096385542168677</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x14ac:dyDescent="0.3">
      <c r="A276" s="8" t="s">
        <v>21</v>
      </c>
      <c r="B276" s="85" t="s">
        <v>202</v>
      </c>
      <c r="C276" s="7"/>
      <c r="D276" s="7"/>
      <c r="E276" s="7"/>
      <c r="F276" s="71"/>
      <c r="G276" s="51">
        <f t="shared" si="456"/>
        <v>8</v>
      </c>
      <c r="H276" s="52">
        <f t="shared" si="457"/>
        <v>12.307692307692308</v>
      </c>
      <c r="I276" s="53">
        <f>COUNTIFS('00 Encuesta'!$B$2:$B$511,"*c)*",'00 Encuesta'!$C$2:$C$511,"*a)*",'00 Encuesta'!$E$2:$E$511,"*a)*",'00 Encuesta'!$AJ$2:$AJ$511,"*d)*")</f>
        <v>4</v>
      </c>
      <c r="J276" s="52">
        <f t="shared" si="458"/>
        <v>12.121212121212121</v>
      </c>
      <c r="K276" s="53">
        <f>COUNTIFS('00 Encuesta'!$B$2:$B$511,"*c)*",'00 Encuesta'!$C$2:$C$511,"*a)*",'00 Encuesta'!$E$2:$E$511,"*b)*",'00 Encuesta'!$AJ$2:$AJ$511,"*d)*")</f>
        <v>4</v>
      </c>
      <c r="L276" s="52">
        <f t="shared" si="459"/>
        <v>12.5</v>
      </c>
      <c r="M276" s="23"/>
      <c r="N276" s="51">
        <f t="shared" si="460"/>
        <v>5</v>
      </c>
      <c r="O276" s="52">
        <f t="shared" si="461"/>
        <v>9.8039215686274517</v>
      </c>
      <c r="P276" s="53">
        <f>COUNTIFS('00 Encuesta'!$B$2:$B$511,"*c)*",'00 Encuesta'!$C$2:$C$511,"*b)*",'00 Encuesta'!$E$2:$E$511,"*a)*",'00 Encuesta'!$AJ$2:$AJ$511,"*d)*")</f>
        <v>2</v>
      </c>
      <c r="Q276" s="52">
        <f t="shared" si="462"/>
        <v>7.1428571428571423</v>
      </c>
      <c r="R276" s="53">
        <f>COUNTIFS('00 Encuesta'!$B$2:$B$511,"*c)*",'00 Encuesta'!$C$2:$C$511,"*b)*",'00 Encuesta'!$E$2:$E$511,"*b)*",'00 Encuesta'!$AJ$2:$AJ$511,"*d)*")</f>
        <v>3</v>
      </c>
      <c r="S276" s="52">
        <f t="shared" si="463"/>
        <v>13.043478260869565</v>
      </c>
      <c r="T276" s="3"/>
      <c r="U276" s="51">
        <f t="shared" si="464"/>
        <v>10</v>
      </c>
      <c r="V276" s="52">
        <f t="shared" si="465"/>
        <v>20</v>
      </c>
      <c r="W276" s="53">
        <f>COUNTIFS('00 Encuesta'!$B$2:$B$511,"*c)*",'00 Encuesta'!$C$2:$C$511,"*d)*",'00 Encuesta'!$E$2:$E$511,"*a)*",'00 Encuesta'!$AJ$2:$AJ$511,"*d)*")</f>
        <v>4</v>
      </c>
      <c r="X276" s="52">
        <f t="shared" si="466"/>
        <v>14.814814814814813</v>
      </c>
      <c r="Y276" s="53">
        <f>COUNTIFS('00 Encuesta'!$B$2:$B$511,"*c)*",'00 Encuesta'!$C$2:$C$511,"*d)*",'00 Encuesta'!$E$2:$E$511,"*b)*",'00 Encuesta'!$AJ$2:$AJ$511,"*d)*")</f>
        <v>6</v>
      </c>
      <c r="Z276" s="52">
        <f t="shared" si="467"/>
        <v>26.086956521739129</v>
      </c>
      <c r="AA276" s="3"/>
      <c r="AB276" s="62">
        <f t="shared" si="468"/>
        <v>23</v>
      </c>
      <c r="AC276" s="52">
        <f t="shared" si="469"/>
        <v>13.855421686746988</v>
      </c>
      <c r="AD276" s="3"/>
      <c r="AE276" s="3"/>
      <c r="AF276" s="9" t="str">
        <f t="shared" si="470"/>
        <v>d) Estoy la mayor parte del tiempo en la casa sin hacer nada</v>
      </c>
      <c r="AG276" s="72">
        <f t="shared" si="478"/>
        <v>12.121212121212121</v>
      </c>
      <c r="AH276" s="72">
        <f t="shared" si="479"/>
        <v>12.5</v>
      </c>
      <c r="AI276" s="73">
        <f t="shared" si="480"/>
        <v>12.307692307692308</v>
      </c>
      <c r="AJ276" s="73"/>
      <c r="AK276" s="76">
        <f t="shared" si="471"/>
        <v>7.1428571428571423</v>
      </c>
      <c r="AL276" s="76">
        <f t="shared" si="472"/>
        <v>13.043478260869565</v>
      </c>
      <c r="AM276" s="76">
        <f t="shared" si="473"/>
        <v>9.8039215686274517</v>
      </c>
      <c r="AN276" s="76"/>
      <c r="AO276" s="81">
        <f t="shared" si="474"/>
        <v>14.814814814814813</v>
      </c>
      <c r="AP276" s="81">
        <f t="shared" si="475"/>
        <v>26.086956521739129</v>
      </c>
      <c r="AQ276" s="81">
        <f t="shared" si="476"/>
        <v>20</v>
      </c>
      <c r="AR276" s="3"/>
      <c r="AS276" s="76">
        <f t="shared" si="477"/>
        <v>13.855421686746988</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456"/>
        <v>13</v>
      </c>
      <c r="H277" s="52">
        <f t="shared" si="457"/>
        <v>20</v>
      </c>
      <c r="I277" s="53">
        <f>COUNTIFS('00 Encuesta'!$B$2:$B$511,"*c)*",'00 Encuesta'!$C$2:$C$511,"*a)*",'00 Encuesta'!$E$2:$E$511,"*a)*",'00 Encuesta'!$AJ$2:$AJ$511,"*e)*")</f>
        <v>8</v>
      </c>
      <c r="J277" s="52">
        <f t="shared" si="458"/>
        <v>24.242424242424242</v>
      </c>
      <c r="K277" s="53">
        <f>COUNTIFS('00 Encuesta'!$B$2:$B$511,"*c)*",'00 Encuesta'!$C$2:$C$511,"*a)*",'00 Encuesta'!$E$2:$E$511,"*b)*",'00 Encuesta'!$AJ$2:$AJ$511,"*e)*")</f>
        <v>5</v>
      </c>
      <c r="L277" s="52">
        <f t="shared" si="459"/>
        <v>15.625</v>
      </c>
      <c r="M277" s="23"/>
      <c r="N277" s="51">
        <f t="shared" si="460"/>
        <v>12</v>
      </c>
      <c r="O277" s="52">
        <f t="shared" si="461"/>
        <v>23.52941176470588</v>
      </c>
      <c r="P277" s="53">
        <f>COUNTIFS('00 Encuesta'!$B$2:$B$511,"*c)*",'00 Encuesta'!$C$2:$C$511,"*b)*",'00 Encuesta'!$E$2:$E$511,"*a)*",'00 Encuesta'!$AJ$2:$AJ$511,"*e)*")</f>
        <v>5</v>
      </c>
      <c r="Q277" s="52">
        <f t="shared" si="462"/>
        <v>17.857142857142858</v>
      </c>
      <c r="R277" s="53">
        <f>COUNTIFS('00 Encuesta'!$B$2:$B$511,"*c)*",'00 Encuesta'!$C$2:$C$511,"*b)*",'00 Encuesta'!$E$2:$E$511,"*b)*",'00 Encuesta'!$AJ$2:$AJ$511,"*e)*")</f>
        <v>7</v>
      </c>
      <c r="S277" s="52">
        <f t="shared" si="463"/>
        <v>30.434782608695656</v>
      </c>
      <c r="T277" s="3"/>
      <c r="U277" s="51">
        <f t="shared" si="464"/>
        <v>4</v>
      </c>
      <c r="V277" s="52">
        <f t="shared" si="465"/>
        <v>8</v>
      </c>
      <c r="W277" s="53">
        <f>COUNTIFS('00 Encuesta'!$B$2:$B$511,"*c)*",'00 Encuesta'!$C$2:$C$511,"*d)*",'00 Encuesta'!$E$2:$E$511,"*a)*",'00 Encuesta'!$AJ$2:$AJ$511,"*e)*")</f>
        <v>2</v>
      </c>
      <c r="X277" s="52">
        <f t="shared" si="466"/>
        <v>7.4074074074074066</v>
      </c>
      <c r="Y277" s="53">
        <f>COUNTIFS('00 Encuesta'!$B$2:$B$511,"*c)*",'00 Encuesta'!$C$2:$C$511,"*d)*",'00 Encuesta'!$E$2:$E$511,"*b)*",'00 Encuesta'!$AJ$2:$AJ$511,"*e)*")</f>
        <v>2</v>
      </c>
      <c r="Z277" s="52">
        <f t="shared" si="467"/>
        <v>8.695652173913043</v>
      </c>
      <c r="AA277" s="3"/>
      <c r="AB277" s="62">
        <f t="shared" si="468"/>
        <v>29</v>
      </c>
      <c r="AC277" s="52">
        <f t="shared" si="469"/>
        <v>17.46987951807229</v>
      </c>
      <c r="AD277" s="3"/>
      <c r="AE277" s="3"/>
      <c r="AF277" s="9" t="str">
        <f t="shared" si="470"/>
        <v>e) Suelo ir a algún parque</v>
      </c>
      <c r="AG277" s="72">
        <f t="shared" si="478"/>
        <v>24.242424242424242</v>
      </c>
      <c r="AH277" s="72">
        <f t="shared" si="479"/>
        <v>15.625</v>
      </c>
      <c r="AI277" s="73">
        <f t="shared" si="480"/>
        <v>20</v>
      </c>
      <c r="AJ277" s="73"/>
      <c r="AK277" s="76">
        <f t="shared" si="471"/>
        <v>17.857142857142858</v>
      </c>
      <c r="AL277" s="76">
        <f t="shared" si="472"/>
        <v>30.434782608695656</v>
      </c>
      <c r="AM277" s="76">
        <f t="shared" si="473"/>
        <v>23.52941176470588</v>
      </c>
      <c r="AN277" s="76"/>
      <c r="AO277" s="81">
        <f t="shared" si="474"/>
        <v>7.4074074074074066</v>
      </c>
      <c r="AP277" s="81">
        <f t="shared" si="475"/>
        <v>8.695652173913043</v>
      </c>
      <c r="AQ277" s="81">
        <f t="shared" si="476"/>
        <v>8</v>
      </c>
      <c r="AR277" s="3"/>
      <c r="AS277" s="76">
        <f t="shared" si="477"/>
        <v>17.46987951807229</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x14ac:dyDescent="0.3">
      <c r="A278" s="8" t="s">
        <v>45</v>
      </c>
      <c r="B278" s="85" t="s">
        <v>204</v>
      </c>
      <c r="C278" s="7"/>
      <c r="D278" s="7"/>
      <c r="E278" s="7"/>
      <c r="F278" s="71"/>
      <c r="G278" s="51">
        <f t="shared" si="456"/>
        <v>4</v>
      </c>
      <c r="H278" s="52">
        <f t="shared" si="457"/>
        <v>6.1538461538461542</v>
      </c>
      <c r="I278" s="53">
        <f>COUNTIFS('00 Encuesta'!$B$2:$B$511,"*c)*",'00 Encuesta'!$C$2:$C$511,"*a)*",'00 Encuesta'!$E$2:$E$511,"*a)*",'00 Encuesta'!$AJ$2:$AJ$511,"*f)*")</f>
        <v>2</v>
      </c>
      <c r="J278" s="52">
        <f t="shared" si="458"/>
        <v>6.0606060606060606</v>
      </c>
      <c r="K278" s="53">
        <f>COUNTIFS('00 Encuesta'!$B$2:$B$511,"*c)*",'00 Encuesta'!$C$2:$C$511,"*a)*",'00 Encuesta'!$E$2:$E$511,"*b)*",'00 Encuesta'!$AJ$2:$AJ$511,"*f)*")</f>
        <v>2</v>
      </c>
      <c r="L278" s="52">
        <f t="shared" si="459"/>
        <v>6.25</v>
      </c>
      <c r="M278" s="23"/>
      <c r="N278" s="51">
        <f t="shared" si="460"/>
        <v>5</v>
      </c>
      <c r="O278" s="52">
        <f t="shared" si="461"/>
        <v>9.8039215686274517</v>
      </c>
      <c r="P278" s="53">
        <f>COUNTIFS('00 Encuesta'!$B$2:$B$511,"*c)*",'00 Encuesta'!$C$2:$C$511,"*b)*",'00 Encuesta'!$E$2:$E$511,"*a)*",'00 Encuesta'!$AJ$2:$AJ$511,"*f)*")</f>
        <v>3</v>
      </c>
      <c r="Q278" s="52">
        <f t="shared" si="462"/>
        <v>10.714285714285714</v>
      </c>
      <c r="R278" s="53">
        <f>COUNTIFS('00 Encuesta'!$B$2:$B$511,"*c)*",'00 Encuesta'!$C$2:$C$511,"*b)*",'00 Encuesta'!$E$2:$E$511,"*b)*",'00 Encuesta'!$AJ$2:$AJ$511,"*f)*")</f>
        <v>2</v>
      </c>
      <c r="S278" s="52">
        <f t="shared" si="463"/>
        <v>8.695652173913043</v>
      </c>
      <c r="T278" s="3"/>
      <c r="U278" s="51">
        <f t="shared" si="464"/>
        <v>3</v>
      </c>
      <c r="V278" s="52">
        <f t="shared" si="465"/>
        <v>6</v>
      </c>
      <c r="W278" s="53">
        <f>COUNTIFS('00 Encuesta'!$B$2:$B$511,"*c)*",'00 Encuesta'!$C$2:$C$511,"*d)*",'00 Encuesta'!$E$2:$E$511,"*a)*",'00 Encuesta'!$AJ$2:$AJ$511,"*f)*")</f>
        <v>3</v>
      </c>
      <c r="X278" s="52">
        <f t="shared" si="466"/>
        <v>11.111111111111111</v>
      </c>
      <c r="Y278" s="53">
        <f>COUNTIFS('00 Encuesta'!$B$2:$B$511,"*c)*",'00 Encuesta'!$C$2:$C$511,"*d)*",'00 Encuesta'!$E$2:$E$511,"*b)*",'00 Encuesta'!$AJ$2:$AJ$511,"*f)*")</f>
        <v>0</v>
      </c>
      <c r="Z278" s="52">
        <f t="shared" si="467"/>
        <v>0</v>
      </c>
      <c r="AA278" s="3"/>
      <c r="AB278" s="62">
        <f t="shared" si="468"/>
        <v>12</v>
      </c>
      <c r="AC278" s="52">
        <f t="shared" si="469"/>
        <v>7.2289156626506026</v>
      </c>
      <c r="AD278" s="3"/>
      <c r="AE278" s="3"/>
      <c r="AF278" s="9" t="str">
        <f t="shared" si="470"/>
        <v>f) Toco un instrumento musical</v>
      </c>
      <c r="AG278" s="72">
        <f t="shared" si="478"/>
        <v>6.0606060606060606</v>
      </c>
      <c r="AH278" s="72">
        <f t="shared" si="479"/>
        <v>6.25</v>
      </c>
      <c r="AI278" s="73">
        <f t="shared" si="480"/>
        <v>6.1538461538461542</v>
      </c>
      <c r="AJ278" s="73"/>
      <c r="AK278" s="76">
        <f t="shared" si="471"/>
        <v>10.714285714285714</v>
      </c>
      <c r="AL278" s="76">
        <f t="shared" si="472"/>
        <v>8.695652173913043</v>
      </c>
      <c r="AM278" s="76">
        <f t="shared" si="473"/>
        <v>9.8039215686274517</v>
      </c>
      <c r="AN278" s="76"/>
      <c r="AO278" s="81">
        <f t="shared" si="474"/>
        <v>11.111111111111111</v>
      </c>
      <c r="AP278" s="81">
        <f t="shared" si="475"/>
        <v>0</v>
      </c>
      <c r="AQ278" s="81">
        <f t="shared" si="476"/>
        <v>6</v>
      </c>
      <c r="AR278" s="3"/>
      <c r="AS278" s="76">
        <f t="shared" si="477"/>
        <v>7.2289156626506026</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x14ac:dyDescent="0.3">
      <c r="A279" s="1" t="s">
        <v>61</v>
      </c>
      <c r="B279" s="2" t="s">
        <v>205</v>
      </c>
      <c r="C279" s="3"/>
      <c r="D279" s="7"/>
      <c r="E279" s="7"/>
      <c r="F279" s="71"/>
      <c r="G279" s="51">
        <f t="shared" si="456"/>
        <v>0</v>
      </c>
      <c r="H279" s="52">
        <f t="shared" si="457"/>
        <v>0</v>
      </c>
      <c r="I279" s="53">
        <f>COUNTIFS('00 Encuesta'!$B$2:$B$511,"*c)*",'00 Encuesta'!$C$2:$C$511,"*a)*",'00 Encuesta'!$E$2:$E$511,"*a)*",'00 Encuesta'!$AJ$2:$AJ$511,"*g)*")</f>
        <v>0</v>
      </c>
      <c r="J279" s="52">
        <f t="shared" si="458"/>
        <v>0</v>
      </c>
      <c r="K279" s="53">
        <f>COUNTIFS('00 Encuesta'!$B$2:$B$511,"*c)*",'00 Encuesta'!$C$2:$C$511,"*a)*",'00 Encuesta'!$E$2:$E$511,"*b)*",'00 Encuesta'!$AJ$2:$AJ$511,"*g)*")</f>
        <v>0</v>
      </c>
      <c r="L279" s="52">
        <f t="shared" ref="L279:L286" si="481">K279/$J$7*100</f>
        <v>0</v>
      </c>
      <c r="M279" s="23"/>
      <c r="N279" s="51">
        <f t="shared" ref="N279:N284" si="482">P279+R279</f>
        <v>3</v>
      </c>
      <c r="O279" s="52">
        <f t="shared" ref="O279:O286" si="483">N279/$Q$5*100</f>
        <v>5.8823529411764701</v>
      </c>
      <c r="P279" s="53">
        <f>COUNTIFS('00 Encuesta'!$B$2:$B$511,"*c)*",'00 Encuesta'!$C$2:$C$511,"*b)*",'00 Encuesta'!$E$2:$E$511,"*a)*",'00 Encuesta'!$AJ$2:$AJ$511,"*g)*")</f>
        <v>3</v>
      </c>
      <c r="Q279" s="52">
        <f t="shared" si="462"/>
        <v>10.714285714285714</v>
      </c>
      <c r="R279" s="53">
        <f>COUNTIFS('00 Encuesta'!$B$2:$B$511,"*c)*",'00 Encuesta'!$C$2:$C$511,"*b)*",'00 Encuesta'!$E$2:$E$511,"*b)*",'00 Encuesta'!$AJ$2:$AJ$511,"*g)*")</f>
        <v>0</v>
      </c>
      <c r="S279" s="52">
        <f t="shared" ref="S279:S286" si="484">R279/$Q$7*100</f>
        <v>0</v>
      </c>
      <c r="T279" s="3"/>
      <c r="U279" s="51">
        <f t="shared" ref="U279:U284" si="485">W279+Y279</f>
        <v>2</v>
      </c>
      <c r="V279" s="52">
        <f t="shared" ref="V279:V286" si="486">U279/$X$5*100</f>
        <v>4</v>
      </c>
      <c r="W279" s="53">
        <f>COUNTIFS('00 Encuesta'!$B$2:$B$511,"*c)*",'00 Encuesta'!$C$2:$C$511,"*d)*",'00 Encuesta'!$E$2:$E$511,"*a)*",'00 Encuesta'!$AJ$2:$AJ$511,"*g)*")</f>
        <v>1</v>
      </c>
      <c r="X279" s="52">
        <f t="shared" si="466"/>
        <v>3.7037037037037033</v>
      </c>
      <c r="Y279" s="53">
        <f>COUNTIFS('00 Encuesta'!$B$2:$B$511,"*c)*",'00 Encuesta'!$C$2:$C$511,"*d)*",'00 Encuesta'!$E$2:$E$511,"*b)*",'00 Encuesta'!$AJ$2:$AJ$511,"*g)*")</f>
        <v>1</v>
      </c>
      <c r="Z279" s="52">
        <f t="shared" si="467"/>
        <v>4.3478260869565215</v>
      </c>
      <c r="AA279" s="3"/>
      <c r="AB279" s="62">
        <f t="shared" si="468"/>
        <v>5</v>
      </c>
      <c r="AC279" s="52">
        <f t="shared" si="469"/>
        <v>3.0120481927710845</v>
      </c>
      <c r="AD279" s="3"/>
      <c r="AE279" s="3"/>
      <c r="AF279" s="9" t="str">
        <f t="shared" si="470"/>
        <v>g) Suelo ir a discotecas o fiestas</v>
      </c>
      <c r="AG279" s="72">
        <f t="shared" si="478"/>
        <v>0</v>
      </c>
      <c r="AH279" s="72">
        <f t="shared" si="479"/>
        <v>0</v>
      </c>
      <c r="AI279" s="73">
        <f t="shared" si="480"/>
        <v>0</v>
      </c>
      <c r="AJ279" s="73"/>
      <c r="AK279" s="76">
        <f t="shared" si="471"/>
        <v>10.714285714285714</v>
      </c>
      <c r="AL279" s="76">
        <f t="shared" si="472"/>
        <v>0</v>
      </c>
      <c r="AM279" s="76">
        <f t="shared" si="473"/>
        <v>5.8823529411764701</v>
      </c>
      <c r="AN279" s="76"/>
      <c r="AO279" s="81">
        <f t="shared" si="474"/>
        <v>3.7037037037037033</v>
      </c>
      <c r="AP279" s="81">
        <f t="shared" si="475"/>
        <v>4.3478260869565215</v>
      </c>
      <c r="AQ279" s="81">
        <f t="shared" si="476"/>
        <v>4</v>
      </c>
      <c r="AR279" s="3"/>
      <c r="AS279" s="76">
        <f t="shared" si="477"/>
        <v>3.0120481927710845</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x14ac:dyDescent="0.3">
      <c r="A280" s="1" t="s">
        <v>63</v>
      </c>
      <c r="B280" s="2" t="s">
        <v>206</v>
      </c>
      <c r="C280" s="3"/>
      <c r="D280" s="7"/>
      <c r="E280" s="7"/>
      <c r="F280" s="71"/>
      <c r="G280" s="51">
        <f t="shared" si="456"/>
        <v>4</v>
      </c>
      <c r="H280" s="52">
        <f t="shared" si="457"/>
        <v>6.1538461538461542</v>
      </c>
      <c r="I280" s="53">
        <f>COUNTIFS('00 Encuesta'!$B$2:$B$511,"*c)*",'00 Encuesta'!$C$2:$C$511,"*a)*",'00 Encuesta'!$E$2:$E$511,"*a)*",'00 Encuesta'!$AJ$2:$AJ$511,"*h)*")</f>
        <v>2</v>
      </c>
      <c r="J280" s="52">
        <f t="shared" si="458"/>
        <v>6.0606060606060606</v>
      </c>
      <c r="K280" s="53">
        <f>COUNTIFS('00 Encuesta'!$B$2:$B$511,"*c)*",'00 Encuesta'!$C$2:$C$511,"*a)*",'00 Encuesta'!$E$2:$E$511,"*b)*",'00 Encuesta'!$AJ$2:$AJ$511,"*h)*")</f>
        <v>2</v>
      </c>
      <c r="L280" s="52">
        <f t="shared" si="481"/>
        <v>6.25</v>
      </c>
      <c r="M280" s="23"/>
      <c r="N280" s="51">
        <f t="shared" si="482"/>
        <v>6</v>
      </c>
      <c r="O280" s="52">
        <f t="shared" si="483"/>
        <v>11.76470588235294</v>
      </c>
      <c r="P280" s="53">
        <f>COUNTIFS('00 Encuesta'!$B$2:$B$511,"*c)*",'00 Encuesta'!$C$2:$C$511,"*b)*",'00 Encuesta'!$E$2:$E$511,"*a)*",'00 Encuesta'!$AJ$2:$AJ$511,"*h)*")</f>
        <v>2</v>
      </c>
      <c r="Q280" s="52">
        <f t="shared" si="462"/>
        <v>7.1428571428571423</v>
      </c>
      <c r="R280" s="53">
        <f>COUNTIFS('00 Encuesta'!$B$2:$B$511,"*c)*",'00 Encuesta'!$C$2:$C$511,"*b)*",'00 Encuesta'!$E$2:$E$511,"*b)*",'00 Encuesta'!$AJ$2:$AJ$511,"*h)*")</f>
        <v>4</v>
      </c>
      <c r="S280" s="52">
        <f t="shared" si="484"/>
        <v>17.391304347826086</v>
      </c>
      <c r="T280" s="3"/>
      <c r="U280" s="51">
        <f t="shared" si="485"/>
        <v>2</v>
      </c>
      <c r="V280" s="52">
        <f t="shared" si="486"/>
        <v>4</v>
      </c>
      <c r="W280" s="53">
        <f>COUNTIFS('00 Encuesta'!$B$2:$B$511,"*c)*",'00 Encuesta'!$C$2:$C$511,"*d)*",'00 Encuesta'!$E$2:$E$511,"*a)*",'00 Encuesta'!$AJ$2:$AJ$511,"*h)*")</f>
        <v>1</v>
      </c>
      <c r="X280" s="52">
        <f t="shared" si="466"/>
        <v>3.7037037037037033</v>
      </c>
      <c r="Y280" s="53">
        <f>COUNTIFS('00 Encuesta'!$B$2:$B$511,"*c)*",'00 Encuesta'!$C$2:$C$511,"*d)*",'00 Encuesta'!$E$2:$E$511,"*b)*",'00 Encuesta'!$AJ$2:$AJ$511,"*h)*")</f>
        <v>1</v>
      </c>
      <c r="Z280" s="52">
        <f t="shared" si="467"/>
        <v>4.3478260869565215</v>
      </c>
      <c r="AA280" s="3"/>
      <c r="AB280" s="62">
        <f t="shared" si="468"/>
        <v>12</v>
      </c>
      <c r="AC280" s="52">
        <f t="shared" si="469"/>
        <v>7.2289156626506026</v>
      </c>
      <c r="AD280" s="3"/>
      <c r="AE280" s="3"/>
      <c r="AF280" s="9" t="str">
        <f t="shared" si="470"/>
        <v>h) Suelo ir al cine</v>
      </c>
      <c r="AG280" s="72">
        <f t="shared" si="478"/>
        <v>6.0606060606060606</v>
      </c>
      <c r="AH280" s="72">
        <f t="shared" si="479"/>
        <v>6.25</v>
      </c>
      <c r="AI280" s="73">
        <f t="shared" si="480"/>
        <v>6.1538461538461542</v>
      </c>
      <c r="AJ280" s="73"/>
      <c r="AK280" s="76">
        <f t="shared" si="471"/>
        <v>7.1428571428571423</v>
      </c>
      <c r="AL280" s="76">
        <f t="shared" si="472"/>
        <v>17.391304347826086</v>
      </c>
      <c r="AM280" s="76">
        <f t="shared" si="473"/>
        <v>11.76470588235294</v>
      </c>
      <c r="AN280" s="76"/>
      <c r="AO280" s="81">
        <f t="shared" si="474"/>
        <v>3.7037037037037033</v>
      </c>
      <c r="AP280" s="81">
        <f t="shared" si="475"/>
        <v>4.3478260869565215</v>
      </c>
      <c r="AQ280" s="81">
        <f t="shared" si="476"/>
        <v>4</v>
      </c>
      <c r="AR280" s="3"/>
      <c r="AS280" s="76">
        <f t="shared" si="477"/>
        <v>7.2289156626506026</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x14ac:dyDescent="0.3">
      <c r="A281" s="8" t="s">
        <v>65</v>
      </c>
      <c r="B281" s="9" t="s">
        <v>207</v>
      </c>
      <c r="C281" s="7"/>
      <c r="D281" s="7"/>
      <c r="E281" s="7"/>
      <c r="F281" s="71"/>
      <c r="G281" s="51">
        <f t="shared" si="456"/>
        <v>4</v>
      </c>
      <c r="H281" s="52">
        <f t="shared" si="457"/>
        <v>6.1538461538461542</v>
      </c>
      <c r="I281" s="53">
        <f>COUNTIFS('00 Encuesta'!$B$2:$B$511,"*c)*",'00 Encuesta'!$C$2:$C$511,"*a)*",'00 Encuesta'!$E$2:$E$511,"*a)*",'00 Encuesta'!$AJ$2:$AJ$511,"*i)*")</f>
        <v>0</v>
      </c>
      <c r="J281" s="52">
        <f t="shared" si="458"/>
        <v>0</v>
      </c>
      <c r="K281" s="53">
        <f>COUNTIFS('00 Encuesta'!$B$2:$B$511,"*c)*",'00 Encuesta'!$C$2:$C$511,"*a)*",'00 Encuesta'!$E$2:$E$511,"*b)*",'00 Encuesta'!$AJ$2:$AJ$511,"*i)*")</f>
        <v>4</v>
      </c>
      <c r="L281" s="52">
        <f t="shared" si="481"/>
        <v>12.5</v>
      </c>
      <c r="M281" s="23"/>
      <c r="N281" s="51">
        <f t="shared" si="482"/>
        <v>6</v>
      </c>
      <c r="O281" s="52">
        <f t="shared" si="483"/>
        <v>11.76470588235294</v>
      </c>
      <c r="P281" s="53">
        <f>COUNTIFS('00 Encuesta'!$B$2:$B$511,"*c)*",'00 Encuesta'!$C$2:$C$511,"*b)*",'00 Encuesta'!$E$2:$E$511,"*a)*",'00 Encuesta'!$AJ$2:$AJ$511,"*i)*")</f>
        <v>3</v>
      </c>
      <c r="Q281" s="52">
        <f t="shared" si="462"/>
        <v>10.714285714285714</v>
      </c>
      <c r="R281" s="53">
        <f>COUNTIFS('00 Encuesta'!$B$2:$B$511,"*c)*",'00 Encuesta'!$C$2:$C$511,"*b)*",'00 Encuesta'!$E$2:$E$511,"*b)*",'00 Encuesta'!$AJ$2:$AJ$511,"*i)*")</f>
        <v>3</v>
      </c>
      <c r="S281" s="52">
        <f t="shared" si="484"/>
        <v>13.043478260869565</v>
      </c>
      <c r="T281" s="3"/>
      <c r="U281" s="51">
        <f t="shared" si="485"/>
        <v>7</v>
      </c>
      <c r="V281" s="52">
        <f t="shared" si="486"/>
        <v>14.000000000000002</v>
      </c>
      <c r="W281" s="53">
        <f>COUNTIFS('00 Encuesta'!$B$2:$B$511,"*c)*",'00 Encuesta'!$C$2:$C$511,"*d)*",'00 Encuesta'!$E$2:$E$511,"*a)*",'00 Encuesta'!$AJ$2:$AJ$511,"*i)*")</f>
        <v>2</v>
      </c>
      <c r="X281" s="52">
        <f t="shared" si="466"/>
        <v>7.4074074074074066</v>
      </c>
      <c r="Y281" s="53">
        <f>COUNTIFS('00 Encuesta'!$B$2:$B$511,"*c)*",'00 Encuesta'!$C$2:$C$511,"*d)*",'00 Encuesta'!$E$2:$E$511,"*b)*",'00 Encuesta'!$AJ$2:$AJ$511,"*i)*")</f>
        <v>5</v>
      </c>
      <c r="Z281" s="52">
        <f t="shared" si="467"/>
        <v>21.739130434782609</v>
      </c>
      <c r="AA281" s="3"/>
      <c r="AB281" s="62">
        <f t="shared" si="468"/>
        <v>17</v>
      </c>
      <c r="AC281" s="52">
        <f t="shared" si="469"/>
        <v>10.240963855421686</v>
      </c>
      <c r="AD281" s="3"/>
      <c r="AE281" s="3"/>
      <c r="AF281" s="9" t="str">
        <f t="shared" si="470"/>
        <v>i) Leo revistas o libros</v>
      </c>
      <c r="AG281" s="72">
        <f t="shared" si="478"/>
        <v>0</v>
      </c>
      <c r="AH281" s="72">
        <f t="shared" si="479"/>
        <v>12.5</v>
      </c>
      <c r="AI281" s="73">
        <f t="shared" si="480"/>
        <v>6.1538461538461542</v>
      </c>
      <c r="AJ281" s="73"/>
      <c r="AK281" s="76">
        <f t="shared" si="471"/>
        <v>10.714285714285714</v>
      </c>
      <c r="AL281" s="76">
        <f t="shared" si="472"/>
        <v>13.043478260869565</v>
      </c>
      <c r="AM281" s="76">
        <f t="shared" si="473"/>
        <v>11.76470588235294</v>
      </c>
      <c r="AN281" s="76"/>
      <c r="AO281" s="81">
        <f t="shared" si="474"/>
        <v>7.4074074074074066</v>
      </c>
      <c r="AP281" s="81">
        <f t="shared" si="475"/>
        <v>21.739130434782609</v>
      </c>
      <c r="AQ281" s="81">
        <f t="shared" si="476"/>
        <v>14.000000000000002</v>
      </c>
      <c r="AR281" s="3"/>
      <c r="AS281" s="76">
        <f t="shared" si="477"/>
        <v>10.240963855421686</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456"/>
        <v>5</v>
      </c>
      <c r="H282" s="52">
        <f t="shared" si="457"/>
        <v>7.6923076923076925</v>
      </c>
      <c r="I282" s="53">
        <f>COUNTIFS('00 Encuesta'!$B$2:$B$511,"*c)*",'00 Encuesta'!$C$2:$C$511,"*a)*",'00 Encuesta'!$E$2:$E$511,"*a)*",'00 Encuesta'!$AJ$2:$AJ$511,"*j)*")</f>
        <v>1</v>
      </c>
      <c r="J282" s="52">
        <f t="shared" si="458"/>
        <v>3.0303030303030303</v>
      </c>
      <c r="K282" s="53">
        <f>COUNTIFS('00 Encuesta'!$B$2:$B$511,"*c)*",'00 Encuesta'!$C$2:$C$511,"*a)*",'00 Encuesta'!$E$2:$E$511,"*b)*",'00 Encuesta'!$AJ$2:$AJ$511,"*j)*")</f>
        <v>4</v>
      </c>
      <c r="L282" s="52">
        <f t="shared" si="481"/>
        <v>12.5</v>
      </c>
      <c r="M282" s="23"/>
      <c r="N282" s="51">
        <f t="shared" si="482"/>
        <v>2</v>
      </c>
      <c r="O282" s="52">
        <f t="shared" si="483"/>
        <v>3.9215686274509802</v>
      </c>
      <c r="P282" s="53">
        <f>COUNTIFS('00 Encuesta'!$B$2:$B$511,"*c)*",'00 Encuesta'!$C$2:$C$511,"*b)*",'00 Encuesta'!$E$2:$E$511,"*a)*",'00 Encuesta'!$AJ$2:$AJ$511,"*j)*")</f>
        <v>2</v>
      </c>
      <c r="Q282" s="52">
        <f t="shared" si="462"/>
        <v>7.1428571428571423</v>
      </c>
      <c r="R282" s="53">
        <f>COUNTIFS('00 Encuesta'!$B$2:$B$511,"*c)*",'00 Encuesta'!$C$2:$C$511,"*b)*",'00 Encuesta'!$E$2:$E$511,"*b)*",'00 Encuesta'!$AJ$2:$AJ$511,"*j)*")</f>
        <v>0</v>
      </c>
      <c r="S282" s="52">
        <f t="shared" si="484"/>
        <v>0</v>
      </c>
      <c r="T282" s="3"/>
      <c r="U282" s="51">
        <f t="shared" si="485"/>
        <v>0</v>
      </c>
      <c r="V282" s="52">
        <f t="shared" si="486"/>
        <v>0</v>
      </c>
      <c r="W282" s="53">
        <f>COUNTIFS('00 Encuesta'!$B$2:$B$511,"*c)*",'00 Encuesta'!$C$2:$C$511,"*d)*",'00 Encuesta'!$E$2:$E$511,"*a)*",'00 Encuesta'!$AJ$2:$AJ$511,"*j)*")</f>
        <v>0</v>
      </c>
      <c r="X282" s="52">
        <f t="shared" si="466"/>
        <v>0</v>
      </c>
      <c r="Y282" s="53">
        <f>COUNTIFS('00 Encuesta'!$B$2:$B$511,"*c)*",'00 Encuesta'!$C$2:$C$511,"*d)*",'00 Encuesta'!$E$2:$E$511,"*b)*",'00 Encuesta'!$AJ$2:$AJ$511,"*j)*")</f>
        <v>0</v>
      </c>
      <c r="Z282" s="52">
        <f t="shared" si="467"/>
        <v>0</v>
      </c>
      <c r="AA282" s="3"/>
      <c r="AB282" s="62">
        <f t="shared" si="468"/>
        <v>7</v>
      </c>
      <c r="AC282" s="52">
        <f t="shared" si="469"/>
        <v>4.2168674698795181</v>
      </c>
      <c r="AD282" s="3"/>
      <c r="AE282" s="3"/>
      <c r="AF282" s="9" t="str">
        <f t="shared" si="470"/>
        <v>j) Estoy en algún grupo juvenil</v>
      </c>
      <c r="AG282" s="72">
        <f t="shared" si="478"/>
        <v>3.0303030303030303</v>
      </c>
      <c r="AH282" s="72">
        <f t="shared" si="479"/>
        <v>12.5</v>
      </c>
      <c r="AI282" s="73">
        <f t="shared" si="480"/>
        <v>7.6923076923076925</v>
      </c>
      <c r="AJ282" s="73"/>
      <c r="AK282" s="76">
        <f t="shared" si="471"/>
        <v>7.1428571428571423</v>
      </c>
      <c r="AL282" s="76">
        <f t="shared" si="472"/>
        <v>0</v>
      </c>
      <c r="AM282" s="76">
        <f t="shared" si="473"/>
        <v>3.9215686274509802</v>
      </c>
      <c r="AN282" s="76"/>
      <c r="AO282" s="81">
        <f t="shared" si="474"/>
        <v>0</v>
      </c>
      <c r="AP282" s="81">
        <f t="shared" si="475"/>
        <v>0</v>
      </c>
      <c r="AQ282" s="81">
        <f t="shared" si="476"/>
        <v>0</v>
      </c>
      <c r="AR282" s="3"/>
      <c r="AS282" s="76">
        <f t="shared" si="477"/>
        <v>4.2168674698795181</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456"/>
        <v>11</v>
      </c>
      <c r="H283" s="52">
        <f t="shared" si="457"/>
        <v>16.923076923076923</v>
      </c>
      <c r="I283" s="53">
        <f>COUNTIFS('00 Encuesta'!$B$2:$B$511,"*c)*",'00 Encuesta'!$C$2:$C$511,"*a)*",'00 Encuesta'!$E$2:$E$511,"*a)*",'00 Encuesta'!$AJ$2:$AJ$511,"*k)*")</f>
        <v>7</v>
      </c>
      <c r="J283" s="52">
        <f t="shared" si="458"/>
        <v>21.212121212121211</v>
      </c>
      <c r="K283" s="53">
        <f>COUNTIFS('00 Encuesta'!$B$2:$B$511,"*c)*",'00 Encuesta'!$C$2:$C$511,"*a)*",'00 Encuesta'!$E$2:$E$511,"*b)*",'00 Encuesta'!$AJ$2:$AJ$511,"*k)*")</f>
        <v>4</v>
      </c>
      <c r="L283" s="52">
        <f t="shared" si="481"/>
        <v>12.5</v>
      </c>
      <c r="M283" s="23"/>
      <c r="N283" s="51">
        <f t="shared" si="482"/>
        <v>6</v>
      </c>
      <c r="O283" s="52">
        <f t="shared" si="483"/>
        <v>11.76470588235294</v>
      </c>
      <c r="P283" s="53">
        <f>COUNTIFS('00 Encuesta'!$B$2:$B$511,"*c)*",'00 Encuesta'!$C$2:$C$511,"*b)*",'00 Encuesta'!$E$2:$E$511,"*a)*",'00 Encuesta'!$AJ$2:$AJ$511,"*k)*")</f>
        <v>6</v>
      </c>
      <c r="Q283" s="52">
        <f t="shared" si="462"/>
        <v>21.428571428571427</v>
      </c>
      <c r="R283" s="53">
        <f>COUNTIFS('00 Encuesta'!$B$2:$B$511,"*c)*",'00 Encuesta'!$C$2:$C$511,"*b)*",'00 Encuesta'!$E$2:$E$511,"*b)*",'00 Encuesta'!$AJ$2:$AJ$511,"*k)*")</f>
        <v>0</v>
      </c>
      <c r="S283" s="52">
        <f t="shared" si="484"/>
        <v>0</v>
      </c>
      <c r="T283" s="3"/>
      <c r="U283" s="51">
        <f t="shared" si="485"/>
        <v>10</v>
      </c>
      <c r="V283" s="52">
        <f t="shared" si="486"/>
        <v>20</v>
      </c>
      <c r="W283" s="53">
        <f>COUNTIFS('00 Encuesta'!$B$2:$B$511,"*c)*",'00 Encuesta'!$C$2:$C$511,"*d)*",'00 Encuesta'!$E$2:$E$511,"*a)*",'00 Encuesta'!$AJ$2:$AJ$511,"*k)*")</f>
        <v>8</v>
      </c>
      <c r="X283" s="52">
        <f t="shared" si="466"/>
        <v>29.629629629629626</v>
      </c>
      <c r="Y283" s="53">
        <f>COUNTIFS('00 Encuesta'!$B$2:$B$511,"*c)*",'00 Encuesta'!$C$2:$C$511,"*d)*",'00 Encuesta'!$E$2:$E$511,"*b)*",'00 Encuesta'!$AJ$2:$AJ$511,"*k)*")</f>
        <v>2</v>
      </c>
      <c r="Z283" s="52">
        <f t="shared" si="467"/>
        <v>8.695652173913043</v>
      </c>
      <c r="AA283" s="3"/>
      <c r="AB283" s="62">
        <f t="shared" si="468"/>
        <v>27</v>
      </c>
      <c r="AC283" s="52">
        <f t="shared" si="469"/>
        <v>16.265060240963855</v>
      </c>
      <c r="AD283" s="3"/>
      <c r="AE283" s="3"/>
      <c r="AF283" s="9" t="str">
        <f t="shared" si="470"/>
        <v>k) Practico algún deporte</v>
      </c>
      <c r="AG283" s="72">
        <f t="shared" si="478"/>
        <v>21.212121212121211</v>
      </c>
      <c r="AH283" s="72">
        <f t="shared" si="479"/>
        <v>12.5</v>
      </c>
      <c r="AI283" s="73">
        <f t="shared" si="480"/>
        <v>16.923076923076923</v>
      </c>
      <c r="AJ283" s="73"/>
      <c r="AK283" s="76">
        <f t="shared" si="471"/>
        <v>21.428571428571427</v>
      </c>
      <c r="AL283" s="76">
        <f t="shared" si="472"/>
        <v>0</v>
      </c>
      <c r="AM283" s="76">
        <f t="shared" si="473"/>
        <v>11.76470588235294</v>
      </c>
      <c r="AN283" s="76"/>
      <c r="AO283" s="81">
        <f t="shared" si="474"/>
        <v>29.629629629629626</v>
      </c>
      <c r="AP283" s="81">
        <f t="shared" si="475"/>
        <v>8.695652173913043</v>
      </c>
      <c r="AQ283" s="81">
        <f t="shared" si="476"/>
        <v>20</v>
      </c>
      <c r="AR283" s="3"/>
      <c r="AS283" s="76">
        <f t="shared" si="477"/>
        <v>16.265060240963855</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456"/>
        <v>11</v>
      </c>
      <c r="H284" s="52">
        <f t="shared" si="457"/>
        <v>16.923076923076923</v>
      </c>
      <c r="I284" s="53">
        <f>COUNTIFS('00 Encuesta'!$B$2:$B$511,"*c)*",'00 Encuesta'!$C$2:$C$511,"*a)*",'00 Encuesta'!$E$2:$E$511,"*a)*",'00 Encuesta'!$AJ$2:$AJ$511,"*l)*")</f>
        <v>3</v>
      </c>
      <c r="J284" s="52">
        <f t="shared" si="458"/>
        <v>9.0909090909090917</v>
      </c>
      <c r="K284" s="53">
        <f>COUNTIFS('00 Encuesta'!$B$2:$B$511,"*c)*",'00 Encuesta'!$C$2:$C$511,"*a)*",'00 Encuesta'!$E$2:$E$511,"*b)*",'00 Encuesta'!$AJ$2:$AJ$511,"*l)*")</f>
        <v>8</v>
      </c>
      <c r="L284" s="52">
        <f t="shared" si="481"/>
        <v>25</v>
      </c>
      <c r="M284" s="23"/>
      <c r="N284" s="51">
        <f t="shared" si="482"/>
        <v>15</v>
      </c>
      <c r="O284" s="52">
        <f t="shared" si="483"/>
        <v>29.411764705882355</v>
      </c>
      <c r="P284" s="53">
        <f>COUNTIFS('00 Encuesta'!$B$2:$B$511,"*c)*",'00 Encuesta'!$C$2:$C$511,"*b)*",'00 Encuesta'!$E$2:$E$511,"*a)*",'00 Encuesta'!$AJ$2:$AJ$511,"*l)*")</f>
        <v>7</v>
      </c>
      <c r="Q284" s="52">
        <f t="shared" si="462"/>
        <v>25</v>
      </c>
      <c r="R284" s="53">
        <f>COUNTIFS('00 Encuesta'!$B$2:$B$511,"*c)*",'00 Encuesta'!$C$2:$C$511,"*b)*",'00 Encuesta'!$E$2:$E$511,"*b)*",'00 Encuesta'!$AJ$2:$AJ$511,"*l)*")</f>
        <v>8</v>
      </c>
      <c r="S284" s="52">
        <f t="shared" si="484"/>
        <v>34.782608695652172</v>
      </c>
      <c r="T284" s="3"/>
      <c r="U284" s="51">
        <f t="shared" si="485"/>
        <v>11</v>
      </c>
      <c r="V284" s="52">
        <f t="shared" si="486"/>
        <v>22</v>
      </c>
      <c r="W284" s="53">
        <f>COUNTIFS('00 Encuesta'!$B$2:$B$511,"*c)*",'00 Encuesta'!$C$2:$C$511,"*d)*",'00 Encuesta'!$E$2:$E$511,"*a)*",'00 Encuesta'!$AJ$2:$AJ$511,"*l)*")</f>
        <v>7</v>
      </c>
      <c r="X284" s="52">
        <f t="shared" si="466"/>
        <v>25.925925925925924</v>
      </c>
      <c r="Y284" s="53">
        <f>COUNTIFS('00 Encuesta'!$B$2:$B$511,"*c)*",'00 Encuesta'!$C$2:$C$511,"*d)*",'00 Encuesta'!$E$2:$E$511,"*b)*",'00 Encuesta'!$AJ$2:$AJ$511,"*l)*")</f>
        <v>4</v>
      </c>
      <c r="Z284" s="52">
        <f t="shared" si="467"/>
        <v>17.391304347826086</v>
      </c>
      <c r="AA284" s="3"/>
      <c r="AB284" s="62">
        <f t="shared" si="468"/>
        <v>37</v>
      </c>
      <c r="AC284" s="52">
        <f t="shared" si="469"/>
        <v>22.289156626506024</v>
      </c>
      <c r="AD284" s="3"/>
      <c r="AE284" s="3"/>
      <c r="AF284" s="9" t="str">
        <f t="shared" si="470"/>
        <v>l) Escuho música y/o veo videos musicales</v>
      </c>
      <c r="AG284" s="72">
        <f t="shared" si="478"/>
        <v>9.0909090909090917</v>
      </c>
      <c r="AH284" s="72">
        <f t="shared" si="479"/>
        <v>25</v>
      </c>
      <c r="AI284" s="73">
        <f t="shared" si="480"/>
        <v>16.923076923076923</v>
      </c>
      <c r="AJ284" s="73"/>
      <c r="AK284" s="76">
        <f t="shared" si="471"/>
        <v>25</v>
      </c>
      <c r="AL284" s="76">
        <f t="shared" si="472"/>
        <v>34.782608695652172</v>
      </c>
      <c r="AM284" s="76">
        <f t="shared" si="473"/>
        <v>29.411764705882355</v>
      </c>
      <c r="AN284" s="76"/>
      <c r="AO284" s="81">
        <f t="shared" si="474"/>
        <v>25.925925925925924</v>
      </c>
      <c r="AP284" s="81">
        <f t="shared" si="475"/>
        <v>17.391304347826086</v>
      </c>
      <c r="AQ284" s="81">
        <f t="shared" si="476"/>
        <v>22</v>
      </c>
      <c r="AR284" s="3"/>
      <c r="AS284" s="76">
        <f t="shared" si="477"/>
        <v>22.289156626506024</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456"/>
        <v>17</v>
      </c>
      <c r="H285" s="52">
        <f t="shared" si="457"/>
        <v>26.153846153846157</v>
      </c>
      <c r="I285" s="53">
        <f>COUNTIFS('00 Encuesta'!$B$2:$B$511,"*c)*",'00 Encuesta'!$C$2:$C$511,"*a)*",'00 Encuesta'!$E$2:$E$511,"*a)*",'00 Encuesta'!$AJ$2:$AJ$511,"*m)*")</f>
        <v>8</v>
      </c>
      <c r="J285" s="52">
        <f t="shared" si="458"/>
        <v>24.242424242424242</v>
      </c>
      <c r="K285" s="53">
        <f>COUNTIFS('00 Encuesta'!$B$2:$B$511,"*c)*",'00 Encuesta'!$C$2:$C$511,"*a)*",'00 Encuesta'!$E$2:$E$511,"*b)*",'00 Encuesta'!$AJ$2:$AJ$511,"*m)*")</f>
        <v>9</v>
      </c>
      <c r="L285" s="52">
        <f t="shared" si="481"/>
        <v>28.125</v>
      </c>
      <c r="M285" s="23"/>
      <c r="N285" s="51">
        <f t="shared" ref="N285:N286" si="487">P285+R285</f>
        <v>9</v>
      </c>
      <c r="O285" s="52">
        <f t="shared" si="483"/>
        <v>17.647058823529413</v>
      </c>
      <c r="P285" s="53">
        <f>COUNTIFS('00 Encuesta'!$B$2:$B$511,"*c)*",'00 Encuesta'!$C$2:$C$511,"*b)*",'00 Encuesta'!$E$2:$E$511,"*a)*",'00 Encuesta'!$AJ$2:$AJ$511,"*m)*")</f>
        <v>3</v>
      </c>
      <c r="Q285" s="52">
        <f t="shared" si="462"/>
        <v>10.714285714285714</v>
      </c>
      <c r="R285" s="53">
        <f>COUNTIFS('00 Encuesta'!$B$2:$B$511,"*c)*",'00 Encuesta'!$C$2:$C$511,"*b)*",'00 Encuesta'!$E$2:$E$511,"*b)*",'00 Encuesta'!$AJ$2:$AJ$511,"*m)*")</f>
        <v>6</v>
      </c>
      <c r="S285" s="52">
        <f t="shared" si="484"/>
        <v>26.086956521739129</v>
      </c>
      <c r="T285" s="3"/>
      <c r="U285" s="51">
        <f t="shared" ref="U285:U286" si="488">W285+Y285</f>
        <v>11</v>
      </c>
      <c r="V285" s="52">
        <f t="shared" si="486"/>
        <v>22</v>
      </c>
      <c r="W285" s="53">
        <f>COUNTIFS('00 Encuesta'!$B$2:$B$511,"*c)*",'00 Encuesta'!$C$2:$C$511,"*d)*",'00 Encuesta'!$E$2:$E$511,"*a)*",'00 Encuesta'!$AJ$2:$AJ$511,"*m)*")</f>
        <v>5</v>
      </c>
      <c r="X285" s="52">
        <f t="shared" si="466"/>
        <v>18.518518518518519</v>
      </c>
      <c r="Y285" s="53">
        <f>COUNTIFS('00 Encuesta'!$B$2:$B$511,"*c)*",'00 Encuesta'!$C$2:$C$511,"*d)*",'00 Encuesta'!$E$2:$E$511,"*b)*",'00 Encuesta'!$AJ$2:$AJ$511,"*m)*")</f>
        <v>6</v>
      </c>
      <c r="Z285" s="52">
        <f t="shared" si="467"/>
        <v>26.086956521739129</v>
      </c>
      <c r="AA285" s="3"/>
      <c r="AB285" s="62">
        <f t="shared" si="468"/>
        <v>37</v>
      </c>
      <c r="AC285" s="52">
        <f t="shared" si="469"/>
        <v>22.289156626506024</v>
      </c>
      <c r="AD285" s="3"/>
      <c r="AE285" s="3"/>
      <c r="AF285" s="9" t="str">
        <f t="shared" si="470"/>
        <v>m) Veo televisión y/o películas</v>
      </c>
      <c r="AG285" s="72">
        <f t="shared" si="478"/>
        <v>24.242424242424242</v>
      </c>
      <c r="AH285" s="72">
        <f t="shared" si="479"/>
        <v>28.125</v>
      </c>
      <c r="AI285" s="73">
        <f t="shared" si="480"/>
        <v>26.153846153846157</v>
      </c>
      <c r="AJ285" s="73"/>
      <c r="AK285" s="76">
        <f t="shared" si="471"/>
        <v>10.714285714285714</v>
      </c>
      <c r="AL285" s="76">
        <f t="shared" si="472"/>
        <v>26.086956521739129</v>
      </c>
      <c r="AM285" s="76">
        <f t="shared" si="473"/>
        <v>17.647058823529413</v>
      </c>
      <c r="AN285" s="76"/>
      <c r="AO285" s="81">
        <f t="shared" si="474"/>
        <v>18.518518518518519</v>
      </c>
      <c r="AP285" s="81">
        <f t="shared" si="475"/>
        <v>26.086956521739129</v>
      </c>
      <c r="AQ285" s="81">
        <f t="shared" si="476"/>
        <v>22</v>
      </c>
      <c r="AR285" s="3"/>
      <c r="AS285" s="76">
        <f t="shared" si="477"/>
        <v>22.289156626506024</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x14ac:dyDescent="0.3">
      <c r="A286" s="8" t="s">
        <v>213</v>
      </c>
      <c r="B286" s="9" t="s">
        <v>214</v>
      </c>
      <c r="C286" s="7"/>
      <c r="D286" s="7"/>
      <c r="E286" s="7"/>
      <c r="F286" s="71"/>
      <c r="G286" s="51">
        <f t="shared" si="456"/>
        <v>12</v>
      </c>
      <c r="H286" s="52">
        <f t="shared" si="457"/>
        <v>18.461538461538463</v>
      </c>
      <c r="I286" s="53">
        <f>COUNTIFS('00 Encuesta'!$B$2:$B$511,"*c)*",'00 Encuesta'!$C$2:$C$511,"*a)*",'00 Encuesta'!$E$2:$E$511,"*a)*",'00 Encuesta'!$AJ$2:$AJ$511,"*n)*")</f>
        <v>5</v>
      </c>
      <c r="J286" s="52">
        <f t="shared" si="458"/>
        <v>15.151515151515152</v>
      </c>
      <c r="K286" s="53">
        <f>COUNTIFS('00 Encuesta'!$B$2:$B$511,"*c)*",'00 Encuesta'!$C$2:$C$511,"*a)*",'00 Encuesta'!$E$2:$E$511,"*b)*",'00 Encuesta'!$AJ$2:$AJ$511,"*n)*")</f>
        <v>7</v>
      </c>
      <c r="L286" s="52">
        <f t="shared" si="481"/>
        <v>21.875</v>
      </c>
      <c r="M286" s="23"/>
      <c r="N286" s="51">
        <f t="shared" si="487"/>
        <v>6</v>
      </c>
      <c r="O286" s="52">
        <f t="shared" si="483"/>
        <v>11.76470588235294</v>
      </c>
      <c r="P286" s="53">
        <f>COUNTIFS('00 Encuesta'!$B$2:$B$511,"*c)*",'00 Encuesta'!$C$2:$C$511,"*b)*",'00 Encuesta'!$E$2:$E$511,"*a)*",'00 Encuesta'!$AJ$2:$AJ$511,"*n)*")</f>
        <v>2</v>
      </c>
      <c r="Q286" s="52">
        <f t="shared" si="462"/>
        <v>7.1428571428571423</v>
      </c>
      <c r="R286" s="53">
        <f>COUNTIFS('00 Encuesta'!$B$2:$B$511,"*c)*",'00 Encuesta'!$C$2:$C$511,"*b)*",'00 Encuesta'!$E$2:$E$511,"*b)*",'00 Encuesta'!$AJ$2:$AJ$511,"*n)*")</f>
        <v>4</v>
      </c>
      <c r="S286" s="52">
        <f t="shared" si="484"/>
        <v>17.391304347826086</v>
      </c>
      <c r="T286" s="3"/>
      <c r="U286" s="51">
        <f t="shared" si="488"/>
        <v>10</v>
      </c>
      <c r="V286" s="52">
        <f t="shared" si="486"/>
        <v>20</v>
      </c>
      <c r="W286" s="53">
        <f>COUNTIFS('00 Encuesta'!$B$2:$B$511,"*c)*",'00 Encuesta'!$C$2:$C$511,"*d)*",'00 Encuesta'!$E$2:$E$511,"*a)*",'00 Encuesta'!$AJ$2:$AJ$511,"*n)*")</f>
        <v>4</v>
      </c>
      <c r="X286" s="52">
        <f t="shared" si="466"/>
        <v>14.814814814814813</v>
      </c>
      <c r="Y286" s="53">
        <f>COUNTIFS('00 Encuesta'!$B$2:$B$511,"*c)*",'00 Encuesta'!$C$2:$C$511,"*d)*",'00 Encuesta'!$E$2:$E$511,"*b)*",'00 Encuesta'!$AJ$2:$AJ$511,"*n)*")</f>
        <v>6</v>
      </c>
      <c r="Z286" s="52">
        <f t="shared" si="467"/>
        <v>26.086956521739129</v>
      </c>
      <c r="AA286" s="3"/>
      <c r="AB286" s="62">
        <f t="shared" si="468"/>
        <v>28</v>
      </c>
      <c r="AC286" s="52">
        <f t="shared" si="469"/>
        <v>16.867469879518072</v>
      </c>
      <c r="AD286" s="3"/>
      <c r="AE286" s="3"/>
      <c r="AF286" s="9" t="str">
        <f t="shared" si="470"/>
        <v>n) Estoy conversando con los amigos/as</v>
      </c>
      <c r="AG286" s="72">
        <f t="shared" si="478"/>
        <v>15.151515151515152</v>
      </c>
      <c r="AH286" s="72">
        <f t="shared" si="479"/>
        <v>21.875</v>
      </c>
      <c r="AI286" s="73">
        <f t="shared" si="480"/>
        <v>18.461538461538463</v>
      </c>
      <c r="AJ286" s="73"/>
      <c r="AK286" s="76">
        <f t="shared" si="471"/>
        <v>7.1428571428571423</v>
      </c>
      <c r="AL286" s="76">
        <f t="shared" si="472"/>
        <v>17.391304347826086</v>
      </c>
      <c r="AM286" s="76">
        <f t="shared" si="473"/>
        <v>11.76470588235294</v>
      </c>
      <c r="AN286" s="76"/>
      <c r="AO286" s="81">
        <f t="shared" si="474"/>
        <v>14.814814814814813</v>
      </c>
      <c r="AP286" s="81">
        <f t="shared" si="475"/>
        <v>26.086956521739129</v>
      </c>
      <c r="AQ286" s="81">
        <f t="shared" si="476"/>
        <v>20</v>
      </c>
      <c r="AR286" s="3"/>
      <c r="AS286" s="76">
        <f t="shared" si="477"/>
        <v>16.867469879518072</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x14ac:dyDescent="0.3">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470"/>
        <v>S/R Sin respuesta</v>
      </c>
      <c r="AG287" s="72">
        <f t="shared" si="478"/>
        <v>0</v>
      </c>
      <c r="AH287" s="72">
        <f t="shared" si="479"/>
        <v>0</v>
      </c>
      <c r="AI287" s="73">
        <f t="shared" si="480"/>
        <v>0</v>
      </c>
      <c r="AJ287" s="73"/>
      <c r="AK287" s="76">
        <f t="shared" si="471"/>
        <v>0</v>
      </c>
      <c r="AL287" s="76">
        <f t="shared" si="472"/>
        <v>0</v>
      </c>
      <c r="AM287" s="76">
        <f t="shared" si="473"/>
        <v>0</v>
      </c>
      <c r="AN287" s="76"/>
      <c r="AO287" s="81">
        <f t="shared" si="474"/>
        <v>0</v>
      </c>
      <c r="AP287" s="81">
        <f t="shared" si="475"/>
        <v>0</v>
      </c>
      <c r="AQ287" s="81">
        <f t="shared" si="476"/>
        <v>0</v>
      </c>
      <c r="AR287" s="3"/>
      <c r="AS287" s="76">
        <f t="shared" si="477"/>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x14ac:dyDescent="0.3">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x14ac:dyDescent="0.3">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x14ac:dyDescent="0.3">
      <c r="A290" s="8" t="s">
        <v>17</v>
      </c>
      <c r="B290" s="9" t="s">
        <v>216</v>
      </c>
      <c r="C290" s="7"/>
      <c r="D290" s="7"/>
      <c r="E290" s="7"/>
      <c r="F290" s="71">
        <v>100</v>
      </c>
      <c r="G290" s="51">
        <f t="shared" ref="G290:G295" si="489">I290+K290</f>
        <v>36</v>
      </c>
      <c r="H290" s="52">
        <f t="shared" ref="H290:H295" si="490">G290/$J$5*100</f>
        <v>55.384615384615387</v>
      </c>
      <c r="I290" s="53">
        <f>COUNTIFS('00 Encuesta'!$B$2:$B$511,"*c)*",'00 Encuesta'!$C$2:$C$511,"*a)*",'00 Encuesta'!$E$2:$E$511,"*a)*",'00 Encuesta'!$AL$2:$AL$511,"*a)*")</f>
        <v>18</v>
      </c>
      <c r="J290" s="52">
        <f t="shared" ref="J290:J295" si="491">I290/$J$6*100</f>
        <v>54.54545454545454</v>
      </c>
      <c r="K290" s="53">
        <f>COUNTIFS('00 Encuesta'!$B$2:$B$511,"*c)*",'00 Encuesta'!$C$2:$C$511,"*a)*",'00 Encuesta'!$E$2:$E$511,"*b)*",'00 Encuesta'!$AL$2:$AL$511,"*a)*")</f>
        <v>18</v>
      </c>
      <c r="L290" s="52">
        <f>K290/$J$7*100</f>
        <v>56.25</v>
      </c>
      <c r="M290" s="23"/>
      <c r="N290" s="51">
        <f>P290+R290</f>
        <v>15</v>
      </c>
      <c r="O290" s="52">
        <f>N290/$Q$5*100</f>
        <v>29.411764705882355</v>
      </c>
      <c r="P290" s="53">
        <f>COUNTIFS('00 Encuesta'!$B$2:$B$511,"*c)*",'00 Encuesta'!$C$2:$C$511,"*b)*",'00 Encuesta'!$E$2:$E$511,"*a)*",'00 Encuesta'!$AL$2:$AL$511,"*a)*")</f>
        <v>7</v>
      </c>
      <c r="Q290" s="52">
        <f>P290/$Q$6*100</f>
        <v>25</v>
      </c>
      <c r="R290" s="53">
        <f>COUNTIFS('00 Encuesta'!$B$2:$B$511,"*c)*",'00 Encuesta'!$C$2:$C$511,"*b)*",'00 Encuesta'!$E$2:$E$511,"*b)*",'00 Encuesta'!$AL$2:$AL$511,"*a)*")</f>
        <v>8</v>
      </c>
      <c r="S290" s="52">
        <f>R290/$Q$7*100</f>
        <v>34.782608695652172</v>
      </c>
      <c r="T290" s="3"/>
      <c r="U290" s="51">
        <f>W290+Y290</f>
        <v>6</v>
      </c>
      <c r="V290" s="52">
        <f>U290/$X$5*100</f>
        <v>12</v>
      </c>
      <c r="W290" s="53">
        <f>COUNTIFS('00 Encuesta'!$B$2:$B$511,"*c)*",'00 Encuesta'!$C$2:$C$511,"*d)*",'00 Encuesta'!$E$2:$E$511,"*a)*",'00 Encuesta'!$AL$2:$AL$511,"*a)*")</f>
        <v>3</v>
      </c>
      <c r="X290" s="52">
        <f>W290/$X$6*100</f>
        <v>11.111111111111111</v>
      </c>
      <c r="Y290" s="53">
        <f>COUNTIFS('00 Encuesta'!$B$2:$B$511,"*c)*",'00 Encuesta'!$C$2:$C$511,"*d)*",'00 Encuesta'!$E$2:$E$511,"*b)*",'00 Encuesta'!$AL$2:$AL$511,"*a)*")</f>
        <v>3</v>
      </c>
      <c r="Z290" s="52">
        <f t="shared" ref="Z290:Z295" si="492">Y290/$X$7*100</f>
        <v>13.043478260869565</v>
      </c>
      <c r="AA290" s="3"/>
      <c r="AB290" s="62">
        <f t="shared" ref="AB290:AB295" si="493">G290+N290+U290</f>
        <v>57</v>
      </c>
      <c r="AC290" s="52">
        <f t="shared" ref="AC290:AC295" si="494">AB290*100/$AC$5</f>
        <v>34.337349397590359</v>
      </c>
      <c r="AD290" s="3"/>
      <c r="AE290" s="3"/>
      <c r="AF290" s="9" t="str">
        <f t="shared" ref="AF290:AF295" si="495">A290&amp;" "&amp;B290</f>
        <v>a) Muy bueno</v>
      </c>
      <c r="AG290" s="72">
        <f t="shared" ref="AG290:AG295" si="496">J290</f>
        <v>54.54545454545454</v>
      </c>
      <c r="AH290" s="72">
        <f t="shared" ref="AH290:AH295" si="497">L290</f>
        <v>56.25</v>
      </c>
      <c r="AI290" s="73">
        <f t="shared" ref="AI290:AI295" si="498">H290</f>
        <v>55.384615384615387</v>
      </c>
      <c r="AJ290" s="73"/>
      <c r="AK290" s="76">
        <f t="shared" ref="AK290:AK295" si="499">Q290</f>
        <v>25</v>
      </c>
      <c r="AL290" s="76">
        <f t="shared" ref="AL290:AL295" si="500">S290</f>
        <v>34.782608695652172</v>
      </c>
      <c r="AM290" s="76">
        <f t="shared" ref="AM290:AM295" si="501">O290</f>
        <v>29.411764705882355</v>
      </c>
      <c r="AN290" s="76"/>
      <c r="AO290" s="81">
        <f t="shared" ref="AO290:AO295" si="502">X290</f>
        <v>11.111111111111111</v>
      </c>
      <c r="AP290" s="81">
        <f t="shared" ref="AP290:AP295" si="503">Z290</f>
        <v>13.043478260869565</v>
      </c>
      <c r="AQ290" s="81">
        <f t="shared" ref="AQ290:AQ295" si="504">V290</f>
        <v>12</v>
      </c>
      <c r="AR290" s="3"/>
      <c r="AS290" s="76">
        <f t="shared" si="477"/>
        <v>34.337349397590359</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x14ac:dyDescent="0.3">
      <c r="A291" s="8" t="s">
        <v>18</v>
      </c>
      <c r="B291" s="9" t="s">
        <v>217</v>
      </c>
      <c r="C291" s="7"/>
      <c r="D291" s="7"/>
      <c r="E291" s="7"/>
      <c r="F291" s="71">
        <v>75</v>
      </c>
      <c r="G291" s="51">
        <f t="shared" si="489"/>
        <v>12</v>
      </c>
      <c r="H291" s="52">
        <f t="shared" si="490"/>
        <v>18.461538461538463</v>
      </c>
      <c r="I291" s="53">
        <f>COUNTIFS('00 Encuesta'!$B$2:$B$511,"*c)*",'00 Encuesta'!$C$2:$C$511,"*a)*",'00 Encuesta'!$E$2:$E$511,"*a)*",'00 Encuesta'!$AL$2:$AL$511,"*b)*")</f>
        <v>5</v>
      </c>
      <c r="J291" s="52">
        <f t="shared" si="491"/>
        <v>15.151515151515152</v>
      </c>
      <c r="K291" s="53">
        <f>COUNTIFS('00 Encuesta'!$B$2:$B$511,"*c)*",'00 Encuesta'!$C$2:$C$511,"*a)*",'00 Encuesta'!$E$2:$E$511,"*b)*",'00 Encuesta'!$AL$2:$AL$511,"*b)*")</f>
        <v>7</v>
      </c>
      <c r="L291" s="52">
        <f>K291/$J$7*100</f>
        <v>21.875</v>
      </c>
      <c r="M291" s="23"/>
      <c r="N291" s="51">
        <f>P291+R291</f>
        <v>23</v>
      </c>
      <c r="O291" s="52">
        <f>N291/$Q$5*100</f>
        <v>45.098039215686278</v>
      </c>
      <c r="P291" s="53">
        <f>COUNTIFS('00 Encuesta'!$B$2:$B$511,"*c)*",'00 Encuesta'!$C$2:$C$511,"*b)*",'00 Encuesta'!$E$2:$E$511,"*a)*",'00 Encuesta'!$AL$2:$AL$511,"*b)*")</f>
        <v>14</v>
      </c>
      <c r="Q291" s="52">
        <f>P291/$Q$6*100</f>
        <v>50</v>
      </c>
      <c r="R291" s="53">
        <f>COUNTIFS('00 Encuesta'!$B$2:$B$511,"*c)*",'00 Encuesta'!$C$2:$C$511,"*b)*",'00 Encuesta'!$E$2:$E$511,"*b)*",'00 Encuesta'!$AL$2:$AL$511,"*b)*")</f>
        <v>9</v>
      </c>
      <c r="S291" s="52">
        <f>R291/$Q$7*100</f>
        <v>39.130434782608695</v>
      </c>
      <c r="T291" s="3"/>
      <c r="U291" s="51">
        <f>W291+Y291</f>
        <v>20</v>
      </c>
      <c r="V291" s="52">
        <f>U291/$X$5*100</f>
        <v>40</v>
      </c>
      <c r="W291" s="53">
        <f>COUNTIFS('00 Encuesta'!$B$2:$B$511,"*c)*",'00 Encuesta'!$C$2:$C$511,"*d)*",'00 Encuesta'!$E$2:$E$511,"*a)*",'00 Encuesta'!$AL$2:$AL$511,"*b)*")</f>
        <v>12</v>
      </c>
      <c r="X291" s="52">
        <f>W291/$X$6*100</f>
        <v>44.444444444444443</v>
      </c>
      <c r="Y291" s="53">
        <f>COUNTIFS('00 Encuesta'!$B$2:$B$511,"*c)*",'00 Encuesta'!$C$2:$C$511,"*d)*",'00 Encuesta'!$E$2:$E$511,"*b)*",'00 Encuesta'!$AL$2:$AL$511,"*b)*")</f>
        <v>8</v>
      </c>
      <c r="Z291" s="52">
        <f t="shared" si="492"/>
        <v>34.782608695652172</v>
      </c>
      <c r="AA291" s="3"/>
      <c r="AB291" s="62">
        <f t="shared" si="493"/>
        <v>55</v>
      </c>
      <c r="AC291" s="52">
        <f t="shared" si="494"/>
        <v>33.132530120481931</v>
      </c>
      <c r="AD291" s="3"/>
      <c r="AE291" s="3"/>
      <c r="AF291" s="9" t="str">
        <f t="shared" si="495"/>
        <v>b) Bueno</v>
      </c>
      <c r="AG291" s="72">
        <f t="shared" si="496"/>
        <v>15.151515151515152</v>
      </c>
      <c r="AH291" s="72">
        <f t="shared" si="497"/>
        <v>21.875</v>
      </c>
      <c r="AI291" s="73">
        <f t="shared" si="498"/>
        <v>18.461538461538463</v>
      </c>
      <c r="AJ291" s="73"/>
      <c r="AK291" s="76">
        <f t="shared" si="499"/>
        <v>50</v>
      </c>
      <c r="AL291" s="76">
        <f t="shared" si="500"/>
        <v>39.130434782608695</v>
      </c>
      <c r="AM291" s="76">
        <f t="shared" si="501"/>
        <v>45.098039215686278</v>
      </c>
      <c r="AN291" s="76"/>
      <c r="AO291" s="81">
        <f t="shared" si="502"/>
        <v>44.444444444444443</v>
      </c>
      <c r="AP291" s="81">
        <f t="shared" si="503"/>
        <v>34.782608695652172</v>
      </c>
      <c r="AQ291" s="81">
        <f t="shared" si="504"/>
        <v>40</v>
      </c>
      <c r="AR291" s="3"/>
      <c r="AS291" s="76">
        <f t="shared" si="477"/>
        <v>33.132530120481931</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x14ac:dyDescent="0.3">
      <c r="A292" s="8" t="s">
        <v>20</v>
      </c>
      <c r="B292" s="9" t="s">
        <v>218</v>
      </c>
      <c r="C292" s="7"/>
      <c r="D292" s="7"/>
      <c r="E292" s="7"/>
      <c r="F292" s="71">
        <v>50</v>
      </c>
      <c r="G292" s="51">
        <f t="shared" si="489"/>
        <v>11</v>
      </c>
      <c r="H292" s="52">
        <f t="shared" si="490"/>
        <v>16.923076923076923</v>
      </c>
      <c r="I292" s="53">
        <f>COUNTIFS('00 Encuesta'!$B$2:$B$511,"*c)*",'00 Encuesta'!$C$2:$C$511,"*a)*",'00 Encuesta'!$E$2:$E$511,"*a)*",'00 Encuesta'!$AL$2:$AL$511,"*c)*")</f>
        <v>6</v>
      </c>
      <c r="J292" s="52">
        <f t="shared" si="491"/>
        <v>18.181818181818183</v>
      </c>
      <c r="K292" s="53">
        <f>COUNTIFS('00 Encuesta'!$B$2:$B$511,"*c)*",'00 Encuesta'!$C$2:$C$511,"*a)*",'00 Encuesta'!$E$2:$E$511,"*b)*",'00 Encuesta'!$AL$2:$AL$511,"*c)*")</f>
        <v>5</v>
      </c>
      <c r="L292" s="52">
        <f>K292/$J$7*100</f>
        <v>15.625</v>
      </c>
      <c r="M292" s="23"/>
      <c r="N292" s="51">
        <f>P292+R292</f>
        <v>8</v>
      </c>
      <c r="O292" s="52">
        <f>N292/$Q$5*100</f>
        <v>15.686274509803921</v>
      </c>
      <c r="P292" s="53">
        <f>COUNTIFS('00 Encuesta'!$B$2:$B$511,"*c)*",'00 Encuesta'!$C$2:$C$511,"*b)*",'00 Encuesta'!$E$2:$E$511,"*a)*",'00 Encuesta'!$AL$2:$AL$511,"*c)*")</f>
        <v>4</v>
      </c>
      <c r="Q292" s="52">
        <f>P292/$Q$6*100</f>
        <v>14.285714285714285</v>
      </c>
      <c r="R292" s="53">
        <f>COUNTIFS('00 Encuesta'!$B$2:$B$511,"*c)*",'00 Encuesta'!$C$2:$C$511,"*b)*",'00 Encuesta'!$E$2:$E$511,"*b)*",'00 Encuesta'!$AL$2:$AL$511,"*c)*")</f>
        <v>4</v>
      </c>
      <c r="S292" s="52">
        <f>R292/$Q$7*100</f>
        <v>17.391304347826086</v>
      </c>
      <c r="T292" s="3"/>
      <c r="U292" s="51">
        <f>W292+Y292</f>
        <v>19</v>
      </c>
      <c r="V292" s="52">
        <f>U292/$X$5*100</f>
        <v>38</v>
      </c>
      <c r="W292" s="53">
        <f>COUNTIFS('00 Encuesta'!$B$2:$B$511,"*c)*",'00 Encuesta'!$C$2:$C$511,"*d)*",'00 Encuesta'!$E$2:$E$511,"*a)*",'00 Encuesta'!$AL$2:$AL$511,"*c)*")</f>
        <v>10</v>
      </c>
      <c r="X292" s="52">
        <f>W292/$X$6*100</f>
        <v>37.037037037037038</v>
      </c>
      <c r="Y292" s="53">
        <f>COUNTIFS('00 Encuesta'!$B$2:$B$511,"*c)*",'00 Encuesta'!$C$2:$C$511,"*d)*",'00 Encuesta'!$E$2:$E$511,"*b)*",'00 Encuesta'!$AL$2:$AL$511,"*c)*")</f>
        <v>9</v>
      </c>
      <c r="Z292" s="52">
        <f t="shared" si="492"/>
        <v>39.130434782608695</v>
      </c>
      <c r="AA292" s="3"/>
      <c r="AB292" s="62">
        <f t="shared" si="493"/>
        <v>38</v>
      </c>
      <c r="AC292" s="52">
        <f t="shared" si="494"/>
        <v>22.891566265060241</v>
      </c>
      <c r="AD292" s="3"/>
      <c r="AE292" s="3"/>
      <c r="AF292" s="9" t="str">
        <f t="shared" si="495"/>
        <v>c) Regular</v>
      </c>
      <c r="AG292" s="72">
        <f t="shared" si="496"/>
        <v>18.181818181818183</v>
      </c>
      <c r="AH292" s="72">
        <f t="shared" si="497"/>
        <v>15.625</v>
      </c>
      <c r="AI292" s="73">
        <f t="shared" si="498"/>
        <v>16.923076923076923</v>
      </c>
      <c r="AJ292" s="73"/>
      <c r="AK292" s="76">
        <f t="shared" si="499"/>
        <v>14.285714285714285</v>
      </c>
      <c r="AL292" s="76">
        <f t="shared" si="500"/>
        <v>17.391304347826086</v>
      </c>
      <c r="AM292" s="76">
        <f t="shared" si="501"/>
        <v>15.686274509803921</v>
      </c>
      <c r="AN292" s="76"/>
      <c r="AO292" s="81">
        <f t="shared" si="502"/>
        <v>37.037037037037038</v>
      </c>
      <c r="AP292" s="81">
        <f t="shared" si="503"/>
        <v>39.130434782608695</v>
      </c>
      <c r="AQ292" s="81">
        <f t="shared" si="504"/>
        <v>38</v>
      </c>
      <c r="AR292" s="3"/>
      <c r="AS292" s="76">
        <f t="shared" si="477"/>
        <v>22.891566265060241</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x14ac:dyDescent="0.3">
      <c r="A293" s="8" t="s">
        <v>21</v>
      </c>
      <c r="B293" s="9" t="s">
        <v>219</v>
      </c>
      <c r="C293" s="7"/>
      <c r="D293" s="7"/>
      <c r="E293" s="7"/>
      <c r="F293" s="71">
        <v>25</v>
      </c>
      <c r="G293" s="51">
        <f t="shared" si="489"/>
        <v>0</v>
      </c>
      <c r="H293" s="52">
        <f t="shared" si="490"/>
        <v>0</v>
      </c>
      <c r="I293" s="53">
        <f>COUNTIFS('00 Encuesta'!$B$2:$B$511,"*c)*",'00 Encuesta'!$C$2:$C$511,"*a)*",'00 Encuesta'!$E$2:$E$511,"*a)*",'00 Encuesta'!$AL$2:$AL$511,"*d)*")</f>
        <v>0</v>
      </c>
      <c r="J293" s="52">
        <f t="shared" si="491"/>
        <v>0</v>
      </c>
      <c r="K293" s="53">
        <f>COUNTIFS('00 Encuesta'!$B$2:$B$511,"*c)*",'00 Encuesta'!$C$2:$C$511,"*a)*",'00 Encuesta'!$E$2:$E$511,"*b)*",'00 Encuesta'!$AL$2:$AL$511,"*d)*")</f>
        <v>0</v>
      </c>
      <c r="L293" s="52">
        <f>K293/$J$7*100</f>
        <v>0</v>
      </c>
      <c r="M293" s="23"/>
      <c r="N293" s="51">
        <f>P293+R293</f>
        <v>3</v>
      </c>
      <c r="O293" s="52">
        <f>N293/$Q$5*100</f>
        <v>5.8823529411764701</v>
      </c>
      <c r="P293" s="53">
        <f>COUNTIFS('00 Encuesta'!$B$2:$B$511,"*c)*",'00 Encuesta'!$C$2:$C$511,"*b)*",'00 Encuesta'!$E$2:$E$511,"*a)*",'00 Encuesta'!$AL$2:$AL$511,"*d)*")</f>
        <v>2</v>
      </c>
      <c r="Q293" s="52">
        <f>P293/$Q$6*100</f>
        <v>7.1428571428571423</v>
      </c>
      <c r="R293" s="53">
        <f>COUNTIFS('00 Encuesta'!$B$2:$B$511,"*c)*",'00 Encuesta'!$C$2:$C$511,"*b)*",'00 Encuesta'!$E$2:$E$511,"*b)*",'00 Encuesta'!$AL$2:$AL$511,"*d)*")</f>
        <v>1</v>
      </c>
      <c r="S293" s="52">
        <f>R293/$Q$7*100</f>
        <v>4.3478260869565215</v>
      </c>
      <c r="T293" s="3"/>
      <c r="U293" s="51">
        <f>W293+Y293</f>
        <v>3</v>
      </c>
      <c r="V293" s="52">
        <f>U293/$X$5*100</f>
        <v>6</v>
      </c>
      <c r="W293" s="53">
        <f>COUNTIFS('00 Encuesta'!$B$2:$B$511,"*c)*",'00 Encuesta'!$C$2:$C$511,"*d)*",'00 Encuesta'!$E$2:$E$511,"*a)*",'00 Encuesta'!$AL$2:$AL$511,"*d)*")</f>
        <v>1</v>
      </c>
      <c r="X293" s="52">
        <f>W293/$X$6*100</f>
        <v>3.7037037037037033</v>
      </c>
      <c r="Y293" s="53">
        <f>COUNTIFS('00 Encuesta'!$B$2:$B$511,"*c)*",'00 Encuesta'!$C$2:$C$511,"*d)*",'00 Encuesta'!$E$2:$E$511,"*b)*",'00 Encuesta'!$AL$2:$AL$511,"*d)*")</f>
        <v>2</v>
      </c>
      <c r="Z293" s="52">
        <f t="shared" si="492"/>
        <v>8.695652173913043</v>
      </c>
      <c r="AA293" s="3"/>
      <c r="AB293" s="62">
        <f t="shared" si="493"/>
        <v>6</v>
      </c>
      <c r="AC293" s="52">
        <f t="shared" si="494"/>
        <v>3.6144578313253013</v>
      </c>
      <c r="AD293" s="3"/>
      <c r="AE293" s="3"/>
      <c r="AF293" s="9" t="str">
        <f t="shared" si="495"/>
        <v>d) Deficiente</v>
      </c>
      <c r="AG293" s="72">
        <f t="shared" si="496"/>
        <v>0</v>
      </c>
      <c r="AH293" s="72">
        <f t="shared" si="497"/>
        <v>0</v>
      </c>
      <c r="AI293" s="73">
        <f t="shared" si="498"/>
        <v>0</v>
      </c>
      <c r="AJ293" s="73"/>
      <c r="AK293" s="76">
        <f t="shared" si="499"/>
        <v>7.1428571428571423</v>
      </c>
      <c r="AL293" s="76">
        <f t="shared" si="500"/>
        <v>4.3478260869565215</v>
      </c>
      <c r="AM293" s="76">
        <f t="shared" si="501"/>
        <v>5.8823529411764701</v>
      </c>
      <c r="AN293" s="76"/>
      <c r="AO293" s="81">
        <f t="shared" si="502"/>
        <v>3.7037037037037033</v>
      </c>
      <c r="AP293" s="81">
        <f t="shared" si="503"/>
        <v>8.695652173913043</v>
      </c>
      <c r="AQ293" s="81">
        <f t="shared" si="504"/>
        <v>6</v>
      </c>
      <c r="AR293" s="3"/>
      <c r="AS293" s="76">
        <f t="shared" si="477"/>
        <v>3.6144578313253013</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x14ac:dyDescent="0.3">
      <c r="A294" s="8" t="s">
        <v>22</v>
      </c>
      <c r="B294" s="9" t="s">
        <v>220</v>
      </c>
      <c r="C294" s="7"/>
      <c r="D294" s="7"/>
      <c r="E294" s="7"/>
      <c r="F294" s="71">
        <v>0</v>
      </c>
      <c r="G294" s="51">
        <f t="shared" si="489"/>
        <v>0</v>
      </c>
      <c r="H294" s="52">
        <f t="shared" si="490"/>
        <v>0</v>
      </c>
      <c r="I294" s="53">
        <f>COUNTIFS('00 Encuesta'!$B$2:$B$511,"*c)*",'00 Encuesta'!$C$2:$C$511,"*a)*",'00 Encuesta'!$E$2:$E$511,"*a)*",'00 Encuesta'!$AL$2:$AL$511,"*e)*")</f>
        <v>0</v>
      </c>
      <c r="J294" s="52">
        <f t="shared" si="491"/>
        <v>0</v>
      </c>
      <c r="K294" s="53">
        <f>COUNTIFS('00 Encuesta'!$B$2:$B$511,"*c)*",'00 Encuesta'!$C$2:$C$511,"*a)*",'00 Encuesta'!$E$2:$E$511,"*b)*",'00 Encuesta'!$AL$2:$AL$511,"*e)*")</f>
        <v>0</v>
      </c>
      <c r="L294" s="52">
        <f>K294/$J$7*100</f>
        <v>0</v>
      </c>
      <c r="M294" s="23"/>
      <c r="N294" s="51">
        <f>P294+R294</f>
        <v>1</v>
      </c>
      <c r="O294" s="52">
        <f>N294/$Q$5*100</f>
        <v>1.9607843137254901</v>
      </c>
      <c r="P294" s="53">
        <f>COUNTIFS('00 Encuesta'!$B$2:$B$511,"*c)*",'00 Encuesta'!$C$2:$C$511,"*b)*",'00 Encuesta'!$E$2:$E$511,"*a)*",'00 Encuesta'!$AL$2:$AL$511,"*e)*")</f>
        <v>0</v>
      </c>
      <c r="Q294" s="52">
        <f>P294/$Q$6*100</f>
        <v>0</v>
      </c>
      <c r="R294" s="53">
        <f>COUNTIFS('00 Encuesta'!$B$2:$B$511,"*c)*",'00 Encuesta'!$C$2:$C$511,"*b)*",'00 Encuesta'!$E$2:$E$511,"*b)*",'00 Encuesta'!$AL$2:$AL$511,"*e)*")</f>
        <v>1</v>
      </c>
      <c r="S294" s="52">
        <f>R294/$Q$7*100</f>
        <v>4.3478260869565215</v>
      </c>
      <c r="T294" s="3"/>
      <c r="U294" s="51">
        <f>W294+Y294</f>
        <v>1</v>
      </c>
      <c r="V294" s="52">
        <f>U294/$X$5*100</f>
        <v>2</v>
      </c>
      <c r="W294" s="53">
        <f>COUNTIFS('00 Encuesta'!$B$2:$B$511,"*c)*",'00 Encuesta'!$C$2:$C$511,"*d)*",'00 Encuesta'!$E$2:$E$511,"*a)*",'00 Encuesta'!$AL$2:$AL$511,"*e)*")</f>
        <v>0</v>
      </c>
      <c r="X294" s="52">
        <f>W294/$X$6*100</f>
        <v>0</v>
      </c>
      <c r="Y294" s="53">
        <f>COUNTIFS('00 Encuesta'!$B$2:$B$511,"*c)*",'00 Encuesta'!$C$2:$C$511,"*d)*",'00 Encuesta'!$E$2:$E$511,"*b)*",'00 Encuesta'!$AL$2:$AL$511,"*e)*")</f>
        <v>1</v>
      </c>
      <c r="Z294" s="52">
        <f t="shared" si="492"/>
        <v>4.3478260869565215</v>
      </c>
      <c r="AA294" s="3"/>
      <c r="AB294" s="62">
        <f t="shared" si="493"/>
        <v>2</v>
      </c>
      <c r="AC294" s="52">
        <f t="shared" si="494"/>
        <v>1.2048192771084338</v>
      </c>
      <c r="AD294" s="3"/>
      <c r="AE294" s="3"/>
      <c r="AF294" s="9" t="str">
        <f t="shared" si="495"/>
        <v>e) Muy deficiente</v>
      </c>
      <c r="AG294" s="72">
        <f t="shared" si="496"/>
        <v>0</v>
      </c>
      <c r="AH294" s="72">
        <f t="shared" si="497"/>
        <v>0</v>
      </c>
      <c r="AI294" s="73">
        <f t="shared" si="498"/>
        <v>0</v>
      </c>
      <c r="AJ294" s="73"/>
      <c r="AK294" s="76">
        <f t="shared" si="499"/>
        <v>0</v>
      </c>
      <c r="AL294" s="76">
        <f t="shared" si="500"/>
        <v>4.3478260869565215</v>
      </c>
      <c r="AM294" s="76">
        <f t="shared" si="501"/>
        <v>1.9607843137254901</v>
      </c>
      <c r="AN294" s="76"/>
      <c r="AO294" s="81">
        <f t="shared" si="502"/>
        <v>0</v>
      </c>
      <c r="AP294" s="81">
        <f t="shared" si="503"/>
        <v>4.3478260869565215</v>
      </c>
      <c r="AQ294" s="81">
        <f t="shared" si="504"/>
        <v>2</v>
      </c>
      <c r="AR294" s="3"/>
      <c r="AS294" s="76">
        <f t="shared" si="477"/>
        <v>1.2048192771084338</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x14ac:dyDescent="0.3">
      <c r="A295" s="8" t="s">
        <v>23</v>
      </c>
      <c r="B295" s="9" t="s">
        <v>24</v>
      </c>
      <c r="C295" s="7"/>
      <c r="D295" s="7"/>
      <c r="E295" s="7"/>
      <c r="F295" s="71"/>
      <c r="G295" s="51">
        <f t="shared" si="489"/>
        <v>0</v>
      </c>
      <c r="H295" s="52">
        <f t="shared" si="490"/>
        <v>0</v>
      </c>
      <c r="I295" s="53"/>
      <c r="J295" s="52">
        <f t="shared" si="491"/>
        <v>0</v>
      </c>
      <c r="K295" s="53"/>
      <c r="L295" s="52">
        <f t="shared" ref="L295" si="505">K295/$J$7*100</f>
        <v>0</v>
      </c>
      <c r="M295" s="23"/>
      <c r="N295" s="51">
        <f t="shared" ref="N295" si="506">P295+R295</f>
        <v>0</v>
      </c>
      <c r="O295" s="52">
        <f t="shared" ref="O295" si="507">N295/$Q$5*100</f>
        <v>0</v>
      </c>
      <c r="P295" s="53"/>
      <c r="Q295" s="52">
        <f t="shared" ref="Q295" si="508">P295/$Q$6*100</f>
        <v>0</v>
      </c>
      <c r="R295" s="53"/>
      <c r="S295" s="52">
        <f t="shared" ref="S295" si="509">R295/$Q$7*100</f>
        <v>0</v>
      </c>
      <c r="T295" s="3"/>
      <c r="U295" s="51">
        <f t="shared" ref="U295" si="510">W295+Y295</f>
        <v>0</v>
      </c>
      <c r="V295" s="52">
        <f t="shared" ref="V295" si="511">U295/$X$5*100</f>
        <v>0</v>
      </c>
      <c r="W295" s="53"/>
      <c r="X295" s="52">
        <f t="shared" ref="X295" si="512">W295/$X$6*100</f>
        <v>0</v>
      </c>
      <c r="Y295" s="53"/>
      <c r="Z295" s="52">
        <f t="shared" si="492"/>
        <v>0</v>
      </c>
      <c r="AA295" s="3"/>
      <c r="AB295" s="62">
        <f t="shared" si="493"/>
        <v>0</v>
      </c>
      <c r="AC295" s="52">
        <f t="shared" si="494"/>
        <v>0</v>
      </c>
      <c r="AD295" s="3"/>
      <c r="AE295" s="3"/>
      <c r="AF295" s="9" t="str">
        <f t="shared" si="495"/>
        <v>S/R Sin Respuesta</v>
      </c>
      <c r="AG295" s="72">
        <f t="shared" si="496"/>
        <v>0</v>
      </c>
      <c r="AH295" s="72">
        <f t="shared" si="497"/>
        <v>0</v>
      </c>
      <c r="AI295" s="73">
        <f t="shared" si="498"/>
        <v>0</v>
      </c>
      <c r="AJ295" s="73"/>
      <c r="AK295" s="76">
        <f t="shared" si="499"/>
        <v>0</v>
      </c>
      <c r="AL295" s="76">
        <f t="shared" si="500"/>
        <v>0</v>
      </c>
      <c r="AM295" s="76">
        <f t="shared" si="501"/>
        <v>0</v>
      </c>
      <c r="AN295" s="76"/>
      <c r="AO295" s="81">
        <f t="shared" si="502"/>
        <v>0</v>
      </c>
      <c r="AP295" s="81">
        <f t="shared" si="503"/>
        <v>0</v>
      </c>
      <c r="AQ295" s="81">
        <f t="shared" si="504"/>
        <v>0</v>
      </c>
      <c r="AR295" s="3"/>
      <c r="AS295" s="76">
        <f t="shared" si="477"/>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x14ac:dyDescent="0.3">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85.34482758620689</v>
      </c>
      <c r="AH296" s="82">
        <f>($F290*K290+$F291*K291+$F292*K292+$F293*K293+$F294*K294)/(K290+K291+K292+K293+K294)</f>
        <v>85.833333333333329</v>
      </c>
      <c r="AI296" s="82">
        <f>($F290*G290+$F291*G291+$F292*G292+$F293*G293+$F294*G294)/(G290+G291+G292+G293+G294)</f>
        <v>85.593220338983045</v>
      </c>
      <c r="AJ296" s="82"/>
      <c r="AK296" s="82">
        <f>($F290*Q290+$F291*Q291+$F292*Q292+$F293*Q293+$F294*Q294)/(Q290+Q291+Q292+Q293+Q294)</f>
        <v>74.074074074074076</v>
      </c>
      <c r="AL296" s="82">
        <f>($F290*S290+$F291*S291+$F292*S292+$F293*S293+$F294*S294)/(S290+S291+S292+S293+S294)</f>
        <v>73.91304347826086</v>
      </c>
      <c r="AM296" s="82">
        <f>($F290*O290+$F291*O291+$F292*O292+$F293*O293+$F294*O294)/(O290+O291+O292+O293+O294)</f>
        <v>74</v>
      </c>
      <c r="AN296" s="82"/>
      <c r="AO296" s="82">
        <f>($F290*W290+$F291*W291+$F292*W292+$F293*W293+$F294*W294)/(W290+W291+W292+W293+W294)</f>
        <v>66.34615384615384</v>
      </c>
      <c r="AP296" s="82">
        <f>($F290*Y290+$F291*Y291+$F292*Y292+$F293*Y293+$F294*Y294)/(Y290+Y291+Y292+Y293+Y294)</f>
        <v>60.869565217391305</v>
      </c>
      <c r="AQ296" s="82">
        <f>($F290*U290+$F291*U291+$F292*U292+$F293*U293+$F294*U294)/(U290+U291+U292+U293+U294)</f>
        <v>63.775510204081634</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x14ac:dyDescent="0.3">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x14ac:dyDescent="0.3">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x14ac:dyDescent="0.3">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x14ac:dyDescent="0.3">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x14ac:dyDescent="0.3">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x14ac:dyDescent="0.3">
      <c r="A305" s="8" t="s">
        <v>17</v>
      </c>
      <c r="B305" s="9" t="s">
        <v>229</v>
      </c>
      <c r="C305" s="7"/>
      <c r="D305" s="7"/>
      <c r="E305" s="7"/>
      <c r="F305" s="71">
        <v>100</v>
      </c>
      <c r="G305" s="51">
        <f t="shared" ref="G305:G310" si="513">I305+K305</f>
        <v>26</v>
      </c>
      <c r="H305" s="52">
        <f t="shared" ref="H305:H310" si="514">G305/$J$5*100</f>
        <v>40</v>
      </c>
      <c r="I305" s="53">
        <f>COUNTIFS('00 Encuesta'!$B$2:$B$511,"*c)*",'00 Encuesta'!$C$2:$C$511,"*a)*",'00 Encuesta'!$E$2:$E$511,"*a)*",'00 Encuesta'!$AM$2:$AM$511,"*a)*")</f>
        <v>14</v>
      </c>
      <c r="J305" s="52">
        <f t="shared" ref="J305:J310" si="515">I305/$J$6*100</f>
        <v>42.424242424242422</v>
      </c>
      <c r="K305" s="53">
        <f>COUNTIFS('00 Encuesta'!$B$2:$B$511,"*c)*",'00 Encuesta'!$C$2:$C$511,"*a)*",'00 Encuesta'!$E$2:$E$511,"*b)*",'00 Encuesta'!$AM$2:$AM$511,"*a)*")</f>
        <v>12</v>
      </c>
      <c r="L305" s="52">
        <f t="shared" ref="L305:L310" si="516">K305/$J$7*100</f>
        <v>37.5</v>
      </c>
      <c r="M305" s="23"/>
      <c r="N305" s="51">
        <f t="shared" ref="N305:N310" si="517">P305+R305</f>
        <v>14</v>
      </c>
      <c r="O305" s="52">
        <f t="shared" ref="O305:O310" si="518">N305/$Q$5*100</f>
        <v>27.450980392156865</v>
      </c>
      <c r="P305" s="53">
        <f>COUNTIFS('00 Encuesta'!$B$2:$B$511,"*c)*",'00 Encuesta'!$C$2:$C$511,"*b)*",'00 Encuesta'!$E$2:$E$511,"*a)*",'00 Encuesta'!$AM$2:$AM$511,"*a)*")</f>
        <v>8</v>
      </c>
      <c r="Q305" s="52">
        <f t="shared" ref="Q305:Q310" si="519">P305/$Q$6*100</f>
        <v>28.571428571428569</v>
      </c>
      <c r="R305" s="53">
        <f>COUNTIFS('00 Encuesta'!$B$2:$B$511,"*c)*",'00 Encuesta'!$C$2:$C$511,"*b)*",'00 Encuesta'!$E$2:$E$511,"*b)*",'00 Encuesta'!$AM$2:$AM$511,"*a)*")</f>
        <v>6</v>
      </c>
      <c r="S305" s="52">
        <f t="shared" ref="S305:S310" si="520">R305/$Q$7*100</f>
        <v>26.086956521739129</v>
      </c>
      <c r="T305" s="3"/>
      <c r="U305" s="51">
        <f t="shared" ref="U305:U310" si="521">W305+Y305</f>
        <v>7</v>
      </c>
      <c r="V305" s="52">
        <f t="shared" ref="V305:V310" si="522">U305/$X$5*100</f>
        <v>14.000000000000002</v>
      </c>
      <c r="W305" s="53">
        <f>COUNTIFS('00 Encuesta'!$B$2:$B$511,"*c)*",'00 Encuesta'!$C$2:$C$511,"*d)*",'00 Encuesta'!$E$2:$E$511,"*a)*",'00 Encuesta'!$AM$2:$AM$511,"*a)*")</f>
        <v>3</v>
      </c>
      <c r="X305" s="52">
        <f t="shared" ref="X305:X310" si="523">W305/$X$6*100</f>
        <v>11.111111111111111</v>
      </c>
      <c r="Y305" s="53">
        <f>COUNTIFS('00 Encuesta'!$B$2:$B$511,"*c)*",'00 Encuesta'!$C$2:$C$511,"*d)*",'00 Encuesta'!$E$2:$E$511,"*b)*",'00 Encuesta'!$AM$2:$AM$511,"*a)*")</f>
        <v>4</v>
      </c>
      <c r="Z305" s="52">
        <f t="shared" ref="Z305:Z310" si="524">Y305/$X$7*100</f>
        <v>17.391304347826086</v>
      </c>
      <c r="AA305" s="3"/>
      <c r="AB305" s="62">
        <f t="shared" ref="AB305:AB310" si="525">G305+N305+U305</f>
        <v>47</v>
      </c>
      <c r="AC305" s="52">
        <f t="shared" ref="AC305:AC310" si="526">AB305*100/$AC$5</f>
        <v>28.313253012048193</v>
      </c>
      <c r="AD305" s="3"/>
      <c r="AE305" s="3"/>
      <c r="AF305" s="9" t="str">
        <f t="shared" ref="AF305:AF310" si="527">A305&amp;" "&amp;B305</f>
        <v>a) Muy buena</v>
      </c>
      <c r="AG305" s="72">
        <f t="shared" ref="AG305:AG310" si="528">J305</f>
        <v>42.424242424242422</v>
      </c>
      <c r="AH305" s="72">
        <f t="shared" ref="AH305:AH310" si="529">L305</f>
        <v>37.5</v>
      </c>
      <c r="AI305" s="73">
        <f t="shared" ref="AI305:AI310" si="530">H305</f>
        <v>40</v>
      </c>
      <c r="AJ305" s="73"/>
      <c r="AK305" s="76">
        <f t="shared" ref="AK305:AK310" si="531">Q305</f>
        <v>28.571428571428569</v>
      </c>
      <c r="AL305" s="76">
        <f t="shared" ref="AL305:AL310" si="532">S305</f>
        <v>26.086956521739129</v>
      </c>
      <c r="AM305" s="76">
        <f t="shared" ref="AM305:AM310" si="533">O305</f>
        <v>27.450980392156865</v>
      </c>
      <c r="AN305" s="76"/>
      <c r="AO305" s="81">
        <f t="shared" ref="AO305:AO310" si="534">X305</f>
        <v>11.111111111111111</v>
      </c>
      <c r="AP305" s="81">
        <f t="shared" ref="AP305:AP310" si="535">Z305</f>
        <v>17.391304347826086</v>
      </c>
      <c r="AQ305" s="81">
        <f t="shared" ref="AQ305:AQ310" si="536">V305</f>
        <v>14.000000000000002</v>
      </c>
      <c r="AR305" s="3"/>
      <c r="AS305" s="76">
        <f t="shared" si="477"/>
        <v>28.313253012048193</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x14ac:dyDescent="0.3">
      <c r="A306" s="8" t="s">
        <v>18</v>
      </c>
      <c r="B306" s="9" t="s">
        <v>230</v>
      </c>
      <c r="C306" s="7"/>
      <c r="D306" s="7"/>
      <c r="E306" s="7"/>
      <c r="F306" s="71">
        <v>75</v>
      </c>
      <c r="G306" s="51">
        <f t="shared" si="513"/>
        <v>25</v>
      </c>
      <c r="H306" s="52">
        <f t="shared" si="514"/>
        <v>38.461538461538467</v>
      </c>
      <c r="I306" s="53">
        <f>COUNTIFS('00 Encuesta'!$B$2:$B$511,"*c)*",'00 Encuesta'!$C$2:$C$511,"*a)*",'00 Encuesta'!$E$2:$E$511,"*a)*",'00 Encuesta'!$AM$2:$AM$511,"*b)*")</f>
        <v>12</v>
      </c>
      <c r="J306" s="52">
        <f t="shared" si="515"/>
        <v>36.363636363636367</v>
      </c>
      <c r="K306" s="53">
        <f>COUNTIFS('00 Encuesta'!$B$2:$B$511,"*c)*",'00 Encuesta'!$C$2:$C$511,"*a)*",'00 Encuesta'!$E$2:$E$511,"*b)*",'00 Encuesta'!$AM$2:$AM$511,"*b)*")</f>
        <v>13</v>
      </c>
      <c r="L306" s="52">
        <f t="shared" si="516"/>
        <v>40.625</v>
      </c>
      <c r="M306" s="23"/>
      <c r="N306" s="51">
        <f t="shared" si="517"/>
        <v>17</v>
      </c>
      <c r="O306" s="52">
        <f t="shared" si="518"/>
        <v>33.333333333333329</v>
      </c>
      <c r="P306" s="53">
        <f>COUNTIFS('00 Encuesta'!$B$2:$B$511,"*c)*",'00 Encuesta'!$C$2:$C$511,"*b)*",'00 Encuesta'!$E$2:$E$511,"*a)*",'00 Encuesta'!$AM$2:$AM$511,"*b)*")</f>
        <v>8</v>
      </c>
      <c r="Q306" s="52">
        <f t="shared" si="519"/>
        <v>28.571428571428569</v>
      </c>
      <c r="R306" s="53">
        <f>COUNTIFS('00 Encuesta'!$B$2:$B$511,"*c)*",'00 Encuesta'!$C$2:$C$511,"*b)*",'00 Encuesta'!$E$2:$E$511,"*b)*",'00 Encuesta'!$AM$2:$AM$511,"*b)*")</f>
        <v>9</v>
      </c>
      <c r="S306" s="52">
        <f t="shared" si="520"/>
        <v>39.130434782608695</v>
      </c>
      <c r="T306" s="3"/>
      <c r="U306" s="51">
        <f t="shared" si="521"/>
        <v>13</v>
      </c>
      <c r="V306" s="52">
        <f t="shared" si="522"/>
        <v>26</v>
      </c>
      <c r="W306" s="53">
        <f>COUNTIFS('00 Encuesta'!$B$2:$B$511,"*c)*",'00 Encuesta'!$C$2:$C$511,"*d)*",'00 Encuesta'!$E$2:$E$511,"*a)*",'00 Encuesta'!$AM$2:$AM$511,"*b)*")</f>
        <v>7</v>
      </c>
      <c r="X306" s="52">
        <f t="shared" si="523"/>
        <v>25.925925925925924</v>
      </c>
      <c r="Y306" s="53">
        <f>COUNTIFS('00 Encuesta'!$B$2:$B$511,"*c)*",'00 Encuesta'!$C$2:$C$511,"*d)*",'00 Encuesta'!$E$2:$E$511,"*b)*",'00 Encuesta'!$AM$2:$AM$511,"*b)*")</f>
        <v>6</v>
      </c>
      <c r="Z306" s="52">
        <f t="shared" si="524"/>
        <v>26.086956521739129</v>
      </c>
      <c r="AA306" s="3"/>
      <c r="AB306" s="62">
        <f t="shared" si="525"/>
        <v>55</v>
      </c>
      <c r="AC306" s="52">
        <f t="shared" si="526"/>
        <v>33.132530120481931</v>
      </c>
      <c r="AD306" s="3"/>
      <c r="AE306" s="3"/>
      <c r="AF306" s="9" t="str">
        <f t="shared" si="527"/>
        <v>b) Buena</v>
      </c>
      <c r="AG306" s="72">
        <f t="shared" si="528"/>
        <v>36.363636363636367</v>
      </c>
      <c r="AH306" s="72">
        <f t="shared" si="529"/>
        <v>40.625</v>
      </c>
      <c r="AI306" s="73">
        <f t="shared" si="530"/>
        <v>38.461538461538467</v>
      </c>
      <c r="AJ306" s="73"/>
      <c r="AK306" s="76">
        <f t="shared" si="531"/>
        <v>28.571428571428569</v>
      </c>
      <c r="AL306" s="76">
        <f t="shared" si="532"/>
        <v>39.130434782608695</v>
      </c>
      <c r="AM306" s="76">
        <f t="shared" si="533"/>
        <v>33.333333333333329</v>
      </c>
      <c r="AN306" s="76"/>
      <c r="AO306" s="81">
        <f t="shared" si="534"/>
        <v>25.925925925925924</v>
      </c>
      <c r="AP306" s="81">
        <f t="shared" si="535"/>
        <v>26.086956521739129</v>
      </c>
      <c r="AQ306" s="81">
        <f t="shared" si="536"/>
        <v>26</v>
      </c>
      <c r="AR306" s="3"/>
      <c r="AS306" s="76">
        <f t="shared" si="477"/>
        <v>33.132530120481931</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x14ac:dyDescent="0.3">
      <c r="A307" s="8" t="s">
        <v>20</v>
      </c>
      <c r="B307" s="9" t="s">
        <v>218</v>
      </c>
      <c r="C307" s="7"/>
      <c r="D307" s="7"/>
      <c r="E307" s="7"/>
      <c r="F307" s="71">
        <v>50</v>
      </c>
      <c r="G307" s="51">
        <f t="shared" si="513"/>
        <v>9</v>
      </c>
      <c r="H307" s="52">
        <f t="shared" si="514"/>
        <v>13.846153846153847</v>
      </c>
      <c r="I307" s="53">
        <f>COUNTIFS('00 Encuesta'!$B$2:$B$511,"*c)*",'00 Encuesta'!$C$2:$C$511,"*a)*",'00 Encuesta'!$E$2:$E$511,"*a)*",'00 Encuesta'!$AM$2:$AM$511,"*c)*")</f>
        <v>4</v>
      </c>
      <c r="J307" s="52">
        <f t="shared" si="515"/>
        <v>12.121212121212121</v>
      </c>
      <c r="K307" s="53">
        <f>COUNTIFS('00 Encuesta'!$B$2:$B$511,"*c)*",'00 Encuesta'!$C$2:$C$511,"*a)*",'00 Encuesta'!$E$2:$E$511,"*b)*",'00 Encuesta'!$AM$2:$AM$511,"*c)*")</f>
        <v>5</v>
      </c>
      <c r="L307" s="52">
        <f t="shared" si="516"/>
        <v>15.625</v>
      </c>
      <c r="M307" s="23"/>
      <c r="N307" s="51">
        <f t="shared" si="517"/>
        <v>11</v>
      </c>
      <c r="O307" s="52">
        <f t="shared" si="518"/>
        <v>21.568627450980394</v>
      </c>
      <c r="P307" s="53">
        <f>COUNTIFS('00 Encuesta'!$B$2:$B$511,"*c)*",'00 Encuesta'!$C$2:$C$511,"*b)*",'00 Encuesta'!$E$2:$E$511,"*a)*",'00 Encuesta'!$AM$2:$AM$511,"*c)*")</f>
        <v>8</v>
      </c>
      <c r="Q307" s="52">
        <f t="shared" si="519"/>
        <v>28.571428571428569</v>
      </c>
      <c r="R307" s="53">
        <f>COUNTIFS('00 Encuesta'!$B$2:$B$511,"*c)*",'00 Encuesta'!$C$2:$C$511,"*b)*",'00 Encuesta'!$E$2:$E$511,"*b)*",'00 Encuesta'!$AM$2:$AM$511,"*c)*")</f>
        <v>3</v>
      </c>
      <c r="S307" s="52">
        <f t="shared" si="520"/>
        <v>13.043478260869565</v>
      </c>
      <c r="T307" s="3"/>
      <c r="U307" s="51">
        <f t="shared" si="521"/>
        <v>22</v>
      </c>
      <c r="V307" s="52">
        <f t="shared" si="522"/>
        <v>44</v>
      </c>
      <c r="W307" s="53">
        <f>COUNTIFS('00 Encuesta'!$B$2:$B$511,"*c)*",'00 Encuesta'!$C$2:$C$511,"*d)*",'00 Encuesta'!$E$2:$E$511,"*a)*",'00 Encuesta'!$AM$2:$AM$511,"*c)*")</f>
        <v>12</v>
      </c>
      <c r="X307" s="52">
        <f t="shared" si="523"/>
        <v>44.444444444444443</v>
      </c>
      <c r="Y307" s="53">
        <f>COUNTIFS('00 Encuesta'!$B$2:$B$511,"*c)*",'00 Encuesta'!$C$2:$C$511,"*d)*",'00 Encuesta'!$E$2:$E$511,"*b)*",'00 Encuesta'!$AM$2:$AM$511,"*c)*")</f>
        <v>10</v>
      </c>
      <c r="Z307" s="52">
        <f t="shared" si="524"/>
        <v>43.478260869565219</v>
      </c>
      <c r="AA307" s="3"/>
      <c r="AB307" s="62">
        <f t="shared" si="525"/>
        <v>42</v>
      </c>
      <c r="AC307" s="52">
        <f t="shared" si="526"/>
        <v>25.301204819277107</v>
      </c>
      <c r="AD307" s="3"/>
      <c r="AE307" s="3"/>
      <c r="AF307" s="9" t="str">
        <f t="shared" si="527"/>
        <v>c) Regular</v>
      </c>
      <c r="AG307" s="72">
        <f t="shared" si="528"/>
        <v>12.121212121212121</v>
      </c>
      <c r="AH307" s="72">
        <f t="shared" si="529"/>
        <v>15.625</v>
      </c>
      <c r="AI307" s="73">
        <f t="shared" si="530"/>
        <v>13.846153846153847</v>
      </c>
      <c r="AJ307" s="73"/>
      <c r="AK307" s="76">
        <f t="shared" si="531"/>
        <v>28.571428571428569</v>
      </c>
      <c r="AL307" s="76">
        <f t="shared" si="532"/>
        <v>13.043478260869565</v>
      </c>
      <c r="AM307" s="76">
        <f t="shared" si="533"/>
        <v>21.568627450980394</v>
      </c>
      <c r="AN307" s="76"/>
      <c r="AO307" s="81">
        <f t="shared" si="534"/>
        <v>44.444444444444443</v>
      </c>
      <c r="AP307" s="81">
        <f t="shared" si="535"/>
        <v>43.478260869565219</v>
      </c>
      <c r="AQ307" s="81">
        <f t="shared" si="536"/>
        <v>44</v>
      </c>
      <c r="AR307" s="3"/>
      <c r="AS307" s="76">
        <f t="shared" si="477"/>
        <v>25.301204819277107</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x14ac:dyDescent="0.3">
      <c r="A308" s="8" t="s">
        <v>21</v>
      </c>
      <c r="B308" s="9" t="s">
        <v>231</v>
      </c>
      <c r="C308" s="7"/>
      <c r="D308" s="7"/>
      <c r="E308" s="7"/>
      <c r="F308" s="71">
        <v>25</v>
      </c>
      <c r="G308" s="51">
        <f t="shared" si="513"/>
        <v>0</v>
      </c>
      <c r="H308" s="52">
        <f t="shared" si="514"/>
        <v>0</v>
      </c>
      <c r="I308" s="53">
        <f>COUNTIFS('00 Encuesta'!$B$2:$B$511,"*c)*",'00 Encuesta'!$C$2:$C$511,"*a)*",'00 Encuesta'!$E$2:$E$511,"*a)*",'00 Encuesta'!$AM$2:$AM$511,"*d)*")</f>
        <v>0</v>
      </c>
      <c r="J308" s="52">
        <f t="shared" si="515"/>
        <v>0</v>
      </c>
      <c r="K308" s="53">
        <f>COUNTIFS('00 Encuesta'!$B$2:$B$511,"*c)*",'00 Encuesta'!$C$2:$C$511,"*a)*",'00 Encuesta'!$E$2:$E$511,"*b)*",'00 Encuesta'!$AM$2:$AM$511,"*d)*")</f>
        <v>0</v>
      </c>
      <c r="L308" s="52">
        <f t="shared" si="516"/>
        <v>0</v>
      </c>
      <c r="M308" s="23"/>
      <c r="N308" s="51">
        <f t="shared" si="517"/>
        <v>2</v>
      </c>
      <c r="O308" s="52">
        <f t="shared" si="518"/>
        <v>3.9215686274509802</v>
      </c>
      <c r="P308" s="53">
        <f>COUNTIFS('00 Encuesta'!$B$2:$B$511,"*c)*",'00 Encuesta'!$C$2:$C$511,"*b)*",'00 Encuesta'!$E$2:$E$511,"*a)*",'00 Encuesta'!$AM$2:$AM$511,"*d)*")</f>
        <v>1</v>
      </c>
      <c r="Q308" s="52">
        <f t="shared" si="519"/>
        <v>3.5714285714285712</v>
      </c>
      <c r="R308" s="53">
        <f>COUNTIFS('00 Encuesta'!$B$2:$B$511,"*c)*",'00 Encuesta'!$C$2:$C$511,"*b)*",'00 Encuesta'!$E$2:$E$511,"*b)*",'00 Encuesta'!$AM$2:$AM$511,"*d)*")</f>
        <v>1</v>
      </c>
      <c r="S308" s="52">
        <f t="shared" si="520"/>
        <v>4.3478260869565215</v>
      </c>
      <c r="T308" s="3"/>
      <c r="U308" s="51">
        <f t="shared" si="521"/>
        <v>2</v>
      </c>
      <c r="V308" s="52">
        <f t="shared" si="522"/>
        <v>4</v>
      </c>
      <c r="W308" s="53">
        <f>COUNTIFS('00 Encuesta'!$B$2:$B$511,"*c)*",'00 Encuesta'!$C$2:$C$511,"*d)*",'00 Encuesta'!$E$2:$E$511,"*a)*",'00 Encuesta'!$AM$2:$AM$511,"*d)*")</f>
        <v>2</v>
      </c>
      <c r="X308" s="52">
        <f t="shared" si="523"/>
        <v>7.4074074074074066</v>
      </c>
      <c r="Y308" s="53">
        <f>COUNTIFS('00 Encuesta'!$B$2:$B$511,"*c)*",'00 Encuesta'!$C$2:$C$511,"*d)*",'00 Encuesta'!$E$2:$E$511,"*b)*",'00 Encuesta'!$AM$2:$AM$511,"*d)*")</f>
        <v>0</v>
      </c>
      <c r="Z308" s="52">
        <f t="shared" si="524"/>
        <v>0</v>
      </c>
      <c r="AA308" s="3"/>
      <c r="AB308" s="62">
        <f t="shared" si="525"/>
        <v>4</v>
      </c>
      <c r="AC308" s="52">
        <f t="shared" si="526"/>
        <v>2.4096385542168677</v>
      </c>
      <c r="AD308" s="3"/>
      <c r="AE308" s="3"/>
      <c r="AF308" s="9" t="str">
        <f t="shared" si="527"/>
        <v>d) Mala</v>
      </c>
      <c r="AG308" s="72">
        <f t="shared" si="528"/>
        <v>0</v>
      </c>
      <c r="AH308" s="72">
        <f t="shared" si="529"/>
        <v>0</v>
      </c>
      <c r="AI308" s="73">
        <f t="shared" si="530"/>
        <v>0</v>
      </c>
      <c r="AJ308" s="73"/>
      <c r="AK308" s="76">
        <f t="shared" si="531"/>
        <v>3.5714285714285712</v>
      </c>
      <c r="AL308" s="76">
        <f t="shared" si="532"/>
        <v>4.3478260869565215</v>
      </c>
      <c r="AM308" s="76">
        <f t="shared" si="533"/>
        <v>3.9215686274509802</v>
      </c>
      <c r="AN308" s="76"/>
      <c r="AO308" s="81">
        <f t="shared" si="534"/>
        <v>7.4074074074074066</v>
      </c>
      <c r="AP308" s="81">
        <f t="shared" si="535"/>
        <v>0</v>
      </c>
      <c r="AQ308" s="81">
        <f t="shared" si="536"/>
        <v>4</v>
      </c>
      <c r="AR308" s="3"/>
      <c r="AS308" s="76">
        <f t="shared" si="477"/>
        <v>2.4096385542168677</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x14ac:dyDescent="0.3">
      <c r="A309" s="8" t="s">
        <v>22</v>
      </c>
      <c r="B309" s="9" t="s">
        <v>232</v>
      </c>
      <c r="C309" s="7"/>
      <c r="D309" s="7"/>
      <c r="E309" s="7"/>
      <c r="F309" s="71">
        <v>0</v>
      </c>
      <c r="G309" s="51">
        <f t="shared" si="513"/>
        <v>0</v>
      </c>
      <c r="H309" s="52">
        <f t="shared" si="514"/>
        <v>0</v>
      </c>
      <c r="I309" s="53">
        <f>COUNTIFS('00 Encuesta'!$B$2:$B$511,"*c)*",'00 Encuesta'!$C$2:$C$511,"*a)*",'00 Encuesta'!$E$2:$E$511,"*a)*",'00 Encuesta'!$AM$2:$AM$511,"*e)*")</f>
        <v>0</v>
      </c>
      <c r="J309" s="52">
        <f t="shared" si="515"/>
        <v>0</v>
      </c>
      <c r="K309" s="53">
        <f>COUNTIFS('00 Encuesta'!$B$2:$B$511,"*c)*",'00 Encuesta'!$C$2:$C$511,"*a)*",'00 Encuesta'!$E$2:$E$511,"*b)*",'00 Encuesta'!$AM$2:$AM$511,"*e)*")</f>
        <v>0</v>
      </c>
      <c r="L309" s="52">
        <f t="shared" si="516"/>
        <v>0</v>
      </c>
      <c r="M309" s="23"/>
      <c r="N309" s="51">
        <f t="shared" si="517"/>
        <v>0</v>
      </c>
      <c r="O309" s="52">
        <f t="shared" si="518"/>
        <v>0</v>
      </c>
      <c r="P309" s="53">
        <f>COUNTIFS('00 Encuesta'!$B$2:$B$511,"*c)*",'00 Encuesta'!$C$2:$C$511,"*b)*",'00 Encuesta'!$E$2:$E$511,"*a)*",'00 Encuesta'!$AM$2:$AM$511,"*e)*")</f>
        <v>0</v>
      </c>
      <c r="Q309" s="52">
        <f t="shared" si="519"/>
        <v>0</v>
      </c>
      <c r="R309" s="53">
        <f>COUNTIFS('00 Encuesta'!$B$2:$B$511,"*c)*",'00 Encuesta'!$C$2:$C$511,"*b)*",'00 Encuesta'!$E$2:$E$511,"*b)*",'00 Encuesta'!$AM$2:$AM$511,"*e)*")</f>
        <v>0</v>
      </c>
      <c r="S309" s="52">
        <f t="shared" si="520"/>
        <v>0</v>
      </c>
      <c r="T309" s="3"/>
      <c r="U309" s="51">
        <f t="shared" si="521"/>
        <v>1</v>
      </c>
      <c r="V309" s="52">
        <f t="shared" si="522"/>
        <v>2</v>
      </c>
      <c r="W309" s="53">
        <f>COUNTIFS('00 Encuesta'!$B$2:$B$511,"*c)*",'00 Encuesta'!$C$2:$C$511,"*d)*",'00 Encuesta'!$E$2:$E$511,"*a)*",'00 Encuesta'!$AM$2:$AM$511,"*e)*")</f>
        <v>1</v>
      </c>
      <c r="X309" s="52">
        <f t="shared" si="523"/>
        <v>3.7037037037037033</v>
      </c>
      <c r="Y309" s="53">
        <f>COUNTIFS('00 Encuesta'!$B$2:$B$511,"*c)*",'00 Encuesta'!$C$2:$C$511,"*d)*",'00 Encuesta'!$E$2:$E$511,"*b)*",'00 Encuesta'!$AM$2:$AM$511,"*e)*")</f>
        <v>0</v>
      </c>
      <c r="Z309" s="52">
        <f t="shared" si="524"/>
        <v>0</v>
      </c>
      <c r="AA309" s="3"/>
      <c r="AB309" s="62">
        <f t="shared" si="525"/>
        <v>1</v>
      </c>
      <c r="AC309" s="52">
        <f t="shared" si="526"/>
        <v>0.60240963855421692</v>
      </c>
      <c r="AD309" s="3"/>
      <c r="AE309" s="3"/>
      <c r="AF309" s="9" t="str">
        <f t="shared" si="527"/>
        <v>e) Muy mala</v>
      </c>
      <c r="AG309" s="72">
        <f t="shared" si="528"/>
        <v>0</v>
      </c>
      <c r="AH309" s="72">
        <f t="shared" si="529"/>
        <v>0</v>
      </c>
      <c r="AI309" s="73">
        <f t="shared" si="530"/>
        <v>0</v>
      </c>
      <c r="AJ309" s="73"/>
      <c r="AK309" s="76">
        <f t="shared" si="531"/>
        <v>0</v>
      </c>
      <c r="AL309" s="76">
        <f t="shared" si="532"/>
        <v>0</v>
      </c>
      <c r="AM309" s="76">
        <f t="shared" si="533"/>
        <v>0</v>
      </c>
      <c r="AN309" s="76"/>
      <c r="AO309" s="81">
        <f t="shared" si="534"/>
        <v>3.7037037037037033</v>
      </c>
      <c r="AP309" s="81">
        <f t="shared" si="535"/>
        <v>0</v>
      </c>
      <c r="AQ309" s="81">
        <f t="shared" si="536"/>
        <v>2</v>
      </c>
      <c r="AR309" s="3"/>
      <c r="AS309" s="76">
        <f t="shared" si="477"/>
        <v>0.60240963855421692</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x14ac:dyDescent="0.3">
      <c r="A310" s="8" t="s">
        <v>45</v>
      </c>
      <c r="B310" s="9" t="s">
        <v>233</v>
      </c>
      <c r="C310" s="7"/>
      <c r="D310" s="7"/>
      <c r="E310" s="7"/>
      <c r="F310" s="71"/>
      <c r="G310" s="51">
        <f t="shared" si="513"/>
        <v>2</v>
      </c>
      <c r="H310" s="52">
        <f t="shared" si="514"/>
        <v>3.0769230769230771</v>
      </c>
      <c r="I310" s="53">
        <f>COUNTIFS('00 Encuesta'!$B$2:$B$511,"*c)*",'00 Encuesta'!$C$2:$C$511,"*a)*",'00 Encuesta'!$E$2:$E$511,"*a)*",'00 Encuesta'!$AM$2:$AM$511,"*f)*")</f>
        <v>1</v>
      </c>
      <c r="J310" s="52">
        <f t="shared" si="515"/>
        <v>3.0303030303030303</v>
      </c>
      <c r="K310" s="53">
        <f>COUNTIFS('00 Encuesta'!$B$2:$B$511,"*c)*",'00 Encuesta'!$C$2:$C$511,"*a)*",'00 Encuesta'!$E$2:$E$511,"*b)*",'00 Encuesta'!$AM$2:$AM$511,"*f)*")</f>
        <v>1</v>
      </c>
      <c r="L310" s="52">
        <f t="shared" si="516"/>
        <v>3.125</v>
      </c>
      <c r="M310" s="23"/>
      <c r="N310" s="51">
        <f t="shared" si="517"/>
        <v>6</v>
      </c>
      <c r="O310" s="52">
        <f t="shared" si="518"/>
        <v>11.76470588235294</v>
      </c>
      <c r="P310" s="53">
        <f>COUNTIFS('00 Encuesta'!$B$2:$B$511,"*c)*",'00 Encuesta'!$C$2:$C$511,"*b)*",'00 Encuesta'!$E$2:$E$511,"*a)*",'00 Encuesta'!$AM$2:$AM$511,"*f)*")</f>
        <v>2</v>
      </c>
      <c r="Q310" s="52">
        <f t="shared" si="519"/>
        <v>7.1428571428571423</v>
      </c>
      <c r="R310" s="53">
        <f>COUNTIFS('00 Encuesta'!$B$2:$B$511,"*c)*",'00 Encuesta'!$C$2:$C$511,"*b)*",'00 Encuesta'!$E$2:$E$511,"*b)*",'00 Encuesta'!$AM$2:$AM$511,"*f)*")</f>
        <v>4</v>
      </c>
      <c r="S310" s="52">
        <f t="shared" si="520"/>
        <v>17.391304347826086</v>
      </c>
      <c r="T310" s="3"/>
      <c r="U310" s="51">
        <f t="shared" si="521"/>
        <v>5</v>
      </c>
      <c r="V310" s="52">
        <f t="shared" si="522"/>
        <v>10</v>
      </c>
      <c r="W310" s="53">
        <f>COUNTIFS('00 Encuesta'!$B$2:$B$511,"*c)*",'00 Encuesta'!$C$2:$C$511,"*d)*",'00 Encuesta'!$E$2:$E$511,"*a)*",'00 Encuesta'!$AM$2:$AM$511,"*f)*")</f>
        <v>2</v>
      </c>
      <c r="X310" s="52">
        <f t="shared" si="523"/>
        <v>7.4074074074074066</v>
      </c>
      <c r="Y310" s="53">
        <f>COUNTIFS('00 Encuesta'!$B$2:$B$511,"*c)*",'00 Encuesta'!$C$2:$C$511,"*d)*",'00 Encuesta'!$E$2:$E$511,"*b)*",'00 Encuesta'!$AM$2:$AM$511,"*f)*")</f>
        <v>3</v>
      </c>
      <c r="Z310" s="52">
        <f t="shared" si="524"/>
        <v>13.043478260869565</v>
      </c>
      <c r="AA310" s="3"/>
      <c r="AB310" s="62">
        <f t="shared" si="525"/>
        <v>13</v>
      </c>
      <c r="AC310" s="52">
        <f t="shared" si="526"/>
        <v>7.831325301204819</v>
      </c>
      <c r="AD310" s="3"/>
      <c r="AE310" s="3"/>
      <c r="AF310" s="9" t="str">
        <f t="shared" si="527"/>
        <v>f) No aplica</v>
      </c>
      <c r="AG310" s="72">
        <f t="shared" si="528"/>
        <v>3.0303030303030303</v>
      </c>
      <c r="AH310" s="72">
        <f t="shared" si="529"/>
        <v>3.125</v>
      </c>
      <c r="AI310" s="73">
        <f t="shared" si="530"/>
        <v>3.0769230769230771</v>
      </c>
      <c r="AJ310" s="73"/>
      <c r="AK310" s="76">
        <f t="shared" si="531"/>
        <v>7.1428571428571423</v>
      </c>
      <c r="AL310" s="76">
        <f t="shared" si="532"/>
        <v>17.391304347826086</v>
      </c>
      <c r="AM310" s="76">
        <f t="shared" si="533"/>
        <v>11.76470588235294</v>
      </c>
      <c r="AN310" s="76"/>
      <c r="AO310" s="81">
        <f t="shared" si="534"/>
        <v>7.4074074074074066</v>
      </c>
      <c r="AP310" s="81">
        <f t="shared" si="535"/>
        <v>13.043478260869565</v>
      </c>
      <c r="AQ310" s="81">
        <f t="shared" si="536"/>
        <v>10</v>
      </c>
      <c r="AR310" s="3"/>
      <c r="AS310" s="76">
        <f t="shared" si="477"/>
        <v>7.831325301204819</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x14ac:dyDescent="0.3">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83.333333333333329</v>
      </c>
      <c r="AH311" s="82">
        <f>($F305*K305+$F306*K306+$F307*K307+$F308*K308+$F309*K309)/(K305+K306+K307+K308+K309)</f>
        <v>80.833333333333329</v>
      </c>
      <c r="AI311" s="82">
        <f>($F305*G305+$F306*G306+$F307*G307+$F308*G308+$F309*G309)/(G305+G306+G307+G308+G309)</f>
        <v>82.083333333333329</v>
      </c>
      <c r="AJ311" s="82"/>
      <c r="AK311" s="82">
        <f>($F305*Q305+$F306*Q306+$F307*Q307+$F308*Q308+$F309*Q309)/(Q305+Q306+Q307+Q308+Q309)</f>
        <v>73.000000000000014</v>
      </c>
      <c r="AL311" s="82">
        <f>($F305*S305+$F306*S306+$F307*S307+$F308*S308+$F309*S309)/(S305+S306+S307+S308+S309)</f>
        <v>76.315789473684205</v>
      </c>
      <c r="AM311" s="82">
        <f>($F305*O305+$F306*O306+$F307*O307+$F308*O308+$F309*O309)/(O305+O306+O307+O308+O309)</f>
        <v>74.431818181818187</v>
      </c>
      <c r="AN311" s="82"/>
      <c r="AO311" s="82">
        <f>($F305*W305+$F306*W306+$F307*W307+$F308*W308+$F309*W309)/(W305+W306+W307+W308+W309)</f>
        <v>59</v>
      </c>
      <c r="AP311" s="82">
        <f>($F305*Y305+$F306*Y306+$F307*Y307+$F308*Y308+$F309*Y309)/(Y305+Y306+Y307+Y308+Y309)</f>
        <v>67.5</v>
      </c>
      <c r="AQ311" s="82">
        <f>($F305*U305+$F306*U306+$F307*U307+$F308*U308+$F309*U309)/(U305+U306+U307+U308+U309)</f>
        <v>62.777777777777779</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x14ac:dyDescent="0.3">
      <c r="A313" s="8" t="s">
        <v>17</v>
      </c>
      <c r="B313" s="9" t="s">
        <v>229</v>
      </c>
      <c r="C313" s="7"/>
      <c r="D313" s="7"/>
      <c r="E313" s="7"/>
      <c r="F313" s="71">
        <v>100</v>
      </c>
      <c r="G313" s="51">
        <f t="shared" ref="G313:G318" si="537">I313+K313</f>
        <v>21</v>
      </c>
      <c r="H313" s="52">
        <f t="shared" ref="H313:H318" si="538">G313/$J$5*100</f>
        <v>32.307692307692307</v>
      </c>
      <c r="I313" s="53">
        <f>COUNTIFS('00 Encuesta'!$B$2:$B$511,"*c)*",'00 Encuesta'!$C$2:$C$511,"*a)*",'00 Encuesta'!$E$2:$E$511,"*a)*",'00 Encuesta'!$AN$2:$AN$511,"*a)*")</f>
        <v>12</v>
      </c>
      <c r="J313" s="52">
        <f t="shared" ref="J313:J318" si="539">I313/$J$6*100</f>
        <v>36.363636363636367</v>
      </c>
      <c r="K313" s="53">
        <f>COUNTIFS('00 Encuesta'!$B$2:$B$511,"*c)*",'00 Encuesta'!$C$2:$C$511,"*a)*",'00 Encuesta'!$E$2:$E$511,"*b)*",'00 Encuesta'!$AN$2:$AN$511,"*a)*")</f>
        <v>9</v>
      </c>
      <c r="L313" s="52">
        <f t="shared" ref="L313:L318" si="540">K313/$J$7*100</f>
        <v>28.125</v>
      </c>
      <c r="M313" s="23"/>
      <c r="N313" s="51">
        <f t="shared" ref="N313:N318" si="541">P313+R313</f>
        <v>15</v>
      </c>
      <c r="O313" s="52">
        <f t="shared" ref="O313:O318" si="542">N313/$Q$5*100</f>
        <v>29.411764705882355</v>
      </c>
      <c r="P313" s="53">
        <f>COUNTIFS('00 Encuesta'!$B$2:$B$511,"*c)*",'00 Encuesta'!$C$2:$C$511,"*b)*",'00 Encuesta'!$E$2:$E$511,"*a)*",'00 Encuesta'!$AN$2:$AN$511,"*a)*")</f>
        <v>7</v>
      </c>
      <c r="Q313" s="52">
        <f t="shared" ref="Q313:Q318" si="543">P313/$Q$6*100</f>
        <v>25</v>
      </c>
      <c r="R313" s="53">
        <f>COUNTIFS('00 Encuesta'!$B$2:$B$511,"*c)*",'00 Encuesta'!$C$2:$C$511,"*b)*",'00 Encuesta'!$E$2:$E$511,"*b)*",'00 Encuesta'!$AN$2:$AN$511,"*a)*")</f>
        <v>8</v>
      </c>
      <c r="S313" s="52">
        <f t="shared" ref="S313:S318" si="544">R313/$Q$7*100</f>
        <v>34.782608695652172</v>
      </c>
      <c r="T313" s="3"/>
      <c r="U313" s="51">
        <f t="shared" ref="U313:U318" si="545">W313+Y313</f>
        <v>6</v>
      </c>
      <c r="V313" s="52">
        <f t="shared" ref="V313:V318" si="546">U313/$X$5*100</f>
        <v>12</v>
      </c>
      <c r="W313" s="53">
        <f>COUNTIFS('00 Encuesta'!$B$2:$B$511,"*c)*",'00 Encuesta'!$C$2:$C$511,"*d)*",'00 Encuesta'!$E$2:$E$511,"*a)*",'00 Encuesta'!$AN$2:$AN$511,"*a)*")</f>
        <v>3</v>
      </c>
      <c r="X313" s="52">
        <f t="shared" ref="X313:X318" si="547">W313/$X$6*100</f>
        <v>11.111111111111111</v>
      </c>
      <c r="Y313" s="53">
        <f>COUNTIFS('00 Encuesta'!$B$2:$B$511,"*c)*",'00 Encuesta'!$C$2:$C$511,"*d)*",'00 Encuesta'!$E$2:$E$511,"*b)*",'00 Encuesta'!$AN$2:$AN$511,"*a)*")</f>
        <v>3</v>
      </c>
      <c r="Z313" s="52">
        <f t="shared" ref="Z313:Z318" si="548">Y313/$X$7*100</f>
        <v>13.043478260869565</v>
      </c>
      <c r="AA313" s="3"/>
      <c r="AB313" s="62">
        <f t="shared" ref="AB313:AB318" si="549">G313+N313+U313</f>
        <v>42</v>
      </c>
      <c r="AC313" s="52">
        <f t="shared" ref="AC313:AC318" si="550">AB313*100/$AC$5</f>
        <v>25.301204819277107</v>
      </c>
      <c r="AD313" s="3"/>
      <c r="AE313" s="3"/>
      <c r="AF313" s="9" t="str">
        <f t="shared" ref="AF313:AF318" si="551">A313&amp;" "&amp;B313</f>
        <v>a) Muy buena</v>
      </c>
      <c r="AG313" s="72">
        <f t="shared" ref="AG313:AG318" si="552">J313</f>
        <v>36.363636363636367</v>
      </c>
      <c r="AH313" s="72">
        <f t="shared" ref="AH313:AH318" si="553">L313</f>
        <v>28.125</v>
      </c>
      <c r="AI313" s="73">
        <f t="shared" ref="AI313:AI318" si="554">H313</f>
        <v>32.307692307692307</v>
      </c>
      <c r="AJ313" s="73"/>
      <c r="AK313" s="76">
        <f t="shared" ref="AK313:AK318" si="555">Q313</f>
        <v>25</v>
      </c>
      <c r="AL313" s="76">
        <f t="shared" ref="AL313:AL318" si="556">S313</f>
        <v>34.782608695652172</v>
      </c>
      <c r="AM313" s="76">
        <f t="shared" ref="AM313:AM318" si="557">O313</f>
        <v>29.411764705882355</v>
      </c>
      <c r="AN313" s="76"/>
      <c r="AO313" s="81">
        <f t="shared" ref="AO313:AO318" si="558">X313</f>
        <v>11.111111111111111</v>
      </c>
      <c r="AP313" s="81">
        <f t="shared" ref="AP313:AP318" si="559">Z313</f>
        <v>13.043478260869565</v>
      </c>
      <c r="AQ313" s="81">
        <f t="shared" ref="AQ313:AQ318" si="560">V313</f>
        <v>12</v>
      </c>
      <c r="AR313" s="3"/>
      <c r="AS313" s="76">
        <f t="shared" ref="AS313:AS318" si="561">AC313</f>
        <v>25.301204819277107</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x14ac:dyDescent="0.3">
      <c r="A314" s="8" t="s">
        <v>18</v>
      </c>
      <c r="B314" s="9" t="s">
        <v>230</v>
      </c>
      <c r="C314" s="7"/>
      <c r="D314" s="7"/>
      <c r="E314" s="7"/>
      <c r="F314" s="71">
        <v>75</v>
      </c>
      <c r="G314" s="51">
        <f t="shared" si="537"/>
        <v>28</v>
      </c>
      <c r="H314" s="52">
        <f t="shared" si="538"/>
        <v>43.07692307692308</v>
      </c>
      <c r="I314" s="53">
        <f>COUNTIFS('00 Encuesta'!$B$2:$B$511,"*c)*",'00 Encuesta'!$C$2:$C$511,"*a)*",'00 Encuesta'!$E$2:$E$511,"*a)*",'00 Encuesta'!$AN$2:$AN$511,"*b)*")</f>
        <v>12</v>
      </c>
      <c r="J314" s="52">
        <f t="shared" si="539"/>
        <v>36.363636363636367</v>
      </c>
      <c r="K314" s="53">
        <f>COUNTIFS('00 Encuesta'!$B$2:$B$511,"*c)*",'00 Encuesta'!$C$2:$C$511,"*a)*",'00 Encuesta'!$E$2:$E$511,"*b)*",'00 Encuesta'!$AN$2:$AN$511,"*b)*")</f>
        <v>16</v>
      </c>
      <c r="L314" s="52">
        <f t="shared" si="540"/>
        <v>50</v>
      </c>
      <c r="M314" s="23"/>
      <c r="N314" s="51">
        <f t="shared" si="541"/>
        <v>14</v>
      </c>
      <c r="O314" s="52">
        <f t="shared" si="542"/>
        <v>27.450980392156865</v>
      </c>
      <c r="P314" s="53">
        <f>COUNTIFS('00 Encuesta'!$B$2:$B$511,"*c)*",'00 Encuesta'!$C$2:$C$511,"*b)*",'00 Encuesta'!$E$2:$E$511,"*a)*",'00 Encuesta'!$AN$2:$AN$511,"*b)*")</f>
        <v>8</v>
      </c>
      <c r="Q314" s="52">
        <f t="shared" si="543"/>
        <v>28.571428571428569</v>
      </c>
      <c r="R314" s="53">
        <f>COUNTIFS('00 Encuesta'!$B$2:$B$511,"*c)*",'00 Encuesta'!$C$2:$C$511,"*b)*",'00 Encuesta'!$E$2:$E$511,"*b)*",'00 Encuesta'!$AN$2:$AN$511,"*b)*")</f>
        <v>6</v>
      </c>
      <c r="S314" s="52">
        <f t="shared" si="544"/>
        <v>26.086956521739129</v>
      </c>
      <c r="T314" s="3"/>
      <c r="U314" s="51">
        <f t="shared" si="545"/>
        <v>21</v>
      </c>
      <c r="V314" s="52">
        <f t="shared" si="546"/>
        <v>42</v>
      </c>
      <c r="W314" s="53">
        <f>COUNTIFS('00 Encuesta'!$B$2:$B$511,"*c)*",'00 Encuesta'!$C$2:$C$511,"*d)*",'00 Encuesta'!$E$2:$E$511,"*a)*",'00 Encuesta'!$AN$2:$AN$511,"*b)*")</f>
        <v>13</v>
      </c>
      <c r="X314" s="52">
        <f t="shared" si="547"/>
        <v>48.148148148148145</v>
      </c>
      <c r="Y314" s="53">
        <f>COUNTIFS('00 Encuesta'!$B$2:$B$511,"*c)*",'00 Encuesta'!$C$2:$C$511,"*d)*",'00 Encuesta'!$E$2:$E$511,"*b)*",'00 Encuesta'!$AN$2:$AN$511,"*b)*")</f>
        <v>8</v>
      </c>
      <c r="Z314" s="52">
        <f t="shared" si="548"/>
        <v>34.782608695652172</v>
      </c>
      <c r="AA314" s="3"/>
      <c r="AB314" s="62">
        <f t="shared" si="549"/>
        <v>63</v>
      </c>
      <c r="AC314" s="52">
        <f t="shared" si="550"/>
        <v>37.951807228915662</v>
      </c>
      <c r="AD314" s="3"/>
      <c r="AE314" s="3"/>
      <c r="AF314" s="9" t="str">
        <f t="shared" si="551"/>
        <v>b) Buena</v>
      </c>
      <c r="AG314" s="72">
        <f t="shared" si="552"/>
        <v>36.363636363636367</v>
      </c>
      <c r="AH314" s="72">
        <f t="shared" si="553"/>
        <v>50</v>
      </c>
      <c r="AI314" s="73">
        <f t="shared" si="554"/>
        <v>43.07692307692308</v>
      </c>
      <c r="AJ314" s="73"/>
      <c r="AK314" s="76">
        <f t="shared" si="555"/>
        <v>28.571428571428569</v>
      </c>
      <c r="AL314" s="76">
        <f t="shared" si="556"/>
        <v>26.086956521739129</v>
      </c>
      <c r="AM314" s="76">
        <f t="shared" si="557"/>
        <v>27.450980392156865</v>
      </c>
      <c r="AN314" s="76"/>
      <c r="AO314" s="81">
        <f t="shared" si="558"/>
        <v>48.148148148148145</v>
      </c>
      <c r="AP314" s="81">
        <f t="shared" si="559"/>
        <v>34.782608695652172</v>
      </c>
      <c r="AQ314" s="81">
        <f t="shared" si="560"/>
        <v>42</v>
      </c>
      <c r="AR314" s="3"/>
      <c r="AS314" s="76">
        <f t="shared" si="561"/>
        <v>37.951807228915662</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x14ac:dyDescent="0.3">
      <c r="A315" s="8" t="s">
        <v>20</v>
      </c>
      <c r="B315" s="9" t="s">
        <v>218</v>
      </c>
      <c r="C315" s="7"/>
      <c r="D315" s="7"/>
      <c r="E315" s="7"/>
      <c r="F315" s="71">
        <v>50</v>
      </c>
      <c r="G315" s="51">
        <f t="shared" si="537"/>
        <v>9</v>
      </c>
      <c r="H315" s="52">
        <f t="shared" si="538"/>
        <v>13.846153846153847</v>
      </c>
      <c r="I315" s="53">
        <f>COUNTIFS('00 Encuesta'!$B$2:$B$511,"*c)*",'00 Encuesta'!$C$2:$C$511,"*a)*",'00 Encuesta'!$E$2:$E$511,"*a)*",'00 Encuesta'!$AN$2:$AN$511,"*c)*")</f>
        <v>5</v>
      </c>
      <c r="J315" s="52">
        <f t="shared" si="539"/>
        <v>15.151515151515152</v>
      </c>
      <c r="K315" s="53">
        <f>COUNTIFS('00 Encuesta'!$B$2:$B$511,"*c)*",'00 Encuesta'!$C$2:$C$511,"*a)*",'00 Encuesta'!$E$2:$E$511,"*b)*",'00 Encuesta'!$AN$2:$AN$511,"*c)*")</f>
        <v>4</v>
      </c>
      <c r="L315" s="52">
        <f t="shared" si="540"/>
        <v>12.5</v>
      </c>
      <c r="M315" s="23"/>
      <c r="N315" s="51">
        <f t="shared" si="541"/>
        <v>13</v>
      </c>
      <c r="O315" s="52">
        <f t="shared" si="542"/>
        <v>25.490196078431371</v>
      </c>
      <c r="P315" s="53">
        <f>COUNTIFS('00 Encuesta'!$B$2:$B$511,"*c)*",'00 Encuesta'!$C$2:$C$511,"*b)*",'00 Encuesta'!$E$2:$E$511,"*a)*",'00 Encuesta'!$AN$2:$AN$511,"*c)*")</f>
        <v>8</v>
      </c>
      <c r="Q315" s="52">
        <f t="shared" si="543"/>
        <v>28.571428571428569</v>
      </c>
      <c r="R315" s="53">
        <f>COUNTIFS('00 Encuesta'!$B$2:$B$511,"*c)*",'00 Encuesta'!$C$2:$C$511,"*b)*",'00 Encuesta'!$E$2:$E$511,"*b)*",'00 Encuesta'!$AN$2:$AN$511,"*c)*")</f>
        <v>5</v>
      </c>
      <c r="S315" s="52">
        <f t="shared" si="544"/>
        <v>21.739130434782609</v>
      </c>
      <c r="T315" s="3"/>
      <c r="U315" s="51">
        <f t="shared" si="545"/>
        <v>15</v>
      </c>
      <c r="V315" s="52">
        <f t="shared" si="546"/>
        <v>30</v>
      </c>
      <c r="W315" s="53">
        <f>COUNTIFS('00 Encuesta'!$B$2:$B$511,"*c)*",'00 Encuesta'!$C$2:$C$511,"*d)*",'00 Encuesta'!$E$2:$E$511,"*a)*",'00 Encuesta'!$AN$2:$AN$511,"*c)*")</f>
        <v>7</v>
      </c>
      <c r="X315" s="52">
        <f t="shared" si="547"/>
        <v>25.925925925925924</v>
      </c>
      <c r="Y315" s="53">
        <f>COUNTIFS('00 Encuesta'!$B$2:$B$511,"*c)*",'00 Encuesta'!$C$2:$C$511,"*d)*",'00 Encuesta'!$E$2:$E$511,"*b)*",'00 Encuesta'!$AN$2:$AN$511,"*c)*")</f>
        <v>8</v>
      </c>
      <c r="Z315" s="52">
        <f t="shared" si="548"/>
        <v>34.782608695652172</v>
      </c>
      <c r="AA315" s="3"/>
      <c r="AB315" s="62">
        <f t="shared" si="549"/>
        <v>37</v>
      </c>
      <c r="AC315" s="52">
        <f t="shared" si="550"/>
        <v>22.289156626506024</v>
      </c>
      <c r="AD315" s="3"/>
      <c r="AE315" s="3"/>
      <c r="AF315" s="9" t="str">
        <f t="shared" si="551"/>
        <v>c) Regular</v>
      </c>
      <c r="AG315" s="72">
        <f t="shared" si="552"/>
        <v>15.151515151515152</v>
      </c>
      <c r="AH315" s="72">
        <f t="shared" si="553"/>
        <v>12.5</v>
      </c>
      <c r="AI315" s="73">
        <f t="shared" si="554"/>
        <v>13.846153846153847</v>
      </c>
      <c r="AJ315" s="73"/>
      <c r="AK315" s="76">
        <f t="shared" si="555"/>
        <v>28.571428571428569</v>
      </c>
      <c r="AL315" s="76">
        <f t="shared" si="556"/>
        <v>21.739130434782609</v>
      </c>
      <c r="AM315" s="76">
        <f t="shared" si="557"/>
        <v>25.490196078431371</v>
      </c>
      <c r="AN315" s="76"/>
      <c r="AO315" s="81">
        <f t="shared" si="558"/>
        <v>25.925925925925924</v>
      </c>
      <c r="AP315" s="81">
        <f t="shared" si="559"/>
        <v>34.782608695652172</v>
      </c>
      <c r="AQ315" s="81">
        <f t="shared" si="560"/>
        <v>30</v>
      </c>
      <c r="AR315" s="3"/>
      <c r="AS315" s="76">
        <f t="shared" si="561"/>
        <v>22.289156626506024</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x14ac:dyDescent="0.3">
      <c r="A316" s="8" t="s">
        <v>21</v>
      </c>
      <c r="B316" s="9" t="s">
        <v>231</v>
      </c>
      <c r="C316" s="7"/>
      <c r="D316" s="7"/>
      <c r="E316" s="7"/>
      <c r="F316" s="71">
        <v>25</v>
      </c>
      <c r="G316" s="51">
        <f t="shared" si="537"/>
        <v>0</v>
      </c>
      <c r="H316" s="52">
        <f t="shared" si="538"/>
        <v>0</v>
      </c>
      <c r="I316" s="53">
        <f>COUNTIFS('00 Encuesta'!$B$2:$B$511,"*c)*",'00 Encuesta'!$C$2:$C$511,"*a)*",'00 Encuesta'!$E$2:$E$511,"*a)*",'00 Encuesta'!$AN$2:$AN$511,"*d)*")</f>
        <v>0</v>
      </c>
      <c r="J316" s="52">
        <f t="shared" si="539"/>
        <v>0</v>
      </c>
      <c r="K316" s="53">
        <f>COUNTIFS('00 Encuesta'!$B$2:$B$511,"*c)*",'00 Encuesta'!$C$2:$C$511,"*a)*",'00 Encuesta'!$E$2:$E$511,"*b)*",'00 Encuesta'!$AN$2:$AN$511,"*d)*")</f>
        <v>0</v>
      </c>
      <c r="L316" s="52">
        <f t="shared" si="540"/>
        <v>0</v>
      </c>
      <c r="M316" s="23"/>
      <c r="N316" s="51">
        <f t="shared" si="541"/>
        <v>4</v>
      </c>
      <c r="O316" s="52">
        <f t="shared" si="542"/>
        <v>7.8431372549019605</v>
      </c>
      <c r="P316" s="53">
        <f>COUNTIFS('00 Encuesta'!$B$2:$B$511,"*c)*",'00 Encuesta'!$C$2:$C$511,"*b)*",'00 Encuesta'!$E$2:$E$511,"*a)*",'00 Encuesta'!$AN$2:$AN$511,"*d)*")</f>
        <v>1</v>
      </c>
      <c r="Q316" s="52">
        <f t="shared" si="543"/>
        <v>3.5714285714285712</v>
      </c>
      <c r="R316" s="53">
        <f>COUNTIFS('00 Encuesta'!$B$2:$B$511,"*c)*",'00 Encuesta'!$C$2:$C$511,"*b)*",'00 Encuesta'!$E$2:$E$511,"*b)*",'00 Encuesta'!$AN$2:$AN$511,"*d)*")</f>
        <v>3</v>
      </c>
      <c r="S316" s="52">
        <f t="shared" si="544"/>
        <v>13.043478260869565</v>
      </c>
      <c r="T316" s="3"/>
      <c r="U316" s="51">
        <f t="shared" si="545"/>
        <v>1</v>
      </c>
      <c r="V316" s="52">
        <f t="shared" si="546"/>
        <v>2</v>
      </c>
      <c r="W316" s="53">
        <f>COUNTIFS('00 Encuesta'!$B$2:$B$511,"*c)*",'00 Encuesta'!$C$2:$C$511,"*d)*",'00 Encuesta'!$E$2:$E$511,"*a)*",'00 Encuesta'!$AN$2:$AN$511,"*d)*")</f>
        <v>1</v>
      </c>
      <c r="X316" s="52">
        <f t="shared" si="547"/>
        <v>3.7037037037037033</v>
      </c>
      <c r="Y316" s="53">
        <f>COUNTIFS('00 Encuesta'!$B$2:$B$511,"*c)*",'00 Encuesta'!$C$2:$C$511,"*d)*",'00 Encuesta'!$E$2:$E$511,"*b)*",'00 Encuesta'!$AN$2:$AN$511,"*d)*")</f>
        <v>0</v>
      </c>
      <c r="Z316" s="52">
        <f t="shared" si="548"/>
        <v>0</v>
      </c>
      <c r="AA316" s="3"/>
      <c r="AB316" s="62">
        <f t="shared" si="549"/>
        <v>5</v>
      </c>
      <c r="AC316" s="52">
        <f t="shared" si="550"/>
        <v>3.0120481927710845</v>
      </c>
      <c r="AD316" s="3"/>
      <c r="AE316" s="3"/>
      <c r="AF316" s="9" t="str">
        <f t="shared" si="551"/>
        <v>d) Mala</v>
      </c>
      <c r="AG316" s="72">
        <f t="shared" si="552"/>
        <v>0</v>
      </c>
      <c r="AH316" s="72">
        <f t="shared" si="553"/>
        <v>0</v>
      </c>
      <c r="AI316" s="73">
        <f t="shared" si="554"/>
        <v>0</v>
      </c>
      <c r="AJ316" s="73"/>
      <c r="AK316" s="76">
        <f t="shared" si="555"/>
        <v>3.5714285714285712</v>
      </c>
      <c r="AL316" s="76">
        <f t="shared" si="556"/>
        <v>13.043478260869565</v>
      </c>
      <c r="AM316" s="76">
        <f t="shared" si="557"/>
        <v>7.8431372549019605</v>
      </c>
      <c r="AN316" s="76"/>
      <c r="AO316" s="81">
        <f t="shared" si="558"/>
        <v>3.7037037037037033</v>
      </c>
      <c r="AP316" s="81">
        <f t="shared" si="559"/>
        <v>0</v>
      </c>
      <c r="AQ316" s="81">
        <f t="shared" si="560"/>
        <v>2</v>
      </c>
      <c r="AR316" s="3"/>
      <c r="AS316" s="76">
        <f t="shared" si="561"/>
        <v>3.0120481927710845</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x14ac:dyDescent="0.3">
      <c r="A317" s="8" t="s">
        <v>22</v>
      </c>
      <c r="B317" s="9" t="s">
        <v>232</v>
      </c>
      <c r="C317" s="7"/>
      <c r="D317" s="7"/>
      <c r="E317" s="7"/>
      <c r="F317" s="71">
        <v>0</v>
      </c>
      <c r="G317" s="51">
        <f t="shared" si="537"/>
        <v>0</v>
      </c>
      <c r="H317" s="52">
        <f t="shared" si="538"/>
        <v>0</v>
      </c>
      <c r="I317" s="53">
        <f>COUNTIFS('00 Encuesta'!$B$2:$B$511,"*c)*",'00 Encuesta'!$C$2:$C$511,"*a)*",'00 Encuesta'!$E$2:$E$511,"*a)*",'00 Encuesta'!$AN$2:$AN$511,"*e)*")</f>
        <v>0</v>
      </c>
      <c r="J317" s="52">
        <f t="shared" si="539"/>
        <v>0</v>
      </c>
      <c r="K317" s="53">
        <f>COUNTIFS('00 Encuesta'!$B$2:$B$511,"*c)*",'00 Encuesta'!$C$2:$C$511,"*a)*",'00 Encuesta'!$E$2:$E$511,"*b)*",'00 Encuesta'!$AN$2:$AN$511,"*e)*")</f>
        <v>0</v>
      </c>
      <c r="L317" s="52">
        <f t="shared" si="540"/>
        <v>0</v>
      </c>
      <c r="M317" s="23"/>
      <c r="N317" s="51">
        <f t="shared" si="541"/>
        <v>0</v>
      </c>
      <c r="O317" s="52">
        <f t="shared" si="542"/>
        <v>0</v>
      </c>
      <c r="P317" s="53">
        <f>COUNTIFS('00 Encuesta'!$B$2:$B$511,"*c)*",'00 Encuesta'!$C$2:$C$511,"*b)*",'00 Encuesta'!$E$2:$E$511,"*a)*",'00 Encuesta'!$AN$2:$AN$511,"*e)*")</f>
        <v>0</v>
      </c>
      <c r="Q317" s="52">
        <f t="shared" si="543"/>
        <v>0</v>
      </c>
      <c r="R317" s="53">
        <f>COUNTIFS('00 Encuesta'!$B$2:$B$511,"*c)*",'00 Encuesta'!$C$2:$C$511,"*b)*",'00 Encuesta'!$E$2:$E$511,"*b)*",'00 Encuesta'!$AN$2:$AN$511,"*e)*")</f>
        <v>0</v>
      </c>
      <c r="S317" s="52">
        <f t="shared" si="544"/>
        <v>0</v>
      </c>
      <c r="T317" s="3"/>
      <c r="U317" s="51">
        <f t="shared" si="545"/>
        <v>0</v>
      </c>
      <c r="V317" s="52">
        <f t="shared" si="546"/>
        <v>0</v>
      </c>
      <c r="W317" s="53">
        <f>COUNTIFS('00 Encuesta'!$B$2:$B$511,"*c)*",'00 Encuesta'!$C$2:$C$511,"*d)*",'00 Encuesta'!$E$2:$E$511,"*a)*",'00 Encuesta'!$AN$2:$AN$511,"*e)*")</f>
        <v>0</v>
      </c>
      <c r="X317" s="52">
        <f t="shared" si="547"/>
        <v>0</v>
      </c>
      <c r="Y317" s="53">
        <f>COUNTIFS('00 Encuesta'!$B$2:$B$511,"*c)*",'00 Encuesta'!$C$2:$C$511,"*d)*",'00 Encuesta'!$E$2:$E$511,"*b)*",'00 Encuesta'!$AN$2:$AN$511,"*e)*")</f>
        <v>0</v>
      </c>
      <c r="Z317" s="52">
        <f t="shared" si="548"/>
        <v>0</v>
      </c>
      <c r="AA317" s="3"/>
      <c r="AB317" s="62">
        <f t="shared" si="549"/>
        <v>0</v>
      </c>
      <c r="AC317" s="52">
        <f t="shared" si="550"/>
        <v>0</v>
      </c>
      <c r="AD317" s="3"/>
      <c r="AE317" s="3"/>
      <c r="AF317" s="9" t="str">
        <f t="shared" si="551"/>
        <v>e) Muy mala</v>
      </c>
      <c r="AG317" s="72">
        <f t="shared" si="552"/>
        <v>0</v>
      </c>
      <c r="AH317" s="72">
        <f t="shared" si="553"/>
        <v>0</v>
      </c>
      <c r="AI317" s="73">
        <f t="shared" si="554"/>
        <v>0</v>
      </c>
      <c r="AJ317" s="73"/>
      <c r="AK317" s="76">
        <f t="shared" si="555"/>
        <v>0</v>
      </c>
      <c r="AL317" s="76">
        <f t="shared" si="556"/>
        <v>0</v>
      </c>
      <c r="AM317" s="76">
        <f t="shared" si="557"/>
        <v>0</v>
      </c>
      <c r="AN317" s="76"/>
      <c r="AO317" s="81">
        <f t="shared" si="558"/>
        <v>0</v>
      </c>
      <c r="AP317" s="81">
        <f t="shared" si="559"/>
        <v>0</v>
      </c>
      <c r="AQ317" s="81">
        <f t="shared" si="560"/>
        <v>0</v>
      </c>
      <c r="AR317" s="3"/>
      <c r="AS317" s="76">
        <f t="shared" si="561"/>
        <v>0</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x14ac:dyDescent="0.3">
      <c r="A318" s="8" t="s">
        <v>45</v>
      </c>
      <c r="B318" s="9" t="s">
        <v>233</v>
      </c>
      <c r="C318" s="7"/>
      <c r="D318" s="7"/>
      <c r="E318" s="7"/>
      <c r="F318" s="71"/>
      <c r="G318" s="51">
        <f t="shared" si="537"/>
        <v>2</v>
      </c>
      <c r="H318" s="52">
        <f t="shared" si="538"/>
        <v>3.0769230769230771</v>
      </c>
      <c r="I318" s="53">
        <f>COUNTIFS('00 Encuesta'!$B$2:$B$511,"*c)*",'00 Encuesta'!$C$2:$C$511,"*a)*",'00 Encuesta'!$E$2:$E$511,"*a)*",'00 Encuesta'!$AN$2:$AN$511,"*f)*")</f>
        <v>1</v>
      </c>
      <c r="J318" s="52">
        <f t="shared" si="539"/>
        <v>3.0303030303030303</v>
      </c>
      <c r="K318" s="53">
        <f>COUNTIFS('00 Encuesta'!$B$2:$B$511,"*c)*",'00 Encuesta'!$C$2:$C$511,"*a)*",'00 Encuesta'!$E$2:$E$511,"*b)*",'00 Encuesta'!$AN$2:$AN$511,"*f)*")</f>
        <v>1</v>
      </c>
      <c r="L318" s="52">
        <f t="shared" si="540"/>
        <v>3.125</v>
      </c>
      <c r="M318" s="23"/>
      <c r="N318" s="51">
        <f t="shared" si="541"/>
        <v>3</v>
      </c>
      <c r="O318" s="52">
        <f t="shared" si="542"/>
        <v>5.8823529411764701</v>
      </c>
      <c r="P318" s="53">
        <f>COUNTIFS('00 Encuesta'!$B$2:$B$511,"*c)*",'00 Encuesta'!$C$2:$C$511,"*b)*",'00 Encuesta'!$E$2:$E$511,"*a)*",'00 Encuesta'!$AN$2:$AN$511,"*f)*")</f>
        <v>2</v>
      </c>
      <c r="Q318" s="52">
        <f t="shared" si="543"/>
        <v>7.1428571428571423</v>
      </c>
      <c r="R318" s="53">
        <f>COUNTIFS('00 Encuesta'!$B$2:$B$511,"*c)*",'00 Encuesta'!$C$2:$C$511,"*b)*",'00 Encuesta'!$E$2:$E$511,"*b)*",'00 Encuesta'!$AN$2:$AN$511,"*f)*")</f>
        <v>1</v>
      </c>
      <c r="S318" s="52">
        <f t="shared" si="544"/>
        <v>4.3478260869565215</v>
      </c>
      <c r="T318" s="3"/>
      <c r="U318" s="51">
        <f t="shared" si="545"/>
        <v>4</v>
      </c>
      <c r="V318" s="52">
        <f t="shared" si="546"/>
        <v>8</v>
      </c>
      <c r="W318" s="53">
        <f>COUNTIFS('00 Encuesta'!$B$2:$B$511,"*c)*",'00 Encuesta'!$C$2:$C$511,"*d)*",'00 Encuesta'!$E$2:$E$511,"*a)*",'00 Encuesta'!$AN$2:$AN$511,"*f)*")</f>
        <v>2</v>
      </c>
      <c r="X318" s="52">
        <f t="shared" si="547"/>
        <v>7.4074074074074066</v>
      </c>
      <c r="Y318" s="53">
        <f>COUNTIFS('00 Encuesta'!$B$2:$B$511,"*c)*",'00 Encuesta'!$C$2:$C$511,"*d)*",'00 Encuesta'!$E$2:$E$511,"*b)*",'00 Encuesta'!$AN$2:$AN$511,"*f)*")</f>
        <v>2</v>
      </c>
      <c r="Z318" s="52">
        <f t="shared" si="548"/>
        <v>8.695652173913043</v>
      </c>
      <c r="AA318" s="3"/>
      <c r="AB318" s="62">
        <f t="shared" si="549"/>
        <v>9</v>
      </c>
      <c r="AC318" s="52">
        <f t="shared" si="550"/>
        <v>5.4216867469879517</v>
      </c>
      <c r="AD318" s="3"/>
      <c r="AE318" s="3"/>
      <c r="AF318" s="9" t="str">
        <f t="shared" si="551"/>
        <v>f) No aplica</v>
      </c>
      <c r="AG318" s="72">
        <f t="shared" si="552"/>
        <v>3.0303030303030303</v>
      </c>
      <c r="AH318" s="72">
        <f t="shared" si="553"/>
        <v>3.125</v>
      </c>
      <c r="AI318" s="73">
        <f t="shared" si="554"/>
        <v>3.0769230769230771</v>
      </c>
      <c r="AJ318" s="73"/>
      <c r="AK318" s="76">
        <f t="shared" si="555"/>
        <v>7.1428571428571423</v>
      </c>
      <c r="AL318" s="76">
        <f t="shared" si="556"/>
        <v>4.3478260869565215</v>
      </c>
      <c r="AM318" s="76">
        <f t="shared" si="557"/>
        <v>5.8823529411764701</v>
      </c>
      <c r="AN318" s="76"/>
      <c r="AO318" s="81">
        <f t="shared" si="558"/>
        <v>7.4074074074074066</v>
      </c>
      <c r="AP318" s="81">
        <f t="shared" si="559"/>
        <v>8.695652173913043</v>
      </c>
      <c r="AQ318" s="81">
        <f t="shared" si="560"/>
        <v>8</v>
      </c>
      <c r="AR318" s="3"/>
      <c r="AS318" s="76">
        <f t="shared" si="561"/>
        <v>5.4216867469879517</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x14ac:dyDescent="0.3">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81.034482758620683</v>
      </c>
      <c r="AH319" s="82">
        <f>($F313*K313+$F314*K314+$F315*K315+$F316*K316+$F317*K317)/(K313+K314+K315+K316+K317)</f>
        <v>79.310344827586206</v>
      </c>
      <c r="AI319" s="82">
        <f>($F313*G313+$F314*G314+$F315*G315+$F316*G316+$F317*G317)/(G313+G314+G315+G316+G317)</f>
        <v>80.172413793103445</v>
      </c>
      <c r="AJ319" s="82"/>
      <c r="AK319" s="82">
        <f>($F313*Q313+$F314*Q314+$F315*Q315+$F316*Q316+$F317*Q317)/(Q313+Q314+Q315+Q316+Q317)</f>
        <v>71.875000000000014</v>
      </c>
      <c r="AL319" s="82">
        <f>($F313*S313+$F314*S314+$F315*S315+$F316*S316+$F317*S317)/(S313+S314+S315+S316+S317)</f>
        <v>71.590909090909093</v>
      </c>
      <c r="AM319" s="82">
        <f>($F313*O313+$F314*O314+$F315*O315+$F316*O316+$F317*O317)/(O313+O314+O315+O316+O317)</f>
        <v>71.739130434782595</v>
      </c>
      <c r="AN319" s="82"/>
      <c r="AO319" s="82">
        <f>($F313*W313+$F314*W314+$F315*W315+$F316*W316+$F317*W317)/(W313+W314+W315+W316+W317)</f>
        <v>68.75</v>
      </c>
      <c r="AP319" s="82">
        <f>($F313*Y313+$F314*Y314+$F315*Y315+$F316*Y316+$F317*Y317)/(Y313+Y314+Y315+Y316+Y317)</f>
        <v>68.421052631578945</v>
      </c>
      <c r="AQ319" s="82">
        <f>($F313*U313+$F314*U314+$F315*U315+$F316*U316+$F317*U317)/(U313+U314+U315+U316+U317)</f>
        <v>68.604651162790702</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x14ac:dyDescent="0.3">
      <c r="A321" s="8" t="s">
        <v>17</v>
      </c>
      <c r="B321" s="9" t="s">
        <v>229</v>
      </c>
      <c r="C321" s="7"/>
      <c r="D321" s="7"/>
      <c r="E321" s="7"/>
      <c r="F321" s="71">
        <v>100</v>
      </c>
      <c r="G321" s="51">
        <f t="shared" ref="G321:G326" si="562">I321+K321</f>
        <v>29</v>
      </c>
      <c r="H321" s="52">
        <f t="shared" ref="H321:H326" si="563">G321/$J$5*100</f>
        <v>44.61538461538462</v>
      </c>
      <c r="I321" s="53">
        <f>COUNTIFS('00 Encuesta'!$B$2:$B$511,"*c)*",'00 Encuesta'!$C$2:$C$511,"*a)*",'00 Encuesta'!$E$2:$E$511,"*a)*",'00 Encuesta'!$AO$2:$AO$511,"*a)*")</f>
        <v>14</v>
      </c>
      <c r="J321" s="52">
        <f t="shared" ref="J321:J326" si="564">I321/$J$6*100</f>
        <v>42.424242424242422</v>
      </c>
      <c r="K321" s="53">
        <f>COUNTIFS('00 Encuesta'!$B$2:$B$511,"*c)*",'00 Encuesta'!$C$2:$C$511,"*a)*",'00 Encuesta'!$E$2:$E$511,"*b)*",'00 Encuesta'!$AO$2:$AO$511,"*a)*")</f>
        <v>15</v>
      </c>
      <c r="L321" s="52">
        <f t="shared" ref="L321:L326" si="565">K321/$J$7*100</f>
        <v>46.875</v>
      </c>
      <c r="M321" s="23"/>
      <c r="N321" s="51">
        <f t="shared" ref="N321:N326" si="566">P321+R321</f>
        <v>12</v>
      </c>
      <c r="O321" s="52">
        <f t="shared" ref="O321:O326" si="567">N321/$Q$5*100</f>
        <v>23.52941176470588</v>
      </c>
      <c r="P321" s="53">
        <f>COUNTIFS('00 Encuesta'!$B$2:$B$511,"*c)*",'00 Encuesta'!$C$2:$C$511,"*b)*",'00 Encuesta'!$E$2:$E$511,"*a)*",'00 Encuesta'!$AO$2:$AO$511,"*a)*")</f>
        <v>7</v>
      </c>
      <c r="Q321" s="52">
        <f t="shared" ref="Q321:Q326" si="568">P321/$Q$6*100</f>
        <v>25</v>
      </c>
      <c r="R321" s="53">
        <f>COUNTIFS('00 Encuesta'!$B$2:$B$511,"*c)*",'00 Encuesta'!$C$2:$C$511,"*b)*",'00 Encuesta'!$E$2:$E$511,"*b)*",'00 Encuesta'!$AO$2:$AO$511,"*a)*")</f>
        <v>5</v>
      </c>
      <c r="S321" s="52">
        <f t="shared" ref="S321:S326" si="569">R321/$Q$7*100</f>
        <v>21.739130434782609</v>
      </c>
      <c r="T321" s="3"/>
      <c r="U321" s="51">
        <f t="shared" ref="U321:U326" si="570">W321+Y321</f>
        <v>9</v>
      </c>
      <c r="V321" s="52">
        <f t="shared" ref="V321:V326" si="571">U321/$X$5*100</f>
        <v>18</v>
      </c>
      <c r="W321" s="53">
        <f>COUNTIFS('00 Encuesta'!$B$2:$B$511,"*c)*",'00 Encuesta'!$C$2:$C$511,"*d)*",'00 Encuesta'!$E$2:$E$511,"*a)*",'00 Encuesta'!$AO$2:$AO$511,"*a)*")</f>
        <v>3</v>
      </c>
      <c r="X321" s="52">
        <f t="shared" ref="X321:X326" si="572">W321/$X$6*100</f>
        <v>11.111111111111111</v>
      </c>
      <c r="Y321" s="53">
        <f>COUNTIFS('00 Encuesta'!$B$2:$B$511,"*c)*",'00 Encuesta'!$C$2:$C$511,"*d)*",'00 Encuesta'!$E$2:$E$511,"*b)*",'00 Encuesta'!$AO$2:$AO$511,"*a)*")</f>
        <v>6</v>
      </c>
      <c r="Z321" s="52">
        <f t="shared" ref="Z321:Z326" si="573">Y321/$X$7*100</f>
        <v>26.086956521739129</v>
      </c>
      <c r="AA321" s="3"/>
      <c r="AB321" s="62">
        <f t="shared" ref="AB321:AB326" si="574">G321+N321+U321</f>
        <v>50</v>
      </c>
      <c r="AC321" s="52">
        <f t="shared" ref="AC321:AC326" si="575">AB321*100/$AC$5</f>
        <v>30.120481927710845</v>
      </c>
      <c r="AD321" s="3"/>
      <c r="AE321" s="3"/>
      <c r="AF321" s="9" t="str">
        <f t="shared" ref="AF321:AF326" si="576">A321&amp;" "&amp;B321</f>
        <v>a) Muy buena</v>
      </c>
      <c r="AG321" s="72">
        <f t="shared" ref="AG321:AG326" si="577">J321</f>
        <v>42.424242424242422</v>
      </c>
      <c r="AH321" s="72">
        <f t="shared" ref="AH321:AH326" si="578">L321</f>
        <v>46.875</v>
      </c>
      <c r="AI321" s="73">
        <f t="shared" ref="AI321:AI326" si="579">H321</f>
        <v>44.61538461538462</v>
      </c>
      <c r="AJ321" s="73"/>
      <c r="AK321" s="76">
        <f t="shared" ref="AK321:AK326" si="580">Q321</f>
        <v>25</v>
      </c>
      <c r="AL321" s="76">
        <f t="shared" ref="AL321:AL326" si="581">S321</f>
        <v>21.739130434782609</v>
      </c>
      <c r="AM321" s="76">
        <f t="shared" ref="AM321:AM326" si="582">O321</f>
        <v>23.52941176470588</v>
      </c>
      <c r="AN321" s="76"/>
      <c r="AO321" s="81">
        <f t="shared" ref="AO321:AO326" si="583">X321</f>
        <v>11.111111111111111</v>
      </c>
      <c r="AP321" s="81">
        <f t="shared" ref="AP321:AP326" si="584">Z321</f>
        <v>26.086956521739129</v>
      </c>
      <c r="AQ321" s="81">
        <f t="shared" ref="AQ321:AQ326" si="585">V321</f>
        <v>18</v>
      </c>
      <c r="AR321" s="3"/>
      <c r="AS321" s="76">
        <f t="shared" si="477"/>
        <v>30.120481927710845</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x14ac:dyDescent="0.3">
      <c r="A322" s="8" t="s">
        <v>18</v>
      </c>
      <c r="B322" s="9" t="s">
        <v>230</v>
      </c>
      <c r="C322" s="7"/>
      <c r="D322" s="7"/>
      <c r="E322" s="7"/>
      <c r="F322" s="71">
        <v>75</v>
      </c>
      <c r="G322" s="51">
        <f t="shared" si="562"/>
        <v>27</v>
      </c>
      <c r="H322" s="52">
        <f t="shared" si="563"/>
        <v>41.53846153846154</v>
      </c>
      <c r="I322" s="53">
        <f>COUNTIFS('00 Encuesta'!$B$2:$B$511,"*c)*",'00 Encuesta'!$C$2:$C$511,"*a)*",'00 Encuesta'!$E$2:$E$511,"*a)*",'00 Encuesta'!$AO$2:$AO$511,"*b)*")</f>
        <v>14</v>
      </c>
      <c r="J322" s="52">
        <f t="shared" si="564"/>
        <v>42.424242424242422</v>
      </c>
      <c r="K322" s="53">
        <f>COUNTIFS('00 Encuesta'!$B$2:$B$511,"*c)*",'00 Encuesta'!$C$2:$C$511,"*a)*",'00 Encuesta'!$E$2:$E$511,"*b)*",'00 Encuesta'!$AO$2:$AO$511,"*b)*")</f>
        <v>13</v>
      </c>
      <c r="L322" s="52">
        <f t="shared" si="565"/>
        <v>40.625</v>
      </c>
      <c r="M322" s="23"/>
      <c r="N322" s="51">
        <f t="shared" si="566"/>
        <v>22</v>
      </c>
      <c r="O322" s="52">
        <f t="shared" si="567"/>
        <v>43.137254901960787</v>
      </c>
      <c r="P322" s="53">
        <f>COUNTIFS('00 Encuesta'!$B$2:$B$511,"*c)*",'00 Encuesta'!$C$2:$C$511,"*b)*",'00 Encuesta'!$E$2:$E$511,"*a)*",'00 Encuesta'!$AO$2:$AO$511,"*b)*")</f>
        <v>12</v>
      </c>
      <c r="Q322" s="52">
        <f t="shared" si="568"/>
        <v>42.857142857142854</v>
      </c>
      <c r="R322" s="53">
        <f>COUNTIFS('00 Encuesta'!$B$2:$B$511,"*c)*",'00 Encuesta'!$C$2:$C$511,"*b)*",'00 Encuesta'!$E$2:$E$511,"*b)*",'00 Encuesta'!$AO$2:$AO$511,"*b)*")</f>
        <v>10</v>
      </c>
      <c r="S322" s="52">
        <f t="shared" si="569"/>
        <v>43.478260869565219</v>
      </c>
      <c r="T322" s="3"/>
      <c r="U322" s="51">
        <f t="shared" si="570"/>
        <v>25</v>
      </c>
      <c r="V322" s="52">
        <f t="shared" si="571"/>
        <v>50</v>
      </c>
      <c r="W322" s="53">
        <f>COUNTIFS('00 Encuesta'!$B$2:$B$511,"*c)*",'00 Encuesta'!$C$2:$C$511,"*d)*",'00 Encuesta'!$E$2:$E$511,"*a)*",'00 Encuesta'!$AO$2:$AO$511,"*b)*")</f>
        <v>16</v>
      </c>
      <c r="X322" s="52">
        <f t="shared" si="572"/>
        <v>59.259259259259252</v>
      </c>
      <c r="Y322" s="53">
        <f>COUNTIFS('00 Encuesta'!$B$2:$B$511,"*c)*",'00 Encuesta'!$C$2:$C$511,"*d)*",'00 Encuesta'!$E$2:$E$511,"*b)*",'00 Encuesta'!$AO$2:$AO$511,"*b)*")</f>
        <v>9</v>
      </c>
      <c r="Z322" s="52">
        <f t="shared" si="573"/>
        <v>39.130434782608695</v>
      </c>
      <c r="AA322" s="3"/>
      <c r="AB322" s="62">
        <f t="shared" si="574"/>
        <v>74</v>
      </c>
      <c r="AC322" s="52">
        <f t="shared" si="575"/>
        <v>44.578313253012048</v>
      </c>
      <c r="AD322" s="3"/>
      <c r="AE322" s="3"/>
      <c r="AF322" s="9" t="str">
        <f t="shared" si="576"/>
        <v>b) Buena</v>
      </c>
      <c r="AG322" s="72">
        <f t="shared" si="577"/>
        <v>42.424242424242422</v>
      </c>
      <c r="AH322" s="72">
        <f t="shared" si="578"/>
        <v>40.625</v>
      </c>
      <c r="AI322" s="73">
        <f t="shared" si="579"/>
        <v>41.53846153846154</v>
      </c>
      <c r="AJ322" s="73"/>
      <c r="AK322" s="76">
        <f t="shared" si="580"/>
        <v>42.857142857142854</v>
      </c>
      <c r="AL322" s="76">
        <f t="shared" si="581"/>
        <v>43.478260869565219</v>
      </c>
      <c r="AM322" s="76">
        <f t="shared" si="582"/>
        <v>43.137254901960787</v>
      </c>
      <c r="AN322" s="76"/>
      <c r="AO322" s="81">
        <f t="shared" si="583"/>
        <v>59.259259259259252</v>
      </c>
      <c r="AP322" s="81">
        <f t="shared" si="584"/>
        <v>39.130434782608695</v>
      </c>
      <c r="AQ322" s="81">
        <f t="shared" si="585"/>
        <v>50</v>
      </c>
      <c r="AR322" s="3"/>
      <c r="AS322" s="76">
        <f t="shared" si="477"/>
        <v>44.578313253012048</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x14ac:dyDescent="0.3">
      <c r="A323" s="8" t="s">
        <v>20</v>
      </c>
      <c r="B323" s="9" t="s">
        <v>218</v>
      </c>
      <c r="C323" s="7"/>
      <c r="D323" s="7"/>
      <c r="E323" s="7"/>
      <c r="F323" s="71">
        <v>50</v>
      </c>
      <c r="G323" s="51">
        <f t="shared" si="562"/>
        <v>5</v>
      </c>
      <c r="H323" s="52">
        <f t="shared" si="563"/>
        <v>7.6923076923076925</v>
      </c>
      <c r="I323" s="53">
        <f>COUNTIFS('00 Encuesta'!$B$2:$B$511,"*c)*",'00 Encuesta'!$C$2:$C$511,"*a)*",'00 Encuesta'!$E$2:$E$511,"*a)*",'00 Encuesta'!$AO$2:$AO$511,"*c)*")</f>
        <v>3</v>
      </c>
      <c r="J323" s="52">
        <f t="shared" si="564"/>
        <v>9.0909090909090917</v>
      </c>
      <c r="K323" s="53">
        <f>COUNTIFS('00 Encuesta'!$B$2:$B$511,"*c)*",'00 Encuesta'!$C$2:$C$511,"*a)*",'00 Encuesta'!$E$2:$E$511,"*b)*",'00 Encuesta'!$AO$2:$AO$511,"*c)*")</f>
        <v>2</v>
      </c>
      <c r="L323" s="52">
        <f t="shared" si="565"/>
        <v>6.25</v>
      </c>
      <c r="M323" s="23"/>
      <c r="N323" s="51">
        <f t="shared" si="566"/>
        <v>10</v>
      </c>
      <c r="O323" s="52">
        <f t="shared" si="567"/>
        <v>19.607843137254903</v>
      </c>
      <c r="P323" s="53">
        <f>COUNTIFS('00 Encuesta'!$B$2:$B$511,"*c)*",'00 Encuesta'!$C$2:$C$511,"*b)*",'00 Encuesta'!$E$2:$E$511,"*a)*",'00 Encuesta'!$AO$2:$AO$511,"*c)*")</f>
        <v>4</v>
      </c>
      <c r="Q323" s="52">
        <f t="shared" si="568"/>
        <v>14.285714285714285</v>
      </c>
      <c r="R323" s="53">
        <f>COUNTIFS('00 Encuesta'!$B$2:$B$511,"*c)*",'00 Encuesta'!$C$2:$C$511,"*b)*",'00 Encuesta'!$E$2:$E$511,"*b)*",'00 Encuesta'!$AO$2:$AO$511,"*c)*")</f>
        <v>6</v>
      </c>
      <c r="S323" s="52">
        <f t="shared" si="569"/>
        <v>26.086956521739129</v>
      </c>
      <c r="T323" s="3"/>
      <c r="U323" s="51">
        <f t="shared" si="570"/>
        <v>13</v>
      </c>
      <c r="V323" s="52">
        <f t="shared" si="571"/>
        <v>26</v>
      </c>
      <c r="W323" s="53">
        <f>COUNTIFS('00 Encuesta'!$B$2:$B$511,"*c)*",'00 Encuesta'!$C$2:$C$511,"*d)*",'00 Encuesta'!$E$2:$E$511,"*a)*",'00 Encuesta'!$AO$2:$AO$511,"*c)*")</f>
        <v>5</v>
      </c>
      <c r="X323" s="52">
        <f t="shared" si="572"/>
        <v>18.518518518518519</v>
      </c>
      <c r="Y323" s="53">
        <f>COUNTIFS('00 Encuesta'!$B$2:$B$511,"*c)*",'00 Encuesta'!$C$2:$C$511,"*d)*",'00 Encuesta'!$E$2:$E$511,"*b)*",'00 Encuesta'!$AO$2:$AO$511,"*c)*")</f>
        <v>8</v>
      </c>
      <c r="Z323" s="52">
        <f t="shared" si="573"/>
        <v>34.782608695652172</v>
      </c>
      <c r="AA323" s="3"/>
      <c r="AB323" s="62">
        <f t="shared" si="574"/>
        <v>28</v>
      </c>
      <c r="AC323" s="52">
        <f t="shared" si="575"/>
        <v>16.867469879518072</v>
      </c>
      <c r="AD323" s="3"/>
      <c r="AE323" s="3"/>
      <c r="AF323" s="9" t="str">
        <f t="shared" si="576"/>
        <v>c) Regular</v>
      </c>
      <c r="AG323" s="72">
        <f t="shared" si="577"/>
        <v>9.0909090909090917</v>
      </c>
      <c r="AH323" s="72">
        <f t="shared" si="578"/>
        <v>6.25</v>
      </c>
      <c r="AI323" s="73">
        <f t="shared" si="579"/>
        <v>7.6923076923076925</v>
      </c>
      <c r="AJ323" s="73"/>
      <c r="AK323" s="76">
        <f t="shared" si="580"/>
        <v>14.285714285714285</v>
      </c>
      <c r="AL323" s="76">
        <f t="shared" si="581"/>
        <v>26.086956521739129</v>
      </c>
      <c r="AM323" s="76">
        <f t="shared" si="582"/>
        <v>19.607843137254903</v>
      </c>
      <c r="AN323" s="76"/>
      <c r="AO323" s="81">
        <f t="shared" si="583"/>
        <v>18.518518518518519</v>
      </c>
      <c r="AP323" s="81">
        <f t="shared" si="584"/>
        <v>34.782608695652172</v>
      </c>
      <c r="AQ323" s="81">
        <f t="shared" si="585"/>
        <v>26</v>
      </c>
      <c r="AR323" s="3"/>
      <c r="AS323" s="76">
        <f t="shared" si="477"/>
        <v>16.867469879518072</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x14ac:dyDescent="0.3">
      <c r="A324" s="8" t="s">
        <v>21</v>
      </c>
      <c r="B324" s="9" t="s">
        <v>231</v>
      </c>
      <c r="C324" s="7"/>
      <c r="D324" s="7"/>
      <c r="E324" s="7"/>
      <c r="F324" s="71">
        <v>25</v>
      </c>
      <c r="G324" s="51">
        <f t="shared" si="562"/>
        <v>0</v>
      </c>
      <c r="H324" s="52">
        <f t="shared" si="563"/>
        <v>0</v>
      </c>
      <c r="I324" s="53">
        <f>COUNTIFS('00 Encuesta'!$B$2:$B$511,"*c)*",'00 Encuesta'!$C$2:$C$511,"*a)*",'00 Encuesta'!$E$2:$E$511,"*a)*",'00 Encuesta'!$AO$2:$AO$511,"*d)*")</f>
        <v>0</v>
      </c>
      <c r="J324" s="52">
        <f t="shared" si="564"/>
        <v>0</v>
      </c>
      <c r="K324" s="53">
        <f>COUNTIFS('00 Encuesta'!$B$2:$B$511,"*c)*",'00 Encuesta'!$C$2:$C$511,"*a)*",'00 Encuesta'!$E$2:$E$511,"*b)*",'00 Encuesta'!$AO$2:$AO$511,"*d)*")</f>
        <v>0</v>
      </c>
      <c r="L324" s="52">
        <f t="shared" si="565"/>
        <v>0</v>
      </c>
      <c r="M324" s="23"/>
      <c r="N324" s="51">
        <f t="shared" si="566"/>
        <v>3</v>
      </c>
      <c r="O324" s="52">
        <f t="shared" si="567"/>
        <v>5.8823529411764701</v>
      </c>
      <c r="P324" s="53">
        <f>COUNTIFS('00 Encuesta'!$B$2:$B$511,"*c)*",'00 Encuesta'!$C$2:$C$511,"*b)*",'00 Encuesta'!$E$2:$E$511,"*a)*",'00 Encuesta'!$AO$2:$AO$511,"*d)*")</f>
        <v>2</v>
      </c>
      <c r="Q324" s="52">
        <f t="shared" si="568"/>
        <v>7.1428571428571423</v>
      </c>
      <c r="R324" s="53">
        <f>COUNTIFS('00 Encuesta'!$B$2:$B$511,"*c)*",'00 Encuesta'!$C$2:$C$511,"*b)*",'00 Encuesta'!$E$2:$E$511,"*b)*",'00 Encuesta'!$AO$2:$AO$511,"*d)*")</f>
        <v>1</v>
      </c>
      <c r="S324" s="52">
        <f t="shared" si="569"/>
        <v>4.3478260869565215</v>
      </c>
      <c r="T324" s="3"/>
      <c r="U324" s="51">
        <f t="shared" si="570"/>
        <v>0</v>
      </c>
      <c r="V324" s="52">
        <f t="shared" si="571"/>
        <v>0</v>
      </c>
      <c r="W324" s="53">
        <f>COUNTIFS('00 Encuesta'!$B$2:$B$511,"*c)*",'00 Encuesta'!$C$2:$C$511,"*d)*",'00 Encuesta'!$E$2:$E$511,"*a)*",'00 Encuesta'!$AO$2:$AO$511,"*d)*")</f>
        <v>0</v>
      </c>
      <c r="X324" s="52">
        <f t="shared" si="572"/>
        <v>0</v>
      </c>
      <c r="Y324" s="53">
        <f>COUNTIFS('00 Encuesta'!$B$2:$B$511,"*c)*",'00 Encuesta'!$C$2:$C$511,"*d)*",'00 Encuesta'!$E$2:$E$511,"*b)*",'00 Encuesta'!$AO$2:$AO$511,"*d)*")</f>
        <v>0</v>
      </c>
      <c r="Z324" s="52">
        <f t="shared" si="573"/>
        <v>0</v>
      </c>
      <c r="AA324" s="3"/>
      <c r="AB324" s="62">
        <f t="shared" si="574"/>
        <v>3</v>
      </c>
      <c r="AC324" s="52">
        <f t="shared" si="575"/>
        <v>1.8072289156626506</v>
      </c>
      <c r="AD324" s="3"/>
      <c r="AE324" s="3"/>
      <c r="AF324" s="9" t="str">
        <f t="shared" si="576"/>
        <v>d) Mala</v>
      </c>
      <c r="AG324" s="72">
        <f t="shared" si="577"/>
        <v>0</v>
      </c>
      <c r="AH324" s="72">
        <f t="shared" si="578"/>
        <v>0</v>
      </c>
      <c r="AI324" s="73">
        <f t="shared" si="579"/>
        <v>0</v>
      </c>
      <c r="AJ324" s="73"/>
      <c r="AK324" s="76">
        <f t="shared" si="580"/>
        <v>7.1428571428571423</v>
      </c>
      <c r="AL324" s="76">
        <f t="shared" si="581"/>
        <v>4.3478260869565215</v>
      </c>
      <c r="AM324" s="76">
        <f t="shared" si="582"/>
        <v>5.8823529411764701</v>
      </c>
      <c r="AN324" s="76"/>
      <c r="AO324" s="81">
        <f t="shared" si="583"/>
        <v>0</v>
      </c>
      <c r="AP324" s="81">
        <f t="shared" si="584"/>
        <v>0</v>
      </c>
      <c r="AQ324" s="81">
        <f t="shared" si="585"/>
        <v>0</v>
      </c>
      <c r="AR324" s="3"/>
      <c r="AS324" s="76">
        <f t="shared" si="477"/>
        <v>1.8072289156626506</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x14ac:dyDescent="0.3">
      <c r="A325" s="8" t="s">
        <v>22</v>
      </c>
      <c r="B325" s="9" t="s">
        <v>232</v>
      </c>
      <c r="C325" s="7"/>
      <c r="D325" s="7"/>
      <c r="E325" s="7"/>
      <c r="F325" s="71">
        <v>0</v>
      </c>
      <c r="G325" s="51">
        <f t="shared" si="562"/>
        <v>0</v>
      </c>
      <c r="H325" s="52">
        <f t="shared" si="563"/>
        <v>0</v>
      </c>
      <c r="I325" s="53">
        <f>COUNTIFS('00 Encuesta'!$B$2:$B$511,"*c)*",'00 Encuesta'!$C$2:$C$511,"*a)*",'00 Encuesta'!$E$2:$E$511,"*a)*",'00 Encuesta'!$AO$2:$AO$511,"*e)*")</f>
        <v>0</v>
      </c>
      <c r="J325" s="52">
        <f t="shared" si="564"/>
        <v>0</v>
      </c>
      <c r="K325" s="53">
        <f>COUNTIFS('00 Encuesta'!$B$2:$B$511,"*c)*",'00 Encuesta'!$C$2:$C$511,"*a)*",'00 Encuesta'!$E$2:$E$511,"*b)*",'00 Encuesta'!$AO$2:$AO$511,"*e)*")</f>
        <v>0</v>
      </c>
      <c r="L325" s="52">
        <f t="shared" si="565"/>
        <v>0</v>
      </c>
      <c r="M325" s="23"/>
      <c r="N325" s="51">
        <f t="shared" si="566"/>
        <v>2</v>
      </c>
      <c r="O325" s="52">
        <f t="shared" si="567"/>
        <v>3.9215686274509802</v>
      </c>
      <c r="P325" s="53">
        <f>COUNTIFS('00 Encuesta'!$B$2:$B$511,"*c)*",'00 Encuesta'!$C$2:$C$511,"*b)*",'00 Encuesta'!$E$2:$E$511,"*a)*",'00 Encuesta'!$AO$2:$AO$511,"*e)*")</f>
        <v>1</v>
      </c>
      <c r="Q325" s="52">
        <f t="shared" si="568"/>
        <v>3.5714285714285712</v>
      </c>
      <c r="R325" s="53">
        <f>COUNTIFS('00 Encuesta'!$B$2:$B$511,"*c)*",'00 Encuesta'!$C$2:$C$511,"*b)*",'00 Encuesta'!$E$2:$E$511,"*b)*",'00 Encuesta'!$AO$2:$AO$511,"*e)*")</f>
        <v>1</v>
      </c>
      <c r="S325" s="52">
        <f t="shared" si="569"/>
        <v>4.3478260869565215</v>
      </c>
      <c r="T325" s="3"/>
      <c r="U325" s="51">
        <f t="shared" si="570"/>
        <v>2</v>
      </c>
      <c r="V325" s="52">
        <f t="shared" si="571"/>
        <v>4</v>
      </c>
      <c r="W325" s="53">
        <f>COUNTIFS('00 Encuesta'!$B$2:$B$511,"*c)*",'00 Encuesta'!$C$2:$C$511,"*d)*",'00 Encuesta'!$E$2:$E$511,"*a)*",'00 Encuesta'!$AO$2:$AO$511,"*e)*")</f>
        <v>2</v>
      </c>
      <c r="X325" s="52">
        <f t="shared" si="572"/>
        <v>7.4074074074074066</v>
      </c>
      <c r="Y325" s="53">
        <f>COUNTIFS('00 Encuesta'!$B$2:$B$511,"*c)*",'00 Encuesta'!$C$2:$C$511,"*d)*",'00 Encuesta'!$E$2:$E$511,"*b)*",'00 Encuesta'!$AO$2:$AO$511,"*e)*")</f>
        <v>0</v>
      </c>
      <c r="Z325" s="52">
        <f t="shared" si="573"/>
        <v>0</v>
      </c>
      <c r="AA325" s="3"/>
      <c r="AB325" s="62">
        <f t="shared" si="574"/>
        <v>4</v>
      </c>
      <c r="AC325" s="52">
        <f t="shared" si="575"/>
        <v>2.4096385542168677</v>
      </c>
      <c r="AD325" s="3"/>
      <c r="AE325" s="3"/>
      <c r="AF325" s="9" t="str">
        <f t="shared" si="576"/>
        <v>e) Muy mala</v>
      </c>
      <c r="AG325" s="72">
        <f t="shared" si="577"/>
        <v>0</v>
      </c>
      <c r="AH325" s="72">
        <f t="shared" si="578"/>
        <v>0</v>
      </c>
      <c r="AI325" s="73">
        <f t="shared" si="579"/>
        <v>0</v>
      </c>
      <c r="AJ325" s="73"/>
      <c r="AK325" s="76">
        <f t="shared" si="580"/>
        <v>3.5714285714285712</v>
      </c>
      <c r="AL325" s="76">
        <f t="shared" si="581"/>
        <v>4.3478260869565215</v>
      </c>
      <c r="AM325" s="76">
        <f t="shared" si="582"/>
        <v>3.9215686274509802</v>
      </c>
      <c r="AN325" s="76"/>
      <c r="AO325" s="81">
        <f t="shared" si="583"/>
        <v>7.4074074074074066</v>
      </c>
      <c r="AP325" s="81">
        <f t="shared" si="584"/>
        <v>0</v>
      </c>
      <c r="AQ325" s="81">
        <f t="shared" si="585"/>
        <v>4</v>
      </c>
      <c r="AR325" s="3"/>
      <c r="AS325" s="76">
        <f t="shared" si="477"/>
        <v>2.4096385542168677</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x14ac:dyDescent="0.3">
      <c r="A326" s="8" t="s">
        <v>45</v>
      </c>
      <c r="B326" s="9" t="s">
        <v>233</v>
      </c>
      <c r="C326" s="7"/>
      <c r="D326" s="7"/>
      <c r="E326" s="7"/>
      <c r="F326" s="71"/>
      <c r="G326" s="51">
        <f t="shared" si="562"/>
        <v>1</v>
      </c>
      <c r="H326" s="52">
        <f t="shared" si="563"/>
        <v>1.5384615384615385</v>
      </c>
      <c r="I326" s="53">
        <f>COUNTIFS('00 Encuesta'!$B$2:$B$511,"*c)*",'00 Encuesta'!$C$2:$C$511,"*a)*",'00 Encuesta'!$E$2:$E$511,"*a)*",'00 Encuesta'!$AO$2:$AO$511,"*f)*")</f>
        <v>0</v>
      </c>
      <c r="J326" s="52">
        <f t="shared" si="564"/>
        <v>0</v>
      </c>
      <c r="K326" s="53">
        <f>COUNTIFS('00 Encuesta'!$B$2:$B$511,"*c)*",'00 Encuesta'!$C$2:$C$511,"*a)*",'00 Encuesta'!$E$2:$E$511,"*b)*",'00 Encuesta'!$AO$2:$AO$511,"*f)*")</f>
        <v>1</v>
      </c>
      <c r="L326" s="52">
        <f t="shared" si="565"/>
        <v>3.125</v>
      </c>
      <c r="M326" s="23"/>
      <c r="N326" s="51">
        <f t="shared" si="566"/>
        <v>1</v>
      </c>
      <c r="O326" s="52">
        <f t="shared" si="567"/>
        <v>1.9607843137254901</v>
      </c>
      <c r="P326" s="53">
        <f>COUNTIFS('00 Encuesta'!$B$2:$B$511,"*c)*",'00 Encuesta'!$C$2:$C$511,"*b)*",'00 Encuesta'!$E$2:$E$511,"*a)*",'00 Encuesta'!$AO$2:$AO$511,"*f)*")</f>
        <v>1</v>
      </c>
      <c r="Q326" s="52">
        <f t="shared" si="568"/>
        <v>3.5714285714285712</v>
      </c>
      <c r="R326" s="53">
        <f>COUNTIFS('00 Encuesta'!$B$2:$B$511,"*c)*",'00 Encuesta'!$C$2:$C$511,"*b)*",'00 Encuesta'!$E$2:$E$511,"*b)*",'00 Encuesta'!$AO$2:$AO$511,"*f)*")</f>
        <v>0</v>
      </c>
      <c r="S326" s="52">
        <f t="shared" si="569"/>
        <v>0</v>
      </c>
      <c r="T326" s="3"/>
      <c r="U326" s="51">
        <f t="shared" si="570"/>
        <v>1</v>
      </c>
      <c r="V326" s="52">
        <f t="shared" si="571"/>
        <v>2</v>
      </c>
      <c r="W326" s="53">
        <f>COUNTIFS('00 Encuesta'!$B$2:$B$511,"*c)*",'00 Encuesta'!$C$2:$C$511,"*d)*",'00 Encuesta'!$E$2:$E$511,"*a)*",'00 Encuesta'!$AO$2:$AO$511,"*f)*")</f>
        <v>1</v>
      </c>
      <c r="X326" s="52">
        <f t="shared" si="572"/>
        <v>3.7037037037037033</v>
      </c>
      <c r="Y326" s="53">
        <f>COUNTIFS('00 Encuesta'!$B$2:$B$511,"*c)*",'00 Encuesta'!$C$2:$C$511,"*d)*",'00 Encuesta'!$E$2:$E$511,"*b)*",'00 Encuesta'!$AO$2:$AO$511,"*f)*")</f>
        <v>0</v>
      </c>
      <c r="Z326" s="52">
        <f t="shared" si="573"/>
        <v>0</v>
      </c>
      <c r="AA326" s="3"/>
      <c r="AB326" s="62">
        <f t="shared" si="574"/>
        <v>3</v>
      </c>
      <c r="AC326" s="52">
        <f t="shared" si="575"/>
        <v>1.8072289156626506</v>
      </c>
      <c r="AD326" s="3"/>
      <c r="AE326" s="3"/>
      <c r="AF326" s="9" t="str">
        <f t="shared" si="576"/>
        <v>f) No aplica</v>
      </c>
      <c r="AG326" s="72">
        <f t="shared" si="577"/>
        <v>0</v>
      </c>
      <c r="AH326" s="72">
        <f t="shared" si="578"/>
        <v>3.125</v>
      </c>
      <c r="AI326" s="73">
        <f t="shared" si="579"/>
        <v>1.5384615384615385</v>
      </c>
      <c r="AJ326" s="73"/>
      <c r="AK326" s="76">
        <f t="shared" si="580"/>
        <v>3.5714285714285712</v>
      </c>
      <c r="AL326" s="76">
        <f t="shared" si="581"/>
        <v>0</v>
      </c>
      <c r="AM326" s="76">
        <f t="shared" si="582"/>
        <v>1.9607843137254901</v>
      </c>
      <c r="AN326" s="76"/>
      <c r="AO326" s="81">
        <f t="shared" si="583"/>
        <v>3.7037037037037033</v>
      </c>
      <c r="AP326" s="81">
        <f t="shared" si="584"/>
        <v>0</v>
      </c>
      <c r="AQ326" s="81">
        <f t="shared" si="585"/>
        <v>2</v>
      </c>
      <c r="AR326" s="3"/>
      <c r="AS326" s="76">
        <f t="shared" si="477"/>
        <v>1.8072289156626506</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x14ac:dyDescent="0.3">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83.870967741935488</v>
      </c>
      <c r="AH327" s="82">
        <f>($F321*K321+$F322*K322+$F323*K323+$F324*K324+$F325*K325)/(K321+K322+K323+K324+K325)</f>
        <v>85.833333333333329</v>
      </c>
      <c r="AI327" s="82">
        <f>($F321*G321+$F322*G322+$F323*G323+$F324*G324+$F325*G325)/(G321+G322+G323+G324+G325)</f>
        <v>84.836065573770497</v>
      </c>
      <c r="AJ327" s="82"/>
      <c r="AK327" s="82">
        <f>($F321*Q321+$F322*Q322+$F323*Q323+$F324*Q324+$F325*Q325)/(Q321+Q322+Q323+Q324+Q325)</f>
        <v>71.153846153846146</v>
      </c>
      <c r="AL327" s="82">
        <f>($F321*S321+$F322*S322+$F323*S323+$F324*S324+$F325*S325)/(S321+S322+S323+S324+S325)</f>
        <v>68.478260869565219</v>
      </c>
      <c r="AM327" s="82">
        <f>($F321*O321+$F322*O322+$F323*O323+$F324*O324+$F325*O325)/(O321+O322+O323+O324+O325)</f>
        <v>69.897959183673464</v>
      </c>
      <c r="AN327" s="82"/>
      <c r="AO327" s="82">
        <f>($F321*W321+$F322*W322+$F323*W323+$F324*W324+$F325*W325)/(W321+W322+W323+W324+W325)</f>
        <v>67.307692307692307</v>
      </c>
      <c r="AP327" s="82">
        <f>($F321*Y321+$F322*Y322+$F323*Y323+$F324*Y324+$F325*Y325)/(Y321+Y322+Y323+Y324+Y325)</f>
        <v>72.826086956521735</v>
      </c>
      <c r="AQ327" s="82">
        <f>($F321*U321+$F322*U322+$F323*U323+$F324*U324+$F325*U325)/(U321+U322+U323+U324+U325)</f>
        <v>69.897959183673464</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x14ac:dyDescent="0.3">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x14ac:dyDescent="0.3">
      <c r="A329" s="8" t="s">
        <v>17</v>
      </c>
      <c r="B329" s="9" t="s">
        <v>229</v>
      </c>
      <c r="C329" s="7"/>
      <c r="D329" s="7"/>
      <c r="E329" s="7"/>
      <c r="F329" s="71">
        <v>100</v>
      </c>
      <c r="G329" s="51">
        <f t="shared" ref="G329:G334" si="586">I329+K329</f>
        <v>30</v>
      </c>
      <c r="H329" s="52">
        <f t="shared" ref="H329:H334" si="587">G329/$J$5*100</f>
        <v>46.153846153846153</v>
      </c>
      <c r="I329" s="53">
        <f>COUNTIFS('00 Encuesta'!$B$2:$B$511,"*c)*",'00 Encuesta'!$C$2:$C$511,"*a)*",'00 Encuesta'!$E$2:$E$511,"*a)*",'00 Encuesta'!$AP$2:$AP$511,"*a)*")</f>
        <v>16</v>
      </c>
      <c r="J329" s="52">
        <f t="shared" ref="J329:J334" si="588">I329/$J$6*100</f>
        <v>48.484848484848484</v>
      </c>
      <c r="K329" s="53">
        <f>COUNTIFS('00 Encuesta'!$B$2:$B$511,"*c)*",'00 Encuesta'!$C$2:$C$511,"*a)*",'00 Encuesta'!$E$2:$E$511,"*b)*",'00 Encuesta'!$AP$2:$AP$511,"*a)*")</f>
        <v>14</v>
      </c>
      <c r="L329" s="52">
        <f t="shared" ref="L329:L334" si="589">K329/$J$7*100</f>
        <v>43.75</v>
      </c>
      <c r="M329" s="23"/>
      <c r="N329" s="51">
        <f t="shared" ref="N329:N334" si="590">P329+R329</f>
        <v>11</v>
      </c>
      <c r="O329" s="52">
        <f t="shared" ref="O329:O334" si="591">N329/$Q$5*100</f>
        <v>21.568627450980394</v>
      </c>
      <c r="P329" s="53">
        <f>COUNTIFS('00 Encuesta'!$B$2:$B$511,"*c)*",'00 Encuesta'!$C$2:$C$511,"*b)*",'00 Encuesta'!$E$2:$E$511,"*a)*",'00 Encuesta'!$AP$2:$AP$511,"*a)*")</f>
        <v>7</v>
      </c>
      <c r="Q329" s="52">
        <f t="shared" ref="Q329:Q334" si="592">P329/$Q$6*100</f>
        <v>25</v>
      </c>
      <c r="R329" s="53">
        <f>COUNTIFS('00 Encuesta'!$B$2:$B$511,"*c)*",'00 Encuesta'!$C$2:$C$511,"*b)*",'00 Encuesta'!$E$2:$E$511,"*b)*",'00 Encuesta'!$AP$2:$AP$511,"*a)*")</f>
        <v>4</v>
      </c>
      <c r="S329" s="52">
        <f t="shared" ref="S329:S334" si="593">R329/$Q$7*100</f>
        <v>17.391304347826086</v>
      </c>
      <c r="T329" s="3"/>
      <c r="U329" s="51">
        <f t="shared" ref="U329:U334" si="594">W329+Y329</f>
        <v>2</v>
      </c>
      <c r="V329" s="52">
        <f t="shared" ref="V329:V334" si="595">U329/$X$5*100</f>
        <v>4</v>
      </c>
      <c r="W329" s="53">
        <f>COUNTIFS('00 Encuesta'!$B$2:$B$511,"*c)*",'00 Encuesta'!$C$2:$C$511,"*d)*",'00 Encuesta'!$E$2:$E$511,"*a)*",'00 Encuesta'!$AP$2:$AP$511,"*a)*")</f>
        <v>1</v>
      </c>
      <c r="X329" s="52">
        <f t="shared" ref="X329:X334" si="596">W329/$X$6*100</f>
        <v>3.7037037037037033</v>
      </c>
      <c r="Y329" s="53">
        <f>COUNTIFS('00 Encuesta'!$B$2:$B$511,"*c)*",'00 Encuesta'!$C$2:$C$511,"*d)*",'00 Encuesta'!$E$2:$E$511,"*b)*",'00 Encuesta'!$AP$2:$AP$511,"*a)*")</f>
        <v>1</v>
      </c>
      <c r="Z329" s="52">
        <f t="shared" ref="Z329:Z334" si="597">Y329/$X$7*100</f>
        <v>4.3478260869565215</v>
      </c>
      <c r="AA329" s="3"/>
      <c r="AB329" s="62">
        <f t="shared" ref="AB329:AB334" si="598">G329+N329+U329</f>
        <v>43</v>
      </c>
      <c r="AC329" s="52">
        <f t="shared" ref="AC329:AC334" si="599">AB329*100/$AC$5</f>
        <v>25.903614457831324</v>
      </c>
      <c r="AD329" s="3"/>
      <c r="AE329" s="3"/>
      <c r="AF329" s="9" t="str">
        <f t="shared" ref="AF329:AF334" si="600">A329&amp;" "&amp;B329</f>
        <v>a) Muy buena</v>
      </c>
      <c r="AG329" s="72">
        <f t="shared" ref="AG329:AG334" si="601">J329</f>
        <v>48.484848484848484</v>
      </c>
      <c r="AH329" s="72">
        <f t="shared" ref="AH329:AH334" si="602">L329</f>
        <v>43.75</v>
      </c>
      <c r="AI329" s="73">
        <f t="shared" ref="AI329:AI334" si="603">H329</f>
        <v>46.153846153846153</v>
      </c>
      <c r="AJ329" s="73"/>
      <c r="AK329" s="76">
        <f t="shared" ref="AK329:AK334" si="604">Q329</f>
        <v>25</v>
      </c>
      <c r="AL329" s="76">
        <f t="shared" ref="AL329:AL334" si="605">S329</f>
        <v>17.391304347826086</v>
      </c>
      <c r="AM329" s="76">
        <f t="shared" ref="AM329:AM334" si="606">O329</f>
        <v>21.568627450980394</v>
      </c>
      <c r="AN329" s="76"/>
      <c r="AO329" s="81">
        <f t="shared" ref="AO329:AO334" si="607">X329</f>
        <v>3.7037037037037033</v>
      </c>
      <c r="AP329" s="81">
        <f t="shared" ref="AP329:AP334" si="608">Z329</f>
        <v>4.3478260869565215</v>
      </c>
      <c r="AQ329" s="81">
        <f t="shared" ref="AQ329:AQ334" si="609">V329</f>
        <v>4</v>
      </c>
      <c r="AR329" s="3"/>
      <c r="AS329" s="76">
        <f t="shared" si="477"/>
        <v>25.903614457831324</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x14ac:dyDescent="0.3">
      <c r="A330" s="8" t="s">
        <v>18</v>
      </c>
      <c r="B330" s="9" t="s">
        <v>230</v>
      </c>
      <c r="C330" s="7"/>
      <c r="D330" s="7"/>
      <c r="E330" s="7"/>
      <c r="F330" s="71">
        <v>75</v>
      </c>
      <c r="G330" s="51">
        <f t="shared" si="586"/>
        <v>24</v>
      </c>
      <c r="H330" s="52">
        <f t="shared" si="587"/>
        <v>36.923076923076927</v>
      </c>
      <c r="I330" s="53">
        <f>COUNTIFS('00 Encuesta'!$B$2:$B$511,"*c)*",'00 Encuesta'!$C$2:$C$511,"*a)*",'00 Encuesta'!$E$2:$E$511,"*a)*",'00 Encuesta'!$AP$2:$AP$511,"*b)*")</f>
        <v>13</v>
      </c>
      <c r="J330" s="52">
        <f t="shared" si="588"/>
        <v>39.393939393939391</v>
      </c>
      <c r="K330" s="53">
        <f>COUNTIFS('00 Encuesta'!$B$2:$B$511,"*c)*",'00 Encuesta'!$C$2:$C$511,"*a)*",'00 Encuesta'!$E$2:$E$511,"*b)*",'00 Encuesta'!$AP$2:$AP$511,"*b)*")</f>
        <v>11</v>
      </c>
      <c r="L330" s="52">
        <f t="shared" si="589"/>
        <v>34.375</v>
      </c>
      <c r="M330" s="23"/>
      <c r="N330" s="51">
        <f t="shared" si="590"/>
        <v>14</v>
      </c>
      <c r="O330" s="52">
        <f t="shared" si="591"/>
        <v>27.450980392156865</v>
      </c>
      <c r="P330" s="53">
        <f>COUNTIFS('00 Encuesta'!$B$2:$B$511,"*c)*",'00 Encuesta'!$C$2:$C$511,"*b)*",'00 Encuesta'!$E$2:$E$511,"*a)*",'00 Encuesta'!$AP$2:$AP$511,"*b)*")</f>
        <v>7</v>
      </c>
      <c r="Q330" s="52">
        <f t="shared" si="592"/>
        <v>25</v>
      </c>
      <c r="R330" s="53">
        <f>COUNTIFS('00 Encuesta'!$B$2:$B$511,"*c)*",'00 Encuesta'!$C$2:$C$511,"*b)*",'00 Encuesta'!$E$2:$E$511,"*b)*",'00 Encuesta'!$AP$2:$AP$511,"*b)*")</f>
        <v>7</v>
      </c>
      <c r="S330" s="52">
        <f t="shared" si="593"/>
        <v>30.434782608695656</v>
      </c>
      <c r="T330" s="3"/>
      <c r="U330" s="51">
        <f t="shared" si="594"/>
        <v>15</v>
      </c>
      <c r="V330" s="52">
        <f t="shared" si="595"/>
        <v>30</v>
      </c>
      <c r="W330" s="53">
        <f>COUNTIFS('00 Encuesta'!$B$2:$B$511,"*c)*",'00 Encuesta'!$C$2:$C$511,"*d)*",'00 Encuesta'!$E$2:$E$511,"*a)*",'00 Encuesta'!$AP$2:$AP$511,"*b)*")</f>
        <v>9</v>
      </c>
      <c r="X330" s="52">
        <f t="shared" si="596"/>
        <v>33.333333333333329</v>
      </c>
      <c r="Y330" s="53">
        <f>COUNTIFS('00 Encuesta'!$B$2:$B$511,"*c)*",'00 Encuesta'!$C$2:$C$511,"*d)*",'00 Encuesta'!$E$2:$E$511,"*b)*",'00 Encuesta'!$AP$2:$AP$511,"*b)*")</f>
        <v>6</v>
      </c>
      <c r="Z330" s="52">
        <f t="shared" si="597"/>
        <v>26.086956521739129</v>
      </c>
      <c r="AA330" s="3"/>
      <c r="AB330" s="62">
        <f t="shared" si="598"/>
        <v>53</v>
      </c>
      <c r="AC330" s="52">
        <f t="shared" si="599"/>
        <v>31.927710843373493</v>
      </c>
      <c r="AD330" s="3"/>
      <c r="AE330" s="3"/>
      <c r="AF330" s="9" t="str">
        <f t="shared" si="600"/>
        <v>b) Buena</v>
      </c>
      <c r="AG330" s="72">
        <f t="shared" si="601"/>
        <v>39.393939393939391</v>
      </c>
      <c r="AH330" s="72">
        <f t="shared" si="602"/>
        <v>34.375</v>
      </c>
      <c r="AI330" s="73">
        <f t="shared" si="603"/>
        <v>36.923076923076927</v>
      </c>
      <c r="AJ330" s="73"/>
      <c r="AK330" s="76">
        <f t="shared" si="604"/>
        <v>25</v>
      </c>
      <c r="AL330" s="76">
        <f t="shared" si="605"/>
        <v>30.434782608695656</v>
      </c>
      <c r="AM330" s="76">
        <f t="shared" si="606"/>
        <v>27.450980392156865</v>
      </c>
      <c r="AN330" s="76"/>
      <c r="AO330" s="81">
        <f t="shared" si="607"/>
        <v>33.333333333333329</v>
      </c>
      <c r="AP330" s="81">
        <f t="shared" si="608"/>
        <v>26.086956521739129</v>
      </c>
      <c r="AQ330" s="81">
        <f t="shared" si="609"/>
        <v>30</v>
      </c>
      <c r="AR330" s="3"/>
      <c r="AS330" s="76">
        <f t="shared" si="477"/>
        <v>31.927710843373493</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x14ac:dyDescent="0.3">
      <c r="A331" s="8" t="s">
        <v>20</v>
      </c>
      <c r="B331" s="9" t="s">
        <v>218</v>
      </c>
      <c r="C331" s="7"/>
      <c r="D331" s="7"/>
      <c r="E331" s="7"/>
      <c r="F331" s="71">
        <v>50</v>
      </c>
      <c r="G331" s="51">
        <f t="shared" si="586"/>
        <v>5</v>
      </c>
      <c r="H331" s="52">
        <f t="shared" si="587"/>
        <v>7.6923076923076925</v>
      </c>
      <c r="I331" s="53">
        <f>COUNTIFS('00 Encuesta'!$B$2:$B$511,"*c)*",'00 Encuesta'!$C$2:$C$511,"*a)*",'00 Encuesta'!$E$2:$E$511,"*a)*",'00 Encuesta'!$AP$2:$AP$511,"*c)*")</f>
        <v>1</v>
      </c>
      <c r="J331" s="52">
        <f t="shared" si="588"/>
        <v>3.0303030303030303</v>
      </c>
      <c r="K331" s="53">
        <f>COUNTIFS('00 Encuesta'!$B$2:$B$511,"*c)*",'00 Encuesta'!$C$2:$C$511,"*a)*",'00 Encuesta'!$E$2:$E$511,"*b)*",'00 Encuesta'!$AP$2:$AP$511,"*c)*")</f>
        <v>4</v>
      </c>
      <c r="L331" s="52">
        <f t="shared" si="589"/>
        <v>12.5</v>
      </c>
      <c r="M331" s="23"/>
      <c r="N331" s="51">
        <f t="shared" si="590"/>
        <v>13</v>
      </c>
      <c r="O331" s="52">
        <f t="shared" si="591"/>
        <v>25.490196078431371</v>
      </c>
      <c r="P331" s="53">
        <f>COUNTIFS('00 Encuesta'!$B$2:$B$511,"*c)*",'00 Encuesta'!$C$2:$C$511,"*b)*",'00 Encuesta'!$E$2:$E$511,"*a)*",'00 Encuesta'!$AP$2:$AP$511,"*c)*")</f>
        <v>6</v>
      </c>
      <c r="Q331" s="52">
        <f t="shared" si="592"/>
        <v>21.428571428571427</v>
      </c>
      <c r="R331" s="53">
        <f>COUNTIFS('00 Encuesta'!$B$2:$B$511,"*c)*",'00 Encuesta'!$C$2:$C$511,"*b)*",'00 Encuesta'!$E$2:$E$511,"*b)*",'00 Encuesta'!$AP$2:$AP$511,"*c)*")</f>
        <v>7</v>
      </c>
      <c r="S331" s="52">
        <f t="shared" si="593"/>
        <v>30.434782608695656</v>
      </c>
      <c r="T331" s="3"/>
      <c r="U331" s="51">
        <f t="shared" si="594"/>
        <v>17</v>
      </c>
      <c r="V331" s="52">
        <f t="shared" si="595"/>
        <v>34</v>
      </c>
      <c r="W331" s="53">
        <f>COUNTIFS('00 Encuesta'!$B$2:$B$511,"*c)*",'00 Encuesta'!$C$2:$C$511,"*d)*",'00 Encuesta'!$E$2:$E$511,"*a)*",'00 Encuesta'!$AP$2:$AP$511,"*c)*")</f>
        <v>12</v>
      </c>
      <c r="X331" s="52">
        <f t="shared" si="596"/>
        <v>44.444444444444443</v>
      </c>
      <c r="Y331" s="53">
        <f>COUNTIFS('00 Encuesta'!$B$2:$B$511,"*c)*",'00 Encuesta'!$C$2:$C$511,"*d)*",'00 Encuesta'!$E$2:$E$511,"*b)*",'00 Encuesta'!$AP$2:$AP$511,"*c)*")</f>
        <v>5</v>
      </c>
      <c r="Z331" s="52">
        <f t="shared" si="597"/>
        <v>21.739130434782609</v>
      </c>
      <c r="AA331" s="3"/>
      <c r="AB331" s="62">
        <f t="shared" si="598"/>
        <v>35</v>
      </c>
      <c r="AC331" s="52">
        <f t="shared" si="599"/>
        <v>21.08433734939759</v>
      </c>
      <c r="AD331" s="3"/>
      <c r="AE331" s="3"/>
      <c r="AF331" s="9" t="str">
        <f t="shared" si="600"/>
        <v>c) Regular</v>
      </c>
      <c r="AG331" s="72">
        <f t="shared" si="601"/>
        <v>3.0303030303030303</v>
      </c>
      <c r="AH331" s="72">
        <f t="shared" si="602"/>
        <v>12.5</v>
      </c>
      <c r="AI331" s="73">
        <f t="shared" si="603"/>
        <v>7.6923076923076925</v>
      </c>
      <c r="AJ331" s="73"/>
      <c r="AK331" s="76">
        <f t="shared" si="604"/>
        <v>21.428571428571427</v>
      </c>
      <c r="AL331" s="76">
        <f t="shared" si="605"/>
        <v>30.434782608695656</v>
      </c>
      <c r="AM331" s="76">
        <f t="shared" si="606"/>
        <v>25.490196078431371</v>
      </c>
      <c r="AN331" s="76"/>
      <c r="AO331" s="81">
        <f t="shared" si="607"/>
        <v>44.444444444444443</v>
      </c>
      <c r="AP331" s="81">
        <f t="shared" si="608"/>
        <v>21.739130434782609</v>
      </c>
      <c r="AQ331" s="81">
        <f t="shared" si="609"/>
        <v>34</v>
      </c>
      <c r="AR331" s="3"/>
      <c r="AS331" s="76">
        <f t="shared" si="477"/>
        <v>21.08433734939759</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x14ac:dyDescent="0.3">
      <c r="A332" s="8" t="s">
        <v>21</v>
      </c>
      <c r="B332" s="9" t="s">
        <v>231</v>
      </c>
      <c r="C332" s="7"/>
      <c r="D332" s="7"/>
      <c r="E332" s="7"/>
      <c r="F332" s="71">
        <v>25</v>
      </c>
      <c r="G332" s="51">
        <f t="shared" si="586"/>
        <v>1</v>
      </c>
      <c r="H332" s="52">
        <f t="shared" si="587"/>
        <v>1.5384615384615385</v>
      </c>
      <c r="I332" s="53">
        <f>COUNTIFS('00 Encuesta'!$B$2:$B$511,"*c)*",'00 Encuesta'!$C$2:$C$511,"*a)*",'00 Encuesta'!$E$2:$E$511,"*a)*",'00 Encuesta'!$AP$2:$AP$511,"*d)*")</f>
        <v>1</v>
      </c>
      <c r="J332" s="52">
        <f t="shared" si="588"/>
        <v>3.0303030303030303</v>
      </c>
      <c r="K332" s="53">
        <f>COUNTIFS('00 Encuesta'!$B$2:$B$511,"*c)*",'00 Encuesta'!$C$2:$C$511,"*a)*",'00 Encuesta'!$E$2:$E$511,"*b)*",'00 Encuesta'!$AP$2:$AP$511,"*d)*")</f>
        <v>0</v>
      </c>
      <c r="L332" s="52">
        <f t="shared" si="589"/>
        <v>0</v>
      </c>
      <c r="M332" s="23"/>
      <c r="N332" s="51">
        <f t="shared" si="590"/>
        <v>7</v>
      </c>
      <c r="O332" s="52">
        <f t="shared" si="591"/>
        <v>13.725490196078432</v>
      </c>
      <c r="P332" s="53">
        <f>COUNTIFS('00 Encuesta'!$B$2:$B$511,"*c)*",'00 Encuesta'!$C$2:$C$511,"*b)*",'00 Encuesta'!$E$2:$E$511,"*a)*",'00 Encuesta'!$AP$2:$AP$511,"*d)*")</f>
        <v>4</v>
      </c>
      <c r="Q332" s="52">
        <f t="shared" si="592"/>
        <v>14.285714285714285</v>
      </c>
      <c r="R332" s="53">
        <f>COUNTIFS('00 Encuesta'!$B$2:$B$511,"*c)*",'00 Encuesta'!$C$2:$C$511,"*b)*",'00 Encuesta'!$E$2:$E$511,"*b)*",'00 Encuesta'!$AP$2:$AP$511,"*d)*")</f>
        <v>3</v>
      </c>
      <c r="S332" s="52">
        <f t="shared" si="593"/>
        <v>13.043478260869565</v>
      </c>
      <c r="T332" s="3"/>
      <c r="U332" s="51">
        <f t="shared" si="594"/>
        <v>5</v>
      </c>
      <c r="V332" s="52">
        <f t="shared" si="595"/>
        <v>10</v>
      </c>
      <c r="W332" s="53">
        <f>COUNTIFS('00 Encuesta'!$B$2:$B$511,"*c)*",'00 Encuesta'!$C$2:$C$511,"*d)*",'00 Encuesta'!$E$2:$E$511,"*a)*",'00 Encuesta'!$AP$2:$AP$511,"*d)*")</f>
        <v>2</v>
      </c>
      <c r="X332" s="52">
        <f t="shared" si="596"/>
        <v>7.4074074074074066</v>
      </c>
      <c r="Y332" s="53">
        <f>COUNTIFS('00 Encuesta'!$B$2:$B$511,"*c)*",'00 Encuesta'!$C$2:$C$511,"*d)*",'00 Encuesta'!$E$2:$E$511,"*b)*",'00 Encuesta'!$AP$2:$AP$511,"*d)*")</f>
        <v>3</v>
      </c>
      <c r="Z332" s="52">
        <f t="shared" si="597"/>
        <v>13.043478260869565</v>
      </c>
      <c r="AA332" s="3"/>
      <c r="AB332" s="62">
        <f t="shared" si="598"/>
        <v>13</v>
      </c>
      <c r="AC332" s="52">
        <f t="shared" si="599"/>
        <v>7.831325301204819</v>
      </c>
      <c r="AD332" s="3"/>
      <c r="AE332" s="3"/>
      <c r="AF332" s="9" t="str">
        <f t="shared" si="600"/>
        <v>d) Mala</v>
      </c>
      <c r="AG332" s="72">
        <f t="shared" si="601"/>
        <v>3.0303030303030303</v>
      </c>
      <c r="AH332" s="72">
        <f t="shared" si="602"/>
        <v>0</v>
      </c>
      <c r="AI332" s="73">
        <f t="shared" si="603"/>
        <v>1.5384615384615385</v>
      </c>
      <c r="AJ332" s="73"/>
      <c r="AK332" s="76">
        <f t="shared" si="604"/>
        <v>14.285714285714285</v>
      </c>
      <c r="AL332" s="76">
        <f t="shared" si="605"/>
        <v>13.043478260869565</v>
      </c>
      <c r="AM332" s="76">
        <f t="shared" si="606"/>
        <v>13.725490196078432</v>
      </c>
      <c r="AN332" s="76"/>
      <c r="AO332" s="81">
        <f t="shared" si="607"/>
        <v>7.4074074074074066</v>
      </c>
      <c r="AP332" s="81">
        <f t="shared" si="608"/>
        <v>13.043478260869565</v>
      </c>
      <c r="AQ332" s="81">
        <f t="shared" si="609"/>
        <v>10</v>
      </c>
      <c r="AR332" s="3"/>
      <c r="AS332" s="76">
        <f t="shared" si="477"/>
        <v>7.831325301204819</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x14ac:dyDescent="0.3">
      <c r="A333" s="8" t="s">
        <v>22</v>
      </c>
      <c r="B333" s="9" t="s">
        <v>232</v>
      </c>
      <c r="C333" s="7"/>
      <c r="D333" s="7"/>
      <c r="E333" s="7"/>
      <c r="F333" s="71">
        <v>0</v>
      </c>
      <c r="G333" s="51">
        <f t="shared" si="586"/>
        <v>0</v>
      </c>
      <c r="H333" s="52">
        <f t="shared" si="587"/>
        <v>0</v>
      </c>
      <c r="I333" s="53">
        <f>COUNTIFS('00 Encuesta'!$B$2:$B$511,"*c)*",'00 Encuesta'!$C$2:$C$511,"*a)*",'00 Encuesta'!$E$2:$E$511,"*a)*",'00 Encuesta'!$AP$2:$AP$511,"*e)*")</f>
        <v>0</v>
      </c>
      <c r="J333" s="52">
        <f t="shared" si="588"/>
        <v>0</v>
      </c>
      <c r="K333" s="53">
        <f>COUNTIFS('00 Encuesta'!$B$2:$B$511,"*c)*",'00 Encuesta'!$C$2:$C$511,"*a)*",'00 Encuesta'!$E$2:$E$511,"*b)*",'00 Encuesta'!$AP$2:$AP$511,"*e)*")</f>
        <v>0</v>
      </c>
      <c r="L333" s="52">
        <f t="shared" si="589"/>
        <v>0</v>
      </c>
      <c r="M333" s="23"/>
      <c r="N333" s="51">
        <f t="shared" si="590"/>
        <v>0</v>
      </c>
      <c r="O333" s="52">
        <f t="shared" si="591"/>
        <v>0</v>
      </c>
      <c r="P333" s="53">
        <f>COUNTIFS('00 Encuesta'!$B$2:$B$511,"*c)*",'00 Encuesta'!$C$2:$C$511,"*b)*",'00 Encuesta'!$E$2:$E$511,"*a)*",'00 Encuesta'!$AP$2:$AP$511,"*e)*")</f>
        <v>0</v>
      </c>
      <c r="Q333" s="52">
        <f t="shared" si="592"/>
        <v>0</v>
      </c>
      <c r="R333" s="53">
        <f>COUNTIFS('00 Encuesta'!$B$2:$B$511,"*c)*",'00 Encuesta'!$C$2:$C$511,"*b)*",'00 Encuesta'!$E$2:$E$511,"*b)*",'00 Encuesta'!$AP$2:$AP$511,"*e)*")</f>
        <v>0</v>
      </c>
      <c r="S333" s="52">
        <f t="shared" si="593"/>
        <v>0</v>
      </c>
      <c r="T333" s="3"/>
      <c r="U333" s="51">
        <f t="shared" si="594"/>
        <v>2</v>
      </c>
      <c r="V333" s="52">
        <f t="shared" si="595"/>
        <v>4</v>
      </c>
      <c r="W333" s="53">
        <f>COUNTIFS('00 Encuesta'!$B$2:$B$511,"*c)*",'00 Encuesta'!$C$2:$C$511,"*d)*",'00 Encuesta'!$E$2:$E$511,"*a)*",'00 Encuesta'!$AP$2:$AP$511,"*e)*")</f>
        <v>2</v>
      </c>
      <c r="X333" s="52">
        <f t="shared" si="596"/>
        <v>7.4074074074074066</v>
      </c>
      <c r="Y333" s="53">
        <f>COUNTIFS('00 Encuesta'!$B$2:$B$511,"*c)*",'00 Encuesta'!$C$2:$C$511,"*d)*",'00 Encuesta'!$E$2:$E$511,"*b)*",'00 Encuesta'!$AP$2:$AP$511,"*e)*")</f>
        <v>0</v>
      </c>
      <c r="Z333" s="52">
        <f t="shared" si="597"/>
        <v>0</v>
      </c>
      <c r="AA333" s="3"/>
      <c r="AB333" s="62">
        <f t="shared" si="598"/>
        <v>2</v>
      </c>
      <c r="AC333" s="52">
        <f t="shared" si="599"/>
        <v>1.2048192771084338</v>
      </c>
      <c r="AD333" s="3"/>
      <c r="AE333" s="3"/>
      <c r="AF333" s="9" t="str">
        <f t="shared" si="600"/>
        <v>e) Muy mala</v>
      </c>
      <c r="AG333" s="72">
        <f t="shared" si="601"/>
        <v>0</v>
      </c>
      <c r="AH333" s="72">
        <f t="shared" si="602"/>
        <v>0</v>
      </c>
      <c r="AI333" s="73">
        <f t="shared" si="603"/>
        <v>0</v>
      </c>
      <c r="AJ333" s="73"/>
      <c r="AK333" s="76">
        <f t="shared" si="604"/>
        <v>0</v>
      </c>
      <c r="AL333" s="76">
        <f t="shared" si="605"/>
        <v>0</v>
      </c>
      <c r="AM333" s="76">
        <f t="shared" si="606"/>
        <v>0</v>
      </c>
      <c r="AN333" s="76"/>
      <c r="AO333" s="81">
        <f t="shared" si="607"/>
        <v>7.4074074074074066</v>
      </c>
      <c r="AP333" s="81">
        <f t="shared" si="608"/>
        <v>0</v>
      </c>
      <c r="AQ333" s="81">
        <f t="shared" si="609"/>
        <v>4</v>
      </c>
      <c r="AR333" s="3"/>
      <c r="AS333" s="76">
        <f t="shared" si="477"/>
        <v>1.2048192771084338</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x14ac:dyDescent="0.3">
      <c r="A334" s="8" t="s">
        <v>45</v>
      </c>
      <c r="B334" s="9" t="s">
        <v>233</v>
      </c>
      <c r="C334" s="7"/>
      <c r="D334" s="7"/>
      <c r="E334" s="7"/>
      <c r="F334" s="71"/>
      <c r="G334" s="51">
        <f t="shared" si="586"/>
        <v>1</v>
      </c>
      <c r="H334" s="52">
        <f t="shared" si="587"/>
        <v>1.5384615384615385</v>
      </c>
      <c r="I334" s="53">
        <f>COUNTIFS('00 Encuesta'!$B$2:$B$511,"*c)*",'00 Encuesta'!$C$2:$C$511,"*a)*",'00 Encuesta'!$E$2:$E$511,"*a)*",'00 Encuesta'!$AP$2:$AP$511,"*f)*")</f>
        <v>0</v>
      </c>
      <c r="J334" s="52">
        <f t="shared" si="588"/>
        <v>0</v>
      </c>
      <c r="K334" s="53">
        <f>COUNTIFS('00 Encuesta'!$B$2:$B$511,"*c)*",'00 Encuesta'!$C$2:$C$511,"*a)*",'00 Encuesta'!$E$2:$E$511,"*b)*",'00 Encuesta'!$AP$2:$AP$511,"*f)*")</f>
        <v>1</v>
      </c>
      <c r="L334" s="52">
        <f t="shared" si="589"/>
        <v>3.125</v>
      </c>
      <c r="M334" s="23"/>
      <c r="N334" s="51">
        <f t="shared" si="590"/>
        <v>5</v>
      </c>
      <c r="O334" s="52">
        <f t="shared" si="591"/>
        <v>9.8039215686274517</v>
      </c>
      <c r="P334" s="53">
        <f>COUNTIFS('00 Encuesta'!$B$2:$B$511,"*c)*",'00 Encuesta'!$C$2:$C$511,"*b)*",'00 Encuesta'!$E$2:$E$511,"*a)*",'00 Encuesta'!$AP$2:$AP$511,"*f)*")</f>
        <v>3</v>
      </c>
      <c r="Q334" s="52">
        <f t="shared" si="592"/>
        <v>10.714285714285714</v>
      </c>
      <c r="R334" s="53">
        <f>COUNTIFS('00 Encuesta'!$B$2:$B$511,"*c)*",'00 Encuesta'!$C$2:$C$511,"*b)*",'00 Encuesta'!$E$2:$E$511,"*b)*",'00 Encuesta'!$AP$2:$AP$511,"*f)*")</f>
        <v>2</v>
      </c>
      <c r="S334" s="52">
        <f t="shared" si="593"/>
        <v>8.695652173913043</v>
      </c>
      <c r="T334" s="3"/>
      <c r="U334" s="51">
        <f t="shared" si="594"/>
        <v>9</v>
      </c>
      <c r="V334" s="52">
        <f t="shared" si="595"/>
        <v>18</v>
      </c>
      <c r="W334" s="53">
        <f>COUNTIFS('00 Encuesta'!$B$2:$B$511,"*c)*",'00 Encuesta'!$C$2:$C$511,"*d)*",'00 Encuesta'!$E$2:$E$511,"*a)*",'00 Encuesta'!$AP$2:$AP$511,"*f)*")</f>
        <v>1</v>
      </c>
      <c r="X334" s="52">
        <f t="shared" si="596"/>
        <v>3.7037037037037033</v>
      </c>
      <c r="Y334" s="53">
        <f>COUNTIFS('00 Encuesta'!$B$2:$B$511,"*c)*",'00 Encuesta'!$C$2:$C$511,"*d)*",'00 Encuesta'!$E$2:$E$511,"*b)*",'00 Encuesta'!$AP$2:$AP$511,"*f)*")</f>
        <v>8</v>
      </c>
      <c r="Z334" s="52">
        <f t="shared" si="597"/>
        <v>34.782608695652172</v>
      </c>
      <c r="AA334" s="3"/>
      <c r="AB334" s="62">
        <f t="shared" si="598"/>
        <v>15</v>
      </c>
      <c r="AC334" s="52">
        <f t="shared" si="599"/>
        <v>9.0361445783132535</v>
      </c>
      <c r="AD334" s="3"/>
      <c r="AE334" s="3"/>
      <c r="AF334" s="9" t="str">
        <f t="shared" si="600"/>
        <v>f) No aplica</v>
      </c>
      <c r="AG334" s="72">
        <f t="shared" si="601"/>
        <v>0</v>
      </c>
      <c r="AH334" s="72">
        <f t="shared" si="602"/>
        <v>3.125</v>
      </c>
      <c r="AI334" s="73">
        <f t="shared" si="603"/>
        <v>1.5384615384615385</v>
      </c>
      <c r="AJ334" s="73"/>
      <c r="AK334" s="76">
        <f t="shared" si="604"/>
        <v>10.714285714285714</v>
      </c>
      <c r="AL334" s="76">
        <f t="shared" si="605"/>
        <v>8.695652173913043</v>
      </c>
      <c r="AM334" s="76">
        <f t="shared" si="606"/>
        <v>9.8039215686274517</v>
      </c>
      <c r="AN334" s="76"/>
      <c r="AO334" s="81">
        <f t="shared" si="607"/>
        <v>3.7037037037037033</v>
      </c>
      <c r="AP334" s="81">
        <f t="shared" si="608"/>
        <v>34.782608695652172</v>
      </c>
      <c r="AQ334" s="81">
        <f t="shared" si="609"/>
        <v>18</v>
      </c>
      <c r="AR334" s="3"/>
      <c r="AS334" s="76">
        <f t="shared" si="477"/>
        <v>9.0361445783132535</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x14ac:dyDescent="0.3">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85.483870967741936</v>
      </c>
      <c r="AH335" s="82">
        <f>($F329*K329+$F330*K330+$F331*K331+$F332*K332+$F333*K333)/(K329+K330+K331+K332+K333)</f>
        <v>83.620689655172413</v>
      </c>
      <c r="AI335" s="82">
        <f>($F329*G329+$F330*G330+$F331*G331+$F332*G332+$F333*G333)/(G329+G330+G331+G332+G333)</f>
        <v>84.583333333333329</v>
      </c>
      <c r="AJ335" s="82"/>
      <c r="AK335" s="82">
        <f>($F329*Q329+$F330*Q330+$F331*Q331+$F332*Q332+$F333*Q333)/(Q329+Q330+Q331+Q332+Q333)</f>
        <v>67.708333333333329</v>
      </c>
      <c r="AL335" s="82">
        <f>($F329*S329+$F330*S330+$F331*S331+$F332*S332+$F333*S333)/(S329+S330+S331+S332+S333)</f>
        <v>64.285714285714278</v>
      </c>
      <c r="AM335" s="82">
        <f>($F329*O329+$F330*O330+$F331*O331+$F332*O332+$F333*O333)/(O329+O330+O331+O332+O333)</f>
        <v>66.1111111111111</v>
      </c>
      <c r="AN335" s="82"/>
      <c r="AO335" s="82">
        <f>($F329*W329+$F330*W330+$F331*W331+$F332*W332+$F333*W333)/(W329+W330+W331+W332+W333)</f>
        <v>54.807692307692307</v>
      </c>
      <c r="AP335" s="82">
        <f>($F329*Y329+$F330*Y330+$F331*Y331+$F332*Y332+$F333*Y333)/(Y329+Y330+Y331+Y332+Y333)</f>
        <v>58.333333333333336</v>
      </c>
      <c r="AQ335" s="82">
        <f>($F329*U329+$F330*U330+$F331*U331+$F332*U332+$F333*U333)/(U329+U330+U331+U332+U333)</f>
        <v>56.097560975609753</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x14ac:dyDescent="0.3">
      <c r="A337" s="8" t="s">
        <v>17</v>
      </c>
      <c r="B337" s="9" t="s">
        <v>229</v>
      </c>
      <c r="C337" s="7"/>
      <c r="D337" s="7"/>
      <c r="E337" s="7"/>
      <c r="F337" s="71">
        <v>100</v>
      </c>
      <c r="G337" s="51">
        <f t="shared" ref="G337:G342" si="610">I337+K337</f>
        <v>24</v>
      </c>
      <c r="H337" s="52">
        <f t="shared" ref="H337:H342" si="611">G337/$J$5*100</f>
        <v>36.923076923076927</v>
      </c>
      <c r="I337" s="53">
        <f>COUNTIFS('00 Encuesta'!$B$2:$B$511,"*c)*",'00 Encuesta'!$C$2:$C$511,"*a)*",'00 Encuesta'!$E$2:$E$511,"*a)*",'00 Encuesta'!$AQ$2:$AQ$511,"*a)*")</f>
        <v>12</v>
      </c>
      <c r="J337" s="52">
        <f t="shared" ref="J337:J342" si="612">I337/$J$6*100</f>
        <v>36.363636363636367</v>
      </c>
      <c r="K337" s="53">
        <f>COUNTIFS('00 Encuesta'!$B$2:$B$511,"*c)*",'00 Encuesta'!$C$2:$C$511,"*a)*",'00 Encuesta'!$E$2:$E$511,"*b)*",'00 Encuesta'!$AQ$2:$AQ$511,"*a)*")</f>
        <v>12</v>
      </c>
      <c r="L337" s="52">
        <f t="shared" ref="L337:L342" si="613">K337/$J$7*100</f>
        <v>37.5</v>
      </c>
      <c r="M337" s="23"/>
      <c r="N337" s="51">
        <f t="shared" ref="N337:N342" si="614">P337+R337</f>
        <v>7</v>
      </c>
      <c r="O337" s="52">
        <f t="shared" ref="O337:O342" si="615">N337/$Q$5*100</f>
        <v>13.725490196078432</v>
      </c>
      <c r="P337" s="53">
        <f>COUNTIFS('00 Encuesta'!$B$2:$B$511,"*c)*",'00 Encuesta'!$C$2:$C$511,"*b)*",'00 Encuesta'!$E$2:$E$511,"*a)*",'00 Encuesta'!$AQ$2:$AQ$511,"*a)*")</f>
        <v>5</v>
      </c>
      <c r="Q337" s="52">
        <f t="shared" ref="Q337:Q342" si="616">P337/$Q$6*100</f>
        <v>17.857142857142858</v>
      </c>
      <c r="R337" s="53">
        <f>COUNTIFS('00 Encuesta'!$B$2:$B$511,"*c)*",'00 Encuesta'!$C$2:$C$511,"*b)*",'00 Encuesta'!$E$2:$E$511,"*b)*",'00 Encuesta'!$AQ$2:$AQ$511,"*a)*")</f>
        <v>2</v>
      </c>
      <c r="S337" s="52">
        <f t="shared" ref="S337:S342" si="617">R337/$Q$7*100</f>
        <v>8.695652173913043</v>
      </c>
      <c r="T337" s="3"/>
      <c r="U337" s="51">
        <f t="shared" ref="U337:U342" si="618">W337+Y337</f>
        <v>6</v>
      </c>
      <c r="V337" s="52">
        <f t="shared" ref="V337:V342" si="619">U337/$X$5*100</f>
        <v>12</v>
      </c>
      <c r="W337" s="53">
        <f>COUNTIFS('00 Encuesta'!$B$2:$B$511,"*c)*",'00 Encuesta'!$C$2:$C$511,"*d)*",'00 Encuesta'!$E$2:$E$511,"*a)*",'00 Encuesta'!$AQ$2:$AQ$511,"*a)*")</f>
        <v>1</v>
      </c>
      <c r="X337" s="52">
        <f t="shared" ref="X337:X342" si="620">W337/$X$6*100</f>
        <v>3.7037037037037033</v>
      </c>
      <c r="Y337" s="53">
        <f>COUNTIFS('00 Encuesta'!$B$2:$B$511,"*c)*",'00 Encuesta'!$C$2:$C$511,"*d)*",'00 Encuesta'!$E$2:$E$511,"*b)*",'00 Encuesta'!$AQ$2:$AQ$511,"*a)*")</f>
        <v>5</v>
      </c>
      <c r="Z337" s="52">
        <f t="shared" ref="Z337:Z342" si="621">Y337/$X$7*100</f>
        <v>21.739130434782609</v>
      </c>
      <c r="AA337" s="3"/>
      <c r="AB337" s="62">
        <f t="shared" ref="AB337:AB342" si="622">G337+N337+U337</f>
        <v>37</v>
      </c>
      <c r="AC337" s="52">
        <f t="shared" ref="AC337:AC342" si="623">AB337*100/$AC$5</f>
        <v>22.289156626506024</v>
      </c>
      <c r="AD337" s="3"/>
      <c r="AE337" s="3"/>
      <c r="AF337" s="9" t="str">
        <f t="shared" ref="AF337:AF342" si="624">A337&amp;" "&amp;B337</f>
        <v>a) Muy buena</v>
      </c>
      <c r="AG337" s="72">
        <f t="shared" ref="AG337:AG342" si="625">J337</f>
        <v>36.363636363636367</v>
      </c>
      <c r="AH337" s="72">
        <f t="shared" ref="AH337:AH342" si="626">L337</f>
        <v>37.5</v>
      </c>
      <c r="AI337" s="73">
        <f t="shared" ref="AI337:AI342" si="627">H337</f>
        <v>36.923076923076927</v>
      </c>
      <c r="AJ337" s="73"/>
      <c r="AK337" s="76">
        <f t="shared" ref="AK337:AK342" si="628">Q337</f>
        <v>17.857142857142858</v>
      </c>
      <c r="AL337" s="76">
        <f t="shared" ref="AL337:AL342" si="629">S337</f>
        <v>8.695652173913043</v>
      </c>
      <c r="AM337" s="76">
        <f t="shared" ref="AM337:AM342" si="630">O337</f>
        <v>13.725490196078432</v>
      </c>
      <c r="AN337" s="76"/>
      <c r="AO337" s="81">
        <f t="shared" ref="AO337:AO342" si="631">X337</f>
        <v>3.7037037037037033</v>
      </c>
      <c r="AP337" s="81">
        <f t="shared" ref="AP337:AP342" si="632">Z337</f>
        <v>21.739130434782609</v>
      </c>
      <c r="AQ337" s="81">
        <f t="shared" ref="AQ337:AQ342" si="633">V337</f>
        <v>12</v>
      </c>
      <c r="AR337" s="3"/>
      <c r="AS337" s="76">
        <f t="shared" si="477"/>
        <v>22.289156626506024</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x14ac:dyDescent="0.3">
      <c r="A338" s="8" t="s">
        <v>18</v>
      </c>
      <c r="B338" s="9" t="s">
        <v>230</v>
      </c>
      <c r="C338" s="7"/>
      <c r="D338" s="7"/>
      <c r="E338" s="7"/>
      <c r="F338" s="71">
        <v>75</v>
      </c>
      <c r="G338" s="51">
        <f t="shared" si="610"/>
        <v>28</v>
      </c>
      <c r="H338" s="52">
        <f t="shared" si="611"/>
        <v>43.07692307692308</v>
      </c>
      <c r="I338" s="53">
        <f>COUNTIFS('00 Encuesta'!$B$2:$B$511,"*c)*",'00 Encuesta'!$C$2:$C$511,"*a)*",'00 Encuesta'!$E$2:$E$511,"*a)*",'00 Encuesta'!$AQ$2:$AQ$511,"*b)*")</f>
        <v>15</v>
      </c>
      <c r="J338" s="52">
        <f t="shared" si="612"/>
        <v>45.454545454545453</v>
      </c>
      <c r="K338" s="53">
        <f>COUNTIFS('00 Encuesta'!$B$2:$B$511,"*c)*",'00 Encuesta'!$C$2:$C$511,"*a)*",'00 Encuesta'!$E$2:$E$511,"*b)*",'00 Encuesta'!$AQ$2:$AQ$511,"*b)*")</f>
        <v>13</v>
      </c>
      <c r="L338" s="52">
        <f t="shared" si="613"/>
        <v>40.625</v>
      </c>
      <c r="M338" s="23"/>
      <c r="N338" s="51">
        <f t="shared" si="614"/>
        <v>25</v>
      </c>
      <c r="O338" s="52">
        <f t="shared" si="615"/>
        <v>49.019607843137251</v>
      </c>
      <c r="P338" s="53">
        <f>COUNTIFS('00 Encuesta'!$B$2:$B$511,"*c)*",'00 Encuesta'!$C$2:$C$511,"*b)*",'00 Encuesta'!$E$2:$E$511,"*a)*",'00 Encuesta'!$AQ$2:$AQ$511,"*b)*")</f>
        <v>13</v>
      </c>
      <c r="Q338" s="52">
        <f t="shared" si="616"/>
        <v>46.428571428571431</v>
      </c>
      <c r="R338" s="53">
        <f>COUNTIFS('00 Encuesta'!$B$2:$B$511,"*c)*",'00 Encuesta'!$C$2:$C$511,"*b)*",'00 Encuesta'!$E$2:$E$511,"*b)*",'00 Encuesta'!$AQ$2:$AQ$511,"*b)*")</f>
        <v>12</v>
      </c>
      <c r="S338" s="52">
        <f t="shared" si="617"/>
        <v>52.173913043478258</v>
      </c>
      <c r="T338" s="3"/>
      <c r="U338" s="51">
        <f t="shared" si="618"/>
        <v>30</v>
      </c>
      <c r="V338" s="52">
        <f t="shared" si="619"/>
        <v>60</v>
      </c>
      <c r="W338" s="53">
        <f>COUNTIFS('00 Encuesta'!$B$2:$B$511,"*c)*",'00 Encuesta'!$C$2:$C$511,"*d)*",'00 Encuesta'!$E$2:$E$511,"*a)*",'00 Encuesta'!$AQ$2:$AQ$511,"*b)*")</f>
        <v>18</v>
      </c>
      <c r="X338" s="52">
        <f t="shared" si="620"/>
        <v>66.666666666666657</v>
      </c>
      <c r="Y338" s="53">
        <f>COUNTIFS('00 Encuesta'!$B$2:$B$511,"*c)*",'00 Encuesta'!$C$2:$C$511,"*d)*",'00 Encuesta'!$E$2:$E$511,"*b)*",'00 Encuesta'!$AQ$2:$AQ$511,"*b)*")</f>
        <v>12</v>
      </c>
      <c r="Z338" s="52">
        <f t="shared" si="621"/>
        <v>52.173913043478258</v>
      </c>
      <c r="AA338" s="3"/>
      <c r="AB338" s="62">
        <f t="shared" si="622"/>
        <v>83</v>
      </c>
      <c r="AC338" s="52">
        <f t="shared" si="623"/>
        <v>50</v>
      </c>
      <c r="AD338" s="3"/>
      <c r="AE338" s="3"/>
      <c r="AF338" s="9" t="str">
        <f t="shared" si="624"/>
        <v>b) Buena</v>
      </c>
      <c r="AG338" s="72">
        <f t="shared" si="625"/>
        <v>45.454545454545453</v>
      </c>
      <c r="AH338" s="72">
        <f t="shared" si="626"/>
        <v>40.625</v>
      </c>
      <c r="AI338" s="73">
        <f t="shared" si="627"/>
        <v>43.07692307692308</v>
      </c>
      <c r="AJ338" s="73"/>
      <c r="AK338" s="76">
        <f t="shared" si="628"/>
        <v>46.428571428571431</v>
      </c>
      <c r="AL338" s="76">
        <f t="shared" si="629"/>
        <v>52.173913043478258</v>
      </c>
      <c r="AM338" s="76">
        <f t="shared" si="630"/>
        <v>49.019607843137251</v>
      </c>
      <c r="AN338" s="76"/>
      <c r="AO338" s="81">
        <f t="shared" si="631"/>
        <v>66.666666666666657</v>
      </c>
      <c r="AP338" s="81">
        <f t="shared" si="632"/>
        <v>52.173913043478258</v>
      </c>
      <c r="AQ338" s="81">
        <f t="shared" si="633"/>
        <v>60</v>
      </c>
      <c r="AR338" s="3"/>
      <c r="AS338" s="76">
        <f t="shared" si="477"/>
        <v>50</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x14ac:dyDescent="0.3">
      <c r="A339" s="8" t="s">
        <v>20</v>
      </c>
      <c r="B339" s="9" t="s">
        <v>218</v>
      </c>
      <c r="C339" s="7"/>
      <c r="D339" s="7"/>
      <c r="E339" s="7"/>
      <c r="F339" s="71">
        <v>50</v>
      </c>
      <c r="G339" s="51">
        <f t="shared" si="610"/>
        <v>8</v>
      </c>
      <c r="H339" s="52">
        <f t="shared" si="611"/>
        <v>12.307692307692308</v>
      </c>
      <c r="I339" s="53">
        <f>COUNTIFS('00 Encuesta'!$B$2:$B$511,"*c)*",'00 Encuesta'!$C$2:$C$511,"*a)*",'00 Encuesta'!$E$2:$E$511,"*a)*",'00 Encuesta'!$AQ$2:$AQ$511,"*c)*")</f>
        <v>3</v>
      </c>
      <c r="J339" s="52">
        <f t="shared" si="612"/>
        <v>9.0909090909090917</v>
      </c>
      <c r="K339" s="53">
        <f>COUNTIFS('00 Encuesta'!$B$2:$B$511,"*c)*",'00 Encuesta'!$C$2:$C$511,"*a)*",'00 Encuesta'!$E$2:$E$511,"*b)*",'00 Encuesta'!$AQ$2:$AQ$511,"*c)*")</f>
        <v>5</v>
      </c>
      <c r="L339" s="52">
        <f t="shared" si="613"/>
        <v>15.625</v>
      </c>
      <c r="M339" s="23"/>
      <c r="N339" s="51">
        <f t="shared" si="614"/>
        <v>15</v>
      </c>
      <c r="O339" s="52">
        <f t="shared" si="615"/>
        <v>29.411764705882355</v>
      </c>
      <c r="P339" s="53">
        <f>COUNTIFS('00 Encuesta'!$B$2:$B$511,"*c)*",'00 Encuesta'!$C$2:$C$511,"*b)*",'00 Encuesta'!$E$2:$E$511,"*a)*",'00 Encuesta'!$AQ$2:$AQ$511,"*c)*")</f>
        <v>7</v>
      </c>
      <c r="Q339" s="52">
        <f t="shared" si="616"/>
        <v>25</v>
      </c>
      <c r="R339" s="53">
        <f>COUNTIFS('00 Encuesta'!$B$2:$B$511,"*c)*",'00 Encuesta'!$C$2:$C$511,"*b)*",'00 Encuesta'!$E$2:$E$511,"*b)*",'00 Encuesta'!$AQ$2:$AQ$511,"*c)*")</f>
        <v>8</v>
      </c>
      <c r="S339" s="52">
        <f t="shared" si="617"/>
        <v>34.782608695652172</v>
      </c>
      <c r="T339" s="3"/>
      <c r="U339" s="51">
        <f t="shared" si="618"/>
        <v>13</v>
      </c>
      <c r="V339" s="52">
        <f t="shared" si="619"/>
        <v>26</v>
      </c>
      <c r="W339" s="53">
        <f>COUNTIFS('00 Encuesta'!$B$2:$B$511,"*c)*",'00 Encuesta'!$C$2:$C$511,"*d)*",'00 Encuesta'!$E$2:$E$511,"*a)*",'00 Encuesta'!$AQ$2:$AQ$511,"*c)*")</f>
        <v>7</v>
      </c>
      <c r="X339" s="52">
        <f t="shared" si="620"/>
        <v>25.925925925925924</v>
      </c>
      <c r="Y339" s="53">
        <f>COUNTIFS('00 Encuesta'!$B$2:$B$511,"*c)*",'00 Encuesta'!$C$2:$C$511,"*d)*",'00 Encuesta'!$E$2:$E$511,"*b)*",'00 Encuesta'!$AQ$2:$AQ$511,"*c)*")</f>
        <v>6</v>
      </c>
      <c r="Z339" s="52">
        <f t="shared" si="621"/>
        <v>26.086956521739129</v>
      </c>
      <c r="AA339" s="3"/>
      <c r="AB339" s="62">
        <f t="shared" si="622"/>
        <v>36</v>
      </c>
      <c r="AC339" s="52">
        <f t="shared" si="623"/>
        <v>21.686746987951807</v>
      </c>
      <c r="AD339" s="3"/>
      <c r="AE339" s="3"/>
      <c r="AF339" s="9" t="str">
        <f t="shared" si="624"/>
        <v>c) Regular</v>
      </c>
      <c r="AG339" s="72">
        <f t="shared" si="625"/>
        <v>9.0909090909090917</v>
      </c>
      <c r="AH339" s="72">
        <f t="shared" si="626"/>
        <v>15.625</v>
      </c>
      <c r="AI339" s="73">
        <f t="shared" si="627"/>
        <v>12.307692307692308</v>
      </c>
      <c r="AJ339" s="73"/>
      <c r="AK339" s="76">
        <f t="shared" si="628"/>
        <v>25</v>
      </c>
      <c r="AL339" s="76">
        <f t="shared" si="629"/>
        <v>34.782608695652172</v>
      </c>
      <c r="AM339" s="76">
        <f t="shared" si="630"/>
        <v>29.411764705882355</v>
      </c>
      <c r="AN339" s="76"/>
      <c r="AO339" s="81">
        <f t="shared" si="631"/>
        <v>25.925925925925924</v>
      </c>
      <c r="AP339" s="81">
        <f t="shared" si="632"/>
        <v>26.086956521739129</v>
      </c>
      <c r="AQ339" s="81">
        <f t="shared" si="633"/>
        <v>26</v>
      </c>
      <c r="AR339" s="3"/>
      <c r="AS339" s="76">
        <f t="shared" si="477"/>
        <v>21.686746987951807</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x14ac:dyDescent="0.3">
      <c r="A340" s="8" t="s">
        <v>21</v>
      </c>
      <c r="B340" s="9" t="s">
        <v>231</v>
      </c>
      <c r="C340" s="7"/>
      <c r="D340" s="7"/>
      <c r="E340" s="7"/>
      <c r="F340" s="71">
        <v>25</v>
      </c>
      <c r="G340" s="51">
        <f t="shared" si="610"/>
        <v>1</v>
      </c>
      <c r="H340" s="52">
        <f t="shared" si="611"/>
        <v>1.5384615384615385</v>
      </c>
      <c r="I340" s="53">
        <f>COUNTIFS('00 Encuesta'!$B$2:$B$511,"*c)*",'00 Encuesta'!$C$2:$C$511,"*a)*",'00 Encuesta'!$E$2:$E$511,"*a)*",'00 Encuesta'!$AQ$2:$AQ$511,"*d)*")</f>
        <v>1</v>
      </c>
      <c r="J340" s="52">
        <f t="shared" si="612"/>
        <v>3.0303030303030303</v>
      </c>
      <c r="K340" s="53">
        <f>COUNTIFS('00 Encuesta'!$B$2:$B$511,"*c)*",'00 Encuesta'!$C$2:$C$511,"*a)*",'00 Encuesta'!$E$2:$E$511,"*b)*",'00 Encuesta'!$AQ$2:$AQ$511,"*d)*")</f>
        <v>0</v>
      </c>
      <c r="L340" s="52">
        <f t="shared" si="613"/>
        <v>0</v>
      </c>
      <c r="M340" s="23"/>
      <c r="N340" s="51">
        <f t="shared" si="614"/>
        <v>1</v>
      </c>
      <c r="O340" s="52">
        <f t="shared" si="615"/>
        <v>1.9607843137254901</v>
      </c>
      <c r="P340" s="53">
        <f>COUNTIFS('00 Encuesta'!$B$2:$B$511,"*c)*",'00 Encuesta'!$C$2:$C$511,"*b)*",'00 Encuesta'!$E$2:$E$511,"*a)*",'00 Encuesta'!$AQ$2:$AQ$511,"*d)*")</f>
        <v>1</v>
      </c>
      <c r="Q340" s="52">
        <f t="shared" si="616"/>
        <v>3.5714285714285712</v>
      </c>
      <c r="R340" s="53">
        <f>COUNTIFS('00 Encuesta'!$B$2:$B$511,"*c)*",'00 Encuesta'!$C$2:$C$511,"*b)*",'00 Encuesta'!$E$2:$E$511,"*b)*",'00 Encuesta'!$AQ$2:$AQ$511,"*d)*")</f>
        <v>0</v>
      </c>
      <c r="S340" s="52">
        <f t="shared" si="617"/>
        <v>0</v>
      </c>
      <c r="T340" s="3"/>
      <c r="U340" s="51">
        <f t="shared" si="618"/>
        <v>0</v>
      </c>
      <c r="V340" s="52">
        <f t="shared" si="619"/>
        <v>0</v>
      </c>
      <c r="W340" s="53">
        <f>COUNTIFS('00 Encuesta'!$B$2:$B$511,"*c)*",'00 Encuesta'!$C$2:$C$511,"*d)*",'00 Encuesta'!$E$2:$E$511,"*a)*",'00 Encuesta'!$AQ$2:$AQ$511,"*d)*")</f>
        <v>0</v>
      </c>
      <c r="X340" s="52">
        <f t="shared" si="620"/>
        <v>0</v>
      </c>
      <c r="Y340" s="53">
        <f>COUNTIFS('00 Encuesta'!$B$2:$B$511,"*c)*",'00 Encuesta'!$C$2:$C$511,"*d)*",'00 Encuesta'!$E$2:$E$511,"*b)*",'00 Encuesta'!$AQ$2:$AQ$511,"*d)*")</f>
        <v>0</v>
      </c>
      <c r="Z340" s="52">
        <f t="shared" si="621"/>
        <v>0</v>
      </c>
      <c r="AA340" s="3"/>
      <c r="AB340" s="62">
        <f t="shared" si="622"/>
        <v>2</v>
      </c>
      <c r="AC340" s="52">
        <f t="shared" si="623"/>
        <v>1.2048192771084338</v>
      </c>
      <c r="AD340" s="3"/>
      <c r="AE340" s="3"/>
      <c r="AF340" s="9" t="str">
        <f t="shared" si="624"/>
        <v>d) Mala</v>
      </c>
      <c r="AG340" s="72">
        <f t="shared" si="625"/>
        <v>3.0303030303030303</v>
      </c>
      <c r="AH340" s="72">
        <f t="shared" si="626"/>
        <v>0</v>
      </c>
      <c r="AI340" s="73">
        <f t="shared" si="627"/>
        <v>1.5384615384615385</v>
      </c>
      <c r="AJ340" s="73"/>
      <c r="AK340" s="76">
        <f t="shared" si="628"/>
        <v>3.5714285714285712</v>
      </c>
      <c r="AL340" s="76">
        <f t="shared" si="629"/>
        <v>0</v>
      </c>
      <c r="AM340" s="76">
        <f t="shared" si="630"/>
        <v>1.9607843137254901</v>
      </c>
      <c r="AN340" s="76"/>
      <c r="AO340" s="81">
        <f t="shared" si="631"/>
        <v>0</v>
      </c>
      <c r="AP340" s="81">
        <f t="shared" si="632"/>
        <v>0</v>
      </c>
      <c r="AQ340" s="81">
        <f t="shared" si="633"/>
        <v>0</v>
      </c>
      <c r="AR340" s="3"/>
      <c r="AS340" s="76">
        <f t="shared" si="477"/>
        <v>1.2048192771084338</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x14ac:dyDescent="0.3">
      <c r="A341" s="8" t="s">
        <v>22</v>
      </c>
      <c r="B341" s="9" t="s">
        <v>232</v>
      </c>
      <c r="C341" s="7"/>
      <c r="D341" s="7"/>
      <c r="E341" s="7"/>
      <c r="F341" s="71">
        <v>0</v>
      </c>
      <c r="G341" s="51">
        <f t="shared" si="610"/>
        <v>0</v>
      </c>
      <c r="H341" s="52">
        <f t="shared" si="611"/>
        <v>0</v>
      </c>
      <c r="I341" s="53">
        <f>COUNTIFS('00 Encuesta'!$B$2:$B$511,"*c)*",'00 Encuesta'!$C$2:$C$511,"*a)*",'00 Encuesta'!$E$2:$E$511,"*a)*",'00 Encuesta'!$AQ$2:$AQ$511,"*e)*")</f>
        <v>0</v>
      </c>
      <c r="J341" s="52">
        <f t="shared" si="612"/>
        <v>0</v>
      </c>
      <c r="K341" s="53">
        <f>COUNTIFS('00 Encuesta'!$B$2:$B$511,"*c)*",'00 Encuesta'!$C$2:$C$511,"*a)*",'00 Encuesta'!$E$2:$E$511,"*b)*",'00 Encuesta'!$AQ$2:$AQ$511,"*e)*")</f>
        <v>0</v>
      </c>
      <c r="L341" s="52">
        <f t="shared" si="613"/>
        <v>0</v>
      </c>
      <c r="M341" s="23"/>
      <c r="N341" s="51">
        <f t="shared" si="614"/>
        <v>0</v>
      </c>
      <c r="O341" s="52">
        <f t="shared" si="615"/>
        <v>0</v>
      </c>
      <c r="P341" s="53">
        <f>COUNTIFS('00 Encuesta'!$B$2:$B$511,"*c)*",'00 Encuesta'!$C$2:$C$511,"*b)*",'00 Encuesta'!$E$2:$E$511,"*a)*",'00 Encuesta'!$AQ$2:$AQ$511,"*e)*")</f>
        <v>0</v>
      </c>
      <c r="Q341" s="52">
        <f t="shared" si="616"/>
        <v>0</v>
      </c>
      <c r="R341" s="53">
        <f>COUNTIFS('00 Encuesta'!$B$2:$B$511,"*c)*",'00 Encuesta'!$C$2:$C$511,"*b)*",'00 Encuesta'!$E$2:$E$511,"*b)*",'00 Encuesta'!$AQ$2:$AQ$511,"*e)*")</f>
        <v>0</v>
      </c>
      <c r="S341" s="52">
        <f t="shared" si="617"/>
        <v>0</v>
      </c>
      <c r="T341" s="3"/>
      <c r="U341" s="51">
        <f t="shared" si="618"/>
        <v>1</v>
      </c>
      <c r="V341" s="52">
        <f t="shared" si="619"/>
        <v>2</v>
      </c>
      <c r="W341" s="53">
        <f>COUNTIFS('00 Encuesta'!$B$2:$B$511,"*c)*",'00 Encuesta'!$C$2:$C$511,"*d)*",'00 Encuesta'!$E$2:$E$511,"*a)*",'00 Encuesta'!$AQ$2:$AQ$511,"*e)*")</f>
        <v>1</v>
      </c>
      <c r="X341" s="52">
        <f t="shared" si="620"/>
        <v>3.7037037037037033</v>
      </c>
      <c r="Y341" s="53">
        <f>COUNTIFS('00 Encuesta'!$B$2:$B$511,"*c)*",'00 Encuesta'!$C$2:$C$511,"*d)*",'00 Encuesta'!$E$2:$E$511,"*b)*",'00 Encuesta'!$AQ$2:$AQ$511,"*e)*")</f>
        <v>0</v>
      </c>
      <c r="Z341" s="52">
        <f t="shared" si="621"/>
        <v>0</v>
      </c>
      <c r="AA341" s="3"/>
      <c r="AB341" s="62">
        <f t="shared" si="622"/>
        <v>1</v>
      </c>
      <c r="AC341" s="52">
        <f t="shared" si="623"/>
        <v>0.60240963855421692</v>
      </c>
      <c r="AD341" s="3"/>
      <c r="AE341" s="3"/>
      <c r="AF341" s="9" t="str">
        <f t="shared" si="624"/>
        <v>e) Muy mala</v>
      </c>
      <c r="AG341" s="72">
        <f t="shared" si="625"/>
        <v>0</v>
      </c>
      <c r="AH341" s="72">
        <f t="shared" si="626"/>
        <v>0</v>
      </c>
      <c r="AI341" s="73">
        <f t="shared" si="627"/>
        <v>0</v>
      </c>
      <c r="AJ341" s="73"/>
      <c r="AK341" s="76">
        <f t="shared" si="628"/>
        <v>0</v>
      </c>
      <c r="AL341" s="76">
        <f t="shared" si="629"/>
        <v>0</v>
      </c>
      <c r="AM341" s="76">
        <f t="shared" si="630"/>
        <v>0</v>
      </c>
      <c r="AN341" s="76"/>
      <c r="AO341" s="81">
        <f t="shared" si="631"/>
        <v>3.7037037037037033</v>
      </c>
      <c r="AP341" s="81">
        <f t="shared" si="632"/>
        <v>0</v>
      </c>
      <c r="AQ341" s="81">
        <f t="shared" si="633"/>
        <v>2</v>
      </c>
      <c r="AR341" s="3"/>
      <c r="AS341" s="76">
        <f t="shared" si="477"/>
        <v>0.60240963855421692</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x14ac:dyDescent="0.3">
      <c r="A342" s="8" t="s">
        <v>45</v>
      </c>
      <c r="B342" s="9" t="s">
        <v>233</v>
      </c>
      <c r="C342" s="7"/>
      <c r="D342" s="7"/>
      <c r="E342" s="7"/>
      <c r="F342" s="71"/>
      <c r="G342" s="51">
        <f t="shared" si="610"/>
        <v>1</v>
      </c>
      <c r="H342" s="52">
        <f t="shared" si="611"/>
        <v>1.5384615384615385</v>
      </c>
      <c r="I342" s="53">
        <f>COUNTIFS('00 Encuesta'!$B$2:$B$511,"*c)*",'00 Encuesta'!$C$2:$C$511,"*a)*",'00 Encuesta'!$E$2:$E$511,"*a)*",'00 Encuesta'!$AQ$2:$AQ$511,"*f)*")</f>
        <v>0</v>
      </c>
      <c r="J342" s="52">
        <f t="shared" si="612"/>
        <v>0</v>
      </c>
      <c r="K342" s="53">
        <f>COUNTIFS('00 Encuesta'!$B$2:$B$511,"*c)*",'00 Encuesta'!$C$2:$C$511,"*a)*",'00 Encuesta'!$E$2:$E$511,"*b)*",'00 Encuesta'!$AQ$2:$AQ$511,"*f)*")</f>
        <v>1</v>
      </c>
      <c r="L342" s="52">
        <f t="shared" si="613"/>
        <v>3.125</v>
      </c>
      <c r="M342" s="23"/>
      <c r="N342" s="51">
        <f t="shared" si="614"/>
        <v>2</v>
      </c>
      <c r="O342" s="52">
        <f t="shared" si="615"/>
        <v>3.9215686274509802</v>
      </c>
      <c r="P342" s="53">
        <f>COUNTIFS('00 Encuesta'!$B$2:$B$511,"*c)*",'00 Encuesta'!$C$2:$C$511,"*b)*",'00 Encuesta'!$E$2:$E$511,"*a)*",'00 Encuesta'!$AQ$2:$AQ$511,"*f)*")</f>
        <v>1</v>
      </c>
      <c r="Q342" s="52">
        <f t="shared" si="616"/>
        <v>3.5714285714285712</v>
      </c>
      <c r="R342" s="53">
        <f>COUNTIFS('00 Encuesta'!$B$2:$B$511,"*c)*",'00 Encuesta'!$C$2:$C$511,"*b)*",'00 Encuesta'!$E$2:$E$511,"*b)*",'00 Encuesta'!$AQ$2:$AQ$511,"*f)*")</f>
        <v>1</v>
      </c>
      <c r="S342" s="52">
        <f t="shared" si="617"/>
        <v>4.3478260869565215</v>
      </c>
      <c r="T342" s="3"/>
      <c r="U342" s="51">
        <f t="shared" si="618"/>
        <v>0</v>
      </c>
      <c r="V342" s="52">
        <f t="shared" si="619"/>
        <v>0</v>
      </c>
      <c r="W342" s="53">
        <f>COUNTIFS('00 Encuesta'!$B$2:$B$511,"*c)*",'00 Encuesta'!$C$2:$C$511,"*d)*",'00 Encuesta'!$E$2:$E$511,"*a)*",'00 Encuesta'!$AQ$2:$AQ$511,"*f)*")</f>
        <v>0</v>
      </c>
      <c r="X342" s="52">
        <f t="shared" si="620"/>
        <v>0</v>
      </c>
      <c r="Y342" s="53">
        <f>COUNTIFS('00 Encuesta'!$B$2:$B$511,"*c)*",'00 Encuesta'!$C$2:$C$511,"*d)*",'00 Encuesta'!$E$2:$E$511,"*b)*",'00 Encuesta'!$AQ$2:$AQ$511,"*f)*")</f>
        <v>0</v>
      </c>
      <c r="Z342" s="52">
        <f t="shared" si="621"/>
        <v>0</v>
      </c>
      <c r="AA342" s="3"/>
      <c r="AB342" s="62">
        <f t="shared" si="622"/>
        <v>3</v>
      </c>
      <c r="AC342" s="52">
        <f t="shared" si="623"/>
        <v>1.8072289156626506</v>
      </c>
      <c r="AD342" s="3"/>
      <c r="AE342" s="3"/>
      <c r="AF342" s="9" t="str">
        <f t="shared" si="624"/>
        <v>f) No aplica</v>
      </c>
      <c r="AG342" s="72">
        <f t="shared" si="625"/>
        <v>0</v>
      </c>
      <c r="AH342" s="72">
        <f t="shared" si="626"/>
        <v>3.125</v>
      </c>
      <c r="AI342" s="73">
        <f t="shared" si="627"/>
        <v>1.5384615384615385</v>
      </c>
      <c r="AJ342" s="73"/>
      <c r="AK342" s="76">
        <f t="shared" si="628"/>
        <v>3.5714285714285712</v>
      </c>
      <c r="AL342" s="76">
        <f t="shared" si="629"/>
        <v>4.3478260869565215</v>
      </c>
      <c r="AM342" s="76">
        <f t="shared" si="630"/>
        <v>3.9215686274509802</v>
      </c>
      <c r="AN342" s="76"/>
      <c r="AO342" s="81">
        <f t="shared" si="631"/>
        <v>0</v>
      </c>
      <c r="AP342" s="81">
        <f t="shared" si="632"/>
        <v>0</v>
      </c>
      <c r="AQ342" s="81">
        <f t="shared" si="633"/>
        <v>0</v>
      </c>
      <c r="AR342" s="3"/>
      <c r="AS342" s="76">
        <f t="shared" si="477"/>
        <v>1.8072289156626506</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x14ac:dyDescent="0.3">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80.645161290322577</v>
      </c>
      <c r="AH343" s="82">
        <f>($F337*K337+$F338*K338+$F339*K339+$F340*K340+$F341*K341)/(K337+K338+K339+K340+K341)</f>
        <v>80.833333333333329</v>
      </c>
      <c r="AI343" s="82">
        <f>($F337*G337+$F338*G338+$F339*G339+$F340*G340+$F341*G341)/(G337+G338+G339+G340+G341)</f>
        <v>80.73770491803279</v>
      </c>
      <c r="AJ343" s="82"/>
      <c r="AK343" s="82">
        <f>($F337*Q337+$F338*Q338+$F339*Q339+$F340*Q340+$F341*Q341)/(Q337+Q338+Q339+Q340+Q341)</f>
        <v>71.15384615384616</v>
      </c>
      <c r="AL343" s="82">
        <f>($F337*S337+$F338*S338+$F339*S339+$F340*S340+$F341*S341)/(S337+S338+S339+S340+S341)</f>
        <v>68.181818181818187</v>
      </c>
      <c r="AM343" s="82">
        <f>($F337*O337+$F338*O338+$F339*O339+$F340*O340+$F341*O341)/(O337+O338+O339+O340+O341)</f>
        <v>69.791666666666671</v>
      </c>
      <c r="AN343" s="82"/>
      <c r="AO343" s="82">
        <f>($F337*W337+$F338*W338+$F339*W339+$F340*W340+$F341*W341)/(W337+W338+W339+W340+W341)</f>
        <v>66.666666666666671</v>
      </c>
      <c r="AP343" s="82">
        <f>($F337*Y337+$F338*Y338+$F339*Y339+$F340*Y340+$F341*Y341)/(Y337+Y338+Y339+Y340+Y341)</f>
        <v>73.913043478260875</v>
      </c>
      <c r="AQ343" s="82">
        <f>($F337*U337+$F338*U338+$F339*U339+$F340*U340+$F341*U341)/(U337+U338+U339+U340+U341)</f>
        <v>70</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x14ac:dyDescent="0.3">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x14ac:dyDescent="0.3">
      <c r="A345" s="8" t="s">
        <v>17</v>
      </c>
      <c r="B345" s="9" t="s">
        <v>229</v>
      </c>
      <c r="C345" s="7"/>
      <c r="D345" s="7"/>
      <c r="E345" s="7"/>
      <c r="F345" s="71">
        <v>100</v>
      </c>
      <c r="G345" s="51">
        <f t="shared" ref="G345:G350" si="634">I345+K345</f>
        <v>37</v>
      </c>
      <c r="H345" s="52">
        <f t="shared" ref="H345:H350" si="635">G345/$J$5*100</f>
        <v>56.92307692307692</v>
      </c>
      <c r="I345" s="53">
        <f>COUNTIFS('00 Encuesta'!$B$2:$B$511,"*c)*",'00 Encuesta'!$C$2:$C$511,"*a)*",'00 Encuesta'!$E$2:$E$511,"*a)*",'00 Encuesta'!$AR$2:$AR$511,"*a)*")</f>
        <v>22</v>
      </c>
      <c r="J345" s="52">
        <f t="shared" ref="J345:J350" si="636">I345/$J$6*100</f>
        <v>66.666666666666657</v>
      </c>
      <c r="K345" s="53">
        <f>COUNTIFS('00 Encuesta'!$B$2:$B$511,"*c)*",'00 Encuesta'!$C$2:$C$511,"*a)*",'00 Encuesta'!$E$2:$E$511,"*b)*",'00 Encuesta'!$AR$2:$AR$511,"*a)*")</f>
        <v>15</v>
      </c>
      <c r="L345" s="52">
        <f t="shared" ref="L345:L350" si="637">K345/$J$7*100</f>
        <v>46.875</v>
      </c>
      <c r="M345" s="23"/>
      <c r="N345" s="51">
        <f t="shared" ref="N345:N350" si="638">P345+R345</f>
        <v>21</v>
      </c>
      <c r="O345" s="52">
        <f t="shared" ref="O345:O350" si="639">N345/$Q$5*100</f>
        <v>41.17647058823529</v>
      </c>
      <c r="P345" s="53">
        <f>COUNTIFS('00 Encuesta'!$B$2:$B$511,"*c)*",'00 Encuesta'!$C$2:$C$511,"*b)*",'00 Encuesta'!$E$2:$E$511,"*a)*",'00 Encuesta'!$AR$2:$AR$511,"*a)*")</f>
        <v>13</v>
      </c>
      <c r="Q345" s="52">
        <f t="shared" ref="Q345:Q350" si="640">P345/$Q$6*100</f>
        <v>46.428571428571431</v>
      </c>
      <c r="R345" s="53">
        <f>COUNTIFS('00 Encuesta'!$B$2:$B$511,"*c)*",'00 Encuesta'!$C$2:$C$511,"*b)*",'00 Encuesta'!$E$2:$E$511,"*b)*",'00 Encuesta'!$AR$2:$AR$511,"*a)*")</f>
        <v>8</v>
      </c>
      <c r="S345" s="52">
        <f t="shared" ref="S345:S350" si="641">R345/$Q$7*100</f>
        <v>34.782608695652172</v>
      </c>
      <c r="T345" s="3"/>
      <c r="U345" s="51">
        <f t="shared" ref="U345:U350" si="642">W345+Y345</f>
        <v>11</v>
      </c>
      <c r="V345" s="52">
        <f t="shared" ref="V345:V350" si="643">U345/$X$5*100</f>
        <v>22</v>
      </c>
      <c r="W345" s="53">
        <f>COUNTIFS('00 Encuesta'!$B$2:$B$511,"*c)*",'00 Encuesta'!$C$2:$C$511,"*d)*",'00 Encuesta'!$E$2:$E$511,"*a)*",'00 Encuesta'!$AR$2:$AR$511,"*a)*")</f>
        <v>6</v>
      </c>
      <c r="X345" s="52">
        <f t="shared" ref="X345:X350" si="644">W345/$X$6*100</f>
        <v>22.222222222222221</v>
      </c>
      <c r="Y345" s="53">
        <f>COUNTIFS('00 Encuesta'!$B$2:$B$511,"*c)*",'00 Encuesta'!$C$2:$C$511,"*d)*",'00 Encuesta'!$E$2:$E$511,"*b)*",'00 Encuesta'!$AR$2:$AR$511,"*a)*")</f>
        <v>5</v>
      </c>
      <c r="Z345" s="52">
        <f t="shared" ref="Z345:Z350" si="645">Y345/$X$7*100</f>
        <v>21.739130434782609</v>
      </c>
      <c r="AA345" s="3"/>
      <c r="AB345" s="62">
        <f t="shared" ref="AB345:AB350" si="646">G345+N345+U345</f>
        <v>69</v>
      </c>
      <c r="AC345" s="52">
        <f t="shared" ref="AC345:AC350" si="647">AB345*100/$AC$5</f>
        <v>41.566265060240966</v>
      </c>
      <c r="AD345" s="3"/>
      <c r="AE345" s="3"/>
      <c r="AF345" s="9" t="str">
        <f t="shared" ref="AF345:AF351" si="648">A345&amp;" "&amp;B345</f>
        <v>a) Muy buena</v>
      </c>
      <c r="AG345" s="72">
        <f t="shared" ref="AG345:AG350" si="649">J345</f>
        <v>66.666666666666657</v>
      </c>
      <c r="AH345" s="72">
        <f t="shared" ref="AH345:AH350" si="650">L345</f>
        <v>46.875</v>
      </c>
      <c r="AI345" s="73">
        <f t="shared" ref="AI345:AI350" si="651">H345</f>
        <v>56.92307692307692</v>
      </c>
      <c r="AJ345" s="73"/>
      <c r="AK345" s="76">
        <f t="shared" ref="AK345:AK350" si="652">Q345</f>
        <v>46.428571428571431</v>
      </c>
      <c r="AL345" s="76">
        <f t="shared" ref="AL345:AL350" si="653">S345</f>
        <v>34.782608695652172</v>
      </c>
      <c r="AM345" s="76">
        <f t="shared" ref="AM345:AM350" si="654">O345</f>
        <v>41.17647058823529</v>
      </c>
      <c r="AN345" s="76"/>
      <c r="AO345" s="81">
        <f t="shared" ref="AO345:AO350" si="655">X345</f>
        <v>22.222222222222221</v>
      </c>
      <c r="AP345" s="81">
        <f t="shared" ref="AP345:AP350" si="656">Z345</f>
        <v>21.739130434782609</v>
      </c>
      <c r="AQ345" s="81">
        <f t="shared" ref="AQ345:AQ350" si="657">V345</f>
        <v>22</v>
      </c>
      <c r="AR345" s="3"/>
      <c r="AS345" s="76">
        <f t="shared" ref="AS345:AS408" si="658">AC345</f>
        <v>41.566265060240966</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x14ac:dyDescent="0.3">
      <c r="A346" s="8" t="s">
        <v>18</v>
      </c>
      <c r="B346" s="9" t="s">
        <v>230</v>
      </c>
      <c r="C346" s="7"/>
      <c r="D346" s="7"/>
      <c r="E346" s="7"/>
      <c r="F346" s="71">
        <v>75</v>
      </c>
      <c r="G346" s="51">
        <f t="shared" si="634"/>
        <v>20</v>
      </c>
      <c r="H346" s="52">
        <f t="shared" si="635"/>
        <v>30.76923076923077</v>
      </c>
      <c r="I346" s="53">
        <f>COUNTIFS('00 Encuesta'!$B$2:$B$511,"*c)*",'00 Encuesta'!$C$2:$C$511,"*a)*",'00 Encuesta'!$E$2:$E$511,"*a)*",'00 Encuesta'!$AR$2:$AR$511,"*b)*")</f>
        <v>7</v>
      </c>
      <c r="J346" s="52">
        <f t="shared" si="636"/>
        <v>21.212121212121211</v>
      </c>
      <c r="K346" s="53">
        <f>COUNTIFS('00 Encuesta'!$B$2:$B$511,"*c)*",'00 Encuesta'!$C$2:$C$511,"*a)*",'00 Encuesta'!$E$2:$E$511,"*b)*",'00 Encuesta'!$AR$2:$AR$511,"*b)*")</f>
        <v>13</v>
      </c>
      <c r="L346" s="52">
        <f t="shared" si="637"/>
        <v>40.625</v>
      </c>
      <c r="M346" s="23"/>
      <c r="N346" s="51">
        <f t="shared" si="638"/>
        <v>16</v>
      </c>
      <c r="O346" s="52">
        <f t="shared" si="639"/>
        <v>31.372549019607842</v>
      </c>
      <c r="P346" s="53">
        <f>COUNTIFS('00 Encuesta'!$B$2:$B$511,"*c)*",'00 Encuesta'!$C$2:$C$511,"*b)*",'00 Encuesta'!$E$2:$E$511,"*a)*",'00 Encuesta'!$AR$2:$AR$511,"*b)*")</f>
        <v>8</v>
      </c>
      <c r="Q346" s="52">
        <f t="shared" si="640"/>
        <v>28.571428571428569</v>
      </c>
      <c r="R346" s="53">
        <f>COUNTIFS('00 Encuesta'!$B$2:$B$511,"*c)*",'00 Encuesta'!$C$2:$C$511,"*b)*",'00 Encuesta'!$E$2:$E$511,"*b)*",'00 Encuesta'!$AR$2:$AR$511,"*b)*")</f>
        <v>8</v>
      </c>
      <c r="S346" s="52">
        <f t="shared" si="641"/>
        <v>34.782608695652172</v>
      </c>
      <c r="T346" s="3"/>
      <c r="U346" s="51">
        <f t="shared" si="642"/>
        <v>18</v>
      </c>
      <c r="V346" s="52">
        <f t="shared" si="643"/>
        <v>36</v>
      </c>
      <c r="W346" s="53">
        <f>COUNTIFS('00 Encuesta'!$B$2:$B$511,"*c)*",'00 Encuesta'!$C$2:$C$511,"*d)*",'00 Encuesta'!$E$2:$E$511,"*a)*",'00 Encuesta'!$AR$2:$AR$511,"*b)*")</f>
        <v>8</v>
      </c>
      <c r="X346" s="52">
        <f t="shared" si="644"/>
        <v>29.629629629629626</v>
      </c>
      <c r="Y346" s="53">
        <f>COUNTIFS('00 Encuesta'!$B$2:$B$511,"*c)*",'00 Encuesta'!$C$2:$C$511,"*d)*",'00 Encuesta'!$E$2:$E$511,"*b)*",'00 Encuesta'!$AR$2:$AR$511,"*b)*")</f>
        <v>10</v>
      </c>
      <c r="Z346" s="52">
        <f t="shared" si="645"/>
        <v>43.478260869565219</v>
      </c>
      <c r="AA346" s="3"/>
      <c r="AB346" s="62">
        <f t="shared" si="646"/>
        <v>54</v>
      </c>
      <c r="AC346" s="52">
        <f t="shared" si="647"/>
        <v>32.53012048192771</v>
      </c>
      <c r="AD346" s="3"/>
      <c r="AE346" s="3"/>
      <c r="AF346" s="9" t="str">
        <f t="shared" si="648"/>
        <v>b) Buena</v>
      </c>
      <c r="AG346" s="72">
        <f t="shared" si="649"/>
        <v>21.212121212121211</v>
      </c>
      <c r="AH346" s="72">
        <f t="shared" si="650"/>
        <v>40.625</v>
      </c>
      <c r="AI346" s="73">
        <f t="shared" si="651"/>
        <v>30.76923076923077</v>
      </c>
      <c r="AJ346" s="73"/>
      <c r="AK346" s="76">
        <f t="shared" si="652"/>
        <v>28.571428571428569</v>
      </c>
      <c r="AL346" s="76">
        <f t="shared" si="653"/>
        <v>34.782608695652172</v>
      </c>
      <c r="AM346" s="76">
        <f t="shared" si="654"/>
        <v>31.372549019607842</v>
      </c>
      <c r="AN346" s="76"/>
      <c r="AO346" s="81">
        <f t="shared" si="655"/>
        <v>29.629629629629626</v>
      </c>
      <c r="AP346" s="81">
        <f t="shared" si="656"/>
        <v>43.478260869565219</v>
      </c>
      <c r="AQ346" s="81">
        <f t="shared" si="657"/>
        <v>36</v>
      </c>
      <c r="AR346" s="3"/>
      <c r="AS346" s="76">
        <f t="shared" si="658"/>
        <v>32.53012048192771</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x14ac:dyDescent="0.3">
      <c r="A347" s="8" t="s">
        <v>20</v>
      </c>
      <c r="B347" s="9" t="s">
        <v>218</v>
      </c>
      <c r="C347" s="7"/>
      <c r="D347" s="7"/>
      <c r="E347" s="7"/>
      <c r="F347" s="71">
        <v>50</v>
      </c>
      <c r="G347" s="51">
        <f t="shared" si="634"/>
        <v>2</v>
      </c>
      <c r="H347" s="52">
        <f t="shared" si="635"/>
        <v>3.0769230769230771</v>
      </c>
      <c r="I347" s="53">
        <f>COUNTIFS('00 Encuesta'!$B$2:$B$511,"*c)*",'00 Encuesta'!$C$2:$C$511,"*a)*",'00 Encuesta'!$E$2:$E$511,"*a)*",'00 Encuesta'!$AR$2:$AR$511,"*c)*")</f>
        <v>2</v>
      </c>
      <c r="J347" s="52">
        <f t="shared" si="636"/>
        <v>6.0606060606060606</v>
      </c>
      <c r="K347" s="53">
        <f>COUNTIFS('00 Encuesta'!$B$2:$B$511,"*c)*",'00 Encuesta'!$C$2:$C$511,"*a)*",'00 Encuesta'!$E$2:$E$511,"*b)*",'00 Encuesta'!$AR$2:$AR$511,"*c)*")</f>
        <v>0</v>
      </c>
      <c r="L347" s="52">
        <f t="shared" si="637"/>
        <v>0</v>
      </c>
      <c r="M347" s="23"/>
      <c r="N347" s="51">
        <f t="shared" si="638"/>
        <v>8</v>
      </c>
      <c r="O347" s="52">
        <f t="shared" si="639"/>
        <v>15.686274509803921</v>
      </c>
      <c r="P347" s="53">
        <f>COUNTIFS('00 Encuesta'!$B$2:$B$511,"*c)*",'00 Encuesta'!$C$2:$C$511,"*b)*",'00 Encuesta'!$E$2:$E$511,"*a)*",'00 Encuesta'!$AR$2:$AR$511,"*c)*")</f>
        <v>4</v>
      </c>
      <c r="Q347" s="52">
        <f t="shared" si="640"/>
        <v>14.285714285714285</v>
      </c>
      <c r="R347" s="53">
        <f>COUNTIFS('00 Encuesta'!$B$2:$B$511,"*c)*",'00 Encuesta'!$C$2:$C$511,"*b)*",'00 Encuesta'!$E$2:$E$511,"*b)*",'00 Encuesta'!$AR$2:$AR$511,"*c)*")</f>
        <v>4</v>
      </c>
      <c r="S347" s="52">
        <f t="shared" si="641"/>
        <v>17.391304347826086</v>
      </c>
      <c r="T347" s="3"/>
      <c r="U347" s="51">
        <f t="shared" si="642"/>
        <v>15</v>
      </c>
      <c r="V347" s="52">
        <f t="shared" si="643"/>
        <v>30</v>
      </c>
      <c r="W347" s="53">
        <f>COUNTIFS('00 Encuesta'!$B$2:$B$511,"*c)*",'00 Encuesta'!$C$2:$C$511,"*d)*",'00 Encuesta'!$E$2:$E$511,"*a)*",'00 Encuesta'!$AR$2:$AR$511,"*c)*")</f>
        <v>9</v>
      </c>
      <c r="X347" s="52">
        <f t="shared" si="644"/>
        <v>33.333333333333329</v>
      </c>
      <c r="Y347" s="53">
        <f>COUNTIFS('00 Encuesta'!$B$2:$B$511,"*c)*",'00 Encuesta'!$C$2:$C$511,"*d)*",'00 Encuesta'!$E$2:$E$511,"*b)*",'00 Encuesta'!$AR$2:$AR$511,"*c)*")</f>
        <v>6</v>
      </c>
      <c r="Z347" s="52">
        <f t="shared" si="645"/>
        <v>26.086956521739129</v>
      </c>
      <c r="AA347" s="3"/>
      <c r="AB347" s="62">
        <f t="shared" si="646"/>
        <v>25</v>
      </c>
      <c r="AC347" s="52">
        <f t="shared" si="647"/>
        <v>15.060240963855422</v>
      </c>
      <c r="AD347" s="3"/>
      <c r="AE347" s="3"/>
      <c r="AF347" s="9" t="str">
        <f t="shared" si="648"/>
        <v>c) Regular</v>
      </c>
      <c r="AG347" s="72">
        <f t="shared" si="649"/>
        <v>6.0606060606060606</v>
      </c>
      <c r="AH347" s="72">
        <f t="shared" si="650"/>
        <v>0</v>
      </c>
      <c r="AI347" s="73">
        <f t="shared" si="651"/>
        <v>3.0769230769230771</v>
      </c>
      <c r="AJ347" s="73"/>
      <c r="AK347" s="76">
        <f t="shared" si="652"/>
        <v>14.285714285714285</v>
      </c>
      <c r="AL347" s="76">
        <f t="shared" si="653"/>
        <v>17.391304347826086</v>
      </c>
      <c r="AM347" s="76">
        <f t="shared" si="654"/>
        <v>15.686274509803921</v>
      </c>
      <c r="AN347" s="76"/>
      <c r="AO347" s="81">
        <f t="shared" si="655"/>
        <v>33.333333333333329</v>
      </c>
      <c r="AP347" s="81">
        <f t="shared" si="656"/>
        <v>26.086956521739129</v>
      </c>
      <c r="AQ347" s="81">
        <f t="shared" si="657"/>
        <v>30</v>
      </c>
      <c r="AR347" s="3"/>
      <c r="AS347" s="76">
        <f t="shared" si="658"/>
        <v>15.060240963855422</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x14ac:dyDescent="0.3">
      <c r="A348" s="8" t="s">
        <v>21</v>
      </c>
      <c r="B348" s="9" t="s">
        <v>231</v>
      </c>
      <c r="C348" s="7"/>
      <c r="D348" s="7"/>
      <c r="E348" s="7"/>
      <c r="F348" s="71">
        <v>25</v>
      </c>
      <c r="G348" s="51">
        <f t="shared" si="634"/>
        <v>0</v>
      </c>
      <c r="H348" s="52">
        <f t="shared" si="635"/>
        <v>0</v>
      </c>
      <c r="I348" s="53">
        <f>COUNTIFS('00 Encuesta'!$B$2:$B$511,"*c)*",'00 Encuesta'!$C$2:$C$511,"*a)*",'00 Encuesta'!$E$2:$E$511,"*a)*",'00 Encuesta'!$AR$2:$AR$511,"*d)*")</f>
        <v>0</v>
      </c>
      <c r="J348" s="52">
        <f t="shared" si="636"/>
        <v>0</v>
      </c>
      <c r="K348" s="53">
        <f>COUNTIFS('00 Encuesta'!$B$2:$B$511,"*c)*",'00 Encuesta'!$C$2:$C$511,"*a)*",'00 Encuesta'!$E$2:$E$511,"*b)*",'00 Encuesta'!$AR$2:$AR$511,"*d)*")</f>
        <v>0</v>
      </c>
      <c r="L348" s="52">
        <f t="shared" si="637"/>
        <v>0</v>
      </c>
      <c r="M348" s="23"/>
      <c r="N348" s="51">
        <f t="shared" si="638"/>
        <v>4</v>
      </c>
      <c r="O348" s="52">
        <f t="shared" si="639"/>
        <v>7.8431372549019605</v>
      </c>
      <c r="P348" s="53">
        <f>COUNTIFS('00 Encuesta'!$B$2:$B$511,"*c)*",'00 Encuesta'!$C$2:$C$511,"*b)*",'00 Encuesta'!$E$2:$E$511,"*a)*",'00 Encuesta'!$AR$2:$AR$511,"*d)*")</f>
        <v>1</v>
      </c>
      <c r="Q348" s="52">
        <f t="shared" si="640"/>
        <v>3.5714285714285712</v>
      </c>
      <c r="R348" s="53">
        <f>COUNTIFS('00 Encuesta'!$B$2:$B$511,"*c)*",'00 Encuesta'!$C$2:$C$511,"*b)*",'00 Encuesta'!$E$2:$E$511,"*b)*",'00 Encuesta'!$AR$2:$AR$511,"*d)*")</f>
        <v>3</v>
      </c>
      <c r="S348" s="52">
        <f t="shared" si="641"/>
        <v>13.043478260869565</v>
      </c>
      <c r="T348" s="3"/>
      <c r="U348" s="51">
        <f t="shared" si="642"/>
        <v>3</v>
      </c>
      <c r="V348" s="52">
        <f t="shared" si="643"/>
        <v>6</v>
      </c>
      <c r="W348" s="53">
        <f>COUNTIFS('00 Encuesta'!$B$2:$B$511,"*c)*",'00 Encuesta'!$C$2:$C$511,"*d)*",'00 Encuesta'!$E$2:$E$511,"*a)*",'00 Encuesta'!$AR$2:$AR$511,"*d)*")</f>
        <v>3</v>
      </c>
      <c r="X348" s="52">
        <f t="shared" si="644"/>
        <v>11.111111111111111</v>
      </c>
      <c r="Y348" s="53">
        <f>COUNTIFS('00 Encuesta'!$B$2:$B$511,"*c)*",'00 Encuesta'!$C$2:$C$511,"*d)*",'00 Encuesta'!$E$2:$E$511,"*b)*",'00 Encuesta'!$AR$2:$AR$511,"*d)*")</f>
        <v>0</v>
      </c>
      <c r="Z348" s="52">
        <f t="shared" si="645"/>
        <v>0</v>
      </c>
      <c r="AA348" s="3"/>
      <c r="AB348" s="62">
        <f t="shared" si="646"/>
        <v>7</v>
      </c>
      <c r="AC348" s="52">
        <f t="shared" si="647"/>
        <v>4.2168674698795181</v>
      </c>
      <c r="AD348" s="3"/>
      <c r="AE348" s="3"/>
      <c r="AF348" s="9" t="str">
        <f t="shared" si="648"/>
        <v>d) Mala</v>
      </c>
      <c r="AG348" s="72">
        <f t="shared" si="649"/>
        <v>0</v>
      </c>
      <c r="AH348" s="72">
        <f t="shared" si="650"/>
        <v>0</v>
      </c>
      <c r="AI348" s="73">
        <f t="shared" si="651"/>
        <v>0</v>
      </c>
      <c r="AJ348" s="73"/>
      <c r="AK348" s="76">
        <f t="shared" si="652"/>
        <v>3.5714285714285712</v>
      </c>
      <c r="AL348" s="76">
        <f t="shared" si="653"/>
        <v>13.043478260869565</v>
      </c>
      <c r="AM348" s="76">
        <f t="shared" si="654"/>
        <v>7.8431372549019605</v>
      </c>
      <c r="AN348" s="76"/>
      <c r="AO348" s="81">
        <f t="shared" si="655"/>
        <v>11.111111111111111</v>
      </c>
      <c r="AP348" s="81">
        <f t="shared" si="656"/>
        <v>0</v>
      </c>
      <c r="AQ348" s="81">
        <f t="shared" si="657"/>
        <v>6</v>
      </c>
      <c r="AR348" s="3"/>
      <c r="AS348" s="76">
        <f t="shared" si="658"/>
        <v>4.2168674698795181</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x14ac:dyDescent="0.3">
      <c r="A349" s="8" t="s">
        <v>22</v>
      </c>
      <c r="B349" s="9" t="s">
        <v>232</v>
      </c>
      <c r="C349" s="7"/>
      <c r="D349" s="7"/>
      <c r="E349" s="7"/>
      <c r="F349" s="71">
        <v>0</v>
      </c>
      <c r="G349" s="51">
        <f t="shared" si="634"/>
        <v>0</v>
      </c>
      <c r="H349" s="52">
        <f t="shared" si="635"/>
        <v>0</v>
      </c>
      <c r="I349" s="53">
        <f>COUNTIFS('00 Encuesta'!$B$2:$B$511,"*c)*",'00 Encuesta'!$C$2:$C$511,"*a)*",'00 Encuesta'!$E$2:$E$511,"*a)*",'00 Encuesta'!$AR$2:$AR$511,"*e)*")</f>
        <v>0</v>
      </c>
      <c r="J349" s="52">
        <f t="shared" si="636"/>
        <v>0</v>
      </c>
      <c r="K349" s="53">
        <f>COUNTIFS('00 Encuesta'!$B$2:$B$511,"*c)*",'00 Encuesta'!$C$2:$C$511,"*a)*",'00 Encuesta'!$E$2:$E$511,"*b)*",'00 Encuesta'!$AR$2:$AR$511,"*e)*")</f>
        <v>0</v>
      </c>
      <c r="L349" s="52">
        <f t="shared" si="637"/>
        <v>0</v>
      </c>
      <c r="M349" s="23"/>
      <c r="N349" s="51">
        <f t="shared" si="638"/>
        <v>0</v>
      </c>
      <c r="O349" s="52">
        <f t="shared" si="639"/>
        <v>0</v>
      </c>
      <c r="P349" s="53">
        <f>COUNTIFS('00 Encuesta'!$B$2:$B$511,"*c)*",'00 Encuesta'!$C$2:$C$511,"*b)*",'00 Encuesta'!$E$2:$E$511,"*a)*",'00 Encuesta'!$AR$2:$AR$511,"*e)*")</f>
        <v>0</v>
      </c>
      <c r="Q349" s="52">
        <f t="shared" si="640"/>
        <v>0</v>
      </c>
      <c r="R349" s="53">
        <f>COUNTIFS('00 Encuesta'!$B$2:$B$511,"*c)*",'00 Encuesta'!$C$2:$C$511,"*b)*",'00 Encuesta'!$E$2:$E$511,"*b)*",'00 Encuesta'!$AR$2:$AR$511,"*e)*")</f>
        <v>0</v>
      </c>
      <c r="S349" s="52">
        <f t="shared" si="641"/>
        <v>0</v>
      </c>
      <c r="T349" s="3"/>
      <c r="U349" s="51">
        <f t="shared" si="642"/>
        <v>2</v>
      </c>
      <c r="V349" s="52">
        <f t="shared" si="643"/>
        <v>4</v>
      </c>
      <c r="W349" s="53">
        <f>COUNTIFS('00 Encuesta'!$B$2:$B$511,"*c)*",'00 Encuesta'!$C$2:$C$511,"*d)*",'00 Encuesta'!$E$2:$E$511,"*a)*",'00 Encuesta'!$AR$2:$AR$511,"*e)*")</f>
        <v>1</v>
      </c>
      <c r="X349" s="52">
        <f t="shared" si="644"/>
        <v>3.7037037037037033</v>
      </c>
      <c r="Y349" s="53">
        <f>COUNTIFS('00 Encuesta'!$B$2:$B$511,"*c)*",'00 Encuesta'!$C$2:$C$511,"*d)*",'00 Encuesta'!$E$2:$E$511,"*b)*",'00 Encuesta'!$AR$2:$AR$511,"*e)*")</f>
        <v>1</v>
      </c>
      <c r="Z349" s="52">
        <f t="shared" si="645"/>
        <v>4.3478260869565215</v>
      </c>
      <c r="AA349" s="3"/>
      <c r="AB349" s="62">
        <f t="shared" si="646"/>
        <v>2</v>
      </c>
      <c r="AC349" s="52">
        <f t="shared" si="647"/>
        <v>1.2048192771084338</v>
      </c>
      <c r="AD349" s="3"/>
      <c r="AE349" s="3"/>
      <c r="AF349" s="9" t="str">
        <f t="shared" si="648"/>
        <v>e) Muy mala</v>
      </c>
      <c r="AG349" s="72">
        <f t="shared" si="649"/>
        <v>0</v>
      </c>
      <c r="AH349" s="72">
        <f t="shared" si="650"/>
        <v>0</v>
      </c>
      <c r="AI349" s="73">
        <f t="shared" si="651"/>
        <v>0</v>
      </c>
      <c r="AJ349" s="73"/>
      <c r="AK349" s="76">
        <f t="shared" si="652"/>
        <v>0</v>
      </c>
      <c r="AL349" s="76">
        <f t="shared" si="653"/>
        <v>0</v>
      </c>
      <c r="AM349" s="76">
        <f t="shared" si="654"/>
        <v>0</v>
      </c>
      <c r="AN349" s="76"/>
      <c r="AO349" s="81">
        <f t="shared" si="655"/>
        <v>3.7037037037037033</v>
      </c>
      <c r="AP349" s="81">
        <f t="shared" si="656"/>
        <v>4.3478260869565215</v>
      </c>
      <c r="AQ349" s="81">
        <f t="shared" si="657"/>
        <v>4</v>
      </c>
      <c r="AR349" s="3"/>
      <c r="AS349" s="76">
        <f t="shared" si="658"/>
        <v>1.2048192771084338</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x14ac:dyDescent="0.3">
      <c r="A350" s="8" t="s">
        <v>45</v>
      </c>
      <c r="B350" s="9" t="s">
        <v>233</v>
      </c>
      <c r="C350" s="7"/>
      <c r="D350" s="7"/>
      <c r="E350" s="7"/>
      <c r="F350" s="71"/>
      <c r="G350" s="51">
        <f t="shared" si="634"/>
        <v>1</v>
      </c>
      <c r="H350" s="52">
        <f t="shared" si="635"/>
        <v>1.5384615384615385</v>
      </c>
      <c r="I350" s="53">
        <f>COUNTIFS('00 Encuesta'!$B$2:$B$511,"*c)*",'00 Encuesta'!$C$2:$C$511,"*a)*",'00 Encuesta'!$E$2:$E$511,"*a)*",'00 Encuesta'!$AR$2:$AR$511,"*f)*")</f>
        <v>0</v>
      </c>
      <c r="J350" s="52">
        <f t="shared" si="636"/>
        <v>0</v>
      </c>
      <c r="K350" s="53">
        <f>COUNTIFS('00 Encuesta'!$B$2:$B$511,"*c)*",'00 Encuesta'!$C$2:$C$511,"*a)*",'00 Encuesta'!$E$2:$E$511,"*b)*",'00 Encuesta'!$AR$2:$AR$511,"*f)*")</f>
        <v>1</v>
      </c>
      <c r="L350" s="52">
        <f t="shared" si="637"/>
        <v>3.125</v>
      </c>
      <c r="M350" s="23"/>
      <c r="N350" s="51">
        <f t="shared" si="638"/>
        <v>1</v>
      </c>
      <c r="O350" s="52">
        <f t="shared" si="639"/>
        <v>1.9607843137254901</v>
      </c>
      <c r="P350" s="53">
        <f>COUNTIFS('00 Encuesta'!$B$2:$B$511,"*c)*",'00 Encuesta'!$C$2:$C$511,"*b)*",'00 Encuesta'!$E$2:$E$511,"*a)*",'00 Encuesta'!$AR$2:$AR$511,"*f)*")</f>
        <v>1</v>
      </c>
      <c r="Q350" s="52">
        <f t="shared" si="640"/>
        <v>3.5714285714285712</v>
      </c>
      <c r="R350" s="53">
        <f>COUNTIFS('00 Encuesta'!$B$2:$B$511,"*c)*",'00 Encuesta'!$C$2:$C$511,"*b)*",'00 Encuesta'!$E$2:$E$511,"*b)*",'00 Encuesta'!$AR$2:$AR$511,"*f)*")</f>
        <v>0</v>
      </c>
      <c r="S350" s="52">
        <f t="shared" si="641"/>
        <v>0</v>
      </c>
      <c r="T350" s="3"/>
      <c r="U350" s="51">
        <f t="shared" si="642"/>
        <v>0</v>
      </c>
      <c r="V350" s="52">
        <f t="shared" si="643"/>
        <v>0</v>
      </c>
      <c r="W350" s="53">
        <f>COUNTIFS('00 Encuesta'!$B$2:$B$511,"*c)*",'00 Encuesta'!$C$2:$C$511,"*d)*",'00 Encuesta'!$E$2:$E$511,"*a)*",'00 Encuesta'!$AR$2:$AR$511,"*f)*")</f>
        <v>0</v>
      </c>
      <c r="X350" s="52">
        <f t="shared" si="644"/>
        <v>0</v>
      </c>
      <c r="Y350" s="53">
        <f>COUNTIFS('00 Encuesta'!$B$2:$B$511,"*c)*",'00 Encuesta'!$C$2:$C$511,"*d)*",'00 Encuesta'!$E$2:$E$511,"*b)*",'00 Encuesta'!$AR$2:$AR$511,"*f)*")</f>
        <v>0</v>
      </c>
      <c r="Z350" s="52">
        <f t="shared" si="645"/>
        <v>0</v>
      </c>
      <c r="AA350" s="3"/>
      <c r="AB350" s="62">
        <f t="shared" si="646"/>
        <v>2</v>
      </c>
      <c r="AC350" s="52">
        <f t="shared" si="647"/>
        <v>1.2048192771084338</v>
      </c>
      <c r="AD350" s="3"/>
      <c r="AE350" s="3"/>
      <c r="AF350" s="9" t="str">
        <f t="shared" si="648"/>
        <v>f) No aplica</v>
      </c>
      <c r="AG350" s="72">
        <f t="shared" si="649"/>
        <v>0</v>
      </c>
      <c r="AH350" s="72">
        <f t="shared" si="650"/>
        <v>3.125</v>
      </c>
      <c r="AI350" s="73">
        <f t="shared" si="651"/>
        <v>1.5384615384615385</v>
      </c>
      <c r="AJ350" s="73"/>
      <c r="AK350" s="76">
        <f t="shared" si="652"/>
        <v>3.5714285714285712</v>
      </c>
      <c r="AL350" s="76">
        <f t="shared" si="653"/>
        <v>0</v>
      </c>
      <c r="AM350" s="76">
        <f t="shared" si="654"/>
        <v>1.9607843137254901</v>
      </c>
      <c r="AN350" s="76"/>
      <c r="AO350" s="81">
        <f t="shared" si="655"/>
        <v>0</v>
      </c>
      <c r="AP350" s="81">
        <f t="shared" si="656"/>
        <v>0</v>
      </c>
      <c r="AQ350" s="81">
        <f t="shared" si="657"/>
        <v>0</v>
      </c>
      <c r="AR350" s="3"/>
      <c r="AS350" s="76">
        <f t="shared" si="658"/>
        <v>1.2048192771084338</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x14ac:dyDescent="0.3">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648"/>
        <v xml:space="preserve"> </v>
      </c>
      <c r="AG351" s="82">
        <f>($F345*I345+$F346*I346+$F347*I347+$F348*I348+$F349*I349)/(I345+I346+I347+I348+I349)</f>
        <v>91.129032258064512</v>
      </c>
      <c r="AH351" s="82">
        <f>($F345*K345+$F346*K346+$F347*K347+$F348*K348+$F349*K349)/(K345+K346+K347+K348+K349)</f>
        <v>88.392857142857139</v>
      </c>
      <c r="AI351" s="82">
        <f>($F345*G345+$F346*G346+$F347*G347+$F348*G348+$F349*G349)/(G345+G346+G347+G348+G349)</f>
        <v>89.830508474576277</v>
      </c>
      <c r="AJ351" s="82"/>
      <c r="AK351" s="82">
        <f>($F345*Q345+$F346*Q346+$F347*Q347+$F348*Q348+$F349*Q349)/(Q345+Q346+Q347+Q348+Q349)</f>
        <v>81.730769230769241</v>
      </c>
      <c r="AL351" s="82">
        <f>($F345*S345+$F346*S346+$F347*S347+$F348*S348+$F349*S349)/(S345+S346+S347+S348+S349)</f>
        <v>72.826086956521735</v>
      </c>
      <c r="AM351" s="82">
        <f>($F345*O345+$F346*O346+$F347*O347+$F348*O348+$F349*O349)/(O345+O346+O347+O348+O349)</f>
        <v>77.551020408163254</v>
      </c>
      <c r="AN351" s="82"/>
      <c r="AO351" s="82">
        <f>($F345*W345+$F346*W346+$F347*W347+$F348*W348+$F349*W349)/(W345+W346+W347+W348+W349)</f>
        <v>63.888888888888886</v>
      </c>
      <c r="AP351" s="82">
        <f>($F345*Y345+$F346*Y346+$F347*Y347+$F348*Y348+$F349*Y349)/(Y345+Y346+Y347+Y348+Y349)</f>
        <v>70.454545454545453</v>
      </c>
      <c r="AQ351" s="82">
        <f>($F345*U345+$F346*U346+$F347*U347+$F348*U348+$F349*U349)/(U345+U346+U347+U348+U349)</f>
        <v>66.836734693877546</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x14ac:dyDescent="0.3">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x14ac:dyDescent="0.3">
      <c r="A353" s="8" t="s">
        <v>17</v>
      </c>
      <c r="B353" s="9" t="s">
        <v>229</v>
      </c>
      <c r="C353" s="7"/>
      <c r="D353" s="7"/>
      <c r="E353" s="7"/>
      <c r="F353" s="71">
        <v>100</v>
      </c>
      <c r="G353" s="51">
        <f t="shared" ref="G353:G358" si="659">I353+K353</f>
        <v>31</v>
      </c>
      <c r="H353" s="52">
        <f t="shared" ref="H353:H358" si="660">G353/$J$5*100</f>
        <v>47.692307692307693</v>
      </c>
      <c r="I353" s="53">
        <f>COUNTIFS('00 Encuesta'!$B$2:$B$511,"*c)*",'00 Encuesta'!$C$2:$C$511,"*a)*",'00 Encuesta'!$E$2:$E$511,"*a)*",'00 Encuesta'!$AS$2:$AS$511,"*a)*")</f>
        <v>15</v>
      </c>
      <c r="J353" s="52">
        <f t="shared" ref="J353:J358" si="661">I353/$J$6*100</f>
        <v>45.454545454545453</v>
      </c>
      <c r="K353" s="53">
        <f>COUNTIFS('00 Encuesta'!$B$2:$B$511,"*c)*",'00 Encuesta'!$C$2:$C$511,"*a)*",'00 Encuesta'!$E$2:$E$511,"*b)*",'00 Encuesta'!$AS$2:$AS$511,"*a)*")</f>
        <v>16</v>
      </c>
      <c r="L353" s="52">
        <f t="shared" ref="L353:L358" si="662">K353/$J$7*100</f>
        <v>50</v>
      </c>
      <c r="M353" s="23"/>
      <c r="N353" s="51">
        <f t="shared" ref="N353:N358" si="663">P353+R353</f>
        <v>11</v>
      </c>
      <c r="O353" s="52">
        <f t="shared" ref="O353:O358" si="664">N353/$Q$5*100</f>
        <v>21.568627450980394</v>
      </c>
      <c r="P353" s="53">
        <f>COUNTIFS('00 Encuesta'!$B$2:$B$511,"*c)*",'00 Encuesta'!$C$2:$C$511,"*b)*",'00 Encuesta'!$E$2:$E$511,"*a)*",'00 Encuesta'!$AS$2:$AS$511,"*a)*")</f>
        <v>8</v>
      </c>
      <c r="Q353" s="52">
        <f>P353/$Q$6*100</f>
        <v>28.571428571428569</v>
      </c>
      <c r="R353" s="53">
        <f>COUNTIFS('00 Encuesta'!$B$2:$B$511,"*c)*",'00 Encuesta'!$C$2:$C$511,"*b)*",'00 Encuesta'!$E$2:$E$511,"*b)*",'00 Encuesta'!$AS$2:$AS$511,"*a)*")</f>
        <v>3</v>
      </c>
      <c r="S353" s="52">
        <f t="shared" ref="S353:S358" si="665">R353/$Q$7*100</f>
        <v>13.043478260869565</v>
      </c>
      <c r="T353" s="3"/>
      <c r="U353" s="51">
        <f t="shared" ref="U353:U358" si="666">W353+Y353</f>
        <v>5</v>
      </c>
      <c r="V353" s="52">
        <f t="shared" ref="V353:V358" si="667">U353/$X$5*100</f>
        <v>10</v>
      </c>
      <c r="W353" s="53">
        <f>COUNTIFS('00 Encuesta'!$B$2:$B$511,"*c)*",'00 Encuesta'!$C$2:$C$511,"*d)*",'00 Encuesta'!$E$2:$E$511,"*a)*",'00 Encuesta'!$AS$2:$AS$511,"*a)*")</f>
        <v>3</v>
      </c>
      <c r="X353" s="52">
        <f t="shared" ref="X353:X358" si="668">W353/$X$6*100</f>
        <v>11.111111111111111</v>
      </c>
      <c r="Y353" s="53">
        <f>COUNTIFS('00 Encuesta'!$B$2:$B$511,"*c)*",'00 Encuesta'!$C$2:$C$511,"*d)*",'00 Encuesta'!$E$2:$E$511,"*b)*",'00 Encuesta'!$AS$2:$AS$511,"*a)*")</f>
        <v>2</v>
      </c>
      <c r="Z353" s="52">
        <f t="shared" ref="Z353:Z358" si="669">Y353/$X$7*100</f>
        <v>8.695652173913043</v>
      </c>
      <c r="AA353" s="3"/>
      <c r="AB353" s="62">
        <f t="shared" ref="AB353:AB358" si="670">G353+N353+U353</f>
        <v>47</v>
      </c>
      <c r="AC353" s="52">
        <f t="shared" ref="AC353:AC358" si="671">AB353*100/$AC$5</f>
        <v>28.313253012048193</v>
      </c>
      <c r="AD353" s="3"/>
      <c r="AE353" s="3"/>
      <c r="AF353" s="9" t="str">
        <f t="shared" ref="AF353:AF358" si="672">A353&amp;" "&amp;B353</f>
        <v>a) Muy buena</v>
      </c>
      <c r="AG353" s="72">
        <f t="shared" ref="AG353:AG358" si="673">J353</f>
        <v>45.454545454545453</v>
      </c>
      <c r="AH353" s="72">
        <f t="shared" ref="AH353:AH358" si="674">L353</f>
        <v>50</v>
      </c>
      <c r="AI353" s="73">
        <f t="shared" ref="AI353:AI358" si="675">H353</f>
        <v>47.692307692307693</v>
      </c>
      <c r="AJ353" s="73"/>
      <c r="AK353" s="76">
        <f>Q353</f>
        <v>28.571428571428569</v>
      </c>
      <c r="AL353" s="76">
        <f t="shared" ref="AL353:AL358" si="676">S353</f>
        <v>13.043478260869565</v>
      </c>
      <c r="AM353" s="76">
        <f t="shared" ref="AM353:AM358" si="677">O353</f>
        <v>21.568627450980394</v>
      </c>
      <c r="AN353" s="76"/>
      <c r="AO353" s="81">
        <f t="shared" ref="AO353:AO358" si="678">X353</f>
        <v>11.111111111111111</v>
      </c>
      <c r="AP353" s="81">
        <f t="shared" ref="AP353:AP358" si="679">Z353</f>
        <v>8.695652173913043</v>
      </c>
      <c r="AQ353" s="81">
        <f t="shared" ref="AQ353:AQ358" si="680">V353</f>
        <v>10</v>
      </c>
      <c r="AR353" s="3"/>
      <c r="AS353" s="76">
        <f t="shared" si="658"/>
        <v>28.313253012048193</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x14ac:dyDescent="0.3">
      <c r="A354" s="8" t="s">
        <v>18</v>
      </c>
      <c r="B354" s="9" t="s">
        <v>230</v>
      </c>
      <c r="C354" s="7"/>
      <c r="D354" s="7"/>
      <c r="E354" s="7"/>
      <c r="F354" s="71">
        <v>75</v>
      </c>
      <c r="G354" s="51">
        <f t="shared" si="659"/>
        <v>22</v>
      </c>
      <c r="H354" s="52">
        <f t="shared" si="660"/>
        <v>33.846153846153847</v>
      </c>
      <c r="I354" s="53">
        <f>COUNTIFS('00 Encuesta'!$B$2:$B$511,"*c)*",'00 Encuesta'!$C$2:$C$511,"*a)*",'00 Encuesta'!$E$2:$E$511,"*a)*",'00 Encuesta'!$AS$2:$AS$511,"*b)*")</f>
        <v>13</v>
      </c>
      <c r="J354" s="52">
        <f t="shared" si="661"/>
        <v>39.393939393939391</v>
      </c>
      <c r="K354" s="53">
        <f>COUNTIFS('00 Encuesta'!$B$2:$B$511,"*c)*",'00 Encuesta'!$C$2:$C$511,"*a)*",'00 Encuesta'!$E$2:$E$511,"*b)*",'00 Encuesta'!$AS$2:$AS$511,"*b)*")</f>
        <v>9</v>
      </c>
      <c r="L354" s="52">
        <f t="shared" si="662"/>
        <v>28.125</v>
      </c>
      <c r="M354" s="23"/>
      <c r="N354" s="51">
        <f t="shared" si="663"/>
        <v>23</v>
      </c>
      <c r="O354" s="52">
        <f t="shared" si="664"/>
        <v>45.098039215686278</v>
      </c>
      <c r="P354" s="53">
        <f>COUNTIFS('00 Encuesta'!$B$2:$B$511,"*c)*",'00 Encuesta'!$C$2:$C$511,"*b)*",'00 Encuesta'!$E$2:$E$511,"*a)*",'00 Encuesta'!$AS$2:$AS$511,"*b)*")</f>
        <v>10</v>
      </c>
      <c r="Q354" s="52">
        <f t="shared" ref="Q354:Q358" si="681">P354/$Q$6*100</f>
        <v>35.714285714285715</v>
      </c>
      <c r="R354" s="53">
        <f>COUNTIFS('00 Encuesta'!$B$2:$B$511,"*c)*",'00 Encuesta'!$C$2:$C$511,"*b)*",'00 Encuesta'!$E$2:$E$511,"*b)*",'00 Encuesta'!$AS$2:$AS$511,"*b)*")</f>
        <v>13</v>
      </c>
      <c r="S354" s="52">
        <f t="shared" si="665"/>
        <v>56.521739130434781</v>
      </c>
      <c r="T354" s="3"/>
      <c r="U354" s="51">
        <f t="shared" si="666"/>
        <v>24</v>
      </c>
      <c r="V354" s="52">
        <f t="shared" si="667"/>
        <v>48</v>
      </c>
      <c r="W354" s="53">
        <f>COUNTIFS('00 Encuesta'!$B$2:$B$511,"*c)*",'00 Encuesta'!$C$2:$C$511,"*d)*",'00 Encuesta'!$E$2:$E$511,"*a)*",'00 Encuesta'!$AS$2:$AS$511,"*b)*")</f>
        <v>12</v>
      </c>
      <c r="X354" s="52">
        <f t="shared" si="668"/>
        <v>44.444444444444443</v>
      </c>
      <c r="Y354" s="53">
        <f>COUNTIFS('00 Encuesta'!$B$2:$B$511,"*c)*",'00 Encuesta'!$C$2:$C$511,"*d)*",'00 Encuesta'!$E$2:$E$511,"*b)*",'00 Encuesta'!$AS$2:$AS$511,"*b)*")</f>
        <v>12</v>
      </c>
      <c r="Z354" s="52">
        <f t="shared" si="669"/>
        <v>52.173913043478258</v>
      </c>
      <c r="AA354" s="3"/>
      <c r="AB354" s="62">
        <f t="shared" si="670"/>
        <v>69</v>
      </c>
      <c r="AC354" s="52">
        <f t="shared" si="671"/>
        <v>41.566265060240966</v>
      </c>
      <c r="AD354" s="3"/>
      <c r="AE354" s="3"/>
      <c r="AF354" s="9" t="str">
        <f t="shared" si="672"/>
        <v>b) Buena</v>
      </c>
      <c r="AG354" s="72">
        <f t="shared" si="673"/>
        <v>39.393939393939391</v>
      </c>
      <c r="AH354" s="72">
        <f t="shared" si="674"/>
        <v>28.125</v>
      </c>
      <c r="AI354" s="73">
        <f t="shared" si="675"/>
        <v>33.846153846153847</v>
      </c>
      <c r="AJ354" s="73"/>
      <c r="AK354" s="76">
        <f t="shared" ref="AK354:AK358" si="682">Q354</f>
        <v>35.714285714285715</v>
      </c>
      <c r="AL354" s="76">
        <f t="shared" si="676"/>
        <v>56.521739130434781</v>
      </c>
      <c r="AM354" s="76">
        <f t="shared" si="677"/>
        <v>45.098039215686278</v>
      </c>
      <c r="AN354" s="76"/>
      <c r="AO354" s="81">
        <f t="shared" si="678"/>
        <v>44.444444444444443</v>
      </c>
      <c r="AP354" s="81">
        <f t="shared" si="679"/>
        <v>52.173913043478258</v>
      </c>
      <c r="AQ354" s="81">
        <f t="shared" si="680"/>
        <v>48</v>
      </c>
      <c r="AR354" s="3"/>
      <c r="AS354" s="76">
        <f t="shared" si="658"/>
        <v>41.566265060240966</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x14ac:dyDescent="0.3">
      <c r="A355" s="8" t="s">
        <v>20</v>
      </c>
      <c r="B355" s="9" t="s">
        <v>218</v>
      </c>
      <c r="C355" s="7"/>
      <c r="D355" s="7"/>
      <c r="E355" s="7"/>
      <c r="F355" s="71">
        <v>50</v>
      </c>
      <c r="G355" s="51">
        <f t="shared" si="659"/>
        <v>7</v>
      </c>
      <c r="H355" s="52">
        <f t="shared" si="660"/>
        <v>10.76923076923077</v>
      </c>
      <c r="I355" s="53">
        <f>COUNTIFS('00 Encuesta'!$B$2:$B$511,"*c)*",'00 Encuesta'!$C$2:$C$511,"*a)*",'00 Encuesta'!$E$2:$E$511,"*a)*",'00 Encuesta'!$AS$2:$AS$511,"*c)*")</f>
        <v>2</v>
      </c>
      <c r="J355" s="52">
        <f t="shared" si="661"/>
        <v>6.0606060606060606</v>
      </c>
      <c r="K355" s="53">
        <f>COUNTIFS('00 Encuesta'!$B$2:$B$511,"*c)*",'00 Encuesta'!$C$2:$C$511,"*a)*",'00 Encuesta'!$E$2:$E$511,"*b)*",'00 Encuesta'!$AS$2:$AS$511,"*c)*")</f>
        <v>5</v>
      </c>
      <c r="L355" s="52">
        <f t="shared" si="662"/>
        <v>15.625</v>
      </c>
      <c r="M355" s="23"/>
      <c r="N355" s="51">
        <f t="shared" si="663"/>
        <v>9</v>
      </c>
      <c r="O355" s="52">
        <f t="shared" si="664"/>
        <v>17.647058823529413</v>
      </c>
      <c r="P355" s="53">
        <f>COUNTIFS('00 Encuesta'!$B$2:$B$511,"*c)*",'00 Encuesta'!$C$2:$C$511,"*b)*",'00 Encuesta'!$E$2:$E$511,"*a)*",'00 Encuesta'!$AS$2:$AS$511,"*c)*")</f>
        <v>5</v>
      </c>
      <c r="Q355" s="52">
        <f t="shared" si="681"/>
        <v>17.857142857142858</v>
      </c>
      <c r="R355" s="53">
        <f>COUNTIFS('00 Encuesta'!$B$2:$B$511,"*c)*",'00 Encuesta'!$C$2:$C$511,"*b)*",'00 Encuesta'!$E$2:$E$511,"*b)*",'00 Encuesta'!$AS$2:$AS$511,"*c)*")</f>
        <v>4</v>
      </c>
      <c r="S355" s="52">
        <f t="shared" si="665"/>
        <v>17.391304347826086</v>
      </c>
      <c r="T355" s="3"/>
      <c r="U355" s="51">
        <f t="shared" si="666"/>
        <v>15</v>
      </c>
      <c r="V355" s="52">
        <f t="shared" si="667"/>
        <v>30</v>
      </c>
      <c r="W355" s="53">
        <f>COUNTIFS('00 Encuesta'!$B$2:$B$511,"*c)*",'00 Encuesta'!$C$2:$C$511,"*d)*",'00 Encuesta'!$E$2:$E$511,"*a)*",'00 Encuesta'!$AS$2:$AS$511,"*c)*")</f>
        <v>8</v>
      </c>
      <c r="X355" s="52">
        <f t="shared" si="668"/>
        <v>29.629629629629626</v>
      </c>
      <c r="Y355" s="53">
        <f>COUNTIFS('00 Encuesta'!$B$2:$B$511,"*c)*",'00 Encuesta'!$C$2:$C$511,"*d)*",'00 Encuesta'!$E$2:$E$511,"*b)*",'00 Encuesta'!$AS$2:$AS$511,"*c)*")</f>
        <v>7</v>
      </c>
      <c r="Z355" s="52">
        <f t="shared" si="669"/>
        <v>30.434782608695656</v>
      </c>
      <c r="AA355" s="3"/>
      <c r="AB355" s="62">
        <f t="shared" si="670"/>
        <v>31</v>
      </c>
      <c r="AC355" s="52">
        <f t="shared" si="671"/>
        <v>18.674698795180724</v>
      </c>
      <c r="AD355" s="3"/>
      <c r="AE355" s="3"/>
      <c r="AF355" s="9" t="str">
        <f t="shared" si="672"/>
        <v>c) Regular</v>
      </c>
      <c r="AG355" s="72">
        <f t="shared" si="673"/>
        <v>6.0606060606060606</v>
      </c>
      <c r="AH355" s="72">
        <f t="shared" si="674"/>
        <v>15.625</v>
      </c>
      <c r="AI355" s="73">
        <f t="shared" si="675"/>
        <v>10.76923076923077</v>
      </c>
      <c r="AJ355" s="73"/>
      <c r="AK355" s="76">
        <f t="shared" si="682"/>
        <v>17.857142857142858</v>
      </c>
      <c r="AL355" s="76">
        <f t="shared" si="676"/>
        <v>17.391304347826086</v>
      </c>
      <c r="AM355" s="76">
        <f t="shared" si="677"/>
        <v>17.647058823529413</v>
      </c>
      <c r="AN355" s="76"/>
      <c r="AO355" s="81">
        <f t="shared" si="678"/>
        <v>29.629629629629626</v>
      </c>
      <c r="AP355" s="81">
        <f t="shared" si="679"/>
        <v>30.434782608695656</v>
      </c>
      <c r="AQ355" s="81">
        <f t="shared" si="680"/>
        <v>30</v>
      </c>
      <c r="AR355" s="3"/>
      <c r="AS355" s="76">
        <f t="shared" si="658"/>
        <v>18.674698795180724</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x14ac:dyDescent="0.3">
      <c r="A356" s="8" t="s">
        <v>21</v>
      </c>
      <c r="B356" s="9" t="s">
        <v>231</v>
      </c>
      <c r="C356" s="7"/>
      <c r="D356" s="7"/>
      <c r="E356" s="7"/>
      <c r="F356" s="71">
        <v>25</v>
      </c>
      <c r="G356" s="51">
        <f t="shared" si="659"/>
        <v>2</v>
      </c>
      <c r="H356" s="52">
        <f t="shared" si="660"/>
        <v>3.0769230769230771</v>
      </c>
      <c r="I356" s="53">
        <f>COUNTIFS('00 Encuesta'!$B$2:$B$511,"*c)*",'00 Encuesta'!$C$2:$C$511,"*a)*",'00 Encuesta'!$E$2:$E$511,"*a)*",'00 Encuesta'!$AS$2:$AS$511,"*d)*")</f>
        <v>1</v>
      </c>
      <c r="J356" s="52">
        <f t="shared" si="661"/>
        <v>3.0303030303030303</v>
      </c>
      <c r="K356" s="53">
        <f>COUNTIFS('00 Encuesta'!$B$2:$B$511,"*c)*",'00 Encuesta'!$C$2:$C$511,"*a)*",'00 Encuesta'!$E$2:$E$511,"*b)*",'00 Encuesta'!$AS$2:$AS$511,"*d)*")</f>
        <v>1</v>
      </c>
      <c r="L356" s="52">
        <f t="shared" si="662"/>
        <v>3.125</v>
      </c>
      <c r="M356" s="23"/>
      <c r="N356" s="51">
        <f t="shared" si="663"/>
        <v>2</v>
      </c>
      <c r="O356" s="52">
        <f t="shared" si="664"/>
        <v>3.9215686274509802</v>
      </c>
      <c r="P356" s="53">
        <f>COUNTIFS('00 Encuesta'!$B$2:$B$511,"*c)*",'00 Encuesta'!$C$2:$C$511,"*b)*",'00 Encuesta'!$E$2:$E$511,"*a)*",'00 Encuesta'!$AS$2:$AS$511,"*d)*")</f>
        <v>1</v>
      </c>
      <c r="Q356" s="52">
        <f t="shared" si="681"/>
        <v>3.5714285714285712</v>
      </c>
      <c r="R356" s="53">
        <f>COUNTIFS('00 Encuesta'!$B$2:$B$511,"*c)*",'00 Encuesta'!$C$2:$C$511,"*b)*",'00 Encuesta'!$E$2:$E$511,"*b)*",'00 Encuesta'!$AS$2:$AS$511,"*d)*")</f>
        <v>1</v>
      </c>
      <c r="S356" s="52">
        <f t="shared" si="665"/>
        <v>4.3478260869565215</v>
      </c>
      <c r="T356" s="3"/>
      <c r="U356" s="51">
        <f t="shared" si="666"/>
        <v>1</v>
      </c>
      <c r="V356" s="52">
        <f t="shared" si="667"/>
        <v>2</v>
      </c>
      <c r="W356" s="53">
        <f>COUNTIFS('00 Encuesta'!$B$2:$B$511,"*c)*",'00 Encuesta'!$C$2:$C$511,"*d)*",'00 Encuesta'!$E$2:$E$511,"*a)*",'00 Encuesta'!$AS$2:$AS$511,"*d)*")</f>
        <v>1</v>
      </c>
      <c r="X356" s="52">
        <f t="shared" si="668"/>
        <v>3.7037037037037033</v>
      </c>
      <c r="Y356" s="53">
        <f>COUNTIFS('00 Encuesta'!$B$2:$B$511,"*c)*",'00 Encuesta'!$C$2:$C$511,"*d)*",'00 Encuesta'!$E$2:$E$511,"*b)*",'00 Encuesta'!$AS$2:$AS$511,"*d)*")</f>
        <v>0</v>
      </c>
      <c r="Z356" s="52">
        <f t="shared" si="669"/>
        <v>0</v>
      </c>
      <c r="AA356" s="3"/>
      <c r="AB356" s="62">
        <f t="shared" si="670"/>
        <v>5</v>
      </c>
      <c r="AC356" s="52">
        <f t="shared" si="671"/>
        <v>3.0120481927710845</v>
      </c>
      <c r="AD356" s="3"/>
      <c r="AE356" s="3"/>
      <c r="AF356" s="9" t="str">
        <f t="shared" si="672"/>
        <v>d) Mala</v>
      </c>
      <c r="AG356" s="72">
        <f t="shared" si="673"/>
        <v>3.0303030303030303</v>
      </c>
      <c r="AH356" s="72">
        <f t="shared" si="674"/>
        <v>3.125</v>
      </c>
      <c r="AI356" s="73">
        <f t="shared" si="675"/>
        <v>3.0769230769230771</v>
      </c>
      <c r="AJ356" s="73"/>
      <c r="AK356" s="76">
        <f t="shared" si="682"/>
        <v>3.5714285714285712</v>
      </c>
      <c r="AL356" s="76">
        <f t="shared" si="676"/>
        <v>4.3478260869565215</v>
      </c>
      <c r="AM356" s="76">
        <f t="shared" si="677"/>
        <v>3.9215686274509802</v>
      </c>
      <c r="AN356" s="76"/>
      <c r="AO356" s="81">
        <f t="shared" si="678"/>
        <v>3.7037037037037033</v>
      </c>
      <c r="AP356" s="81">
        <f t="shared" si="679"/>
        <v>0</v>
      </c>
      <c r="AQ356" s="81">
        <f t="shared" si="680"/>
        <v>2</v>
      </c>
      <c r="AR356" s="3"/>
      <c r="AS356" s="76">
        <f t="shared" si="658"/>
        <v>3.0120481927710845</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x14ac:dyDescent="0.3">
      <c r="A357" s="8" t="s">
        <v>22</v>
      </c>
      <c r="B357" s="9" t="s">
        <v>232</v>
      </c>
      <c r="C357" s="7"/>
      <c r="D357" s="7"/>
      <c r="E357" s="7"/>
      <c r="F357" s="71">
        <v>0</v>
      </c>
      <c r="G357" s="51">
        <f t="shared" si="659"/>
        <v>0</v>
      </c>
      <c r="H357" s="52">
        <f t="shared" si="660"/>
        <v>0</v>
      </c>
      <c r="I357" s="53">
        <f>COUNTIFS('00 Encuesta'!$B$2:$B$511,"*c)*",'00 Encuesta'!$C$2:$C$511,"*a)*",'00 Encuesta'!$E$2:$E$511,"*a)*",'00 Encuesta'!$AS$2:$AS$511,"*e)*")</f>
        <v>0</v>
      </c>
      <c r="J357" s="52">
        <f t="shared" si="661"/>
        <v>0</v>
      </c>
      <c r="K357" s="53">
        <f>COUNTIFS('00 Encuesta'!$B$2:$B$511,"*c)*",'00 Encuesta'!$C$2:$C$511,"*a)*",'00 Encuesta'!$E$2:$E$511,"*b)*",'00 Encuesta'!$AS$2:$AS$511,"*e)*")</f>
        <v>0</v>
      </c>
      <c r="L357" s="52">
        <f t="shared" si="662"/>
        <v>0</v>
      </c>
      <c r="M357" s="23"/>
      <c r="N357" s="51">
        <f t="shared" si="663"/>
        <v>0</v>
      </c>
      <c r="O357" s="52">
        <f t="shared" si="664"/>
        <v>0</v>
      </c>
      <c r="P357" s="53">
        <f>COUNTIFS('00 Encuesta'!$B$2:$B$511,"*c)*",'00 Encuesta'!$C$2:$C$511,"*b)*",'00 Encuesta'!$E$2:$E$511,"*a)*",'00 Encuesta'!$AS$2:$AS$511,"*e)*")</f>
        <v>0</v>
      </c>
      <c r="Q357" s="52">
        <f t="shared" si="681"/>
        <v>0</v>
      </c>
      <c r="R357" s="53">
        <f>COUNTIFS('00 Encuesta'!$B$2:$B$511,"*c)*",'00 Encuesta'!$C$2:$C$511,"*b)*",'00 Encuesta'!$E$2:$E$511,"*b)*",'00 Encuesta'!$AS$2:$AS$511,"*e)*")</f>
        <v>0</v>
      </c>
      <c r="S357" s="52">
        <f t="shared" si="665"/>
        <v>0</v>
      </c>
      <c r="T357" s="3"/>
      <c r="U357" s="51">
        <f t="shared" si="666"/>
        <v>2</v>
      </c>
      <c r="V357" s="52">
        <f t="shared" si="667"/>
        <v>4</v>
      </c>
      <c r="W357" s="53">
        <f>COUNTIFS('00 Encuesta'!$B$2:$B$511,"*c)*",'00 Encuesta'!$C$2:$C$511,"*d)*",'00 Encuesta'!$E$2:$E$511,"*a)*",'00 Encuesta'!$AS$2:$AS$511,"*e)*")</f>
        <v>1</v>
      </c>
      <c r="X357" s="52">
        <f t="shared" si="668"/>
        <v>3.7037037037037033</v>
      </c>
      <c r="Y357" s="53">
        <f>COUNTIFS('00 Encuesta'!$B$2:$B$511,"*c)*",'00 Encuesta'!$C$2:$C$511,"*d)*",'00 Encuesta'!$E$2:$E$511,"*b)*",'00 Encuesta'!$AS$2:$AS$511,"*e)*")</f>
        <v>1</v>
      </c>
      <c r="Z357" s="52">
        <f t="shared" si="669"/>
        <v>4.3478260869565215</v>
      </c>
      <c r="AA357" s="3"/>
      <c r="AB357" s="62">
        <f t="shared" si="670"/>
        <v>2</v>
      </c>
      <c r="AC357" s="52">
        <f t="shared" si="671"/>
        <v>1.2048192771084338</v>
      </c>
      <c r="AD357" s="3"/>
      <c r="AE357" s="3"/>
      <c r="AF357" s="9" t="str">
        <f t="shared" si="672"/>
        <v>e) Muy mala</v>
      </c>
      <c r="AG357" s="72">
        <f t="shared" si="673"/>
        <v>0</v>
      </c>
      <c r="AH357" s="72">
        <f t="shared" si="674"/>
        <v>0</v>
      </c>
      <c r="AI357" s="73">
        <f t="shared" si="675"/>
        <v>0</v>
      </c>
      <c r="AJ357" s="73"/>
      <c r="AK357" s="76">
        <f t="shared" si="682"/>
        <v>0</v>
      </c>
      <c r="AL357" s="76">
        <f t="shared" si="676"/>
        <v>0</v>
      </c>
      <c r="AM357" s="76">
        <f t="shared" si="677"/>
        <v>0</v>
      </c>
      <c r="AN357" s="76"/>
      <c r="AO357" s="81">
        <f t="shared" si="678"/>
        <v>3.7037037037037033</v>
      </c>
      <c r="AP357" s="81">
        <f t="shared" si="679"/>
        <v>4.3478260869565215</v>
      </c>
      <c r="AQ357" s="81">
        <f t="shared" si="680"/>
        <v>4</v>
      </c>
      <c r="AR357" s="3"/>
      <c r="AS357" s="76">
        <f t="shared" si="658"/>
        <v>1.2048192771084338</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x14ac:dyDescent="0.3">
      <c r="A358" s="8" t="s">
        <v>45</v>
      </c>
      <c r="B358" s="9" t="s">
        <v>233</v>
      </c>
      <c r="C358" s="7"/>
      <c r="D358" s="7"/>
      <c r="E358" s="7"/>
      <c r="F358" s="71"/>
      <c r="G358" s="51">
        <f t="shared" si="659"/>
        <v>0</v>
      </c>
      <c r="H358" s="52">
        <f t="shared" si="660"/>
        <v>0</v>
      </c>
      <c r="I358" s="53">
        <f>COUNTIFS('00 Encuesta'!$B$2:$B$511,"*c)*",'00 Encuesta'!$C$2:$C$511,"*a)*",'00 Encuesta'!$E$2:$E$511,"*a)*",'00 Encuesta'!$AS$2:$AS$511,"*f)*")</f>
        <v>0</v>
      </c>
      <c r="J358" s="52">
        <f t="shared" si="661"/>
        <v>0</v>
      </c>
      <c r="K358" s="53">
        <f>COUNTIFS('00 Encuesta'!$B$2:$B$511,"*c)*",'00 Encuesta'!$C$2:$C$511,"*a)*",'00 Encuesta'!$E$2:$E$511,"*b)*",'00 Encuesta'!$AS$2:$AS$511,"*f)*")</f>
        <v>0</v>
      </c>
      <c r="L358" s="52">
        <f t="shared" si="662"/>
        <v>0</v>
      </c>
      <c r="M358" s="23"/>
      <c r="N358" s="51">
        <f t="shared" si="663"/>
        <v>4</v>
      </c>
      <c r="O358" s="52">
        <f t="shared" si="664"/>
        <v>7.8431372549019605</v>
      </c>
      <c r="P358" s="53">
        <f>COUNTIFS('00 Encuesta'!$B$2:$B$511,"*c)*",'00 Encuesta'!$C$2:$C$511,"*b)*",'00 Encuesta'!$E$2:$E$511,"*a)*",'00 Encuesta'!$AS$2:$AS$511,"*f)*")</f>
        <v>3</v>
      </c>
      <c r="Q358" s="52">
        <f t="shared" si="681"/>
        <v>10.714285714285714</v>
      </c>
      <c r="R358" s="53">
        <f>COUNTIFS('00 Encuesta'!$B$2:$B$511,"*c)*",'00 Encuesta'!$C$2:$C$511,"*b)*",'00 Encuesta'!$E$2:$E$511,"*b)*",'00 Encuesta'!$AS$2:$AS$511,"*f)*")</f>
        <v>1</v>
      </c>
      <c r="S358" s="52">
        <f t="shared" si="665"/>
        <v>4.3478260869565215</v>
      </c>
      <c r="T358" s="3"/>
      <c r="U358" s="51">
        <f t="shared" si="666"/>
        <v>2</v>
      </c>
      <c r="V358" s="52">
        <f t="shared" si="667"/>
        <v>4</v>
      </c>
      <c r="W358" s="53">
        <f>COUNTIFS('00 Encuesta'!$B$2:$B$511,"*c)*",'00 Encuesta'!$C$2:$C$511,"*d)*",'00 Encuesta'!$E$2:$E$511,"*a)*",'00 Encuesta'!$AS$2:$AS$511,"*f)*")</f>
        <v>1</v>
      </c>
      <c r="X358" s="52">
        <f t="shared" si="668"/>
        <v>3.7037037037037033</v>
      </c>
      <c r="Y358" s="53">
        <f>COUNTIFS('00 Encuesta'!$B$2:$B$511,"*c)*",'00 Encuesta'!$C$2:$C$511,"*d)*",'00 Encuesta'!$E$2:$E$511,"*b)*",'00 Encuesta'!$AS$2:$AS$511,"*f)*")</f>
        <v>1</v>
      </c>
      <c r="Z358" s="52">
        <f t="shared" si="669"/>
        <v>4.3478260869565215</v>
      </c>
      <c r="AA358" s="3"/>
      <c r="AB358" s="62">
        <f t="shared" si="670"/>
        <v>6</v>
      </c>
      <c r="AC358" s="52">
        <f t="shared" si="671"/>
        <v>3.6144578313253013</v>
      </c>
      <c r="AD358" s="3"/>
      <c r="AE358" s="3"/>
      <c r="AF358" s="9" t="str">
        <f t="shared" si="672"/>
        <v>f) No aplica</v>
      </c>
      <c r="AG358" s="72">
        <f t="shared" si="673"/>
        <v>0</v>
      </c>
      <c r="AH358" s="72">
        <f t="shared" si="674"/>
        <v>0</v>
      </c>
      <c r="AI358" s="73">
        <f t="shared" si="675"/>
        <v>0</v>
      </c>
      <c r="AJ358" s="73"/>
      <c r="AK358" s="76">
        <f t="shared" si="682"/>
        <v>10.714285714285714</v>
      </c>
      <c r="AL358" s="76">
        <f t="shared" si="676"/>
        <v>4.3478260869565215</v>
      </c>
      <c r="AM358" s="76">
        <f t="shared" si="677"/>
        <v>7.8431372549019605</v>
      </c>
      <c r="AN358" s="76"/>
      <c r="AO358" s="81">
        <f t="shared" si="678"/>
        <v>3.7037037037037033</v>
      </c>
      <c r="AP358" s="81">
        <f t="shared" si="679"/>
        <v>4.3478260869565215</v>
      </c>
      <c r="AQ358" s="81">
        <f t="shared" si="680"/>
        <v>4</v>
      </c>
      <c r="AR358" s="3"/>
      <c r="AS358" s="76">
        <f t="shared" si="658"/>
        <v>3.6144578313253013</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x14ac:dyDescent="0.3">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83.870967741935488</v>
      </c>
      <c r="AH359" s="82">
        <f>($F353*K353+$F354*K354+$F355*K355+$F356*K356+$F357*K357)/(K353+K354+K355+K356+K357)</f>
        <v>82.258064516129039</v>
      </c>
      <c r="AI359" s="82">
        <f>($F353*G353+$F354*G354+$F355*G355+$F356*G356+$F357*G357)/(G353+G354+G355+G356+G357)</f>
        <v>83.064516129032256</v>
      </c>
      <c r="AJ359" s="82"/>
      <c r="AK359" s="82">
        <f>($F353*Q353+$F354*Q354+$F355*Q355+$F356*Q356+$F357*Q357)/(Q353+Q354+Q355+Q356+Q357)</f>
        <v>76.041666666666671</v>
      </c>
      <c r="AL359" s="82">
        <f>($F353*S353+$F354*S354+$F355*S355+$F356*S356+$F357*S357)/(S353+S354+S355+S356+S357)</f>
        <v>71.428571428571431</v>
      </c>
      <c r="AM359" s="82">
        <f>($F353*O353+$F354*O354+$F355*O355+$F356*O356+$F357*O357)/(O353+O354+O355+O356+O357)</f>
        <v>73.8888888888889</v>
      </c>
      <c r="AN359" s="82"/>
      <c r="AO359" s="82">
        <f>($F353*W353+$F354*W354+$F355*W355+$F356*W356+$F357*W357)/(W353+W354+W355+W356+W357)</f>
        <v>65</v>
      </c>
      <c r="AP359" s="82">
        <f>($F353*Y353+$F354*Y354+$F355*Y355+$F356*Y356+$F357*Y357)/(Y353+Y354+Y355+Y356+Y357)</f>
        <v>65.909090909090907</v>
      </c>
      <c r="AQ359" s="82">
        <f>($F353*U353+$F354*U354+$F355*U355+$F356*U356+$F357*U357)/(U353+U354+U355+U356+U357)</f>
        <v>65.425531914893611</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 x14ac:dyDescent="0.35">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x14ac:dyDescent="0.3">
      <c r="A361" s="8" t="s">
        <v>17</v>
      </c>
      <c r="B361" s="9" t="s">
        <v>229</v>
      </c>
      <c r="C361" s="3"/>
      <c r="D361" s="3"/>
      <c r="E361" s="3"/>
      <c r="F361" s="71">
        <v>100</v>
      </c>
      <c r="G361" s="51">
        <f t="shared" ref="G361:G366" si="683">I361+K361</f>
        <v>30</v>
      </c>
      <c r="H361" s="52">
        <f t="shared" ref="H361:H366" si="684">G361/$J$5*100</f>
        <v>46.153846153846153</v>
      </c>
      <c r="I361" s="53">
        <f>COUNTIFS('00 Encuesta'!$B$2:$B$511,"*c)*",'00 Encuesta'!$C$2:$C$511,"*a)*",'00 Encuesta'!$E$2:$E$511,"*a)*",'00 Encuesta'!$AT$2:$AT$511,"*a)*")</f>
        <v>15</v>
      </c>
      <c r="J361" s="52">
        <f t="shared" ref="J361:J366" si="685">I361/$J$6*100</f>
        <v>45.454545454545453</v>
      </c>
      <c r="K361" s="53">
        <f>COUNTIFS('00 Encuesta'!$B$2:$B$511,"*c)*",'00 Encuesta'!$C$2:$C$511,"*a)*",'00 Encuesta'!$E$2:$E$511,"*b)*",'00 Encuesta'!$AT$2:$AT$511,"*a)*")</f>
        <v>15</v>
      </c>
      <c r="L361" s="52">
        <f t="shared" ref="L361:L366" si="686">K361/$J$7*100</f>
        <v>46.875</v>
      </c>
      <c r="M361" s="23"/>
      <c r="N361" s="51">
        <f t="shared" ref="N361:N366" si="687">P361+R361</f>
        <v>19</v>
      </c>
      <c r="O361" s="52">
        <f t="shared" ref="O361:O366" si="688">N361/$Q$5*100</f>
        <v>37.254901960784316</v>
      </c>
      <c r="P361" s="53">
        <f>COUNTIFS('00 Encuesta'!$B$2:$B$511,"*c)*",'00 Encuesta'!$C$2:$C$511,"*b)*",'00 Encuesta'!$E$2:$E$511,"*a)*",'00 Encuesta'!$AT$2:$AT$511,"*a)*")</f>
        <v>10</v>
      </c>
      <c r="Q361" s="52">
        <f t="shared" ref="Q361:Q366" si="689">P361/$Q$6*100</f>
        <v>35.714285714285715</v>
      </c>
      <c r="R361" s="53">
        <f>COUNTIFS('00 Encuesta'!$B$2:$B$511,"*c)*",'00 Encuesta'!$C$2:$C$511,"*b)*",'00 Encuesta'!$E$2:$E$511,"*b)*",'00 Encuesta'!$AT$2:$AT$511,"*a)*")</f>
        <v>9</v>
      </c>
      <c r="S361" s="52">
        <f t="shared" ref="S361:S366" si="690">R361/$Q$7*100</f>
        <v>39.130434782608695</v>
      </c>
      <c r="T361" s="3"/>
      <c r="U361" s="51">
        <f t="shared" ref="U361:U366" si="691">W361+Y361</f>
        <v>20</v>
      </c>
      <c r="V361" s="52">
        <f t="shared" ref="V361:V366" si="692">U361/$X$5*100</f>
        <v>40</v>
      </c>
      <c r="W361" s="53">
        <f>COUNTIFS('00 Encuesta'!$B$2:$B$511,"*c)*",'00 Encuesta'!$C$2:$C$511,"*d)*",'00 Encuesta'!$E$2:$E$511,"*a)*",'00 Encuesta'!$AT$2:$AT$511,"*a)*")</f>
        <v>10</v>
      </c>
      <c r="X361" s="52">
        <f t="shared" ref="X361:X366" si="693">W361/$X$6*100</f>
        <v>37.037037037037038</v>
      </c>
      <c r="Y361" s="53">
        <f>COUNTIFS('00 Encuesta'!$B$2:$B$511,"*c)*",'00 Encuesta'!$C$2:$C$511,"*d)*",'00 Encuesta'!$E$2:$E$511,"*b)*",'00 Encuesta'!$AT$2:$AT$511,"*a)*")</f>
        <v>10</v>
      </c>
      <c r="Z361" s="52">
        <f t="shared" ref="Z361:Z366" si="694">Y361/$X$7*100</f>
        <v>43.478260869565219</v>
      </c>
      <c r="AA361" s="3"/>
      <c r="AB361" s="62">
        <f t="shared" ref="AB361:AB366" si="695">G361+N361+U361</f>
        <v>69</v>
      </c>
      <c r="AC361" s="52">
        <f t="shared" ref="AC361:AC366" si="696">AB361*100/$AC$5</f>
        <v>41.566265060240966</v>
      </c>
      <c r="AD361" s="3"/>
      <c r="AE361" s="3"/>
      <c r="AF361" s="9" t="str">
        <f t="shared" ref="AF361:AF366" si="697">A361&amp;" "&amp;B361</f>
        <v>a) Muy buena</v>
      </c>
      <c r="AG361" s="72">
        <f t="shared" ref="AG361:AG366" si="698">J361</f>
        <v>45.454545454545453</v>
      </c>
      <c r="AH361" s="72">
        <f t="shared" ref="AH361:AH366" si="699">L361</f>
        <v>46.875</v>
      </c>
      <c r="AI361" s="73">
        <f t="shared" ref="AI361:AI366" si="700">H361</f>
        <v>46.153846153846153</v>
      </c>
      <c r="AJ361" s="73"/>
      <c r="AK361" s="76">
        <f t="shared" ref="AK361:AK366" si="701">Q361</f>
        <v>35.714285714285715</v>
      </c>
      <c r="AL361" s="76">
        <f t="shared" ref="AL361:AL366" si="702">S361</f>
        <v>39.130434782608695</v>
      </c>
      <c r="AM361" s="76">
        <f t="shared" ref="AM361:AM366" si="703">O361</f>
        <v>37.254901960784316</v>
      </c>
      <c r="AN361" s="76"/>
      <c r="AO361" s="81">
        <f t="shared" ref="AO361:AO366" si="704">X361</f>
        <v>37.037037037037038</v>
      </c>
      <c r="AP361" s="81">
        <f t="shared" ref="AP361:AP366" si="705">Z361</f>
        <v>43.478260869565219</v>
      </c>
      <c r="AQ361" s="81">
        <f t="shared" ref="AQ361:AQ366" si="706">V361</f>
        <v>40</v>
      </c>
      <c r="AR361" s="3"/>
      <c r="AS361" s="76">
        <f t="shared" si="658"/>
        <v>41.566265060240966</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x14ac:dyDescent="0.3">
      <c r="A362" s="8" t="s">
        <v>18</v>
      </c>
      <c r="B362" s="9" t="s">
        <v>230</v>
      </c>
      <c r="C362" s="3"/>
      <c r="D362" s="3"/>
      <c r="E362" s="3"/>
      <c r="F362" s="71">
        <v>75</v>
      </c>
      <c r="G362" s="51">
        <f t="shared" si="683"/>
        <v>24</v>
      </c>
      <c r="H362" s="52">
        <f t="shared" si="684"/>
        <v>36.923076923076927</v>
      </c>
      <c r="I362" s="53">
        <f>COUNTIFS('00 Encuesta'!$B$2:$B$511,"*c)*",'00 Encuesta'!$C$2:$C$511,"*a)*",'00 Encuesta'!$E$2:$E$511,"*a)*",'00 Encuesta'!$AT$2:$AT$511,"*b)*")</f>
        <v>12</v>
      </c>
      <c r="J362" s="52">
        <f t="shared" si="685"/>
        <v>36.363636363636367</v>
      </c>
      <c r="K362" s="53">
        <f>COUNTIFS('00 Encuesta'!$B$2:$B$511,"*c)*",'00 Encuesta'!$C$2:$C$511,"*a)*",'00 Encuesta'!$E$2:$E$511,"*b)*",'00 Encuesta'!$AT$2:$AT$511,"*b)*")</f>
        <v>12</v>
      </c>
      <c r="L362" s="52">
        <f t="shared" si="686"/>
        <v>37.5</v>
      </c>
      <c r="M362" s="23"/>
      <c r="N362" s="51">
        <f t="shared" si="687"/>
        <v>18</v>
      </c>
      <c r="O362" s="52">
        <f t="shared" si="688"/>
        <v>35.294117647058826</v>
      </c>
      <c r="P362" s="53">
        <f>COUNTIFS('00 Encuesta'!$B$2:$B$511,"*c)*",'00 Encuesta'!$C$2:$C$511,"*b)*",'00 Encuesta'!$E$2:$E$511,"*a)*",'00 Encuesta'!$AT$2:$AT$511,"*b)*")</f>
        <v>10</v>
      </c>
      <c r="Q362" s="52">
        <f t="shared" si="689"/>
        <v>35.714285714285715</v>
      </c>
      <c r="R362" s="53">
        <f>COUNTIFS('00 Encuesta'!$B$2:$B$511,"*c)*",'00 Encuesta'!$C$2:$C$511,"*b)*",'00 Encuesta'!$E$2:$E$511,"*b)*",'00 Encuesta'!$AT$2:$AT$511,"*b)*")</f>
        <v>8</v>
      </c>
      <c r="S362" s="52">
        <f t="shared" si="690"/>
        <v>34.782608695652172</v>
      </c>
      <c r="T362" s="3"/>
      <c r="U362" s="51">
        <f t="shared" si="691"/>
        <v>18</v>
      </c>
      <c r="V362" s="52">
        <f t="shared" si="692"/>
        <v>36</v>
      </c>
      <c r="W362" s="53">
        <f>COUNTIFS('00 Encuesta'!$B$2:$B$511,"*c)*",'00 Encuesta'!$C$2:$C$511,"*d)*",'00 Encuesta'!$E$2:$E$511,"*a)*",'00 Encuesta'!$AT$2:$AT$511,"*b)*")</f>
        <v>11</v>
      </c>
      <c r="X362" s="52">
        <f t="shared" si="693"/>
        <v>40.74074074074074</v>
      </c>
      <c r="Y362" s="53">
        <f>COUNTIFS('00 Encuesta'!$B$2:$B$511,"*c)*",'00 Encuesta'!$C$2:$C$511,"*d)*",'00 Encuesta'!$E$2:$E$511,"*b)*",'00 Encuesta'!$AT$2:$AT$511,"*b)*")</f>
        <v>7</v>
      </c>
      <c r="Z362" s="52">
        <f t="shared" si="694"/>
        <v>30.434782608695656</v>
      </c>
      <c r="AA362" s="3"/>
      <c r="AB362" s="62">
        <f t="shared" si="695"/>
        <v>60</v>
      </c>
      <c r="AC362" s="52">
        <f t="shared" si="696"/>
        <v>36.144578313253014</v>
      </c>
      <c r="AD362" s="3"/>
      <c r="AE362" s="3"/>
      <c r="AF362" s="9" t="str">
        <f t="shared" si="697"/>
        <v>b) Buena</v>
      </c>
      <c r="AG362" s="72">
        <f t="shared" si="698"/>
        <v>36.363636363636367</v>
      </c>
      <c r="AH362" s="72">
        <f t="shared" si="699"/>
        <v>37.5</v>
      </c>
      <c r="AI362" s="73">
        <f t="shared" si="700"/>
        <v>36.923076923076927</v>
      </c>
      <c r="AJ362" s="73"/>
      <c r="AK362" s="76">
        <f t="shared" si="701"/>
        <v>35.714285714285715</v>
      </c>
      <c r="AL362" s="76">
        <f t="shared" si="702"/>
        <v>34.782608695652172</v>
      </c>
      <c r="AM362" s="76">
        <f t="shared" si="703"/>
        <v>35.294117647058826</v>
      </c>
      <c r="AN362" s="76"/>
      <c r="AO362" s="81">
        <f t="shared" si="704"/>
        <v>40.74074074074074</v>
      </c>
      <c r="AP362" s="81">
        <f t="shared" si="705"/>
        <v>30.434782608695656</v>
      </c>
      <c r="AQ362" s="81">
        <f t="shared" si="706"/>
        <v>36</v>
      </c>
      <c r="AR362" s="3"/>
      <c r="AS362" s="76">
        <f t="shared" si="658"/>
        <v>36.144578313253014</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x14ac:dyDescent="0.3">
      <c r="A363" s="8" t="s">
        <v>20</v>
      </c>
      <c r="B363" s="9" t="s">
        <v>218</v>
      </c>
      <c r="C363" s="3"/>
      <c r="D363" s="3"/>
      <c r="E363" s="3"/>
      <c r="F363" s="71">
        <v>50</v>
      </c>
      <c r="G363" s="51">
        <f t="shared" si="683"/>
        <v>6</v>
      </c>
      <c r="H363" s="52">
        <f t="shared" si="684"/>
        <v>9.2307692307692317</v>
      </c>
      <c r="I363" s="53">
        <f>COUNTIFS('00 Encuesta'!$B$2:$B$511,"*c)*",'00 Encuesta'!$C$2:$C$511,"*a)*",'00 Encuesta'!$E$2:$E$511,"*a)*",'00 Encuesta'!$AT$2:$AT$511,"*c)*")</f>
        <v>3</v>
      </c>
      <c r="J363" s="52">
        <f t="shared" si="685"/>
        <v>9.0909090909090917</v>
      </c>
      <c r="K363" s="53">
        <f>COUNTIFS('00 Encuesta'!$B$2:$B$511,"*c)*",'00 Encuesta'!$C$2:$C$511,"*a)*",'00 Encuesta'!$E$2:$E$511,"*b)*",'00 Encuesta'!$AT$2:$AT$511,"*c)*")</f>
        <v>3</v>
      </c>
      <c r="L363" s="52">
        <f t="shared" si="686"/>
        <v>9.375</v>
      </c>
      <c r="M363" s="23"/>
      <c r="N363" s="51">
        <f t="shared" si="687"/>
        <v>9</v>
      </c>
      <c r="O363" s="52">
        <f t="shared" si="688"/>
        <v>17.647058823529413</v>
      </c>
      <c r="P363" s="53">
        <f>COUNTIFS('00 Encuesta'!$B$2:$B$511,"*c)*",'00 Encuesta'!$C$2:$C$511,"*b)*",'00 Encuesta'!$E$2:$E$511,"*a)*",'00 Encuesta'!$AT$2:$AT$511,"*c)*")</f>
        <v>3</v>
      </c>
      <c r="Q363" s="52">
        <f t="shared" si="689"/>
        <v>10.714285714285714</v>
      </c>
      <c r="R363" s="53">
        <f>COUNTIFS('00 Encuesta'!$B$2:$B$511,"*c)*",'00 Encuesta'!$C$2:$C$511,"*b)*",'00 Encuesta'!$E$2:$E$511,"*b)*",'00 Encuesta'!$AT$2:$AT$511,"*c)*")</f>
        <v>6</v>
      </c>
      <c r="S363" s="52">
        <f t="shared" si="690"/>
        <v>26.086956521739129</v>
      </c>
      <c r="T363" s="3"/>
      <c r="U363" s="51">
        <f t="shared" si="691"/>
        <v>8</v>
      </c>
      <c r="V363" s="52">
        <f t="shared" si="692"/>
        <v>16</v>
      </c>
      <c r="W363" s="53">
        <f>COUNTIFS('00 Encuesta'!$B$2:$B$511,"*c)*",'00 Encuesta'!$C$2:$C$511,"*d)*",'00 Encuesta'!$E$2:$E$511,"*a)*",'00 Encuesta'!$AT$2:$AT$511,"*c)*")</f>
        <v>4</v>
      </c>
      <c r="X363" s="52">
        <f t="shared" si="693"/>
        <v>14.814814814814813</v>
      </c>
      <c r="Y363" s="53">
        <f>COUNTIFS('00 Encuesta'!$B$2:$B$511,"*c)*",'00 Encuesta'!$C$2:$C$511,"*d)*",'00 Encuesta'!$E$2:$E$511,"*b)*",'00 Encuesta'!$AT$2:$AT$511,"*c)*")</f>
        <v>4</v>
      </c>
      <c r="Z363" s="52">
        <f t="shared" si="694"/>
        <v>17.391304347826086</v>
      </c>
      <c r="AA363" s="3"/>
      <c r="AB363" s="62">
        <f t="shared" si="695"/>
        <v>23</v>
      </c>
      <c r="AC363" s="52">
        <f t="shared" si="696"/>
        <v>13.855421686746988</v>
      </c>
      <c r="AD363" s="3"/>
      <c r="AE363" s="3"/>
      <c r="AF363" s="9" t="str">
        <f t="shared" si="697"/>
        <v>c) Regular</v>
      </c>
      <c r="AG363" s="72">
        <f t="shared" si="698"/>
        <v>9.0909090909090917</v>
      </c>
      <c r="AH363" s="72">
        <f t="shared" si="699"/>
        <v>9.375</v>
      </c>
      <c r="AI363" s="73">
        <f t="shared" si="700"/>
        <v>9.2307692307692317</v>
      </c>
      <c r="AJ363" s="73"/>
      <c r="AK363" s="76">
        <f t="shared" si="701"/>
        <v>10.714285714285714</v>
      </c>
      <c r="AL363" s="76">
        <f t="shared" si="702"/>
        <v>26.086956521739129</v>
      </c>
      <c r="AM363" s="76">
        <f t="shared" si="703"/>
        <v>17.647058823529413</v>
      </c>
      <c r="AN363" s="76"/>
      <c r="AO363" s="81">
        <f t="shared" si="704"/>
        <v>14.814814814814813</v>
      </c>
      <c r="AP363" s="81">
        <f t="shared" si="705"/>
        <v>17.391304347826086</v>
      </c>
      <c r="AQ363" s="81">
        <f t="shared" si="706"/>
        <v>16</v>
      </c>
      <c r="AR363" s="3"/>
      <c r="AS363" s="76">
        <f t="shared" si="658"/>
        <v>13.855421686746988</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x14ac:dyDescent="0.3">
      <c r="A364" s="8" t="s">
        <v>21</v>
      </c>
      <c r="B364" s="9" t="s">
        <v>231</v>
      </c>
      <c r="C364" s="3"/>
      <c r="D364" s="3"/>
      <c r="E364" s="3"/>
      <c r="F364" s="71">
        <v>25</v>
      </c>
      <c r="G364" s="51">
        <f t="shared" si="683"/>
        <v>2</v>
      </c>
      <c r="H364" s="52">
        <f t="shared" si="684"/>
        <v>3.0769230769230771</v>
      </c>
      <c r="I364" s="53">
        <f>COUNTIFS('00 Encuesta'!$B$2:$B$511,"*c)*",'00 Encuesta'!$C$2:$C$511,"*a)*",'00 Encuesta'!$E$2:$E$511,"*a)*",'00 Encuesta'!$AT$2:$AT$511,"*d)*")</f>
        <v>1</v>
      </c>
      <c r="J364" s="52">
        <f t="shared" si="685"/>
        <v>3.0303030303030303</v>
      </c>
      <c r="K364" s="53">
        <f>COUNTIFS('00 Encuesta'!$B$2:$B$511,"*c)*",'00 Encuesta'!$C$2:$C$511,"*a)*",'00 Encuesta'!$E$2:$E$511,"*b)*",'00 Encuesta'!$AT$2:$AT$511,"*d)*")</f>
        <v>1</v>
      </c>
      <c r="L364" s="52">
        <f t="shared" si="686"/>
        <v>3.125</v>
      </c>
      <c r="M364" s="23"/>
      <c r="N364" s="51">
        <f t="shared" si="687"/>
        <v>3</v>
      </c>
      <c r="O364" s="52">
        <f t="shared" si="688"/>
        <v>5.8823529411764701</v>
      </c>
      <c r="P364" s="53">
        <f>COUNTIFS('00 Encuesta'!$B$2:$B$511,"*c)*",'00 Encuesta'!$C$2:$C$511,"*b)*",'00 Encuesta'!$E$2:$E$511,"*a)*",'00 Encuesta'!$AT$2:$AT$511,"*d)*")</f>
        <v>3</v>
      </c>
      <c r="Q364" s="52">
        <f t="shared" si="689"/>
        <v>10.714285714285714</v>
      </c>
      <c r="R364" s="53">
        <f>COUNTIFS('00 Encuesta'!$B$2:$B$511,"*c)*",'00 Encuesta'!$C$2:$C$511,"*b)*",'00 Encuesta'!$E$2:$E$511,"*b)*",'00 Encuesta'!$AT$2:$AT$511,"*d)*")</f>
        <v>0</v>
      </c>
      <c r="S364" s="52">
        <f t="shared" si="690"/>
        <v>0</v>
      </c>
      <c r="T364" s="3"/>
      <c r="U364" s="51">
        <f t="shared" si="691"/>
        <v>1</v>
      </c>
      <c r="V364" s="52">
        <f t="shared" si="692"/>
        <v>2</v>
      </c>
      <c r="W364" s="53">
        <f>COUNTIFS('00 Encuesta'!$B$2:$B$511,"*c)*",'00 Encuesta'!$C$2:$C$511,"*d)*",'00 Encuesta'!$E$2:$E$511,"*a)*",'00 Encuesta'!$AT$2:$AT$511,"*d)*")</f>
        <v>0</v>
      </c>
      <c r="X364" s="52">
        <f t="shared" si="693"/>
        <v>0</v>
      </c>
      <c r="Y364" s="53">
        <f>COUNTIFS('00 Encuesta'!$B$2:$B$511,"*c)*",'00 Encuesta'!$C$2:$C$511,"*d)*",'00 Encuesta'!$E$2:$E$511,"*b)*",'00 Encuesta'!$AT$2:$AT$511,"*d)*")</f>
        <v>1</v>
      </c>
      <c r="Z364" s="52">
        <f t="shared" si="694"/>
        <v>4.3478260869565215</v>
      </c>
      <c r="AA364" s="3"/>
      <c r="AB364" s="62">
        <f t="shared" si="695"/>
        <v>6</v>
      </c>
      <c r="AC364" s="52">
        <f t="shared" si="696"/>
        <v>3.6144578313253013</v>
      </c>
      <c r="AD364" s="3"/>
      <c r="AE364" s="3"/>
      <c r="AF364" s="9" t="str">
        <f t="shared" si="697"/>
        <v>d) Mala</v>
      </c>
      <c r="AG364" s="72">
        <f t="shared" si="698"/>
        <v>3.0303030303030303</v>
      </c>
      <c r="AH364" s="72">
        <f t="shared" si="699"/>
        <v>3.125</v>
      </c>
      <c r="AI364" s="73">
        <f t="shared" si="700"/>
        <v>3.0769230769230771</v>
      </c>
      <c r="AJ364" s="73"/>
      <c r="AK364" s="76">
        <f t="shared" si="701"/>
        <v>10.714285714285714</v>
      </c>
      <c r="AL364" s="76">
        <f t="shared" si="702"/>
        <v>0</v>
      </c>
      <c r="AM364" s="76">
        <f t="shared" si="703"/>
        <v>5.8823529411764701</v>
      </c>
      <c r="AN364" s="76"/>
      <c r="AO364" s="81">
        <f t="shared" si="704"/>
        <v>0</v>
      </c>
      <c r="AP364" s="81">
        <f t="shared" si="705"/>
        <v>4.3478260869565215</v>
      </c>
      <c r="AQ364" s="81">
        <f t="shared" si="706"/>
        <v>2</v>
      </c>
      <c r="AR364" s="3"/>
      <c r="AS364" s="76">
        <f t="shared" si="658"/>
        <v>3.6144578313253013</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x14ac:dyDescent="0.3">
      <c r="A365" s="8" t="s">
        <v>22</v>
      </c>
      <c r="B365" s="9" t="s">
        <v>232</v>
      </c>
      <c r="C365" s="3"/>
      <c r="D365" s="3"/>
      <c r="E365" s="3"/>
      <c r="F365" s="71">
        <v>0</v>
      </c>
      <c r="G365" s="51">
        <f t="shared" si="683"/>
        <v>0</v>
      </c>
      <c r="H365" s="52">
        <f t="shared" si="684"/>
        <v>0</v>
      </c>
      <c r="I365" s="53">
        <f>COUNTIFS('00 Encuesta'!$B$2:$B$511,"*c)*",'00 Encuesta'!$C$2:$C$511,"*a)*",'00 Encuesta'!$E$2:$E$511,"*a)*",'00 Encuesta'!$AT$2:$AT$511,"*e)*")</f>
        <v>0</v>
      </c>
      <c r="J365" s="52">
        <f t="shared" si="685"/>
        <v>0</v>
      </c>
      <c r="K365" s="53">
        <f>COUNTIFS('00 Encuesta'!$B$2:$B$511,"*c)*",'00 Encuesta'!$C$2:$C$511,"*a)*",'00 Encuesta'!$E$2:$E$511,"*b)*",'00 Encuesta'!$AT$2:$AT$511,"*e)*")</f>
        <v>0</v>
      </c>
      <c r="L365" s="52">
        <f t="shared" si="686"/>
        <v>0</v>
      </c>
      <c r="M365" s="23"/>
      <c r="N365" s="51">
        <f t="shared" si="687"/>
        <v>0</v>
      </c>
      <c r="O365" s="52">
        <f t="shared" si="688"/>
        <v>0</v>
      </c>
      <c r="P365" s="53">
        <f>COUNTIFS('00 Encuesta'!$B$2:$B$511,"*c)*",'00 Encuesta'!$C$2:$C$511,"*b)*",'00 Encuesta'!$E$2:$E$511,"*a)*",'00 Encuesta'!$AT$2:$AT$511,"*e)*")</f>
        <v>0</v>
      </c>
      <c r="Q365" s="52">
        <f t="shared" si="689"/>
        <v>0</v>
      </c>
      <c r="R365" s="53">
        <f>COUNTIFS('00 Encuesta'!$B$2:$B$511,"*c)*",'00 Encuesta'!$C$2:$C$511,"*b)*",'00 Encuesta'!$E$2:$E$511,"*b)*",'00 Encuesta'!$AT$2:$AT$511,"*e)*")</f>
        <v>0</v>
      </c>
      <c r="S365" s="52">
        <f t="shared" si="690"/>
        <v>0</v>
      </c>
      <c r="T365" s="3"/>
      <c r="U365" s="51">
        <f t="shared" si="691"/>
        <v>2</v>
      </c>
      <c r="V365" s="52">
        <f t="shared" si="692"/>
        <v>4</v>
      </c>
      <c r="W365" s="53">
        <f>COUNTIFS('00 Encuesta'!$B$2:$B$511,"*c)*",'00 Encuesta'!$C$2:$C$511,"*d)*",'00 Encuesta'!$E$2:$E$511,"*a)*",'00 Encuesta'!$AT$2:$AT$511,"*e)*")</f>
        <v>1</v>
      </c>
      <c r="X365" s="52">
        <f t="shared" si="693"/>
        <v>3.7037037037037033</v>
      </c>
      <c r="Y365" s="53">
        <f>COUNTIFS('00 Encuesta'!$B$2:$B$511,"*c)*",'00 Encuesta'!$C$2:$C$511,"*d)*",'00 Encuesta'!$E$2:$E$511,"*b)*",'00 Encuesta'!$AT$2:$AT$511,"*e)*")</f>
        <v>1</v>
      </c>
      <c r="Z365" s="52">
        <f t="shared" si="694"/>
        <v>4.3478260869565215</v>
      </c>
      <c r="AA365" s="3"/>
      <c r="AB365" s="62">
        <f t="shared" si="695"/>
        <v>2</v>
      </c>
      <c r="AC365" s="52">
        <f t="shared" si="696"/>
        <v>1.2048192771084338</v>
      </c>
      <c r="AD365" s="3"/>
      <c r="AE365" s="3"/>
      <c r="AF365" s="9" t="str">
        <f t="shared" si="697"/>
        <v>e) Muy mala</v>
      </c>
      <c r="AG365" s="72">
        <f t="shared" si="698"/>
        <v>0</v>
      </c>
      <c r="AH365" s="72">
        <f t="shared" si="699"/>
        <v>0</v>
      </c>
      <c r="AI365" s="73">
        <f t="shared" si="700"/>
        <v>0</v>
      </c>
      <c r="AJ365" s="73"/>
      <c r="AK365" s="76">
        <f t="shared" si="701"/>
        <v>0</v>
      </c>
      <c r="AL365" s="76">
        <f t="shared" si="702"/>
        <v>0</v>
      </c>
      <c r="AM365" s="76">
        <f t="shared" si="703"/>
        <v>0</v>
      </c>
      <c r="AN365" s="76"/>
      <c r="AO365" s="81">
        <f t="shared" si="704"/>
        <v>3.7037037037037033</v>
      </c>
      <c r="AP365" s="81">
        <f t="shared" si="705"/>
        <v>4.3478260869565215</v>
      </c>
      <c r="AQ365" s="81">
        <f t="shared" si="706"/>
        <v>4</v>
      </c>
      <c r="AR365" s="3"/>
      <c r="AS365" s="76">
        <f t="shared" si="658"/>
        <v>1.2048192771084338</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x14ac:dyDescent="0.3">
      <c r="A366" s="8" t="s">
        <v>45</v>
      </c>
      <c r="B366" s="9" t="s">
        <v>233</v>
      </c>
      <c r="C366" s="7"/>
      <c r="D366" s="7"/>
      <c r="E366" s="7"/>
      <c r="F366" s="71"/>
      <c r="G366" s="51">
        <f t="shared" si="683"/>
        <v>0</v>
      </c>
      <c r="H366" s="52">
        <f t="shared" si="684"/>
        <v>0</v>
      </c>
      <c r="I366" s="53">
        <f>COUNTIFS('00 Encuesta'!$B$2:$B$511,"*c)*",'00 Encuesta'!$C$2:$C$511,"*a)*",'00 Encuesta'!$E$2:$E$511,"*a)*",'00 Encuesta'!$AT$2:$AT$511,"*f)*")</f>
        <v>0</v>
      </c>
      <c r="J366" s="52">
        <f t="shared" si="685"/>
        <v>0</v>
      </c>
      <c r="K366" s="53">
        <f>COUNTIFS('00 Encuesta'!$B$2:$B$511,"*c)*",'00 Encuesta'!$C$2:$C$511,"*a)*",'00 Encuesta'!$E$2:$E$511,"*b)*",'00 Encuesta'!$AT$2:$AT$511,"*f)*")</f>
        <v>0</v>
      </c>
      <c r="L366" s="52">
        <f t="shared" si="686"/>
        <v>0</v>
      </c>
      <c r="M366" s="23"/>
      <c r="N366" s="51">
        <f t="shared" si="687"/>
        <v>1</v>
      </c>
      <c r="O366" s="52">
        <f t="shared" si="688"/>
        <v>1.9607843137254901</v>
      </c>
      <c r="P366" s="53">
        <f>COUNTIFS('00 Encuesta'!$B$2:$B$511,"*c)*",'00 Encuesta'!$C$2:$C$511,"*b)*",'00 Encuesta'!$E$2:$E$511,"*a)*",'00 Encuesta'!$AT$2:$AT$511,"*f)*")</f>
        <v>1</v>
      </c>
      <c r="Q366" s="52">
        <f t="shared" si="689"/>
        <v>3.5714285714285712</v>
      </c>
      <c r="R366" s="53">
        <f>COUNTIFS('00 Encuesta'!$B$2:$B$511,"*c)*",'00 Encuesta'!$C$2:$C$511,"*b)*",'00 Encuesta'!$E$2:$E$511,"*b)*",'00 Encuesta'!$AT$2:$AT$511,"*f)*")</f>
        <v>0</v>
      </c>
      <c r="S366" s="52">
        <f t="shared" si="690"/>
        <v>0</v>
      </c>
      <c r="T366" s="3"/>
      <c r="U366" s="51">
        <f t="shared" si="691"/>
        <v>1</v>
      </c>
      <c r="V366" s="52">
        <f t="shared" si="692"/>
        <v>2</v>
      </c>
      <c r="W366" s="53">
        <f>COUNTIFS('00 Encuesta'!$B$2:$B$511,"*c)*",'00 Encuesta'!$C$2:$C$511,"*d)*",'00 Encuesta'!$E$2:$E$511,"*a)*",'00 Encuesta'!$AT$2:$AT$511,"*f)*")</f>
        <v>1</v>
      </c>
      <c r="X366" s="52">
        <f t="shared" si="693"/>
        <v>3.7037037037037033</v>
      </c>
      <c r="Y366" s="53">
        <f>COUNTIFS('00 Encuesta'!$B$2:$B$511,"*c)*",'00 Encuesta'!$C$2:$C$511,"*d)*",'00 Encuesta'!$E$2:$E$511,"*b)*",'00 Encuesta'!$AT$2:$AT$511,"*f)*")</f>
        <v>0</v>
      </c>
      <c r="Z366" s="52">
        <f t="shared" si="694"/>
        <v>0</v>
      </c>
      <c r="AA366" s="3"/>
      <c r="AB366" s="62">
        <f t="shared" si="695"/>
        <v>2</v>
      </c>
      <c r="AC366" s="52">
        <f t="shared" si="696"/>
        <v>1.2048192771084338</v>
      </c>
      <c r="AD366" s="3"/>
      <c r="AE366" s="3"/>
      <c r="AF366" s="9" t="str">
        <f t="shared" si="697"/>
        <v>f) No aplica</v>
      </c>
      <c r="AG366" s="72">
        <f t="shared" si="698"/>
        <v>0</v>
      </c>
      <c r="AH366" s="72">
        <f t="shared" si="699"/>
        <v>0</v>
      </c>
      <c r="AI366" s="73">
        <f t="shared" si="700"/>
        <v>0</v>
      </c>
      <c r="AJ366" s="73"/>
      <c r="AK366" s="76">
        <f t="shared" si="701"/>
        <v>3.5714285714285712</v>
      </c>
      <c r="AL366" s="76">
        <f t="shared" si="702"/>
        <v>0</v>
      </c>
      <c r="AM366" s="76">
        <f t="shared" si="703"/>
        <v>1.9607843137254901</v>
      </c>
      <c r="AN366" s="76"/>
      <c r="AO366" s="81">
        <f t="shared" si="704"/>
        <v>3.7037037037037033</v>
      </c>
      <c r="AP366" s="81">
        <f t="shared" si="705"/>
        <v>0</v>
      </c>
      <c r="AQ366" s="81">
        <f t="shared" si="706"/>
        <v>2</v>
      </c>
      <c r="AR366" s="3"/>
      <c r="AS366" s="76">
        <f t="shared" si="658"/>
        <v>1.2048192771084338</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83.064516129032256</v>
      </c>
      <c r="AH367" s="82">
        <f>($F361*K361+$F362*K362+$F363*K363+$F364*K364+$F365*K365)/(K361+K362+K363+K364+K365)</f>
        <v>83.064516129032256</v>
      </c>
      <c r="AI367" s="82">
        <f>($F361*G361+$F362*G362+$F363*G363+$F364*G364+$F365*G365)/(G361+G362+G363+G364+G365)</f>
        <v>83.064516129032256</v>
      </c>
      <c r="AJ367" s="82"/>
      <c r="AK367" s="82">
        <f>($F361*Q361+$F362*Q362+$F363*Q363+$F364*Q364+$F365*Q365)/(Q361+Q362+Q363+Q364+Q365)</f>
        <v>75.961538461538467</v>
      </c>
      <c r="AL367" s="82">
        <f>($F361*S361+$F362*S362+$F363*S363+$F364*S364+$F365*S365)/(S361+S362+S363+S364+S365)</f>
        <v>78.260869565217376</v>
      </c>
      <c r="AM367" s="82">
        <f>($F361*O361+$F362*O362+$F363*O363+$F364*O364+$F365*O365)/(O361+O362+O363+O364+O365)</f>
        <v>77.040816326530617</v>
      </c>
      <c r="AN367" s="82"/>
      <c r="AO367" s="82">
        <f>($F361*W361+$F362*W362+$F363*W363+$F364*W364+$F365*W365)/(W361+W362+W363+W364+W365)</f>
        <v>77.884615384615387</v>
      </c>
      <c r="AP367" s="82">
        <f>($F361*Y361+$F362*Y362+$F363*Y363+$F364*Y364+$F365*Y365)/(Y361+Y362+Y363+Y364+Y365)</f>
        <v>76.086956521739125</v>
      </c>
      <c r="AQ367" s="82">
        <f>($F361*U361+$F362*U362+$F363*U363+$F364*U364+$F365*U365)/(U361+U362+U363+U364+U365)</f>
        <v>77.040816326530617</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 x14ac:dyDescent="0.35">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x14ac:dyDescent="0.3">
      <c r="A369" s="8" t="s">
        <v>17</v>
      </c>
      <c r="B369" s="9" t="s">
        <v>229</v>
      </c>
      <c r="C369" s="3"/>
      <c r="D369" s="3"/>
      <c r="E369" s="3"/>
      <c r="F369" s="71">
        <v>100</v>
      </c>
      <c r="G369" s="51">
        <f t="shared" ref="G369:G374" si="707">I369+K369</f>
        <v>26</v>
      </c>
      <c r="H369" s="52">
        <f t="shared" ref="H369:H374" si="708">G369/$J$5*100</f>
        <v>40</v>
      </c>
      <c r="I369" s="53">
        <f>COUNTIFS('00 Encuesta'!$B$2:$B$511,"*c)*",'00 Encuesta'!$C$2:$C$511,"*a)*",'00 Encuesta'!$E$2:$E$511,"*a)*",'00 Encuesta'!$AU$2:$AU$511,"*a)*")</f>
        <v>14</v>
      </c>
      <c r="J369" s="52">
        <f t="shared" ref="J369:J374" si="709">I369/$J$6*100</f>
        <v>42.424242424242422</v>
      </c>
      <c r="K369" s="53">
        <f>COUNTIFS('00 Encuesta'!$B$2:$B$511,"*c)*",'00 Encuesta'!$C$2:$C$511,"*a)*",'00 Encuesta'!$E$2:$E$511,"*b)*",'00 Encuesta'!$AU$2:$AU$511,"*a)*")</f>
        <v>12</v>
      </c>
      <c r="L369" s="52">
        <f t="shared" ref="L369:L374" si="710">K369/$J$7*100</f>
        <v>37.5</v>
      </c>
      <c r="M369" s="23"/>
      <c r="N369" s="51">
        <f t="shared" ref="N369:N374" si="711">P369+R369</f>
        <v>12</v>
      </c>
      <c r="O369" s="52">
        <f t="shared" ref="O369:O374" si="712">N369/$Q$5*100</f>
        <v>23.52941176470588</v>
      </c>
      <c r="P369" s="53">
        <f>COUNTIFS('00 Encuesta'!$B$2:$B$511,"*c)*",'00 Encuesta'!$C$2:$C$511,"*b)*",'00 Encuesta'!$E$2:$E$511,"*a)*",'00 Encuesta'!$AU$2:$AU$511,"*a)*")</f>
        <v>6</v>
      </c>
      <c r="Q369" s="52">
        <f t="shared" ref="Q369:Q374" si="713">P369/$Q$6*100</f>
        <v>21.428571428571427</v>
      </c>
      <c r="R369" s="53">
        <f>COUNTIFS('00 Encuesta'!$B$2:$B$511,"*c)*",'00 Encuesta'!$C$2:$C$511,"*b)*",'00 Encuesta'!$E$2:$E$511,"*b)*",'00 Encuesta'!$AU$2:$AU$511,"*a)*")</f>
        <v>6</v>
      </c>
      <c r="S369" s="52">
        <f t="shared" ref="S369:S374" si="714">R369/$Q$7*100</f>
        <v>26.086956521739129</v>
      </c>
      <c r="T369" s="3"/>
      <c r="U369" s="51">
        <f t="shared" ref="U369:U374" si="715">W369+Y369</f>
        <v>4</v>
      </c>
      <c r="V369" s="52">
        <f t="shared" ref="V369:V374" si="716">U369/$X$5*100</f>
        <v>8</v>
      </c>
      <c r="W369" s="53">
        <f>COUNTIFS('00 Encuesta'!$B$2:$B$511,"*c)*",'00 Encuesta'!$C$2:$C$511,"*d)*",'00 Encuesta'!$E$2:$E$511,"*a)*",'00 Encuesta'!$AU$2:$AU$511,"*a)*")</f>
        <v>1</v>
      </c>
      <c r="X369" s="52">
        <f t="shared" ref="X369:X374" si="717">W369/$X$6*100</f>
        <v>3.7037037037037033</v>
      </c>
      <c r="Y369" s="53">
        <f>COUNTIFS('00 Encuesta'!$B$2:$B$511,"*c)*",'00 Encuesta'!$C$2:$C$511,"*d)*",'00 Encuesta'!$E$2:$E$511,"*b)*",'00 Encuesta'!$AU$2:$AU$511,"*a)*")</f>
        <v>3</v>
      </c>
      <c r="Z369" s="52">
        <f t="shared" ref="Z369:Z374" si="718">Y369/$X$7*100</f>
        <v>13.043478260869565</v>
      </c>
      <c r="AA369" s="3"/>
      <c r="AB369" s="62">
        <f t="shared" ref="AB369:AB374" si="719">G369+N369+U369</f>
        <v>42</v>
      </c>
      <c r="AC369" s="52">
        <f t="shared" ref="AC369:AC374" si="720">AB369*100/$AC$5</f>
        <v>25.301204819277107</v>
      </c>
      <c r="AD369" s="3"/>
      <c r="AE369" s="3"/>
      <c r="AF369" s="9" t="str">
        <f t="shared" ref="AF369:AF374" si="721">A369&amp;" "&amp;B369</f>
        <v>a) Muy buena</v>
      </c>
      <c r="AG369" s="72">
        <f t="shared" ref="AG369:AG374" si="722">J369</f>
        <v>42.424242424242422</v>
      </c>
      <c r="AH369" s="72">
        <f t="shared" ref="AH369:AH374" si="723">L369</f>
        <v>37.5</v>
      </c>
      <c r="AI369" s="73">
        <f t="shared" ref="AI369:AI374" si="724">H369</f>
        <v>40</v>
      </c>
      <c r="AJ369" s="73"/>
      <c r="AK369" s="76">
        <f t="shared" ref="AK369:AK374" si="725">Q369</f>
        <v>21.428571428571427</v>
      </c>
      <c r="AL369" s="76">
        <f t="shared" ref="AL369:AL374" si="726">S369</f>
        <v>26.086956521739129</v>
      </c>
      <c r="AM369" s="76">
        <f t="shared" ref="AM369:AM374" si="727">O369</f>
        <v>23.52941176470588</v>
      </c>
      <c r="AN369" s="76"/>
      <c r="AO369" s="81">
        <f t="shared" ref="AO369:AO374" si="728">X369</f>
        <v>3.7037037037037033</v>
      </c>
      <c r="AP369" s="81">
        <f t="shared" ref="AP369:AP374" si="729">Z369</f>
        <v>13.043478260869565</v>
      </c>
      <c r="AQ369" s="81">
        <f t="shared" ref="AQ369:AQ374" si="730">V369</f>
        <v>8</v>
      </c>
      <c r="AR369" s="3"/>
      <c r="AS369" s="76">
        <f t="shared" si="658"/>
        <v>25.301204819277107</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x14ac:dyDescent="0.3">
      <c r="A370" s="8" t="s">
        <v>18</v>
      </c>
      <c r="B370" s="9" t="s">
        <v>230</v>
      </c>
      <c r="C370" s="3"/>
      <c r="D370" s="3"/>
      <c r="E370" s="3"/>
      <c r="F370" s="71">
        <v>75</v>
      </c>
      <c r="G370" s="51">
        <f t="shared" si="707"/>
        <v>29</v>
      </c>
      <c r="H370" s="52">
        <f t="shared" si="708"/>
        <v>44.61538461538462</v>
      </c>
      <c r="I370" s="53">
        <f>COUNTIFS('00 Encuesta'!$B$2:$B$511,"*c)*",'00 Encuesta'!$C$2:$C$511,"*a)*",'00 Encuesta'!$E$2:$E$511,"*a)*",'00 Encuesta'!$AU$2:$AU$511,"*b)*")</f>
        <v>16</v>
      </c>
      <c r="J370" s="52">
        <f t="shared" si="709"/>
        <v>48.484848484848484</v>
      </c>
      <c r="K370" s="53">
        <f>COUNTIFS('00 Encuesta'!$B$2:$B$511,"*c)*",'00 Encuesta'!$C$2:$C$511,"*a)*",'00 Encuesta'!$E$2:$E$511,"*b)*",'00 Encuesta'!$AU$2:$AU$511,"*b)*")</f>
        <v>13</v>
      </c>
      <c r="L370" s="52">
        <f t="shared" si="710"/>
        <v>40.625</v>
      </c>
      <c r="M370" s="23"/>
      <c r="N370" s="51">
        <f t="shared" si="711"/>
        <v>18</v>
      </c>
      <c r="O370" s="52">
        <f t="shared" si="712"/>
        <v>35.294117647058826</v>
      </c>
      <c r="P370" s="53">
        <f>COUNTIFS('00 Encuesta'!$B$2:$B$511,"*c)*",'00 Encuesta'!$C$2:$C$511,"*b)*",'00 Encuesta'!$E$2:$E$511,"*a)*",'00 Encuesta'!$AU$2:$AU$511,"*b)*")</f>
        <v>8</v>
      </c>
      <c r="Q370" s="52">
        <f t="shared" si="713"/>
        <v>28.571428571428569</v>
      </c>
      <c r="R370" s="53">
        <f>COUNTIFS('00 Encuesta'!$B$2:$B$511,"*c)*",'00 Encuesta'!$C$2:$C$511,"*b)*",'00 Encuesta'!$E$2:$E$511,"*b)*",'00 Encuesta'!$AU$2:$AU$511,"*b)*")</f>
        <v>10</v>
      </c>
      <c r="S370" s="52">
        <f t="shared" si="714"/>
        <v>43.478260869565219</v>
      </c>
      <c r="T370" s="3"/>
      <c r="U370" s="51">
        <f t="shared" si="715"/>
        <v>24</v>
      </c>
      <c r="V370" s="52">
        <f t="shared" si="716"/>
        <v>48</v>
      </c>
      <c r="W370" s="53">
        <f>COUNTIFS('00 Encuesta'!$B$2:$B$511,"*c)*",'00 Encuesta'!$C$2:$C$511,"*d)*",'00 Encuesta'!$E$2:$E$511,"*a)*",'00 Encuesta'!$AU$2:$AU$511,"*b)*")</f>
        <v>11</v>
      </c>
      <c r="X370" s="52">
        <f t="shared" si="717"/>
        <v>40.74074074074074</v>
      </c>
      <c r="Y370" s="53">
        <f>COUNTIFS('00 Encuesta'!$B$2:$B$511,"*c)*",'00 Encuesta'!$C$2:$C$511,"*d)*",'00 Encuesta'!$E$2:$E$511,"*b)*",'00 Encuesta'!$AU$2:$AU$511,"*b)*")</f>
        <v>13</v>
      </c>
      <c r="Z370" s="52">
        <f t="shared" si="718"/>
        <v>56.521739130434781</v>
      </c>
      <c r="AA370" s="3"/>
      <c r="AB370" s="62">
        <f t="shared" si="719"/>
        <v>71</v>
      </c>
      <c r="AC370" s="52">
        <f t="shared" si="720"/>
        <v>42.7710843373494</v>
      </c>
      <c r="AD370" s="3"/>
      <c r="AE370" s="3"/>
      <c r="AF370" s="9" t="str">
        <f t="shared" si="721"/>
        <v>b) Buena</v>
      </c>
      <c r="AG370" s="72">
        <f t="shared" si="722"/>
        <v>48.484848484848484</v>
      </c>
      <c r="AH370" s="72">
        <f t="shared" si="723"/>
        <v>40.625</v>
      </c>
      <c r="AI370" s="73">
        <f t="shared" si="724"/>
        <v>44.61538461538462</v>
      </c>
      <c r="AJ370" s="73"/>
      <c r="AK370" s="76">
        <f t="shared" si="725"/>
        <v>28.571428571428569</v>
      </c>
      <c r="AL370" s="76">
        <f t="shared" si="726"/>
        <v>43.478260869565219</v>
      </c>
      <c r="AM370" s="76">
        <f t="shared" si="727"/>
        <v>35.294117647058826</v>
      </c>
      <c r="AN370" s="76"/>
      <c r="AO370" s="81">
        <f t="shared" si="728"/>
        <v>40.74074074074074</v>
      </c>
      <c r="AP370" s="81">
        <f t="shared" si="729"/>
        <v>56.521739130434781</v>
      </c>
      <c r="AQ370" s="81">
        <f t="shared" si="730"/>
        <v>48</v>
      </c>
      <c r="AR370" s="3"/>
      <c r="AS370" s="76">
        <f t="shared" si="658"/>
        <v>42.7710843373494</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x14ac:dyDescent="0.3">
      <c r="A371" s="8" t="s">
        <v>20</v>
      </c>
      <c r="B371" s="9" t="s">
        <v>218</v>
      </c>
      <c r="C371" s="3"/>
      <c r="D371" s="3"/>
      <c r="E371" s="3"/>
      <c r="F371" s="71">
        <v>50</v>
      </c>
      <c r="G371" s="51">
        <f t="shared" si="707"/>
        <v>6</v>
      </c>
      <c r="H371" s="52">
        <f t="shared" si="708"/>
        <v>9.2307692307692317</v>
      </c>
      <c r="I371" s="53">
        <f>COUNTIFS('00 Encuesta'!$B$2:$B$511,"*c)*",'00 Encuesta'!$C$2:$C$511,"*a)*",'00 Encuesta'!$E$2:$E$511,"*a)*",'00 Encuesta'!$AU$2:$AU$511,"*c)*")</f>
        <v>1</v>
      </c>
      <c r="J371" s="52">
        <f t="shared" si="709"/>
        <v>3.0303030303030303</v>
      </c>
      <c r="K371" s="53">
        <f>COUNTIFS('00 Encuesta'!$B$2:$B$511,"*c)*",'00 Encuesta'!$C$2:$C$511,"*a)*",'00 Encuesta'!$E$2:$E$511,"*b)*",'00 Encuesta'!$AU$2:$AU$511,"*c)*")</f>
        <v>5</v>
      </c>
      <c r="L371" s="52">
        <f t="shared" si="710"/>
        <v>15.625</v>
      </c>
      <c r="M371" s="23"/>
      <c r="N371" s="51">
        <f t="shared" si="711"/>
        <v>15</v>
      </c>
      <c r="O371" s="52">
        <f t="shared" si="712"/>
        <v>29.411764705882355</v>
      </c>
      <c r="P371" s="53">
        <f>COUNTIFS('00 Encuesta'!$B$2:$B$511,"*c)*",'00 Encuesta'!$C$2:$C$511,"*b)*",'00 Encuesta'!$E$2:$E$511,"*a)*",'00 Encuesta'!$AU$2:$AU$511,"*c)*")</f>
        <v>8</v>
      </c>
      <c r="Q371" s="52">
        <f t="shared" si="713"/>
        <v>28.571428571428569</v>
      </c>
      <c r="R371" s="53">
        <f>COUNTIFS('00 Encuesta'!$B$2:$B$511,"*c)*",'00 Encuesta'!$C$2:$C$511,"*b)*",'00 Encuesta'!$E$2:$E$511,"*b)*",'00 Encuesta'!$AU$2:$AU$511,"*c)*")</f>
        <v>7</v>
      </c>
      <c r="S371" s="52">
        <f t="shared" si="714"/>
        <v>30.434782608695656</v>
      </c>
      <c r="T371" s="3"/>
      <c r="U371" s="51">
        <f t="shared" si="715"/>
        <v>14</v>
      </c>
      <c r="V371" s="52">
        <f t="shared" si="716"/>
        <v>28.000000000000004</v>
      </c>
      <c r="W371" s="53">
        <f>COUNTIFS('00 Encuesta'!$B$2:$B$511,"*c)*",'00 Encuesta'!$C$2:$C$511,"*d)*",'00 Encuesta'!$E$2:$E$511,"*a)*",'00 Encuesta'!$AU$2:$AU$511,"*c)*")</f>
        <v>10</v>
      </c>
      <c r="X371" s="52">
        <f t="shared" si="717"/>
        <v>37.037037037037038</v>
      </c>
      <c r="Y371" s="53">
        <f>COUNTIFS('00 Encuesta'!$B$2:$B$511,"*c)*",'00 Encuesta'!$C$2:$C$511,"*d)*",'00 Encuesta'!$E$2:$E$511,"*b)*",'00 Encuesta'!$AU$2:$AU$511,"*c)*")</f>
        <v>4</v>
      </c>
      <c r="Z371" s="52">
        <f t="shared" si="718"/>
        <v>17.391304347826086</v>
      </c>
      <c r="AA371" s="3"/>
      <c r="AB371" s="62">
        <f t="shared" si="719"/>
        <v>35</v>
      </c>
      <c r="AC371" s="52">
        <f t="shared" si="720"/>
        <v>21.08433734939759</v>
      </c>
      <c r="AD371" s="3"/>
      <c r="AE371" s="3"/>
      <c r="AF371" s="9" t="str">
        <f t="shared" si="721"/>
        <v>c) Regular</v>
      </c>
      <c r="AG371" s="72">
        <f t="shared" si="722"/>
        <v>3.0303030303030303</v>
      </c>
      <c r="AH371" s="72">
        <f t="shared" si="723"/>
        <v>15.625</v>
      </c>
      <c r="AI371" s="73">
        <f t="shared" si="724"/>
        <v>9.2307692307692317</v>
      </c>
      <c r="AJ371" s="73"/>
      <c r="AK371" s="76">
        <f t="shared" si="725"/>
        <v>28.571428571428569</v>
      </c>
      <c r="AL371" s="76">
        <f t="shared" si="726"/>
        <v>30.434782608695656</v>
      </c>
      <c r="AM371" s="76">
        <f t="shared" si="727"/>
        <v>29.411764705882355</v>
      </c>
      <c r="AN371" s="76"/>
      <c r="AO371" s="81">
        <f t="shared" si="728"/>
        <v>37.037037037037038</v>
      </c>
      <c r="AP371" s="81">
        <f t="shared" si="729"/>
        <v>17.391304347826086</v>
      </c>
      <c r="AQ371" s="81">
        <f t="shared" si="730"/>
        <v>28.000000000000004</v>
      </c>
      <c r="AR371" s="3"/>
      <c r="AS371" s="76">
        <f t="shared" si="658"/>
        <v>21.08433734939759</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x14ac:dyDescent="0.3">
      <c r="A372" s="8" t="s">
        <v>21</v>
      </c>
      <c r="B372" s="9" t="s">
        <v>231</v>
      </c>
      <c r="C372" s="3"/>
      <c r="D372" s="3"/>
      <c r="E372" s="3"/>
      <c r="F372" s="71">
        <v>25</v>
      </c>
      <c r="G372" s="51">
        <f t="shared" si="707"/>
        <v>0</v>
      </c>
      <c r="H372" s="52">
        <f t="shared" si="708"/>
        <v>0</v>
      </c>
      <c r="I372" s="53">
        <f>COUNTIFS('00 Encuesta'!$B$2:$B$511,"*c)*",'00 Encuesta'!$C$2:$C$511,"*a)*",'00 Encuesta'!$E$2:$E$511,"*a)*",'00 Encuesta'!$AU$2:$AU$511,"*d)*")</f>
        <v>0</v>
      </c>
      <c r="J372" s="52">
        <f t="shared" si="709"/>
        <v>0</v>
      </c>
      <c r="K372" s="53">
        <f>COUNTIFS('00 Encuesta'!$B$2:$B$511,"*c)*",'00 Encuesta'!$C$2:$C$511,"*a)*",'00 Encuesta'!$E$2:$E$511,"*b)*",'00 Encuesta'!$AU$2:$AU$511,"*d)*")</f>
        <v>0</v>
      </c>
      <c r="L372" s="52">
        <f t="shared" si="710"/>
        <v>0</v>
      </c>
      <c r="M372" s="23"/>
      <c r="N372" s="51">
        <f t="shared" si="711"/>
        <v>1</v>
      </c>
      <c r="O372" s="52">
        <f t="shared" si="712"/>
        <v>1.9607843137254901</v>
      </c>
      <c r="P372" s="53">
        <f>COUNTIFS('00 Encuesta'!$B$2:$B$511,"*c)*",'00 Encuesta'!$C$2:$C$511,"*b)*",'00 Encuesta'!$E$2:$E$511,"*a)*",'00 Encuesta'!$AU$2:$AU$511,"*d)*")</f>
        <v>1</v>
      </c>
      <c r="Q372" s="52">
        <f t="shared" si="713"/>
        <v>3.5714285714285712</v>
      </c>
      <c r="R372" s="53">
        <f>COUNTIFS('00 Encuesta'!$B$2:$B$511,"*c)*",'00 Encuesta'!$C$2:$C$511,"*b)*",'00 Encuesta'!$E$2:$E$511,"*b)*",'00 Encuesta'!$AU$2:$AU$511,"*d)*")</f>
        <v>0</v>
      </c>
      <c r="S372" s="52">
        <f t="shared" si="714"/>
        <v>0</v>
      </c>
      <c r="T372" s="3"/>
      <c r="U372" s="51">
        <f t="shared" si="715"/>
        <v>2</v>
      </c>
      <c r="V372" s="52">
        <f t="shared" si="716"/>
        <v>4</v>
      </c>
      <c r="W372" s="53">
        <f>COUNTIFS('00 Encuesta'!$B$2:$B$511,"*c)*",'00 Encuesta'!$C$2:$C$511,"*d)*",'00 Encuesta'!$E$2:$E$511,"*a)*",'00 Encuesta'!$AU$2:$AU$511,"*d)*")</f>
        <v>1</v>
      </c>
      <c r="X372" s="52">
        <f t="shared" si="717"/>
        <v>3.7037037037037033</v>
      </c>
      <c r="Y372" s="53">
        <f>COUNTIFS('00 Encuesta'!$B$2:$B$511,"*c)*",'00 Encuesta'!$C$2:$C$511,"*d)*",'00 Encuesta'!$E$2:$E$511,"*b)*",'00 Encuesta'!$AU$2:$AU$511,"*d)*")</f>
        <v>1</v>
      </c>
      <c r="Z372" s="52">
        <f t="shared" si="718"/>
        <v>4.3478260869565215</v>
      </c>
      <c r="AA372" s="3"/>
      <c r="AB372" s="62">
        <f t="shared" si="719"/>
        <v>3</v>
      </c>
      <c r="AC372" s="52">
        <f t="shared" si="720"/>
        <v>1.8072289156626506</v>
      </c>
      <c r="AD372" s="3"/>
      <c r="AE372" s="3"/>
      <c r="AF372" s="9" t="str">
        <f t="shared" si="721"/>
        <v>d) Mala</v>
      </c>
      <c r="AG372" s="72">
        <f t="shared" si="722"/>
        <v>0</v>
      </c>
      <c r="AH372" s="72">
        <f t="shared" si="723"/>
        <v>0</v>
      </c>
      <c r="AI372" s="73">
        <f t="shared" si="724"/>
        <v>0</v>
      </c>
      <c r="AJ372" s="73"/>
      <c r="AK372" s="76">
        <f t="shared" si="725"/>
        <v>3.5714285714285712</v>
      </c>
      <c r="AL372" s="76">
        <f t="shared" si="726"/>
        <v>0</v>
      </c>
      <c r="AM372" s="76">
        <f t="shared" si="727"/>
        <v>1.9607843137254901</v>
      </c>
      <c r="AN372" s="76"/>
      <c r="AO372" s="81">
        <f t="shared" si="728"/>
        <v>3.7037037037037033</v>
      </c>
      <c r="AP372" s="81">
        <f t="shared" si="729"/>
        <v>4.3478260869565215</v>
      </c>
      <c r="AQ372" s="81">
        <f t="shared" si="730"/>
        <v>4</v>
      </c>
      <c r="AR372" s="3"/>
      <c r="AS372" s="76">
        <f t="shared" si="658"/>
        <v>1.8072289156626506</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x14ac:dyDescent="0.3">
      <c r="A373" s="8" t="s">
        <v>22</v>
      </c>
      <c r="B373" s="9" t="s">
        <v>232</v>
      </c>
      <c r="C373" s="3"/>
      <c r="D373" s="3"/>
      <c r="E373" s="3"/>
      <c r="F373" s="71">
        <v>0</v>
      </c>
      <c r="G373" s="51">
        <f t="shared" si="707"/>
        <v>0</v>
      </c>
      <c r="H373" s="52">
        <f t="shared" si="708"/>
        <v>0</v>
      </c>
      <c r="I373" s="53">
        <f>COUNTIFS('00 Encuesta'!$B$2:$B$511,"*c)*",'00 Encuesta'!$C$2:$C$511,"*a)*",'00 Encuesta'!$E$2:$E$511,"*a)*",'00 Encuesta'!$AU$2:$AU$511,"*e)*")</f>
        <v>0</v>
      </c>
      <c r="J373" s="52">
        <f t="shared" si="709"/>
        <v>0</v>
      </c>
      <c r="K373" s="53">
        <f>COUNTIFS('00 Encuesta'!$B$2:$B$511,"*c)*",'00 Encuesta'!$C$2:$C$511,"*a)*",'00 Encuesta'!$E$2:$E$511,"*b)*",'00 Encuesta'!$AU$2:$AU$511,"*e)*")</f>
        <v>0</v>
      </c>
      <c r="L373" s="52">
        <f t="shared" si="710"/>
        <v>0</v>
      </c>
      <c r="M373" s="23"/>
      <c r="N373" s="51">
        <f t="shared" si="711"/>
        <v>0</v>
      </c>
      <c r="O373" s="52">
        <f t="shared" si="712"/>
        <v>0</v>
      </c>
      <c r="P373" s="53">
        <f>COUNTIFS('00 Encuesta'!$B$2:$B$511,"*c)*",'00 Encuesta'!$C$2:$C$511,"*b)*",'00 Encuesta'!$E$2:$E$511,"*a)*",'00 Encuesta'!$AU$2:$AU$511,"*e)*")</f>
        <v>0</v>
      </c>
      <c r="Q373" s="52">
        <f t="shared" si="713"/>
        <v>0</v>
      </c>
      <c r="R373" s="53">
        <f>COUNTIFS('00 Encuesta'!$B$2:$B$511,"*c)*",'00 Encuesta'!$C$2:$C$511,"*b)*",'00 Encuesta'!$E$2:$E$511,"*b)*",'00 Encuesta'!$AU$2:$AU$511,"*e)*")</f>
        <v>0</v>
      </c>
      <c r="S373" s="52">
        <f t="shared" si="714"/>
        <v>0</v>
      </c>
      <c r="T373" s="3"/>
      <c r="U373" s="51">
        <f t="shared" si="715"/>
        <v>4</v>
      </c>
      <c r="V373" s="52">
        <f t="shared" si="716"/>
        <v>8</v>
      </c>
      <c r="W373" s="53">
        <f>COUNTIFS('00 Encuesta'!$B$2:$B$511,"*c)*",'00 Encuesta'!$C$2:$C$511,"*d)*",'00 Encuesta'!$E$2:$E$511,"*a)*",'00 Encuesta'!$AU$2:$AU$511,"*e)*")</f>
        <v>2</v>
      </c>
      <c r="X373" s="52">
        <f t="shared" si="717"/>
        <v>7.4074074074074066</v>
      </c>
      <c r="Y373" s="53">
        <f>COUNTIFS('00 Encuesta'!$B$2:$B$511,"*c)*",'00 Encuesta'!$C$2:$C$511,"*d)*",'00 Encuesta'!$E$2:$E$511,"*b)*",'00 Encuesta'!$AU$2:$AU$511,"*e)*")</f>
        <v>2</v>
      </c>
      <c r="Z373" s="52">
        <f t="shared" si="718"/>
        <v>8.695652173913043</v>
      </c>
      <c r="AA373" s="3"/>
      <c r="AB373" s="62">
        <f t="shared" si="719"/>
        <v>4</v>
      </c>
      <c r="AC373" s="52">
        <f t="shared" si="720"/>
        <v>2.4096385542168677</v>
      </c>
      <c r="AD373" s="3"/>
      <c r="AE373" s="3"/>
      <c r="AF373" s="9" t="str">
        <f t="shared" si="721"/>
        <v>e) Muy mala</v>
      </c>
      <c r="AG373" s="72">
        <f t="shared" si="722"/>
        <v>0</v>
      </c>
      <c r="AH373" s="72">
        <f t="shared" si="723"/>
        <v>0</v>
      </c>
      <c r="AI373" s="73">
        <f t="shared" si="724"/>
        <v>0</v>
      </c>
      <c r="AJ373" s="73"/>
      <c r="AK373" s="76">
        <f t="shared" si="725"/>
        <v>0</v>
      </c>
      <c r="AL373" s="76">
        <f t="shared" si="726"/>
        <v>0</v>
      </c>
      <c r="AM373" s="76">
        <f t="shared" si="727"/>
        <v>0</v>
      </c>
      <c r="AN373" s="76"/>
      <c r="AO373" s="81">
        <f t="shared" si="728"/>
        <v>7.4074074074074066</v>
      </c>
      <c r="AP373" s="81">
        <f t="shared" si="729"/>
        <v>8.695652173913043</v>
      </c>
      <c r="AQ373" s="81">
        <f t="shared" si="730"/>
        <v>8</v>
      </c>
      <c r="AR373" s="3"/>
      <c r="AS373" s="76">
        <f t="shared" si="658"/>
        <v>2.4096385542168677</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x14ac:dyDescent="0.3">
      <c r="A374" s="8" t="s">
        <v>45</v>
      </c>
      <c r="B374" s="9" t="s">
        <v>233</v>
      </c>
      <c r="C374" s="7"/>
      <c r="D374" s="7"/>
      <c r="E374" s="7"/>
      <c r="F374" s="71"/>
      <c r="G374" s="51">
        <f t="shared" si="707"/>
        <v>0</v>
      </c>
      <c r="H374" s="52">
        <f t="shared" si="708"/>
        <v>0</v>
      </c>
      <c r="I374" s="53">
        <f>COUNTIFS('00 Encuesta'!$B$2:$B$511,"*c)*",'00 Encuesta'!$C$2:$C$511,"*a)*",'00 Encuesta'!$E$2:$E$511,"*a)*",'00 Encuesta'!$AU$2:$AU$511,"*f)*")</f>
        <v>0</v>
      </c>
      <c r="J374" s="52">
        <f t="shared" si="709"/>
        <v>0</v>
      </c>
      <c r="K374" s="53">
        <f>COUNTIFS('00 Encuesta'!$B$2:$B$511,"*c)*",'00 Encuesta'!$C$2:$C$511,"*a)*",'00 Encuesta'!$E$2:$E$511,"*b)*",'00 Encuesta'!$AU$2:$AU$511,"*f)*")</f>
        <v>0</v>
      </c>
      <c r="L374" s="52">
        <f t="shared" si="710"/>
        <v>0</v>
      </c>
      <c r="M374" s="23"/>
      <c r="N374" s="51">
        <f t="shared" si="711"/>
        <v>3</v>
      </c>
      <c r="O374" s="52">
        <f t="shared" si="712"/>
        <v>5.8823529411764701</v>
      </c>
      <c r="P374" s="53">
        <f>COUNTIFS('00 Encuesta'!$B$2:$B$511,"*c)*",'00 Encuesta'!$C$2:$C$511,"*b)*",'00 Encuesta'!$E$2:$E$511,"*a)*",'00 Encuesta'!$AU$2:$AU$511,"*f)*")</f>
        <v>3</v>
      </c>
      <c r="Q374" s="52">
        <f t="shared" si="713"/>
        <v>10.714285714285714</v>
      </c>
      <c r="R374" s="53">
        <f>COUNTIFS('00 Encuesta'!$B$2:$B$511,"*c)*",'00 Encuesta'!$C$2:$C$511,"*b)*",'00 Encuesta'!$E$2:$E$511,"*b)*",'00 Encuesta'!$AU$2:$AU$511,"*f)*")</f>
        <v>0</v>
      </c>
      <c r="S374" s="52">
        <f t="shared" si="714"/>
        <v>0</v>
      </c>
      <c r="T374" s="3"/>
      <c r="U374" s="51">
        <f t="shared" si="715"/>
        <v>1</v>
      </c>
      <c r="V374" s="52">
        <f t="shared" si="716"/>
        <v>2</v>
      </c>
      <c r="W374" s="53">
        <f>COUNTIFS('00 Encuesta'!$B$2:$B$511,"*c)*",'00 Encuesta'!$C$2:$C$511,"*d)*",'00 Encuesta'!$E$2:$E$511,"*a)*",'00 Encuesta'!$AU$2:$AU$511,"*f)*")</f>
        <v>1</v>
      </c>
      <c r="X374" s="52">
        <f t="shared" si="717"/>
        <v>3.7037037037037033</v>
      </c>
      <c r="Y374" s="53">
        <f>COUNTIFS('00 Encuesta'!$B$2:$B$511,"*c)*",'00 Encuesta'!$C$2:$C$511,"*d)*",'00 Encuesta'!$E$2:$E$511,"*b)*",'00 Encuesta'!$AU$2:$AU$511,"*f)*")</f>
        <v>0</v>
      </c>
      <c r="Z374" s="52">
        <f t="shared" si="718"/>
        <v>0</v>
      </c>
      <c r="AA374" s="3"/>
      <c r="AB374" s="62">
        <f t="shared" si="719"/>
        <v>4</v>
      </c>
      <c r="AC374" s="52">
        <f t="shared" si="720"/>
        <v>2.4096385542168677</v>
      </c>
      <c r="AD374" s="3"/>
      <c r="AE374" s="3"/>
      <c r="AF374" s="9" t="str">
        <f t="shared" si="721"/>
        <v>f) No aplica</v>
      </c>
      <c r="AG374" s="72">
        <f t="shared" si="722"/>
        <v>0</v>
      </c>
      <c r="AH374" s="72">
        <f t="shared" si="723"/>
        <v>0</v>
      </c>
      <c r="AI374" s="73">
        <f t="shared" si="724"/>
        <v>0</v>
      </c>
      <c r="AJ374" s="73"/>
      <c r="AK374" s="76">
        <f t="shared" si="725"/>
        <v>10.714285714285714</v>
      </c>
      <c r="AL374" s="76">
        <f t="shared" si="726"/>
        <v>0</v>
      </c>
      <c r="AM374" s="76">
        <f t="shared" si="727"/>
        <v>5.8823529411764701</v>
      </c>
      <c r="AN374" s="76"/>
      <c r="AO374" s="81">
        <f t="shared" si="728"/>
        <v>3.7037037037037033</v>
      </c>
      <c r="AP374" s="81">
        <f t="shared" si="729"/>
        <v>0</v>
      </c>
      <c r="AQ374" s="81">
        <f t="shared" si="730"/>
        <v>2</v>
      </c>
      <c r="AR374" s="3"/>
      <c r="AS374" s="76">
        <f t="shared" si="658"/>
        <v>2.4096385542168677</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x14ac:dyDescent="0.3">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85.483870967741936</v>
      </c>
      <c r="AH375" s="82">
        <f>($F369*K369+$F370*K370+$F371*K371+$F372*K372+$F373*K373)/(K369+K370+K371+K372+K373)</f>
        <v>80.833333333333329</v>
      </c>
      <c r="AI375" s="82">
        <f>($F369*G369+$F370*G370+$F371*G371+$F372*G372+$F373*G373)/(G369+G370+G371+G372+G373)</f>
        <v>83.196721311475414</v>
      </c>
      <c r="AJ375" s="82"/>
      <c r="AK375" s="82">
        <f>($F369*Q369+$F370*Q370+$F371*Q371+$F372*Q372+$F373*Q373)/(Q369+Q370+Q371+Q372+Q373)</f>
        <v>70.652173913043484</v>
      </c>
      <c r="AL375" s="82">
        <f>($F369*S369+$F370*S370+$F371*S371+$F372*S372+$F373*S373)/(S369+S370+S371+S372+S373)</f>
        <v>73.913043478260875</v>
      </c>
      <c r="AM375" s="82">
        <f>($F369*O369+$F370*O370+$F371*O371+$F372*O372+$F373*O373)/(O369+O370+O371+O372+O373)</f>
        <v>72.282608695652172</v>
      </c>
      <c r="AN375" s="82"/>
      <c r="AO375" s="82">
        <f>($F369*W369+$F370*W370+$F371*W371+$F372*W372+$F373*W373)/(W369+W370+W371+W372+W373)</f>
        <v>58</v>
      </c>
      <c r="AP375" s="82">
        <f>($F369*Y369+$F370*Y370+$F371*Y371+$F372*Y372+$F373*Y373)/(Y369+Y370+Y371+Y372+Y373)</f>
        <v>65.217391304347828</v>
      </c>
      <c r="AQ375" s="82">
        <f>($F369*U369+$F370*U370+$F371*U371+$F372*U372+$F373*U373)/(U369+U370+U371+U372+U373)</f>
        <v>61.458333333333336</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x14ac:dyDescent="0.3">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x14ac:dyDescent="0.3">
      <c r="A377" s="8" t="s">
        <v>17</v>
      </c>
      <c r="B377" s="9" t="s">
        <v>229</v>
      </c>
      <c r="C377" s="3"/>
      <c r="D377" s="3"/>
      <c r="E377" s="3"/>
      <c r="F377" s="71">
        <v>100</v>
      </c>
      <c r="G377" s="51">
        <f t="shared" ref="G377:G382" si="731">I377+K377</f>
        <v>31</v>
      </c>
      <c r="H377" s="52">
        <f t="shared" ref="H377:H382" si="732">G377/$J$5*100</f>
        <v>47.692307692307693</v>
      </c>
      <c r="I377" s="53">
        <f>COUNTIFS('00 Encuesta'!$B$2:$B$511,"*c)*",'00 Encuesta'!$C$2:$C$511,"*a)*",'00 Encuesta'!$E$2:$E$511,"*a)*",'00 Encuesta'!$AV$2:$AV$511,"*a)*")</f>
        <v>17</v>
      </c>
      <c r="J377" s="52">
        <f t="shared" ref="J377:J382" si="733">I377/$J$6*100</f>
        <v>51.515151515151516</v>
      </c>
      <c r="K377" s="53">
        <f>COUNTIFS('00 Encuesta'!$B$2:$B$511,"*c)*",'00 Encuesta'!$C$2:$C$511,"*a)*",'00 Encuesta'!$E$2:$E$511,"*b)*",'00 Encuesta'!$AV$2:$AV$511,"*a)*")</f>
        <v>14</v>
      </c>
      <c r="L377" s="52">
        <f t="shared" ref="L377:L382" si="734">K377/$J$7*100</f>
        <v>43.75</v>
      </c>
      <c r="M377" s="23"/>
      <c r="N377" s="51">
        <f t="shared" ref="N377:N382" si="735">P377+R377</f>
        <v>14</v>
      </c>
      <c r="O377" s="52">
        <f t="shared" ref="O377:O382" si="736">N377/$Q$5*100</f>
        <v>27.450980392156865</v>
      </c>
      <c r="P377" s="53">
        <f>COUNTIFS('00 Encuesta'!$B$2:$B$511,"*c)*",'00 Encuesta'!$C$2:$C$511,"*b)*",'00 Encuesta'!$E$2:$E$511,"*a)*",'00 Encuesta'!$AV$2:$AV$511,"*a)*")</f>
        <v>7</v>
      </c>
      <c r="Q377" s="52">
        <f t="shared" ref="Q377:Q382" si="737">P377/$Q$6*100</f>
        <v>25</v>
      </c>
      <c r="R377" s="53">
        <f>COUNTIFS('00 Encuesta'!$B$2:$B$511,"*c)*",'00 Encuesta'!$C$2:$C$511,"*b)*",'00 Encuesta'!$E$2:$E$511,"*b)*",'00 Encuesta'!$AV$2:$AV$511,"*a)*")</f>
        <v>7</v>
      </c>
      <c r="S377" s="52">
        <f t="shared" ref="S377:S382" si="738">R377/$Q$7*100</f>
        <v>30.434782608695656</v>
      </c>
      <c r="T377" s="3"/>
      <c r="U377" s="51">
        <f t="shared" ref="U377:U382" si="739">W377+Y377</f>
        <v>13</v>
      </c>
      <c r="V377" s="52">
        <f t="shared" ref="V377:V382" si="740">U377/$X$5*100</f>
        <v>26</v>
      </c>
      <c r="W377" s="53">
        <f>COUNTIFS('00 Encuesta'!$B$2:$B$511,"*c)*",'00 Encuesta'!$C$2:$C$511,"*d)*",'00 Encuesta'!$E$2:$E$511,"*a)*",'00 Encuesta'!$AV$2:$AV$511,"*a)*")</f>
        <v>5</v>
      </c>
      <c r="X377" s="52">
        <f t="shared" ref="X377:X382" si="741">W377/$X$6*100</f>
        <v>18.518518518518519</v>
      </c>
      <c r="Y377" s="53">
        <f>COUNTIFS('00 Encuesta'!$B$2:$B$511,"*c)*",'00 Encuesta'!$C$2:$C$511,"*d)*",'00 Encuesta'!$E$2:$E$511,"*b)*",'00 Encuesta'!$AV$2:$AV$511,"*a)*")</f>
        <v>8</v>
      </c>
      <c r="Z377" s="52">
        <f t="shared" ref="Z377:Z382" si="742">Y377/$X$7*100</f>
        <v>34.782608695652172</v>
      </c>
      <c r="AA377" s="3"/>
      <c r="AB377" s="62">
        <f t="shared" ref="AB377:AB383" si="743">G377+N377+U377</f>
        <v>58</v>
      </c>
      <c r="AC377" s="52">
        <f t="shared" ref="AC377:AC383" si="744">AB377*100/$AC$5</f>
        <v>34.939759036144579</v>
      </c>
      <c r="AD377" s="3"/>
      <c r="AE377" s="3"/>
      <c r="AF377" s="9" t="str">
        <f t="shared" ref="AF377:AF382" si="745">A377&amp;" "&amp;B377</f>
        <v>a) Muy buena</v>
      </c>
      <c r="AG377" s="72">
        <f t="shared" ref="AG377:AG382" si="746">J377</f>
        <v>51.515151515151516</v>
      </c>
      <c r="AH377" s="72">
        <f t="shared" ref="AH377:AH382" si="747">L377</f>
        <v>43.75</v>
      </c>
      <c r="AI377" s="73">
        <f t="shared" ref="AI377:AI382" si="748">H377</f>
        <v>47.692307692307693</v>
      </c>
      <c r="AJ377" s="73"/>
      <c r="AK377" s="76">
        <f t="shared" ref="AK377:AK382" si="749">Q377</f>
        <v>25</v>
      </c>
      <c r="AL377" s="76">
        <f t="shared" ref="AL377:AL382" si="750">S377</f>
        <v>30.434782608695656</v>
      </c>
      <c r="AM377" s="76">
        <f t="shared" ref="AM377:AM382" si="751">O377</f>
        <v>27.450980392156865</v>
      </c>
      <c r="AN377" s="76"/>
      <c r="AO377" s="81">
        <f t="shared" ref="AO377:AO382" si="752">X377</f>
        <v>18.518518518518519</v>
      </c>
      <c r="AP377" s="81">
        <f t="shared" ref="AP377:AP382" si="753">Z377</f>
        <v>34.782608695652172</v>
      </c>
      <c r="AQ377" s="81">
        <f t="shared" ref="AQ377:AQ382" si="754">V377</f>
        <v>26</v>
      </c>
      <c r="AR377" s="3"/>
      <c r="AS377" s="76">
        <f t="shared" si="658"/>
        <v>34.939759036144579</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x14ac:dyDescent="0.3">
      <c r="A378" s="8" t="s">
        <v>18</v>
      </c>
      <c r="B378" s="9" t="s">
        <v>230</v>
      </c>
      <c r="C378" s="3"/>
      <c r="D378" s="3"/>
      <c r="E378" s="3"/>
      <c r="F378" s="71">
        <v>75</v>
      </c>
      <c r="G378" s="51">
        <f t="shared" si="731"/>
        <v>25</v>
      </c>
      <c r="H378" s="52">
        <f t="shared" si="732"/>
        <v>38.461538461538467</v>
      </c>
      <c r="I378" s="53">
        <f>COUNTIFS('00 Encuesta'!$B$2:$B$511,"*c)*",'00 Encuesta'!$C$2:$C$511,"*a)*",'00 Encuesta'!$E$2:$E$511,"*a)*",'00 Encuesta'!$AV$2:$AV$511,"*b)*")</f>
        <v>13</v>
      </c>
      <c r="J378" s="52">
        <f t="shared" si="733"/>
        <v>39.393939393939391</v>
      </c>
      <c r="K378" s="53">
        <f>COUNTIFS('00 Encuesta'!$B$2:$B$511,"*c)*",'00 Encuesta'!$C$2:$C$511,"*a)*",'00 Encuesta'!$E$2:$E$511,"*b)*",'00 Encuesta'!$AV$2:$AV$511,"*b)*")</f>
        <v>12</v>
      </c>
      <c r="L378" s="52">
        <f t="shared" si="734"/>
        <v>37.5</v>
      </c>
      <c r="M378" s="23"/>
      <c r="N378" s="51">
        <f t="shared" si="735"/>
        <v>19</v>
      </c>
      <c r="O378" s="52">
        <f t="shared" si="736"/>
        <v>37.254901960784316</v>
      </c>
      <c r="P378" s="53">
        <f>COUNTIFS('00 Encuesta'!$B$2:$B$511,"*c)*",'00 Encuesta'!$C$2:$C$511,"*b)*",'00 Encuesta'!$E$2:$E$511,"*a)*",'00 Encuesta'!$AV$2:$AV$511,"*b)*")</f>
        <v>11</v>
      </c>
      <c r="Q378" s="52">
        <f t="shared" si="737"/>
        <v>39.285714285714285</v>
      </c>
      <c r="R378" s="53">
        <f>COUNTIFS('00 Encuesta'!$B$2:$B$511,"*c)*",'00 Encuesta'!$C$2:$C$511,"*b)*",'00 Encuesta'!$E$2:$E$511,"*b)*",'00 Encuesta'!$AV$2:$AV$511,"*b)*")</f>
        <v>8</v>
      </c>
      <c r="S378" s="52">
        <f t="shared" si="738"/>
        <v>34.782608695652172</v>
      </c>
      <c r="T378" s="3"/>
      <c r="U378" s="51">
        <f t="shared" si="739"/>
        <v>22</v>
      </c>
      <c r="V378" s="52">
        <f t="shared" si="740"/>
        <v>44</v>
      </c>
      <c r="W378" s="53">
        <f>COUNTIFS('00 Encuesta'!$B$2:$B$511,"*c)*",'00 Encuesta'!$C$2:$C$511,"*d)*",'00 Encuesta'!$E$2:$E$511,"*a)*",'00 Encuesta'!$AV$2:$AV$511,"*b)*")</f>
        <v>13</v>
      </c>
      <c r="X378" s="52">
        <f t="shared" si="741"/>
        <v>48.148148148148145</v>
      </c>
      <c r="Y378" s="53">
        <f>COUNTIFS('00 Encuesta'!$B$2:$B$511,"*c)*",'00 Encuesta'!$C$2:$C$511,"*d)*",'00 Encuesta'!$E$2:$E$511,"*b)*",'00 Encuesta'!$AV$2:$AV$511,"*b)*")</f>
        <v>9</v>
      </c>
      <c r="Z378" s="52">
        <f t="shared" si="742"/>
        <v>39.130434782608695</v>
      </c>
      <c r="AA378" s="3"/>
      <c r="AB378" s="62">
        <f t="shared" si="743"/>
        <v>66</v>
      </c>
      <c r="AC378" s="52">
        <f t="shared" si="744"/>
        <v>39.75903614457831</v>
      </c>
      <c r="AD378" s="3"/>
      <c r="AE378" s="3"/>
      <c r="AF378" s="9" t="str">
        <f t="shared" si="745"/>
        <v>b) Buena</v>
      </c>
      <c r="AG378" s="72">
        <f t="shared" si="746"/>
        <v>39.393939393939391</v>
      </c>
      <c r="AH378" s="72">
        <f t="shared" si="747"/>
        <v>37.5</v>
      </c>
      <c r="AI378" s="73">
        <f t="shared" si="748"/>
        <v>38.461538461538467</v>
      </c>
      <c r="AJ378" s="73"/>
      <c r="AK378" s="76">
        <f t="shared" si="749"/>
        <v>39.285714285714285</v>
      </c>
      <c r="AL378" s="76">
        <f t="shared" si="750"/>
        <v>34.782608695652172</v>
      </c>
      <c r="AM378" s="76">
        <f t="shared" si="751"/>
        <v>37.254901960784316</v>
      </c>
      <c r="AN378" s="76"/>
      <c r="AO378" s="81">
        <f t="shared" si="752"/>
        <v>48.148148148148145</v>
      </c>
      <c r="AP378" s="81">
        <f t="shared" si="753"/>
        <v>39.130434782608695</v>
      </c>
      <c r="AQ378" s="81">
        <f t="shared" si="754"/>
        <v>44</v>
      </c>
      <c r="AR378" s="3"/>
      <c r="AS378" s="76">
        <f t="shared" si="658"/>
        <v>39.75903614457831</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x14ac:dyDescent="0.3">
      <c r="A379" s="8" t="s">
        <v>20</v>
      </c>
      <c r="B379" s="9" t="s">
        <v>218</v>
      </c>
      <c r="C379" s="3"/>
      <c r="D379" s="3"/>
      <c r="E379" s="3"/>
      <c r="F379" s="71">
        <v>50</v>
      </c>
      <c r="G379" s="51">
        <f t="shared" si="731"/>
        <v>5</v>
      </c>
      <c r="H379" s="52">
        <f t="shared" si="732"/>
        <v>7.6923076923076925</v>
      </c>
      <c r="I379" s="53">
        <f>COUNTIFS('00 Encuesta'!$B$2:$B$511,"*c)*",'00 Encuesta'!$C$2:$C$511,"*a)*",'00 Encuesta'!$E$2:$E$511,"*a)*",'00 Encuesta'!$AV$2:$AV$511,"*c)*")</f>
        <v>0</v>
      </c>
      <c r="J379" s="52">
        <f t="shared" si="733"/>
        <v>0</v>
      </c>
      <c r="K379" s="53">
        <f>COUNTIFS('00 Encuesta'!$B$2:$B$511,"*c)*",'00 Encuesta'!$C$2:$C$511,"*a)*",'00 Encuesta'!$E$2:$E$511,"*b)*",'00 Encuesta'!$AV$2:$AV$511,"*c)*")</f>
        <v>5</v>
      </c>
      <c r="L379" s="52">
        <f t="shared" si="734"/>
        <v>15.625</v>
      </c>
      <c r="M379" s="23"/>
      <c r="N379" s="51">
        <f t="shared" si="735"/>
        <v>15</v>
      </c>
      <c r="O379" s="52">
        <f t="shared" si="736"/>
        <v>29.411764705882355</v>
      </c>
      <c r="P379" s="53">
        <f>COUNTIFS('00 Encuesta'!$B$2:$B$511,"*c)*",'00 Encuesta'!$C$2:$C$511,"*b)*",'00 Encuesta'!$E$2:$E$511,"*a)*",'00 Encuesta'!$AV$2:$AV$511,"*c)*")</f>
        <v>7</v>
      </c>
      <c r="Q379" s="52">
        <f t="shared" si="737"/>
        <v>25</v>
      </c>
      <c r="R379" s="53">
        <f>COUNTIFS('00 Encuesta'!$B$2:$B$511,"*c)*",'00 Encuesta'!$C$2:$C$511,"*b)*",'00 Encuesta'!$E$2:$E$511,"*b)*",'00 Encuesta'!$AV$2:$AV$511,"*c)*")</f>
        <v>8</v>
      </c>
      <c r="S379" s="52">
        <f t="shared" si="738"/>
        <v>34.782608695652172</v>
      </c>
      <c r="T379" s="3"/>
      <c r="U379" s="51">
        <f t="shared" si="739"/>
        <v>12</v>
      </c>
      <c r="V379" s="52">
        <f t="shared" si="740"/>
        <v>24</v>
      </c>
      <c r="W379" s="53">
        <f>COUNTIFS('00 Encuesta'!$B$2:$B$511,"*c)*",'00 Encuesta'!$C$2:$C$511,"*d)*",'00 Encuesta'!$E$2:$E$511,"*a)*",'00 Encuesta'!$AV$2:$AV$511,"*c)*")</f>
        <v>7</v>
      </c>
      <c r="X379" s="52">
        <f t="shared" si="741"/>
        <v>25.925925925925924</v>
      </c>
      <c r="Y379" s="53">
        <f>COUNTIFS('00 Encuesta'!$B$2:$B$511,"*c)*",'00 Encuesta'!$C$2:$C$511,"*d)*",'00 Encuesta'!$E$2:$E$511,"*b)*",'00 Encuesta'!$AV$2:$AV$511,"*c)*")</f>
        <v>5</v>
      </c>
      <c r="Z379" s="52">
        <f t="shared" si="742"/>
        <v>21.739130434782609</v>
      </c>
      <c r="AA379" s="3"/>
      <c r="AB379" s="62">
        <f t="shared" si="743"/>
        <v>32</v>
      </c>
      <c r="AC379" s="52">
        <f t="shared" si="744"/>
        <v>19.277108433734941</v>
      </c>
      <c r="AD379" s="3"/>
      <c r="AE379" s="3"/>
      <c r="AF379" s="9" t="str">
        <f t="shared" si="745"/>
        <v>c) Regular</v>
      </c>
      <c r="AG379" s="72">
        <f t="shared" si="746"/>
        <v>0</v>
      </c>
      <c r="AH379" s="72">
        <f t="shared" si="747"/>
        <v>15.625</v>
      </c>
      <c r="AI379" s="73">
        <f t="shared" si="748"/>
        <v>7.6923076923076925</v>
      </c>
      <c r="AJ379" s="73"/>
      <c r="AK379" s="76">
        <f t="shared" si="749"/>
        <v>25</v>
      </c>
      <c r="AL379" s="76">
        <f t="shared" si="750"/>
        <v>34.782608695652172</v>
      </c>
      <c r="AM379" s="76">
        <f t="shared" si="751"/>
        <v>29.411764705882355</v>
      </c>
      <c r="AN379" s="76"/>
      <c r="AO379" s="81">
        <f t="shared" si="752"/>
        <v>25.925925925925924</v>
      </c>
      <c r="AP379" s="81">
        <f t="shared" si="753"/>
        <v>21.739130434782609</v>
      </c>
      <c r="AQ379" s="81">
        <f t="shared" si="754"/>
        <v>24</v>
      </c>
      <c r="AR379" s="3"/>
      <c r="AS379" s="76">
        <f t="shared" si="658"/>
        <v>19.277108433734941</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x14ac:dyDescent="0.3">
      <c r="A380" s="8" t="s">
        <v>21</v>
      </c>
      <c r="B380" s="9" t="s">
        <v>231</v>
      </c>
      <c r="C380" s="3"/>
      <c r="D380" s="3"/>
      <c r="E380" s="3"/>
      <c r="F380" s="71">
        <v>25</v>
      </c>
      <c r="G380" s="51">
        <f t="shared" si="731"/>
        <v>0</v>
      </c>
      <c r="H380" s="52">
        <f t="shared" si="732"/>
        <v>0</v>
      </c>
      <c r="I380" s="53">
        <f>COUNTIFS('00 Encuesta'!$B$2:$B$511,"*c)*",'00 Encuesta'!$C$2:$C$511,"*a)*",'00 Encuesta'!$E$2:$E$511,"*a)*",'00 Encuesta'!$AV$2:$AV$511,"*d)*")</f>
        <v>0</v>
      </c>
      <c r="J380" s="52">
        <f t="shared" si="733"/>
        <v>0</v>
      </c>
      <c r="K380" s="53">
        <f>COUNTIFS('00 Encuesta'!$B$2:$B$511,"*c)*",'00 Encuesta'!$C$2:$C$511,"*a)*",'00 Encuesta'!$E$2:$E$511,"*b)*",'00 Encuesta'!$AV$2:$AV$511,"*d)*")</f>
        <v>0</v>
      </c>
      <c r="L380" s="52">
        <f t="shared" si="734"/>
        <v>0</v>
      </c>
      <c r="M380" s="23"/>
      <c r="N380" s="51">
        <f t="shared" si="735"/>
        <v>0</v>
      </c>
      <c r="O380" s="52">
        <f t="shared" si="736"/>
        <v>0</v>
      </c>
      <c r="P380" s="53">
        <f>COUNTIFS('00 Encuesta'!$B$2:$B$511,"*c)*",'00 Encuesta'!$C$2:$C$511,"*b)*",'00 Encuesta'!$E$2:$E$511,"*a)*",'00 Encuesta'!$AV$2:$AV$511,"*d)*")</f>
        <v>0</v>
      </c>
      <c r="Q380" s="52">
        <f t="shared" si="737"/>
        <v>0</v>
      </c>
      <c r="R380" s="53">
        <f>COUNTIFS('00 Encuesta'!$B$2:$B$511,"*c)*",'00 Encuesta'!$C$2:$C$511,"*b)*",'00 Encuesta'!$E$2:$E$511,"*b)*",'00 Encuesta'!$AV$2:$AV$511,"*d)*")</f>
        <v>0</v>
      </c>
      <c r="S380" s="52">
        <f t="shared" si="738"/>
        <v>0</v>
      </c>
      <c r="T380" s="3"/>
      <c r="U380" s="51">
        <f t="shared" si="739"/>
        <v>1</v>
      </c>
      <c r="V380" s="52">
        <f t="shared" si="740"/>
        <v>2</v>
      </c>
      <c r="W380" s="53">
        <f>COUNTIFS('00 Encuesta'!$B$2:$B$511,"*c)*",'00 Encuesta'!$C$2:$C$511,"*d)*",'00 Encuesta'!$E$2:$E$511,"*a)*",'00 Encuesta'!$AV$2:$AV$511,"*d)*")</f>
        <v>1</v>
      </c>
      <c r="X380" s="52">
        <f t="shared" si="741"/>
        <v>3.7037037037037033</v>
      </c>
      <c r="Y380" s="53">
        <f>COUNTIFS('00 Encuesta'!$B$2:$B$511,"*c)*",'00 Encuesta'!$C$2:$C$511,"*d)*",'00 Encuesta'!$E$2:$E$511,"*b)*",'00 Encuesta'!$AV$2:$AV$511,"*d)*")</f>
        <v>0</v>
      </c>
      <c r="Z380" s="52">
        <f t="shared" si="742"/>
        <v>0</v>
      </c>
      <c r="AA380" s="3"/>
      <c r="AB380" s="62">
        <f t="shared" si="743"/>
        <v>1</v>
      </c>
      <c r="AC380" s="52">
        <f t="shared" si="744"/>
        <v>0.60240963855421692</v>
      </c>
      <c r="AD380" s="3"/>
      <c r="AE380" s="3"/>
      <c r="AF380" s="9" t="str">
        <f t="shared" si="745"/>
        <v>d) Mala</v>
      </c>
      <c r="AG380" s="72">
        <f t="shared" si="746"/>
        <v>0</v>
      </c>
      <c r="AH380" s="72">
        <f t="shared" si="747"/>
        <v>0</v>
      </c>
      <c r="AI380" s="73">
        <f t="shared" si="748"/>
        <v>0</v>
      </c>
      <c r="AJ380" s="73"/>
      <c r="AK380" s="76">
        <f t="shared" si="749"/>
        <v>0</v>
      </c>
      <c r="AL380" s="76">
        <f t="shared" si="750"/>
        <v>0</v>
      </c>
      <c r="AM380" s="76">
        <f t="shared" si="751"/>
        <v>0</v>
      </c>
      <c r="AN380" s="76"/>
      <c r="AO380" s="81">
        <f t="shared" si="752"/>
        <v>3.7037037037037033</v>
      </c>
      <c r="AP380" s="81">
        <f t="shared" si="753"/>
        <v>0</v>
      </c>
      <c r="AQ380" s="81">
        <f t="shared" si="754"/>
        <v>2</v>
      </c>
      <c r="AR380" s="3"/>
      <c r="AS380" s="76">
        <f t="shared" si="658"/>
        <v>0.60240963855421692</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x14ac:dyDescent="0.3">
      <c r="A381" s="8" t="s">
        <v>22</v>
      </c>
      <c r="B381" s="9" t="s">
        <v>232</v>
      </c>
      <c r="C381" s="3"/>
      <c r="D381" s="3"/>
      <c r="E381" s="3"/>
      <c r="F381" s="71">
        <v>0</v>
      </c>
      <c r="G381" s="51">
        <f t="shared" si="731"/>
        <v>0</v>
      </c>
      <c r="H381" s="52">
        <f t="shared" si="732"/>
        <v>0</v>
      </c>
      <c r="I381" s="53">
        <f>COUNTIFS('00 Encuesta'!$B$2:$B$511,"*c)*",'00 Encuesta'!$C$2:$C$511,"*a)*",'00 Encuesta'!$E$2:$E$511,"*a)*",'00 Encuesta'!$AV$2:$AV$511,"*e)*")</f>
        <v>0</v>
      </c>
      <c r="J381" s="52">
        <f t="shared" si="733"/>
        <v>0</v>
      </c>
      <c r="K381" s="53">
        <f>COUNTIFS('00 Encuesta'!$B$2:$B$511,"*c)*",'00 Encuesta'!$C$2:$C$511,"*a)*",'00 Encuesta'!$E$2:$E$511,"*b)*",'00 Encuesta'!$AV$2:$AV$511,"*e)*")</f>
        <v>0</v>
      </c>
      <c r="L381" s="52">
        <f t="shared" si="734"/>
        <v>0</v>
      </c>
      <c r="M381" s="23"/>
      <c r="N381" s="51">
        <f t="shared" si="735"/>
        <v>1</v>
      </c>
      <c r="O381" s="52">
        <f t="shared" si="736"/>
        <v>1.9607843137254901</v>
      </c>
      <c r="P381" s="53">
        <f>COUNTIFS('00 Encuesta'!$B$2:$B$511,"*c)*",'00 Encuesta'!$C$2:$C$511,"*b)*",'00 Encuesta'!$E$2:$E$511,"*a)*",'00 Encuesta'!$AV$2:$AV$511,"*e)*")</f>
        <v>1</v>
      </c>
      <c r="Q381" s="52">
        <f t="shared" si="737"/>
        <v>3.5714285714285712</v>
      </c>
      <c r="R381" s="53">
        <f>COUNTIFS('00 Encuesta'!$B$2:$B$511,"*c)*",'00 Encuesta'!$C$2:$C$511,"*b)*",'00 Encuesta'!$E$2:$E$511,"*b)*",'00 Encuesta'!$AV$2:$AV$511,"*e)*")</f>
        <v>0</v>
      </c>
      <c r="S381" s="52">
        <f t="shared" si="738"/>
        <v>0</v>
      </c>
      <c r="T381" s="3"/>
      <c r="U381" s="51">
        <f t="shared" si="739"/>
        <v>1</v>
      </c>
      <c r="V381" s="52">
        <f t="shared" si="740"/>
        <v>2</v>
      </c>
      <c r="W381" s="53">
        <f>COUNTIFS('00 Encuesta'!$B$2:$B$511,"*c)*",'00 Encuesta'!$C$2:$C$511,"*d)*",'00 Encuesta'!$E$2:$E$511,"*a)*",'00 Encuesta'!$AV$2:$AV$511,"*e)*")</f>
        <v>0</v>
      </c>
      <c r="X381" s="52">
        <f t="shared" si="741"/>
        <v>0</v>
      </c>
      <c r="Y381" s="53">
        <f>COUNTIFS('00 Encuesta'!$B$2:$B$511,"*c)*",'00 Encuesta'!$C$2:$C$511,"*d)*",'00 Encuesta'!$E$2:$E$511,"*b)*",'00 Encuesta'!$AV$2:$AV$511,"*e)*")</f>
        <v>1</v>
      </c>
      <c r="Z381" s="52">
        <f t="shared" si="742"/>
        <v>4.3478260869565215</v>
      </c>
      <c r="AA381" s="3"/>
      <c r="AB381" s="62">
        <f t="shared" si="743"/>
        <v>2</v>
      </c>
      <c r="AC381" s="52">
        <f t="shared" si="744"/>
        <v>1.2048192771084338</v>
      </c>
      <c r="AD381" s="3"/>
      <c r="AE381" s="3"/>
      <c r="AF381" s="9" t="str">
        <f t="shared" si="745"/>
        <v>e) Muy mala</v>
      </c>
      <c r="AG381" s="72">
        <f t="shared" si="746"/>
        <v>0</v>
      </c>
      <c r="AH381" s="72">
        <f t="shared" si="747"/>
        <v>0</v>
      </c>
      <c r="AI381" s="73">
        <f t="shared" si="748"/>
        <v>0</v>
      </c>
      <c r="AJ381" s="73"/>
      <c r="AK381" s="76">
        <f t="shared" si="749"/>
        <v>3.5714285714285712</v>
      </c>
      <c r="AL381" s="76">
        <f t="shared" si="750"/>
        <v>0</v>
      </c>
      <c r="AM381" s="76">
        <f t="shared" si="751"/>
        <v>1.9607843137254901</v>
      </c>
      <c r="AN381" s="76"/>
      <c r="AO381" s="81">
        <f t="shared" si="752"/>
        <v>0</v>
      </c>
      <c r="AP381" s="81">
        <f t="shared" si="753"/>
        <v>4.3478260869565215</v>
      </c>
      <c r="AQ381" s="81">
        <f t="shared" si="754"/>
        <v>2</v>
      </c>
      <c r="AR381" s="3"/>
      <c r="AS381" s="76">
        <f t="shared" si="658"/>
        <v>1.2048192771084338</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x14ac:dyDescent="0.3">
      <c r="A382" s="8" t="s">
        <v>45</v>
      </c>
      <c r="B382" s="9" t="s">
        <v>233</v>
      </c>
      <c r="C382" s="7"/>
      <c r="D382" s="7"/>
      <c r="E382" s="7"/>
      <c r="F382" s="71"/>
      <c r="G382" s="51">
        <f t="shared" si="731"/>
        <v>0</v>
      </c>
      <c r="H382" s="52">
        <f t="shared" si="732"/>
        <v>0</v>
      </c>
      <c r="I382" s="53">
        <f>COUNTIFS('00 Encuesta'!$B$2:$B$511,"*c)*",'00 Encuesta'!$C$2:$C$511,"*a)*",'00 Encuesta'!$E$2:$E$511,"*a)*",'00 Encuesta'!$AV$2:$AV$511,"*f)*")</f>
        <v>0</v>
      </c>
      <c r="J382" s="52">
        <f t="shared" si="733"/>
        <v>0</v>
      </c>
      <c r="K382" s="53">
        <f>COUNTIFS('00 Encuesta'!$B$2:$B$511,"*c)*",'00 Encuesta'!$C$2:$C$511,"*a)*",'00 Encuesta'!$E$2:$E$511,"*b)*",'00 Encuesta'!$AV$2:$AV$511,"*f)*")</f>
        <v>0</v>
      </c>
      <c r="L382" s="52">
        <f t="shared" si="734"/>
        <v>0</v>
      </c>
      <c r="M382" s="23"/>
      <c r="N382" s="51">
        <f t="shared" si="735"/>
        <v>1</v>
      </c>
      <c r="O382" s="52">
        <f t="shared" si="736"/>
        <v>1.9607843137254901</v>
      </c>
      <c r="P382" s="53">
        <f>COUNTIFS('00 Encuesta'!$B$2:$B$511,"*c)*",'00 Encuesta'!$C$2:$C$511,"*b)*",'00 Encuesta'!$E$2:$E$511,"*a)*",'00 Encuesta'!$AV$2:$AV$511,"*f)*")</f>
        <v>1</v>
      </c>
      <c r="Q382" s="52">
        <f t="shared" si="737"/>
        <v>3.5714285714285712</v>
      </c>
      <c r="R382" s="53">
        <f>COUNTIFS('00 Encuesta'!$B$2:$B$511,"*c)*",'00 Encuesta'!$C$2:$C$511,"*b)*",'00 Encuesta'!$E$2:$E$511,"*b)*",'00 Encuesta'!$AV$2:$AV$511,"*f)*")</f>
        <v>0</v>
      </c>
      <c r="S382" s="52">
        <f t="shared" si="738"/>
        <v>0</v>
      </c>
      <c r="T382" s="3"/>
      <c r="U382" s="51">
        <f t="shared" si="739"/>
        <v>1</v>
      </c>
      <c r="V382" s="52">
        <f t="shared" si="740"/>
        <v>2</v>
      </c>
      <c r="W382" s="53">
        <f>COUNTIFS('00 Encuesta'!$B$2:$B$511,"*c)*",'00 Encuesta'!$C$2:$C$511,"*d)*",'00 Encuesta'!$E$2:$E$511,"*a)*",'00 Encuesta'!$AV$2:$AV$511,"*f)*")</f>
        <v>1</v>
      </c>
      <c r="X382" s="52">
        <f t="shared" si="741"/>
        <v>3.7037037037037033</v>
      </c>
      <c r="Y382" s="53">
        <f>COUNTIFS('00 Encuesta'!$B$2:$B$511,"*c)*",'00 Encuesta'!$C$2:$C$511,"*d)*",'00 Encuesta'!$E$2:$E$511,"*b)*",'00 Encuesta'!$AV$2:$AV$511,"*f)*")</f>
        <v>0</v>
      </c>
      <c r="Z382" s="52">
        <f t="shared" si="742"/>
        <v>0</v>
      </c>
      <c r="AA382" s="3"/>
      <c r="AB382" s="62">
        <f t="shared" si="743"/>
        <v>2</v>
      </c>
      <c r="AC382" s="52">
        <f t="shared" si="744"/>
        <v>1.2048192771084338</v>
      </c>
      <c r="AD382" s="3"/>
      <c r="AE382" s="3"/>
      <c r="AF382" s="9" t="str">
        <f t="shared" si="745"/>
        <v>f) No aplica</v>
      </c>
      <c r="AG382" s="72">
        <f t="shared" si="746"/>
        <v>0</v>
      </c>
      <c r="AH382" s="72">
        <f t="shared" si="747"/>
        <v>0</v>
      </c>
      <c r="AI382" s="73">
        <f t="shared" si="748"/>
        <v>0</v>
      </c>
      <c r="AJ382" s="73"/>
      <c r="AK382" s="76">
        <f t="shared" si="749"/>
        <v>3.5714285714285712</v>
      </c>
      <c r="AL382" s="76">
        <f t="shared" si="750"/>
        <v>0</v>
      </c>
      <c r="AM382" s="76">
        <f t="shared" si="751"/>
        <v>1.9607843137254901</v>
      </c>
      <c r="AN382" s="76"/>
      <c r="AO382" s="81">
        <f t="shared" si="752"/>
        <v>3.7037037037037033</v>
      </c>
      <c r="AP382" s="81">
        <f t="shared" si="753"/>
        <v>0</v>
      </c>
      <c r="AQ382" s="81">
        <f t="shared" si="754"/>
        <v>2</v>
      </c>
      <c r="AR382" s="3"/>
      <c r="AS382" s="76">
        <f t="shared" si="658"/>
        <v>1.2048192771084338</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x14ac:dyDescent="0.3">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743"/>
        <v>0</v>
      </c>
      <c r="AC383" s="52">
        <f t="shared" si="744"/>
        <v>0</v>
      </c>
      <c r="AD383" s="3"/>
      <c r="AE383" s="3"/>
      <c r="AF383" s="3"/>
      <c r="AG383" s="82">
        <f>($F377*I377+$F378*I378+$F379*I379+$F380*I380+$F381*I381)/(I377+I378+I379+I380+I381)</f>
        <v>89.166666666666671</v>
      </c>
      <c r="AH383" s="82">
        <f>($F377*K377+$F378*K378+$F379*K379+$F380*K380+$F381*K381)/(K377+K378+K379+K380+K381)</f>
        <v>82.258064516129039</v>
      </c>
      <c r="AI383" s="82">
        <f>($F377*G377+$F378*G378+$F379*G379+$F380*G380+$F381*G381)/(G377+G378+G379+G380+G381)</f>
        <v>85.655737704918039</v>
      </c>
      <c r="AJ383" s="82"/>
      <c r="AK383" s="82">
        <f>($F377*Q377+$F378*Q378+$F379*Q379+$F380*Q380+$F381*Q381)/(Q377+Q378+Q379+Q380+Q381)</f>
        <v>72.115384615384627</v>
      </c>
      <c r="AL383" s="82">
        <f>($F377*S377+$F378*S378+$F379*S379+$F380*S380+$F381*S381)/(S377+S378+S379+S380+S381)</f>
        <v>73.91304347826086</v>
      </c>
      <c r="AM383" s="82">
        <f>($F377*O377+$F378*O378+$F379*O379+$F380*O380+$F381*O381)/(O377+O378+O379+O380+O381)</f>
        <v>72.959183673469397</v>
      </c>
      <c r="AN383" s="82"/>
      <c r="AO383" s="82">
        <f>($F377*W377+$F378*W378+$F379*W379+$F380*W380+$F381*W381)/(W377+W378+W379+W380+W381)</f>
        <v>71.15384615384616</v>
      </c>
      <c r="AP383" s="82">
        <f>($F377*Y377+$F378*Y378+$F379*Y379+$F380*Y380+$F381*Y381)/(Y377+Y378+Y379+Y380+Y381)</f>
        <v>75</v>
      </c>
      <c r="AQ383" s="82">
        <f>($F377*U377+$F378*U378+$F379*U379+$F380*U380+$F381*U381)/(U377+U378+U379+U380+U381)</f>
        <v>72.959183673469383</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755">I386+K386</f>
        <v>26</v>
      </c>
      <c r="H386" s="52">
        <f t="shared" ref="H386:H394" si="756">G386/$J$5*100</f>
        <v>40</v>
      </c>
      <c r="I386" s="53">
        <f>COUNTIFS('00 Encuesta'!$B$2:$B$511,"*c)*",'00 Encuesta'!$C$2:$C$511,"*a)*",'00 Encuesta'!$E$2:$E$511,"*a)*",'00 Encuesta'!$AW$2:$AW$511,"*a)*")</f>
        <v>16</v>
      </c>
      <c r="J386" s="52">
        <f t="shared" ref="J386:J394" si="757">I386/$J$6*100</f>
        <v>48.484848484848484</v>
      </c>
      <c r="K386" s="53">
        <f>COUNTIFS('00 Encuesta'!$B$2:$B$511,"*c)*",'00 Encuesta'!$C$2:$C$511,"*a)*",'00 Encuesta'!$E$2:$E$511,"*b)*",'00 Encuesta'!$AW$2:$AW$511,"*a)*")</f>
        <v>10</v>
      </c>
      <c r="L386" s="52">
        <f t="shared" ref="L386:L391" si="758">K386/$J$7*100</f>
        <v>31.25</v>
      </c>
      <c r="M386" s="23"/>
      <c r="N386" s="51">
        <f t="shared" ref="N386:N391" si="759">P386+R386</f>
        <v>12</v>
      </c>
      <c r="O386" s="52">
        <f t="shared" ref="O386:O391" si="760">N386/$Q$5*100</f>
        <v>23.52941176470588</v>
      </c>
      <c r="P386" s="53">
        <f>COUNTIFS('00 Encuesta'!$B$2:$B$511,"*c)*",'00 Encuesta'!$C$2:$C$511,"*b)*",'00 Encuesta'!$E$2:$E$511,"*a)*",'00 Encuesta'!$AW$2:$AW$511,"*a)*")</f>
        <v>7</v>
      </c>
      <c r="Q386" s="52">
        <f t="shared" ref="Q386:Q394" si="761">P386/$Q$6*100</f>
        <v>25</v>
      </c>
      <c r="R386" s="53">
        <f>COUNTIFS('00 Encuesta'!$B$2:$B$511,"*c)*",'00 Encuesta'!$C$2:$C$511,"*b)*",'00 Encuesta'!$E$2:$E$511,"*b)*",'00 Encuesta'!$AW$2:$AW$511,"*a)*")</f>
        <v>5</v>
      </c>
      <c r="S386" s="52">
        <f t="shared" ref="S386:S391" si="762">R386/$Q$7*100</f>
        <v>21.739130434782609</v>
      </c>
      <c r="T386" s="3"/>
      <c r="U386" s="51">
        <f t="shared" ref="U386:U391" si="763">W386+Y386</f>
        <v>3</v>
      </c>
      <c r="V386" s="52">
        <f t="shared" ref="V386:V391" si="764">U386/$X$5*100</f>
        <v>6</v>
      </c>
      <c r="W386" s="53">
        <f>COUNTIFS('00 Encuesta'!$B$2:$B$511,"*c)*",'00 Encuesta'!$C$2:$C$511,"*d)*",'00 Encuesta'!$E$2:$E$511,"*a)*",'00 Encuesta'!$AW$2:$AW$511,"*a)*")</f>
        <v>1</v>
      </c>
      <c r="X386" s="52">
        <f t="shared" ref="X386:X394" si="765">W386/$X$6*100</f>
        <v>3.7037037037037033</v>
      </c>
      <c r="Y386" s="53">
        <f>COUNTIFS('00 Encuesta'!$B$2:$B$511,"*c)*",'00 Encuesta'!$C$2:$C$511,"*d)*",'00 Encuesta'!$E$2:$E$511,"*b)*",'00 Encuesta'!$AW$2:$AW$511,"*a)*")</f>
        <v>2</v>
      </c>
      <c r="Z386" s="52">
        <f t="shared" ref="Z386:Z394" si="766">Y386/$X$7*100</f>
        <v>8.695652173913043</v>
      </c>
      <c r="AA386" s="3"/>
      <c r="AB386" s="62">
        <f t="shared" ref="AB386:AB394" si="767">G386+N386+U386</f>
        <v>41</v>
      </c>
      <c r="AC386" s="52">
        <f t="shared" ref="AC386:AC394" si="768">AB386*100/$AC$5</f>
        <v>24.698795180722893</v>
      </c>
      <c r="AD386" s="3"/>
      <c r="AE386" s="3"/>
      <c r="AF386" s="9" t="str">
        <f t="shared" ref="AF386:AF394" si="769">A386&amp;" "&amp;B386</f>
        <v>a) El compañerismo</v>
      </c>
      <c r="AG386" s="72">
        <f>J386</f>
        <v>48.484848484848484</v>
      </c>
      <c r="AH386" s="72">
        <f>L386</f>
        <v>31.25</v>
      </c>
      <c r="AI386" s="73">
        <f>H386</f>
        <v>40</v>
      </c>
      <c r="AJ386" s="73"/>
      <c r="AK386" s="76">
        <f t="shared" ref="AK386:AK394" si="770">Q386</f>
        <v>25</v>
      </c>
      <c r="AL386" s="76">
        <f t="shared" ref="AL386:AL394" si="771">S386</f>
        <v>21.739130434782609</v>
      </c>
      <c r="AM386" s="76">
        <f t="shared" ref="AM386:AM394" si="772">O386</f>
        <v>23.52941176470588</v>
      </c>
      <c r="AN386" s="76"/>
      <c r="AO386" s="81">
        <f t="shared" ref="AO386:AO394" si="773">X386</f>
        <v>3.7037037037037033</v>
      </c>
      <c r="AP386" s="81">
        <f t="shared" ref="AP386:AP394" si="774">Z386</f>
        <v>8.695652173913043</v>
      </c>
      <c r="AQ386" s="81">
        <f t="shared" ref="AQ386:AQ394" si="775">V386</f>
        <v>6</v>
      </c>
      <c r="AR386" s="3"/>
      <c r="AS386" s="76">
        <f t="shared" si="658"/>
        <v>24.698795180722893</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755"/>
        <v>4</v>
      </c>
      <c r="H387" s="52">
        <f t="shared" si="756"/>
        <v>6.1538461538461542</v>
      </c>
      <c r="I387" s="53">
        <f>COUNTIFS('00 Encuesta'!$B$2:$B$511,"*c)*",'00 Encuesta'!$C$2:$C$511,"*a)*",'00 Encuesta'!$E$2:$E$511,"*a)*",'00 Encuesta'!$AW$2:$AW$511,"*b)*")</f>
        <v>2</v>
      </c>
      <c r="J387" s="52">
        <f t="shared" si="757"/>
        <v>6.0606060606060606</v>
      </c>
      <c r="K387" s="53">
        <f>COUNTIFS('00 Encuesta'!$B$2:$B$511,"*c)*",'00 Encuesta'!$C$2:$C$511,"*a)*",'00 Encuesta'!$E$2:$E$511,"*b)*",'00 Encuesta'!$AW$2:$AW$511,"*b)*")</f>
        <v>2</v>
      </c>
      <c r="L387" s="52">
        <f t="shared" si="758"/>
        <v>6.25</v>
      </c>
      <c r="M387" s="23"/>
      <c r="N387" s="51">
        <f t="shared" si="759"/>
        <v>5</v>
      </c>
      <c r="O387" s="52">
        <f t="shared" si="760"/>
        <v>9.8039215686274517</v>
      </c>
      <c r="P387" s="53">
        <f>COUNTIFS('00 Encuesta'!$B$2:$B$511,"*c)*",'00 Encuesta'!$C$2:$C$511,"*b)*",'00 Encuesta'!$E$2:$E$511,"*a)*",'00 Encuesta'!$AW$2:$AW$511,"*b)*")</f>
        <v>3</v>
      </c>
      <c r="Q387" s="52">
        <f t="shared" si="761"/>
        <v>10.714285714285714</v>
      </c>
      <c r="R387" s="53">
        <f>COUNTIFS('00 Encuesta'!$B$2:$B$511,"*c)*",'00 Encuesta'!$C$2:$C$511,"*b)*",'00 Encuesta'!$E$2:$E$511,"*b)*",'00 Encuesta'!$AW$2:$AW$511,"*b)*")</f>
        <v>2</v>
      </c>
      <c r="S387" s="52">
        <f t="shared" si="762"/>
        <v>8.695652173913043</v>
      </c>
      <c r="T387" s="3"/>
      <c r="U387" s="51">
        <f t="shared" si="763"/>
        <v>7</v>
      </c>
      <c r="V387" s="52">
        <f t="shared" si="764"/>
        <v>14.000000000000002</v>
      </c>
      <c r="W387" s="53">
        <f>COUNTIFS('00 Encuesta'!$B$2:$B$511,"*c)*",'00 Encuesta'!$C$2:$C$511,"*d)*",'00 Encuesta'!$E$2:$E$511,"*a)*",'00 Encuesta'!$AW$2:$AW$511,"*b)*")</f>
        <v>2</v>
      </c>
      <c r="X387" s="52">
        <f t="shared" si="765"/>
        <v>7.4074074074074066</v>
      </c>
      <c r="Y387" s="53">
        <f>COUNTIFS('00 Encuesta'!$B$2:$B$511,"*c)*",'00 Encuesta'!$C$2:$C$511,"*d)*",'00 Encuesta'!$E$2:$E$511,"*b)*",'00 Encuesta'!$AW$2:$AW$511,"*b)*")</f>
        <v>5</v>
      </c>
      <c r="Z387" s="52">
        <f t="shared" si="766"/>
        <v>21.739130434782609</v>
      </c>
      <c r="AA387" s="3"/>
      <c r="AB387" s="62">
        <f t="shared" si="767"/>
        <v>16</v>
      </c>
      <c r="AC387" s="52">
        <f t="shared" si="768"/>
        <v>9.6385542168674707</v>
      </c>
      <c r="AD387" s="3"/>
      <c r="AE387" s="3"/>
      <c r="AF387" s="9" t="str">
        <f t="shared" si="769"/>
        <v>b) La orientación cristiana</v>
      </c>
      <c r="AG387" s="72">
        <f t="shared" ref="AG387:AG394" si="776">J387</f>
        <v>6.0606060606060606</v>
      </c>
      <c r="AH387" s="72">
        <f t="shared" ref="AH387:AH394" si="777">L387</f>
        <v>6.25</v>
      </c>
      <c r="AI387" s="73">
        <f t="shared" ref="AI387:AI394" si="778">H387</f>
        <v>6.1538461538461542</v>
      </c>
      <c r="AJ387" s="73"/>
      <c r="AK387" s="76">
        <f t="shared" si="770"/>
        <v>10.714285714285714</v>
      </c>
      <c r="AL387" s="76">
        <f t="shared" si="771"/>
        <v>8.695652173913043</v>
      </c>
      <c r="AM387" s="76">
        <f t="shared" si="772"/>
        <v>9.8039215686274517</v>
      </c>
      <c r="AN387" s="76"/>
      <c r="AO387" s="81">
        <f t="shared" si="773"/>
        <v>7.4074074074074066</v>
      </c>
      <c r="AP387" s="81">
        <f t="shared" si="774"/>
        <v>21.739130434782609</v>
      </c>
      <c r="AQ387" s="81">
        <f t="shared" si="775"/>
        <v>14.000000000000002</v>
      </c>
      <c r="AR387" s="3"/>
      <c r="AS387" s="76">
        <f t="shared" si="658"/>
        <v>9.6385542168674707</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x14ac:dyDescent="0.3">
      <c r="A388" s="1" t="s">
        <v>20</v>
      </c>
      <c r="B388" s="2" t="s">
        <v>243</v>
      </c>
      <c r="C388" s="3"/>
      <c r="D388" s="3"/>
      <c r="E388" s="3"/>
      <c r="F388" s="4"/>
      <c r="G388" s="51">
        <f t="shared" si="755"/>
        <v>15</v>
      </c>
      <c r="H388" s="52">
        <f t="shared" si="756"/>
        <v>23.076923076923077</v>
      </c>
      <c r="I388" s="53">
        <f>COUNTIFS('00 Encuesta'!$B$2:$B$511,"*c)*",'00 Encuesta'!$C$2:$C$511,"*a)*",'00 Encuesta'!$E$2:$E$511,"*a)*",'00 Encuesta'!$AW$2:$AW$511,"*c)*")</f>
        <v>10</v>
      </c>
      <c r="J388" s="52">
        <f t="shared" si="757"/>
        <v>30.303030303030305</v>
      </c>
      <c r="K388" s="53">
        <f>COUNTIFS('00 Encuesta'!$B$2:$B$511,"*c)*",'00 Encuesta'!$C$2:$C$511,"*a)*",'00 Encuesta'!$E$2:$E$511,"*b)*",'00 Encuesta'!$AW$2:$AW$511,"*c)*")</f>
        <v>5</v>
      </c>
      <c r="L388" s="52">
        <f t="shared" si="758"/>
        <v>15.625</v>
      </c>
      <c r="M388" s="23"/>
      <c r="N388" s="51">
        <f t="shared" si="759"/>
        <v>10</v>
      </c>
      <c r="O388" s="52">
        <f t="shared" si="760"/>
        <v>19.607843137254903</v>
      </c>
      <c r="P388" s="53">
        <f>COUNTIFS('00 Encuesta'!$B$2:$B$511,"*c)*",'00 Encuesta'!$C$2:$C$511,"*b)*",'00 Encuesta'!$E$2:$E$511,"*a)*",'00 Encuesta'!$AW$2:$AW$511,"*c)*")</f>
        <v>7</v>
      </c>
      <c r="Q388" s="52">
        <f t="shared" si="761"/>
        <v>25</v>
      </c>
      <c r="R388" s="53">
        <f>COUNTIFS('00 Encuesta'!$B$2:$B$511,"*c)*",'00 Encuesta'!$C$2:$C$511,"*b)*",'00 Encuesta'!$E$2:$E$511,"*b)*",'00 Encuesta'!$AW$2:$AW$511,"*c)*")</f>
        <v>3</v>
      </c>
      <c r="S388" s="52">
        <f t="shared" si="762"/>
        <v>13.043478260869565</v>
      </c>
      <c r="T388" s="3"/>
      <c r="U388" s="51">
        <f t="shared" si="763"/>
        <v>7</v>
      </c>
      <c r="V388" s="52">
        <f t="shared" si="764"/>
        <v>14.000000000000002</v>
      </c>
      <c r="W388" s="53">
        <f>COUNTIFS('00 Encuesta'!$B$2:$B$511,"*c)*",'00 Encuesta'!$C$2:$C$511,"*d)*",'00 Encuesta'!$E$2:$E$511,"*a)*",'00 Encuesta'!$AW$2:$AW$511,"*c)*")</f>
        <v>5</v>
      </c>
      <c r="X388" s="52">
        <f t="shared" si="765"/>
        <v>18.518518518518519</v>
      </c>
      <c r="Y388" s="53">
        <f>COUNTIFS('00 Encuesta'!$B$2:$B$511,"*c)*",'00 Encuesta'!$C$2:$C$511,"*d)*",'00 Encuesta'!$E$2:$E$511,"*b)*",'00 Encuesta'!$AW$2:$AW$511,"*c)*")</f>
        <v>2</v>
      </c>
      <c r="Z388" s="52">
        <f t="shared" si="766"/>
        <v>8.695652173913043</v>
      </c>
      <c r="AA388" s="3"/>
      <c r="AB388" s="62">
        <f t="shared" si="767"/>
        <v>32</v>
      </c>
      <c r="AC388" s="52">
        <f t="shared" si="768"/>
        <v>19.277108433734941</v>
      </c>
      <c r="AD388" s="3"/>
      <c r="AE388" s="3"/>
      <c r="AF388" s="9" t="str">
        <f t="shared" si="769"/>
        <v>c) El estudio</v>
      </c>
      <c r="AG388" s="72">
        <f t="shared" si="776"/>
        <v>30.303030303030305</v>
      </c>
      <c r="AH388" s="72">
        <f t="shared" si="777"/>
        <v>15.625</v>
      </c>
      <c r="AI388" s="73">
        <f t="shared" si="778"/>
        <v>23.076923076923077</v>
      </c>
      <c r="AJ388" s="73"/>
      <c r="AK388" s="76">
        <f t="shared" si="770"/>
        <v>25</v>
      </c>
      <c r="AL388" s="76">
        <f t="shared" si="771"/>
        <v>13.043478260869565</v>
      </c>
      <c r="AM388" s="76">
        <f t="shared" si="772"/>
        <v>19.607843137254903</v>
      </c>
      <c r="AN388" s="76"/>
      <c r="AO388" s="81">
        <f t="shared" si="773"/>
        <v>18.518518518518519</v>
      </c>
      <c r="AP388" s="81">
        <f t="shared" si="774"/>
        <v>8.695652173913043</v>
      </c>
      <c r="AQ388" s="81">
        <f t="shared" si="775"/>
        <v>14.000000000000002</v>
      </c>
      <c r="AR388" s="3"/>
      <c r="AS388" s="76">
        <f t="shared" si="658"/>
        <v>19.277108433734941</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755"/>
        <v>1</v>
      </c>
      <c r="H389" s="52">
        <f t="shared" si="756"/>
        <v>1.5384615384615385</v>
      </c>
      <c r="I389" s="53">
        <f>COUNTIFS('00 Encuesta'!$B$2:$B$511,"*c)*",'00 Encuesta'!$C$2:$C$511,"*a)*",'00 Encuesta'!$E$2:$E$511,"*a)*",'00 Encuesta'!$AW$2:$AW$511,"*d)*")</f>
        <v>0</v>
      </c>
      <c r="J389" s="52">
        <f t="shared" si="757"/>
        <v>0</v>
      </c>
      <c r="K389" s="53">
        <f>COUNTIFS('00 Encuesta'!$B$2:$B$511,"*c)*",'00 Encuesta'!$C$2:$C$511,"*a)*",'00 Encuesta'!$E$2:$E$511,"*b)*",'00 Encuesta'!$AW$2:$AW$511,"*d)*")</f>
        <v>1</v>
      </c>
      <c r="L389" s="52">
        <f t="shared" si="758"/>
        <v>3.125</v>
      </c>
      <c r="M389" s="23"/>
      <c r="N389" s="51">
        <f t="shared" si="759"/>
        <v>1</v>
      </c>
      <c r="O389" s="52">
        <f t="shared" si="760"/>
        <v>1.9607843137254901</v>
      </c>
      <c r="P389" s="53">
        <f>COUNTIFS('00 Encuesta'!$B$2:$B$511,"*c)*",'00 Encuesta'!$C$2:$C$511,"*b)*",'00 Encuesta'!$E$2:$E$511,"*a)*",'00 Encuesta'!$AW$2:$AW$511,"*d)*")</f>
        <v>1</v>
      </c>
      <c r="Q389" s="52">
        <f t="shared" si="761"/>
        <v>3.5714285714285712</v>
      </c>
      <c r="R389" s="53">
        <f>COUNTIFS('00 Encuesta'!$B$2:$B$511,"*c)*",'00 Encuesta'!$C$2:$C$511,"*b)*",'00 Encuesta'!$E$2:$E$511,"*b)*",'00 Encuesta'!$AW$2:$AW$511,"*d)*")</f>
        <v>0</v>
      </c>
      <c r="S389" s="52">
        <f t="shared" si="762"/>
        <v>0</v>
      </c>
      <c r="T389" s="3"/>
      <c r="U389" s="51">
        <f t="shared" si="763"/>
        <v>0</v>
      </c>
      <c r="V389" s="52">
        <f t="shared" si="764"/>
        <v>0</v>
      </c>
      <c r="W389" s="53">
        <f>COUNTIFS('00 Encuesta'!$B$2:$B$511,"*c)*",'00 Encuesta'!$C$2:$C$511,"*d)*",'00 Encuesta'!$E$2:$E$511,"*a)*",'00 Encuesta'!$AW$2:$AW$511,"*d)*")</f>
        <v>0</v>
      </c>
      <c r="X389" s="52">
        <f t="shared" si="765"/>
        <v>0</v>
      </c>
      <c r="Y389" s="53">
        <f>COUNTIFS('00 Encuesta'!$B$2:$B$511,"*c)*",'00 Encuesta'!$C$2:$C$511,"*d)*",'00 Encuesta'!$E$2:$E$511,"*b)*",'00 Encuesta'!$AW$2:$AW$511,"*d)*")</f>
        <v>0</v>
      </c>
      <c r="Z389" s="52">
        <f t="shared" si="766"/>
        <v>0</v>
      </c>
      <c r="AA389" s="3"/>
      <c r="AB389" s="62">
        <f t="shared" si="767"/>
        <v>2</v>
      </c>
      <c r="AC389" s="52">
        <f t="shared" si="768"/>
        <v>1.2048192771084338</v>
      </c>
      <c r="AD389" s="3"/>
      <c r="AE389" s="3"/>
      <c r="AF389" s="9" t="str">
        <f t="shared" si="769"/>
        <v>d) La formacion del carácter</v>
      </c>
      <c r="AG389" s="72">
        <f t="shared" si="776"/>
        <v>0</v>
      </c>
      <c r="AH389" s="72">
        <f t="shared" si="777"/>
        <v>3.125</v>
      </c>
      <c r="AI389" s="73">
        <f t="shared" si="778"/>
        <v>1.5384615384615385</v>
      </c>
      <c r="AJ389" s="73"/>
      <c r="AK389" s="76">
        <f t="shared" si="770"/>
        <v>3.5714285714285712</v>
      </c>
      <c r="AL389" s="76">
        <f t="shared" si="771"/>
        <v>0</v>
      </c>
      <c r="AM389" s="76">
        <f t="shared" si="772"/>
        <v>1.9607843137254901</v>
      </c>
      <c r="AN389" s="76"/>
      <c r="AO389" s="81">
        <f t="shared" si="773"/>
        <v>0</v>
      </c>
      <c r="AP389" s="81">
        <f t="shared" si="774"/>
        <v>0</v>
      </c>
      <c r="AQ389" s="81">
        <f t="shared" si="775"/>
        <v>0</v>
      </c>
      <c r="AR389" s="3"/>
      <c r="AS389" s="76">
        <f t="shared" si="658"/>
        <v>1.2048192771084338</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x14ac:dyDescent="0.3">
      <c r="A390" s="1" t="s">
        <v>22</v>
      </c>
      <c r="B390" s="2" t="s">
        <v>245</v>
      </c>
      <c r="C390" s="3"/>
      <c r="D390" s="3"/>
      <c r="E390" s="3"/>
      <c r="F390" s="4"/>
      <c r="G390" s="51">
        <f t="shared" si="755"/>
        <v>5</v>
      </c>
      <c r="H390" s="52">
        <f t="shared" si="756"/>
        <v>7.6923076923076925</v>
      </c>
      <c r="I390" s="53">
        <f>COUNTIFS('00 Encuesta'!$B$2:$B$511,"*c)*",'00 Encuesta'!$C$2:$C$511,"*a)*",'00 Encuesta'!$E$2:$E$511,"*a)*",'00 Encuesta'!$AW$2:$AW$511,"*e)*")</f>
        <v>2</v>
      </c>
      <c r="J390" s="52">
        <f t="shared" si="757"/>
        <v>6.0606060606060606</v>
      </c>
      <c r="K390" s="53">
        <f>COUNTIFS('00 Encuesta'!$B$2:$B$511,"*c)*",'00 Encuesta'!$C$2:$C$511,"*a)*",'00 Encuesta'!$E$2:$E$511,"*b)*",'00 Encuesta'!$AW$2:$AW$511,"*e)*")</f>
        <v>3</v>
      </c>
      <c r="L390" s="52">
        <f t="shared" si="758"/>
        <v>9.375</v>
      </c>
      <c r="M390" s="23"/>
      <c r="N390" s="51">
        <f t="shared" si="759"/>
        <v>13</v>
      </c>
      <c r="O390" s="52">
        <f t="shared" si="760"/>
        <v>25.490196078431371</v>
      </c>
      <c r="P390" s="53">
        <f>COUNTIFS('00 Encuesta'!$B$2:$B$511,"*c)*",'00 Encuesta'!$C$2:$C$511,"*b)*",'00 Encuesta'!$E$2:$E$511,"*a)*",'00 Encuesta'!$AW$2:$AW$511,"*e)*")</f>
        <v>6</v>
      </c>
      <c r="Q390" s="52">
        <f t="shared" si="761"/>
        <v>21.428571428571427</v>
      </c>
      <c r="R390" s="53">
        <f>COUNTIFS('00 Encuesta'!$B$2:$B$511,"*c)*",'00 Encuesta'!$C$2:$C$511,"*b)*",'00 Encuesta'!$E$2:$E$511,"*b)*",'00 Encuesta'!$AW$2:$AW$511,"*e)*")</f>
        <v>7</v>
      </c>
      <c r="S390" s="52">
        <f t="shared" si="762"/>
        <v>30.434782608695656</v>
      </c>
      <c r="T390" s="3"/>
      <c r="U390" s="51">
        <f t="shared" si="763"/>
        <v>23</v>
      </c>
      <c r="V390" s="52">
        <f t="shared" si="764"/>
        <v>46</v>
      </c>
      <c r="W390" s="53">
        <f>COUNTIFS('00 Encuesta'!$B$2:$B$511,"*c)*",'00 Encuesta'!$C$2:$C$511,"*d)*",'00 Encuesta'!$E$2:$E$511,"*a)*",'00 Encuesta'!$AW$2:$AW$511,"*e)*")</f>
        <v>12</v>
      </c>
      <c r="X390" s="52">
        <f t="shared" si="765"/>
        <v>44.444444444444443</v>
      </c>
      <c r="Y390" s="53">
        <f>COUNTIFS('00 Encuesta'!$B$2:$B$511,"*c)*",'00 Encuesta'!$C$2:$C$511,"*d)*",'00 Encuesta'!$E$2:$E$511,"*b)*",'00 Encuesta'!$AW$2:$AW$511,"*e)*")</f>
        <v>11</v>
      </c>
      <c r="Z390" s="52">
        <f t="shared" si="766"/>
        <v>47.826086956521742</v>
      </c>
      <c r="AA390" s="3"/>
      <c r="AB390" s="62">
        <f t="shared" si="767"/>
        <v>41</v>
      </c>
      <c r="AC390" s="52">
        <f t="shared" si="768"/>
        <v>24.698795180722893</v>
      </c>
      <c r="AD390" s="3"/>
      <c r="AE390" s="3"/>
      <c r="AF390" s="9" t="str">
        <f t="shared" si="769"/>
        <v>e) La disciplina y el orden</v>
      </c>
      <c r="AG390" s="72">
        <f t="shared" si="776"/>
        <v>6.0606060606060606</v>
      </c>
      <c r="AH390" s="72">
        <f t="shared" si="777"/>
        <v>9.375</v>
      </c>
      <c r="AI390" s="73">
        <f t="shared" si="778"/>
        <v>7.6923076923076925</v>
      </c>
      <c r="AJ390" s="73"/>
      <c r="AK390" s="76">
        <f t="shared" si="770"/>
        <v>21.428571428571427</v>
      </c>
      <c r="AL390" s="76">
        <f t="shared" si="771"/>
        <v>30.434782608695656</v>
      </c>
      <c r="AM390" s="76">
        <f t="shared" si="772"/>
        <v>25.490196078431371</v>
      </c>
      <c r="AN390" s="76"/>
      <c r="AO390" s="81">
        <f t="shared" si="773"/>
        <v>44.444444444444443</v>
      </c>
      <c r="AP390" s="81">
        <f t="shared" si="774"/>
        <v>47.826086956521742</v>
      </c>
      <c r="AQ390" s="81">
        <f t="shared" si="775"/>
        <v>46</v>
      </c>
      <c r="AR390" s="3"/>
      <c r="AS390" s="76">
        <f t="shared" si="658"/>
        <v>24.698795180722893</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755"/>
        <v>1</v>
      </c>
      <c r="H391" s="52">
        <f t="shared" si="756"/>
        <v>1.5384615384615385</v>
      </c>
      <c r="I391" s="53">
        <f>COUNTIFS('00 Encuesta'!$B$2:$B$511,"*c)*",'00 Encuesta'!$C$2:$C$511,"*a)*",'00 Encuesta'!$E$2:$E$511,"*a)*",'00 Encuesta'!$AW$2:$AW$511,"*f)*")</f>
        <v>0</v>
      </c>
      <c r="J391" s="52">
        <f t="shared" si="757"/>
        <v>0</v>
      </c>
      <c r="K391" s="53">
        <f>COUNTIFS('00 Encuesta'!$B$2:$B$511,"*c)*",'00 Encuesta'!$C$2:$C$511,"*a)*",'00 Encuesta'!$E$2:$E$511,"*b)*",'00 Encuesta'!$AW$2:$AW$511,"*f)*")</f>
        <v>1</v>
      </c>
      <c r="L391" s="52">
        <f t="shared" si="758"/>
        <v>3.125</v>
      </c>
      <c r="M391" s="23"/>
      <c r="N391" s="51">
        <f t="shared" si="759"/>
        <v>2</v>
      </c>
      <c r="O391" s="52">
        <f t="shared" si="760"/>
        <v>3.9215686274509802</v>
      </c>
      <c r="P391" s="53">
        <f>COUNTIFS('00 Encuesta'!$B$2:$B$511,"*c)*",'00 Encuesta'!$C$2:$C$511,"*b)*",'00 Encuesta'!$E$2:$E$511,"*a)*",'00 Encuesta'!$AW$2:$AW$511,"*f)*")</f>
        <v>0</v>
      </c>
      <c r="Q391" s="52">
        <f t="shared" si="761"/>
        <v>0</v>
      </c>
      <c r="R391" s="53">
        <f>COUNTIFS('00 Encuesta'!$B$2:$B$511,"*c)*",'00 Encuesta'!$C$2:$C$511,"*b)*",'00 Encuesta'!$E$2:$E$511,"*b)*",'00 Encuesta'!$AW$2:$AW$511,"*f)*")</f>
        <v>2</v>
      </c>
      <c r="S391" s="52">
        <f t="shared" si="762"/>
        <v>8.695652173913043</v>
      </c>
      <c r="T391" s="3"/>
      <c r="U391" s="51">
        <f t="shared" si="763"/>
        <v>2</v>
      </c>
      <c r="V391" s="52">
        <f t="shared" si="764"/>
        <v>4</v>
      </c>
      <c r="W391" s="53">
        <f>COUNTIFS('00 Encuesta'!$B$2:$B$511,"*c)*",'00 Encuesta'!$C$2:$C$511,"*d)*",'00 Encuesta'!$E$2:$E$511,"*a)*",'00 Encuesta'!$AW$2:$AW$511,"*f)*")</f>
        <v>2</v>
      </c>
      <c r="X391" s="52">
        <f t="shared" si="765"/>
        <v>7.4074074074074066</v>
      </c>
      <c r="Y391" s="53">
        <f>COUNTIFS('00 Encuesta'!$B$2:$B$511,"*c)*",'00 Encuesta'!$C$2:$C$511,"*d)*",'00 Encuesta'!$E$2:$E$511,"*b)*",'00 Encuesta'!$AW$2:$AW$511,"*f)*")</f>
        <v>0</v>
      </c>
      <c r="Z391" s="52">
        <f t="shared" si="766"/>
        <v>0</v>
      </c>
      <c r="AA391" s="3"/>
      <c r="AB391" s="62">
        <f t="shared" si="767"/>
        <v>5</v>
      </c>
      <c r="AC391" s="52">
        <f t="shared" si="768"/>
        <v>3.0120481927710845</v>
      </c>
      <c r="AD391" s="3"/>
      <c r="AE391" s="3"/>
      <c r="AF391" s="9" t="str">
        <f t="shared" si="769"/>
        <v>f) La pràctica religiosa</v>
      </c>
      <c r="AG391" s="72">
        <f t="shared" si="776"/>
        <v>0</v>
      </c>
      <c r="AH391" s="72">
        <f t="shared" si="777"/>
        <v>3.125</v>
      </c>
      <c r="AI391" s="73">
        <f t="shared" si="778"/>
        <v>1.5384615384615385</v>
      </c>
      <c r="AJ391" s="73"/>
      <c r="AK391" s="76">
        <f t="shared" si="770"/>
        <v>0</v>
      </c>
      <c r="AL391" s="76">
        <f t="shared" si="771"/>
        <v>8.695652173913043</v>
      </c>
      <c r="AM391" s="76">
        <f t="shared" si="772"/>
        <v>3.9215686274509802</v>
      </c>
      <c r="AN391" s="76"/>
      <c r="AO391" s="81">
        <f t="shared" si="773"/>
        <v>7.4074074074074066</v>
      </c>
      <c r="AP391" s="81">
        <f t="shared" si="774"/>
        <v>0</v>
      </c>
      <c r="AQ391" s="81">
        <f t="shared" si="775"/>
        <v>4</v>
      </c>
      <c r="AR391" s="3"/>
      <c r="AS391" s="76">
        <f t="shared" si="658"/>
        <v>3.0120481927710845</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755"/>
        <v>2</v>
      </c>
      <c r="H392" s="52">
        <f t="shared" si="756"/>
        <v>3.0769230769230771</v>
      </c>
      <c r="I392" s="53">
        <f>COUNTIFS('00 Encuesta'!$B$2:$B$511,"*c)*",'00 Encuesta'!$C$2:$C$511,"*a)*",'00 Encuesta'!$E$2:$E$511,"*a)*",'00 Encuesta'!$AW$2:$AW$511,"*g)*")</f>
        <v>0</v>
      </c>
      <c r="J392" s="52">
        <f t="shared" si="757"/>
        <v>0</v>
      </c>
      <c r="K392" s="53">
        <f>COUNTIFS('00 Encuesta'!$B$2:$B$511,"*c)*",'00 Encuesta'!$C$2:$C$511,"*a)*",'00 Encuesta'!$E$2:$E$511,"*b)*",'00 Encuesta'!$AW$2:$AW$511,"*g)*")</f>
        <v>2</v>
      </c>
      <c r="L392" s="52">
        <f t="shared" ref="L392:L394" si="779">K392/$J$7*100</f>
        <v>6.25</v>
      </c>
      <c r="M392" s="23"/>
      <c r="N392" s="51">
        <f t="shared" ref="N392:N394" si="780">P392+R392</f>
        <v>2</v>
      </c>
      <c r="O392" s="52">
        <f t="shared" ref="O392:O394" si="781">N392/$Q$5*100</f>
        <v>3.9215686274509802</v>
      </c>
      <c r="P392" s="53">
        <f>COUNTIFS('00 Encuesta'!$B$2:$B$511,"*c)*",'00 Encuesta'!$C$2:$C$511,"*b)*",'00 Encuesta'!$E$2:$E$511,"*a)*",'00 Encuesta'!$AW$2:$AW$511,"*g)*")</f>
        <v>2</v>
      </c>
      <c r="Q392" s="52">
        <f t="shared" si="761"/>
        <v>7.1428571428571423</v>
      </c>
      <c r="R392" s="53">
        <f>COUNTIFS('00 Encuesta'!$B$2:$B$511,"*c)*",'00 Encuesta'!$C$2:$C$511,"*b)*",'00 Encuesta'!$E$2:$E$511,"*b)*",'00 Encuesta'!$AW$2:$AW$511,"*g)*")</f>
        <v>0</v>
      </c>
      <c r="S392" s="52">
        <f t="shared" ref="S392:S394" si="782">R392/$Q$7*100</f>
        <v>0</v>
      </c>
      <c r="T392" s="3"/>
      <c r="U392" s="51">
        <f t="shared" ref="U392:U394" si="783">W392+Y392</f>
        <v>5</v>
      </c>
      <c r="V392" s="52">
        <f t="shared" ref="V392:V394" si="784">U392/$X$5*100</f>
        <v>10</v>
      </c>
      <c r="W392" s="53">
        <f>COUNTIFS('00 Encuesta'!$B$2:$B$511,"*c)*",'00 Encuesta'!$C$2:$C$511,"*d)*",'00 Encuesta'!$E$2:$E$511,"*a)*",'00 Encuesta'!$AW$2:$AW$511,"*g)*")</f>
        <v>2</v>
      </c>
      <c r="X392" s="52">
        <f t="shared" si="765"/>
        <v>7.4074074074074066</v>
      </c>
      <c r="Y392" s="53">
        <f>COUNTIFS('00 Encuesta'!$B$2:$B$511,"*c)*",'00 Encuesta'!$C$2:$C$511,"*d)*",'00 Encuesta'!$E$2:$E$511,"*b)*",'00 Encuesta'!$AW$2:$AW$511,"*g)*")</f>
        <v>3</v>
      </c>
      <c r="Z392" s="52">
        <f t="shared" si="766"/>
        <v>13.043478260869565</v>
      </c>
      <c r="AA392" s="3"/>
      <c r="AB392" s="62">
        <f t="shared" si="767"/>
        <v>9</v>
      </c>
      <c r="AC392" s="52">
        <f t="shared" si="768"/>
        <v>5.4216867469879517</v>
      </c>
      <c r="AD392" s="3"/>
      <c r="AE392" s="3"/>
      <c r="AF392" s="9" t="str">
        <f t="shared" si="769"/>
        <v>g) La Orientación profesional futura</v>
      </c>
      <c r="AG392" s="72">
        <f t="shared" si="776"/>
        <v>0</v>
      </c>
      <c r="AH392" s="72">
        <f t="shared" si="777"/>
        <v>6.25</v>
      </c>
      <c r="AI392" s="73">
        <f t="shared" si="778"/>
        <v>3.0769230769230771</v>
      </c>
      <c r="AJ392" s="73"/>
      <c r="AK392" s="76">
        <f t="shared" si="770"/>
        <v>7.1428571428571423</v>
      </c>
      <c r="AL392" s="76">
        <f t="shared" si="771"/>
        <v>0</v>
      </c>
      <c r="AM392" s="76">
        <f t="shared" si="772"/>
        <v>3.9215686274509802</v>
      </c>
      <c r="AN392" s="76"/>
      <c r="AO392" s="81">
        <f t="shared" si="773"/>
        <v>7.4074074074074066</v>
      </c>
      <c r="AP392" s="81">
        <f t="shared" si="774"/>
        <v>13.043478260869565</v>
      </c>
      <c r="AQ392" s="81">
        <f t="shared" si="775"/>
        <v>10</v>
      </c>
      <c r="AR392" s="3"/>
      <c r="AS392" s="76">
        <f t="shared" si="658"/>
        <v>5.4216867469879517</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755"/>
        <v>6</v>
      </c>
      <c r="H393" s="52">
        <f t="shared" si="756"/>
        <v>9.2307692307692317</v>
      </c>
      <c r="I393" s="53">
        <f>COUNTIFS('00 Encuesta'!$B$2:$B$511,"*c)*",'00 Encuesta'!$C$2:$C$511,"*a)*",'00 Encuesta'!$E$2:$E$511,"*a)*",'00 Encuesta'!$AW$2:$AW$511,"*h)*")</f>
        <v>1</v>
      </c>
      <c r="J393" s="52">
        <f t="shared" si="757"/>
        <v>3.0303030303030303</v>
      </c>
      <c r="K393" s="53">
        <f>COUNTIFS('00 Encuesta'!$B$2:$B$511,"*c)*",'00 Encuesta'!$C$2:$C$511,"*a)*",'00 Encuesta'!$E$2:$E$511,"*b)*",'00 Encuesta'!$AW$2:$AW$511,"*h)*")</f>
        <v>5</v>
      </c>
      <c r="L393" s="52">
        <f t="shared" si="779"/>
        <v>15.625</v>
      </c>
      <c r="M393" s="23"/>
      <c r="N393" s="51">
        <f t="shared" si="780"/>
        <v>3</v>
      </c>
      <c r="O393" s="52">
        <f t="shared" si="781"/>
        <v>5.8823529411764701</v>
      </c>
      <c r="P393" s="53">
        <f>COUNTIFS('00 Encuesta'!$B$2:$B$511,"*c)*",'00 Encuesta'!$C$2:$C$511,"*b)*",'00 Encuesta'!$E$2:$E$511,"*a)*",'00 Encuesta'!$AW$2:$AW$511,"*h)*")</f>
        <v>1</v>
      </c>
      <c r="Q393" s="52">
        <f t="shared" si="761"/>
        <v>3.5714285714285712</v>
      </c>
      <c r="R393" s="53">
        <f>COUNTIFS('00 Encuesta'!$B$2:$B$511,"*c)*",'00 Encuesta'!$C$2:$C$511,"*b)*",'00 Encuesta'!$E$2:$E$511,"*b)*",'00 Encuesta'!$AW$2:$AW$511,"*h)*")</f>
        <v>2</v>
      </c>
      <c r="S393" s="52">
        <f t="shared" si="782"/>
        <v>8.695652173913043</v>
      </c>
      <c r="T393" s="3"/>
      <c r="U393" s="51">
        <f t="shared" si="783"/>
        <v>2</v>
      </c>
      <c r="V393" s="52">
        <f t="shared" si="784"/>
        <v>4</v>
      </c>
      <c r="W393" s="53">
        <f>COUNTIFS('00 Encuesta'!$B$2:$B$511,"*c)*",'00 Encuesta'!$C$2:$C$511,"*d)*",'00 Encuesta'!$E$2:$E$511,"*a)*",'00 Encuesta'!$AW$2:$AW$511,"*h)*")</f>
        <v>2</v>
      </c>
      <c r="X393" s="52">
        <f t="shared" si="765"/>
        <v>7.4074074074074066</v>
      </c>
      <c r="Y393" s="53">
        <f>COUNTIFS('00 Encuesta'!$B$2:$B$511,"*c)*",'00 Encuesta'!$C$2:$C$511,"*d)*",'00 Encuesta'!$E$2:$E$511,"*b)*",'00 Encuesta'!$AW$2:$AW$511,"*h)*")</f>
        <v>0</v>
      </c>
      <c r="Z393" s="52">
        <f t="shared" si="766"/>
        <v>0</v>
      </c>
      <c r="AA393" s="3"/>
      <c r="AB393" s="62">
        <f t="shared" si="767"/>
        <v>11</v>
      </c>
      <c r="AC393" s="52">
        <f t="shared" si="768"/>
        <v>6.6265060240963853</v>
      </c>
      <c r="AD393" s="3"/>
      <c r="AE393" s="3"/>
      <c r="AF393" s="9" t="str">
        <f t="shared" si="769"/>
        <v>h) La responsabilidad social y servicio a los demás</v>
      </c>
      <c r="AG393" s="72">
        <f t="shared" si="776"/>
        <v>3.0303030303030303</v>
      </c>
      <c r="AH393" s="72">
        <f t="shared" si="777"/>
        <v>15.625</v>
      </c>
      <c r="AI393" s="73">
        <f t="shared" si="778"/>
        <v>9.2307692307692317</v>
      </c>
      <c r="AJ393" s="73"/>
      <c r="AK393" s="76">
        <f t="shared" si="770"/>
        <v>3.5714285714285712</v>
      </c>
      <c r="AL393" s="76">
        <f t="shared" si="771"/>
        <v>8.695652173913043</v>
      </c>
      <c r="AM393" s="76">
        <f t="shared" si="772"/>
        <v>5.8823529411764701</v>
      </c>
      <c r="AN393" s="76"/>
      <c r="AO393" s="81">
        <f t="shared" si="773"/>
        <v>7.4074074074074066</v>
      </c>
      <c r="AP393" s="81">
        <f t="shared" si="774"/>
        <v>0</v>
      </c>
      <c r="AQ393" s="81">
        <f t="shared" si="775"/>
        <v>4</v>
      </c>
      <c r="AR393" s="3"/>
      <c r="AS393" s="76">
        <f t="shared" si="658"/>
        <v>6.6265060240963853</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x14ac:dyDescent="0.3">
      <c r="A394" s="1" t="s">
        <v>65</v>
      </c>
      <c r="B394" s="2" t="s">
        <v>247</v>
      </c>
      <c r="C394" s="3"/>
      <c r="D394" s="3"/>
      <c r="E394" s="3"/>
      <c r="F394" s="4"/>
      <c r="G394" s="51">
        <f t="shared" si="755"/>
        <v>2</v>
      </c>
      <c r="H394" s="52">
        <f t="shared" si="756"/>
        <v>3.0769230769230771</v>
      </c>
      <c r="I394" s="53">
        <f>COUNTIFS('00 Encuesta'!$B$2:$B$511,"*c)*",'00 Encuesta'!$C$2:$C$511,"*a)*",'00 Encuesta'!$E$2:$E$511,"*a)*",'00 Encuesta'!$AW$2:$AW$511,"*i)*")</f>
        <v>0</v>
      </c>
      <c r="J394" s="52">
        <f t="shared" si="757"/>
        <v>0</v>
      </c>
      <c r="K394" s="53">
        <f>COUNTIFS('00 Encuesta'!$B$2:$B$511,"*c)*",'00 Encuesta'!$C$2:$C$511,"*a)*",'00 Encuesta'!$E$2:$E$511,"*b)*",'00 Encuesta'!$AW$2:$AW$511,"*i)*")</f>
        <v>2</v>
      </c>
      <c r="L394" s="52">
        <f t="shared" si="779"/>
        <v>6.25</v>
      </c>
      <c r="M394" s="23"/>
      <c r="N394" s="51">
        <f t="shared" si="780"/>
        <v>2</v>
      </c>
      <c r="O394" s="52">
        <f t="shared" si="781"/>
        <v>3.9215686274509802</v>
      </c>
      <c r="P394" s="53">
        <f>COUNTIFS('00 Encuesta'!$B$2:$B$511,"*c)*",'00 Encuesta'!$C$2:$C$511,"*b)*",'00 Encuesta'!$E$2:$E$511,"*a)*",'00 Encuesta'!$AW$2:$AW$511,"*i)*")</f>
        <v>0</v>
      </c>
      <c r="Q394" s="52">
        <f t="shared" si="761"/>
        <v>0</v>
      </c>
      <c r="R394" s="53">
        <f>COUNTIFS('00 Encuesta'!$B$2:$B$511,"*c)*",'00 Encuesta'!$C$2:$C$511,"*b)*",'00 Encuesta'!$E$2:$E$511,"*b)*",'00 Encuesta'!$AW$2:$AW$511,"*i)*")</f>
        <v>2</v>
      </c>
      <c r="S394" s="52">
        <f t="shared" si="782"/>
        <v>8.695652173913043</v>
      </c>
      <c r="T394" s="3"/>
      <c r="U394" s="51">
        <f t="shared" si="783"/>
        <v>1</v>
      </c>
      <c r="V394" s="52">
        <f t="shared" si="784"/>
        <v>2</v>
      </c>
      <c r="W394" s="53">
        <f>COUNTIFS('00 Encuesta'!$B$2:$B$511,"*c)*",'00 Encuesta'!$C$2:$C$511,"*d)*",'00 Encuesta'!$E$2:$E$511,"*a)*",'00 Encuesta'!$AW$2:$AW$511,"*i)*")</f>
        <v>1</v>
      </c>
      <c r="X394" s="52">
        <f t="shared" si="765"/>
        <v>3.7037037037037033</v>
      </c>
      <c r="Y394" s="53">
        <f>COUNTIFS('00 Encuesta'!$B$2:$B$511,"*c)*",'00 Encuesta'!$C$2:$C$511,"*d)*",'00 Encuesta'!$E$2:$E$511,"*b)*",'00 Encuesta'!$AW$2:$AW$511,"*i)*")</f>
        <v>0</v>
      </c>
      <c r="Z394" s="52">
        <f t="shared" si="766"/>
        <v>0</v>
      </c>
      <c r="AA394" s="3"/>
      <c r="AB394" s="62">
        <f t="shared" si="767"/>
        <v>5</v>
      </c>
      <c r="AC394" s="52">
        <f t="shared" si="768"/>
        <v>3.0120481927710845</v>
      </c>
      <c r="AD394" s="3"/>
      <c r="AE394" s="3"/>
      <c r="AF394" s="9" t="str">
        <f t="shared" si="769"/>
        <v>i) En nada</v>
      </c>
      <c r="AG394" s="72">
        <f t="shared" si="776"/>
        <v>0</v>
      </c>
      <c r="AH394" s="72">
        <f t="shared" si="777"/>
        <v>6.25</v>
      </c>
      <c r="AI394" s="73">
        <f t="shared" si="778"/>
        <v>3.0769230769230771</v>
      </c>
      <c r="AJ394" s="73"/>
      <c r="AK394" s="76">
        <f t="shared" si="770"/>
        <v>0</v>
      </c>
      <c r="AL394" s="76">
        <f t="shared" si="771"/>
        <v>8.695652173913043</v>
      </c>
      <c r="AM394" s="76">
        <f t="shared" si="772"/>
        <v>3.9215686274509802</v>
      </c>
      <c r="AN394" s="76"/>
      <c r="AO394" s="81">
        <f t="shared" si="773"/>
        <v>3.7037037037037033</v>
      </c>
      <c r="AP394" s="81">
        <f t="shared" si="774"/>
        <v>0</v>
      </c>
      <c r="AQ394" s="81">
        <f t="shared" si="775"/>
        <v>2</v>
      </c>
      <c r="AR394" s="3"/>
      <c r="AS394" s="76">
        <f t="shared" si="658"/>
        <v>3.0120481927710845</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x14ac:dyDescent="0.3">
      <c r="A397" s="1" t="s">
        <v>17</v>
      </c>
      <c r="B397" s="2" t="s">
        <v>249</v>
      </c>
      <c r="C397" s="3"/>
      <c r="D397" s="3"/>
      <c r="E397" s="3"/>
      <c r="F397" s="4"/>
      <c r="G397" s="51">
        <f t="shared" ref="G397:G404" si="785">I397+K397</f>
        <v>37</v>
      </c>
      <c r="H397" s="52">
        <f t="shared" ref="H397:H404" si="786">G397/$J$5*100</f>
        <v>56.92307692307692</v>
      </c>
      <c r="I397" s="53">
        <f>COUNTIFS('00 Encuesta'!$B$2:$B$511,"*c)*",'00 Encuesta'!$C$2:$C$511,"*a)*",'00 Encuesta'!$E$2:$E$511,"*a)*",'00 Encuesta'!$AX$2:$AX$511,"*a)*")</f>
        <v>19</v>
      </c>
      <c r="J397" s="52">
        <f t="shared" ref="J397:J404" si="787">I397/$J$6*100</f>
        <v>57.575757575757578</v>
      </c>
      <c r="K397" s="53">
        <f>COUNTIFS('00 Encuesta'!$B$2:$B$511,"*c)*",'00 Encuesta'!$C$2:$C$511,"*a)*",'00 Encuesta'!$E$2:$E$511,"*b)*",'00 Encuesta'!$AX$2:$AX$511,"*a)*")</f>
        <v>18</v>
      </c>
      <c r="L397" s="52">
        <f t="shared" ref="L397:L402" si="788">K397/$J$7*100</f>
        <v>56.25</v>
      </c>
      <c r="M397" s="23"/>
      <c r="N397" s="51">
        <f t="shared" ref="N397:N402" si="789">P397+R397</f>
        <v>26</v>
      </c>
      <c r="O397" s="52">
        <f t="shared" ref="O397:O402" si="790">N397/$Q$5*100</f>
        <v>50.980392156862742</v>
      </c>
      <c r="P397" s="53">
        <f>COUNTIFS('00 Encuesta'!$B$2:$B$511,"*c)*",'00 Encuesta'!$C$2:$C$511,"*b)*",'00 Encuesta'!$E$2:$E$511,"*a)*",'00 Encuesta'!$AX$2:$AX$511,"*a)*")</f>
        <v>15</v>
      </c>
      <c r="Q397" s="52">
        <f t="shared" ref="Q397:Q404" si="791">P397/$Q$6*100</f>
        <v>53.571428571428569</v>
      </c>
      <c r="R397" s="53">
        <f>COUNTIFS('00 Encuesta'!$B$2:$B$511,"*c)*",'00 Encuesta'!$C$2:$C$511,"*b)*",'00 Encuesta'!$E$2:$E$511,"*b)*",'00 Encuesta'!$AX$2:$AX$511,"*a)*")</f>
        <v>11</v>
      </c>
      <c r="S397" s="52">
        <f t="shared" ref="S397:S402" si="792">R397/$Q$7*100</f>
        <v>47.826086956521742</v>
      </c>
      <c r="T397" s="3"/>
      <c r="U397" s="51">
        <f t="shared" ref="U397:U402" si="793">W397+Y397</f>
        <v>25</v>
      </c>
      <c r="V397" s="52">
        <f t="shared" ref="V397:V402" si="794">U397/$X$5*100</f>
        <v>50</v>
      </c>
      <c r="W397" s="53">
        <f>COUNTIFS('00 Encuesta'!$B$2:$B$511,"*c)*",'00 Encuesta'!$C$2:$C$511,"*d)*",'00 Encuesta'!$E$2:$E$511,"*a)*",'00 Encuesta'!$AX$2:$AX$511,"*a)*")</f>
        <v>14</v>
      </c>
      <c r="X397" s="52">
        <f t="shared" ref="X397:X404" si="795">W397/$X$6*100</f>
        <v>51.851851851851848</v>
      </c>
      <c r="Y397" s="53">
        <f>COUNTIFS('00 Encuesta'!$B$2:$B$511,"*c)*",'00 Encuesta'!$C$2:$C$511,"*d)*",'00 Encuesta'!$E$2:$E$511,"*b)*",'00 Encuesta'!$AX$2:$AX$511,"*a)*")</f>
        <v>11</v>
      </c>
      <c r="Z397" s="52">
        <f t="shared" ref="Z397:Z404" si="796">Y397/$X$7*100</f>
        <v>47.826086956521742</v>
      </c>
      <c r="AA397" s="3"/>
      <c r="AB397" s="62">
        <f t="shared" ref="AB397:AB404" si="797">G397+N397+U397</f>
        <v>88</v>
      </c>
      <c r="AC397" s="52">
        <f t="shared" ref="AC397:AC404" si="798">AB397*100/$AC$5</f>
        <v>53.012048192771083</v>
      </c>
      <c r="AD397" s="3"/>
      <c r="AE397" s="3"/>
      <c r="AF397" s="9" t="str">
        <f t="shared" ref="AF397:AF404" si="799">A397&amp;" "&amp;B397</f>
        <v>a) Que sea un buen profesional</v>
      </c>
      <c r="AG397" s="72">
        <f t="shared" ref="AG397:AG404" si="800">J397</f>
        <v>57.575757575757578</v>
      </c>
      <c r="AH397" s="72">
        <f t="shared" ref="AH397:AH404" si="801">L397</f>
        <v>56.25</v>
      </c>
      <c r="AI397" s="73">
        <f t="shared" ref="AI397:AI404" si="802">H397</f>
        <v>56.92307692307692</v>
      </c>
      <c r="AJ397" s="73"/>
      <c r="AK397" s="76">
        <f t="shared" ref="AK397:AK404" si="803">Q397</f>
        <v>53.571428571428569</v>
      </c>
      <c r="AL397" s="76">
        <f t="shared" ref="AL397:AL404" si="804">S397</f>
        <v>47.826086956521742</v>
      </c>
      <c r="AM397" s="76">
        <f t="shared" ref="AM397:AM404" si="805">O397</f>
        <v>50.980392156862742</v>
      </c>
      <c r="AN397" s="76"/>
      <c r="AO397" s="81">
        <f t="shared" ref="AO397:AO404" si="806">X397</f>
        <v>51.851851851851848</v>
      </c>
      <c r="AP397" s="81">
        <f t="shared" ref="AP397:AP404" si="807">Z397</f>
        <v>47.826086956521742</v>
      </c>
      <c r="AQ397" s="81">
        <f t="shared" ref="AQ397:AQ404" si="808">V397</f>
        <v>50</v>
      </c>
      <c r="AR397" s="3"/>
      <c r="AS397" s="76">
        <f t="shared" si="658"/>
        <v>53.012048192771083</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785"/>
        <v>20</v>
      </c>
      <c r="H398" s="52">
        <f t="shared" si="786"/>
        <v>30.76923076923077</v>
      </c>
      <c r="I398" s="53">
        <f>COUNTIFS('00 Encuesta'!$B$2:$B$511,"*c)*",'00 Encuesta'!$C$2:$C$511,"*a)*",'00 Encuesta'!$E$2:$E$511,"*a)*",'00 Encuesta'!$AX$2:$AX$511,"*b)*")</f>
        <v>11</v>
      </c>
      <c r="J398" s="52">
        <f t="shared" si="787"/>
        <v>33.333333333333329</v>
      </c>
      <c r="K398" s="53">
        <f>COUNTIFS('00 Encuesta'!$B$2:$B$511,"*c)*",'00 Encuesta'!$C$2:$C$511,"*a)*",'00 Encuesta'!$E$2:$E$511,"*b)*",'00 Encuesta'!$AX$2:$AX$511,"*b)*")</f>
        <v>9</v>
      </c>
      <c r="L398" s="52">
        <f t="shared" si="788"/>
        <v>28.125</v>
      </c>
      <c r="M398" s="23"/>
      <c r="N398" s="51">
        <f t="shared" si="789"/>
        <v>14</v>
      </c>
      <c r="O398" s="52">
        <f t="shared" si="790"/>
        <v>27.450980392156865</v>
      </c>
      <c r="P398" s="53">
        <f>COUNTIFS('00 Encuesta'!$B$2:$B$511,"*c)*",'00 Encuesta'!$C$2:$C$511,"*b)*",'00 Encuesta'!$E$2:$E$511,"*a)*",'00 Encuesta'!$AX$2:$AX$511,"*b)*")</f>
        <v>7</v>
      </c>
      <c r="Q398" s="52">
        <f t="shared" si="791"/>
        <v>25</v>
      </c>
      <c r="R398" s="53">
        <f>COUNTIFS('00 Encuesta'!$B$2:$B$511,"*c)*",'00 Encuesta'!$C$2:$C$511,"*b)*",'00 Encuesta'!$E$2:$E$511,"*b)*",'00 Encuesta'!$AX$2:$AX$511,"*b)*")</f>
        <v>7</v>
      </c>
      <c r="S398" s="52">
        <f t="shared" si="792"/>
        <v>30.434782608695656</v>
      </c>
      <c r="T398" s="3"/>
      <c r="U398" s="51">
        <f t="shared" si="793"/>
        <v>18</v>
      </c>
      <c r="V398" s="52">
        <f t="shared" si="794"/>
        <v>36</v>
      </c>
      <c r="W398" s="53">
        <f>COUNTIFS('00 Encuesta'!$B$2:$B$511,"*c)*",'00 Encuesta'!$C$2:$C$511,"*d)*",'00 Encuesta'!$E$2:$E$511,"*a)*",'00 Encuesta'!$AX$2:$AX$511,"*b)*")</f>
        <v>8</v>
      </c>
      <c r="X398" s="52">
        <f t="shared" si="795"/>
        <v>29.629629629629626</v>
      </c>
      <c r="Y398" s="53">
        <f>COUNTIFS('00 Encuesta'!$B$2:$B$511,"*c)*",'00 Encuesta'!$C$2:$C$511,"*d)*",'00 Encuesta'!$E$2:$E$511,"*b)*",'00 Encuesta'!$AX$2:$AX$511,"*b)*")</f>
        <v>10</v>
      </c>
      <c r="Z398" s="52">
        <f t="shared" si="796"/>
        <v>43.478260869565219</v>
      </c>
      <c r="AA398" s="3"/>
      <c r="AB398" s="62">
        <f t="shared" si="797"/>
        <v>52</v>
      </c>
      <c r="AC398" s="52">
        <f t="shared" si="798"/>
        <v>31.325301204819276</v>
      </c>
      <c r="AD398" s="3"/>
      <c r="AE398" s="3"/>
      <c r="AF398" s="9" t="str">
        <f t="shared" si="799"/>
        <v>b) Darme una buena ocupaciòn</v>
      </c>
      <c r="AG398" s="72">
        <f t="shared" si="800"/>
        <v>33.333333333333329</v>
      </c>
      <c r="AH398" s="72">
        <f t="shared" si="801"/>
        <v>28.125</v>
      </c>
      <c r="AI398" s="73">
        <f t="shared" si="802"/>
        <v>30.76923076923077</v>
      </c>
      <c r="AJ398" s="73"/>
      <c r="AK398" s="76">
        <f t="shared" si="803"/>
        <v>25</v>
      </c>
      <c r="AL398" s="76">
        <f t="shared" si="804"/>
        <v>30.434782608695656</v>
      </c>
      <c r="AM398" s="76">
        <f t="shared" si="805"/>
        <v>27.450980392156865</v>
      </c>
      <c r="AN398" s="76"/>
      <c r="AO398" s="81">
        <f t="shared" si="806"/>
        <v>29.629629629629626</v>
      </c>
      <c r="AP398" s="81">
        <f t="shared" si="807"/>
        <v>43.478260869565219</v>
      </c>
      <c r="AQ398" s="81">
        <f t="shared" si="808"/>
        <v>36</v>
      </c>
      <c r="AR398" s="3"/>
      <c r="AS398" s="76">
        <f t="shared" si="658"/>
        <v>31.325301204819276</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785"/>
        <v>2</v>
      </c>
      <c r="H399" s="52">
        <f t="shared" si="786"/>
        <v>3.0769230769230771</v>
      </c>
      <c r="I399" s="53">
        <f>COUNTIFS('00 Encuesta'!$B$2:$B$511,"*c)*",'00 Encuesta'!$C$2:$C$511,"*a)*",'00 Encuesta'!$E$2:$E$511,"*a)*",'00 Encuesta'!$AX$2:$AX$511,"*c)*")</f>
        <v>0</v>
      </c>
      <c r="J399" s="52">
        <f t="shared" si="787"/>
        <v>0</v>
      </c>
      <c r="K399" s="53">
        <f>COUNTIFS('00 Encuesta'!$B$2:$B$511,"*c)*",'00 Encuesta'!$C$2:$C$511,"*a)*",'00 Encuesta'!$E$2:$E$511,"*b)*",'00 Encuesta'!$AX$2:$AX$511,"*c)*")</f>
        <v>2</v>
      </c>
      <c r="L399" s="52">
        <f t="shared" si="788"/>
        <v>6.25</v>
      </c>
      <c r="M399" s="23"/>
      <c r="N399" s="51">
        <f t="shared" si="789"/>
        <v>2</v>
      </c>
      <c r="O399" s="52">
        <f t="shared" si="790"/>
        <v>3.9215686274509802</v>
      </c>
      <c r="P399" s="53">
        <f>COUNTIFS('00 Encuesta'!$B$2:$B$511,"*c)*",'00 Encuesta'!$C$2:$C$511,"*b)*",'00 Encuesta'!$E$2:$E$511,"*a)*",'00 Encuesta'!$AX$2:$AX$511,"*c)*")</f>
        <v>1</v>
      </c>
      <c r="Q399" s="52">
        <f t="shared" si="791"/>
        <v>3.5714285714285712</v>
      </c>
      <c r="R399" s="53">
        <f>COUNTIFS('00 Encuesta'!$B$2:$B$511,"*c)*",'00 Encuesta'!$C$2:$C$511,"*b)*",'00 Encuesta'!$E$2:$E$511,"*b)*",'00 Encuesta'!$AX$2:$AX$511,"*c)*")</f>
        <v>1</v>
      </c>
      <c r="S399" s="52">
        <f t="shared" si="792"/>
        <v>4.3478260869565215</v>
      </c>
      <c r="T399" s="3"/>
      <c r="U399" s="51">
        <f t="shared" si="793"/>
        <v>2</v>
      </c>
      <c r="V399" s="52">
        <f t="shared" si="794"/>
        <v>4</v>
      </c>
      <c r="W399" s="53">
        <f>COUNTIFS('00 Encuesta'!$B$2:$B$511,"*c)*",'00 Encuesta'!$C$2:$C$511,"*d)*",'00 Encuesta'!$E$2:$E$511,"*a)*",'00 Encuesta'!$AX$2:$AX$511,"*c)*")</f>
        <v>2</v>
      </c>
      <c r="X399" s="52">
        <f t="shared" si="795"/>
        <v>7.4074074074074066</v>
      </c>
      <c r="Y399" s="53">
        <f>COUNTIFS('00 Encuesta'!$B$2:$B$511,"*c)*",'00 Encuesta'!$C$2:$C$511,"*d)*",'00 Encuesta'!$E$2:$E$511,"*b)*",'00 Encuesta'!$AX$2:$AX$511,"*c)*")</f>
        <v>0</v>
      </c>
      <c r="Z399" s="52">
        <f t="shared" si="796"/>
        <v>0</v>
      </c>
      <c r="AA399" s="3"/>
      <c r="AB399" s="62">
        <f>G399+N399+U399</f>
        <v>6</v>
      </c>
      <c r="AC399" s="52">
        <f t="shared" si="798"/>
        <v>3.6144578313253013</v>
      </c>
      <c r="AD399" s="3"/>
      <c r="AE399" s="3"/>
      <c r="AF399" s="9" t="str">
        <f t="shared" si="799"/>
        <v>c) Que me preocupe de los demàs</v>
      </c>
      <c r="AG399" s="72">
        <f t="shared" si="800"/>
        <v>0</v>
      </c>
      <c r="AH399" s="72">
        <f t="shared" si="801"/>
        <v>6.25</v>
      </c>
      <c r="AI399" s="73">
        <f t="shared" si="802"/>
        <v>3.0769230769230771</v>
      </c>
      <c r="AJ399" s="73"/>
      <c r="AK399" s="76">
        <f t="shared" si="803"/>
        <v>3.5714285714285712</v>
      </c>
      <c r="AL399" s="76">
        <f t="shared" si="804"/>
        <v>4.3478260869565215</v>
      </c>
      <c r="AM399" s="76">
        <f t="shared" si="805"/>
        <v>3.9215686274509802</v>
      </c>
      <c r="AN399" s="76"/>
      <c r="AO399" s="81">
        <f t="shared" si="806"/>
        <v>7.4074074074074066</v>
      </c>
      <c r="AP399" s="81">
        <f t="shared" si="807"/>
        <v>0</v>
      </c>
      <c r="AQ399" s="81">
        <f t="shared" si="808"/>
        <v>4</v>
      </c>
      <c r="AR399" s="3"/>
      <c r="AS399" s="76">
        <f t="shared" si="658"/>
        <v>3.6144578313253013</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785"/>
        <v>1</v>
      </c>
      <c r="H400" s="52">
        <f t="shared" si="786"/>
        <v>1.5384615384615385</v>
      </c>
      <c r="I400" s="53">
        <f>COUNTIFS('00 Encuesta'!$B$2:$B$511,"*c)*",'00 Encuesta'!$C$2:$C$511,"*a)*",'00 Encuesta'!$E$2:$E$511,"*a)*",'00 Encuesta'!$AX$2:$AX$511,"*d)*")</f>
        <v>0</v>
      </c>
      <c r="J400" s="52">
        <f t="shared" si="787"/>
        <v>0</v>
      </c>
      <c r="K400" s="53">
        <f>COUNTIFS('00 Encuesta'!$B$2:$B$511,"*c)*",'00 Encuesta'!$C$2:$C$511,"*a)*",'00 Encuesta'!$E$2:$E$511,"*b)*",'00 Encuesta'!$AX$2:$AX$511,"*d)*")</f>
        <v>1</v>
      </c>
      <c r="L400" s="52">
        <f t="shared" si="788"/>
        <v>3.125</v>
      </c>
      <c r="M400" s="23"/>
      <c r="N400" s="51">
        <f t="shared" si="789"/>
        <v>1</v>
      </c>
      <c r="O400" s="52">
        <f t="shared" si="790"/>
        <v>1.9607843137254901</v>
      </c>
      <c r="P400" s="53">
        <f>COUNTIFS('00 Encuesta'!$B$2:$B$511,"*c)*",'00 Encuesta'!$C$2:$C$511,"*b)*",'00 Encuesta'!$E$2:$E$511,"*a)*",'00 Encuesta'!$AX$2:$AX$511,"*d)*")</f>
        <v>1</v>
      </c>
      <c r="Q400" s="52">
        <f t="shared" si="791"/>
        <v>3.5714285714285712</v>
      </c>
      <c r="R400" s="53">
        <f>COUNTIFS('00 Encuesta'!$B$2:$B$511,"*c)*",'00 Encuesta'!$C$2:$C$511,"*b)*",'00 Encuesta'!$E$2:$E$511,"*b)*",'00 Encuesta'!$AX$2:$AX$511,"*d)*")</f>
        <v>0</v>
      </c>
      <c r="S400" s="52">
        <f t="shared" si="792"/>
        <v>0</v>
      </c>
      <c r="T400" s="3"/>
      <c r="U400" s="51">
        <f t="shared" si="793"/>
        <v>0</v>
      </c>
      <c r="V400" s="52">
        <f t="shared" si="794"/>
        <v>0</v>
      </c>
      <c r="W400" s="53">
        <f>COUNTIFS('00 Encuesta'!$B$2:$B$511,"*c)*",'00 Encuesta'!$C$2:$C$511,"*d)*",'00 Encuesta'!$E$2:$E$511,"*a)*",'00 Encuesta'!$AX$2:$AX$511,"*d)*")</f>
        <v>0</v>
      </c>
      <c r="X400" s="52">
        <f t="shared" si="795"/>
        <v>0</v>
      </c>
      <c r="Y400" s="53">
        <f>COUNTIFS('00 Encuesta'!$B$2:$B$511,"*c)*",'00 Encuesta'!$C$2:$C$511,"*d)*",'00 Encuesta'!$E$2:$E$511,"*b)*",'00 Encuesta'!$AX$2:$AX$511,"*d)*")</f>
        <v>0</v>
      </c>
      <c r="Z400" s="52">
        <f t="shared" si="796"/>
        <v>0</v>
      </c>
      <c r="AA400" s="3"/>
      <c r="AB400" s="62">
        <f t="shared" si="797"/>
        <v>2</v>
      </c>
      <c r="AC400" s="52">
        <f t="shared" si="798"/>
        <v>1.2048192771084338</v>
      </c>
      <c r="AD400" s="3"/>
      <c r="AE400" s="3"/>
      <c r="AF400" s="9" t="str">
        <f t="shared" si="799"/>
        <v>d) Que ayude econòmicamente a la familia</v>
      </c>
      <c r="AG400" s="72">
        <f t="shared" si="800"/>
        <v>0</v>
      </c>
      <c r="AH400" s="72">
        <f t="shared" si="801"/>
        <v>3.125</v>
      </c>
      <c r="AI400" s="73">
        <f t="shared" si="802"/>
        <v>1.5384615384615385</v>
      </c>
      <c r="AJ400" s="73"/>
      <c r="AK400" s="76">
        <f t="shared" si="803"/>
        <v>3.5714285714285712</v>
      </c>
      <c r="AL400" s="76">
        <f t="shared" si="804"/>
        <v>0</v>
      </c>
      <c r="AM400" s="76">
        <f t="shared" si="805"/>
        <v>1.9607843137254901</v>
      </c>
      <c r="AN400" s="76"/>
      <c r="AO400" s="81">
        <f t="shared" si="806"/>
        <v>0</v>
      </c>
      <c r="AP400" s="81">
        <f t="shared" si="807"/>
        <v>0</v>
      </c>
      <c r="AQ400" s="81">
        <f t="shared" si="808"/>
        <v>0</v>
      </c>
      <c r="AR400" s="3"/>
      <c r="AS400" s="76">
        <f t="shared" si="658"/>
        <v>1.2048192771084338</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x14ac:dyDescent="0.3">
      <c r="A401" s="1" t="s">
        <v>22</v>
      </c>
      <c r="B401" s="2" t="s">
        <v>253</v>
      </c>
      <c r="C401" s="3"/>
      <c r="D401" s="3"/>
      <c r="E401" s="3"/>
      <c r="F401" s="4"/>
      <c r="G401" s="51">
        <f t="shared" si="785"/>
        <v>0</v>
      </c>
      <c r="H401" s="52">
        <f t="shared" si="786"/>
        <v>0</v>
      </c>
      <c r="I401" s="53">
        <f>COUNTIFS('00 Encuesta'!$B$2:$B$511,"*c)*",'00 Encuesta'!$C$2:$C$511,"*a)*",'00 Encuesta'!$E$2:$E$511,"*a)*",'00 Encuesta'!$AX$2:$AX$511,"*e)*")</f>
        <v>0</v>
      </c>
      <c r="J401" s="52">
        <f t="shared" si="787"/>
        <v>0</v>
      </c>
      <c r="K401" s="53">
        <f>COUNTIFS('00 Encuesta'!$B$2:$B$511,"*c)*",'00 Encuesta'!$C$2:$C$511,"*a)*",'00 Encuesta'!$E$2:$E$511,"*b)*",'00 Encuesta'!$AX$2:$AX$511,"*e)*")</f>
        <v>0</v>
      </c>
      <c r="L401" s="52">
        <f t="shared" si="788"/>
        <v>0</v>
      </c>
      <c r="M401" s="23"/>
      <c r="N401" s="51">
        <f t="shared" si="789"/>
        <v>0</v>
      </c>
      <c r="O401" s="52">
        <f t="shared" si="790"/>
        <v>0</v>
      </c>
      <c r="P401" s="53">
        <f>COUNTIFS('00 Encuesta'!$B$2:$B$511,"*c)*",'00 Encuesta'!$C$2:$C$511,"*b)*",'00 Encuesta'!$E$2:$E$511,"*a)*",'00 Encuesta'!$AX$2:$AX$511,"*e)*")</f>
        <v>0</v>
      </c>
      <c r="Q401" s="52">
        <f t="shared" si="791"/>
        <v>0</v>
      </c>
      <c r="R401" s="53">
        <f>COUNTIFS('00 Encuesta'!$B$2:$B$511,"*c)*",'00 Encuesta'!$C$2:$C$511,"*b)*",'00 Encuesta'!$E$2:$E$511,"*b)*",'00 Encuesta'!$AX$2:$AX$511,"*e)*")</f>
        <v>0</v>
      </c>
      <c r="S401" s="52">
        <f t="shared" si="792"/>
        <v>0</v>
      </c>
      <c r="T401" s="3"/>
      <c r="U401" s="51">
        <f t="shared" si="793"/>
        <v>3</v>
      </c>
      <c r="V401" s="52">
        <f t="shared" si="794"/>
        <v>6</v>
      </c>
      <c r="W401" s="53">
        <f>COUNTIFS('00 Encuesta'!$B$2:$B$511,"*c)*",'00 Encuesta'!$C$2:$C$511,"*d)*",'00 Encuesta'!$E$2:$E$511,"*a)*",'00 Encuesta'!$AX$2:$AX$511,"*e)*")</f>
        <v>1</v>
      </c>
      <c r="X401" s="52">
        <f t="shared" si="795"/>
        <v>3.7037037037037033</v>
      </c>
      <c r="Y401" s="53">
        <f>COUNTIFS('00 Encuesta'!$B$2:$B$511,"*c)*",'00 Encuesta'!$C$2:$C$511,"*d)*",'00 Encuesta'!$E$2:$E$511,"*b)*",'00 Encuesta'!$AX$2:$AX$511,"*e)*")</f>
        <v>2</v>
      </c>
      <c r="Z401" s="52">
        <f t="shared" si="796"/>
        <v>8.695652173913043</v>
      </c>
      <c r="AA401" s="3"/>
      <c r="AB401" s="62">
        <f t="shared" si="797"/>
        <v>3</v>
      </c>
      <c r="AC401" s="52">
        <f t="shared" si="798"/>
        <v>1.8072289156626506</v>
      </c>
      <c r="AD401" s="3"/>
      <c r="AE401" s="3"/>
      <c r="AF401" s="9" t="str">
        <f t="shared" si="799"/>
        <v>e) Que sea cristiano responsable</v>
      </c>
      <c r="AG401" s="72">
        <f t="shared" si="800"/>
        <v>0</v>
      </c>
      <c r="AH401" s="72">
        <f t="shared" si="801"/>
        <v>0</v>
      </c>
      <c r="AI401" s="73">
        <f t="shared" si="802"/>
        <v>0</v>
      </c>
      <c r="AJ401" s="73"/>
      <c r="AK401" s="76">
        <f t="shared" si="803"/>
        <v>0</v>
      </c>
      <c r="AL401" s="76">
        <f t="shared" si="804"/>
        <v>0</v>
      </c>
      <c r="AM401" s="76">
        <f t="shared" si="805"/>
        <v>0</v>
      </c>
      <c r="AN401" s="76"/>
      <c r="AO401" s="81">
        <f t="shared" si="806"/>
        <v>3.7037037037037033</v>
      </c>
      <c r="AP401" s="81">
        <f t="shared" si="807"/>
        <v>8.695652173913043</v>
      </c>
      <c r="AQ401" s="81">
        <f t="shared" si="808"/>
        <v>6</v>
      </c>
      <c r="AR401" s="3"/>
      <c r="AS401" s="76">
        <f t="shared" si="658"/>
        <v>1.8072289156626506</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x14ac:dyDescent="0.3">
      <c r="A402" s="1" t="s">
        <v>45</v>
      </c>
      <c r="B402" s="2" t="s">
        <v>254</v>
      </c>
      <c r="C402" s="3"/>
      <c r="D402" s="3"/>
      <c r="E402" s="3"/>
      <c r="F402" s="4"/>
      <c r="G402" s="51">
        <f t="shared" si="785"/>
        <v>1</v>
      </c>
      <c r="H402" s="52">
        <f t="shared" si="786"/>
        <v>1.5384615384615385</v>
      </c>
      <c r="I402" s="53">
        <f>COUNTIFS('00 Encuesta'!$B$2:$B$511,"*c)*",'00 Encuesta'!$C$2:$C$511,"*a)*",'00 Encuesta'!$E$2:$E$511,"*a)*",'00 Encuesta'!$AX$2:$AX$511,"*f)*")</f>
        <v>0</v>
      </c>
      <c r="J402" s="52">
        <f t="shared" si="787"/>
        <v>0</v>
      </c>
      <c r="K402" s="53">
        <f>COUNTIFS('00 Encuesta'!$B$2:$B$511,"*c)*",'00 Encuesta'!$C$2:$C$511,"*a)*",'00 Encuesta'!$E$2:$E$511,"*b)*",'00 Encuesta'!$AX$2:$AX$511,"*f)*")</f>
        <v>1</v>
      </c>
      <c r="L402" s="52">
        <f t="shared" si="788"/>
        <v>3.125</v>
      </c>
      <c r="M402" s="23"/>
      <c r="N402" s="51">
        <f t="shared" si="789"/>
        <v>2</v>
      </c>
      <c r="O402" s="52">
        <f t="shared" si="790"/>
        <v>3.9215686274509802</v>
      </c>
      <c r="P402" s="53">
        <f>COUNTIFS('00 Encuesta'!$B$2:$B$511,"*c)*",'00 Encuesta'!$C$2:$C$511,"*b)*",'00 Encuesta'!$E$2:$E$511,"*a)*",'00 Encuesta'!$AX$2:$AX$511,"*f)*")</f>
        <v>0</v>
      </c>
      <c r="Q402" s="52">
        <f t="shared" si="791"/>
        <v>0</v>
      </c>
      <c r="R402" s="53">
        <f>COUNTIFS('00 Encuesta'!$B$2:$B$511,"*c)*",'00 Encuesta'!$C$2:$C$511,"*b)*",'00 Encuesta'!$E$2:$E$511,"*b)*",'00 Encuesta'!$AX$2:$AX$511,"*f)*")</f>
        <v>2</v>
      </c>
      <c r="S402" s="52">
        <f t="shared" si="792"/>
        <v>8.695652173913043</v>
      </c>
      <c r="T402" s="3"/>
      <c r="U402" s="51">
        <f t="shared" si="793"/>
        <v>0</v>
      </c>
      <c r="V402" s="52">
        <f t="shared" si="794"/>
        <v>0</v>
      </c>
      <c r="W402" s="53">
        <f>COUNTIFS('00 Encuesta'!$B$2:$B$511,"*c)*",'00 Encuesta'!$C$2:$C$511,"*d)*",'00 Encuesta'!$E$2:$E$511,"*a)*",'00 Encuesta'!$AX$2:$AX$511,"*f)*")</f>
        <v>0</v>
      </c>
      <c r="X402" s="52">
        <f t="shared" si="795"/>
        <v>0</v>
      </c>
      <c r="Y402" s="53">
        <f>COUNTIFS('00 Encuesta'!$B$2:$B$511,"*c)*",'00 Encuesta'!$C$2:$C$511,"*d)*",'00 Encuesta'!$E$2:$E$511,"*b)*",'00 Encuesta'!$AX$2:$AX$511,"*f)*")</f>
        <v>0</v>
      </c>
      <c r="Z402" s="52">
        <f t="shared" si="796"/>
        <v>0</v>
      </c>
      <c r="AA402" s="3"/>
      <c r="AB402" s="62">
        <f t="shared" si="797"/>
        <v>3</v>
      </c>
      <c r="AC402" s="52">
        <f t="shared" si="798"/>
        <v>1.8072289156626506</v>
      </c>
      <c r="AD402" s="3"/>
      <c r="AE402" s="3"/>
      <c r="AF402" s="9" t="str">
        <f t="shared" si="799"/>
        <v>f) Que tenga honradez en la vida</v>
      </c>
      <c r="AG402" s="72">
        <f t="shared" si="800"/>
        <v>0</v>
      </c>
      <c r="AH402" s="72">
        <f t="shared" si="801"/>
        <v>3.125</v>
      </c>
      <c r="AI402" s="73">
        <f t="shared" si="802"/>
        <v>1.5384615384615385</v>
      </c>
      <c r="AJ402" s="73"/>
      <c r="AK402" s="76">
        <f t="shared" si="803"/>
        <v>0</v>
      </c>
      <c r="AL402" s="76">
        <f t="shared" si="804"/>
        <v>8.695652173913043</v>
      </c>
      <c r="AM402" s="76">
        <f t="shared" si="805"/>
        <v>3.9215686274509802</v>
      </c>
      <c r="AN402" s="76"/>
      <c r="AO402" s="81">
        <f t="shared" si="806"/>
        <v>0</v>
      </c>
      <c r="AP402" s="81">
        <f t="shared" si="807"/>
        <v>0</v>
      </c>
      <c r="AQ402" s="81">
        <f t="shared" si="808"/>
        <v>0</v>
      </c>
      <c r="AR402" s="3"/>
      <c r="AS402" s="76">
        <f t="shared" si="658"/>
        <v>1.8072289156626506</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785"/>
        <v>0</v>
      </c>
      <c r="H403" s="52">
        <f t="shared" si="786"/>
        <v>0</v>
      </c>
      <c r="I403" s="53">
        <f>COUNTIFS('00 Encuesta'!$B$2:$B$511,"*c)*",'00 Encuesta'!$C$2:$C$511,"*a)*",'00 Encuesta'!$E$2:$E$511,"*a)*",'00 Encuesta'!$AX$2:$AX$511,"*g)*")</f>
        <v>0</v>
      </c>
      <c r="J403" s="52">
        <f t="shared" si="787"/>
        <v>0</v>
      </c>
      <c r="K403" s="53">
        <f>COUNTIFS('00 Encuesta'!$B$2:$B$511,"*c)*",'00 Encuesta'!$C$2:$C$511,"*a)*",'00 Encuesta'!$E$2:$E$511,"*b)*",'00 Encuesta'!$AX$2:$AX$511,"*g)*")</f>
        <v>0</v>
      </c>
      <c r="L403" s="52">
        <f t="shared" ref="L403:L404" si="809">K403/$J$7*100</f>
        <v>0</v>
      </c>
      <c r="M403" s="23"/>
      <c r="N403" s="51">
        <f t="shared" ref="N403:N404" si="810">P403+R403</f>
        <v>0</v>
      </c>
      <c r="O403" s="52">
        <f t="shared" ref="O403:O404" si="811">N403/$Q$5*100</f>
        <v>0</v>
      </c>
      <c r="P403" s="53">
        <f>COUNTIFS('00 Encuesta'!$B$2:$B$511,"*c)*",'00 Encuesta'!$C$2:$C$511,"*b)*",'00 Encuesta'!$E$2:$E$511,"*a)*",'00 Encuesta'!$AX$2:$AX$511,"*g)*")</f>
        <v>0</v>
      </c>
      <c r="Q403" s="52">
        <f t="shared" si="791"/>
        <v>0</v>
      </c>
      <c r="R403" s="53">
        <f>COUNTIFS('00 Encuesta'!$B$2:$B$511,"*c)*",'00 Encuesta'!$C$2:$C$511,"*b)*",'00 Encuesta'!$E$2:$E$511,"*b)*",'00 Encuesta'!$AX$2:$AX$511,"*g)*")</f>
        <v>0</v>
      </c>
      <c r="S403" s="52">
        <f t="shared" ref="S403:S404" si="812">R403/$Q$7*100</f>
        <v>0</v>
      </c>
      <c r="T403" s="3"/>
      <c r="U403" s="51">
        <f t="shared" ref="U403:U404" si="813">W403+Y403</f>
        <v>1</v>
      </c>
      <c r="V403" s="52">
        <f t="shared" ref="V403:V404" si="814">U403/$X$5*100</f>
        <v>2</v>
      </c>
      <c r="W403" s="53">
        <f>COUNTIFS('00 Encuesta'!$B$2:$B$511,"*c)*",'00 Encuesta'!$C$2:$C$511,"*d)*",'00 Encuesta'!$E$2:$E$511,"*a)*",'00 Encuesta'!$AX$2:$AX$511,"*g)*")</f>
        <v>1</v>
      </c>
      <c r="X403" s="52">
        <f t="shared" si="795"/>
        <v>3.7037037037037033</v>
      </c>
      <c r="Y403" s="53">
        <f>COUNTIFS('00 Encuesta'!$B$2:$B$511,"*c)*",'00 Encuesta'!$C$2:$C$511,"*d)*",'00 Encuesta'!$E$2:$E$511,"*b)*",'00 Encuesta'!$AX$2:$AX$511,"*g)*")</f>
        <v>0</v>
      </c>
      <c r="Z403" s="52">
        <f t="shared" si="796"/>
        <v>0</v>
      </c>
      <c r="AA403" s="3"/>
      <c r="AB403" s="62">
        <f t="shared" si="797"/>
        <v>1</v>
      </c>
      <c r="AC403" s="52">
        <f t="shared" si="798"/>
        <v>0.60240963855421692</v>
      </c>
      <c r="AD403" s="3"/>
      <c r="AE403" s="3"/>
      <c r="AF403" s="9" t="str">
        <f t="shared" si="799"/>
        <v>g) No tienen una preocupaciòn especial</v>
      </c>
      <c r="AG403" s="72">
        <f t="shared" si="800"/>
        <v>0</v>
      </c>
      <c r="AH403" s="72">
        <f t="shared" si="801"/>
        <v>0</v>
      </c>
      <c r="AI403" s="73">
        <f t="shared" si="802"/>
        <v>0</v>
      </c>
      <c r="AJ403" s="73"/>
      <c r="AK403" s="76">
        <f t="shared" si="803"/>
        <v>0</v>
      </c>
      <c r="AL403" s="76">
        <f t="shared" si="804"/>
        <v>0</v>
      </c>
      <c r="AM403" s="76">
        <f t="shared" si="805"/>
        <v>0</v>
      </c>
      <c r="AN403" s="76"/>
      <c r="AO403" s="81">
        <f t="shared" si="806"/>
        <v>3.7037037037037033</v>
      </c>
      <c r="AP403" s="81">
        <f t="shared" si="807"/>
        <v>0</v>
      </c>
      <c r="AQ403" s="81">
        <f t="shared" si="808"/>
        <v>2</v>
      </c>
      <c r="AR403" s="3"/>
      <c r="AS403" s="76">
        <f t="shared" si="658"/>
        <v>0.60240963855421692</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785"/>
        <v>1</v>
      </c>
      <c r="H404" s="52">
        <f t="shared" si="786"/>
        <v>1.5384615384615385</v>
      </c>
      <c r="I404" s="53">
        <f>COUNTIFS('00 Encuesta'!$B$2:$B$511,"*c)*",'00 Encuesta'!$C$2:$C$511,"*a)*",'00 Encuesta'!$E$2:$E$511,"*a)*",'00 Encuesta'!$AX$2:$AX$511,"*h)*")</f>
        <v>1</v>
      </c>
      <c r="J404" s="52">
        <f t="shared" si="787"/>
        <v>3.0303030303030303</v>
      </c>
      <c r="K404" s="53">
        <f>COUNTIFS('00 Encuesta'!$B$2:$B$511,"*c)*",'00 Encuesta'!$C$2:$C$511,"*a)*",'00 Encuesta'!$E$2:$E$511,"*b)*",'00 Encuesta'!$AX$2:$AX$511,"*h)*")</f>
        <v>0</v>
      </c>
      <c r="L404" s="52">
        <f t="shared" si="809"/>
        <v>0</v>
      </c>
      <c r="M404" s="23"/>
      <c r="N404" s="51">
        <f t="shared" si="810"/>
        <v>3</v>
      </c>
      <c r="O404" s="52">
        <f t="shared" si="811"/>
        <v>5.8823529411764701</v>
      </c>
      <c r="P404" s="53">
        <f>COUNTIFS('00 Encuesta'!$B$2:$B$511,"*c)*",'00 Encuesta'!$C$2:$C$511,"*b)*",'00 Encuesta'!$E$2:$E$511,"*a)*",'00 Encuesta'!$AX$2:$AX$511,"*h)*")</f>
        <v>2</v>
      </c>
      <c r="Q404" s="52">
        <f t="shared" si="791"/>
        <v>7.1428571428571423</v>
      </c>
      <c r="R404" s="53">
        <f>COUNTIFS('00 Encuesta'!$B$2:$B$511,"*c)*",'00 Encuesta'!$C$2:$C$511,"*b)*",'00 Encuesta'!$E$2:$E$511,"*b)*",'00 Encuesta'!$AX$2:$AX$511,"*h)*")</f>
        <v>1</v>
      </c>
      <c r="S404" s="52">
        <f t="shared" si="812"/>
        <v>4.3478260869565215</v>
      </c>
      <c r="T404" s="3"/>
      <c r="U404" s="51">
        <f t="shared" si="813"/>
        <v>1</v>
      </c>
      <c r="V404" s="52">
        <f t="shared" si="814"/>
        <v>2</v>
      </c>
      <c r="W404" s="53">
        <f>COUNTIFS('00 Encuesta'!$B$2:$B$511,"*c)*",'00 Encuesta'!$C$2:$C$511,"*d)*",'00 Encuesta'!$E$2:$E$511,"*a)*",'00 Encuesta'!$AX$2:$AX$511,"*h)*")</f>
        <v>1</v>
      </c>
      <c r="X404" s="52">
        <f t="shared" si="795"/>
        <v>3.7037037037037033</v>
      </c>
      <c r="Y404" s="53">
        <f>COUNTIFS('00 Encuesta'!$B$2:$B$511,"*c)*",'00 Encuesta'!$C$2:$C$511,"*d)*",'00 Encuesta'!$E$2:$E$511,"*b)*",'00 Encuesta'!$AX$2:$AX$511,"*h)*")</f>
        <v>0</v>
      </c>
      <c r="Z404" s="52">
        <f t="shared" si="796"/>
        <v>0</v>
      </c>
      <c r="AA404" s="3"/>
      <c r="AB404" s="62">
        <f t="shared" si="797"/>
        <v>5</v>
      </c>
      <c r="AC404" s="52">
        <f t="shared" si="798"/>
        <v>3.0120481927710845</v>
      </c>
      <c r="AD404" s="3"/>
      <c r="AE404" s="3"/>
      <c r="AF404" s="9" t="str">
        <f t="shared" si="799"/>
        <v>h) No sè</v>
      </c>
      <c r="AG404" s="72">
        <f t="shared" si="800"/>
        <v>3.0303030303030303</v>
      </c>
      <c r="AH404" s="72">
        <f t="shared" si="801"/>
        <v>0</v>
      </c>
      <c r="AI404" s="73">
        <f t="shared" si="802"/>
        <v>1.5384615384615385</v>
      </c>
      <c r="AJ404" s="73"/>
      <c r="AK404" s="76">
        <f t="shared" si="803"/>
        <v>7.1428571428571423</v>
      </c>
      <c r="AL404" s="76">
        <f t="shared" si="804"/>
        <v>4.3478260869565215</v>
      </c>
      <c r="AM404" s="76">
        <f t="shared" si="805"/>
        <v>5.8823529411764701</v>
      </c>
      <c r="AN404" s="76"/>
      <c r="AO404" s="81">
        <f t="shared" si="806"/>
        <v>3.7037037037037033</v>
      </c>
      <c r="AP404" s="81">
        <f t="shared" si="807"/>
        <v>0</v>
      </c>
      <c r="AQ404" s="81">
        <f t="shared" si="808"/>
        <v>2</v>
      </c>
      <c r="AR404" s="3"/>
      <c r="AS404" s="76">
        <f t="shared" si="658"/>
        <v>3.0120481927710845</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x14ac:dyDescent="0.3">
      <c r="A407" s="1" t="s">
        <v>17</v>
      </c>
      <c r="B407" s="2" t="s">
        <v>258</v>
      </c>
      <c r="C407" s="3"/>
      <c r="D407" s="3"/>
      <c r="E407" s="3"/>
      <c r="F407" s="4"/>
      <c r="G407" s="51">
        <f>I407+K407</f>
        <v>3</v>
      </c>
      <c r="H407" s="52">
        <f>G407/$J$5*100</f>
        <v>4.6153846153846159</v>
      </c>
      <c r="I407" s="53">
        <f>COUNTIFS('00 Encuesta'!$B$2:$B$511,"*c)*",'00 Encuesta'!$C$2:$C$511,"*a)*",'00 Encuesta'!$E$2:$E$511,"*a)*",'00 Encuesta'!$AY$2:$AY$511,"*a)*")</f>
        <v>2</v>
      </c>
      <c r="J407" s="52">
        <f>I407/$J$6*100</f>
        <v>6.0606060606060606</v>
      </c>
      <c r="K407" s="53">
        <f>COUNTIFS('00 Encuesta'!$B$2:$B$511,"*c)*",'00 Encuesta'!$C$2:$C$511,"*a)*",'00 Encuesta'!$E$2:$E$511,"*b)*",'00 Encuesta'!$AY$2:$AY$511,"*a)*")</f>
        <v>1</v>
      </c>
      <c r="L407" s="52">
        <f>K407/$J$7*100</f>
        <v>3.125</v>
      </c>
      <c r="M407" s="23"/>
      <c r="N407" s="51">
        <f>P407+R407</f>
        <v>4</v>
      </c>
      <c r="O407" s="52">
        <f>N407/$Q$5*100</f>
        <v>7.8431372549019605</v>
      </c>
      <c r="P407" s="53">
        <f>COUNTIFS('00 Encuesta'!$B$2:$B$511,"*c)*",'00 Encuesta'!$C$2:$C$511,"*b)*",'00 Encuesta'!$E$2:$E$511,"*a)*",'00 Encuesta'!$AY$2:$AY$511,"*a)*")</f>
        <v>2</v>
      </c>
      <c r="Q407" s="52">
        <f>P407/$Q$6*100</f>
        <v>7.1428571428571423</v>
      </c>
      <c r="R407" s="53">
        <f>COUNTIFS('00 Encuesta'!$B$2:$B$511,"*c)*",'00 Encuesta'!$C$2:$C$511,"*b)*",'00 Encuesta'!$E$2:$E$511,"*b)*",'00 Encuesta'!$AY$2:$AY$511,"*a)*")</f>
        <v>2</v>
      </c>
      <c r="S407" s="52">
        <f>R407/$Q$7*100</f>
        <v>8.695652173913043</v>
      </c>
      <c r="T407" s="3"/>
      <c r="U407" s="51">
        <f>W407+Y407</f>
        <v>3</v>
      </c>
      <c r="V407" s="52">
        <f>U407/$X$5*100</f>
        <v>6</v>
      </c>
      <c r="W407" s="53">
        <f>COUNTIFS('00 Encuesta'!$B$2:$B$511,"*c)*",'00 Encuesta'!$C$2:$C$511,"*d)*",'00 Encuesta'!$E$2:$E$511,"*a)*",'00 Encuesta'!$AY$2:$AY$511,"*a)*")</f>
        <v>3</v>
      </c>
      <c r="X407" s="52">
        <f>W407/$X$6*100</f>
        <v>11.111111111111111</v>
      </c>
      <c r="Y407" s="53">
        <f>COUNTIFS('00 Encuesta'!$B$2:$B$511,"*c)*",'00 Encuesta'!$C$2:$C$511,"*d)*",'00 Encuesta'!$E$2:$E$511,"*b)*",'00 Encuesta'!$AY$2:$AY$511,"*a)*")</f>
        <v>0</v>
      </c>
      <c r="Z407" s="52">
        <f>Y407/$X$7*100</f>
        <v>0</v>
      </c>
      <c r="AA407" s="3"/>
      <c r="AB407" s="62">
        <f>G407+N407+U407</f>
        <v>10</v>
      </c>
      <c r="AC407" s="52">
        <f>AB407*100/$AC$5</f>
        <v>6.024096385542169</v>
      </c>
      <c r="AD407" s="3"/>
      <c r="AE407" s="3"/>
      <c r="AF407" s="9" t="str">
        <f t="shared" ref="AF407:AF411" si="815">A407&amp;" "&amp;B407</f>
        <v>a) Innecesaria</v>
      </c>
      <c r="AG407" s="72">
        <f>J407</f>
        <v>6.0606060606060606</v>
      </c>
      <c r="AH407" s="72">
        <f>L407</f>
        <v>3.125</v>
      </c>
      <c r="AI407" s="73">
        <f>H407</f>
        <v>4.6153846153846159</v>
      </c>
      <c r="AJ407" s="73"/>
      <c r="AK407" s="76">
        <f>Q407</f>
        <v>7.1428571428571423</v>
      </c>
      <c r="AL407" s="76">
        <f>S407</f>
        <v>8.695652173913043</v>
      </c>
      <c r="AM407" s="76">
        <f>O407</f>
        <v>7.8431372549019605</v>
      </c>
      <c r="AN407" s="76"/>
      <c r="AO407" s="81">
        <f>X407</f>
        <v>11.111111111111111</v>
      </c>
      <c r="AP407" s="81">
        <f>Z407</f>
        <v>0</v>
      </c>
      <c r="AQ407" s="81">
        <f>V407</f>
        <v>6</v>
      </c>
      <c r="AR407" s="3"/>
      <c r="AS407" s="76">
        <f t="shared" si="658"/>
        <v>6.024096385542169</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x14ac:dyDescent="0.3">
      <c r="A408" s="1" t="s">
        <v>18</v>
      </c>
      <c r="B408" s="2" t="s">
        <v>259</v>
      </c>
      <c r="C408" s="3"/>
      <c r="D408" s="3"/>
      <c r="E408" s="3"/>
      <c r="F408" s="4"/>
      <c r="G408" s="51">
        <f>I408+K408</f>
        <v>2</v>
      </c>
      <c r="H408" s="52">
        <f>G408/$J$5*100</f>
        <v>3.0769230769230771</v>
      </c>
      <c r="I408" s="53">
        <f>COUNTIFS('00 Encuesta'!$B$2:$B$511,"*c)*",'00 Encuesta'!$C$2:$C$511,"*a)*",'00 Encuesta'!$E$2:$E$511,"*a)*",'00 Encuesta'!$AY$2:$AY$511,"*b)*")</f>
        <v>2</v>
      </c>
      <c r="J408" s="52">
        <f>I408/$J$6*100</f>
        <v>6.0606060606060606</v>
      </c>
      <c r="K408" s="53">
        <f>COUNTIFS('00 Encuesta'!$B$2:$B$511,"*c)*",'00 Encuesta'!$C$2:$C$511,"*a)*",'00 Encuesta'!$E$2:$E$511,"*b)*",'00 Encuesta'!$AY$2:$AY$511,"*b)*")</f>
        <v>0</v>
      </c>
      <c r="L408" s="52">
        <f>K408/$J$7*100</f>
        <v>0</v>
      </c>
      <c r="M408" s="23"/>
      <c r="N408" s="51">
        <f>P408+R408</f>
        <v>2</v>
      </c>
      <c r="O408" s="52">
        <f>N408/$Q$5*100</f>
        <v>3.9215686274509802</v>
      </c>
      <c r="P408" s="53">
        <f>COUNTIFS('00 Encuesta'!$B$2:$B$511,"*c)*",'00 Encuesta'!$C$2:$C$511,"*b)*",'00 Encuesta'!$E$2:$E$511,"*a)*",'00 Encuesta'!$AY$2:$AY$511,"*b)*")</f>
        <v>2</v>
      </c>
      <c r="Q408" s="52">
        <f>P408/$Q$6*100</f>
        <v>7.1428571428571423</v>
      </c>
      <c r="R408" s="53">
        <f>COUNTIFS('00 Encuesta'!$B$2:$B$511,"*c)*",'00 Encuesta'!$C$2:$C$511,"*b)*",'00 Encuesta'!$E$2:$E$511,"*b)*",'00 Encuesta'!$AY$2:$AY$511,"*b)*")</f>
        <v>0</v>
      </c>
      <c r="S408" s="52">
        <f>R408/$Q$7*100</f>
        <v>0</v>
      </c>
      <c r="T408" s="3"/>
      <c r="U408" s="51">
        <f>W408+Y408</f>
        <v>1</v>
      </c>
      <c r="V408" s="52">
        <f>U408/$X$5*100</f>
        <v>2</v>
      </c>
      <c r="W408" s="53">
        <f>COUNTIFS('00 Encuesta'!$B$2:$B$511,"*c)*",'00 Encuesta'!$C$2:$C$511,"*d)*",'00 Encuesta'!$E$2:$E$511,"*a)*",'00 Encuesta'!$AY$2:$AY$511,"*b)*")</f>
        <v>1</v>
      </c>
      <c r="X408" s="52">
        <f>W408/$X$6*100</f>
        <v>3.7037037037037033</v>
      </c>
      <c r="Y408" s="53">
        <f>COUNTIFS('00 Encuesta'!$B$2:$B$511,"*c)*",'00 Encuesta'!$C$2:$C$511,"*d)*",'00 Encuesta'!$E$2:$E$511,"*b)*",'00 Encuesta'!$AY$2:$AY$511,"*b)*")</f>
        <v>0</v>
      </c>
      <c r="Z408" s="52">
        <f>Y408/$X$7*100</f>
        <v>0</v>
      </c>
      <c r="AA408" s="3"/>
      <c r="AB408" s="62">
        <f>G408+N408+U408</f>
        <v>5</v>
      </c>
      <c r="AC408" s="52">
        <f>AB408*100/$AC$5</f>
        <v>3.0120481927710845</v>
      </c>
      <c r="AD408" s="3"/>
      <c r="AE408" s="3"/>
      <c r="AF408" s="9" t="str">
        <f t="shared" si="815"/>
        <v>b) Indiferente</v>
      </c>
      <c r="AG408" s="72">
        <f>J408</f>
        <v>6.0606060606060606</v>
      </c>
      <c r="AH408" s="72">
        <f>L408</f>
        <v>0</v>
      </c>
      <c r="AI408" s="73">
        <f>H408</f>
        <v>3.0769230769230771</v>
      </c>
      <c r="AJ408" s="73"/>
      <c r="AK408" s="76">
        <f>Q408</f>
        <v>7.1428571428571423</v>
      </c>
      <c r="AL408" s="76">
        <f>S408</f>
        <v>0</v>
      </c>
      <c r="AM408" s="76">
        <f>O408</f>
        <v>3.9215686274509802</v>
      </c>
      <c r="AN408" s="76"/>
      <c r="AO408" s="81">
        <f>X408</f>
        <v>3.7037037037037033</v>
      </c>
      <c r="AP408" s="81">
        <f>Z408</f>
        <v>0</v>
      </c>
      <c r="AQ408" s="81">
        <f>V408</f>
        <v>2</v>
      </c>
      <c r="AR408" s="3"/>
      <c r="AS408" s="76">
        <f t="shared" si="658"/>
        <v>3.0120481927710845</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x14ac:dyDescent="0.3">
      <c r="A409" s="1" t="s">
        <v>20</v>
      </c>
      <c r="B409" s="2" t="s">
        <v>260</v>
      </c>
      <c r="C409" s="3"/>
      <c r="D409" s="3"/>
      <c r="E409" s="3"/>
      <c r="F409" s="4"/>
      <c r="G409" s="51">
        <f>I409+K409</f>
        <v>10</v>
      </c>
      <c r="H409" s="52">
        <f>G409/$J$5*100</f>
        <v>15.384615384615385</v>
      </c>
      <c r="I409" s="53">
        <f>COUNTIFS('00 Encuesta'!$B$2:$B$511,"*c)*",'00 Encuesta'!$C$2:$C$511,"*a)*",'00 Encuesta'!$E$2:$E$511,"*a)*",'00 Encuesta'!$AY$2:$AY$511,"*c)*")</f>
        <v>4</v>
      </c>
      <c r="J409" s="52">
        <f>I409/$J$6*100</f>
        <v>12.121212121212121</v>
      </c>
      <c r="K409" s="53">
        <f>COUNTIFS('00 Encuesta'!$B$2:$B$511,"*c)*",'00 Encuesta'!$C$2:$C$511,"*a)*",'00 Encuesta'!$E$2:$E$511,"*b)*",'00 Encuesta'!$AY$2:$AY$511,"*c)*")</f>
        <v>6</v>
      </c>
      <c r="L409" s="52">
        <f>K409/$J$7*100</f>
        <v>18.75</v>
      </c>
      <c r="M409" s="23"/>
      <c r="N409" s="51">
        <f>P409+R409</f>
        <v>11</v>
      </c>
      <c r="O409" s="52">
        <f>N409/$Q$5*100</f>
        <v>21.568627450980394</v>
      </c>
      <c r="P409" s="53">
        <f>COUNTIFS('00 Encuesta'!$B$2:$B$511,"*c)*",'00 Encuesta'!$C$2:$C$511,"*b)*",'00 Encuesta'!$E$2:$E$511,"*a)*",'00 Encuesta'!$AY$2:$AY$511,"*c)*")</f>
        <v>7</v>
      </c>
      <c r="Q409" s="52">
        <f>P409/$Q$6*100</f>
        <v>25</v>
      </c>
      <c r="R409" s="53">
        <f>COUNTIFS('00 Encuesta'!$B$2:$B$511,"*c)*",'00 Encuesta'!$C$2:$C$511,"*b)*",'00 Encuesta'!$E$2:$E$511,"*b)*",'00 Encuesta'!$AY$2:$AY$511,"*c)*")</f>
        <v>4</v>
      </c>
      <c r="S409" s="52">
        <f>R409/$Q$7*100</f>
        <v>17.391304347826086</v>
      </c>
      <c r="T409" s="3"/>
      <c r="U409" s="51">
        <f>W409+Y409</f>
        <v>8</v>
      </c>
      <c r="V409" s="52">
        <f>U409/$X$5*100</f>
        <v>16</v>
      </c>
      <c r="W409" s="53">
        <f>COUNTIFS('00 Encuesta'!$B$2:$B$511,"*c)*",'00 Encuesta'!$C$2:$C$511,"*d)*",'00 Encuesta'!$E$2:$E$511,"*a)*",'00 Encuesta'!$AY$2:$AY$511,"*c)*")</f>
        <v>6</v>
      </c>
      <c r="X409" s="52">
        <f>W409/$X$6*100</f>
        <v>22.222222222222221</v>
      </c>
      <c r="Y409" s="53">
        <f>COUNTIFS('00 Encuesta'!$B$2:$B$511,"*c)*",'00 Encuesta'!$C$2:$C$511,"*d)*",'00 Encuesta'!$E$2:$E$511,"*b)*",'00 Encuesta'!$AY$2:$AY$511,"*c)*")</f>
        <v>2</v>
      </c>
      <c r="Z409" s="52">
        <f>Y409/$X$7*100</f>
        <v>8.695652173913043</v>
      </c>
      <c r="AA409" s="3"/>
      <c r="AB409" s="62">
        <f>G409+N409+U409</f>
        <v>29</v>
      </c>
      <c r="AC409" s="52">
        <f>AB409*100/$AC$5</f>
        <v>17.46987951807229</v>
      </c>
      <c r="AD409" s="3"/>
      <c r="AE409" s="3"/>
      <c r="AF409" s="9" t="str">
        <f t="shared" si="815"/>
        <v>c) Conveniente</v>
      </c>
      <c r="AG409" s="72">
        <f>J409</f>
        <v>12.121212121212121</v>
      </c>
      <c r="AH409" s="72">
        <f>L409</f>
        <v>18.75</v>
      </c>
      <c r="AI409" s="73">
        <f>H409</f>
        <v>15.384615384615385</v>
      </c>
      <c r="AJ409" s="73"/>
      <c r="AK409" s="76">
        <f>Q409</f>
        <v>25</v>
      </c>
      <c r="AL409" s="76">
        <f>S409</f>
        <v>17.391304347826086</v>
      </c>
      <c r="AM409" s="76">
        <f>O409</f>
        <v>21.568627450980394</v>
      </c>
      <c r="AN409" s="76"/>
      <c r="AO409" s="81">
        <f>X409</f>
        <v>22.222222222222221</v>
      </c>
      <c r="AP409" s="81">
        <f>Z409</f>
        <v>8.695652173913043</v>
      </c>
      <c r="AQ409" s="81">
        <f>V409</f>
        <v>16</v>
      </c>
      <c r="AR409" s="3"/>
      <c r="AS409" s="76">
        <f t="shared" ref="AS409:AS452" si="816">AC409</f>
        <v>17.46987951807229</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x14ac:dyDescent="0.3">
      <c r="A410" s="1" t="s">
        <v>21</v>
      </c>
      <c r="B410" s="2" t="s">
        <v>261</v>
      </c>
      <c r="C410" s="3"/>
      <c r="D410" s="3"/>
      <c r="E410" s="3"/>
      <c r="F410" s="4"/>
      <c r="G410" s="51">
        <f>I410+K410</f>
        <v>27</v>
      </c>
      <c r="H410" s="52">
        <f>G410/$J$5*100</f>
        <v>41.53846153846154</v>
      </c>
      <c r="I410" s="53">
        <f>COUNTIFS('00 Encuesta'!$B$2:$B$511,"*c)*",'00 Encuesta'!$C$2:$C$511,"*a)*",'00 Encuesta'!$E$2:$E$511,"*a)*",'00 Encuesta'!$AY$2:$AY$511,"*d)*")</f>
        <v>9</v>
      </c>
      <c r="J410" s="52">
        <f>I410/$J$6*100</f>
        <v>27.27272727272727</v>
      </c>
      <c r="K410" s="53">
        <f>COUNTIFS('00 Encuesta'!$B$2:$B$511,"*c)*",'00 Encuesta'!$C$2:$C$511,"*a)*",'00 Encuesta'!$E$2:$E$511,"*b)*",'00 Encuesta'!$AY$2:$AY$511,"*d)*")</f>
        <v>18</v>
      </c>
      <c r="L410" s="52">
        <f>K410/$J$7*100</f>
        <v>56.25</v>
      </c>
      <c r="M410" s="23"/>
      <c r="N410" s="51">
        <f>P410+R410</f>
        <v>19</v>
      </c>
      <c r="O410" s="52">
        <f>N410/$Q$5*100</f>
        <v>37.254901960784316</v>
      </c>
      <c r="P410" s="53">
        <f>COUNTIFS('00 Encuesta'!$B$2:$B$511,"*c)*",'00 Encuesta'!$C$2:$C$511,"*b)*",'00 Encuesta'!$E$2:$E$511,"*a)*",'00 Encuesta'!$AY$2:$AY$511,"*d)*")</f>
        <v>9</v>
      </c>
      <c r="Q410" s="52">
        <f>P410/$Q$6*100</f>
        <v>32.142857142857146</v>
      </c>
      <c r="R410" s="53">
        <f>COUNTIFS('00 Encuesta'!$B$2:$B$511,"*c)*",'00 Encuesta'!$C$2:$C$511,"*b)*",'00 Encuesta'!$E$2:$E$511,"*b)*",'00 Encuesta'!$AY$2:$AY$511,"*d)*")</f>
        <v>10</v>
      </c>
      <c r="S410" s="52">
        <f>R410/$Q$7*100</f>
        <v>43.478260869565219</v>
      </c>
      <c r="T410" s="3"/>
      <c r="U410" s="51">
        <f>W410+Y410</f>
        <v>18</v>
      </c>
      <c r="V410" s="52">
        <f>U410/$X$5*100</f>
        <v>36</v>
      </c>
      <c r="W410" s="53">
        <f>COUNTIFS('00 Encuesta'!$B$2:$B$511,"*c)*",'00 Encuesta'!$C$2:$C$511,"*d)*",'00 Encuesta'!$E$2:$E$511,"*a)*",'00 Encuesta'!$AY$2:$AY$511,"*d)*")</f>
        <v>10</v>
      </c>
      <c r="X410" s="52">
        <f>W410/$X$6*100</f>
        <v>37.037037037037038</v>
      </c>
      <c r="Y410" s="53">
        <f>COUNTIFS('00 Encuesta'!$B$2:$B$511,"*c)*",'00 Encuesta'!$C$2:$C$511,"*d)*",'00 Encuesta'!$E$2:$E$511,"*b)*",'00 Encuesta'!$AY$2:$AY$511,"*d)*")</f>
        <v>8</v>
      </c>
      <c r="Z410" s="52">
        <f>Y410/$X$7*100</f>
        <v>34.782608695652172</v>
      </c>
      <c r="AA410" s="3"/>
      <c r="AB410" s="62">
        <f>G410+N410+U410</f>
        <v>64</v>
      </c>
      <c r="AC410" s="52">
        <f>AB410*100/$AC$5</f>
        <v>38.554216867469883</v>
      </c>
      <c r="AD410" s="3"/>
      <c r="AE410" s="3"/>
      <c r="AF410" s="9" t="str">
        <f t="shared" si="815"/>
        <v>d) Bastante necesaria</v>
      </c>
      <c r="AG410" s="72">
        <f>J410</f>
        <v>27.27272727272727</v>
      </c>
      <c r="AH410" s="72">
        <f>L410</f>
        <v>56.25</v>
      </c>
      <c r="AI410" s="73">
        <f>H410</f>
        <v>41.53846153846154</v>
      </c>
      <c r="AJ410" s="73"/>
      <c r="AK410" s="76">
        <f>Q410</f>
        <v>32.142857142857146</v>
      </c>
      <c r="AL410" s="76">
        <f>S410</f>
        <v>43.478260869565219</v>
      </c>
      <c r="AM410" s="76">
        <f>O410</f>
        <v>37.254901960784316</v>
      </c>
      <c r="AN410" s="76"/>
      <c r="AO410" s="81">
        <f>X410</f>
        <v>37.037037037037038</v>
      </c>
      <c r="AP410" s="81">
        <f>Z410</f>
        <v>34.782608695652172</v>
      </c>
      <c r="AQ410" s="81">
        <f>V410</f>
        <v>36</v>
      </c>
      <c r="AR410" s="3"/>
      <c r="AS410" s="76">
        <f t="shared" si="816"/>
        <v>38.554216867469883</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x14ac:dyDescent="0.3">
      <c r="A411" s="1" t="s">
        <v>22</v>
      </c>
      <c r="B411" s="2" t="s">
        <v>262</v>
      </c>
      <c r="C411" s="3"/>
      <c r="D411" s="3"/>
      <c r="E411" s="3"/>
      <c r="F411" s="4"/>
      <c r="G411" s="51">
        <f>I411+K411</f>
        <v>20</v>
      </c>
      <c r="H411" s="52">
        <f>G411/$J$5*100</f>
        <v>30.76923076923077</v>
      </c>
      <c r="I411" s="53">
        <f>COUNTIFS('00 Encuesta'!$B$2:$B$511,"*c)*",'00 Encuesta'!$C$2:$C$511,"*a)*",'00 Encuesta'!$E$2:$E$511,"*a)*",'00 Encuesta'!$AY$2:$AY$511,"*e)*")</f>
        <v>14</v>
      </c>
      <c r="J411" s="52">
        <f>I411/$J$6*100</f>
        <v>42.424242424242422</v>
      </c>
      <c r="K411" s="53">
        <f>COUNTIFS('00 Encuesta'!$B$2:$B$511,"*c)*",'00 Encuesta'!$C$2:$C$511,"*a)*",'00 Encuesta'!$E$2:$E$511,"*b)*",'00 Encuesta'!$AY$2:$AY$511,"*e)*")</f>
        <v>6</v>
      </c>
      <c r="L411" s="52">
        <f>K411/$J$7*100</f>
        <v>18.75</v>
      </c>
      <c r="M411" s="23"/>
      <c r="N411" s="51">
        <f>P411+R411</f>
        <v>12</v>
      </c>
      <c r="O411" s="52">
        <f>N411/$Q$5*100</f>
        <v>23.52941176470588</v>
      </c>
      <c r="P411" s="53">
        <f>COUNTIFS('00 Encuesta'!$B$2:$B$511,"*c)*",'00 Encuesta'!$C$2:$C$511,"*b)*",'00 Encuesta'!$E$2:$E$511,"*a)*",'00 Encuesta'!$AY$2:$AY$511,"*e)*")</f>
        <v>6</v>
      </c>
      <c r="Q411" s="52">
        <f>P411/$Q$6*100</f>
        <v>21.428571428571427</v>
      </c>
      <c r="R411" s="53">
        <f>COUNTIFS('00 Encuesta'!$B$2:$B$511,"*c)*",'00 Encuesta'!$C$2:$C$511,"*b)*",'00 Encuesta'!$E$2:$E$511,"*b)*",'00 Encuesta'!$AY$2:$AY$511,"*e)*")</f>
        <v>6</v>
      </c>
      <c r="S411" s="52">
        <f>R411/$Q$7*100</f>
        <v>26.086956521739129</v>
      </c>
      <c r="T411" s="3"/>
      <c r="U411" s="51">
        <f>W411+Y411</f>
        <v>20</v>
      </c>
      <c r="V411" s="52">
        <f>U411/$X$5*100</f>
        <v>40</v>
      </c>
      <c r="W411" s="53">
        <f>COUNTIFS('00 Encuesta'!$B$2:$B$511,"*c)*",'00 Encuesta'!$C$2:$C$511,"*d)*",'00 Encuesta'!$E$2:$E$511,"*a)*",'00 Encuesta'!$AY$2:$AY$511,"*e)*")</f>
        <v>7</v>
      </c>
      <c r="X411" s="52">
        <f>W411/$X$6*100</f>
        <v>25.925925925925924</v>
      </c>
      <c r="Y411" s="53">
        <f>COUNTIFS('00 Encuesta'!$B$2:$B$511,"*c)*",'00 Encuesta'!$C$2:$C$511,"*d)*",'00 Encuesta'!$E$2:$E$511,"*b)*",'00 Encuesta'!$AY$2:$AY$511,"*e)*")</f>
        <v>13</v>
      </c>
      <c r="Z411" s="52">
        <f>Y411/$X$7*100</f>
        <v>56.521739130434781</v>
      </c>
      <c r="AA411" s="3"/>
      <c r="AB411" s="62">
        <f>G411+N411+U411</f>
        <v>52</v>
      </c>
      <c r="AC411" s="52">
        <f>AB411*100/$AC$5</f>
        <v>31.325301204819276</v>
      </c>
      <c r="AD411" s="3"/>
      <c r="AE411" s="3"/>
      <c r="AF411" s="9" t="str">
        <f t="shared" si="815"/>
        <v>e) Absolutamente necesaria</v>
      </c>
      <c r="AG411" s="72">
        <f>J411</f>
        <v>42.424242424242422</v>
      </c>
      <c r="AH411" s="72">
        <f>L411</f>
        <v>18.75</v>
      </c>
      <c r="AI411" s="73">
        <f>H411</f>
        <v>30.76923076923077</v>
      </c>
      <c r="AJ411" s="73"/>
      <c r="AK411" s="76">
        <f>Q411</f>
        <v>21.428571428571427</v>
      </c>
      <c r="AL411" s="76">
        <f>S411</f>
        <v>26.086956521739129</v>
      </c>
      <c r="AM411" s="76">
        <f>O411</f>
        <v>23.52941176470588</v>
      </c>
      <c r="AN411" s="76"/>
      <c r="AO411" s="81">
        <f>X411</f>
        <v>25.925925925925924</v>
      </c>
      <c r="AP411" s="81">
        <f>Z411</f>
        <v>56.521739130434781</v>
      </c>
      <c r="AQ411" s="81">
        <f>V411</f>
        <v>40</v>
      </c>
      <c r="AR411" s="3"/>
      <c r="AS411" s="76">
        <f t="shared" si="816"/>
        <v>31.325301204819276</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x14ac:dyDescent="0.3">
      <c r="A414" s="84" t="s">
        <v>17</v>
      </c>
      <c r="B414" s="2" t="s">
        <v>264</v>
      </c>
      <c r="C414" s="3"/>
      <c r="D414" s="3"/>
      <c r="E414" s="3"/>
      <c r="F414" s="4"/>
      <c r="G414" s="51">
        <f>I414+K414</f>
        <v>47</v>
      </c>
      <c r="H414" s="52">
        <f>G414/$J$5*100</f>
        <v>72.307692307692307</v>
      </c>
      <c r="I414" s="53">
        <f>COUNTIFS('00 Encuesta'!$B$2:$B$511,"*c)*",'00 Encuesta'!$C$2:$C$511,"*a)*",'00 Encuesta'!$E$2:$E$511,"*a)*",'00 Encuesta'!$AZ$2:$AZ$511,"*a)*")</f>
        <v>23</v>
      </c>
      <c r="J414" s="52">
        <f>I414/$J$6*100</f>
        <v>69.696969696969703</v>
      </c>
      <c r="K414" s="53">
        <f>COUNTIFS('00 Encuesta'!$B$2:$B$511,"*c)*",'00 Encuesta'!$C$2:$C$511,"*a)*",'00 Encuesta'!$E$2:$E$511,"*b)*",'00 Encuesta'!$AZ$2:$AZ$511,"*a)*")</f>
        <v>24</v>
      </c>
      <c r="L414" s="52">
        <f>K414/$J$7*100</f>
        <v>75</v>
      </c>
      <c r="M414" s="23"/>
      <c r="N414" s="51">
        <f>P414+R414</f>
        <v>19</v>
      </c>
      <c r="O414" s="52">
        <f>N414/$Q$5*100</f>
        <v>37.254901960784316</v>
      </c>
      <c r="P414" s="53">
        <f>COUNTIFS('00 Encuesta'!$B$2:$B$511,"*c)*",'00 Encuesta'!$C$2:$C$511,"*b)*",'00 Encuesta'!$E$2:$E$511,"*a)*",'00 Encuesta'!$AZ$2:$AZ$511,"*a)*")</f>
        <v>11</v>
      </c>
      <c r="Q414" s="52">
        <f>P414/$Q$6*100</f>
        <v>39.285714285714285</v>
      </c>
      <c r="R414" s="53">
        <f>COUNTIFS('00 Encuesta'!$B$2:$B$511,"*c)*",'00 Encuesta'!$C$2:$C$511,"*b)*",'00 Encuesta'!$E$2:$E$511,"*b)*",'00 Encuesta'!$AZ$2:$AZ$511,"*a)*")</f>
        <v>8</v>
      </c>
      <c r="S414" s="52">
        <f>R414/$Q$7*100</f>
        <v>34.782608695652172</v>
      </c>
      <c r="T414" s="3"/>
      <c r="U414" s="51">
        <f>W414+Y414</f>
        <v>16</v>
      </c>
      <c r="V414" s="52">
        <f>U414/$X$5*100</f>
        <v>32</v>
      </c>
      <c r="W414" s="53">
        <f>COUNTIFS('00 Encuesta'!$B$2:$B$511,"*c)*",'00 Encuesta'!$C$2:$C$511,"*d)*",'00 Encuesta'!$E$2:$E$511,"*a)*",'00 Encuesta'!$AZ$2:$AZ$511,"*a)*")</f>
        <v>6</v>
      </c>
      <c r="X414" s="52">
        <f>W414/$X$6*100</f>
        <v>22.222222222222221</v>
      </c>
      <c r="Y414" s="53">
        <f>COUNTIFS('00 Encuesta'!$B$2:$B$511,"*c)*",'00 Encuesta'!$C$2:$C$511,"*d)*",'00 Encuesta'!$E$2:$E$511,"*b)*",'00 Encuesta'!$AZ$2:$AZ$511,"*a)*")</f>
        <v>10</v>
      </c>
      <c r="Z414" s="52">
        <f>Y414/$X$7*100</f>
        <v>43.478260869565219</v>
      </c>
      <c r="AA414" s="3"/>
      <c r="AB414" s="62">
        <f>G414+N414+U414</f>
        <v>82</v>
      </c>
      <c r="AC414" s="52">
        <f>AB414*100/$AC$5</f>
        <v>49.397590361445786</v>
      </c>
      <c r="AD414" s="3"/>
      <c r="AE414" s="3"/>
      <c r="AF414" s="9" t="str">
        <f>A414&amp;" "&amp;B414</f>
        <v>a) No acostumbro a tomarlo nunca</v>
      </c>
      <c r="AG414" s="72">
        <f>J414</f>
        <v>69.696969696969703</v>
      </c>
      <c r="AH414" s="72">
        <f>L414</f>
        <v>75</v>
      </c>
      <c r="AI414" s="73">
        <f>H414</f>
        <v>72.307692307692307</v>
      </c>
      <c r="AJ414" s="73"/>
      <c r="AK414" s="76">
        <f>Q414</f>
        <v>39.285714285714285</v>
      </c>
      <c r="AL414" s="76">
        <f>S414</f>
        <v>34.782608695652172</v>
      </c>
      <c r="AM414" s="76">
        <f>O414</f>
        <v>37.254901960784316</v>
      </c>
      <c r="AN414" s="76"/>
      <c r="AO414" s="81">
        <f>X414</f>
        <v>22.222222222222221</v>
      </c>
      <c r="AP414" s="81">
        <f>Z414</f>
        <v>43.478260869565219</v>
      </c>
      <c r="AQ414" s="81">
        <f>V414</f>
        <v>32</v>
      </c>
      <c r="AR414" s="3"/>
      <c r="AS414" s="76">
        <f t="shared" si="816"/>
        <v>49.397590361445786</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12</v>
      </c>
      <c r="H415" s="52">
        <f>G415/$J$5*100</f>
        <v>18.461538461538463</v>
      </c>
      <c r="I415" s="53">
        <f>COUNTIFS('00 Encuesta'!$B$2:$B$511,"*c)*",'00 Encuesta'!$C$2:$C$511,"*a)*",'00 Encuesta'!$E$2:$E$511,"*a)*",'00 Encuesta'!$AZ$2:$AZ$511,"*b)*")</f>
        <v>8</v>
      </c>
      <c r="J415" s="52">
        <f>I415/$J$6*100</f>
        <v>24.242424242424242</v>
      </c>
      <c r="K415" s="53">
        <f>COUNTIFS('00 Encuesta'!$B$2:$B$511,"*c)*",'00 Encuesta'!$C$2:$C$511,"*a)*",'00 Encuesta'!$E$2:$E$511,"*b)*",'00 Encuesta'!$AZ$2:$AZ$511,"*b)*")</f>
        <v>4</v>
      </c>
      <c r="L415" s="52">
        <f>K415/$J$7*100</f>
        <v>12.5</v>
      </c>
      <c r="M415" s="23"/>
      <c r="N415" s="51">
        <f>P415+R415</f>
        <v>15</v>
      </c>
      <c r="O415" s="52">
        <f>N415/$Q$5*100</f>
        <v>29.411764705882355</v>
      </c>
      <c r="P415" s="53">
        <f>COUNTIFS('00 Encuesta'!$B$2:$B$511,"*c)*",'00 Encuesta'!$C$2:$C$511,"*b)*",'00 Encuesta'!$E$2:$E$511,"*a)*",'00 Encuesta'!$AZ$2:$AZ$511,"*b)*")</f>
        <v>9</v>
      </c>
      <c r="Q415" s="52">
        <f>P415/$Q$6*100</f>
        <v>32.142857142857146</v>
      </c>
      <c r="R415" s="53">
        <f>COUNTIFS('00 Encuesta'!$B$2:$B$511,"*c)*",'00 Encuesta'!$C$2:$C$511,"*b)*",'00 Encuesta'!$E$2:$E$511,"*b)*",'00 Encuesta'!$AZ$2:$AZ$511,"*b)*")</f>
        <v>6</v>
      </c>
      <c r="S415" s="52">
        <f>R415/$Q$7*100</f>
        <v>26.086956521739129</v>
      </c>
      <c r="T415" s="3"/>
      <c r="U415" s="51">
        <f>W415+Y415</f>
        <v>23</v>
      </c>
      <c r="V415" s="52">
        <f>U415/$X$5*100</f>
        <v>46</v>
      </c>
      <c r="W415" s="53">
        <f>COUNTIFS('00 Encuesta'!$B$2:$B$511,"*c)*",'00 Encuesta'!$C$2:$C$511,"*d)*",'00 Encuesta'!$E$2:$E$511,"*a)*",'00 Encuesta'!$AZ$2:$AZ$511,"*b)*")</f>
        <v>12</v>
      </c>
      <c r="X415" s="52">
        <f>W415/$X$6*100</f>
        <v>44.444444444444443</v>
      </c>
      <c r="Y415" s="53">
        <f>COUNTIFS('00 Encuesta'!$B$2:$B$511,"*c)*",'00 Encuesta'!$C$2:$C$511,"*d)*",'00 Encuesta'!$E$2:$E$511,"*b)*",'00 Encuesta'!$AZ$2:$AZ$511,"*b)*")</f>
        <v>11</v>
      </c>
      <c r="Z415" s="52">
        <f>Y415/$X$7*100</f>
        <v>47.826086956521742</v>
      </c>
      <c r="AA415" s="3"/>
      <c r="AB415" s="62">
        <f>G415+N415+U415</f>
        <v>50</v>
      </c>
      <c r="AC415" s="52">
        <f>AB415*100/$AC$5</f>
        <v>30.120481927710845</v>
      </c>
      <c r="AD415" s="3"/>
      <c r="AE415" s="3"/>
      <c r="AF415" s="9" t="str">
        <f>A415&amp;" "&amp;B415</f>
        <v>b) Las veces que bebo, es con moderaciòn</v>
      </c>
      <c r="AG415" s="72">
        <f>J415</f>
        <v>24.242424242424242</v>
      </c>
      <c r="AH415" s="72">
        <f>L415</f>
        <v>12.5</v>
      </c>
      <c r="AI415" s="73">
        <f>H415</f>
        <v>18.461538461538463</v>
      </c>
      <c r="AJ415" s="73"/>
      <c r="AK415" s="76">
        <f>Q415</f>
        <v>32.142857142857146</v>
      </c>
      <c r="AL415" s="76">
        <f>S415</f>
        <v>26.086956521739129</v>
      </c>
      <c r="AM415" s="76">
        <f>O415</f>
        <v>29.411764705882355</v>
      </c>
      <c r="AN415" s="76"/>
      <c r="AO415" s="81">
        <f>X415</f>
        <v>44.444444444444443</v>
      </c>
      <c r="AP415" s="81">
        <f>Z415</f>
        <v>47.826086956521742</v>
      </c>
      <c r="AQ415" s="81">
        <f>V415</f>
        <v>46</v>
      </c>
      <c r="AR415" s="3"/>
      <c r="AS415" s="76">
        <f t="shared" si="816"/>
        <v>30.120481927710845</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2</v>
      </c>
      <c r="H416" s="52">
        <f>G416/$J$5*100</f>
        <v>3.0769230769230771</v>
      </c>
      <c r="I416" s="53">
        <f>COUNTIFS('00 Encuesta'!$B$2:$B$511,"*c)*",'00 Encuesta'!$C$2:$C$511,"*a)*",'00 Encuesta'!$E$2:$E$511,"*a)*",'00 Encuesta'!$AZ$2:$AZ$511,"*c)*")</f>
        <v>0</v>
      </c>
      <c r="J416" s="52">
        <f>I416/$J$6*100</f>
        <v>0</v>
      </c>
      <c r="K416" s="53">
        <f>COUNTIFS('00 Encuesta'!$B$2:$B$511,"*c)*",'00 Encuesta'!$C$2:$C$511,"*a)*",'00 Encuesta'!$E$2:$E$511,"*b)*",'00 Encuesta'!$AZ$2:$AZ$511,"*c)*")</f>
        <v>2</v>
      </c>
      <c r="L416" s="52">
        <f>K416/$J$7*100</f>
        <v>6.25</v>
      </c>
      <c r="M416" s="23"/>
      <c r="N416" s="51">
        <f>P416+R416</f>
        <v>7</v>
      </c>
      <c r="O416" s="52">
        <f>N416/$Q$5*100</f>
        <v>13.725490196078432</v>
      </c>
      <c r="P416" s="53">
        <f>COUNTIFS('00 Encuesta'!$B$2:$B$511,"*c)*",'00 Encuesta'!$C$2:$C$511,"*b)*",'00 Encuesta'!$E$2:$E$511,"*a)*",'00 Encuesta'!$AZ$2:$AZ$511,"*c)*")</f>
        <v>3</v>
      </c>
      <c r="Q416" s="52">
        <f>P416/$Q$6*100</f>
        <v>10.714285714285714</v>
      </c>
      <c r="R416" s="53">
        <f>COUNTIFS('00 Encuesta'!$B$2:$B$511,"*c)*",'00 Encuesta'!$C$2:$C$511,"*b)*",'00 Encuesta'!$E$2:$E$511,"*b)*",'00 Encuesta'!$AZ$2:$AZ$511,"*c)*")</f>
        <v>4</v>
      </c>
      <c r="S416" s="52">
        <f>R416/$Q$7*100</f>
        <v>17.391304347826086</v>
      </c>
      <c r="T416" s="3"/>
      <c r="U416" s="51">
        <f>W416+Y416</f>
        <v>4</v>
      </c>
      <c r="V416" s="52">
        <f>U416/$X$5*100</f>
        <v>8</v>
      </c>
      <c r="W416" s="53">
        <f>COUNTIFS('00 Encuesta'!$B$2:$B$511,"*c)*",'00 Encuesta'!$C$2:$C$511,"*d)*",'00 Encuesta'!$E$2:$E$511,"*a)*",'00 Encuesta'!$AZ$2:$AZ$511,"*c)*")</f>
        <v>2</v>
      </c>
      <c r="X416" s="52">
        <f>W416/$X$6*100</f>
        <v>7.4074074074074066</v>
      </c>
      <c r="Y416" s="53">
        <f>COUNTIFS('00 Encuesta'!$B$2:$B$511,"*c)*",'00 Encuesta'!$C$2:$C$511,"*d)*",'00 Encuesta'!$E$2:$E$511,"*b)*",'00 Encuesta'!$AZ$2:$AZ$511,"*c)*")</f>
        <v>2</v>
      </c>
      <c r="Z416" s="52">
        <f>Y416/$X$7*100</f>
        <v>8.695652173913043</v>
      </c>
      <c r="AA416" s="3"/>
      <c r="AB416" s="62">
        <f>G416+N416+U416</f>
        <v>13</v>
      </c>
      <c r="AC416" s="52">
        <f>AB416*100/$AC$5</f>
        <v>7.831325301204819</v>
      </c>
      <c r="AD416" s="3"/>
      <c r="AE416" s="3"/>
      <c r="AF416" s="9" t="str">
        <f>A416&amp;" "&amp;B416</f>
        <v>c) Alguna vez he bebido màs de la cuenta</v>
      </c>
      <c r="AG416" s="72">
        <f>J416</f>
        <v>0</v>
      </c>
      <c r="AH416" s="72">
        <f>L416</f>
        <v>6.25</v>
      </c>
      <c r="AI416" s="73">
        <f>H416</f>
        <v>3.0769230769230771</v>
      </c>
      <c r="AJ416" s="73"/>
      <c r="AK416" s="76">
        <f>Q416</f>
        <v>10.714285714285714</v>
      </c>
      <c r="AL416" s="76">
        <f>S416</f>
        <v>17.391304347826086</v>
      </c>
      <c r="AM416" s="76">
        <f>O416</f>
        <v>13.725490196078432</v>
      </c>
      <c r="AN416" s="76"/>
      <c r="AO416" s="81">
        <f>X416</f>
        <v>7.4074074074074066</v>
      </c>
      <c r="AP416" s="81">
        <f>Z416</f>
        <v>8.695652173913043</v>
      </c>
      <c r="AQ416" s="81">
        <f>V416</f>
        <v>8</v>
      </c>
      <c r="AR416" s="3"/>
      <c r="AS416" s="76">
        <f t="shared" si="816"/>
        <v>7.831325301204819</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0</v>
      </c>
      <c r="H417" s="52">
        <f>G417/$J$5*100</f>
        <v>0</v>
      </c>
      <c r="I417" s="53">
        <f>COUNTIFS('00 Encuesta'!$B$2:$B$511,"*c)*",'00 Encuesta'!$C$2:$C$511,"*a)*",'00 Encuesta'!$E$2:$E$511,"*a)*",'00 Encuesta'!$AZ$2:$AZ$511,"*d)*")</f>
        <v>0</v>
      </c>
      <c r="J417" s="52">
        <f>I417/$J$6*100</f>
        <v>0</v>
      </c>
      <c r="K417" s="53">
        <f>COUNTIFS('00 Encuesta'!$B$2:$B$511,"*c)*",'00 Encuesta'!$C$2:$C$511,"*a)*",'00 Encuesta'!$E$2:$E$511,"*b)*",'00 Encuesta'!$AZ$2:$AZ$511,"*d)*")</f>
        <v>0</v>
      </c>
      <c r="L417" s="52">
        <f>K417/$J$7*100</f>
        <v>0</v>
      </c>
      <c r="M417" s="23"/>
      <c r="N417" s="51">
        <f>P417+R417</f>
        <v>5</v>
      </c>
      <c r="O417" s="52">
        <f>N417/$Q$5*100</f>
        <v>9.8039215686274517</v>
      </c>
      <c r="P417" s="53">
        <f>COUNTIFS('00 Encuesta'!$B$2:$B$511,"*c)*",'00 Encuesta'!$C$2:$C$511,"*b)*",'00 Encuesta'!$E$2:$E$511,"*a)*",'00 Encuesta'!$AZ$2:$AZ$511,"*d)*")</f>
        <v>2</v>
      </c>
      <c r="Q417" s="52">
        <f>P417/$Q$6*100</f>
        <v>7.1428571428571423</v>
      </c>
      <c r="R417" s="53">
        <f>COUNTIFS('00 Encuesta'!$B$2:$B$511,"*c)*",'00 Encuesta'!$C$2:$C$511,"*b)*",'00 Encuesta'!$E$2:$E$511,"*b)*",'00 Encuesta'!$AZ$2:$AZ$511,"*d)*")</f>
        <v>3</v>
      </c>
      <c r="S417" s="52">
        <f>R417/$Q$7*100</f>
        <v>13.043478260869565</v>
      </c>
      <c r="T417" s="3"/>
      <c r="U417" s="51">
        <f>W417+Y417</f>
        <v>7</v>
      </c>
      <c r="V417" s="52">
        <f>U417/$X$5*100</f>
        <v>14.000000000000002</v>
      </c>
      <c r="W417" s="53">
        <f>COUNTIFS('00 Encuesta'!$B$2:$B$511,"*c)*",'00 Encuesta'!$C$2:$C$511,"*d)*",'00 Encuesta'!$E$2:$E$511,"*a)*",'00 Encuesta'!$AZ$2:$AZ$511,"*d)*")</f>
        <v>7</v>
      </c>
      <c r="X417" s="52">
        <f>W417/$X$6*100</f>
        <v>25.925925925925924</v>
      </c>
      <c r="Y417" s="53">
        <f>COUNTIFS('00 Encuesta'!$B$2:$B$511,"*c)*",'00 Encuesta'!$C$2:$C$511,"*d)*",'00 Encuesta'!$E$2:$E$511,"*b)*",'00 Encuesta'!$AZ$2:$AZ$511,"*d)*")</f>
        <v>0</v>
      </c>
      <c r="Z417" s="52">
        <f>Y417/$X$7*100</f>
        <v>0</v>
      </c>
      <c r="AA417" s="3"/>
      <c r="AB417" s="62">
        <f>G417+N417+U417</f>
        <v>12</v>
      </c>
      <c r="AC417" s="52">
        <f>AB417*100/$AC$5</f>
        <v>7.2289156626506026</v>
      </c>
      <c r="AD417" s="3"/>
      <c r="AE417" s="3"/>
      <c r="AF417" s="9" t="str">
        <f>A417&amp;" "&amp;B417</f>
        <v>d) Con frecuencia (fines de semana u otros momentos) suelo beber màs de la cuenta.</v>
      </c>
      <c r="AG417" s="72">
        <f>J417</f>
        <v>0</v>
      </c>
      <c r="AH417" s="72">
        <f>L417</f>
        <v>0</v>
      </c>
      <c r="AI417" s="73">
        <f>H417</f>
        <v>0</v>
      </c>
      <c r="AJ417" s="73"/>
      <c r="AK417" s="76">
        <f>Q417</f>
        <v>7.1428571428571423</v>
      </c>
      <c r="AL417" s="76">
        <f>S417</f>
        <v>13.043478260869565</v>
      </c>
      <c r="AM417" s="76">
        <f>O417</f>
        <v>9.8039215686274517</v>
      </c>
      <c r="AN417" s="76"/>
      <c r="AO417" s="81">
        <f>X417</f>
        <v>25.925925925925924</v>
      </c>
      <c r="AP417" s="81">
        <f>Z417</f>
        <v>0</v>
      </c>
      <c r="AQ417" s="81">
        <f>V417</f>
        <v>14.000000000000002</v>
      </c>
      <c r="AR417" s="3"/>
      <c r="AS417" s="76">
        <f t="shared" si="816"/>
        <v>7.2289156626506026</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x14ac:dyDescent="0.3">
      <c r="A420" s="1" t="s">
        <v>17</v>
      </c>
      <c r="B420" s="2" t="s">
        <v>269</v>
      </c>
      <c r="C420" s="3"/>
      <c r="D420" s="3"/>
      <c r="E420" s="3"/>
      <c r="F420" s="4"/>
      <c r="G420" s="51">
        <f t="shared" ref="G420:G425" si="817">I420+K420</f>
        <v>6</v>
      </c>
      <c r="H420" s="52">
        <f t="shared" ref="H420:H425" si="818">G420/$J$5*100</f>
        <v>9.2307692307692317</v>
      </c>
      <c r="I420" s="53">
        <f>COUNTIFS('00 Encuesta'!$B$2:$B$511,"*c)*",'00 Encuesta'!$C$2:$C$511,"*a)*",'00 Encuesta'!$E$2:$E$511,"*a)*",'00 Encuesta'!$BA$2:$BA$511,"*a)*")</f>
        <v>5</v>
      </c>
      <c r="J420" s="52">
        <f t="shared" ref="J420:J425" si="819">I420/$J$6*100</f>
        <v>15.151515151515152</v>
      </c>
      <c r="K420" s="53">
        <f>COUNTIFS('00 Encuesta'!$B$2:$B$511,"*c)*",'00 Encuesta'!$C$2:$C$511,"*a)*",'00 Encuesta'!$E$2:$E$511,"*b)*",'00 Encuesta'!$BA$2:$BA$511,"*a)*")</f>
        <v>1</v>
      </c>
      <c r="L420" s="52">
        <f t="shared" ref="L420:L425" si="820">K420/$J$7*100</f>
        <v>3.125</v>
      </c>
      <c r="M420" s="23"/>
      <c r="N420" s="51">
        <f t="shared" ref="N420:N425" si="821">P420+R420</f>
        <v>8</v>
      </c>
      <c r="O420" s="52">
        <f t="shared" ref="O420:O425" si="822">N420/$Q$5*100</f>
        <v>15.686274509803921</v>
      </c>
      <c r="P420" s="53">
        <f>COUNTIFS('00 Encuesta'!$B$2:$B$511,"*c)*",'00 Encuesta'!$C$2:$C$511,"*b)*",'00 Encuesta'!$E$2:$E$511,"*a)*",'00 Encuesta'!$BA$2:$BA$511,"*a)*")</f>
        <v>4</v>
      </c>
      <c r="Q420" s="52">
        <f t="shared" ref="Q420:Q425" si="823">P420/$Q$6*100</f>
        <v>14.285714285714285</v>
      </c>
      <c r="R420" s="53">
        <f>COUNTIFS('00 Encuesta'!$B$2:$B$511,"*c)*",'00 Encuesta'!$C$2:$C$511,"*b)*",'00 Encuesta'!$E$2:$E$511,"*b)*",'00 Encuesta'!$BA$2:$BA$511,"*a)*")</f>
        <v>4</v>
      </c>
      <c r="S420" s="52">
        <f t="shared" ref="S420:S425" si="824">R420/$Q$7*100</f>
        <v>17.391304347826086</v>
      </c>
      <c r="T420" s="3"/>
      <c r="U420" s="51">
        <f t="shared" ref="U420:U425" si="825">W420+Y420</f>
        <v>7</v>
      </c>
      <c r="V420" s="52">
        <f t="shared" ref="V420:V425" si="826">U420/$X$5*100</f>
        <v>14.000000000000002</v>
      </c>
      <c r="W420" s="53">
        <f>COUNTIFS('00 Encuesta'!$B$2:$B$511,"*c)*",'00 Encuesta'!$C$2:$C$511,"*d)*",'00 Encuesta'!$E$2:$E$511,"*a)*",'00 Encuesta'!$BA$2:$BA$511,"*a)*")</f>
        <v>4</v>
      </c>
      <c r="X420" s="52">
        <f t="shared" ref="X420:X425" si="827">W420/$X$6*100</f>
        <v>14.814814814814813</v>
      </c>
      <c r="Y420" s="53">
        <f>COUNTIFS('00 Encuesta'!$B$2:$B$511,"*c)*",'00 Encuesta'!$C$2:$C$511,"*d)*",'00 Encuesta'!$E$2:$E$511,"*b)*",'00 Encuesta'!$BA$2:$BA$511,"*a)*")</f>
        <v>3</v>
      </c>
      <c r="Z420" s="52">
        <f t="shared" ref="Z420:Z425" si="828">Y420/$X$7*100</f>
        <v>13.043478260869565</v>
      </c>
      <c r="AA420" s="3"/>
      <c r="AB420" s="62">
        <f t="shared" ref="AB420:AB425" si="829">G420+N420+U420</f>
        <v>21</v>
      </c>
      <c r="AC420" s="52">
        <f t="shared" ref="AC420:AC425" si="830">AB420*100/$AC$5</f>
        <v>12.650602409638553</v>
      </c>
      <c r="AD420" s="3"/>
      <c r="AE420" s="3"/>
      <c r="AF420" s="9" t="str">
        <f t="shared" ref="AF420:AF425" si="831">A420&amp;" "&amp;B420</f>
        <v>a) Personas a las que tengo que aguantar</v>
      </c>
      <c r="AG420" s="72">
        <f t="shared" ref="AG420:AG425" si="832">J420</f>
        <v>15.151515151515152</v>
      </c>
      <c r="AH420" s="72">
        <f t="shared" ref="AH420:AH425" si="833">L420</f>
        <v>3.125</v>
      </c>
      <c r="AI420" s="73">
        <f t="shared" ref="AI420:AI425" si="834">H420</f>
        <v>9.2307692307692317</v>
      </c>
      <c r="AJ420" s="73"/>
      <c r="AK420" s="76">
        <f t="shared" ref="AK420:AK425" si="835">Q420</f>
        <v>14.285714285714285</v>
      </c>
      <c r="AL420" s="76">
        <f t="shared" ref="AL420:AL425" si="836">S420</f>
        <v>17.391304347826086</v>
      </c>
      <c r="AM420" s="76">
        <f t="shared" ref="AM420:AM425" si="837">O420</f>
        <v>15.686274509803921</v>
      </c>
      <c r="AN420" s="76"/>
      <c r="AO420" s="81">
        <f t="shared" ref="AO420:AO425" si="838">X420</f>
        <v>14.814814814814813</v>
      </c>
      <c r="AP420" s="81">
        <f t="shared" ref="AP420:AP425" si="839">Z420</f>
        <v>13.043478260869565</v>
      </c>
      <c r="AQ420" s="81">
        <f t="shared" ref="AQ420:AQ425" si="840">V420</f>
        <v>14.000000000000002</v>
      </c>
      <c r="AR420" s="3"/>
      <c r="AS420" s="76">
        <f t="shared" si="816"/>
        <v>12.650602409638553</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x14ac:dyDescent="0.3">
      <c r="A421" s="1" t="s">
        <v>18</v>
      </c>
      <c r="B421" s="2" t="s">
        <v>270</v>
      </c>
      <c r="C421" s="3"/>
      <c r="D421" s="3"/>
      <c r="E421" s="3"/>
      <c r="F421" s="4"/>
      <c r="G421" s="51">
        <f t="shared" si="817"/>
        <v>3</v>
      </c>
      <c r="H421" s="52">
        <f t="shared" si="818"/>
        <v>4.6153846153846159</v>
      </c>
      <c r="I421" s="53">
        <f>COUNTIFS('00 Encuesta'!$B$2:$B$511,"*c)*",'00 Encuesta'!$C$2:$C$511,"*a)*",'00 Encuesta'!$E$2:$E$511,"*a)*",'00 Encuesta'!$BA$2:$BA$511,"*b)*")</f>
        <v>3</v>
      </c>
      <c r="J421" s="52">
        <f t="shared" si="819"/>
        <v>9.0909090909090917</v>
      </c>
      <c r="K421" s="53">
        <f>COUNTIFS('00 Encuesta'!$B$2:$B$511,"*c)*",'00 Encuesta'!$C$2:$C$511,"*a)*",'00 Encuesta'!$E$2:$E$511,"*b)*",'00 Encuesta'!$BA$2:$BA$511,"*b)*")</f>
        <v>0</v>
      </c>
      <c r="L421" s="52">
        <f t="shared" si="820"/>
        <v>0</v>
      </c>
      <c r="M421" s="23"/>
      <c r="N421" s="51">
        <f t="shared" si="821"/>
        <v>4</v>
      </c>
      <c r="O421" s="52">
        <f t="shared" si="822"/>
        <v>7.8431372549019605</v>
      </c>
      <c r="P421" s="53">
        <f>COUNTIFS('00 Encuesta'!$B$2:$B$511,"*c)*",'00 Encuesta'!$C$2:$C$511,"*b)*",'00 Encuesta'!$E$2:$E$511,"*a)*",'00 Encuesta'!$BA$2:$BA$511,"*b)*")</f>
        <v>3</v>
      </c>
      <c r="Q421" s="52">
        <f t="shared" si="823"/>
        <v>10.714285714285714</v>
      </c>
      <c r="R421" s="53">
        <f>COUNTIFS('00 Encuesta'!$B$2:$B$511,"*c)*",'00 Encuesta'!$C$2:$C$511,"*b)*",'00 Encuesta'!$E$2:$E$511,"*b)*",'00 Encuesta'!$BA$2:$BA$511,"*b)*")</f>
        <v>1</v>
      </c>
      <c r="S421" s="52">
        <f t="shared" si="824"/>
        <v>4.3478260869565215</v>
      </c>
      <c r="T421" s="3"/>
      <c r="U421" s="51">
        <f t="shared" si="825"/>
        <v>2</v>
      </c>
      <c r="V421" s="52">
        <f t="shared" si="826"/>
        <v>4</v>
      </c>
      <c r="W421" s="53">
        <f>COUNTIFS('00 Encuesta'!$B$2:$B$511,"*c)*",'00 Encuesta'!$C$2:$C$511,"*d)*",'00 Encuesta'!$E$2:$E$511,"*a)*",'00 Encuesta'!$BA$2:$BA$511,"*b)*")</f>
        <v>2</v>
      </c>
      <c r="X421" s="52">
        <f t="shared" si="827"/>
        <v>7.4074074074074066</v>
      </c>
      <c r="Y421" s="53">
        <f>COUNTIFS('00 Encuesta'!$B$2:$B$511,"*c)*",'00 Encuesta'!$C$2:$C$511,"*d)*",'00 Encuesta'!$E$2:$E$511,"*b)*",'00 Encuesta'!$BA$2:$BA$511,"*b)*")</f>
        <v>0</v>
      </c>
      <c r="Z421" s="52">
        <f t="shared" si="828"/>
        <v>0</v>
      </c>
      <c r="AA421" s="3"/>
      <c r="AB421" s="62">
        <f t="shared" si="829"/>
        <v>9</v>
      </c>
      <c r="AC421" s="52">
        <f t="shared" si="830"/>
        <v>5.4216867469879517</v>
      </c>
      <c r="AD421" s="3"/>
      <c r="AE421" s="3"/>
      <c r="AF421" s="9" t="str">
        <f t="shared" si="831"/>
        <v>b) Profesionales que no se preocupan de nosotros</v>
      </c>
      <c r="AG421" s="72">
        <f t="shared" si="832"/>
        <v>9.0909090909090917</v>
      </c>
      <c r="AH421" s="72">
        <f t="shared" si="833"/>
        <v>0</v>
      </c>
      <c r="AI421" s="73">
        <f t="shared" si="834"/>
        <v>4.6153846153846159</v>
      </c>
      <c r="AJ421" s="73"/>
      <c r="AK421" s="76">
        <f t="shared" si="835"/>
        <v>10.714285714285714</v>
      </c>
      <c r="AL421" s="76">
        <f t="shared" si="836"/>
        <v>4.3478260869565215</v>
      </c>
      <c r="AM421" s="76">
        <f t="shared" si="837"/>
        <v>7.8431372549019605</v>
      </c>
      <c r="AN421" s="76"/>
      <c r="AO421" s="81">
        <f t="shared" si="838"/>
        <v>7.4074074074074066</v>
      </c>
      <c r="AP421" s="81">
        <f t="shared" si="839"/>
        <v>0</v>
      </c>
      <c r="AQ421" s="81">
        <f t="shared" si="840"/>
        <v>4</v>
      </c>
      <c r="AR421" s="3"/>
      <c r="AS421" s="76">
        <f t="shared" si="816"/>
        <v>5.4216867469879517</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x14ac:dyDescent="0.3">
      <c r="A422" s="1" t="s">
        <v>20</v>
      </c>
      <c r="B422" s="2" t="s">
        <v>271</v>
      </c>
      <c r="C422" s="3"/>
      <c r="D422" s="3"/>
      <c r="E422" s="3"/>
      <c r="F422" s="4"/>
      <c r="G422" s="51">
        <f t="shared" si="817"/>
        <v>7</v>
      </c>
      <c r="H422" s="52">
        <f t="shared" si="818"/>
        <v>10.76923076923077</v>
      </c>
      <c r="I422" s="53">
        <f>COUNTIFS('00 Encuesta'!$B$2:$B$511,"*c)*",'00 Encuesta'!$C$2:$C$511,"*a)*",'00 Encuesta'!$E$2:$E$511,"*a)*",'00 Encuesta'!$BA$2:$BA$511,"*c)*")</f>
        <v>5</v>
      </c>
      <c r="J422" s="52">
        <f t="shared" si="819"/>
        <v>15.151515151515152</v>
      </c>
      <c r="K422" s="53">
        <f>COUNTIFS('00 Encuesta'!$B$2:$B$511,"*c)*",'00 Encuesta'!$C$2:$C$511,"*a)*",'00 Encuesta'!$E$2:$E$511,"*b)*",'00 Encuesta'!$BA$2:$BA$511,"*c)*")</f>
        <v>2</v>
      </c>
      <c r="L422" s="52">
        <f t="shared" si="820"/>
        <v>6.25</v>
      </c>
      <c r="M422" s="23"/>
      <c r="N422" s="51">
        <f t="shared" si="821"/>
        <v>2</v>
      </c>
      <c r="O422" s="52">
        <f t="shared" si="822"/>
        <v>3.9215686274509802</v>
      </c>
      <c r="P422" s="53">
        <f>COUNTIFS('00 Encuesta'!$B$2:$B$511,"*c)*",'00 Encuesta'!$C$2:$C$511,"*b)*",'00 Encuesta'!$E$2:$E$511,"*a)*",'00 Encuesta'!$BA$2:$BA$511,"*c)*")</f>
        <v>1</v>
      </c>
      <c r="Q422" s="52">
        <f t="shared" si="823"/>
        <v>3.5714285714285712</v>
      </c>
      <c r="R422" s="53">
        <f>COUNTIFS('00 Encuesta'!$B$2:$B$511,"*c)*",'00 Encuesta'!$C$2:$C$511,"*b)*",'00 Encuesta'!$E$2:$E$511,"*b)*",'00 Encuesta'!$BA$2:$BA$511,"*c)*")</f>
        <v>1</v>
      </c>
      <c r="S422" s="52">
        <f t="shared" si="824"/>
        <v>4.3478260869565215</v>
      </c>
      <c r="T422" s="3"/>
      <c r="U422" s="51">
        <f t="shared" si="825"/>
        <v>9</v>
      </c>
      <c r="V422" s="52">
        <f t="shared" si="826"/>
        <v>18</v>
      </c>
      <c r="W422" s="53">
        <f>COUNTIFS('00 Encuesta'!$B$2:$B$511,"*c)*",'00 Encuesta'!$C$2:$C$511,"*d)*",'00 Encuesta'!$E$2:$E$511,"*a)*",'00 Encuesta'!$BA$2:$BA$511,"*c)*")</f>
        <v>7</v>
      </c>
      <c r="X422" s="52">
        <f t="shared" si="827"/>
        <v>25.925925925925924</v>
      </c>
      <c r="Y422" s="53">
        <f>COUNTIFS('00 Encuesta'!$B$2:$B$511,"*c)*",'00 Encuesta'!$C$2:$C$511,"*d)*",'00 Encuesta'!$E$2:$E$511,"*b)*",'00 Encuesta'!$BA$2:$BA$511,"*c)*")</f>
        <v>2</v>
      </c>
      <c r="Z422" s="52">
        <f t="shared" si="828"/>
        <v>8.695652173913043</v>
      </c>
      <c r="AA422" s="3"/>
      <c r="AB422" s="62">
        <f t="shared" si="829"/>
        <v>18</v>
      </c>
      <c r="AC422" s="52">
        <f t="shared" si="830"/>
        <v>10.843373493975903</v>
      </c>
      <c r="AD422" s="3"/>
      <c r="AE422" s="3"/>
      <c r="AF422" s="9" t="str">
        <f t="shared" si="831"/>
        <v>c) Profesionales que hacen lo que pueden</v>
      </c>
      <c r="AG422" s="72">
        <f t="shared" si="832"/>
        <v>15.151515151515152</v>
      </c>
      <c r="AH422" s="72">
        <f t="shared" si="833"/>
        <v>6.25</v>
      </c>
      <c r="AI422" s="73">
        <f t="shared" si="834"/>
        <v>10.76923076923077</v>
      </c>
      <c r="AJ422" s="73"/>
      <c r="AK422" s="76">
        <f t="shared" si="835"/>
        <v>3.5714285714285712</v>
      </c>
      <c r="AL422" s="76">
        <f t="shared" si="836"/>
        <v>4.3478260869565215</v>
      </c>
      <c r="AM422" s="76">
        <f t="shared" si="837"/>
        <v>3.9215686274509802</v>
      </c>
      <c r="AN422" s="76"/>
      <c r="AO422" s="81">
        <f t="shared" si="838"/>
        <v>25.925925925925924</v>
      </c>
      <c r="AP422" s="81">
        <f t="shared" si="839"/>
        <v>8.695652173913043</v>
      </c>
      <c r="AQ422" s="81">
        <f t="shared" si="840"/>
        <v>18</v>
      </c>
      <c r="AR422" s="3"/>
      <c r="AS422" s="76">
        <f t="shared" si="816"/>
        <v>10.843373493975903</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817"/>
        <v>18</v>
      </c>
      <c r="H423" s="52">
        <f t="shared" si="818"/>
        <v>27.692307692307693</v>
      </c>
      <c r="I423" s="53">
        <f>COUNTIFS('00 Encuesta'!$B$2:$B$511,"*c)*",'00 Encuesta'!$C$2:$C$511,"*a)*",'00 Encuesta'!$E$2:$E$511,"*a)*",'00 Encuesta'!$BA$2:$BA$511,"*d)*")</f>
        <v>10</v>
      </c>
      <c r="J423" s="52">
        <f t="shared" si="819"/>
        <v>30.303030303030305</v>
      </c>
      <c r="K423" s="53">
        <f>COUNTIFS('00 Encuesta'!$B$2:$B$511,"*c)*",'00 Encuesta'!$C$2:$C$511,"*a)*",'00 Encuesta'!$E$2:$E$511,"*b)*",'00 Encuesta'!$BA$2:$BA$511,"*d)*")</f>
        <v>8</v>
      </c>
      <c r="L423" s="52">
        <f t="shared" si="820"/>
        <v>25</v>
      </c>
      <c r="M423" s="23"/>
      <c r="N423" s="51">
        <f t="shared" si="821"/>
        <v>11</v>
      </c>
      <c r="O423" s="52">
        <f t="shared" si="822"/>
        <v>21.568627450980394</v>
      </c>
      <c r="P423" s="53">
        <f>COUNTIFS('00 Encuesta'!$B$2:$B$511,"*c)*",'00 Encuesta'!$C$2:$C$511,"*b)*",'00 Encuesta'!$E$2:$E$511,"*a)*",'00 Encuesta'!$BA$2:$BA$511,"*d)*")</f>
        <v>7</v>
      </c>
      <c r="Q423" s="52">
        <f t="shared" si="823"/>
        <v>25</v>
      </c>
      <c r="R423" s="53">
        <f>COUNTIFS('00 Encuesta'!$B$2:$B$511,"*c)*",'00 Encuesta'!$C$2:$C$511,"*b)*",'00 Encuesta'!$E$2:$E$511,"*b)*",'00 Encuesta'!$BA$2:$BA$511,"*d)*")</f>
        <v>4</v>
      </c>
      <c r="S423" s="52">
        <f t="shared" si="824"/>
        <v>17.391304347826086</v>
      </c>
      <c r="T423" s="3"/>
      <c r="U423" s="51">
        <f t="shared" si="825"/>
        <v>9</v>
      </c>
      <c r="V423" s="52">
        <f t="shared" si="826"/>
        <v>18</v>
      </c>
      <c r="W423" s="53">
        <f>COUNTIFS('00 Encuesta'!$B$2:$B$511,"*c)*",'00 Encuesta'!$C$2:$C$511,"*d)*",'00 Encuesta'!$E$2:$E$511,"*a)*",'00 Encuesta'!$BA$2:$BA$511,"*d)*")</f>
        <v>5</v>
      </c>
      <c r="X423" s="52">
        <f t="shared" si="827"/>
        <v>18.518518518518519</v>
      </c>
      <c r="Y423" s="53">
        <f>COUNTIFS('00 Encuesta'!$B$2:$B$511,"*c)*",'00 Encuesta'!$C$2:$C$511,"*d)*",'00 Encuesta'!$E$2:$E$511,"*b)*",'00 Encuesta'!$BA$2:$BA$511,"*d)*")</f>
        <v>4</v>
      </c>
      <c r="Z423" s="52">
        <f t="shared" si="828"/>
        <v>17.391304347826086</v>
      </c>
      <c r="AA423" s="3"/>
      <c r="AB423" s="62">
        <f t="shared" si="829"/>
        <v>38</v>
      </c>
      <c r="AC423" s="52">
        <f t="shared" si="830"/>
        <v>22.891566265060241</v>
      </c>
      <c r="AD423" s="3"/>
      <c r="AE423" s="3"/>
      <c r="AF423" s="9" t="str">
        <f t="shared" si="831"/>
        <v>d) Buenos profesionales de la educaciòn</v>
      </c>
      <c r="AG423" s="72">
        <f t="shared" si="832"/>
        <v>30.303030303030305</v>
      </c>
      <c r="AH423" s="72">
        <f t="shared" si="833"/>
        <v>25</v>
      </c>
      <c r="AI423" s="73">
        <f t="shared" si="834"/>
        <v>27.692307692307693</v>
      </c>
      <c r="AJ423" s="73"/>
      <c r="AK423" s="76">
        <f t="shared" si="835"/>
        <v>25</v>
      </c>
      <c r="AL423" s="76">
        <f t="shared" si="836"/>
        <v>17.391304347826086</v>
      </c>
      <c r="AM423" s="76">
        <f t="shared" si="837"/>
        <v>21.568627450980394</v>
      </c>
      <c r="AN423" s="76"/>
      <c r="AO423" s="81">
        <f t="shared" si="838"/>
        <v>18.518518518518519</v>
      </c>
      <c r="AP423" s="81">
        <f t="shared" si="839"/>
        <v>17.391304347826086</v>
      </c>
      <c r="AQ423" s="81">
        <f t="shared" si="840"/>
        <v>18</v>
      </c>
      <c r="AR423" s="3"/>
      <c r="AS423" s="76">
        <f t="shared" si="816"/>
        <v>22.891566265060241</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x14ac:dyDescent="0.3">
      <c r="A424" s="1" t="s">
        <v>22</v>
      </c>
      <c r="B424" s="2" t="s">
        <v>273</v>
      </c>
      <c r="C424" s="3"/>
      <c r="D424" s="3"/>
      <c r="E424" s="3"/>
      <c r="F424" s="4"/>
      <c r="G424" s="51">
        <f t="shared" si="817"/>
        <v>22</v>
      </c>
      <c r="H424" s="52">
        <f t="shared" si="818"/>
        <v>33.846153846153847</v>
      </c>
      <c r="I424" s="53">
        <f>COUNTIFS('00 Encuesta'!$B$2:$B$511,"*c)*",'00 Encuesta'!$C$2:$C$511,"*a)*",'00 Encuesta'!$E$2:$E$511,"*a)*",'00 Encuesta'!$BA$2:$BA$511,"*e)*")</f>
        <v>5</v>
      </c>
      <c r="J424" s="52">
        <f t="shared" si="819"/>
        <v>15.151515151515152</v>
      </c>
      <c r="K424" s="53">
        <f>COUNTIFS('00 Encuesta'!$B$2:$B$511,"*c)*",'00 Encuesta'!$C$2:$C$511,"*a)*",'00 Encuesta'!$E$2:$E$511,"*b)*",'00 Encuesta'!$BA$2:$BA$511,"*e)*")</f>
        <v>17</v>
      </c>
      <c r="L424" s="52">
        <f t="shared" si="820"/>
        <v>53.125</v>
      </c>
      <c r="M424" s="23"/>
      <c r="N424" s="51">
        <f t="shared" si="821"/>
        <v>10</v>
      </c>
      <c r="O424" s="52">
        <f t="shared" si="822"/>
        <v>19.607843137254903</v>
      </c>
      <c r="P424" s="53">
        <f>COUNTIFS('00 Encuesta'!$B$2:$B$511,"*c)*",'00 Encuesta'!$C$2:$C$511,"*b)*",'00 Encuesta'!$E$2:$E$511,"*a)*",'00 Encuesta'!$BA$2:$BA$511,"*e)*")</f>
        <v>6</v>
      </c>
      <c r="Q424" s="52">
        <f t="shared" si="823"/>
        <v>21.428571428571427</v>
      </c>
      <c r="R424" s="53">
        <f>COUNTIFS('00 Encuesta'!$B$2:$B$511,"*c)*",'00 Encuesta'!$C$2:$C$511,"*b)*",'00 Encuesta'!$E$2:$E$511,"*b)*",'00 Encuesta'!$BA$2:$BA$511,"*e)*")</f>
        <v>4</v>
      </c>
      <c r="S424" s="52">
        <f t="shared" si="824"/>
        <v>17.391304347826086</v>
      </c>
      <c r="T424" s="3"/>
      <c r="U424" s="51">
        <f t="shared" si="825"/>
        <v>15</v>
      </c>
      <c r="V424" s="52">
        <f t="shared" si="826"/>
        <v>30</v>
      </c>
      <c r="W424" s="53">
        <f>COUNTIFS('00 Encuesta'!$B$2:$B$511,"*c)*",'00 Encuesta'!$C$2:$C$511,"*d)*",'00 Encuesta'!$E$2:$E$511,"*a)*",'00 Encuesta'!$BA$2:$BA$511,"*e)*")</f>
        <v>7</v>
      </c>
      <c r="X424" s="52">
        <f t="shared" si="827"/>
        <v>25.925925925925924</v>
      </c>
      <c r="Y424" s="53">
        <f>COUNTIFS('00 Encuesta'!$B$2:$B$511,"*c)*",'00 Encuesta'!$C$2:$C$511,"*d)*",'00 Encuesta'!$E$2:$E$511,"*b)*",'00 Encuesta'!$BA$2:$BA$511,"*e)*")</f>
        <v>8</v>
      </c>
      <c r="Z424" s="52">
        <f t="shared" si="828"/>
        <v>34.782608695652172</v>
      </c>
      <c r="AA424" s="3"/>
      <c r="AB424" s="62">
        <f t="shared" si="829"/>
        <v>47</v>
      </c>
      <c r="AC424" s="52">
        <f t="shared" si="830"/>
        <v>28.313253012048193</v>
      </c>
      <c r="AD424" s="3"/>
      <c r="AE424" s="3"/>
      <c r="AF424" s="9" t="str">
        <f t="shared" si="831"/>
        <v>e) Educadores que se preocupan de nosotros</v>
      </c>
      <c r="AG424" s="72">
        <f t="shared" si="832"/>
        <v>15.151515151515152</v>
      </c>
      <c r="AH424" s="72">
        <f t="shared" si="833"/>
        <v>53.125</v>
      </c>
      <c r="AI424" s="73">
        <f t="shared" si="834"/>
        <v>33.846153846153847</v>
      </c>
      <c r="AJ424" s="73"/>
      <c r="AK424" s="76">
        <f t="shared" si="835"/>
        <v>21.428571428571427</v>
      </c>
      <c r="AL424" s="76">
        <f t="shared" si="836"/>
        <v>17.391304347826086</v>
      </c>
      <c r="AM424" s="76">
        <f t="shared" si="837"/>
        <v>19.607843137254903</v>
      </c>
      <c r="AN424" s="76"/>
      <c r="AO424" s="81">
        <f t="shared" si="838"/>
        <v>25.925925925925924</v>
      </c>
      <c r="AP424" s="81">
        <f t="shared" si="839"/>
        <v>34.782608695652172</v>
      </c>
      <c r="AQ424" s="81">
        <f t="shared" si="840"/>
        <v>30</v>
      </c>
      <c r="AR424" s="3"/>
      <c r="AS424" s="76">
        <f t="shared" si="816"/>
        <v>28.313253012048193</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817"/>
        <v>6</v>
      </c>
      <c r="H425" s="52">
        <f t="shared" si="818"/>
        <v>9.2307692307692317</v>
      </c>
      <c r="I425" s="53">
        <f>COUNTIFS('00 Encuesta'!$B$2:$B$511,"*c)*",'00 Encuesta'!$C$2:$C$511,"*a)*",'00 Encuesta'!$E$2:$E$511,"*a)*",'00 Encuesta'!$BA$2:$BA$511,"*f)*")</f>
        <v>3</v>
      </c>
      <c r="J425" s="52">
        <f t="shared" si="819"/>
        <v>9.0909090909090917</v>
      </c>
      <c r="K425" s="53">
        <f>COUNTIFS('00 Encuesta'!$B$2:$B$511,"*c)*",'00 Encuesta'!$C$2:$C$511,"*a)*",'00 Encuesta'!$E$2:$E$511,"*b)*",'00 Encuesta'!$BA$2:$BA$511,"*f)*")</f>
        <v>3</v>
      </c>
      <c r="L425" s="52">
        <f t="shared" si="820"/>
        <v>9.375</v>
      </c>
      <c r="M425" s="23"/>
      <c r="N425" s="51">
        <f t="shared" si="821"/>
        <v>14</v>
      </c>
      <c r="O425" s="52">
        <f t="shared" si="822"/>
        <v>27.450980392156865</v>
      </c>
      <c r="P425" s="53">
        <f>COUNTIFS('00 Encuesta'!$B$2:$B$511,"*c)*",'00 Encuesta'!$C$2:$C$511,"*b)*",'00 Encuesta'!$E$2:$E$511,"*a)*",'00 Encuesta'!$BA$2:$BA$511,"*f)*")</f>
        <v>5</v>
      </c>
      <c r="Q425" s="52">
        <f t="shared" si="823"/>
        <v>17.857142857142858</v>
      </c>
      <c r="R425" s="53">
        <f>COUNTIFS('00 Encuesta'!$B$2:$B$511,"*c)*",'00 Encuesta'!$C$2:$C$511,"*b)*",'00 Encuesta'!$E$2:$E$511,"*b)*",'00 Encuesta'!$BA$2:$BA$511,"*f)*")</f>
        <v>9</v>
      </c>
      <c r="S425" s="52">
        <f t="shared" si="824"/>
        <v>39.130434782608695</v>
      </c>
      <c r="T425" s="3"/>
      <c r="U425" s="51">
        <f t="shared" si="825"/>
        <v>8</v>
      </c>
      <c r="V425" s="52">
        <f t="shared" si="826"/>
        <v>16</v>
      </c>
      <c r="W425" s="53">
        <f>COUNTIFS('00 Encuesta'!$B$2:$B$511,"*c)*",'00 Encuesta'!$C$2:$C$511,"*d)*",'00 Encuesta'!$E$2:$E$511,"*a)*",'00 Encuesta'!$BA$2:$BA$511,"*f)*")</f>
        <v>2</v>
      </c>
      <c r="X425" s="52">
        <f t="shared" si="827"/>
        <v>7.4074074074074066</v>
      </c>
      <c r="Y425" s="53">
        <f>COUNTIFS('00 Encuesta'!$B$2:$B$511,"*c)*",'00 Encuesta'!$C$2:$C$511,"*d)*",'00 Encuesta'!$E$2:$E$511,"*b)*",'00 Encuesta'!$BA$2:$BA$511,"*f)*")</f>
        <v>6</v>
      </c>
      <c r="Z425" s="52">
        <f t="shared" si="828"/>
        <v>26.086956521739129</v>
      </c>
      <c r="AA425" s="3"/>
      <c r="AB425" s="62">
        <f t="shared" si="829"/>
        <v>28</v>
      </c>
      <c r="AC425" s="52">
        <f t="shared" si="830"/>
        <v>16.867469879518072</v>
      </c>
      <c r="AD425" s="3"/>
      <c r="AE425" s="3"/>
      <c r="AF425" s="9" t="str">
        <f t="shared" si="831"/>
        <v>f) Educadores que ademàs me han abierto caminos</v>
      </c>
      <c r="AG425" s="72">
        <f t="shared" si="832"/>
        <v>9.0909090909090917</v>
      </c>
      <c r="AH425" s="72">
        <f t="shared" si="833"/>
        <v>9.375</v>
      </c>
      <c r="AI425" s="73">
        <f t="shared" si="834"/>
        <v>9.2307692307692317</v>
      </c>
      <c r="AJ425" s="73"/>
      <c r="AK425" s="76">
        <f t="shared" si="835"/>
        <v>17.857142857142858</v>
      </c>
      <c r="AL425" s="76">
        <f t="shared" si="836"/>
        <v>39.130434782608695</v>
      </c>
      <c r="AM425" s="76">
        <f t="shared" si="837"/>
        <v>27.450980392156865</v>
      </c>
      <c r="AN425" s="76"/>
      <c r="AO425" s="81">
        <f t="shared" si="838"/>
        <v>7.4074074074074066</v>
      </c>
      <c r="AP425" s="81">
        <f t="shared" si="839"/>
        <v>26.086956521739129</v>
      </c>
      <c r="AQ425" s="81">
        <f t="shared" si="840"/>
        <v>16</v>
      </c>
      <c r="AR425" s="3"/>
      <c r="AS425" s="76">
        <f t="shared" si="816"/>
        <v>16.867469879518072</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841">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x14ac:dyDescent="0.3">
      <c r="A428" s="1" t="s">
        <v>17</v>
      </c>
      <c r="B428" s="2" t="s">
        <v>178</v>
      </c>
      <c r="C428" s="3"/>
      <c r="D428" s="3"/>
      <c r="E428" s="3"/>
      <c r="F428" s="5">
        <v>0</v>
      </c>
      <c r="G428" s="51">
        <f>I428+K428</f>
        <v>1</v>
      </c>
      <c r="H428" s="52">
        <f>G428/$J$5*100</f>
        <v>1.5384615384615385</v>
      </c>
      <c r="I428" s="53">
        <f>COUNTIFS('00 Encuesta'!$B$2:$B$511,"*c)*",'00 Encuesta'!$C$2:$C$511,"*a)*",'00 Encuesta'!$E$2:$E$511,"*a)*",'00 Encuesta'!$BB$2:$BB$511,"*a)*")</f>
        <v>1</v>
      </c>
      <c r="J428" s="52">
        <f>I428/$J$6*100</f>
        <v>3.0303030303030303</v>
      </c>
      <c r="K428" s="53">
        <f>COUNTIFS('00 Encuesta'!$B$2:$B$511,"*c)*",'00 Encuesta'!$C$2:$C$511,"*a)*",'00 Encuesta'!$E$2:$E$511,"*b)*",'00 Encuesta'!$BB$2:$BB$511,"*a)*")</f>
        <v>0</v>
      </c>
      <c r="L428" s="52">
        <f>K428/$J$7*100</f>
        <v>0</v>
      </c>
      <c r="M428" s="23"/>
      <c r="N428" s="51">
        <f>P428+R428</f>
        <v>1</v>
      </c>
      <c r="O428" s="52">
        <f>N428/$Q$5*100</f>
        <v>1.9607843137254901</v>
      </c>
      <c r="P428" s="53">
        <f>COUNTIFS('00 Encuesta'!$B$2:$B$511,"*c)*",'00 Encuesta'!$C$2:$C$511,"*b)*",'00 Encuesta'!$E$2:$E$511,"*a)*",'00 Encuesta'!$BB$2:$BB$511,"*a)*")</f>
        <v>0</v>
      </c>
      <c r="Q428" s="52">
        <f>P428/$Q$6*100</f>
        <v>0</v>
      </c>
      <c r="R428" s="53">
        <f>COUNTIFS('00 Encuesta'!$B$2:$B$511,"*c)*",'00 Encuesta'!$C$2:$C$511,"*b)*",'00 Encuesta'!$E$2:$E$511,"*b)*",'00 Encuesta'!$BB$2:$BB$511,"*a)*")</f>
        <v>1</v>
      </c>
      <c r="S428" s="52">
        <f>R428/$Q$7*100</f>
        <v>4.3478260869565215</v>
      </c>
      <c r="T428" s="3"/>
      <c r="U428" s="51">
        <f>W428+Y428</f>
        <v>0</v>
      </c>
      <c r="V428" s="52">
        <f>U428/$X$5*100</f>
        <v>0</v>
      </c>
      <c r="W428" s="53">
        <f>COUNTIFS('00 Encuesta'!$B$2:$B$511,"*c)*",'00 Encuesta'!$C$2:$C$511,"*d)*",'00 Encuesta'!$E$2:$E$511,"*a)*",'00 Encuesta'!$BB$2:$BB$511,"*a)*")</f>
        <v>0</v>
      </c>
      <c r="X428" s="52">
        <f>W428/$X$6*100</f>
        <v>0</v>
      </c>
      <c r="Y428" s="53">
        <f>COUNTIFS('00 Encuesta'!$B$2:$B$511,"*c)*",'00 Encuesta'!$C$2:$C$511,"*d)*",'00 Encuesta'!$E$2:$E$511,"*b)*",'00 Encuesta'!$BB$2:$BB$511,"*a)*")</f>
        <v>0</v>
      </c>
      <c r="Z428" s="52">
        <f>Y428/$X$7*100</f>
        <v>0</v>
      </c>
      <c r="AA428" s="3"/>
      <c r="AB428" s="62">
        <f>G428+N428+U428</f>
        <v>2</v>
      </c>
      <c r="AC428" s="52">
        <f>AB428*100/$AC$5</f>
        <v>1.2048192771084338</v>
      </c>
      <c r="AD428" s="3"/>
      <c r="AE428" s="3"/>
      <c r="AF428" s="9" t="str">
        <f t="shared" si="841"/>
        <v>a) No, en absoluto</v>
      </c>
      <c r="AG428" s="72">
        <f>J428</f>
        <v>3.0303030303030303</v>
      </c>
      <c r="AH428" s="72">
        <f>L428</f>
        <v>0</v>
      </c>
      <c r="AI428" s="73">
        <f>H428</f>
        <v>1.5384615384615385</v>
      </c>
      <c r="AJ428" s="73"/>
      <c r="AK428" s="76">
        <f>Q428</f>
        <v>0</v>
      </c>
      <c r="AL428" s="76">
        <f>S428</f>
        <v>4.3478260869565215</v>
      </c>
      <c r="AM428" s="76">
        <f>O428</f>
        <v>1.9607843137254901</v>
      </c>
      <c r="AN428" s="76"/>
      <c r="AO428" s="81">
        <f>X428</f>
        <v>0</v>
      </c>
      <c r="AP428" s="81">
        <f>Z428</f>
        <v>0</v>
      </c>
      <c r="AQ428" s="81">
        <f>V428</f>
        <v>0</v>
      </c>
      <c r="AR428" s="3"/>
      <c r="AS428" s="76">
        <f t="shared" si="816"/>
        <v>1.2048192771084338</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x14ac:dyDescent="0.3">
      <c r="A429" s="1" t="s">
        <v>18</v>
      </c>
      <c r="B429" s="2" t="s">
        <v>104</v>
      </c>
      <c r="C429" s="3"/>
      <c r="D429" s="3"/>
      <c r="E429" s="3"/>
      <c r="F429" s="4">
        <v>33.33</v>
      </c>
      <c r="G429" s="51">
        <f>I429+K429</f>
        <v>7</v>
      </c>
      <c r="H429" s="52">
        <f>G429/$J$5*100</f>
        <v>10.76923076923077</v>
      </c>
      <c r="I429" s="53">
        <f>COUNTIFS('00 Encuesta'!$B$2:$B$511,"*c)*",'00 Encuesta'!$C$2:$C$511,"*a)*",'00 Encuesta'!$E$2:$E$511,"*a)*",'00 Encuesta'!$BB$2:$BB$511,"*b)*")</f>
        <v>3</v>
      </c>
      <c r="J429" s="52">
        <f>I429/$J$6*100</f>
        <v>9.0909090909090917</v>
      </c>
      <c r="K429" s="53">
        <f>COUNTIFS('00 Encuesta'!$B$2:$B$511,"*c)*",'00 Encuesta'!$C$2:$C$511,"*a)*",'00 Encuesta'!$E$2:$E$511,"*b)*",'00 Encuesta'!$BB$2:$BB$511,"*b)*")</f>
        <v>4</v>
      </c>
      <c r="L429" s="52">
        <f>K429/$J$7*100</f>
        <v>12.5</v>
      </c>
      <c r="M429" s="23"/>
      <c r="N429" s="51">
        <f>P429+R429</f>
        <v>16</v>
      </c>
      <c r="O429" s="52">
        <f>N429/$Q$5*100</f>
        <v>31.372549019607842</v>
      </c>
      <c r="P429" s="53">
        <f>COUNTIFS('00 Encuesta'!$B$2:$B$511,"*c)*",'00 Encuesta'!$C$2:$C$511,"*b)*",'00 Encuesta'!$E$2:$E$511,"*a)*",'00 Encuesta'!$BB$2:$BB$511,"*b)*")</f>
        <v>8</v>
      </c>
      <c r="Q429" s="52">
        <f>P429/$Q$6*100</f>
        <v>28.571428571428569</v>
      </c>
      <c r="R429" s="53">
        <f>COUNTIFS('00 Encuesta'!$B$2:$B$511,"*c)*",'00 Encuesta'!$C$2:$C$511,"*b)*",'00 Encuesta'!$E$2:$E$511,"*b)*",'00 Encuesta'!$BB$2:$BB$511,"*b)*")</f>
        <v>8</v>
      </c>
      <c r="S429" s="52">
        <f>R429/$Q$7*100</f>
        <v>34.782608695652172</v>
      </c>
      <c r="T429" s="3"/>
      <c r="U429" s="51">
        <f>W429+Y429</f>
        <v>16</v>
      </c>
      <c r="V429" s="52">
        <f>U429/$X$5*100</f>
        <v>32</v>
      </c>
      <c r="W429" s="53">
        <f>COUNTIFS('00 Encuesta'!$B$2:$B$511,"*c)*",'00 Encuesta'!$C$2:$C$511,"*d)*",'00 Encuesta'!$E$2:$E$511,"*a)*",'00 Encuesta'!$BB$2:$BB$511,"*b)*")</f>
        <v>8</v>
      </c>
      <c r="X429" s="52">
        <f>W429/$X$6*100</f>
        <v>29.629629629629626</v>
      </c>
      <c r="Y429" s="53">
        <f>COUNTIFS('00 Encuesta'!$B$2:$B$511,"*c)*",'00 Encuesta'!$C$2:$C$511,"*d)*",'00 Encuesta'!$E$2:$E$511,"*b)*",'00 Encuesta'!$BB$2:$BB$511,"*b)*")</f>
        <v>8</v>
      </c>
      <c r="Z429" s="52">
        <f>Y429/$X$7*100</f>
        <v>34.782608695652172</v>
      </c>
      <c r="AA429" s="3"/>
      <c r="AB429" s="62">
        <f>G429+N429+U429</f>
        <v>39</v>
      </c>
      <c r="AC429" s="52">
        <f>AB429*100/$AC$5</f>
        <v>23.493975903614459</v>
      </c>
      <c r="AD429" s="3"/>
      <c r="AE429" s="3"/>
      <c r="AF429" s="9" t="str">
        <f t="shared" si="841"/>
        <v>b) Poco</v>
      </c>
      <c r="AG429" s="72">
        <f>J429</f>
        <v>9.0909090909090917</v>
      </c>
      <c r="AH429" s="72">
        <f>L429</f>
        <v>12.5</v>
      </c>
      <c r="AI429" s="73">
        <f>H429</f>
        <v>10.76923076923077</v>
      </c>
      <c r="AJ429" s="73"/>
      <c r="AK429" s="76">
        <f>Q429</f>
        <v>28.571428571428569</v>
      </c>
      <c r="AL429" s="76">
        <f>S429</f>
        <v>34.782608695652172</v>
      </c>
      <c r="AM429" s="76">
        <f>O429</f>
        <v>31.372549019607842</v>
      </c>
      <c r="AN429" s="76"/>
      <c r="AO429" s="81">
        <f>X429</f>
        <v>29.629629629629626</v>
      </c>
      <c r="AP429" s="81">
        <f>Z429</f>
        <v>34.782608695652172</v>
      </c>
      <c r="AQ429" s="81">
        <f>V429</f>
        <v>32</v>
      </c>
      <c r="AR429" s="3"/>
      <c r="AS429" s="76">
        <f t="shared" si="816"/>
        <v>23.493975903614459</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x14ac:dyDescent="0.3">
      <c r="A430" s="1" t="s">
        <v>20</v>
      </c>
      <c r="B430" s="2" t="s">
        <v>179</v>
      </c>
      <c r="C430" s="3"/>
      <c r="D430" s="3"/>
      <c r="E430" s="3"/>
      <c r="F430" s="4">
        <v>66.66</v>
      </c>
      <c r="G430" s="51">
        <f>I430+K430</f>
        <v>31</v>
      </c>
      <c r="H430" s="52">
        <f>G430/$J$5*100</f>
        <v>47.692307692307693</v>
      </c>
      <c r="I430" s="53">
        <f>COUNTIFS('00 Encuesta'!$B$2:$B$511,"*c)*",'00 Encuesta'!$C$2:$C$511,"*a)*",'00 Encuesta'!$E$2:$E$511,"*a)*",'00 Encuesta'!$BB$2:$BB$511,"*c)*")</f>
        <v>14</v>
      </c>
      <c r="J430" s="52">
        <f>I430/$J$6*100</f>
        <v>42.424242424242422</v>
      </c>
      <c r="K430" s="53">
        <f>COUNTIFS('00 Encuesta'!$B$2:$B$511,"*c)*",'00 Encuesta'!$C$2:$C$511,"*a)*",'00 Encuesta'!$E$2:$E$511,"*b)*",'00 Encuesta'!$BB$2:$BB$511,"*c)*")</f>
        <v>17</v>
      </c>
      <c r="L430" s="52">
        <f>K430/$J$7*100</f>
        <v>53.125</v>
      </c>
      <c r="M430" s="23"/>
      <c r="N430" s="51">
        <f>P430+R430</f>
        <v>20</v>
      </c>
      <c r="O430" s="52">
        <f>N430/$Q$5*100</f>
        <v>39.215686274509807</v>
      </c>
      <c r="P430" s="53">
        <f>COUNTIFS('00 Encuesta'!$B$2:$B$511,"*c)*",'00 Encuesta'!$C$2:$C$511,"*b)*",'00 Encuesta'!$E$2:$E$511,"*a)*",'00 Encuesta'!$BB$2:$BB$511,"*c)*")</f>
        <v>13</v>
      </c>
      <c r="Q430" s="52">
        <f>P430/$Q$6*100</f>
        <v>46.428571428571431</v>
      </c>
      <c r="R430" s="53">
        <f>COUNTIFS('00 Encuesta'!$B$2:$B$511,"*c)*",'00 Encuesta'!$C$2:$C$511,"*b)*",'00 Encuesta'!$E$2:$E$511,"*b)*",'00 Encuesta'!$BB$2:$BB$511,"*c)*")</f>
        <v>7</v>
      </c>
      <c r="S430" s="52">
        <f>R430/$Q$7*100</f>
        <v>30.434782608695656</v>
      </c>
      <c r="T430" s="3"/>
      <c r="U430" s="51">
        <f>W430+Y430</f>
        <v>26</v>
      </c>
      <c r="V430" s="52">
        <f>U430/$X$5*100</f>
        <v>52</v>
      </c>
      <c r="W430" s="53">
        <f>COUNTIFS('00 Encuesta'!$B$2:$B$511,"*c)*",'00 Encuesta'!$C$2:$C$511,"*d)*",'00 Encuesta'!$E$2:$E$511,"*a)*",'00 Encuesta'!$BB$2:$BB$511,"*c)*")</f>
        <v>14</v>
      </c>
      <c r="X430" s="52">
        <f>W430/$X$6*100</f>
        <v>51.851851851851848</v>
      </c>
      <c r="Y430" s="53">
        <f>COUNTIFS('00 Encuesta'!$B$2:$B$511,"*c)*",'00 Encuesta'!$C$2:$C$511,"*d)*",'00 Encuesta'!$E$2:$E$511,"*b)*",'00 Encuesta'!$BB$2:$BB$511,"*c)*")</f>
        <v>12</v>
      </c>
      <c r="Z430" s="52">
        <f>Y430/$X$7*100</f>
        <v>52.173913043478258</v>
      </c>
      <c r="AA430" s="3"/>
      <c r="AB430" s="62">
        <f>G430+N430+U430</f>
        <v>77</v>
      </c>
      <c r="AC430" s="52">
        <f>AB430*100/$AC$5</f>
        <v>46.385542168674696</v>
      </c>
      <c r="AD430" s="3"/>
      <c r="AE430" s="3"/>
      <c r="AF430" s="9" t="str">
        <f t="shared" si="841"/>
        <v>c) Bastante</v>
      </c>
      <c r="AG430" s="72">
        <f>J430</f>
        <v>42.424242424242422</v>
      </c>
      <c r="AH430" s="72">
        <f>L430</f>
        <v>53.125</v>
      </c>
      <c r="AI430" s="73">
        <f>H430</f>
        <v>47.692307692307693</v>
      </c>
      <c r="AJ430" s="73"/>
      <c r="AK430" s="76">
        <f>Q430</f>
        <v>46.428571428571431</v>
      </c>
      <c r="AL430" s="76">
        <f>S430</f>
        <v>30.434782608695656</v>
      </c>
      <c r="AM430" s="76">
        <f>O430</f>
        <v>39.215686274509807</v>
      </c>
      <c r="AN430" s="76"/>
      <c r="AO430" s="81">
        <f>X430</f>
        <v>51.851851851851848</v>
      </c>
      <c r="AP430" s="81">
        <f>Z430</f>
        <v>52.173913043478258</v>
      </c>
      <c r="AQ430" s="81">
        <f>V430</f>
        <v>52</v>
      </c>
      <c r="AR430" s="3"/>
      <c r="AS430" s="76">
        <f t="shared" si="816"/>
        <v>46.385542168674696</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24</v>
      </c>
      <c r="H431" s="52">
        <f>G431/$J$5*100</f>
        <v>36.923076923076927</v>
      </c>
      <c r="I431" s="53">
        <f>COUNTIFS('00 Encuesta'!$B$2:$B$511,"*c)*",'00 Encuesta'!$C$2:$C$511,"*a)*",'00 Encuesta'!$E$2:$E$511,"*a)*",'00 Encuesta'!$BB$2:$BB$511,"*d)*")</f>
        <v>14</v>
      </c>
      <c r="J431" s="52">
        <f>I431/$J$6*100</f>
        <v>42.424242424242422</v>
      </c>
      <c r="K431" s="53">
        <f>COUNTIFS('00 Encuesta'!$B$2:$B$511,"*c)*",'00 Encuesta'!$C$2:$C$511,"*a)*",'00 Encuesta'!$E$2:$E$511,"*b)*",'00 Encuesta'!$BB$2:$BB$511,"*d)*")</f>
        <v>10</v>
      </c>
      <c r="L431" s="52">
        <f>K431/$J$7*100</f>
        <v>31.25</v>
      </c>
      <c r="M431" s="23"/>
      <c r="N431" s="51">
        <f>P431+R431</f>
        <v>6</v>
      </c>
      <c r="O431" s="52">
        <f>N431/$Q$5*100</f>
        <v>11.76470588235294</v>
      </c>
      <c r="P431" s="53">
        <f>COUNTIFS('00 Encuesta'!$B$2:$B$511,"*c)*",'00 Encuesta'!$C$2:$C$511,"*b)*",'00 Encuesta'!$E$2:$E$511,"*a)*",'00 Encuesta'!$BB$2:$BB$511,"*d)*")</f>
        <v>3</v>
      </c>
      <c r="Q431" s="52">
        <f>P431/$Q$6*100</f>
        <v>10.714285714285714</v>
      </c>
      <c r="R431" s="53">
        <f>COUNTIFS('00 Encuesta'!$B$2:$B$511,"*c)*",'00 Encuesta'!$C$2:$C$511,"*b)*",'00 Encuesta'!$E$2:$E$511,"*b)*",'00 Encuesta'!$BB$2:$BB$511,"*d)*")</f>
        <v>3</v>
      </c>
      <c r="S431" s="52">
        <f>R431/$Q$7*100</f>
        <v>13.043478260869565</v>
      </c>
      <c r="T431" s="3"/>
      <c r="U431" s="51">
        <f>W431+Y431</f>
        <v>5</v>
      </c>
      <c r="V431" s="52">
        <f>U431/$X$5*100</f>
        <v>10</v>
      </c>
      <c r="W431" s="53">
        <f>COUNTIFS('00 Encuesta'!$B$2:$B$511,"*c)*",'00 Encuesta'!$C$2:$C$511,"*d)*",'00 Encuesta'!$E$2:$E$511,"*a)*",'00 Encuesta'!$BB$2:$BB$511,"*d)*")</f>
        <v>2</v>
      </c>
      <c r="X431" s="52">
        <f>W431/$X$6*100</f>
        <v>7.4074074074074066</v>
      </c>
      <c r="Y431" s="53">
        <f>COUNTIFS('00 Encuesta'!$B$2:$B$511,"*c)*",'00 Encuesta'!$C$2:$C$511,"*d)*",'00 Encuesta'!$E$2:$E$511,"*b)*",'00 Encuesta'!$BB$2:$BB$511,"*d)*")</f>
        <v>3</v>
      </c>
      <c r="Z431" s="52">
        <f>Y431/$X$7*100</f>
        <v>13.043478260869565</v>
      </c>
      <c r="AA431" s="3"/>
      <c r="AB431" s="62">
        <f>G431+N431+U431</f>
        <v>35</v>
      </c>
      <c r="AC431" s="52">
        <f>AB431*100/$AC$5</f>
        <v>21.08433734939759</v>
      </c>
      <c r="AD431" s="3"/>
      <c r="AE431" s="3"/>
      <c r="AF431" s="9" t="str">
        <f t="shared" si="841"/>
        <v>d) Mucho o muchìsimo</v>
      </c>
      <c r="AG431" s="72">
        <f>J431</f>
        <v>42.424242424242422</v>
      </c>
      <c r="AH431" s="72">
        <f>L431</f>
        <v>31.25</v>
      </c>
      <c r="AI431" s="73">
        <f>H431</f>
        <v>36.923076923076927</v>
      </c>
      <c r="AJ431" s="73"/>
      <c r="AK431" s="76">
        <f>Q431</f>
        <v>10.714285714285714</v>
      </c>
      <c r="AL431" s="76">
        <f>S431</f>
        <v>13.043478260869565</v>
      </c>
      <c r="AM431" s="76">
        <f>O431</f>
        <v>11.76470588235294</v>
      </c>
      <c r="AN431" s="76"/>
      <c r="AO431" s="81">
        <f>X431</f>
        <v>7.4074074074074066</v>
      </c>
      <c r="AP431" s="81">
        <f>Z431</f>
        <v>13.043478260869565</v>
      </c>
      <c r="AQ431" s="81">
        <f>V431</f>
        <v>10</v>
      </c>
      <c r="AR431" s="3"/>
      <c r="AS431" s="76">
        <f t="shared" si="816"/>
        <v>21.08433734939759</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0</v>
      </c>
      <c r="H432" s="52">
        <f>G432/$J$5*100</f>
        <v>0</v>
      </c>
      <c r="I432" s="53">
        <f>COUNTIFS('00 Encuesta'!$B$2:$B$511,"*c)*",'00 Encuesta'!$C$2:$C$511,"*a)*",'00 Encuesta'!$E$2:$E$511,"*a)*",'00 Encuesta'!$BB$2:$BB$511,"*e)*")</f>
        <v>0</v>
      </c>
      <c r="J432" s="52">
        <f>I432/$J$6*100</f>
        <v>0</v>
      </c>
      <c r="K432" s="53">
        <f>COUNTIFS('00 Encuesta'!$B$2:$B$511,"*c)*",'00 Encuesta'!$C$2:$C$511,"*a)*",'00 Encuesta'!$E$2:$E$511,"*b)*",'00 Encuesta'!$BB$2:$BB$511,"*e)*")</f>
        <v>0</v>
      </c>
      <c r="L432" s="52">
        <f>K432/$J$7*100</f>
        <v>0</v>
      </c>
      <c r="M432" s="23"/>
      <c r="N432" s="51">
        <f>P432+R432</f>
        <v>7</v>
      </c>
      <c r="O432" s="52">
        <f>N432/$Q$5*100</f>
        <v>13.725490196078432</v>
      </c>
      <c r="P432" s="53">
        <f>COUNTIFS('00 Encuesta'!$B$2:$B$511,"*c)*",'00 Encuesta'!$C$2:$C$511,"*b)*",'00 Encuesta'!$E$2:$E$511,"*a)*",'00 Encuesta'!$BB$2:$BB$511,"*e)*")</f>
        <v>3</v>
      </c>
      <c r="Q432" s="52">
        <f>P432/$Q$6*100</f>
        <v>10.714285714285714</v>
      </c>
      <c r="R432" s="53">
        <f>COUNTIFS('00 Encuesta'!$B$2:$B$511,"*c)*",'00 Encuesta'!$C$2:$C$511,"*b)*",'00 Encuesta'!$E$2:$E$511,"*b)*",'00 Encuesta'!$BB$2:$BB$511,"*e)*")</f>
        <v>4</v>
      </c>
      <c r="S432" s="52">
        <f>R432/$Q$7*100</f>
        <v>17.391304347826086</v>
      </c>
      <c r="T432" s="3"/>
      <c r="U432" s="51">
        <f>W432+Y432</f>
        <v>0</v>
      </c>
      <c r="V432" s="52">
        <f>U432/$X$5*100</f>
        <v>0</v>
      </c>
      <c r="W432" s="53">
        <f>COUNTIFS('00 Encuesta'!$B$2:$B$511,"*c)*",'00 Encuesta'!$C$2:$C$511,"*d)*",'00 Encuesta'!$E$2:$E$511,"*a)*",'00 Encuesta'!$BB$2:$BB$511,"*e)*")</f>
        <v>0</v>
      </c>
      <c r="X432" s="52">
        <f>W432/$X$6*100</f>
        <v>0</v>
      </c>
      <c r="Y432" s="53">
        <f>COUNTIFS('00 Encuesta'!$B$2:$B$511,"*c)*",'00 Encuesta'!$C$2:$C$511,"*d)*",'00 Encuesta'!$E$2:$E$511,"*b)*",'00 Encuesta'!$BB$2:$BB$511,"*e)*")</f>
        <v>0</v>
      </c>
      <c r="Z432" s="52">
        <f>Y432/$X$7*100</f>
        <v>0</v>
      </c>
      <c r="AA432" s="3"/>
      <c r="AB432" s="62">
        <f>G432+N432+U432</f>
        <v>7</v>
      </c>
      <c r="AC432" s="52">
        <f>AB432*100/$AC$5</f>
        <v>4.2168674698795181</v>
      </c>
      <c r="AD432" s="3"/>
      <c r="AE432" s="3"/>
      <c r="AF432" s="9" t="str">
        <f t="shared" si="841"/>
        <v>e) No sè</v>
      </c>
      <c r="AG432" s="72">
        <f>J432</f>
        <v>0</v>
      </c>
      <c r="AH432" s="72">
        <f>L432</f>
        <v>0</v>
      </c>
      <c r="AI432" s="73">
        <f>H432</f>
        <v>0</v>
      </c>
      <c r="AJ432" s="73"/>
      <c r="AK432" s="76">
        <f>Q432</f>
        <v>10.714285714285714</v>
      </c>
      <c r="AL432" s="76">
        <f>S432</f>
        <v>17.391304347826086</v>
      </c>
      <c r="AM432" s="76">
        <f>O432</f>
        <v>13.725490196078432</v>
      </c>
      <c r="AN432" s="76"/>
      <c r="AO432" s="81">
        <f>X432</f>
        <v>0</v>
      </c>
      <c r="AP432" s="81">
        <f>Z432</f>
        <v>0</v>
      </c>
      <c r="AQ432" s="81">
        <f>V432</f>
        <v>0</v>
      </c>
      <c r="AR432" s="3"/>
      <c r="AS432" s="76">
        <f t="shared" si="816"/>
        <v>4.2168674698795181</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76.038437500000001</v>
      </c>
      <c r="AH433" s="82">
        <f>($F428*K428+$F429*K429+$F430*K430+$F431*K431)/(+K428+K429+K430+K431)</f>
        <v>73.114193548387092</v>
      </c>
      <c r="AI433" s="82">
        <f>($F428*G428+$F429*G429+$F430*G430+$F431*G431)/(G428+G429+G430+G431)</f>
        <v>74.599523809523816</v>
      </c>
      <c r="AJ433" s="82"/>
      <c r="AK433" s="82">
        <f>(+$F428*Q428+$F429*Q429+$F430*Q430+$F431*Q431)/(+Q428+Q429+Q430+Q431)</f>
        <v>59.717500000000001</v>
      </c>
      <c r="AL433" s="82">
        <f>($F428*S428+$F429*S429+$F430*S430+$F431*S431)/(+S428+S429+S430+S431)</f>
        <v>54.382105263157904</v>
      </c>
      <c r="AM433" s="82">
        <f>($F428*O428+$F429*O429+$F430*O430+$F431*O431)/(O428+O429+O430+O431)</f>
        <v>57.36</v>
      </c>
      <c r="AN433" s="82"/>
      <c r="AO433" s="82">
        <f>($F428*W428+$F429*W429+$F430*W430+$F431*W431)/(W428+W429+W430+W431)</f>
        <v>58.32833333333334</v>
      </c>
      <c r="AP433" s="82">
        <f>($F428*Y428+$F429*Y429+$F430*Y430+$F431*Y431)/(Y428+Y429+Y430+Y431)</f>
        <v>59.415652173913038</v>
      </c>
      <c r="AQ433" s="82">
        <f>($F428*U428+$F429*U429+$F430*U430+$F431*U431)/(U428+U429+U430+U431)</f>
        <v>58.860425531914885</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842">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x14ac:dyDescent="0.3">
      <c r="A435" s="1" t="s">
        <v>17</v>
      </c>
      <c r="B435" s="2" t="s">
        <v>278</v>
      </c>
      <c r="C435" s="3"/>
      <c r="D435" s="3"/>
      <c r="E435" s="3"/>
      <c r="F435" s="4">
        <v>0</v>
      </c>
      <c r="G435" s="51">
        <f>I435+K435</f>
        <v>4</v>
      </c>
      <c r="H435" s="52">
        <f>G435/$J$5*100</f>
        <v>6.1538461538461542</v>
      </c>
      <c r="I435" s="53">
        <f>COUNTIFS('00 Encuesta'!$B$2:$B$511,"*c)*",'00 Encuesta'!$C$2:$C$511,"*a)*",'00 Encuesta'!$E$2:$E$511,"*a)*",'00 Encuesta'!$BC$2:$BC$511,"*a)*")</f>
        <v>4</v>
      </c>
      <c r="J435" s="52">
        <f>I435/$J$6*100</f>
        <v>12.121212121212121</v>
      </c>
      <c r="K435" s="53">
        <f>COUNTIFS('00 Encuesta'!$B$2:$B$511,"*c)*",'00 Encuesta'!$C$2:$C$511,"*a)*",'00 Encuesta'!$E$2:$E$511,"*b)*",'00 Encuesta'!$BC$2:$BC$511,"*a)*")</f>
        <v>0</v>
      </c>
      <c r="L435" s="52">
        <f>K435/$J$7*100</f>
        <v>0</v>
      </c>
      <c r="M435" s="23"/>
      <c r="N435" s="51">
        <f>P435+R435</f>
        <v>4</v>
      </c>
      <c r="O435" s="52">
        <f>N435/$Q$5*100</f>
        <v>7.8431372549019605</v>
      </c>
      <c r="P435" s="53">
        <f>COUNTIFS('00 Encuesta'!$B$2:$B$511,"*c)*",'00 Encuesta'!$C$2:$C$511,"*b)*",'00 Encuesta'!$E$2:$E$511,"*a)*",'00 Encuesta'!$BC$2:$BC$511,"*a)*")</f>
        <v>2</v>
      </c>
      <c r="Q435" s="52">
        <f>P435/$Q$6*100</f>
        <v>7.1428571428571423</v>
      </c>
      <c r="R435" s="53">
        <f>COUNTIFS('00 Encuesta'!$B$2:$B$511,"*c)*",'00 Encuesta'!$C$2:$C$511,"*b)*",'00 Encuesta'!$E$2:$E$511,"*b)*",'00 Encuesta'!$BC$2:$BC$511,"*a)*")</f>
        <v>2</v>
      </c>
      <c r="S435" s="52">
        <f>R435/$Q$7*100</f>
        <v>8.695652173913043</v>
      </c>
      <c r="T435" s="3"/>
      <c r="U435" s="51">
        <f>W435+Y435</f>
        <v>11</v>
      </c>
      <c r="V435" s="52">
        <f>U435/$X$5*100</f>
        <v>22</v>
      </c>
      <c r="W435" s="53">
        <f>COUNTIFS('00 Encuesta'!$B$2:$B$511,"*c)*",'00 Encuesta'!$C$2:$C$511,"*d)*",'00 Encuesta'!$E$2:$E$511,"*a)*",'00 Encuesta'!$BC$2:$BC$511,"*a)*")</f>
        <v>6</v>
      </c>
      <c r="X435" s="52">
        <f>W435/$X$6*100</f>
        <v>22.222222222222221</v>
      </c>
      <c r="Y435" s="53">
        <f>COUNTIFS('00 Encuesta'!$B$2:$B$511,"*c)*",'00 Encuesta'!$C$2:$C$511,"*d)*",'00 Encuesta'!$E$2:$E$511,"*b)*",'00 Encuesta'!$BC$2:$BC$511,"*a)*")</f>
        <v>5</v>
      </c>
      <c r="Z435" s="52">
        <f>Y435/$X$7*100</f>
        <v>21.739130434782609</v>
      </c>
      <c r="AA435" s="3"/>
      <c r="AB435" s="62">
        <f>G435+N435+U435</f>
        <v>19</v>
      </c>
      <c r="AC435" s="52">
        <f>AB435*100/$AC$5</f>
        <v>11.445783132530121</v>
      </c>
      <c r="AD435" s="3"/>
      <c r="AE435" s="3"/>
      <c r="AF435" s="9" t="str">
        <f t="shared" si="842"/>
        <v>a) No me gustan en absoluto</v>
      </c>
      <c r="AG435" s="72">
        <f>J435</f>
        <v>12.121212121212121</v>
      </c>
      <c r="AH435" s="72">
        <f>L435</f>
        <v>0</v>
      </c>
      <c r="AI435" s="73">
        <f>H435</f>
        <v>6.1538461538461542</v>
      </c>
      <c r="AJ435" s="73"/>
      <c r="AK435" s="76">
        <f>Q435</f>
        <v>7.1428571428571423</v>
      </c>
      <c r="AL435" s="76">
        <f>S435</f>
        <v>8.695652173913043</v>
      </c>
      <c r="AM435" s="76">
        <f>O435</f>
        <v>7.8431372549019605</v>
      </c>
      <c r="AN435" s="76"/>
      <c r="AO435" s="81">
        <f>X435</f>
        <v>22.222222222222221</v>
      </c>
      <c r="AP435" s="81">
        <f>Z435</f>
        <v>21.739130434782609</v>
      </c>
      <c r="AQ435" s="81">
        <f>V435</f>
        <v>22</v>
      </c>
      <c r="AR435" s="3"/>
      <c r="AS435" s="76">
        <f t="shared" si="816"/>
        <v>11.445783132530121</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x14ac:dyDescent="0.3">
      <c r="A436" s="1" t="s">
        <v>18</v>
      </c>
      <c r="B436" s="2" t="s">
        <v>279</v>
      </c>
      <c r="C436" s="3"/>
      <c r="D436" s="3"/>
      <c r="E436" s="3"/>
      <c r="F436" s="4">
        <v>25</v>
      </c>
      <c r="G436" s="51">
        <f>I436+K436</f>
        <v>6</v>
      </c>
      <c r="H436" s="52">
        <f>G436/$J$5*100</f>
        <v>9.2307692307692317</v>
      </c>
      <c r="I436" s="53">
        <f>COUNTIFS('00 Encuesta'!$B$2:$B$511,"*c)*",'00 Encuesta'!$C$2:$C$511,"*a)*",'00 Encuesta'!$E$2:$E$511,"*a)*",'00 Encuesta'!$BC$2:$BC$511,"*b)*")</f>
        <v>4</v>
      </c>
      <c r="J436" s="52">
        <f>I436/$J$6*100</f>
        <v>12.121212121212121</v>
      </c>
      <c r="K436" s="53">
        <f>COUNTIFS('00 Encuesta'!$B$2:$B$511,"*c)*",'00 Encuesta'!$C$2:$C$511,"*a)*",'00 Encuesta'!$E$2:$E$511,"*b)*",'00 Encuesta'!$BC$2:$BC$511,"*b)*")</f>
        <v>2</v>
      </c>
      <c r="L436" s="52">
        <f>K436/$J$7*100</f>
        <v>6.25</v>
      </c>
      <c r="M436" s="23"/>
      <c r="N436" s="51">
        <f>P436+R436</f>
        <v>5</v>
      </c>
      <c r="O436" s="52">
        <f>N436/$Q$5*100</f>
        <v>9.8039215686274517</v>
      </c>
      <c r="P436" s="53">
        <f>COUNTIFS('00 Encuesta'!$B$2:$B$511,"*c)*",'00 Encuesta'!$C$2:$C$511,"*b)*",'00 Encuesta'!$E$2:$E$511,"*a)*",'00 Encuesta'!$BC$2:$BC$511,"*b)*")</f>
        <v>3</v>
      </c>
      <c r="Q436" s="52">
        <f>P436/$Q$6*100</f>
        <v>10.714285714285714</v>
      </c>
      <c r="R436" s="53">
        <f>COUNTIFS('00 Encuesta'!$B$2:$B$511,"*c)*",'00 Encuesta'!$C$2:$C$511,"*b)*",'00 Encuesta'!$E$2:$E$511,"*b)*",'00 Encuesta'!$BC$2:$BC$511,"*b)*")</f>
        <v>2</v>
      </c>
      <c r="S436" s="52">
        <f>R436/$Q$7*100</f>
        <v>8.695652173913043</v>
      </c>
      <c r="T436" s="3"/>
      <c r="U436" s="51">
        <f>W436+Y436</f>
        <v>0</v>
      </c>
      <c r="V436" s="52">
        <f>U436/$X$5*100</f>
        <v>0</v>
      </c>
      <c r="W436" s="53">
        <f>COUNTIFS('00 Encuesta'!$B$2:$B$511,"*c)*",'00 Encuesta'!$C$2:$C$511,"*d)*",'00 Encuesta'!$E$2:$E$511,"*a)*",'00 Encuesta'!$BC$2:$BC$511,"*b)*")</f>
        <v>0</v>
      </c>
      <c r="X436" s="52">
        <f>W436/$X$6*100</f>
        <v>0</v>
      </c>
      <c r="Y436" s="53">
        <f>COUNTIFS('00 Encuesta'!$B$2:$B$511,"*c)*",'00 Encuesta'!$C$2:$C$511,"*d)*",'00 Encuesta'!$E$2:$E$511,"*b)*",'00 Encuesta'!$BC$2:$BC$511,"*b)*")</f>
        <v>0</v>
      </c>
      <c r="Z436" s="52">
        <f>Y436/$X$7*100</f>
        <v>0</v>
      </c>
      <c r="AA436" s="3"/>
      <c r="AB436" s="62">
        <f>G436+N436+U436</f>
        <v>11</v>
      </c>
      <c r="AC436" s="52">
        <f>AB436*100/$AC$5</f>
        <v>6.6265060240963853</v>
      </c>
      <c r="AD436" s="3"/>
      <c r="AE436" s="3"/>
      <c r="AF436" s="9" t="str">
        <f t="shared" si="842"/>
        <v>b) Hay de todo tipo, pero predomina lo negativo</v>
      </c>
      <c r="AG436" s="72">
        <f>J436</f>
        <v>12.121212121212121</v>
      </c>
      <c r="AH436" s="72">
        <f>L436</f>
        <v>6.25</v>
      </c>
      <c r="AI436" s="73">
        <f>H436</f>
        <v>9.2307692307692317</v>
      </c>
      <c r="AJ436" s="73"/>
      <c r="AK436" s="76">
        <f>Q436</f>
        <v>10.714285714285714</v>
      </c>
      <c r="AL436" s="76">
        <f>S436</f>
        <v>8.695652173913043</v>
      </c>
      <c r="AM436" s="76">
        <f>O436</f>
        <v>9.8039215686274517</v>
      </c>
      <c r="AN436" s="76"/>
      <c r="AO436" s="81">
        <f>X436</f>
        <v>0</v>
      </c>
      <c r="AP436" s="81">
        <f>Z436</f>
        <v>0</v>
      </c>
      <c r="AQ436" s="81">
        <f>V436</f>
        <v>0</v>
      </c>
      <c r="AR436" s="3"/>
      <c r="AS436" s="76">
        <f t="shared" si="816"/>
        <v>6.6265060240963853</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x14ac:dyDescent="0.3">
      <c r="A437" s="1" t="s">
        <v>20</v>
      </c>
      <c r="B437" s="2" t="s">
        <v>280</v>
      </c>
      <c r="C437" s="3"/>
      <c r="D437" s="3"/>
      <c r="E437" s="3"/>
      <c r="F437" s="4">
        <v>50</v>
      </c>
      <c r="G437" s="51">
        <f>I437+K437</f>
        <v>17</v>
      </c>
      <c r="H437" s="52">
        <f>G437/$J$5*100</f>
        <v>26.153846153846157</v>
      </c>
      <c r="I437" s="53">
        <f>COUNTIFS('00 Encuesta'!$B$2:$B$511,"*c)*",'00 Encuesta'!$C$2:$C$511,"*a)*",'00 Encuesta'!$E$2:$E$511,"*a)*",'00 Encuesta'!$BC$2:$BC$511,"*c)*")</f>
        <v>7</v>
      </c>
      <c r="J437" s="52">
        <f>I437/$J$6*100</f>
        <v>21.212121212121211</v>
      </c>
      <c r="K437" s="53">
        <f>COUNTIFS('00 Encuesta'!$B$2:$B$511,"*c)*",'00 Encuesta'!$C$2:$C$511,"*a)*",'00 Encuesta'!$E$2:$E$511,"*b)*",'00 Encuesta'!$BC$2:$BC$511,"*c)*")</f>
        <v>10</v>
      </c>
      <c r="L437" s="52">
        <f>K437/$J$7*100</f>
        <v>31.25</v>
      </c>
      <c r="M437" s="23"/>
      <c r="N437" s="51">
        <f>P437+R437</f>
        <v>17</v>
      </c>
      <c r="O437" s="52">
        <f>N437/$Q$5*100</f>
        <v>33.333333333333329</v>
      </c>
      <c r="P437" s="53">
        <f>COUNTIFS('00 Encuesta'!$B$2:$B$511,"*c)*",'00 Encuesta'!$C$2:$C$511,"*b)*",'00 Encuesta'!$E$2:$E$511,"*a)*",'00 Encuesta'!$BC$2:$BC$511,"*c)*")</f>
        <v>9</v>
      </c>
      <c r="Q437" s="52">
        <f>P437/$Q$6*100</f>
        <v>32.142857142857146</v>
      </c>
      <c r="R437" s="53">
        <f>COUNTIFS('00 Encuesta'!$B$2:$B$511,"*c)*",'00 Encuesta'!$C$2:$C$511,"*b)*",'00 Encuesta'!$E$2:$E$511,"*b)*",'00 Encuesta'!$BC$2:$BC$511,"*c)*")</f>
        <v>8</v>
      </c>
      <c r="S437" s="52">
        <f>R437/$Q$7*100</f>
        <v>34.782608695652172</v>
      </c>
      <c r="T437" s="3"/>
      <c r="U437" s="51">
        <f>W437+Y437</f>
        <v>13</v>
      </c>
      <c r="V437" s="52">
        <f>U437/$X$5*100</f>
        <v>26</v>
      </c>
      <c r="W437" s="53">
        <f>COUNTIFS('00 Encuesta'!$B$2:$B$511,"*c)*",'00 Encuesta'!$C$2:$C$511,"*d)*",'00 Encuesta'!$E$2:$E$511,"*a)*",'00 Encuesta'!$BC$2:$BC$511,"*c)*")</f>
        <v>8</v>
      </c>
      <c r="X437" s="52">
        <f>W437/$X$6*100</f>
        <v>29.629629629629626</v>
      </c>
      <c r="Y437" s="53">
        <f>COUNTIFS('00 Encuesta'!$B$2:$B$511,"*c)*",'00 Encuesta'!$C$2:$C$511,"*d)*",'00 Encuesta'!$E$2:$E$511,"*b)*",'00 Encuesta'!$BC$2:$BC$511,"*c)*")</f>
        <v>5</v>
      </c>
      <c r="Z437" s="52">
        <f>Y437/$X$7*100</f>
        <v>21.739130434782609</v>
      </c>
      <c r="AA437" s="3"/>
      <c r="AB437" s="62">
        <f>G437+N437+U437</f>
        <v>47</v>
      </c>
      <c r="AC437" s="52">
        <f>AB437*100/$AC$5</f>
        <v>28.313253012048193</v>
      </c>
      <c r="AD437" s="3"/>
      <c r="AE437" s="3"/>
      <c r="AF437" s="9" t="str">
        <f t="shared" si="842"/>
        <v>c) Son personas normales y corrientes</v>
      </c>
      <c r="AG437" s="72">
        <f>J437</f>
        <v>21.212121212121211</v>
      </c>
      <c r="AH437" s="72">
        <f>L437</f>
        <v>31.25</v>
      </c>
      <c r="AI437" s="73">
        <f>H437</f>
        <v>26.153846153846157</v>
      </c>
      <c r="AJ437" s="73"/>
      <c r="AK437" s="76">
        <f>Q437</f>
        <v>32.142857142857146</v>
      </c>
      <c r="AL437" s="76">
        <f>S437</f>
        <v>34.782608695652172</v>
      </c>
      <c r="AM437" s="76">
        <f>O437</f>
        <v>33.333333333333329</v>
      </c>
      <c r="AN437" s="76"/>
      <c r="AO437" s="81">
        <f>X437</f>
        <v>29.629629629629626</v>
      </c>
      <c r="AP437" s="81">
        <f>Z437</f>
        <v>21.739130434782609</v>
      </c>
      <c r="AQ437" s="81">
        <f>V437</f>
        <v>26</v>
      </c>
      <c r="AR437" s="3"/>
      <c r="AS437" s="76">
        <f t="shared" si="816"/>
        <v>28.313253012048193</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x14ac:dyDescent="0.3">
      <c r="A438" s="1" t="s">
        <v>21</v>
      </c>
      <c r="B438" s="2" t="s">
        <v>281</v>
      </c>
      <c r="C438" s="3"/>
      <c r="D438" s="3"/>
      <c r="E438" s="3"/>
      <c r="F438" s="4">
        <v>75</v>
      </c>
      <c r="G438" s="51">
        <f>I438+K438</f>
        <v>6</v>
      </c>
      <c r="H438" s="52">
        <f>G438/$J$5*100</f>
        <v>9.2307692307692317</v>
      </c>
      <c r="I438" s="53">
        <f>COUNTIFS('00 Encuesta'!$B$2:$B$511,"*c)*",'00 Encuesta'!$C$2:$C$511,"*a)*",'00 Encuesta'!$E$2:$E$511,"*a)*",'00 Encuesta'!$BC$2:$BC$511,"*d)*")</f>
        <v>3</v>
      </c>
      <c r="J438" s="52">
        <f>I438/$J$6*100</f>
        <v>9.0909090909090917</v>
      </c>
      <c r="K438" s="53">
        <f>COUNTIFS('00 Encuesta'!$B$2:$B$511,"*c)*",'00 Encuesta'!$C$2:$C$511,"*a)*",'00 Encuesta'!$E$2:$E$511,"*b)*",'00 Encuesta'!$BC$2:$BC$511,"*d)*")</f>
        <v>3</v>
      </c>
      <c r="L438" s="52">
        <f>K438/$J$7*100</f>
        <v>9.375</v>
      </c>
      <c r="M438" s="23"/>
      <c r="N438" s="51">
        <f>P438+R438</f>
        <v>11</v>
      </c>
      <c r="O438" s="52">
        <f>N438/$Q$5*100</f>
        <v>21.568627450980394</v>
      </c>
      <c r="P438" s="53">
        <f>COUNTIFS('00 Encuesta'!$B$2:$B$511,"*c)*",'00 Encuesta'!$C$2:$C$511,"*b)*",'00 Encuesta'!$E$2:$E$511,"*a)*",'00 Encuesta'!$BC$2:$BC$511,"*d)*")</f>
        <v>8</v>
      </c>
      <c r="Q438" s="52">
        <f>P438/$Q$6*100</f>
        <v>28.571428571428569</v>
      </c>
      <c r="R438" s="53">
        <f>COUNTIFS('00 Encuesta'!$B$2:$B$511,"*c)*",'00 Encuesta'!$C$2:$C$511,"*b)*",'00 Encuesta'!$E$2:$E$511,"*b)*",'00 Encuesta'!$BC$2:$BC$511,"*d)*")</f>
        <v>3</v>
      </c>
      <c r="S438" s="52">
        <f>R438/$Q$7*100</f>
        <v>13.043478260869565</v>
      </c>
      <c r="T438" s="3"/>
      <c r="U438" s="51">
        <f>W438+Y438</f>
        <v>15</v>
      </c>
      <c r="V438" s="52">
        <f>U438/$X$5*100</f>
        <v>30</v>
      </c>
      <c r="W438" s="53">
        <f>COUNTIFS('00 Encuesta'!$B$2:$B$511,"*c)*",'00 Encuesta'!$C$2:$C$511,"*d)*",'00 Encuesta'!$E$2:$E$511,"*a)*",'00 Encuesta'!$BC$2:$BC$511,"*d)*")</f>
        <v>6</v>
      </c>
      <c r="X438" s="52">
        <f>W438/$X$6*100</f>
        <v>22.222222222222221</v>
      </c>
      <c r="Y438" s="53">
        <f>COUNTIFS('00 Encuesta'!$B$2:$B$511,"*c)*",'00 Encuesta'!$C$2:$C$511,"*d)*",'00 Encuesta'!$E$2:$E$511,"*b)*",'00 Encuesta'!$BC$2:$BC$511,"*d)*")</f>
        <v>9</v>
      </c>
      <c r="Z438" s="52">
        <f>Y438/$X$7*100</f>
        <v>39.130434782608695</v>
      </c>
      <c r="AA438" s="3"/>
      <c r="AB438" s="62">
        <f>G438+N438+U438</f>
        <v>32</v>
      </c>
      <c r="AC438" s="52">
        <f>AB438*100/$AC$5</f>
        <v>19.277108433734941</v>
      </c>
      <c r="AD438" s="3"/>
      <c r="AE438" s="3"/>
      <c r="AF438" s="9" t="str">
        <f t="shared" si="842"/>
        <v>d) Hay de todo tipo, pero predomina lo positivo</v>
      </c>
      <c r="AG438" s="72">
        <f>J438</f>
        <v>9.0909090909090917</v>
      </c>
      <c r="AH438" s="72">
        <f>L438</f>
        <v>9.375</v>
      </c>
      <c r="AI438" s="73">
        <f>H438</f>
        <v>9.2307692307692317</v>
      </c>
      <c r="AJ438" s="73"/>
      <c r="AK438" s="76">
        <f>Q438</f>
        <v>28.571428571428569</v>
      </c>
      <c r="AL438" s="76">
        <f>S438</f>
        <v>13.043478260869565</v>
      </c>
      <c r="AM438" s="76">
        <f>O438</f>
        <v>21.568627450980394</v>
      </c>
      <c r="AN438" s="76"/>
      <c r="AO438" s="81">
        <f>X438</f>
        <v>22.222222222222221</v>
      </c>
      <c r="AP438" s="81">
        <f>Z438</f>
        <v>39.130434782608695</v>
      </c>
      <c r="AQ438" s="81">
        <f>V438</f>
        <v>30</v>
      </c>
      <c r="AR438" s="3"/>
      <c r="AS438" s="76">
        <f t="shared" si="816"/>
        <v>19.277108433734941</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x14ac:dyDescent="0.3">
      <c r="A439" s="1" t="s">
        <v>22</v>
      </c>
      <c r="B439" s="2" t="s">
        <v>282</v>
      </c>
      <c r="C439" s="3"/>
      <c r="D439" s="3"/>
      <c r="E439" s="3"/>
      <c r="F439" s="4">
        <v>100</v>
      </c>
      <c r="G439" s="51">
        <f>I439+K439</f>
        <v>29</v>
      </c>
      <c r="H439" s="52">
        <f>G439/$J$5*100</f>
        <v>44.61538461538462</v>
      </c>
      <c r="I439" s="53">
        <f>COUNTIFS('00 Encuesta'!$B$2:$B$511,"*c)*",'00 Encuesta'!$C$2:$C$511,"*a)*",'00 Encuesta'!$E$2:$E$511,"*a)*",'00 Encuesta'!$BC$2:$BC$511,"*e)*")</f>
        <v>13</v>
      </c>
      <c r="J439" s="52">
        <f>I439/$J$6*100</f>
        <v>39.393939393939391</v>
      </c>
      <c r="K439" s="53">
        <f>COUNTIFS('00 Encuesta'!$B$2:$B$511,"*c)*",'00 Encuesta'!$C$2:$C$511,"*a)*",'00 Encuesta'!$E$2:$E$511,"*b)*",'00 Encuesta'!$BC$2:$BC$511,"*e)*")</f>
        <v>16</v>
      </c>
      <c r="L439" s="52">
        <f>K439/$J$7*100</f>
        <v>50</v>
      </c>
      <c r="M439" s="23"/>
      <c r="N439" s="51">
        <f>P439+R439</f>
        <v>12</v>
      </c>
      <c r="O439" s="52">
        <f>N439/$Q$5*100</f>
        <v>23.52941176470588</v>
      </c>
      <c r="P439" s="53">
        <f>COUNTIFS('00 Encuesta'!$B$2:$B$511,"*c)*",'00 Encuesta'!$C$2:$C$511,"*b)*",'00 Encuesta'!$E$2:$E$511,"*a)*",'00 Encuesta'!$BC$2:$BC$511,"*e)*")</f>
        <v>4</v>
      </c>
      <c r="Q439" s="52">
        <f>P439/$Q$6*100</f>
        <v>14.285714285714285</v>
      </c>
      <c r="R439" s="53">
        <f>COUNTIFS('00 Encuesta'!$B$2:$B$511,"*c)*",'00 Encuesta'!$C$2:$C$511,"*b)*",'00 Encuesta'!$E$2:$E$511,"*b)*",'00 Encuesta'!$BC$2:$BC$511,"*e)*")</f>
        <v>8</v>
      </c>
      <c r="S439" s="52">
        <f>R439/$Q$7*100</f>
        <v>34.782608695652172</v>
      </c>
      <c r="T439" s="3"/>
      <c r="U439" s="51">
        <f>W439+Y439</f>
        <v>9</v>
      </c>
      <c r="V439" s="52">
        <f>U439/$X$5*100</f>
        <v>18</v>
      </c>
      <c r="W439" s="53">
        <f>COUNTIFS('00 Encuesta'!$B$2:$B$511,"*c)*",'00 Encuesta'!$C$2:$C$511,"*d)*",'00 Encuesta'!$E$2:$E$511,"*a)*",'00 Encuesta'!$BC$2:$BC$511,"*e)*")</f>
        <v>5</v>
      </c>
      <c r="X439" s="52">
        <f>W439/$X$6*100</f>
        <v>18.518518518518519</v>
      </c>
      <c r="Y439" s="53">
        <f>COUNTIFS('00 Encuesta'!$B$2:$B$511,"*c)*",'00 Encuesta'!$C$2:$C$511,"*d)*",'00 Encuesta'!$E$2:$E$511,"*b)*",'00 Encuesta'!$BC$2:$BC$511,"*e)*")</f>
        <v>4</v>
      </c>
      <c r="Z439" s="52">
        <f>Y439/$X$7*100</f>
        <v>17.391304347826086</v>
      </c>
      <c r="AA439" s="3"/>
      <c r="AB439" s="62">
        <f>G439+N439+U439</f>
        <v>50</v>
      </c>
      <c r="AC439" s="52">
        <f>AB439*100/$AC$5</f>
        <v>30.120481927710845</v>
      </c>
      <c r="AD439" s="3"/>
      <c r="AE439" s="3"/>
      <c r="AF439" s="9" t="str">
        <f t="shared" si="842"/>
        <v>e) Son personas que me gustan y admiro</v>
      </c>
      <c r="AG439" s="72">
        <f>J439</f>
        <v>39.393939393939391</v>
      </c>
      <c r="AH439" s="72">
        <f>L439</f>
        <v>50</v>
      </c>
      <c r="AI439" s="73">
        <f>H439</f>
        <v>44.61538461538462</v>
      </c>
      <c r="AJ439" s="73"/>
      <c r="AK439" s="76">
        <f>Q439</f>
        <v>14.285714285714285</v>
      </c>
      <c r="AL439" s="76">
        <f>S439</f>
        <v>34.782608695652172</v>
      </c>
      <c r="AM439" s="76">
        <f>O439</f>
        <v>23.52941176470588</v>
      </c>
      <c r="AN439" s="76"/>
      <c r="AO439" s="81">
        <f>X439</f>
        <v>18.518518518518519</v>
      </c>
      <c r="AP439" s="81">
        <f>Z439</f>
        <v>17.391304347826086</v>
      </c>
      <c r="AQ439" s="81">
        <f>V439</f>
        <v>18</v>
      </c>
      <c r="AR439" s="3"/>
      <c r="AS439" s="76">
        <f t="shared" si="816"/>
        <v>30.120481927710845</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63.70967741935484</v>
      </c>
      <c r="AH440" s="82">
        <f>($F439*K439+$F435*K435+$F436*K436+$F437*K437+$F438*K438)/(K439+K435+K436+K437+K438)</f>
        <v>76.612903225806448</v>
      </c>
      <c r="AI440" s="82">
        <f>($F439*G439+$F435*G435+$F436*G436+$F437*G437+$F438*G438)/(G439+G435+G436+G437+G438)</f>
        <v>70.161290322580641</v>
      </c>
      <c r="AJ440" s="82"/>
      <c r="AK440" s="82">
        <f>($F439*Q439+$F435*Q435+$F436*Q436+$F437*Q437+$F438*Q438)/(Q439+Q435+Q436+Q437+Q438)</f>
        <v>58.653846153846153</v>
      </c>
      <c r="AL440" s="82">
        <f>($F439*S439+$F435*S435+$F436*S436+$F437*S437+$F438*S438)/(S439+S435+S436+S437+S438)</f>
        <v>64.130434782608688</v>
      </c>
      <c r="AM440" s="82">
        <f>($F439*O439+$F435*O435+$F436*O436+$F437*O437+$F438*O438)/(O439+O435+O436+O437+O438)</f>
        <v>61.224489795918373</v>
      </c>
      <c r="AN440" s="82"/>
      <c r="AO440" s="82">
        <f>($F439*W439+$F435*W435+$F436*W436+$F437*W437+$F438*W438)/(W439+W435+W436+W437+W438)</f>
        <v>54</v>
      </c>
      <c r="AP440" s="82">
        <f>($F439*Y439+$F435*Y435+$F436*Y436+$F437*Y437+$F438*Y438)/(Y439+Y435+Y436+Y437+Y438)</f>
        <v>57.608695652173914</v>
      </c>
      <c r="AQ440" s="82">
        <f>($F439*U439+$F435*U435+$F436*U436+$F437*U437+$F438*U438)/(U439+U435+U436+U437+U438)</f>
        <v>55.729166666666664</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843">I442+K442</f>
        <v>40</v>
      </c>
      <c r="H442" s="52">
        <f t="shared" ref="H442:H452" si="844">G442/$J$5*100</f>
        <v>61.53846153846154</v>
      </c>
      <c r="I442" s="53">
        <f>COUNTIFS('00 Encuesta'!$B$2:$B$511,"*c)*",'00 Encuesta'!$C$2:$C$511,"*a)*",'00 Encuesta'!$E$2:$E$511,"*a)*",'00 Encuesta'!$BD$2:$BD$511,"*a)*")</f>
        <v>27</v>
      </c>
      <c r="J442" s="52">
        <f t="shared" ref="J442:J452" si="845">I442/$J$6*100</f>
        <v>81.818181818181827</v>
      </c>
      <c r="K442" s="53">
        <f>COUNTIFS('00 Encuesta'!$B$2:$B$511,"*c)*",'00 Encuesta'!$C$2:$C$511,"*a)*",'00 Encuesta'!$E$2:$E$511,"*b)*",'00 Encuesta'!$BD$2:$BD$511,"*a)*")</f>
        <v>13</v>
      </c>
      <c r="L442" s="52">
        <f t="shared" ref="L442:L447" si="846">K442/$J$7*100</f>
        <v>40.625</v>
      </c>
      <c r="M442" s="23"/>
      <c r="N442" s="51">
        <f t="shared" ref="N442:N447" si="847">P442+R442</f>
        <v>20</v>
      </c>
      <c r="O442" s="52">
        <f t="shared" ref="O442:O447" si="848">N442/$Q$5*100</f>
        <v>39.215686274509807</v>
      </c>
      <c r="P442" s="53">
        <f>COUNTIFS('00 Encuesta'!$B$2:$B$511,"*c)*",'00 Encuesta'!$C$2:$C$511,"*b)*",'00 Encuesta'!$E$2:$E$511,"*a)*",'00 Encuesta'!$BD$2:$BD$511,"*a)*")</f>
        <v>11</v>
      </c>
      <c r="Q442" s="52">
        <f t="shared" ref="Q442:Q452" si="849">P442/$Q$6*100</f>
        <v>39.285714285714285</v>
      </c>
      <c r="R442" s="53">
        <f>COUNTIFS('00 Encuesta'!$B$2:$B$511,"*c)*",'00 Encuesta'!$C$2:$C$511,"*b)*",'00 Encuesta'!$E$2:$E$511,"*b)*",'00 Encuesta'!$BD$2:$BD$511,"*a)*")</f>
        <v>9</v>
      </c>
      <c r="S442" s="52">
        <f t="shared" ref="S442:S447" si="850">R442/$Q$7*100</f>
        <v>39.130434782608695</v>
      </c>
      <c r="T442" s="3"/>
      <c r="U442" s="51">
        <f t="shared" ref="U442:U447" si="851">W442+Y442</f>
        <v>17</v>
      </c>
      <c r="V442" s="52">
        <f t="shared" ref="V442:V447" si="852">U442/$X$5*100</f>
        <v>34</v>
      </c>
      <c r="W442" s="53">
        <f>COUNTIFS('00 Encuesta'!$B$2:$B$511,"*c)*",'00 Encuesta'!$C$2:$C$511,"*d)*",'00 Encuesta'!$E$2:$E$511,"*a)*",'00 Encuesta'!$BD$2:$BD$511,"*a)*")</f>
        <v>12</v>
      </c>
      <c r="X442" s="52">
        <f t="shared" ref="X442:X452" si="853">W442/$X$6*100</f>
        <v>44.444444444444443</v>
      </c>
      <c r="Y442" s="53">
        <f>COUNTIFS('00 Encuesta'!$B$2:$B$511,"*c)*",'00 Encuesta'!$C$2:$C$511,"*d)*",'00 Encuesta'!$E$2:$E$511,"*b)*",'00 Encuesta'!$BD$2:$BD$511,"*a)*")</f>
        <v>5</v>
      </c>
      <c r="Z442" s="52">
        <f t="shared" ref="Z442:Z452" si="854">Y442/$X$7*100</f>
        <v>21.739130434782609</v>
      </c>
      <c r="AA442" s="3"/>
      <c r="AB442" s="62">
        <f t="shared" ref="AB442:AB452" si="855">G442+N442+U442</f>
        <v>77</v>
      </c>
      <c r="AC442" s="52">
        <f t="shared" ref="AC442:AC452" si="856">AB442*100/$AC$5</f>
        <v>46.385542168674696</v>
      </c>
      <c r="AD442" s="3"/>
      <c r="AE442" s="3"/>
      <c r="AF442" s="9" t="str">
        <f t="shared" ref="AF442:AF452" si="857">A442&amp;" "&amp;B442</f>
        <v>a) Mi padre</v>
      </c>
      <c r="AG442" s="72">
        <f t="shared" ref="AG442:AG452" si="858">J442</f>
        <v>81.818181818181827</v>
      </c>
      <c r="AH442" s="72">
        <f t="shared" ref="AH442:AH452" si="859">L442</f>
        <v>40.625</v>
      </c>
      <c r="AI442" s="73">
        <f t="shared" ref="AI442:AI452" si="860">H442</f>
        <v>61.53846153846154</v>
      </c>
      <c r="AJ442" s="73"/>
      <c r="AK442" s="76">
        <f t="shared" ref="AK442:AK452" si="861">Q442</f>
        <v>39.285714285714285</v>
      </c>
      <c r="AL442" s="76">
        <f t="shared" ref="AL442:AL452" si="862">S442</f>
        <v>39.130434782608695</v>
      </c>
      <c r="AM442" s="76">
        <f t="shared" ref="AM442:AM452" si="863">O442</f>
        <v>39.215686274509807</v>
      </c>
      <c r="AN442" s="76"/>
      <c r="AO442" s="81">
        <f t="shared" ref="AO442:AO452" si="864">X442</f>
        <v>44.444444444444443</v>
      </c>
      <c r="AP442" s="81">
        <f t="shared" ref="AP442:AP452" si="865">Z442</f>
        <v>21.739130434782609</v>
      </c>
      <c r="AQ442" s="81">
        <f t="shared" ref="AQ442:AQ452" si="866">V442</f>
        <v>34</v>
      </c>
      <c r="AR442" s="3"/>
      <c r="AS442" s="76">
        <f t="shared" si="816"/>
        <v>46.385542168674696</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843"/>
        <v>45</v>
      </c>
      <c r="H443" s="52">
        <f t="shared" si="844"/>
        <v>69.230769230769226</v>
      </c>
      <c r="I443" s="53">
        <f>COUNTIFS('00 Encuesta'!$B$2:$B$511,"*c)*",'00 Encuesta'!$C$2:$C$511,"*a)*",'00 Encuesta'!$E$2:$E$511,"*a)*",'00 Encuesta'!$BD$2:$BD$511,"*b)*")</f>
        <v>24</v>
      </c>
      <c r="J443" s="52">
        <f t="shared" si="845"/>
        <v>72.727272727272734</v>
      </c>
      <c r="K443" s="53">
        <f>COUNTIFS('00 Encuesta'!$B$2:$B$511,"*c)*",'00 Encuesta'!$C$2:$C$511,"*a)*",'00 Encuesta'!$E$2:$E$511,"*b)*",'00 Encuesta'!$BD$2:$BD$511,"*b)*")</f>
        <v>21</v>
      </c>
      <c r="L443" s="52">
        <f t="shared" si="846"/>
        <v>65.625</v>
      </c>
      <c r="M443" s="23"/>
      <c r="N443" s="51">
        <f t="shared" si="847"/>
        <v>34</v>
      </c>
      <c r="O443" s="52">
        <f t="shared" si="848"/>
        <v>66.666666666666657</v>
      </c>
      <c r="P443" s="53">
        <f>COUNTIFS('00 Encuesta'!$B$2:$B$511,"*c)*",'00 Encuesta'!$C$2:$C$511,"*b)*",'00 Encuesta'!$E$2:$E$511,"*a)*",'00 Encuesta'!$BD$2:$BD$511,"*b)*")</f>
        <v>19</v>
      </c>
      <c r="Q443" s="52">
        <f t="shared" si="849"/>
        <v>67.857142857142861</v>
      </c>
      <c r="R443" s="53">
        <f>COUNTIFS('00 Encuesta'!$B$2:$B$511,"*c)*",'00 Encuesta'!$C$2:$C$511,"*b)*",'00 Encuesta'!$E$2:$E$511,"*b)*",'00 Encuesta'!$BD$2:$BD$511,"*b)*")</f>
        <v>15</v>
      </c>
      <c r="S443" s="52">
        <f t="shared" si="850"/>
        <v>65.217391304347828</v>
      </c>
      <c r="T443" s="3"/>
      <c r="U443" s="51">
        <f t="shared" si="851"/>
        <v>30</v>
      </c>
      <c r="V443" s="52">
        <f t="shared" si="852"/>
        <v>60</v>
      </c>
      <c r="W443" s="53">
        <f>COUNTIFS('00 Encuesta'!$B$2:$B$511,"*c)*",'00 Encuesta'!$C$2:$C$511,"*d)*",'00 Encuesta'!$E$2:$E$511,"*a)*",'00 Encuesta'!$BD$2:$BD$511,"*b)*")</f>
        <v>17</v>
      </c>
      <c r="X443" s="52">
        <f t="shared" si="853"/>
        <v>62.962962962962962</v>
      </c>
      <c r="Y443" s="53">
        <f>COUNTIFS('00 Encuesta'!$B$2:$B$511,"*c)*",'00 Encuesta'!$C$2:$C$511,"*d)*",'00 Encuesta'!$E$2:$E$511,"*b)*",'00 Encuesta'!$BD$2:$BD$511,"*b)*")</f>
        <v>13</v>
      </c>
      <c r="Z443" s="52">
        <f t="shared" si="854"/>
        <v>56.521739130434781</v>
      </c>
      <c r="AA443" s="3"/>
      <c r="AB443" s="62">
        <f t="shared" si="855"/>
        <v>109</v>
      </c>
      <c r="AC443" s="52">
        <f t="shared" si="856"/>
        <v>65.662650602409641</v>
      </c>
      <c r="AD443" s="3"/>
      <c r="AE443" s="3"/>
      <c r="AF443" s="9" t="str">
        <f t="shared" si="857"/>
        <v>b) Mi madre</v>
      </c>
      <c r="AG443" s="72">
        <f t="shared" si="858"/>
        <v>72.727272727272734</v>
      </c>
      <c r="AH443" s="72">
        <f t="shared" si="859"/>
        <v>65.625</v>
      </c>
      <c r="AI443" s="73">
        <f t="shared" si="860"/>
        <v>69.230769230769226</v>
      </c>
      <c r="AJ443" s="73"/>
      <c r="AK443" s="76">
        <f t="shared" si="861"/>
        <v>67.857142857142861</v>
      </c>
      <c r="AL443" s="76">
        <f t="shared" si="862"/>
        <v>65.217391304347828</v>
      </c>
      <c r="AM443" s="76">
        <f t="shared" si="863"/>
        <v>66.666666666666657</v>
      </c>
      <c r="AN443" s="76"/>
      <c r="AO443" s="81">
        <f t="shared" si="864"/>
        <v>62.962962962962962</v>
      </c>
      <c r="AP443" s="81">
        <f t="shared" si="865"/>
        <v>56.521739130434781</v>
      </c>
      <c r="AQ443" s="81">
        <f t="shared" si="866"/>
        <v>60</v>
      </c>
      <c r="AR443" s="3"/>
      <c r="AS443" s="76">
        <f t="shared" si="816"/>
        <v>65.662650602409641</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843"/>
        <v>36</v>
      </c>
      <c r="H444" s="52">
        <f t="shared" si="844"/>
        <v>55.384615384615387</v>
      </c>
      <c r="I444" s="53">
        <f>COUNTIFS('00 Encuesta'!$B$2:$B$511,"*c)*",'00 Encuesta'!$C$2:$C$511,"*a)*",'00 Encuesta'!$E$2:$E$511,"*a)*",'00 Encuesta'!$BD$2:$BD$511,"*c)*")</f>
        <v>22</v>
      </c>
      <c r="J444" s="52">
        <f t="shared" si="845"/>
        <v>66.666666666666657</v>
      </c>
      <c r="K444" s="53">
        <f>COUNTIFS('00 Encuesta'!$B$2:$B$511,"*c)*",'00 Encuesta'!$C$2:$C$511,"*a)*",'00 Encuesta'!$E$2:$E$511,"*b)*",'00 Encuesta'!$BD$2:$BD$511,"*c)*")</f>
        <v>14</v>
      </c>
      <c r="L444" s="52">
        <f t="shared" si="846"/>
        <v>43.75</v>
      </c>
      <c r="M444" s="23"/>
      <c r="N444" s="51">
        <f t="shared" si="847"/>
        <v>23</v>
      </c>
      <c r="O444" s="52">
        <f t="shared" si="848"/>
        <v>45.098039215686278</v>
      </c>
      <c r="P444" s="53">
        <f>COUNTIFS('00 Encuesta'!$B$2:$B$511,"*c)*",'00 Encuesta'!$C$2:$C$511,"*b)*",'00 Encuesta'!$E$2:$E$511,"*a)*",'00 Encuesta'!$BD$2:$BD$511,"*c)*")</f>
        <v>15</v>
      </c>
      <c r="Q444" s="52">
        <f t="shared" si="849"/>
        <v>53.571428571428569</v>
      </c>
      <c r="R444" s="53">
        <f>COUNTIFS('00 Encuesta'!$B$2:$B$511,"*c)*",'00 Encuesta'!$C$2:$C$511,"*b)*",'00 Encuesta'!$E$2:$E$511,"*b)*",'00 Encuesta'!$BD$2:$BD$511,"*c)*")</f>
        <v>8</v>
      </c>
      <c r="S444" s="52">
        <f t="shared" si="850"/>
        <v>34.782608695652172</v>
      </c>
      <c r="T444" s="3"/>
      <c r="U444" s="51">
        <f t="shared" si="851"/>
        <v>18</v>
      </c>
      <c r="V444" s="52">
        <f t="shared" si="852"/>
        <v>36</v>
      </c>
      <c r="W444" s="53">
        <f>COUNTIFS('00 Encuesta'!$B$2:$B$511,"*c)*",'00 Encuesta'!$C$2:$C$511,"*d)*",'00 Encuesta'!$E$2:$E$511,"*a)*",'00 Encuesta'!$BD$2:$BD$511,"*c)*")</f>
        <v>10</v>
      </c>
      <c r="X444" s="52">
        <f t="shared" si="853"/>
        <v>37.037037037037038</v>
      </c>
      <c r="Y444" s="53">
        <f>COUNTIFS('00 Encuesta'!$B$2:$B$511,"*c)*",'00 Encuesta'!$C$2:$C$511,"*d)*",'00 Encuesta'!$E$2:$E$511,"*b)*",'00 Encuesta'!$BD$2:$BD$511,"*c)*")</f>
        <v>8</v>
      </c>
      <c r="Z444" s="52">
        <f t="shared" si="854"/>
        <v>34.782608695652172</v>
      </c>
      <c r="AA444" s="3"/>
      <c r="AB444" s="62">
        <f t="shared" si="855"/>
        <v>77</v>
      </c>
      <c r="AC444" s="52">
        <f t="shared" si="856"/>
        <v>46.385542168674696</v>
      </c>
      <c r="AD444" s="3"/>
      <c r="AE444" s="3"/>
      <c r="AF444" s="9" t="str">
        <f t="shared" si="857"/>
        <v>c) Un hermano/a</v>
      </c>
      <c r="AG444" s="72">
        <f t="shared" si="858"/>
        <v>66.666666666666657</v>
      </c>
      <c r="AH444" s="72">
        <f t="shared" si="859"/>
        <v>43.75</v>
      </c>
      <c r="AI444" s="73">
        <f t="shared" si="860"/>
        <v>55.384615384615387</v>
      </c>
      <c r="AJ444" s="73"/>
      <c r="AK444" s="76">
        <f t="shared" si="861"/>
        <v>53.571428571428569</v>
      </c>
      <c r="AL444" s="76">
        <f t="shared" si="862"/>
        <v>34.782608695652172</v>
      </c>
      <c r="AM444" s="76">
        <f t="shared" si="863"/>
        <v>45.098039215686278</v>
      </c>
      <c r="AN444" s="76"/>
      <c r="AO444" s="81">
        <f t="shared" si="864"/>
        <v>37.037037037037038</v>
      </c>
      <c r="AP444" s="81">
        <f t="shared" si="865"/>
        <v>34.782608695652172</v>
      </c>
      <c r="AQ444" s="81">
        <f t="shared" si="866"/>
        <v>36</v>
      </c>
      <c r="AR444" s="3"/>
      <c r="AS444" s="76">
        <f t="shared" si="816"/>
        <v>46.385542168674696</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843"/>
        <v>16</v>
      </c>
      <c r="H445" s="52">
        <f t="shared" si="844"/>
        <v>24.615384615384617</v>
      </c>
      <c r="I445" s="53">
        <f>COUNTIFS('00 Encuesta'!$B$2:$B$511,"*c)*",'00 Encuesta'!$C$2:$C$511,"*a)*",'00 Encuesta'!$E$2:$E$511,"*a)*",'00 Encuesta'!$BD$2:$BD$511,"*d)*")</f>
        <v>7</v>
      </c>
      <c r="J445" s="52">
        <f t="shared" si="845"/>
        <v>21.212121212121211</v>
      </c>
      <c r="K445" s="53">
        <f>COUNTIFS('00 Encuesta'!$B$2:$B$511,"*c)*",'00 Encuesta'!$C$2:$C$511,"*a)*",'00 Encuesta'!$E$2:$E$511,"*b)*",'00 Encuesta'!$BD$2:$BD$511,"*d)*")</f>
        <v>9</v>
      </c>
      <c r="L445" s="52">
        <f t="shared" si="846"/>
        <v>28.125</v>
      </c>
      <c r="M445" s="23"/>
      <c r="N445" s="51">
        <f t="shared" si="847"/>
        <v>6</v>
      </c>
      <c r="O445" s="52">
        <f t="shared" si="848"/>
        <v>11.76470588235294</v>
      </c>
      <c r="P445" s="53">
        <f>COUNTIFS('00 Encuesta'!$B$2:$B$511,"*c)*",'00 Encuesta'!$C$2:$C$511,"*b)*",'00 Encuesta'!$E$2:$E$511,"*a)*",'00 Encuesta'!$BD$2:$BD$511,"*d)*")</f>
        <v>6</v>
      </c>
      <c r="Q445" s="52">
        <f t="shared" si="849"/>
        <v>21.428571428571427</v>
      </c>
      <c r="R445" s="53">
        <f>COUNTIFS('00 Encuesta'!$B$2:$B$511,"*c)*",'00 Encuesta'!$C$2:$C$511,"*b)*",'00 Encuesta'!$E$2:$E$511,"*b)*",'00 Encuesta'!$BD$2:$BD$511,"*d)*")</f>
        <v>0</v>
      </c>
      <c r="S445" s="52">
        <f t="shared" si="850"/>
        <v>0</v>
      </c>
      <c r="T445" s="3"/>
      <c r="U445" s="51">
        <f t="shared" si="851"/>
        <v>2</v>
      </c>
      <c r="V445" s="52">
        <f t="shared" si="852"/>
        <v>4</v>
      </c>
      <c r="W445" s="53">
        <f>COUNTIFS('00 Encuesta'!$B$2:$B$511,"*c)*",'00 Encuesta'!$C$2:$C$511,"*d)*",'00 Encuesta'!$E$2:$E$511,"*a)*",'00 Encuesta'!$BD$2:$BD$511,"*d)*")</f>
        <v>2</v>
      </c>
      <c r="X445" s="52">
        <f t="shared" si="853"/>
        <v>7.4074074074074066</v>
      </c>
      <c r="Y445" s="53">
        <f>COUNTIFS('00 Encuesta'!$B$2:$B$511,"*c)*",'00 Encuesta'!$C$2:$C$511,"*d)*",'00 Encuesta'!$E$2:$E$511,"*b)*",'00 Encuesta'!$BD$2:$BD$511,"*d)*")</f>
        <v>0</v>
      </c>
      <c r="Z445" s="52">
        <f t="shared" si="854"/>
        <v>0</v>
      </c>
      <c r="AA445" s="3"/>
      <c r="AB445" s="62">
        <f t="shared" si="855"/>
        <v>24</v>
      </c>
      <c r="AC445" s="52">
        <f t="shared" si="856"/>
        <v>14.457831325301205</v>
      </c>
      <c r="AD445" s="3"/>
      <c r="AE445" s="3"/>
      <c r="AF445" s="9" t="str">
        <f t="shared" si="857"/>
        <v>d) Un escolapio, religioso o religiosa</v>
      </c>
      <c r="AG445" s="72">
        <f t="shared" si="858"/>
        <v>21.212121212121211</v>
      </c>
      <c r="AH445" s="72">
        <f t="shared" si="859"/>
        <v>28.125</v>
      </c>
      <c r="AI445" s="73">
        <f t="shared" si="860"/>
        <v>24.615384615384617</v>
      </c>
      <c r="AJ445" s="73"/>
      <c r="AK445" s="76">
        <f t="shared" si="861"/>
        <v>21.428571428571427</v>
      </c>
      <c r="AL445" s="76">
        <f t="shared" si="862"/>
        <v>0</v>
      </c>
      <c r="AM445" s="76">
        <f t="shared" si="863"/>
        <v>11.76470588235294</v>
      </c>
      <c r="AN445" s="76"/>
      <c r="AO445" s="81">
        <f t="shared" si="864"/>
        <v>7.4074074074074066</v>
      </c>
      <c r="AP445" s="81">
        <f t="shared" si="865"/>
        <v>0</v>
      </c>
      <c r="AQ445" s="81">
        <f t="shared" si="866"/>
        <v>4</v>
      </c>
      <c r="AR445" s="3"/>
      <c r="AS445" s="76">
        <f t="shared" si="816"/>
        <v>14.457831325301205</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843"/>
        <v>12</v>
      </c>
      <c r="H446" s="52">
        <f t="shared" si="844"/>
        <v>18.461538461538463</v>
      </c>
      <c r="I446" s="53">
        <f>COUNTIFS('00 Encuesta'!$B$2:$B$511,"*c)*",'00 Encuesta'!$C$2:$C$511,"*a)*",'00 Encuesta'!$E$2:$E$511,"*a)*",'00 Encuesta'!$BD$2:$BD$511,"*e)*")</f>
        <v>6</v>
      </c>
      <c r="J446" s="52">
        <f t="shared" si="845"/>
        <v>18.181818181818183</v>
      </c>
      <c r="K446" s="53">
        <f>COUNTIFS('00 Encuesta'!$B$2:$B$511,"*c)*",'00 Encuesta'!$C$2:$C$511,"*a)*",'00 Encuesta'!$E$2:$E$511,"*b)*",'00 Encuesta'!$BD$2:$BD$511,"*e)*")</f>
        <v>6</v>
      </c>
      <c r="L446" s="52">
        <f t="shared" si="846"/>
        <v>18.75</v>
      </c>
      <c r="M446" s="23"/>
      <c r="N446" s="51">
        <f t="shared" si="847"/>
        <v>12</v>
      </c>
      <c r="O446" s="52">
        <f t="shared" si="848"/>
        <v>23.52941176470588</v>
      </c>
      <c r="P446" s="53">
        <f>COUNTIFS('00 Encuesta'!$B$2:$B$511,"*c)*",'00 Encuesta'!$C$2:$C$511,"*b)*",'00 Encuesta'!$E$2:$E$511,"*a)*",'00 Encuesta'!$BD$2:$BD$511,"*e)*")</f>
        <v>5</v>
      </c>
      <c r="Q446" s="52">
        <f t="shared" si="849"/>
        <v>17.857142857142858</v>
      </c>
      <c r="R446" s="53">
        <f>COUNTIFS('00 Encuesta'!$B$2:$B$511,"*c)*",'00 Encuesta'!$C$2:$C$511,"*b)*",'00 Encuesta'!$E$2:$E$511,"*b)*",'00 Encuesta'!$BD$2:$BD$511,"*e)*")</f>
        <v>7</v>
      </c>
      <c r="S446" s="52">
        <f t="shared" si="850"/>
        <v>30.434782608695656</v>
      </c>
      <c r="T446" s="3"/>
      <c r="U446" s="51">
        <f t="shared" si="851"/>
        <v>4</v>
      </c>
      <c r="V446" s="52">
        <f t="shared" si="852"/>
        <v>8</v>
      </c>
      <c r="W446" s="53">
        <f>COUNTIFS('00 Encuesta'!$B$2:$B$511,"*c)*",'00 Encuesta'!$C$2:$C$511,"*d)*",'00 Encuesta'!$E$2:$E$511,"*a)*",'00 Encuesta'!$BD$2:$BD$511,"*e)*")</f>
        <v>1</v>
      </c>
      <c r="X446" s="52">
        <f t="shared" si="853"/>
        <v>3.7037037037037033</v>
      </c>
      <c r="Y446" s="53">
        <f>COUNTIFS('00 Encuesta'!$B$2:$B$511,"*c)*",'00 Encuesta'!$C$2:$C$511,"*d)*",'00 Encuesta'!$E$2:$E$511,"*b)*",'00 Encuesta'!$BD$2:$BD$511,"*e)*")</f>
        <v>3</v>
      </c>
      <c r="Z446" s="52">
        <f t="shared" si="854"/>
        <v>13.043478260869565</v>
      </c>
      <c r="AA446" s="3"/>
      <c r="AB446" s="62">
        <f t="shared" si="855"/>
        <v>28</v>
      </c>
      <c r="AC446" s="52">
        <f t="shared" si="856"/>
        <v>16.867469879518072</v>
      </c>
      <c r="AD446" s="3"/>
      <c r="AE446" s="3"/>
      <c r="AF446" s="9" t="str">
        <f t="shared" si="857"/>
        <v>e) Una, una docente</v>
      </c>
      <c r="AG446" s="72">
        <f t="shared" si="858"/>
        <v>18.181818181818183</v>
      </c>
      <c r="AH446" s="72">
        <f t="shared" si="859"/>
        <v>18.75</v>
      </c>
      <c r="AI446" s="73">
        <f t="shared" si="860"/>
        <v>18.461538461538463</v>
      </c>
      <c r="AJ446" s="73"/>
      <c r="AK446" s="76">
        <f t="shared" si="861"/>
        <v>17.857142857142858</v>
      </c>
      <c r="AL446" s="76">
        <f t="shared" si="862"/>
        <v>30.434782608695656</v>
      </c>
      <c r="AM446" s="76">
        <f t="shared" si="863"/>
        <v>23.52941176470588</v>
      </c>
      <c r="AN446" s="76"/>
      <c r="AO446" s="81">
        <f t="shared" si="864"/>
        <v>3.7037037037037033</v>
      </c>
      <c r="AP446" s="81">
        <f t="shared" si="865"/>
        <v>13.043478260869565</v>
      </c>
      <c r="AQ446" s="81">
        <f t="shared" si="866"/>
        <v>8</v>
      </c>
      <c r="AR446" s="3"/>
      <c r="AS446" s="76">
        <f t="shared" si="816"/>
        <v>16.867469879518072</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843"/>
        <v>4</v>
      </c>
      <c r="H447" s="52">
        <f t="shared" si="844"/>
        <v>6.1538461538461542</v>
      </c>
      <c r="I447" s="53">
        <f>COUNTIFS('00 Encuesta'!$B$2:$B$511,"*c)*",'00 Encuesta'!$C$2:$C$511,"*a)*",'00 Encuesta'!$E$2:$E$511,"*a)*",'00 Encuesta'!$BD$2:$BD$511,"*f)*")</f>
        <v>2</v>
      </c>
      <c r="J447" s="52">
        <f t="shared" si="845"/>
        <v>6.0606060606060606</v>
      </c>
      <c r="K447" s="53">
        <f>COUNTIFS('00 Encuesta'!$B$2:$B$511,"*c)*",'00 Encuesta'!$C$2:$C$511,"*a)*",'00 Encuesta'!$E$2:$E$511,"*b)*",'00 Encuesta'!$BD$2:$BD$511,"*f)*")</f>
        <v>2</v>
      </c>
      <c r="L447" s="52">
        <f t="shared" si="846"/>
        <v>6.25</v>
      </c>
      <c r="M447" s="23"/>
      <c r="N447" s="51">
        <f t="shared" si="847"/>
        <v>3</v>
      </c>
      <c r="O447" s="52">
        <f t="shared" si="848"/>
        <v>5.8823529411764701</v>
      </c>
      <c r="P447" s="53">
        <f>COUNTIFS('00 Encuesta'!$B$2:$B$511,"*c)*",'00 Encuesta'!$C$2:$C$511,"*b)*",'00 Encuesta'!$E$2:$E$511,"*a)*",'00 Encuesta'!$BD$2:$BD$511,"*f)*")</f>
        <v>1</v>
      </c>
      <c r="Q447" s="52">
        <f t="shared" si="849"/>
        <v>3.5714285714285712</v>
      </c>
      <c r="R447" s="53">
        <f>COUNTIFS('00 Encuesta'!$B$2:$B$511,"*c)*",'00 Encuesta'!$C$2:$C$511,"*b)*",'00 Encuesta'!$E$2:$E$511,"*b)*",'00 Encuesta'!$BD$2:$BD$511,"*f)*")</f>
        <v>2</v>
      </c>
      <c r="S447" s="52">
        <f t="shared" si="850"/>
        <v>8.695652173913043</v>
      </c>
      <c r="T447" s="3"/>
      <c r="U447" s="51">
        <f t="shared" si="851"/>
        <v>3</v>
      </c>
      <c r="V447" s="52">
        <f t="shared" si="852"/>
        <v>6</v>
      </c>
      <c r="W447" s="53">
        <f>COUNTIFS('00 Encuesta'!$B$2:$B$511,"*c)*",'00 Encuesta'!$C$2:$C$511,"*d)*",'00 Encuesta'!$E$2:$E$511,"*a)*",'00 Encuesta'!$BD$2:$BD$511,"*f)*")</f>
        <v>2</v>
      </c>
      <c r="X447" s="52">
        <f t="shared" si="853"/>
        <v>7.4074074074074066</v>
      </c>
      <c r="Y447" s="53">
        <f>COUNTIFS('00 Encuesta'!$B$2:$B$511,"*c)*",'00 Encuesta'!$C$2:$C$511,"*d)*",'00 Encuesta'!$E$2:$E$511,"*b)*",'00 Encuesta'!$BD$2:$BD$511,"*f)*")</f>
        <v>1</v>
      </c>
      <c r="Z447" s="52">
        <f t="shared" si="854"/>
        <v>4.3478260869565215</v>
      </c>
      <c r="AA447" s="3"/>
      <c r="AB447" s="62">
        <f t="shared" si="855"/>
        <v>10</v>
      </c>
      <c r="AC447" s="52">
        <f t="shared" si="856"/>
        <v>6.024096385542169</v>
      </c>
      <c r="AD447" s="3"/>
      <c r="AE447" s="3"/>
      <c r="AF447" s="9" t="str">
        <f t="shared" si="857"/>
        <v>f) La orientadora</v>
      </c>
      <c r="AG447" s="72">
        <f t="shared" si="858"/>
        <v>6.0606060606060606</v>
      </c>
      <c r="AH447" s="72">
        <f t="shared" si="859"/>
        <v>6.25</v>
      </c>
      <c r="AI447" s="73">
        <f t="shared" si="860"/>
        <v>6.1538461538461542</v>
      </c>
      <c r="AJ447" s="73"/>
      <c r="AK447" s="76">
        <f t="shared" si="861"/>
        <v>3.5714285714285712</v>
      </c>
      <c r="AL447" s="76">
        <f t="shared" si="862"/>
        <v>8.695652173913043</v>
      </c>
      <c r="AM447" s="76">
        <f t="shared" si="863"/>
        <v>5.8823529411764701</v>
      </c>
      <c r="AN447" s="76"/>
      <c r="AO447" s="81">
        <f t="shared" si="864"/>
        <v>7.4074074074074066</v>
      </c>
      <c r="AP447" s="81">
        <f t="shared" si="865"/>
        <v>4.3478260869565215</v>
      </c>
      <c r="AQ447" s="81">
        <f t="shared" si="866"/>
        <v>6</v>
      </c>
      <c r="AR447" s="3"/>
      <c r="AS447" s="76">
        <f t="shared" si="816"/>
        <v>6.024096385542169</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843"/>
        <v>30</v>
      </c>
      <c r="H448" s="52">
        <f t="shared" si="844"/>
        <v>46.153846153846153</v>
      </c>
      <c r="I448" s="53">
        <f>COUNTIFS('00 Encuesta'!$B$2:$B$511,"*c)*",'00 Encuesta'!$C$2:$C$511,"*a)*",'00 Encuesta'!$E$2:$E$511,"*a)*",'00 Encuesta'!$BD$2:$BD$511,"*g)*")</f>
        <v>21</v>
      </c>
      <c r="J448" s="52">
        <f t="shared" si="845"/>
        <v>63.636363636363633</v>
      </c>
      <c r="K448" s="53">
        <f>COUNTIFS('00 Encuesta'!$B$2:$B$511,"*c)*",'00 Encuesta'!$C$2:$C$511,"*a)*",'00 Encuesta'!$E$2:$E$511,"*b)*",'00 Encuesta'!$BD$2:$BD$511,"*g)*")</f>
        <v>9</v>
      </c>
      <c r="L448" s="52">
        <f t="shared" ref="L448:L452" si="867">K448/$J$7*100</f>
        <v>28.125</v>
      </c>
      <c r="M448" s="23"/>
      <c r="N448" s="51">
        <f t="shared" ref="N448:N452" si="868">P448+R448</f>
        <v>21</v>
      </c>
      <c r="O448" s="52">
        <f t="shared" ref="O448:O452" si="869">N448/$Q$5*100</f>
        <v>41.17647058823529</v>
      </c>
      <c r="P448" s="53">
        <f>COUNTIFS('00 Encuesta'!$B$2:$B$511,"*c)*",'00 Encuesta'!$C$2:$C$511,"*b)*",'00 Encuesta'!$E$2:$E$511,"*a)*",'00 Encuesta'!$BD$2:$BD$511,"*g)*")</f>
        <v>14</v>
      </c>
      <c r="Q448" s="52">
        <f t="shared" si="849"/>
        <v>50</v>
      </c>
      <c r="R448" s="53">
        <f>COUNTIFS('00 Encuesta'!$B$2:$B$511,"*c)*",'00 Encuesta'!$C$2:$C$511,"*b)*",'00 Encuesta'!$E$2:$E$511,"*b)*",'00 Encuesta'!$BD$2:$BD$511,"*g)*")</f>
        <v>7</v>
      </c>
      <c r="S448" s="52">
        <f t="shared" ref="S448:S452" si="870">R448/$Q$7*100</f>
        <v>30.434782608695656</v>
      </c>
      <c r="T448" s="3"/>
      <c r="U448" s="51">
        <f t="shared" ref="U448:U452" si="871">W448+Y448</f>
        <v>19</v>
      </c>
      <c r="V448" s="52">
        <f t="shared" ref="V448:V452" si="872">U448/$X$5*100</f>
        <v>38</v>
      </c>
      <c r="W448" s="53">
        <f>COUNTIFS('00 Encuesta'!$B$2:$B$511,"*c)*",'00 Encuesta'!$C$2:$C$511,"*d)*",'00 Encuesta'!$E$2:$E$511,"*a)*",'00 Encuesta'!$BD$2:$BD$511,"*g)*")</f>
        <v>10</v>
      </c>
      <c r="X448" s="52">
        <f t="shared" si="853"/>
        <v>37.037037037037038</v>
      </c>
      <c r="Y448" s="53">
        <f>COUNTIFS('00 Encuesta'!$B$2:$B$511,"*c)*",'00 Encuesta'!$C$2:$C$511,"*d)*",'00 Encuesta'!$E$2:$E$511,"*b)*",'00 Encuesta'!$BD$2:$BD$511,"*g)*")</f>
        <v>9</v>
      </c>
      <c r="Z448" s="52">
        <f t="shared" si="854"/>
        <v>39.130434782608695</v>
      </c>
      <c r="AA448" s="3"/>
      <c r="AB448" s="62">
        <f t="shared" si="855"/>
        <v>70</v>
      </c>
      <c r="AC448" s="52">
        <f t="shared" si="856"/>
        <v>42.168674698795179</v>
      </c>
      <c r="AD448" s="3"/>
      <c r="AE448" s="3"/>
      <c r="AF448" s="9" t="str">
        <f t="shared" si="857"/>
        <v>g) Un amigo</v>
      </c>
      <c r="AG448" s="72">
        <f t="shared" si="858"/>
        <v>63.636363636363633</v>
      </c>
      <c r="AH448" s="72">
        <f t="shared" si="859"/>
        <v>28.125</v>
      </c>
      <c r="AI448" s="73">
        <f t="shared" si="860"/>
        <v>46.153846153846153</v>
      </c>
      <c r="AJ448" s="73"/>
      <c r="AK448" s="76">
        <f t="shared" si="861"/>
        <v>50</v>
      </c>
      <c r="AL448" s="76">
        <f t="shared" si="862"/>
        <v>30.434782608695656</v>
      </c>
      <c r="AM448" s="76">
        <f t="shared" si="863"/>
        <v>41.17647058823529</v>
      </c>
      <c r="AN448" s="76"/>
      <c r="AO448" s="81">
        <f t="shared" si="864"/>
        <v>37.037037037037038</v>
      </c>
      <c r="AP448" s="81">
        <f t="shared" si="865"/>
        <v>39.130434782608695</v>
      </c>
      <c r="AQ448" s="81">
        <f t="shared" si="866"/>
        <v>38</v>
      </c>
      <c r="AR448" s="3"/>
      <c r="AS448" s="76">
        <f t="shared" si="816"/>
        <v>42.168674698795179</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843"/>
        <v>41</v>
      </c>
      <c r="H449" s="52">
        <f t="shared" si="844"/>
        <v>63.076923076923073</v>
      </c>
      <c r="I449" s="53">
        <f>COUNTIFS('00 Encuesta'!$B$2:$B$511,"*c)*",'00 Encuesta'!$C$2:$C$511,"*a)*",'00 Encuesta'!$E$2:$E$511,"*a)*",'00 Encuesta'!$BD$2:$BD$511,"*h)*")</f>
        <v>14</v>
      </c>
      <c r="J449" s="52">
        <f t="shared" si="845"/>
        <v>42.424242424242422</v>
      </c>
      <c r="K449" s="53">
        <f>COUNTIFS('00 Encuesta'!$B$2:$B$511,"*c)*",'00 Encuesta'!$C$2:$C$511,"*a)*",'00 Encuesta'!$E$2:$E$511,"*b)*",'00 Encuesta'!$BD$2:$BD$511,"*h)*")</f>
        <v>27</v>
      </c>
      <c r="L449" s="52">
        <f t="shared" si="867"/>
        <v>84.375</v>
      </c>
      <c r="M449" s="23"/>
      <c r="N449" s="51">
        <f t="shared" si="868"/>
        <v>26</v>
      </c>
      <c r="O449" s="52">
        <f t="shared" si="869"/>
        <v>50.980392156862742</v>
      </c>
      <c r="P449" s="53">
        <f>COUNTIFS('00 Encuesta'!$B$2:$B$511,"*c)*",'00 Encuesta'!$C$2:$C$511,"*b)*",'00 Encuesta'!$E$2:$E$511,"*a)*",'00 Encuesta'!$BD$2:$BD$511,"*h)*")</f>
        <v>14</v>
      </c>
      <c r="Q449" s="52">
        <f t="shared" si="849"/>
        <v>50</v>
      </c>
      <c r="R449" s="53">
        <f>COUNTIFS('00 Encuesta'!$B$2:$B$511,"*c)*",'00 Encuesta'!$C$2:$C$511,"*b)*",'00 Encuesta'!$E$2:$E$511,"*b)*",'00 Encuesta'!$BD$2:$BD$511,"*h)*")</f>
        <v>12</v>
      </c>
      <c r="S449" s="52">
        <f t="shared" si="870"/>
        <v>52.173913043478258</v>
      </c>
      <c r="T449" s="3"/>
      <c r="U449" s="51">
        <f t="shared" si="871"/>
        <v>29</v>
      </c>
      <c r="V449" s="52">
        <f t="shared" si="872"/>
        <v>57.999999999999993</v>
      </c>
      <c r="W449" s="53">
        <f>COUNTIFS('00 Encuesta'!$B$2:$B$511,"*c)*",'00 Encuesta'!$C$2:$C$511,"*d)*",'00 Encuesta'!$E$2:$E$511,"*a)*",'00 Encuesta'!$BD$2:$BD$511,"*h)*")</f>
        <v>12</v>
      </c>
      <c r="X449" s="52">
        <f t="shared" si="853"/>
        <v>44.444444444444443</v>
      </c>
      <c r="Y449" s="53">
        <f>COUNTIFS('00 Encuesta'!$B$2:$B$511,"*c)*",'00 Encuesta'!$C$2:$C$511,"*d)*",'00 Encuesta'!$E$2:$E$511,"*b)*",'00 Encuesta'!$BD$2:$BD$511,"*h)*")</f>
        <v>17</v>
      </c>
      <c r="Z449" s="52">
        <f t="shared" si="854"/>
        <v>73.91304347826086</v>
      </c>
      <c r="AA449" s="3"/>
      <c r="AB449" s="62">
        <f t="shared" si="855"/>
        <v>96</v>
      </c>
      <c r="AC449" s="52">
        <f t="shared" si="856"/>
        <v>57.831325301204821</v>
      </c>
      <c r="AD449" s="3"/>
      <c r="AE449" s="3"/>
      <c r="AF449" s="9" t="str">
        <f t="shared" si="857"/>
        <v>h) Una amiga</v>
      </c>
      <c r="AG449" s="72">
        <f t="shared" si="858"/>
        <v>42.424242424242422</v>
      </c>
      <c r="AH449" s="72">
        <f t="shared" si="859"/>
        <v>84.375</v>
      </c>
      <c r="AI449" s="73">
        <f t="shared" si="860"/>
        <v>63.076923076923073</v>
      </c>
      <c r="AJ449" s="73"/>
      <c r="AK449" s="76">
        <f t="shared" si="861"/>
        <v>50</v>
      </c>
      <c r="AL449" s="76">
        <f t="shared" si="862"/>
        <v>52.173913043478258</v>
      </c>
      <c r="AM449" s="76">
        <f t="shared" si="863"/>
        <v>50.980392156862742</v>
      </c>
      <c r="AN449" s="76"/>
      <c r="AO449" s="81">
        <f t="shared" si="864"/>
        <v>44.444444444444443</v>
      </c>
      <c r="AP449" s="81">
        <f t="shared" si="865"/>
        <v>73.91304347826086</v>
      </c>
      <c r="AQ449" s="81">
        <f t="shared" si="866"/>
        <v>57.999999999999993</v>
      </c>
      <c r="AR449" s="3"/>
      <c r="AS449" s="76">
        <f t="shared" si="816"/>
        <v>57.831325301204821</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843"/>
        <v>5</v>
      </c>
      <c r="H450" s="52">
        <f t="shared" si="844"/>
        <v>7.6923076923076925</v>
      </c>
      <c r="I450" s="53">
        <f>COUNTIFS('00 Encuesta'!$B$2:$B$511,"*c)*",'00 Encuesta'!$C$2:$C$511,"*a)*",'00 Encuesta'!$E$2:$E$511,"*a)*",'00 Encuesta'!$BD$2:$BD$511,"*i)*")</f>
        <v>3</v>
      </c>
      <c r="J450" s="52">
        <f t="shared" si="845"/>
        <v>9.0909090909090917</v>
      </c>
      <c r="K450" s="53">
        <f>COUNTIFS('00 Encuesta'!$B$2:$B$511,"*c)*",'00 Encuesta'!$C$2:$C$511,"*a)*",'00 Encuesta'!$E$2:$E$511,"*b)*",'00 Encuesta'!$BD$2:$BD$511,"*i)*")</f>
        <v>2</v>
      </c>
      <c r="L450" s="52">
        <f t="shared" si="867"/>
        <v>6.25</v>
      </c>
      <c r="M450" s="23"/>
      <c r="N450" s="51">
        <f t="shared" si="868"/>
        <v>2</v>
      </c>
      <c r="O450" s="52">
        <f t="shared" si="869"/>
        <v>3.9215686274509802</v>
      </c>
      <c r="P450" s="53">
        <f>COUNTIFS('00 Encuesta'!$B$2:$B$511,"*c)*",'00 Encuesta'!$C$2:$C$511,"*b)*",'00 Encuesta'!$E$2:$E$511,"*a)*",'00 Encuesta'!$BD$2:$BD$511,"*i)*")</f>
        <v>2</v>
      </c>
      <c r="Q450" s="52">
        <f t="shared" si="849"/>
        <v>7.1428571428571423</v>
      </c>
      <c r="R450" s="53">
        <f>COUNTIFS('00 Encuesta'!$B$2:$B$511,"*c)*",'00 Encuesta'!$C$2:$C$511,"*b)*",'00 Encuesta'!$E$2:$E$511,"*b)*",'00 Encuesta'!$BD$2:$BD$511,"*i)*")</f>
        <v>0</v>
      </c>
      <c r="S450" s="52">
        <f t="shared" si="870"/>
        <v>0</v>
      </c>
      <c r="T450" s="3"/>
      <c r="U450" s="51">
        <f t="shared" si="871"/>
        <v>1</v>
      </c>
      <c r="V450" s="52">
        <f t="shared" si="872"/>
        <v>2</v>
      </c>
      <c r="W450" s="53">
        <f>COUNTIFS('00 Encuesta'!$B$2:$B$511,"*c)*",'00 Encuesta'!$C$2:$C$511,"*d)*",'00 Encuesta'!$E$2:$E$511,"*a)*",'00 Encuesta'!$BD$2:$BD$511,"*i)*")</f>
        <v>1</v>
      </c>
      <c r="X450" s="52">
        <f t="shared" si="853"/>
        <v>3.7037037037037033</v>
      </c>
      <c r="Y450" s="53">
        <f>COUNTIFS('00 Encuesta'!$B$2:$B$511,"*c)*",'00 Encuesta'!$C$2:$C$511,"*d)*",'00 Encuesta'!$E$2:$E$511,"*b)*",'00 Encuesta'!$BD$2:$BD$511,"*i)*")</f>
        <v>0</v>
      </c>
      <c r="Z450" s="52">
        <f t="shared" si="854"/>
        <v>0</v>
      </c>
      <c r="AA450" s="3"/>
      <c r="AB450" s="62">
        <f t="shared" si="855"/>
        <v>8</v>
      </c>
      <c r="AC450" s="52">
        <f t="shared" si="856"/>
        <v>4.8192771084337354</v>
      </c>
      <c r="AD450" s="3"/>
      <c r="AE450" s="3"/>
      <c r="AF450" s="9" t="str">
        <f t="shared" si="857"/>
        <v>i) Un, una catequista o responsable de grupo</v>
      </c>
      <c r="AG450" s="72">
        <f t="shared" si="858"/>
        <v>9.0909090909090917</v>
      </c>
      <c r="AH450" s="72">
        <f t="shared" si="859"/>
        <v>6.25</v>
      </c>
      <c r="AI450" s="73">
        <f t="shared" si="860"/>
        <v>7.6923076923076925</v>
      </c>
      <c r="AJ450" s="73"/>
      <c r="AK450" s="76">
        <f t="shared" si="861"/>
        <v>7.1428571428571423</v>
      </c>
      <c r="AL450" s="76">
        <f t="shared" si="862"/>
        <v>0</v>
      </c>
      <c r="AM450" s="76">
        <f t="shared" si="863"/>
        <v>3.9215686274509802</v>
      </c>
      <c r="AN450" s="76"/>
      <c r="AO450" s="81">
        <f t="shared" si="864"/>
        <v>3.7037037037037033</v>
      </c>
      <c r="AP450" s="81">
        <f t="shared" si="865"/>
        <v>0</v>
      </c>
      <c r="AQ450" s="81">
        <f t="shared" si="866"/>
        <v>2</v>
      </c>
      <c r="AR450" s="3"/>
      <c r="AS450" s="76">
        <f t="shared" si="816"/>
        <v>4.8192771084337354</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843"/>
        <v>1</v>
      </c>
      <c r="H451" s="52">
        <f t="shared" si="844"/>
        <v>1.5384615384615385</v>
      </c>
      <c r="I451" s="53">
        <f>COUNTIFS('00 Encuesta'!$B$2:$B$511,"*c)*",'00 Encuesta'!$C$2:$C$511,"*a)*",'00 Encuesta'!$E$2:$E$511,"*a)*",'00 Encuesta'!$BD$2:$BD$511,"*j)*")</f>
        <v>1</v>
      </c>
      <c r="J451" s="52">
        <f t="shared" si="845"/>
        <v>3.0303030303030303</v>
      </c>
      <c r="K451" s="53">
        <f>COUNTIFS('00 Encuesta'!$B$2:$B$511,"*c)*",'00 Encuesta'!$C$2:$C$511,"*a)*",'00 Encuesta'!$E$2:$E$511,"*b)*",'00 Encuesta'!$BD$2:$BD$511,"*j)*")</f>
        <v>0</v>
      </c>
      <c r="L451" s="52">
        <f t="shared" si="867"/>
        <v>0</v>
      </c>
      <c r="M451" s="23"/>
      <c r="N451" s="51">
        <f t="shared" si="868"/>
        <v>7</v>
      </c>
      <c r="O451" s="52">
        <f t="shared" si="869"/>
        <v>13.725490196078432</v>
      </c>
      <c r="P451" s="53">
        <f>COUNTIFS('00 Encuesta'!$B$2:$B$511,"*c)*",'00 Encuesta'!$C$2:$C$511,"*b)*",'00 Encuesta'!$E$2:$E$511,"*a)*",'00 Encuesta'!$BD$2:$BD$511,"*j)*")</f>
        <v>4</v>
      </c>
      <c r="Q451" s="52">
        <f t="shared" si="849"/>
        <v>14.285714285714285</v>
      </c>
      <c r="R451" s="53">
        <f>COUNTIFS('00 Encuesta'!$B$2:$B$511,"*c)*",'00 Encuesta'!$C$2:$C$511,"*b)*",'00 Encuesta'!$E$2:$E$511,"*b)*",'00 Encuesta'!$BD$2:$BD$511,"*j)*")</f>
        <v>3</v>
      </c>
      <c r="S451" s="52">
        <f t="shared" si="870"/>
        <v>13.043478260869565</v>
      </c>
      <c r="T451" s="3"/>
      <c r="U451" s="51">
        <f t="shared" si="871"/>
        <v>8</v>
      </c>
      <c r="V451" s="52">
        <f t="shared" si="872"/>
        <v>16</v>
      </c>
      <c r="W451" s="53">
        <f>COUNTIFS('00 Encuesta'!$B$2:$B$511,"*c)*",'00 Encuesta'!$C$2:$C$511,"*d)*",'00 Encuesta'!$E$2:$E$511,"*a)*",'00 Encuesta'!$BD$2:$BD$511,"*j)*")</f>
        <v>3</v>
      </c>
      <c r="X451" s="52">
        <f t="shared" si="853"/>
        <v>11.111111111111111</v>
      </c>
      <c r="Y451" s="53">
        <f>COUNTIFS('00 Encuesta'!$B$2:$B$511,"*c)*",'00 Encuesta'!$C$2:$C$511,"*d)*",'00 Encuesta'!$E$2:$E$511,"*b)*",'00 Encuesta'!$BD$2:$BD$511,"*j)*")</f>
        <v>5</v>
      </c>
      <c r="Z451" s="52">
        <f t="shared" si="854"/>
        <v>21.739130434782609</v>
      </c>
      <c r="AA451" s="3"/>
      <c r="AB451" s="62">
        <f t="shared" si="855"/>
        <v>16</v>
      </c>
      <c r="AC451" s="52">
        <f t="shared" si="856"/>
        <v>9.6385542168674707</v>
      </c>
      <c r="AD451" s="3"/>
      <c r="AE451" s="3"/>
      <c r="AF451" s="9" t="str">
        <f t="shared" si="857"/>
        <v>j) Nadie</v>
      </c>
      <c r="AG451" s="72">
        <f t="shared" si="858"/>
        <v>3.0303030303030303</v>
      </c>
      <c r="AH451" s="72">
        <f t="shared" si="859"/>
        <v>0</v>
      </c>
      <c r="AI451" s="73">
        <f t="shared" si="860"/>
        <v>1.5384615384615385</v>
      </c>
      <c r="AJ451" s="73"/>
      <c r="AK451" s="76">
        <f t="shared" si="861"/>
        <v>14.285714285714285</v>
      </c>
      <c r="AL451" s="76">
        <f t="shared" si="862"/>
        <v>13.043478260869565</v>
      </c>
      <c r="AM451" s="76">
        <f t="shared" si="863"/>
        <v>13.725490196078432</v>
      </c>
      <c r="AN451" s="76"/>
      <c r="AO451" s="81">
        <f t="shared" si="864"/>
        <v>11.111111111111111</v>
      </c>
      <c r="AP451" s="81">
        <f t="shared" si="865"/>
        <v>21.739130434782609</v>
      </c>
      <c r="AQ451" s="81">
        <f t="shared" si="866"/>
        <v>16</v>
      </c>
      <c r="AR451" s="3"/>
      <c r="AS451" s="76">
        <f t="shared" si="816"/>
        <v>9.6385542168674707</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843"/>
        <v>3</v>
      </c>
      <c r="H452" s="52">
        <f t="shared" si="844"/>
        <v>4.6153846153846159</v>
      </c>
      <c r="I452" s="53">
        <f>COUNTIFS('00 Encuesta'!$B$2:$B$511,"*c)*",'00 Encuesta'!$C$2:$C$511,"*a)*",'00 Encuesta'!$E$2:$E$511,"*a)*",'00 Encuesta'!$BD$2:$BD$511,"*k)*")</f>
        <v>2</v>
      </c>
      <c r="J452" s="52">
        <f t="shared" si="845"/>
        <v>6.0606060606060606</v>
      </c>
      <c r="K452" s="53">
        <f>COUNTIFS('00 Encuesta'!$B$2:$B$511,"*c)*",'00 Encuesta'!$C$2:$C$511,"*a)*",'00 Encuesta'!$E$2:$E$511,"*b)*",'00 Encuesta'!$BD$2:$BD$511,"*k)*")</f>
        <v>1</v>
      </c>
      <c r="L452" s="52">
        <f t="shared" si="867"/>
        <v>3.125</v>
      </c>
      <c r="M452" s="23"/>
      <c r="N452" s="51">
        <f t="shared" si="868"/>
        <v>2</v>
      </c>
      <c r="O452" s="52">
        <f t="shared" si="869"/>
        <v>3.9215686274509802</v>
      </c>
      <c r="P452" s="53">
        <f>COUNTIFS('00 Encuesta'!$B$2:$B$511,"*c)*",'00 Encuesta'!$C$2:$C$511,"*b)*",'00 Encuesta'!$E$2:$E$511,"*a)*",'00 Encuesta'!$BD$2:$BD$511,"*k)*")</f>
        <v>2</v>
      </c>
      <c r="Q452" s="52">
        <f t="shared" si="849"/>
        <v>7.1428571428571423</v>
      </c>
      <c r="R452" s="53">
        <f>COUNTIFS('00 Encuesta'!$B$2:$B$511,"*c)*",'00 Encuesta'!$C$2:$C$511,"*b)*",'00 Encuesta'!$E$2:$E$511,"*b)*",'00 Encuesta'!$BD$2:$BD$511,"*k)*")</f>
        <v>0</v>
      </c>
      <c r="S452" s="52">
        <f t="shared" si="870"/>
        <v>0</v>
      </c>
      <c r="T452" s="3"/>
      <c r="U452" s="51">
        <f t="shared" si="871"/>
        <v>0</v>
      </c>
      <c r="V452" s="52">
        <f t="shared" si="872"/>
        <v>0</v>
      </c>
      <c r="W452" s="53">
        <f>COUNTIFS('00 Encuesta'!$B$2:$B$511,"*c)*",'00 Encuesta'!$C$2:$C$511,"*d)*",'00 Encuesta'!$E$2:$E$511,"*a)*",'00 Encuesta'!$BD$2:$BD$511,"*k)*")</f>
        <v>0</v>
      </c>
      <c r="X452" s="52">
        <f t="shared" si="853"/>
        <v>0</v>
      </c>
      <c r="Y452" s="53">
        <f>COUNTIFS('00 Encuesta'!$B$2:$B$511,"*c)*",'00 Encuesta'!$C$2:$C$511,"*d)*",'00 Encuesta'!$E$2:$E$511,"*b)*",'00 Encuesta'!$BD$2:$BD$511,"*k)*")</f>
        <v>0</v>
      </c>
      <c r="Z452" s="52">
        <f t="shared" si="854"/>
        <v>0</v>
      </c>
      <c r="AA452" s="3"/>
      <c r="AB452" s="62">
        <f t="shared" si="855"/>
        <v>5</v>
      </c>
      <c r="AC452" s="52">
        <f t="shared" si="856"/>
        <v>3.0120481927710845</v>
      </c>
      <c r="AD452" s="3"/>
      <c r="AE452" s="3"/>
      <c r="AF452" s="9" t="str">
        <f t="shared" si="857"/>
        <v>k) No tengo problemas personales</v>
      </c>
      <c r="AG452" s="72">
        <f t="shared" si="858"/>
        <v>6.0606060606060606</v>
      </c>
      <c r="AH452" s="72">
        <f t="shared" si="859"/>
        <v>3.125</v>
      </c>
      <c r="AI452" s="73">
        <f t="shared" si="860"/>
        <v>4.6153846153846159</v>
      </c>
      <c r="AJ452" s="73"/>
      <c r="AK452" s="76">
        <f t="shared" si="861"/>
        <v>7.1428571428571423</v>
      </c>
      <c r="AL452" s="76">
        <f t="shared" si="862"/>
        <v>0</v>
      </c>
      <c r="AM452" s="76">
        <f t="shared" si="863"/>
        <v>3.9215686274509802</v>
      </c>
      <c r="AN452" s="76"/>
      <c r="AO452" s="81">
        <f t="shared" si="864"/>
        <v>0</v>
      </c>
      <c r="AP452" s="81">
        <f t="shared" si="865"/>
        <v>0</v>
      </c>
      <c r="AQ452" s="81">
        <f t="shared" si="866"/>
        <v>0</v>
      </c>
      <c r="AR452" s="3"/>
      <c r="AS452" s="76">
        <f t="shared" si="816"/>
        <v>3.0120481927710845</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topLeftCell="A417" zoomScale="90" zoomScaleNormal="90" workbookViewId="0">
      <selection activeCell="A420"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40</v>
      </c>
      <c r="K5" s="14" t="s">
        <v>7</v>
      </c>
      <c r="L5" s="15"/>
      <c r="M5" s="6"/>
      <c r="N5" s="93" t="s">
        <v>502</v>
      </c>
      <c r="O5" s="14"/>
      <c r="P5" s="13"/>
      <c r="Q5" s="13">
        <f>SUM(Q6:Q7)</f>
        <v>38</v>
      </c>
      <c r="R5" s="14" t="s">
        <v>7</v>
      </c>
      <c r="S5" s="15"/>
      <c r="T5" s="6"/>
      <c r="U5" s="93" t="s">
        <v>610</v>
      </c>
      <c r="V5" s="14"/>
      <c r="W5" s="13"/>
      <c r="X5" s="13">
        <f>SUM(X6:X7)</f>
        <v>0</v>
      </c>
      <c r="Y5" s="16" t="s">
        <v>7</v>
      </c>
      <c r="Z5" s="17"/>
      <c r="AA5" s="3"/>
      <c r="AB5" s="18" t="s">
        <v>8</v>
      </c>
      <c r="AC5" s="19">
        <f>J5+Q5+X5</f>
        <v>78</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Encuesta'!$B$2:$B$511,"*a)*",'00 Encuesta'!$C$2:$C$511,"*a)*",'00 Encuesta'!$E$2:$E$511,"*a)*")</f>
        <v>22</v>
      </c>
      <c r="K6" s="25" t="s">
        <v>523</v>
      </c>
      <c r="L6" s="26"/>
      <c r="M6" s="6"/>
      <c r="N6" s="27"/>
      <c r="O6" s="24"/>
      <c r="P6" s="24"/>
      <c r="Q6" s="23">
        <f>COUNTIFS('00 Encuesta'!$B$2:$B$511,"*a)*",'00 Encuesta'!$C$2:$C$511,"*b)*",'00 Encuesta'!$E$2:$E$511,"*a)*")</f>
        <v>13</v>
      </c>
      <c r="R6" s="25" t="s">
        <v>523</v>
      </c>
      <c r="S6" s="26"/>
      <c r="T6" s="6"/>
      <c r="U6" s="27"/>
      <c r="V6" s="24"/>
      <c r="W6" s="24"/>
      <c r="X6" s="23">
        <f>COUNTIFS('00 Encuesta'!$B$2:$B$511,"*a)*",'00 Encuesta'!$C$2:$C$511,"*c)*",'00 Encuesta'!$E$2:$E$511,"*a)*")</f>
        <v>0</v>
      </c>
      <c r="Y6" s="28" t="s">
        <v>523</v>
      </c>
      <c r="Z6" s="29"/>
      <c r="AA6" s="3"/>
      <c r="AB6" s="24"/>
      <c r="AC6" s="19">
        <f>J6+Q6+X6</f>
        <v>35</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Encuesta'!$B$2:$B$511,"*a)*",'00 Encuesta'!$C$2:$C$511,"*a)*",'00 Encuesta'!$E$2:$E$511,"*b)*")</f>
        <v>18</v>
      </c>
      <c r="K7" s="36" t="s">
        <v>524</v>
      </c>
      <c r="L7" s="37"/>
      <c r="M7" s="6"/>
      <c r="N7" s="38"/>
      <c r="O7" s="35"/>
      <c r="P7" s="35"/>
      <c r="Q7" s="34">
        <f>COUNTIFS('00 Encuesta'!$B$2:$B$511,"*a)*",'00 Encuesta'!$C$2:$C$511,"*b)*",'00 Encuesta'!$E$2:$E$511,"*b)*")</f>
        <v>25</v>
      </c>
      <c r="R7" s="36" t="s">
        <v>524</v>
      </c>
      <c r="S7" s="37"/>
      <c r="T7" s="6"/>
      <c r="U7" s="38"/>
      <c r="V7" s="35"/>
      <c r="W7" s="35"/>
      <c r="X7" s="34">
        <f>COUNTIFS('00 Encuesta'!$B$2:$B$511,"*a)*",'00 Encuesta'!$C$2:$C$511,"*c)*",'00 Encuesta'!$E$2:$E$511,"*b)*")</f>
        <v>0</v>
      </c>
      <c r="Y7" s="39" t="s">
        <v>524</v>
      </c>
      <c r="Z7" s="40"/>
      <c r="AA7" s="3"/>
      <c r="AB7" s="24"/>
      <c r="AC7" s="19">
        <f>J7+Q7+X7</f>
        <v>43</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611</v>
      </c>
      <c r="X9" s="48"/>
      <c r="Y9" s="46"/>
      <c r="Z9" s="47"/>
      <c r="AA9" s="3"/>
      <c r="AB9" s="49" t="s">
        <v>612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613</v>
      </c>
      <c r="AP12" s="67" t="s">
        <v>614</v>
      </c>
      <c r="AQ12" s="67" t="s">
        <v>610</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19</v>
      </c>
      <c r="H15" s="52">
        <f>G15/$J$5*100</f>
        <v>47.5</v>
      </c>
      <c r="I15" s="53">
        <f>COUNTIFS('00 Encuesta'!$B$2:$B$511,"*a)*",'00 Encuesta'!$C$2:$C$511,"*a)*",'00 Encuesta'!$E$2:$E$511,"*a)*",'00 Encuesta'!$D$2:$D$511,"*a)*")</f>
        <v>7</v>
      </c>
      <c r="J15" s="52">
        <f>I15/$J$6*100</f>
        <v>31.818181818181817</v>
      </c>
      <c r="K15" s="53">
        <f>COUNTIFS('00 Encuesta'!$B$2:$B$511,"*a)*",'00 Encuesta'!$C$2:$C$511,"*a)*",'00 Encuesta'!$E$2:$E$511,"*b)*",'00 Encuesta'!$D$2:$D$511,"*a)*")</f>
        <v>12</v>
      </c>
      <c r="L15" s="52">
        <f>K15/$J$7*100</f>
        <v>66.666666666666657</v>
      </c>
      <c r="M15" s="23"/>
      <c r="N15" s="51">
        <f>P15+R15</f>
        <v>31</v>
      </c>
      <c r="O15" s="52">
        <f>N15/$Q$5*100</f>
        <v>81.578947368421055</v>
      </c>
      <c r="P15" s="53">
        <f>COUNTIFS('00 Encuesta'!$B$2:$B$511,"*a)*",'00 Encuesta'!$C$2:$C$511,"*b)*",'00 Encuesta'!$E$2:$E$511,"*a)*",'00 Encuesta'!$D$2:$D$511,"*a)*")</f>
        <v>10</v>
      </c>
      <c r="Q15" s="52">
        <f>P15/$Q$6*100</f>
        <v>76.923076923076934</v>
      </c>
      <c r="R15" s="53">
        <f>COUNTIFS('00 Encuesta'!$B$2:$B$511,"*a)*",'00 Encuesta'!$C$2:$C$511,"*b)*",'00 Encuesta'!$E$2:$E$511,"*b)*",'00 Encuesta'!$D$2:$D$511,"*a)*")</f>
        <v>21</v>
      </c>
      <c r="S15" s="52">
        <f>R15/$Q$7*100</f>
        <v>84</v>
      </c>
      <c r="T15" s="3"/>
      <c r="U15" s="51">
        <f>W15+Y15</f>
        <v>0</v>
      </c>
      <c r="V15" s="52" t="e">
        <f>U15/$X$5*100</f>
        <v>#DIV/0!</v>
      </c>
      <c r="W15" s="53">
        <f>COUNTIFS('00 Encuesta'!$B$2:$B$511,"*a)*",'00 Encuesta'!$C$2:$C$511,"*c)*",'00 Encuesta'!$E$2:$E$511,"*a)*",'00 Encuesta'!$D$2:$D$511,"*a)*")</f>
        <v>0</v>
      </c>
      <c r="X15" s="52" t="e">
        <f>W15/$X$6*100</f>
        <v>#DIV/0!</v>
      </c>
      <c r="Y15" s="53">
        <f>COUNTIFS('00 Encuesta'!$B$2:$B$511,"*a)*",'00 Encuesta'!$C$2:$C$511,"*c)*",'00 Encuesta'!$E$2:$E$511,"*b)*",'00 Encuesta'!$D$2:$D$511,"*a)*")</f>
        <v>0</v>
      </c>
      <c r="Z15" s="52" t="e">
        <f>Y15/$X$7*100</f>
        <v>#DIV/0!</v>
      </c>
      <c r="AA15" s="3"/>
      <c r="AB15" s="62">
        <f>G15+N15+U15</f>
        <v>50</v>
      </c>
      <c r="AC15" s="52">
        <f>AB15*100/$AC$5</f>
        <v>64.102564102564102</v>
      </c>
      <c r="AD15" s="7"/>
      <c r="AE15" s="7"/>
      <c r="AF15" s="9" t="str">
        <f t="shared" si="0"/>
        <v>a) Educación Inicial</v>
      </c>
      <c r="AG15" s="72">
        <f>J15</f>
        <v>31.818181818181817</v>
      </c>
      <c r="AH15" s="72">
        <f>L15</f>
        <v>66.666666666666657</v>
      </c>
      <c r="AI15" s="73">
        <f>H15</f>
        <v>47.5</v>
      </c>
      <c r="AJ15" s="73"/>
      <c r="AK15" s="74">
        <f>Q15</f>
        <v>76.923076923076934</v>
      </c>
      <c r="AL15" s="74">
        <f>S15</f>
        <v>84</v>
      </c>
      <c r="AM15" s="74">
        <f>O15</f>
        <v>81.578947368421055</v>
      </c>
      <c r="AN15" s="74"/>
      <c r="AO15" s="75" t="e">
        <f>X15</f>
        <v>#DIV/0!</v>
      </c>
      <c r="AP15" s="75" t="e">
        <f>Z15</f>
        <v>#DIV/0!</v>
      </c>
      <c r="AQ15" s="75" t="e">
        <f>V15</f>
        <v>#DIV/0!</v>
      </c>
      <c r="AR15" s="76"/>
      <c r="AS15" s="76">
        <f>AC15</f>
        <v>64.102564102564102</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16</v>
      </c>
      <c r="H16" s="52">
        <f>G16/$J$5*100</f>
        <v>40</v>
      </c>
      <c r="I16" s="53">
        <f>COUNTIFS('00 Encuesta'!$B$2:$B$511,"*a)*",'00 Encuesta'!$C$2:$C$511,"*a)*",'00 Encuesta'!$E$2:$E$511,"*a)*",'00 Encuesta'!$D$2:$D$511,"*b)*")</f>
        <v>13</v>
      </c>
      <c r="J16" s="52">
        <f>I16/$J$6*100</f>
        <v>59.090909090909093</v>
      </c>
      <c r="K16" s="53">
        <f>COUNTIFS('00 Encuesta'!$B$2:$B$511,"*a)*",'00 Encuesta'!$C$2:$C$511,"*a)*",'00 Encuesta'!$E$2:$E$511,"*b)*",'00 Encuesta'!$D$2:$D$511,"*b)*")</f>
        <v>3</v>
      </c>
      <c r="L16" s="52">
        <f>K16/$J$7*100</f>
        <v>16.666666666666664</v>
      </c>
      <c r="M16" s="23"/>
      <c r="N16" s="51">
        <f>P16+R16</f>
        <v>4</v>
      </c>
      <c r="O16" s="52">
        <f>N16/$Q$5*100</f>
        <v>10.526315789473683</v>
      </c>
      <c r="P16" s="53">
        <f>COUNTIFS('00 Encuesta'!$B$2:$B$511,"*a)*",'00 Encuesta'!$C$2:$C$511,"*b)*",'00 Encuesta'!$E$2:$E$511,"*a)*",'00 Encuesta'!$D$2:$D$511,"*b)*")</f>
        <v>1</v>
      </c>
      <c r="Q16" s="52">
        <f>P16/$Q$6*100</f>
        <v>7.6923076923076925</v>
      </c>
      <c r="R16" s="53">
        <f>COUNTIFS('00 Encuesta'!$B$2:$B$511,"*a)*",'00 Encuesta'!$C$2:$C$511,"*b)*",'00 Encuesta'!$E$2:$E$511,"*b)*",'00 Encuesta'!$D$2:$D$511,"*b)*")</f>
        <v>3</v>
      </c>
      <c r="S16" s="52">
        <f>R16/$Q$7*100</f>
        <v>12</v>
      </c>
      <c r="T16" s="3"/>
      <c r="U16" s="51">
        <f>W16+Y16</f>
        <v>0</v>
      </c>
      <c r="V16" s="52" t="e">
        <f>U16/$X$5*100</f>
        <v>#DIV/0!</v>
      </c>
      <c r="W16" s="53">
        <f>COUNTIFS('00 Encuesta'!$B$2:$B$511,"*a)*",'00 Encuesta'!$C$2:$C$511,"*c)*",'00 Encuesta'!$E$2:$E$511,"*a)*",'00 Encuesta'!$D$2:$D$511,"*b)*")</f>
        <v>0</v>
      </c>
      <c r="X16" s="52" t="e">
        <f>W16/$X$6*100</f>
        <v>#DIV/0!</v>
      </c>
      <c r="Y16" s="53">
        <f>COUNTIFS('00 Encuesta'!$B$2:$B$511,"*a)*",'00 Encuesta'!$C$2:$C$511,"*c)*",'00 Encuesta'!$E$2:$E$511,"*b)*",'00 Encuesta'!$D$2:$D$511,"*b)*")</f>
        <v>0</v>
      </c>
      <c r="Z16" s="52" t="e">
        <f>Y16/$X$7*100</f>
        <v>#DIV/0!</v>
      </c>
      <c r="AA16" s="3"/>
      <c r="AB16" s="62">
        <f>G16+N16+U16</f>
        <v>20</v>
      </c>
      <c r="AC16" s="52">
        <f>AB16*100/$AC$5</f>
        <v>25.641025641025642</v>
      </c>
      <c r="AD16" s="7"/>
      <c r="AE16" s="7"/>
      <c r="AF16" s="9" t="str">
        <f t="shared" si="0"/>
        <v>b) Primaria</v>
      </c>
      <c r="AG16" s="72">
        <f>J16</f>
        <v>59.090909090909093</v>
      </c>
      <c r="AH16" s="72">
        <f>L16</f>
        <v>16.666666666666664</v>
      </c>
      <c r="AI16" s="73">
        <f>H16</f>
        <v>40</v>
      </c>
      <c r="AJ16" s="73"/>
      <c r="AK16" s="74">
        <f>Q16</f>
        <v>7.6923076923076925</v>
      </c>
      <c r="AL16" s="74">
        <f>S16</f>
        <v>12</v>
      </c>
      <c r="AM16" s="74">
        <f>O16</f>
        <v>10.526315789473683</v>
      </c>
      <c r="AN16" s="74"/>
      <c r="AO16" s="75" t="e">
        <f>X16</f>
        <v>#DIV/0!</v>
      </c>
      <c r="AP16" s="75" t="e">
        <f>Z16</f>
        <v>#DIV/0!</v>
      </c>
      <c r="AQ16" s="75" t="e">
        <f>V16</f>
        <v>#DIV/0!</v>
      </c>
      <c r="AR16" s="76"/>
      <c r="AS16" s="76">
        <f t="shared" ref="AS16:AS79" si="1">AC16</f>
        <v>25.641025641025642</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5</v>
      </c>
      <c r="H17" s="52">
        <f>G17/$J$5*100</f>
        <v>12.5</v>
      </c>
      <c r="I17" s="53">
        <f>COUNTIFS('00 Encuesta'!$B$2:$B$511,"*a)*",'00 Encuesta'!$C$2:$C$511,"*a)*",'00 Encuesta'!$E$2:$E$511,"*a)*",'00 Encuesta'!$D$2:$D$511,"*c)*")</f>
        <v>2</v>
      </c>
      <c r="J17" s="52">
        <f>I17/$J$6*100</f>
        <v>9.0909090909090917</v>
      </c>
      <c r="K17" s="53">
        <f>COUNTIFS('00 Encuesta'!$B$2:$B$511,"*a)*",'00 Encuesta'!$C$2:$C$511,"*a)*",'00 Encuesta'!$E$2:$E$511,"*b)*",'00 Encuesta'!$D$2:$D$511,"*c)*")</f>
        <v>3</v>
      </c>
      <c r="L17" s="52">
        <f>K17/$J$7*100</f>
        <v>16.666666666666664</v>
      </c>
      <c r="M17" s="23"/>
      <c r="N17" s="51">
        <f>P17+R17</f>
        <v>3</v>
      </c>
      <c r="O17" s="52">
        <f>N17/$Q$5*100</f>
        <v>7.8947368421052628</v>
      </c>
      <c r="P17" s="53">
        <f>COUNTIFS('00 Encuesta'!$B$2:$B$511,"*a)*",'00 Encuesta'!$C$2:$C$511,"*b)*",'00 Encuesta'!$E$2:$E$511,"*a)*",'00 Encuesta'!$D$2:$D$511,"*c)*")</f>
        <v>2</v>
      </c>
      <c r="Q17" s="52">
        <f>P17/$Q$6*100</f>
        <v>15.384615384615385</v>
      </c>
      <c r="R17" s="53">
        <f>COUNTIFS('00 Encuesta'!$B$2:$B$511,"*a)*",'00 Encuesta'!$C$2:$C$511,"*b)*",'00 Encuesta'!$E$2:$E$511,"*b)*",'00 Encuesta'!$D$2:$D$511,"*c)*")</f>
        <v>1</v>
      </c>
      <c r="S17" s="52">
        <f>R17/$Q$7*100</f>
        <v>4</v>
      </c>
      <c r="T17" s="3"/>
      <c r="U17" s="51">
        <f>W17+Y17</f>
        <v>0</v>
      </c>
      <c r="V17" s="52" t="e">
        <f>U17/$X$5*100</f>
        <v>#DIV/0!</v>
      </c>
      <c r="W17" s="53">
        <f>COUNTIFS('00 Encuesta'!$B$2:$B$511,"*a)*",'00 Encuesta'!$C$2:$C$511,"*c)*",'00 Encuesta'!$E$2:$E$511,"*a)*",'00 Encuesta'!$D$2:$D$511,"*c)*")</f>
        <v>0</v>
      </c>
      <c r="X17" s="52" t="e">
        <f>W17/$X$6*100</f>
        <v>#DIV/0!</v>
      </c>
      <c r="Y17" s="53">
        <f>COUNTIFS('00 Encuesta'!$B$2:$B$511,"*a)*",'00 Encuesta'!$C$2:$C$511,"*c)*",'00 Encuesta'!$E$2:$E$511,"*b)*",'00 Encuesta'!$D$2:$D$511,"*c)*")</f>
        <v>0</v>
      </c>
      <c r="Z17" s="52" t="e">
        <f>Y17/$X$7*100</f>
        <v>#DIV/0!</v>
      </c>
      <c r="AA17" s="3"/>
      <c r="AB17" s="62">
        <f>G17+N17+U17</f>
        <v>8</v>
      </c>
      <c r="AC17" s="52">
        <f>AB17*100/$AC$5</f>
        <v>10.256410256410257</v>
      </c>
      <c r="AD17" s="7"/>
      <c r="AE17" s="7"/>
      <c r="AF17" s="9" t="str">
        <f t="shared" si="0"/>
        <v>c) Entre Primero y Tercer año</v>
      </c>
      <c r="AG17" s="72">
        <f>J17</f>
        <v>9.0909090909090917</v>
      </c>
      <c r="AH17" s="72">
        <f>L17</f>
        <v>16.666666666666664</v>
      </c>
      <c r="AI17" s="73">
        <f>H17</f>
        <v>12.5</v>
      </c>
      <c r="AJ17" s="73"/>
      <c r="AK17" s="74">
        <f>Q17</f>
        <v>15.384615384615385</v>
      </c>
      <c r="AL17" s="74">
        <f>S17</f>
        <v>4</v>
      </c>
      <c r="AM17" s="74">
        <f>O17</f>
        <v>7.8947368421052628</v>
      </c>
      <c r="AN17" s="74"/>
      <c r="AO17" s="75" t="e">
        <f>X17</f>
        <v>#DIV/0!</v>
      </c>
      <c r="AP17" s="75" t="e">
        <f>Z17</f>
        <v>#DIV/0!</v>
      </c>
      <c r="AQ17" s="75" t="e">
        <f>V17</f>
        <v>#DIV/0!</v>
      </c>
      <c r="AR17" s="76"/>
      <c r="AS17" s="76">
        <f t="shared" si="1"/>
        <v>10.256410256410257</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f>G18/$J$5*100</f>
        <v>0</v>
      </c>
      <c r="I18" s="53">
        <f>COUNTIFS('00 Encuesta'!$B$2:$B$511,"*a)*",'00 Encuesta'!$C$2:$C$511,"*a)*",'00 Encuesta'!$E$2:$E$511,"*a)*",'00 Encuesta'!$D$2:$D$511,"*d)*")</f>
        <v>0</v>
      </c>
      <c r="J18" s="52">
        <f>I18/$J$6*100</f>
        <v>0</v>
      </c>
      <c r="K18" s="53">
        <f>COUNTIFS('00 Encuesta'!$B$2:$B$511,"*a)*",'00 Encuesta'!$C$2:$C$511,"*a)*",'00 Encuesta'!$E$2:$E$511,"*b)*",'00 Encuesta'!$D$2:$D$511,"*d)*")</f>
        <v>0</v>
      </c>
      <c r="L18" s="52">
        <f>K18/$J$7*100</f>
        <v>0</v>
      </c>
      <c r="M18" s="23"/>
      <c r="N18" s="51">
        <f>P18+R18</f>
        <v>0</v>
      </c>
      <c r="O18" s="52">
        <f>N18/$Q$5*100</f>
        <v>0</v>
      </c>
      <c r="P18" s="53">
        <f>COUNTIFS('00 Encuesta'!$B$2:$B$511,"*a)*",'00 Encuesta'!$C$2:$C$511,"*b)*",'00 Encuesta'!$E$2:$E$511,"*a)*",'00 Encuesta'!$D$2:$D$511,"*d)*")</f>
        <v>0</v>
      </c>
      <c r="Q18" s="52">
        <f>P18/$Q$6*100</f>
        <v>0</v>
      </c>
      <c r="R18" s="53">
        <f>COUNTIFS('00 Encuesta'!$B$2:$B$511,"*a)*",'00 Encuesta'!$C$2:$C$511,"*b)*",'00 Encuesta'!$E$2:$E$511,"*b)*",'00 Encuesta'!$D$2:$D$511,"*d)*")</f>
        <v>0</v>
      </c>
      <c r="S18" s="52">
        <f>R18/$Q$7*100</f>
        <v>0</v>
      </c>
      <c r="T18" s="3"/>
      <c r="U18" s="51">
        <f>W18+Y18</f>
        <v>0</v>
      </c>
      <c r="V18" s="52" t="e">
        <f>U18/$X$5*100</f>
        <v>#DIV/0!</v>
      </c>
      <c r="W18" s="53">
        <f>COUNTIFS('00 Encuesta'!$B$2:$B$511,"*a)*",'00 Encuesta'!$C$2:$C$511,"*c)*",'00 Encuesta'!$E$2:$E$511,"*a)*",'00 Encuesta'!$D$2:$D$511,"*d)*")</f>
        <v>0</v>
      </c>
      <c r="X18" s="52" t="e">
        <f>W18/$X$6*100</f>
        <v>#DIV/0!</v>
      </c>
      <c r="Y18" s="53">
        <f>COUNTIFS('00 Encuesta'!$B$2:$B$511,"*a)*",'00 Encuesta'!$C$2:$C$511,"*c)*",'00 Encuesta'!$E$2:$E$511,"*b)*",'00 Encuesta'!$D$2:$D$511,"*d)*")</f>
        <v>0</v>
      </c>
      <c r="Z18" s="52" t="e">
        <f>Y18/$X$7*100</f>
        <v>#DIV/0!</v>
      </c>
      <c r="AA18" s="3"/>
      <c r="AB18" s="62">
        <f>G18+N18+U18</f>
        <v>0</v>
      </c>
      <c r="AC18" s="52">
        <f>AB18*100/$AC$5</f>
        <v>0</v>
      </c>
      <c r="AD18" s="7"/>
      <c r="AE18" s="7"/>
      <c r="AF18" s="9" t="str">
        <f t="shared" si="0"/>
        <v>d) En  Cuarto año o posterior</v>
      </c>
      <c r="AG18" s="72">
        <f>J18</f>
        <v>0</v>
      </c>
      <c r="AH18" s="72">
        <f>L18</f>
        <v>0</v>
      </c>
      <c r="AI18" s="73">
        <f>H18</f>
        <v>0</v>
      </c>
      <c r="AJ18" s="73"/>
      <c r="AK18" s="74">
        <f>Q18</f>
        <v>0</v>
      </c>
      <c r="AL18" s="74">
        <f>S18</f>
        <v>0</v>
      </c>
      <c r="AM18" s="74">
        <f>O18</f>
        <v>0</v>
      </c>
      <c r="AN18" s="74"/>
      <c r="AO18" s="75" t="e">
        <f>X18</f>
        <v>#DIV/0!</v>
      </c>
      <c r="AP18" s="75" t="e">
        <f>Z18</f>
        <v>#DIV/0!</v>
      </c>
      <c r="AQ18" s="75" t="e">
        <f>V18</f>
        <v>#DIV/0!</v>
      </c>
      <c r="AR18" s="76"/>
      <c r="AS18" s="76">
        <f t="shared" si="1"/>
        <v>0</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f>N19/$Q$5*100</f>
        <v>0</v>
      </c>
      <c r="P19" s="53"/>
      <c r="Q19" s="52">
        <f>P19/$Q$6*100</f>
        <v>0</v>
      </c>
      <c r="R19" s="53"/>
      <c r="S19" s="52">
        <f>R19/$Q$7*100</f>
        <v>0</v>
      </c>
      <c r="T19" s="3"/>
      <c r="U19" s="51">
        <f>W19+Y19</f>
        <v>0</v>
      </c>
      <c r="V19" s="52" t="e">
        <f>U19/$X$5*100</f>
        <v>#DIV/0!</v>
      </c>
      <c r="W19" s="53"/>
      <c r="X19" s="52" t="e">
        <f>W19/$X$6*100</f>
        <v>#DIV/0!</v>
      </c>
      <c r="Y19" s="53"/>
      <c r="Z19" s="52" t="e">
        <f>Y19/$X$7*100</f>
        <v>#DIV/0!</v>
      </c>
      <c r="AA19" s="3"/>
      <c r="AB19" s="62">
        <f>G19+N19+U19</f>
        <v>0</v>
      </c>
      <c r="AC19" s="52">
        <f>AB19*100/$AC$5</f>
        <v>0</v>
      </c>
      <c r="AD19" s="7"/>
      <c r="AE19" s="7"/>
      <c r="AF19" s="9" t="str">
        <f t="shared" si="0"/>
        <v>S/R Sin Respuesta</v>
      </c>
      <c r="AG19" s="72">
        <f>J19</f>
        <v>0</v>
      </c>
      <c r="AH19" s="72">
        <f>L19</f>
        <v>0</v>
      </c>
      <c r="AI19" s="73">
        <f>H19</f>
        <v>0</v>
      </c>
      <c r="AJ19" s="73"/>
      <c r="AK19" s="74">
        <f>Q19</f>
        <v>0</v>
      </c>
      <c r="AL19" s="74">
        <f>S19</f>
        <v>0</v>
      </c>
      <c r="AM19" s="74">
        <f>O19</f>
        <v>0</v>
      </c>
      <c r="AN19" s="74"/>
      <c r="AO19" s="75" t="e">
        <f>X19</f>
        <v>#DIV/0!</v>
      </c>
      <c r="AP19" s="75" t="e">
        <f>Z19</f>
        <v>#DIV/0!</v>
      </c>
      <c r="AQ19" s="75" t="e">
        <f>V19</f>
        <v>#DIV/0!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31</v>
      </c>
      <c r="H23" s="52">
        <f>G23/$J$5*100</f>
        <v>77.5</v>
      </c>
      <c r="I23" s="53">
        <f>COUNTIFS('00 Encuesta'!$B$2:$B$511,"*a)*",'00 Encuesta'!$C$2:$C$511,"*a)*",'00 Encuesta'!$E$2:$E$511,"*a)*",'00 Encuesta'!$F$2:$F$511,"*a)*")</f>
        <v>19</v>
      </c>
      <c r="J23" s="52">
        <f>I23/$J$6*100</f>
        <v>86.36363636363636</v>
      </c>
      <c r="K23" s="53">
        <f>COUNTIFS('00 Encuesta'!$B$2:$B$511,"*a)*",'00 Encuesta'!$C$2:$C$511,"*a)*",'00 Encuesta'!$E$2:$E$511,"*b)*",'00 Encuesta'!$F$2:$F$511,"*a)*")</f>
        <v>12</v>
      </c>
      <c r="L23" s="52">
        <f>K23/$J$7*100</f>
        <v>66.666666666666657</v>
      </c>
      <c r="M23" s="23"/>
      <c r="N23" s="51">
        <f>P23+R23</f>
        <v>28</v>
      </c>
      <c r="O23" s="52">
        <f>N23/$Q$5*100</f>
        <v>73.68421052631578</v>
      </c>
      <c r="P23" s="53">
        <f>COUNTIFS('00 Encuesta'!$B$2:$B$511,"*a)*",'00 Encuesta'!$C$2:$C$511,"*b)*",'00 Encuesta'!$E$2:$E$511,"*a)*",'00 Encuesta'!$F$2:$F$511,"*a)*")</f>
        <v>9</v>
      </c>
      <c r="Q23" s="52">
        <f>P23/$Q$6*100</f>
        <v>69.230769230769226</v>
      </c>
      <c r="R23" s="53">
        <f>COUNTIFS('00 Encuesta'!$B$2:$B$511,"*a)*",'00 Encuesta'!$C$2:$C$511,"*b)*",'00 Encuesta'!$E$2:$E$511,"*b)*",'00 Encuesta'!$F$2:$F$511,"*a)*")</f>
        <v>19</v>
      </c>
      <c r="S23" s="52">
        <f>R23/$Q$7*100</f>
        <v>76</v>
      </c>
      <c r="T23" s="3"/>
      <c r="U23" s="51">
        <f>W23+Y23</f>
        <v>0</v>
      </c>
      <c r="V23" s="52" t="e">
        <f>U23/$X$5*100</f>
        <v>#DIV/0!</v>
      </c>
      <c r="W23" s="53">
        <f>COUNTIFS('00 Encuesta'!$B$2:$B$511,"*a)*",'00 Encuesta'!$C$2:$C$511,"*c)*",'00 Encuesta'!$E$2:$E$511,"*a)*",'00 Encuesta'!$F$2:$F$511,"*a)*")</f>
        <v>0</v>
      </c>
      <c r="X23" s="52" t="e">
        <f>W23/$X$6*100</f>
        <v>#DIV/0!</v>
      </c>
      <c r="Y23" s="53">
        <f>COUNTIFS('00 Encuesta'!$B$2:$B$511,"*a)*",'00 Encuesta'!$C$2:$C$511,"*c)*",'00 Encuesta'!$E$2:$E$511,"*b)*",'00 Encuesta'!$F$2:$F$511,"*a)*")</f>
        <v>0</v>
      </c>
      <c r="Z23" s="52" t="e">
        <f>Y23/$X$7*100</f>
        <v>#DIV/0!</v>
      </c>
      <c r="AA23" s="3"/>
      <c r="AB23" s="62">
        <f>G23+N23+U23</f>
        <v>59</v>
      </c>
      <c r="AC23" s="52">
        <f>AB23*100/$AC$5</f>
        <v>75.641025641025635</v>
      </c>
      <c r="AD23" s="7"/>
      <c r="AE23" s="7"/>
      <c r="AF23" s="9" t="str">
        <f>A23&amp;" "&amp;B23</f>
        <v>a) Católica</v>
      </c>
      <c r="AG23" s="72">
        <f>J23</f>
        <v>86.36363636363636</v>
      </c>
      <c r="AH23" s="72">
        <f>L23</f>
        <v>66.666666666666657</v>
      </c>
      <c r="AI23" s="73">
        <f>H23</f>
        <v>77.5</v>
      </c>
      <c r="AJ23" s="73"/>
      <c r="AK23" s="74">
        <f>Q23</f>
        <v>69.230769230769226</v>
      </c>
      <c r="AL23" s="74">
        <f>S23</f>
        <v>76</v>
      </c>
      <c r="AM23" s="74">
        <f>O23</f>
        <v>73.68421052631578</v>
      </c>
      <c r="AN23" s="74"/>
      <c r="AO23" s="75" t="e">
        <f>X23</f>
        <v>#DIV/0!</v>
      </c>
      <c r="AP23" s="75" t="e">
        <f>Z23</f>
        <v>#DIV/0!</v>
      </c>
      <c r="AQ23" s="75" t="e">
        <f>V23</f>
        <v>#DIV/0!</v>
      </c>
      <c r="AR23" s="7"/>
      <c r="AS23" s="76">
        <f t="shared" si="1"/>
        <v>75.641025641025635</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2</v>
      </c>
      <c r="H24" s="52">
        <f>G24/$J$5*100</f>
        <v>5</v>
      </c>
      <c r="I24" s="53">
        <f>COUNTIFS('00 Encuesta'!$B$2:$B$511,"*a)*",'00 Encuesta'!$C$2:$C$511,"*a)*",'00 Encuesta'!$E$2:$E$511,"*a)*",'00 Encuesta'!$F$2:$F$511,"*b)*")</f>
        <v>1</v>
      </c>
      <c r="J24" s="52">
        <f>I24/$J$6*100</f>
        <v>4.5454545454545459</v>
      </c>
      <c r="K24" s="53">
        <f>COUNTIFS('00 Encuesta'!$B$2:$B$511,"*a)*",'00 Encuesta'!$C$2:$C$511,"*a)*",'00 Encuesta'!$E$2:$E$511,"*b)*",'00 Encuesta'!$F$2:$F$511,"*b)*")</f>
        <v>1</v>
      </c>
      <c r="L24" s="52">
        <f>K24/$J$7*100</f>
        <v>5.5555555555555554</v>
      </c>
      <c r="M24" s="23"/>
      <c r="N24" s="51">
        <f>P24+R24</f>
        <v>2</v>
      </c>
      <c r="O24" s="52">
        <f>N24/$Q$5*100</f>
        <v>5.2631578947368416</v>
      </c>
      <c r="P24" s="53">
        <f>COUNTIFS('00 Encuesta'!$B$2:$B$511,"*a)*",'00 Encuesta'!$C$2:$C$511,"*b)*",'00 Encuesta'!$E$2:$E$511,"*a)*",'00 Encuesta'!$F$2:$F$511,"*b)*")</f>
        <v>1</v>
      </c>
      <c r="Q24" s="52">
        <f>P24/$Q$6*100</f>
        <v>7.6923076923076925</v>
      </c>
      <c r="R24" s="53">
        <f>COUNTIFS('00 Encuesta'!$B$2:$B$511,"*a)*",'00 Encuesta'!$C$2:$C$511,"*b)*",'00 Encuesta'!$E$2:$E$511,"*b)*",'00 Encuesta'!$F$2:$F$511,"*b)*")</f>
        <v>1</v>
      </c>
      <c r="S24" s="52">
        <f>R24/$Q$7*100</f>
        <v>4</v>
      </c>
      <c r="T24" s="3"/>
      <c r="U24" s="51">
        <f>W24+Y24</f>
        <v>0</v>
      </c>
      <c r="V24" s="52" t="e">
        <f>U24/$X$5*100</f>
        <v>#DIV/0!</v>
      </c>
      <c r="W24" s="53">
        <f>COUNTIFS('00 Encuesta'!$B$2:$B$511,"*a)*",'00 Encuesta'!$C$2:$C$511,"*c)*",'00 Encuesta'!$E$2:$E$511,"*a)*",'00 Encuesta'!$F$2:$F$511,"*b)*")</f>
        <v>0</v>
      </c>
      <c r="X24" s="52" t="e">
        <f>W24/$X$6*100</f>
        <v>#DIV/0!</v>
      </c>
      <c r="Y24" s="53">
        <f>COUNTIFS('00 Encuesta'!$B$2:$B$511,"*a)*",'00 Encuesta'!$C$2:$C$511,"*c)*",'00 Encuesta'!$E$2:$E$511,"*b)*",'00 Encuesta'!$F$2:$F$511,"*b)*")</f>
        <v>0</v>
      </c>
      <c r="Z24" s="52" t="e">
        <f>Y24/$X$7*100</f>
        <v>#DIV/0!</v>
      </c>
      <c r="AA24" s="3"/>
      <c r="AB24" s="62">
        <f>G24+N24+U24</f>
        <v>4</v>
      </c>
      <c r="AC24" s="52">
        <f>AB24*100/$AC$5</f>
        <v>5.1282051282051286</v>
      </c>
      <c r="AD24" s="7"/>
      <c r="AE24" s="7"/>
      <c r="AF24" s="9" t="str">
        <f>A24&amp;" "&amp;B24</f>
        <v>b) Evangélica</v>
      </c>
      <c r="AG24" s="72">
        <f>J24</f>
        <v>4.5454545454545459</v>
      </c>
      <c r="AH24" s="72">
        <f>L24</f>
        <v>5.5555555555555554</v>
      </c>
      <c r="AI24" s="73">
        <f>H24</f>
        <v>5</v>
      </c>
      <c r="AJ24" s="73"/>
      <c r="AK24" s="74">
        <f>Q24</f>
        <v>7.6923076923076925</v>
      </c>
      <c r="AL24" s="74">
        <f>S24</f>
        <v>4</v>
      </c>
      <c r="AM24" s="74">
        <f>O24</f>
        <v>5.2631578947368416</v>
      </c>
      <c r="AN24" s="74"/>
      <c r="AO24" s="75" t="e">
        <f>X24</f>
        <v>#DIV/0!</v>
      </c>
      <c r="AP24" s="75" t="e">
        <f>Z24</f>
        <v>#DIV/0!</v>
      </c>
      <c r="AQ24" s="75" t="e">
        <f>V24</f>
        <v>#DIV/0!</v>
      </c>
      <c r="AR24" s="7"/>
      <c r="AS24" s="76">
        <f t="shared" si="1"/>
        <v>5.1282051282051286</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ht="15" x14ac:dyDescent="0.25">
      <c r="A25" s="8" t="s">
        <v>20</v>
      </c>
      <c r="B25" s="9" t="s">
        <v>29</v>
      </c>
      <c r="C25" s="7"/>
      <c r="D25" s="7"/>
      <c r="E25" s="7"/>
      <c r="F25" s="71"/>
      <c r="G25" s="51">
        <f>I25+K25</f>
        <v>0</v>
      </c>
      <c r="H25" s="52">
        <f>G25/$J$5*100</f>
        <v>0</v>
      </c>
      <c r="I25" s="53">
        <f>COUNTIFS('00 Encuesta'!$B$2:$B$511,"*a)*",'00 Encuesta'!$C$2:$C$511,"*a)*",'00 Encuesta'!$E$2:$E$511,"*a)*",'00 Encuesta'!$F$2:$F$511,"*c)*")</f>
        <v>0</v>
      </c>
      <c r="J25" s="52">
        <f>I25/$J$6*100</f>
        <v>0</v>
      </c>
      <c r="K25" s="53">
        <f>COUNTIFS('00 Encuesta'!$B$2:$B$511,"*a)*",'00 Encuesta'!$C$2:$C$511,"*a)*",'00 Encuesta'!$E$2:$E$511,"*b)*",'00 Encuesta'!$F$2:$F$511,"*c)*")</f>
        <v>0</v>
      </c>
      <c r="L25" s="52">
        <f>K25/$J$7*100</f>
        <v>0</v>
      </c>
      <c r="M25" s="23"/>
      <c r="N25" s="51">
        <f>P25+R25</f>
        <v>1</v>
      </c>
      <c r="O25" s="52">
        <f>N25/$Q$5*100</f>
        <v>2.6315789473684208</v>
      </c>
      <c r="P25" s="53">
        <f>COUNTIFS('00 Encuesta'!$B$2:$B$511,"*a)*",'00 Encuesta'!$C$2:$C$511,"*b)*",'00 Encuesta'!$E$2:$E$511,"*a)*",'00 Encuesta'!$F$2:$F$511,"*c)*")</f>
        <v>0</v>
      </c>
      <c r="Q25" s="52">
        <f>P25/$Q$6*100</f>
        <v>0</v>
      </c>
      <c r="R25" s="53">
        <f>COUNTIFS('00 Encuesta'!$B$2:$B$511,"*a)*",'00 Encuesta'!$C$2:$C$511,"*b)*",'00 Encuesta'!$E$2:$E$511,"*b)*",'00 Encuesta'!$F$2:$F$511,"*c)*")</f>
        <v>1</v>
      </c>
      <c r="S25" s="52">
        <f>R25/$Q$7*100</f>
        <v>4</v>
      </c>
      <c r="T25" s="3"/>
      <c r="U25" s="51">
        <f>W25+Y25</f>
        <v>0</v>
      </c>
      <c r="V25" s="52" t="e">
        <f>U25/$X$5*100</f>
        <v>#DIV/0!</v>
      </c>
      <c r="W25" s="53">
        <f>COUNTIFS('00 Encuesta'!$B$2:$B$511,"*a)*",'00 Encuesta'!$C$2:$C$511,"*c)*",'00 Encuesta'!$E$2:$E$511,"*a)*",'00 Encuesta'!$F$2:$F$511,"*c)*")</f>
        <v>0</v>
      </c>
      <c r="X25" s="52" t="e">
        <f>W25/$X$6*100</f>
        <v>#DIV/0!</v>
      </c>
      <c r="Y25" s="53">
        <f>COUNTIFS('00 Encuesta'!$B$2:$B$511,"*a)*",'00 Encuesta'!$C$2:$C$511,"*c)*",'00 Encuesta'!$E$2:$E$511,"*b)*",'00 Encuesta'!$F$2:$F$511,"*c)*")</f>
        <v>0</v>
      </c>
      <c r="Z25" s="52" t="e">
        <f>Y25/$X$7*100</f>
        <v>#DIV/0!</v>
      </c>
      <c r="AA25" s="3"/>
      <c r="AB25" s="62">
        <f>G25+N25+U25</f>
        <v>1</v>
      </c>
      <c r="AC25" s="52">
        <f>AB25*100/$AC$5</f>
        <v>1.2820512820512822</v>
      </c>
      <c r="AD25" s="7"/>
      <c r="AE25" s="7"/>
      <c r="AF25" s="9" t="str">
        <f>A25&amp;" "&amp;B25</f>
        <v>c) Musulmana</v>
      </c>
      <c r="AG25" s="72">
        <f>J25</f>
        <v>0</v>
      </c>
      <c r="AH25" s="72">
        <f>L25</f>
        <v>0</v>
      </c>
      <c r="AI25" s="73">
        <f>H25</f>
        <v>0</v>
      </c>
      <c r="AJ25" s="73"/>
      <c r="AK25" s="74">
        <f>Q25</f>
        <v>0</v>
      </c>
      <c r="AL25" s="74">
        <f>S25</f>
        <v>4</v>
      </c>
      <c r="AM25" s="74">
        <f>O25</f>
        <v>2.6315789473684208</v>
      </c>
      <c r="AN25" s="74"/>
      <c r="AO25" s="75" t="e">
        <f>X25</f>
        <v>#DIV/0!</v>
      </c>
      <c r="AP25" s="75" t="e">
        <f>Z25</f>
        <v>#DIV/0!</v>
      </c>
      <c r="AQ25" s="75" t="e">
        <f>V25</f>
        <v>#DIV/0!</v>
      </c>
      <c r="AR25" s="7"/>
      <c r="AS25" s="76">
        <f t="shared" si="1"/>
        <v>1.2820512820512822</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ht="15" x14ac:dyDescent="0.25">
      <c r="A26" s="8" t="s">
        <v>21</v>
      </c>
      <c r="B26" s="9" t="s">
        <v>30</v>
      </c>
      <c r="C26" s="7"/>
      <c r="D26" s="7"/>
      <c r="E26" s="7"/>
      <c r="F26" s="71"/>
      <c r="G26" s="51">
        <f>I26+K26</f>
        <v>7</v>
      </c>
      <c r="H26" s="52">
        <f>G26/$J$5*100</f>
        <v>17.5</v>
      </c>
      <c r="I26" s="53">
        <f>COUNTIFS('00 Encuesta'!$B$2:$B$511,"*a)*",'00 Encuesta'!$C$2:$C$511,"*a)*",'00 Encuesta'!$E$2:$E$511,"*a)*",'00 Encuesta'!$F$2:$F$511,"*d)*")</f>
        <v>2</v>
      </c>
      <c r="J26" s="52">
        <f>I26/$J$6*100</f>
        <v>9.0909090909090917</v>
      </c>
      <c r="K26" s="53">
        <f>COUNTIFS('00 Encuesta'!$B$2:$B$511,"*a)*",'00 Encuesta'!$C$2:$C$511,"*a)*",'00 Encuesta'!$E$2:$E$511,"*b)*",'00 Encuesta'!$F$2:$F$511,"*d)*")</f>
        <v>5</v>
      </c>
      <c r="L26" s="52">
        <f>K26/$J$7*100</f>
        <v>27.777777777777779</v>
      </c>
      <c r="M26" s="23"/>
      <c r="N26" s="51">
        <f>P26+R26</f>
        <v>6</v>
      </c>
      <c r="O26" s="52">
        <f>N26/$Q$5*100</f>
        <v>15.789473684210526</v>
      </c>
      <c r="P26" s="53">
        <f>COUNTIFS('00 Encuesta'!$B$2:$B$511,"*a)*",'00 Encuesta'!$C$2:$C$511,"*b)*",'00 Encuesta'!$E$2:$E$511,"*a)*",'00 Encuesta'!$F$2:$F$511,"*d)*")</f>
        <v>3</v>
      </c>
      <c r="Q26" s="52">
        <f>P26/$Q$6*100</f>
        <v>23.076923076923077</v>
      </c>
      <c r="R26" s="53">
        <f>COUNTIFS('00 Encuesta'!$B$2:$B$511,"*a)*",'00 Encuesta'!$C$2:$C$511,"*b)*",'00 Encuesta'!$E$2:$E$511,"*b)*",'00 Encuesta'!$F$2:$F$511,"*d)*")</f>
        <v>3</v>
      </c>
      <c r="S26" s="52">
        <f>R26/$Q$7*100</f>
        <v>12</v>
      </c>
      <c r="T26" s="3"/>
      <c r="U26" s="51">
        <f>W26+Y26</f>
        <v>0</v>
      </c>
      <c r="V26" s="52" t="e">
        <f>U26/$X$5*100</f>
        <v>#DIV/0!</v>
      </c>
      <c r="W26" s="53">
        <f>COUNTIFS('00 Encuesta'!$B$2:$B$511,"*a)*",'00 Encuesta'!$C$2:$C$511,"*c)*",'00 Encuesta'!$E$2:$E$511,"*a)*",'00 Encuesta'!$F$2:$F$511,"*d)*")</f>
        <v>0</v>
      </c>
      <c r="X26" s="52" t="e">
        <f>W26/$X$6*100</f>
        <v>#DIV/0!</v>
      </c>
      <c r="Y26" s="53">
        <f>COUNTIFS('00 Encuesta'!$B$2:$B$511,"*a)*",'00 Encuesta'!$C$2:$C$511,"*c)*",'00 Encuesta'!$E$2:$E$511,"*b)*",'00 Encuesta'!$F$2:$F$511,"*d)*")</f>
        <v>0</v>
      </c>
      <c r="Z26" s="52" t="e">
        <f>Y26/$X$7*100</f>
        <v>#DIV/0!</v>
      </c>
      <c r="AA26" s="3"/>
      <c r="AB26" s="62">
        <f>G26+N26+U26</f>
        <v>13</v>
      </c>
      <c r="AC26" s="52">
        <f>AB26*100/$AC$5</f>
        <v>16.666666666666668</v>
      </c>
      <c r="AD26" s="7"/>
      <c r="AE26" s="7"/>
      <c r="AF26" s="9" t="str">
        <f>A26&amp;" "&amp;B26</f>
        <v>d) Otra</v>
      </c>
      <c r="AG26" s="72">
        <f>J26</f>
        <v>9.0909090909090917</v>
      </c>
      <c r="AH26" s="72">
        <f>L26</f>
        <v>27.777777777777779</v>
      </c>
      <c r="AI26" s="73">
        <f>H26</f>
        <v>17.5</v>
      </c>
      <c r="AJ26" s="73"/>
      <c r="AK26" s="74">
        <f>Q26</f>
        <v>23.076923076923077</v>
      </c>
      <c r="AL26" s="74">
        <f>S26</f>
        <v>12</v>
      </c>
      <c r="AM26" s="74">
        <f>O26</f>
        <v>15.789473684210526</v>
      </c>
      <c r="AN26" s="74"/>
      <c r="AO26" s="75" t="e">
        <f>X26</f>
        <v>#DIV/0!</v>
      </c>
      <c r="AP26" s="75" t="e">
        <f>Z26</f>
        <v>#DIV/0!</v>
      </c>
      <c r="AQ26" s="75" t="e">
        <f>V26</f>
        <v>#DIV/0!</v>
      </c>
      <c r="AR26" s="7"/>
      <c r="AS26" s="76">
        <f t="shared" si="1"/>
        <v>16.666666666666668</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ht="15" x14ac:dyDescent="0.25">
      <c r="A27" s="8" t="s">
        <v>23</v>
      </c>
      <c r="B27" s="9" t="s">
        <v>24</v>
      </c>
      <c r="C27" s="7"/>
      <c r="D27" s="7"/>
      <c r="E27" s="7"/>
      <c r="F27" s="71"/>
      <c r="G27" s="51">
        <f>I27+K27</f>
        <v>0</v>
      </c>
      <c r="H27" s="52">
        <f>G27/$J$5*100</f>
        <v>0</v>
      </c>
      <c r="I27" s="53"/>
      <c r="J27" s="52">
        <f>I27/$J$6*100</f>
        <v>0</v>
      </c>
      <c r="K27" s="53"/>
      <c r="L27" s="52">
        <f>K27/$J$7*100</f>
        <v>0</v>
      </c>
      <c r="M27" s="23"/>
      <c r="N27" s="51">
        <f>P27+R27</f>
        <v>0</v>
      </c>
      <c r="O27" s="52">
        <f>N27/$Q$5*100</f>
        <v>0</v>
      </c>
      <c r="P27" s="53"/>
      <c r="Q27" s="52">
        <f>P27/$Q$6*100</f>
        <v>0</v>
      </c>
      <c r="R27" s="53"/>
      <c r="S27" s="52">
        <f>R27/$Q$7*100</f>
        <v>0</v>
      </c>
      <c r="T27" s="3"/>
      <c r="U27" s="51">
        <f>W27+Y27</f>
        <v>0</v>
      </c>
      <c r="V27" s="52" t="e">
        <f>U27/$X$5*100</f>
        <v>#DIV/0!</v>
      </c>
      <c r="W27" s="53"/>
      <c r="X27" s="52" t="e">
        <f>W27/$X$6*100</f>
        <v>#DIV/0!</v>
      </c>
      <c r="Y27" s="53"/>
      <c r="Z27" s="52" t="e">
        <f>Y27/$X$7*100</f>
        <v>#DIV/0!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ht="15" x14ac:dyDescent="0.25">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38</v>
      </c>
      <c r="H30" s="52">
        <f t="shared" ref="H30:H35" si="3">G30/$J$5*100</f>
        <v>95</v>
      </c>
      <c r="I30" s="53">
        <f>COUNTIFS('00 Encuesta'!$B$2:$B$511,"*a)*",'00 Encuesta'!$C$2:$C$511,"*a)*",'00 Encuesta'!$E$2:$E$511,"*a)*",'00 Encuesta'!$G$2:$G$511,"*a)*")</f>
        <v>22</v>
      </c>
      <c r="J30" s="52">
        <f t="shared" ref="J30:J35" si="4">I30/$J$6*100</f>
        <v>100</v>
      </c>
      <c r="K30" s="53">
        <f>COUNTIFS('00 Encuesta'!$B$2:$B$511,"*a)*",'00 Encuesta'!$C$2:$C$511,"*a)*",'00 Encuesta'!$E$2:$E$511,"*b)*",'00 Encuesta'!$G$2:$G$511,"*a)*")</f>
        <v>16</v>
      </c>
      <c r="L30" s="52">
        <f>K30/$J$7*100</f>
        <v>88.888888888888886</v>
      </c>
      <c r="M30" s="23"/>
      <c r="N30" s="51">
        <f>P30+R30</f>
        <v>35</v>
      </c>
      <c r="O30" s="52">
        <f>N30/$Q$5*100</f>
        <v>92.10526315789474</v>
      </c>
      <c r="P30" s="53">
        <f>COUNTIFS('00 Encuesta'!$B$2:$B$511,"*a)*",'00 Encuesta'!$C$2:$C$511,"*b)*",'00 Encuesta'!$E$2:$E$511,"*a)*",'00 Encuesta'!$G$2:$G$511,"*a)*")</f>
        <v>10</v>
      </c>
      <c r="Q30" s="52">
        <f>P30/$Q$6*100</f>
        <v>76.923076923076934</v>
      </c>
      <c r="R30" s="53">
        <f>COUNTIFS('00 Encuesta'!$B$2:$B$511,"*a)*",'00 Encuesta'!$C$2:$C$511,"*b)*",'00 Encuesta'!$E$2:$E$511,"*b)*",'00 Encuesta'!$G$2:$G$511,"*a)*")</f>
        <v>25</v>
      </c>
      <c r="S30" s="52">
        <f>R30/$Q$7*100</f>
        <v>100</v>
      </c>
      <c r="T30" s="3"/>
      <c r="U30" s="51">
        <f>W30+Y30</f>
        <v>0</v>
      </c>
      <c r="V30" s="52" t="e">
        <f>U30/$X$5*100</f>
        <v>#DIV/0!</v>
      </c>
      <c r="W30" s="53">
        <f>COUNTIFS('00 Encuesta'!$B$2:$B$511,"*a)*",'00 Encuesta'!$C$2:$C$511,"*c)*",'00 Encuesta'!$E$2:$E$511,"*a)*",'00 Encuesta'!$G$2:$G$511,"*a)*")</f>
        <v>0</v>
      </c>
      <c r="X30" s="52" t="e">
        <f>W30/$X$6*100</f>
        <v>#DIV/0!</v>
      </c>
      <c r="Y30" s="53">
        <f>COUNTIFS('00 Encuesta'!$B$2:$B$511,"*a)*",'00 Encuesta'!$C$2:$C$511,"*c)*",'00 Encuesta'!$E$2:$E$511,"*b)*",'00 Encuesta'!$G$2:$G$511,"*a)*")</f>
        <v>0</v>
      </c>
      <c r="Z30" s="52" t="e">
        <f t="shared" ref="Z30:Z35" si="5">Y30/$X$7*100</f>
        <v>#DIV/0!</v>
      </c>
      <c r="AA30" s="3"/>
      <c r="AB30" s="62">
        <f t="shared" ref="AB30:AB64" si="6">G30+N30+U30</f>
        <v>73</v>
      </c>
      <c r="AC30" s="52">
        <f t="shared" ref="AC30:AC35" si="7">AB30*100/$AC$5</f>
        <v>93.589743589743591</v>
      </c>
      <c r="AD30" s="7"/>
      <c r="AE30" s="7"/>
      <c r="AF30" s="9" t="str">
        <f t="shared" ref="AF30:AF35" si="8">A30&amp;" "&amp;B30</f>
        <v>a) Mamá</v>
      </c>
      <c r="AG30" s="72">
        <f t="shared" ref="AG30:AG35" si="9">J30</f>
        <v>100</v>
      </c>
      <c r="AH30" s="72">
        <f t="shared" ref="AH30:AH35" si="10">L30</f>
        <v>88.888888888888886</v>
      </c>
      <c r="AI30" s="73">
        <f t="shared" ref="AI30:AI35" si="11">H30</f>
        <v>95</v>
      </c>
      <c r="AJ30" s="73"/>
      <c r="AK30" s="74">
        <f t="shared" ref="AK30:AK35" si="12">Q30</f>
        <v>76.923076923076934</v>
      </c>
      <c r="AL30" s="74">
        <f t="shared" ref="AL30:AL35" si="13">S30</f>
        <v>100</v>
      </c>
      <c r="AM30" s="74">
        <f t="shared" ref="AM30:AM35" si="14">O30</f>
        <v>92.10526315789474</v>
      </c>
      <c r="AN30" s="74"/>
      <c r="AO30" s="75" t="e">
        <f t="shared" ref="AO30:AO35" si="15">X30</f>
        <v>#DIV/0!</v>
      </c>
      <c r="AP30" s="75" t="e">
        <f t="shared" ref="AP30:AP35" si="16">Z30</f>
        <v>#DIV/0!</v>
      </c>
      <c r="AQ30" s="75" t="e">
        <f t="shared" ref="AQ30:AQ35" si="17">V30</f>
        <v>#DIV/0!</v>
      </c>
      <c r="AR30" s="7"/>
      <c r="AS30" s="76">
        <f t="shared" si="1"/>
        <v>93.589743589743591</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33</v>
      </c>
      <c r="H31" s="52">
        <f t="shared" si="3"/>
        <v>82.5</v>
      </c>
      <c r="I31" s="53">
        <f>COUNTIFS('00 Encuesta'!$B$2:$B$511,"*a)*",'00 Encuesta'!$C$2:$C$511,"*a)*",'00 Encuesta'!$E$2:$E$511,"*a)*",'00 Encuesta'!$G$2:$G$511,"*b)*")</f>
        <v>19</v>
      </c>
      <c r="J31" s="52">
        <f t="shared" si="4"/>
        <v>86.36363636363636</v>
      </c>
      <c r="K31" s="53">
        <f>COUNTIFS('00 Encuesta'!$B$2:$B$511,"*a)*",'00 Encuesta'!$C$2:$C$511,"*a)*",'00 Encuesta'!$E$2:$E$511,"*b)*",'00 Encuesta'!$G$2:$G$511,"*b)*")</f>
        <v>14</v>
      </c>
      <c r="L31" s="52">
        <f>K31/$J$7*100</f>
        <v>77.777777777777786</v>
      </c>
      <c r="M31" s="23"/>
      <c r="N31" s="51">
        <f>P31+R31</f>
        <v>25</v>
      </c>
      <c r="O31" s="52">
        <f>N31/$Q$5*100</f>
        <v>65.789473684210535</v>
      </c>
      <c r="P31" s="53">
        <f>COUNTIFS('00 Encuesta'!$B$2:$B$511,"*a)*",'00 Encuesta'!$C$2:$C$511,"*b)*",'00 Encuesta'!$E$2:$E$511,"*a)*",'00 Encuesta'!$G$2:$G$511,"*b)*")</f>
        <v>9</v>
      </c>
      <c r="Q31" s="52">
        <f>P31/$Q$6*100</f>
        <v>69.230769230769226</v>
      </c>
      <c r="R31" s="53">
        <f>COUNTIFS('00 Encuesta'!$B$2:$B$511,"*a)*",'00 Encuesta'!$C$2:$C$511,"*b)*",'00 Encuesta'!$E$2:$E$511,"*b)*",'00 Encuesta'!$G$2:$G$511,"*b)*")</f>
        <v>16</v>
      </c>
      <c r="S31" s="52">
        <f>R31/$Q$7*100</f>
        <v>64</v>
      </c>
      <c r="T31" s="3"/>
      <c r="U31" s="51">
        <f>W31+Y31</f>
        <v>0</v>
      </c>
      <c r="V31" s="52" t="e">
        <f>U31/$X$5*100</f>
        <v>#DIV/0!</v>
      </c>
      <c r="W31" s="53">
        <f>COUNTIFS('00 Encuesta'!$B$2:$B$511,"*a)*",'00 Encuesta'!$C$2:$C$511,"*c)*",'00 Encuesta'!$E$2:$E$511,"*a)*",'00 Encuesta'!$G$2:$G$511,"*b)*")</f>
        <v>0</v>
      </c>
      <c r="X31" s="52" t="e">
        <f>W31/$X$6*100</f>
        <v>#DIV/0!</v>
      </c>
      <c r="Y31" s="53">
        <f>COUNTIFS('00 Encuesta'!$B$2:$B$511,"*a)*",'00 Encuesta'!$C$2:$C$511,"*c)*",'00 Encuesta'!$E$2:$E$511,"*b)*",'00 Encuesta'!$G$2:$G$511,"*b)*")</f>
        <v>0</v>
      </c>
      <c r="Z31" s="52" t="e">
        <f t="shared" si="5"/>
        <v>#DIV/0!</v>
      </c>
      <c r="AA31" s="3"/>
      <c r="AB31" s="62">
        <f t="shared" si="6"/>
        <v>58</v>
      </c>
      <c r="AC31" s="52">
        <f t="shared" si="7"/>
        <v>74.358974358974365</v>
      </c>
      <c r="AD31" s="7"/>
      <c r="AE31" s="7"/>
      <c r="AF31" s="9" t="str">
        <f t="shared" si="8"/>
        <v>b) Papá</v>
      </c>
      <c r="AG31" s="72">
        <f t="shared" si="9"/>
        <v>86.36363636363636</v>
      </c>
      <c r="AH31" s="72">
        <f t="shared" si="10"/>
        <v>77.777777777777786</v>
      </c>
      <c r="AI31" s="73">
        <f t="shared" si="11"/>
        <v>82.5</v>
      </c>
      <c r="AJ31" s="73"/>
      <c r="AK31" s="74">
        <f t="shared" si="12"/>
        <v>69.230769230769226</v>
      </c>
      <c r="AL31" s="74">
        <f t="shared" si="13"/>
        <v>64</v>
      </c>
      <c r="AM31" s="74">
        <f t="shared" si="14"/>
        <v>65.789473684210535</v>
      </c>
      <c r="AN31" s="74"/>
      <c r="AO31" s="75" t="e">
        <f t="shared" si="15"/>
        <v>#DIV/0!</v>
      </c>
      <c r="AP31" s="75" t="e">
        <f t="shared" si="16"/>
        <v>#DIV/0!</v>
      </c>
      <c r="AQ31" s="75" t="e">
        <f t="shared" si="17"/>
        <v>#DIV/0!</v>
      </c>
      <c r="AR31" s="7"/>
      <c r="AS31" s="76">
        <f t="shared" si="1"/>
        <v>74.358974358974365</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ht="15" x14ac:dyDescent="0.25">
      <c r="A32" s="8" t="s">
        <v>20</v>
      </c>
      <c r="B32" s="9" t="s">
        <v>35</v>
      </c>
      <c r="C32" s="80"/>
      <c r="D32" s="7"/>
      <c r="E32" s="80"/>
      <c r="F32" s="10"/>
      <c r="G32" s="51">
        <f t="shared" si="2"/>
        <v>35</v>
      </c>
      <c r="H32" s="52">
        <f t="shared" si="3"/>
        <v>87.5</v>
      </c>
      <c r="I32" s="53">
        <f>COUNTIFS('00 Encuesta'!$B$2:$B$511,"*a)*",'00 Encuesta'!$C$2:$C$511,"*a)*",'00 Encuesta'!$E$2:$E$511,"*a)*",'00 Encuesta'!$G$2:$G$511,"*c)*")</f>
        <v>19</v>
      </c>
      <c r="J32" s="52">
        <f t="shared" si="4"/>
        <v>86.36363636363636</v>
      </c>
      <c r="K32" s="53">
        <f>COUNTIFS('00 Encuesta'!$B$2:$B$511,"*a)*",'00 Encuesta'!$C$2:$C$511,"*a)*",'00 Encuesta'!$E$2:$E$511,"*b)*",'00 Encuesta'!$G$2:$G$511,"*c)*")</f>
        <v>16</v>
      </c>
      <c r="L32" s="52">
        <f>K32/$J$7*100</f>
        <v>88.888888888888886</v>
      </c>
      <c r="M32" s="23"/>
      <c r="N32" s="51">
        <f>P32+R32</f>
        <v>29</v>
      </c>
      <c r="O32" s="52">
        <f>N32/$Q$5*100</f>
        <v>76.31578947368422</v>
      </c>
      <c r="P32" s="53">
        <f>COUNTIFS('00 Encuesta'!$B$2:$B$511,"*a)*",'00 Encuesta'!$C$2:$C$511,"*b)*",'00 Encuesta'!$E$2:$E$511,"*a)*",'00 Encuesta'!$G$2:$G$511,"*c)*")</f>
        <v>9</v>
      </c>
      <c r="Q32" s="52">
        <f>P32/$Q$6*100</f>
        <v>69.230769230769226</v>
      </c>
      <c r="R32" s="53">
        <f>COUNTIFS('00 Encuesta'!$B$2:$B$511,"*a)*",'00 Encuesta'!$C$2:$C$511,"*b)*",'00 Encuesta'!$E$2:$E$511,"*b)*",'00 Encuesta'!$G$2:$G$511,"*c)*")</f>
        <v>20</v>
      </c>
      <c r="S32" s="52">
        <f>R32/$Q$7*100</f>
        <v>80</v>
      </c>
      <c r="T32" s="3"/>
      <c r="U32" s="51">
        <f>W32+Y32</f>
        <v>0</v>
      </c>
      <c r="V32" s="52" t="e">
        <f>U32/$X$5*100</f>
        <v>#DIV/0!</v>
      </c>
      <c r="W32" s="53">
        <f>COUNTIFS('00 Encuesta'!$B$2:$B$511,"*a)*",'00 Encuesta'!$C$2:$C$511,"*c)*",'00 Encuesta'!$E$2:$E$511,"*a)*",'00 Encuesta'!$G$2:$G$511,"*c)*")</f>
        <v>0</v>
      </c>
      <c r="X32" s="52" t="e">
        <f>W32/$X$6*100</f>
        <v>#DIV/0!</v>
      </c>
      <c r="Y32" s="53">
        <f>COUNTIFS('00 Encuesta'!$B$2:$B$511,"*a)*",'00 Encuesta'!$C$2:$C$511,"*c)*",'00 Encuesta'!$E$2:$E$511,"*b)*",'00 Encuesta'!$G$2:$G$511,"*c)*")</f>
        <v>0</v>
      </c>
      <c r="Z32" s="52" t="e">
        <f t="shared" si="5"/>
        <v>#DIV/0!</v>
      </c>
      <c r="AA32" s="3"/>
      <c r="AB32" s="62">
        <f t="shared" si="6"/>
        <v>64</v>
      </c>
      <c r="AC32" s="52">
        <f t="shared" si="7"/>
        <v>82.051282051282058</v>
      </c>
      <c r="AD32" s="7"/>
      <c r="AE32" s="7"/>
      <c r="AF32" s="9" t="str">
        <f t="shared" si="8"/>
        <v>c) Hermanos</v>
      </c>
      <c r="AG32" s="72">
        <f t="shared" si="9"/>
        <v>86.36363636363636</v>
      </c>
      <c r="AH32" s="72">
        <f t="shared" si="10"/>
        <v>88.888888888888886</v>
      </c>
      <c r="AI32" s="73">
        <f t="shared" si="11"/>
        <v>87.5</v>
      </c>
      <c r="AJ32" s="73"/>
      <c r="AK32" s="74">
        <f t="shared" si="12"/>
        <v>69.230769230769226</v>
      </c>
      <c r="AL32" s="74">
        <f t="shared" si="13"/>
        <v>80</v>
      </c>
      <c r="AM32" s="74">
        <f t="shared" si="14"/>
        <v>76.31578947368422</v>
      </c>
      <c r="AN32" s="74"/>
      <c r="AO32" s="75" t="e">
        <f t="shared" si="15"/>
        <v>#DIV/0!</v>
      </c>
      <c r="AP32" s="75" t="e">
        <f t="shared" si="16"/>
        <v>#DIV/0!</v>
      </c>
      <c r="AQ32" s="75" t="e">
        <f t="shared" si="17"/>
        <v>#DIV/0!</v>
      </c>
      <c r="AR32" s="7"/>
      <c r="AS32" s="76">
        <f t="shared" si="1"/>
        <v>82.051282051282058</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ht="15" x14ac:dyDescent="0.25">
      <c r="A33" s="8" t="s">
        <v>21</v>
      </c>
      <c r="B33" s="9" t="s">
        <v>36</v>
      </c>
      <c r="C33" s="7"/>
      <c r="D33" s="7"/>
      <c r="E33" s="7"/>
      <c r="F33" s="71"/>
      <c r="G33" s="51">
        <f t="shared" si="2"/>
        <v>14</v>
      </c>
      <c r="H33" s="52">
        <f t="shared" si="3"/>
        <v>35</v>
      </c>
      <c r="I33" s="53">
        <f>COUNTIFS('00 Encuesta'!$B$2:$B$511,"*a)*",'00 Encuesta'!$C$2:$C$511,"*a)*",'00 Encuesta'!$E$2:$E$511,"*a)*",'00 Encuesta'!$G$2:$G$511,"*d)*")</f>
        <v>6</v>
      </c>
      <c r="J33" s="52">
        <f t="shared" si="4"/>
        <v>27.27272727272727</v>
      </c>
      <c r="K33" s="53">
        <f>COUNTIFS('00 Encuesta'!$B$2:$B$511,"*a)*",'00 Encuesta'!$C$2:$C$511,"*a)*",'00 Encuesta'!$E$2:$E$511,"*b)*",'00 Encuesta'!$G$2:$G$511,"*d)*")</f>
        <v>8</v>
      </c>
      <c r="L33" s="52">
        <f>K33/$J$7*100</f>
        <v>44.444444444444443</v>
      </c>
      <c r="M33" s="23"/>
      <c r="N33" s="51">
        <f>P33+R33</f>
        <v>13</v>
      </c>
      <c r="O33" s="52">
        <f>N33/$Q$5*100</f>
        <v>34.210526315789473</v>
      </c>
      <c r="P33" s="53">
        <f>COUNTIFS('00 Encuesta'!$B$2:$B$511,"*a)*",'00 Encuesta'!$C$2:$C$511,"*b)*",'00 Encuesta'!$E$2:$E$511,"*a)*",'00 Encuesta'!$G$2:$G$511,"*d)*")</f>
        <v>7</v>
      </c>
      <c r="Q33" s="52">
        <f>P33/$Q$6*100</f>
        <v>53.846153846153847</v>
      </c>
      <c r="R33" s="53">
        <f>COUNTIFS('00 Encuesta'!$B$2:$B$511,"*a)*",'00 Encuesta'!$C$2:$C$511,"*b)*",'00 Encuesta'!$E$2:$E$511,"*b)*",'00 Encuesta'!$G$2:$G$511,"*d)*")</f>
        <v>6</v>
      </c>
      <c r="S33" s="52">
        <f>R33/$Q$7*100</f>
        <v>24</v>
      </c>
      <c r="T33" s="3"/>
      <c r="U33" s="51">
        <f>W33+Y33</f>
        <v>0</v>
      </c>
      <c r="V33" s="52" t="e">
        <f>U33/$X$5*100</f>
        <v>#DIV/0!</v>
      </c>
      <c r="W33" s="53">
        <f>COUNTIFS('00 Encuesta'!$B$2:$B$511,"*a)*",'00 Encuesta'!$C$2:$C$511,"*c)*",'00 Encuesta'!$E$2:$E$511,"*a)*",'00 Encuesta'!$G$2:$G$511,"*d)*")</f>
        <v>0</v>
      </c>
      <c r="X33" s="52" t="e">
        <f>W33/$X$6*100</f>
        <v>#DIV/0!</v>
      </c>
      <c r="Y33" s="53">
        <f>COUNTIFS('00 Encuesta'!$B$2:$B$511,"*a)*",'00 Encuesta'!$C$2:$C$511,"*c)*",'00 Encuesta'!$E$2:$E$511,"*b)*",'00 Encuesta'!$G$2:$G$511,"*d)*")</f>
        <v>0</v>
      </c>
      <c r="Z33" s="52" t="e">
        <f t="shared" si="5"/>
        <v>#DIV/0!</v>
      </c>
      <c r="AA33" s="3"/>
      <c r="AB33" s="62">
        <f t="shared" si="6"/>
        <v>27</v>
      </c>
      <c r="AC33" s="52">
        <f t="shared" si="7"/>
        <v>34.615384615384613</v>
      </c>
      <c r="AD33" s="7"/>
      <c r="AE33" s="7"/>
      <c r="AF33" s="9" t="str">
        <f t="shared" si="8"/>
        <v>d) Abuelos</v>
      </c>
      <c r="AG33" s="72">
        <f t="shared" si="9"/>
        <v>27.27272727272727</v>
      </c>
      <c r="AH33" s="72">
        <f t="shared" si="10"/>
        <v>44.444444444444443</v>
      </c>
      <c r="AI33" s="73">
        <f t="shared" si="11"/>
        <v>35</v>
      </c>
      <c r="AJ33" s="73"/>
      <c r="AK33" s="74">
        <f t="shared" si="12"/>
        <v>53.846153846153847</v>
      </c>
      <c r="AL33" s="74">
        <f t="shared" si="13"/>
        <v>24</v>
      </c>
      <c r="AM33" s="74">
        <f t="shared" si="14"/>
        <v>34.210526315789473</v>
      </c>
      <c r="AN33" s="74"/>
      <c r="AO33" s="75" t="e">
        <f t="shared" si="15"/>
        <v>#DIV/0!</v>
      </c>
      <c r="AP33" s="75" t="e">
        <f t="shared" si="16"/>
        <v>#DIV/0!</v>
      </c>
      <c r="AQ33" s="75" t="e">
        <f t="shared" si="17"/>
        <v>#DIV/0!</v>
      </c>
      <c r="AR33" s="7"/>
      <c r="AS33" s="76">
        <f t="shared" si="1"/>
        <v>34.615384615384613</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ht="15" x14ac:dyDescent="0.25">
      <c r="A34" s="8" t="s">
        <v>22</v>
      </c>
      <c r="B34" s="9" t="s">
        <v>37</v>
      </c>
      <c r="C34" s="7"/>
      <c r="D34" s="7"/>
      <c r="E34" s="7"/>
      <c r="F34" s="71"/>
      <c r="G34" s="51">
        <f t="shared" si="2"/>
        <v>17</v>
      </c>
      <c r="H34" s="52">
        <f t="shared" si="3"/>
        <v>42.5</v>
      </c>
      <c r="I34" s="53">
        <f>COUNTIFS('00 Encuesta'!$B$2:$B$511,"*a)*",'00 Encuesta'!$C$2:$C$511,"*a)*",'00 Encuesta'!$E$2:$E$511,"*a)*",'00 Encuesta'!$G$2:$G$511,"*e)*")</f>
        <v>7</v>
      </c>
      <c r="J34" s="52">
        <f t="shared" si="4"/>
        <v>31.818181818181817</v>
      </c>
      <c r="K34" s="53">
        <f>COUNTIFS('00 Encuesta'!$B$2:$B$511,"*a)*",'00 Encuesta'!$C$2:$C$511,"*a)*",'00 Encuesta'!$E$2:$E$511,"*b)*",'00 Encuesta'!$G$2:$G$511,"*e)*")</f>
        <v>10</v>
      </c>
      <c r="L34" s="52">
        <f>K34/$J$7*100</f>
        <v>55.555555555555557</v>
      </c>
      <c r="M34" s="23"/>
      <c r="N34" s="51">
        <f>P34+R34</f>
        <v>6</v>
      </c>
      <c r="O34" s="52">
        <f>N34/$Q$5*100</f>
        <v>15.789473684210526</v>
      </c>
      <c r="P34" s="53">
        <f>COUNTIFS('00 Encuesta'!$B$2:$B$511,"*a)*",'00 Encuesta'!$C$2:$C$511,"*b)*",'00 Encuesta'!$E$2:$E$511,"*a)*",'00 Encuesta'!$G$2:$G$511,"*e)*")</f>
        <v>1</v>
      </c>
      <c r="Q34" s="52">
        <f>P34/$Q$6*100</f>
        <v>7.6923076923076925</v>
      </c>
      <c r="R34" s="53">
        <f>COUNTIFS('00 Encuesta'!$B$2:$B$511,"*a)*",'00 Encuesta'!$C$2:$C$511,"*b)*",'00 Encuesta'!$E$2:$E$511,"*b)*",'00 Encuesta'!$G$2:$G$511,"*e)*")</f>
        <v>5</v>
      </c>
      <c r="S34" s="52">
        <f>R34/$Q$7*100</f>
        <v>20</v>
      </c>
      <c r="T34" s="3"/>
      <c r="U34" s="51">
        <f>W34+Y34</f>
        <v>0</v>
      </c>
      <c r="V34" s="52" t="e">
        <f>U34/$X$5*100</f>
        <v>#DIV/0!</v>
      </c>
      <c r="W34" s="53">
        <f>COUNTIFS('00 Encuesta'!$B$2:$B$511,"*a)*",'00 Encuesta'!$C$2:$C$511,"*c)*",'00 Encuesta'!$E$2:$E$511,"*a)*",'00 Encuesta'!$G$2:$G$511,"*e)*")</f>
        <v>0</v>
      </c>
      <c r="X34" s="52" t="e">
        <f>W34/$X$6*100</f>
        <v>#DIV/0!</v>
      </c>
      <c r="Y34" s="53">
        <f>COUNTIFS('00 Encuesta'!$B$2:$B$511,"*a)*",'00 Encuesta'!$C$2:$C$511,"*c)*",'00 Encuesta'!$E$2:$E$511,"*b)*",'00 Encuesta'!$G$2:$G$511,"*e)*")</f>
        <v>0</v>
      </c>
      <c r="Z34" s="52" t="e">
        <f t="shared" si="5"/>
        <v>#DIV/0!</v>
      </c>
      <c r="AA34" s="3"/>
      <c r="AB34" s="62">
        <f t="shared" si="6"/>
        <v>23</v>
      </c>
      <c r="AC34" s="52">
        <f t="shared" si="7"/>
        <v>29.487179487179485</v>
      </c>
      <c r="AD34" s="7"/>
      <c r="AE34" s="7"/>
      <c r="AF34" s="9" t="str">
        <f t="shared" si="8"/>
        <v>e) Otros familiares</v>
      </c>
      <c r="AG34" s="72">
        <f t="shared" si="9"/>
        <v>31.818181818181817</v>
      </c>
      <c r="AH34" s="72">
        <f t="shared" si="10"/>
        <v>55.555555555555557</v>
      </c>
      <c r="AI34" s="73">
        <f t="shared" si="11"/>
        <v>42.5</v>
      </c>
      <c r="AJ34" s="73"/>
      <c r="AK34" s="74">
        <f t="shared" si="12"/>
        <v>7.6923076923076925</v>
      </c>
      <c r="AL34" s="74">
        <f t="shared" si="13"/>
        <v>20</v>
      </c>
      <c r="AM34" s="74">
        <f t="shared" si="14"/>
        <v>15.789473684210526</v>
      </c>
      <c r="AN34" s="74"/>
      <c r="AO34" s="75" t="e">
        <f t="shared" si="15"/>
        <v>#DIV/0!</v>
      </c>
      <c r="AP34" s="75" t="e">
        <f t="shared" si="16"/>
        <v>#DIV/0!</v>
      </c>
      <c r="AQ34" s="75" t="e">
        <f t="shared" si="17"/>
        <v>#DIV/0!</v>
      </c>
      <c r="AR34" s="7"/>
      <c r="AS34" s="76">
        <f t="shared" si="1"/>
        <v>29.487179487179485</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ht="15" x14ac:dyDescent="0.25">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f t="shared" ref="O35" si="20">N35/$Q$5*100</f>
        <v>0</v>
      </c>
      <c r="P35" s="53"/>
      <c r="Q35" s="52">
        <f t="shared" ref="Q35" si="21">P35/$Q$6*100</f>
        <v>0</v>
      </c>
      <c r="R35" s="53"/>
      <c r="S35" s="52">
        <f t="shared" ref="S35" si="22">R35/$Q$7*100</f>
        <v>0</v>
      </c>
      <c r="T35" s="3"/>
      <c r="U35" s="51">
        <f t="shared" ref="U35" si="23">W35+Y35</f>
        <v>0</v>
      </c>
      <c r="V35" s="52" t="e">
        <f t="shared" ref="V35" si="24">U35/$X$5*100</f>
        <v>#DIV/0!</v>
      </c>
      <c r="W35" s="53"/>
      <c r="X35" s="52" t="e">
        <f t="shared" ref="X35" si="25">W35/$X$6*100</f>
        <v>#DIV/0!</v>
      </c>
      <c r="Y35" s="53"/>
      <c r="Z35" s="52" t="e">
        <f t="shared" si="5"/>
        <v>#DIV/0!</v>
      </c>
      <c r="AA35" s="3"/>
      <c r="AB35" s="62">
        <f t="shared" si="6"/>
        <v>0</v>
      </c>
      <c r="AC35" s="52">
        <f t="shared" si="7"/>
        <v>0</v>
      </c>
      <c r="AD35" s="7"/>
      <c r="AE35" s="7"/>
      <c r="AF35" s="9" t="str">
        <f t="shared" si="8"/>
        <v>S/R Sin Respuesta</v>
      </c>
      <c r="AG35" s="72">
        <f t="shared" si="9"/>
        <v>0</v>
      </c>
      <c r="AH35" s="72">
        <f t="shared" si="10"/>
        <v>0</v>
      </c>
      <c r="AI35" s="73">
        <f t="shared" si="11"/>
        <v>0</v>
      </c>
      <c r="AJ35" s="73"/>
      <c r="AK35" s="74">
        <f t="shared" si="12"/>
        <v>0</v>
      </c>
      <c r="AL35" s="74">
        <f t="shared" si="13"/>
        <v>0</v>
      </c>
      <c r="AM35" s="74">
        <f t="shared" si="14"/>
        <v>0</v>
      </c>
      <c r="AN35" s="74"/>
      <c r="AO35" s="75" t="e">
        <f t="shared" si="15"/>
        <v>#DIV/0!</v>
      </c>
      <c r="AP35" s="75" t="e">
        <f t="shared" si="16"/>
        <v>#DIV/0!</v>
      </c>
      <c r="AQ35" s="75" t="e">
        <f t="shared" si="17"/>
        <v>#DIV/0!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ht="15" x14ac:dyDescent="0.25">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ht="15" x14ac:dyDescent="0.25">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ht="15" x14ac:dyDescent="0.25">
      <c r="A38" s="8" t="s">
        <v>17</v>
      </c>
      <c r="B38" s="9" t="s">
        <v>40</v>
      </c>
      <c r="C38" s="7"/>
      <c r="D38" s="7"/>
      <c r="E38" s="7"/>
      <c r="F38" s="71"/>
      <c r="G38" s="51">
        <f t="shared" ref="G38:G44" si="26">I38+K38</f>
        <v>0</v>
      </c>
      <c r="H38" s="52">
        <f t="shared" ref="H38:H44" si="27">G38/$J$5*100</f>
        <v>0</v>
      </c>
      <c r="I38" s="53">
        <f>COUNTIFS('00 Encuesta'!$B$2:$B$511,"*a)*",'00 Encuesta'!$C$2:$C$511,"*a)*",'00 Encuesta'!$E$2:$E$511,"*a)*",'00 Encuesta'!$H$2:$H$511,"*a)*")</f>
        <v>0</v>
      </c>
      <c r="J38" s="52">
        <f t="shared" ref="J38:J44" si="28">I38/$J$6*100</f>
        <v>0</v>
      </c>
      <c r="K38" s="53">
        <f>COUNTIFS('00 Encuesta'!$B$2:$B$511,"*a)*",'00 Encuesta'!$C$2:$C$511,"*a)*",'00 Encuesta'!$E$2:$E$511,"*b)*",'00 Encuesta'!$H$2:$H$511,"*a)*")</f>
        <v>0</v>
      </c>
      <c r="L38" s="52">
        <f t="shared" ref="L38:L44" si="29">K38/$J$7*100</f>
        <v>0</v>
      </c>
      <c r="M38" s="23"/>
      <c r="N38" s="51">
        <f t="shared" ref="N38:N44" si="30">P38+R38</f>
        <v>0</v>
      </c>
      <c r="O38" s="52">
        <f>N38/$Q$5*100</f>
        <v>0</v>
      </c>
      <c r="P38" s="53">
        <f>COUNTIFS('00 Encuesta'!$B$2:$B$511,"*a)*",'00 Encuesta'!$C$2:$C$511,"*b)*",'00 Encuesta'!$E$2:$E$511,"*a)*",'00 Encuesta'!$H$2:$H$511,"*a)*")</f>
        <v>0</v>
      </c>
      <c r="Q38" s="52">
        <f>P38/$Q$6*100</f>
        <v>0</v>
      </c>
      <c r="R38" s="53">
        <f>COUNTIFS('00 Encuesta'!$B$2:$B$511,"*a)*",'00 Encuesta'!$C$2:$C$511,"*b)*",'00 Encuesta'!$E$2:$E$511,"*b)*",'00 Encuesta'!$H$2:$H$511,"*a)*")</f>
        <v>0</v>
      </c>
      <c r="S38" s="52">
        <f t="shared" ref="S38:S44" si="31">R38/$Q$7*100</f>
        <v>0</v>
      </c>
      <c r="T38" s="3"/>
      <c r="U38" s="51">
        <f t="shared" ref="U38:U44" si="32">W38+Y38</f>
        <v>0</v>
      </c>
      <c r="V38" s="52" t="e">
        <f t="shared" ref="V38:V44" si="33">U38/$X$5*100</f>
        <v>#DIV/0!</v>
      </c>
      <c r="W38" s="53">
        <f>COUNTIFS('00 Encuesta'!$B$2:$B$511,"*a)*",'00 Encuesta'!$C$2:$C$511,"*c)*",'00 Encuesta'!$E$2:$E$511,"*a)*",'00 Encuesta'!$H$2:$H$511,"*a)*")</f>
        <v>0</v>
      </c>
      <c r="X38" s="52" t="e">
        <f t="shared" ref="X38:X44" si="34">W38/$X$6*100</f>
        <v>#DIV/0!</v>
      </c>
      <c r="Y38" s="53">
        <f>COUNTIFS('00 Encuesta'!$B$2:$B$511,"*a)*",'00 Encuesta'!$C$2:$C$511,"*c)*",'00 Encuesta'!$E$2:$E$511,"*b)*",'00 Encuesta'!$H$2:$H$511,"*a)*")</f>
        <v>0</v>
      </c>
      <c r="Z38" s="52" t="e">
        <f t="shared" ref="Z38:Z44" si="35">Y38/$X$7*100</f>
        <v>#DIV/0!</v>
      </c>
      <c r="AA38" s="3"/>
      <c r="AB38" s="62">
        <f t="shared" si="6"/>
        <v>0</v>
      </c>
      <c r="AC38" s="52">
        <f t="shared" ref="AC38:AC44" si="36">AB38*100/$AC$5</f>
        <v>0</v>
      </c>
      <c r="AD38" s="7"/>
      <c r="AE38" s="7"/>
      <c r="AF38" s="9" t="str">
        <f t="shared" ref="AF38:AF44" si="37">A38&amp;" "&amp;B38</f>
        <v>a) Quinta</v>
      </c>
      <c r="AG38" s="72">
        <f t="shared" ref="AG38:AG44" si="38">J38</f>
        <v>0</v>
      </c>
      <c r="AH38" s="72">
        <f t="shared" ref="AH38:AH44" si="39">L38</f>
        <v>0</v>
      </c>
      <c r="AI38" s="73">
        <f t="shared" ref="AI38:AI44" si="40">H38</f>
        <v>0</v>
      </c>
      <c r="AJ38" s="73"/>
      <c r="AK38" s="76">
        <f t="shared" ref="AK38:AK44" si="41">Q38</f>
        <v>0</v>
      </c>
      <c r="AL38" s="76">
        <f t="shared" ref="AL38:AL44" si="42">S38</f>
        <v>0</v>
      </c>
      <c r="AM38" s="76">
        <f t="shared" ref="AM38:AM44" si="43">O38</f>
        <v>0</v>
      </c>
      <c r="AN38" s="76"/>
      <c r="AO38" s="81" t="e">
        <f t="shared" ref="AO38:AO44" si="44">X38</f>
        <v>#DIV/0!</v>
      </c>
      <c r="AP38" s="81" t="e">
        <f t="shared" ref="AP38:AP44" si="45">Z38</f>
        <v>#DIV/0!</v>
      </c>
      <c r="AQ38" s="81" t="e">
        <f t="shared" ref="AQ38:AQ44" si="46">V38</f>
        <v>#DIV/0!</v>
      </c>
      <c r="AR38" s="7"/>
      <c r="AS38" s="76">
        <f t="shared" si="1"/>
        <v>0</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ht="15" x14ac:dyDescent="0.25">
      <c r="A39" s="8" t="s">
        <v>18</v>
      </c>
      <c r="B39" s="9" t="s">
        <v>41</v>
      </c>
      <c r="C39" s="7"/>
      <c r="D39" s="7"/>
      <c r="E39" s="7"/>
      <c r="F39" s="71"/>
      <c r="G39" s="51">
        <f t="shared" si="26"/>
        <v>8</v>
      </c>
      <c r="H39" s="52">
        <f t="shared" si="27"/>
        <v>20</v>
      </c>
      <c r="I39" s="53">
        <f>COUNTIFS('00 Encuesta'!$B$2:$B$511,"*a)*",'00 Encuesta'!$C$2:$C$511,"*a)*",'00 Encuesta'!$E$2:$E$511,"*a)*",'00 Encuesta'!$H$2:$H$511,"*b)*")</f>
        <v>5</v>
      </c>
      <c r="J39" s="52">
        <f t="shared" si="28"/>
        <v>22.727272727272727</v>
      </c>
      <c r="K39" s="53">
        <f>COUNTIFS('00 Encuesta'!$B$2:$B$511,"*a)*",'00 Encuesta'!$C$2:$C$511,"*a)*",'00 Encuesta'!$E$2:$E$511,"*b)*",'00 Encuesta'!$H$2:$H$511,"*b)*")</f>
        <v>3</v>
      </c>
      <c r="L39" s="52">
        <f t="shared" si="29"/>
        <v>16.666666666666664</v>
      </c>
      <c r="M39" s="23"/>
      <c r="N39" s="51">
        <f t="shared" si="30"/>
        <v>9</v>
      </c>
      <c r="O39" s="52">
        <f t="shared" ref="O39:O44" si="47">N39/$Q$5*100</f>
        <v>23.684210526315788</v>
      </c>
      <c r="P39" s="53">
        <f>COUNTIFS('00 Encuesta'!$B$2:$B$511,"*a)*",'00 Encuesta'!$C$2:$C$511,"*b)*",'00 Encuesta'!$E$2:$E$511,"*a)*",'00 Encuesta'!$H$2:$H$511,"*b)*")</f>
        <v>3</v>
      </c>
      <c r="Q39" s="52">
        <f>P39/$Q$6*100</f>
        <v>23.076923076923077</v>
      </c>
      <c r="R39" s="53">
        <f>COUNTIFS('00 Encuesta'!$B$2:$B$511,"*a)*",'00 Encuesta'!$C$2:$C$511,"*b)*",'00 Encuesta'!$E$2:$E$511,"*b)*",'00 Encuesta'!$H$2:$H$511,"*b)*")</f>
        <v>6</v>
      </c>
      <c r="S39" s="52">
        <f>R39/$Q$7*100</f>
        <v>24</v>
      </c>
      <c r="T39" s="3"/>
      <c r="U39" s="51">
        <f t="shared" si="32"/>
        <v>0</v>
      </c>
      <c r="V39" s="52" t="e">
        <f t="shared" si="33"/>
        <v>#DIV/0!</v>
      </c>
      <c r="W39" s="53">
        <f>COUNTIFS('00 Encuesta'!$B$2:$B$511,"*a)*",'00 Encuesta'!$C$2:$C$511,"*c)*",'00 Encuesta'!$E$2:$E$511,"*a)*",'00 Encuesta'!$H$2:$H$511,"*b)*")</f>
        <v>0</v>
      </c>
      <c r="X39" s="52" t="e">
        <f t="shared" si="34"/>
        <v>#DIV/0!</v>
      </c>
      <c r="Y39" s="53">
        <f>COUNTIFS('00 Encuesta'!$B$2:$B$511,"*a)*",'00 Encuesta'!$C$2:$C$511,"*c)*",'00 Encuesta'!$E$2:$E$511,"*b)*",'00 Encuesta'!$H$2:$H$511,"*b)*")</f>
        <v>0</v>
      </c>
      <c r="Z39" s="52" t="e">
        <f t="shared" si="35"/>
        <v>#DIV/0!</v>
      </c>
      <c r="AA39" s="3"/>
      <c r="AB39" s="62">
        <f t="shared" si="6"/>
        <v>17</v>
      </c>
      <c r="AC39" s="52">
        <f t="shared" si="36"/>
        <v>21.794871794871796</v>
      </c>
      <c r="AD39" s="7"/>
      <c r="AE39" s="7"/>
      <c r="AF39" s="9" t="str">
        <f t="shared" si="37"/>
        <v>b) Casa urbana</v>
      </c>
      <c r="AG39" s="72">
        <f t="shared" si="38"/>
        <v>22.727272727272727</v>
      </c>
      <c r="AH39" s="72">
        <f t="shared" si="39"/>
        <v>16.666666666666664</v>
      </c>
      <c r="AI39" s="73">
        <f t="shared" si="40"/>
        <v>20</v>
      </c>
      <c r="AJ39" s="73"/>
      <c r="AK39" s="76">
        <f t="shared" si="41"/>
        <v>23.076923076923077</v>
      </c>
      <c r="AL39" s="76">
        <f t="shared" si="42"/>
        <v>24</v>
      </c>
      <c r="AM39" s="76">
        <f t="shared" si="43"/>
        <v>23.684210526315788</v>
      </c>
      <c r="AN39" s="76"/>
      <c r="AO39" s="81" t="e">
        <f t="shared" si="44"/>
        <v>#DIV/0!</v>
      </c>
      <c r="AP39" s="81" t="e">
        <f t="shared" si="45"/>
        <v>#DIV/0!</v>
      </c>
      <c r="AQ39" s="81" t="e">
        <f t="shared" si="46"/>
        <v>#DIV/0!</v>
      </c>
      <c r="AR39" s="7"/>
      <c r="AS39" s="76">
        <f t="shared" si="1"/>
        <v>21.794871794871796</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ht="15" x14ac:dyDescent="0.25">
      <c r="A40" s="8" t="s">
        <v>20</v>
      </c>
      <c r="B40" s="9" t="s">
        <v>42</v>
      </c>
      <c r="C40" s="7"/>
      <c r="D40" s="7"/>
      <c r="E40" s="7"/>
      <c r="F40" s="71"/>
      <c r="G40" s="51">
        <f t="shared" si="26"/>
        <v>28</v>
      </c>
      <c r="H40" s="52">
        <f t="shared" si="27"/>
        <v>70</v>
      </c>
      <c r="I40" s="53">
        <f>COUNTIFS('00 Encuesta'!$B$2:$B$511,"*a)*",'00 Encuesta'!$C$2:$C$511,"*a)*",'00 Encuesta'!$E$2:$E$511,"*a)*",'00 Encuesta'!$H$2:$H$511,"*c)*")</f>
        <v>16</v>
      </c>
      <c r="J40" s="52">
        <f t="shared" si="28"/>
        <v>72.727272727272734</v>
      </c>
      <c r="K40" s="53">
        <f>COUNTIFS('00 Encuesta'!$B$2:$B$511,"*a)*",'00 Encuesta'!$C$2:$C$511,"*a)*",'00 Encuesta'!$E$2:$E$511,"*b)*",'00 Encuesta'!$H$2:$H$511,"*c)*")</f>
        <v>12</v>
      </c>
      <c r="L40" s="52">
        <f t="shared" si="29"/>
        <v>66.666666666666657</v>
      </c>
      <c r="M40" s="23"/>
      <c r="N40" s="51">
        <f t="shared" si="30"/>
        <v>23</v>
      </c>
      <c r="O40" s="52">
        <f t="shared" si="47"/>
        <v>60.526315789473685</v>
      </c>
      <c r="P40" s="53">
        <f>COUNTIFS('00 Encuesta'!$B$2:$B$511,"*a)*",'00 Encuesta'!$C$2:$C$511,"*b)*",'00 Encuesta'!$E$2:$E$511,"*a)*",'00 Encuesta'!$H$2:$H$511,"*c)*")</f>
        <v>8</v>
      </c>
      <c r="Q40" s="52">
        <f t="shared" ref="Q40:Q44" si="48">P40/$Q$6*100</f>
        <v>61.53846153846154</v>
      </c>
      <c r="R40" s="53">
        <f>COUNTIFS('00 Encuesta'!$B$2:$B$511,"*a)*",'00 Encuesta'!$C$2:$C$511,"*b)*",'00 Encuesta'!$E$2:$E$511,"*b)*",'00 Encuesta'!$H$2:$H$511,"*c)*")</f>
        <v>15</v>
      </c>
      <c r="S40" s="52">
        <f t="shared" si="31"/>
        <v>60</v>
      </c>
      <c r="T40" s="3"/>
      <c r="U40" s="51">
        <f t="shared" si="32"/>
        <v>0</v>
      </c>
      <c r="V40" s="52" t="e">
        <f t="shared" si="33"/>
        <v>#DIV/0!</v>
      </c>
      <c r="W40" s="53">
        <f>COUNTIFS('00 Encuesta'!$B$2:$B$511,"*a)*",'00 Encuesta'!$C$2:$C$511,"*c)*",'00 Encuesta'!$E$2:$E$511,"*a)*",'00 Encuesta'!$H$2:$H$511,"*c)*")</f>
        <v>0</v>
      </c>
      <c r="X40" s="52" t="e">
        <f t="shared" si="34"/>
        <v>#DIV/0!</v>
      </c>
      <c r="Y40" s="53">
        <f>COUNTIFS('00 Encuesta'!$B$2:$B$511,"*a)*",'00 Encuesta'!$C$2:$C$511,"*c)*",'00 Encuesta'!$E$2:$E$511,"*b)*",'00 Encuesta'!$H$2:$H$511,"*c)*")</f>
        <v>0</v>
      </c>
      <c r="Z40" s="52" t="e">
        <f t="shared" si="35"/>
        <v>#DIV/0!</v>
      </c>
      <c r="AA40" s="3"/>
      <c r="AB40" s="62">
        <f t="shared" si="6"/>
        <v>51</v>
      </c>
      <c r="AC40" s="52">
        <f t="shared" si="36"/>
        <v>65.384615384615387</v>
      </c>
      <c r="AD40" s="7"/>
      <c r="AE40" s="7"/>
      <c r="AF40" s="9" t="str">
        <f t="shared" si="37"/>
        <v>c) Apartamento</v>
      </c>
      <c r="AG40" s="72">
        <f t="shared" si="38"/>
        <v>72.727272727272734</v>
      </c>
      <c r="AH40" s="72">
        <f t="shared" si="39"/>
        <v>66.666666666666657</v>
      </c>
      <c r="AI40" s="73">
        <f t="shared" si="40"/>
        <v>70</v>
      </c>
      <c r="AJ40" s="73"/>
      <c r="AK40" s="76">
        <f t="shared" si="41"/>
        <v>61.53846153846154</v>
      </c>
      <c r="AL40" s="76">
        <f t="shared" si="42"/>
        <v>60</v>
      </c>
      <c r="AM40" s="76">
        <f t="shared" si="43"/>
        <v>60.526315789473685</v>
      </c>
      <c r="AN40" s="76"/>
      <c r="AO40" s="81" t="e">
        <f t="shared" si="44"/>
        <v>#DIV/0!</v>
      </c>
      <c r="AP40" s="81" t="e">
        <f t="shared" si="45"/>
        <v>#DIV/0!</v>
      </c>
      <c r="AQ40" s="81" t="e">
        <f t="shared" si="46"/>
        <v>#DIV/0!</v>
      </c>
      <c r="AR40" s="7"/>
      <c r="AS40" s="76">
        <f t="shared" si="1"/>
        <v>65.384615384615387</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ht="15" x14ac:dyDescent="0.25">
      <c r="A41" s="8" t="s">
        <v>21</v>
      </c>
      <c r="B41" s="9" t="s">
        <v>43</v>
      </c>
      <c r="C41" s="7"/>
      <c r="D41" s="7"/>
      <c r="E41" s="7"/>
      <c r="F41" s="71"/>
      <c r="G41" s="51">
        <f t="shared" si="26"/>
        <v>2</v>
      </c>
      <c r="H41" s="52">
        <f t="shared" si="27"/>
        <v>5</v>
      </c>
      <c r="I41" s="53">
        <f>COUNTIFS('00 Encuesta'!$B$2:$B$511,"*a)*",'00 Encuesta'!$C$2:$C$511,"*a)*",'00 Encuesta'!$E$2:$E$511,"*a)*",'00 Encuesta'!$H$2:$H$511,"*d)*")</f>
        <v>0</v>
      </c>
      <c r="J41" s="52">
        <f t="shared" si="28"/>
        <v>0</v>
      </c>
      <c r="K41" s="53">
        <f>COUNTIFS('00 Encuesta'!$B$2:$B$511,"*a)*",'00 Encuesta'!$C$2:$C$511,"*a)*",'00 Encuesta'!$E$2:$E$511,"*b)*",'00 Encuesta'!$H$2:$H$511,"*d)*")</f>
        <v>2</v>
      </c>
      <c r="L41" s="52">
        <f t="shared" si="29"/>
        <v>11.111111111111111</v>
      </c>
      <c r="M41" s="23"/>
      <c r="N41" s="51">
        <f t="shared" si="30"/>
        <v>4</v>
      </c>
      <c r="O41" s="52">
        <f t="shared" si="47"/>
        <v>10.526315789473683</v>
      </c>
      <c r="P41" s="53">
        <f>COUNTIFS('00 Encuesta'!$B$2:$B$511,"*a)*",'00 Encuesta'!$C$2:$C$511,"*b)*",'00 Encuesta'!$E$2:$E$511,"*a)*",'00 Encuesta'!$H$2:$H$511,"*d)*")</f>
        <v>1</v>
      </c>
      <c r="Q41" s="52">
        <f t="shared" si="48"/>
        <v>7.6923076923076925</v>
      </c>
      <c r="R41" s="53">
        <f>COUNTIFS('00 Encuesta'!$B$2:$B$511,"*a)*",'00 Encuesta'!$C$2:$C$511,"*b)*",'00 Encuesta'!$E$2:$E$511,"*b)*",'00 Encuesta'!$H$2:$H$511,"*d)*")</f>
        <v>3</v>
      </c>
      <c r="S41" s="52">
        <f t="shared" si="31"/>
        <v>12</v>
      </c>
      <c r="T41" s="3"/>
      <c r="U41" s="51">
        <f t="shared" si="32"/>
        <v>0</v>
      </c>
      <c r="V41" s="52" t="e">
        <f t="shared" si="33"/>
        <v>#DIV/0!</v>
      </c>
      <c r="W41" s="53">
        <f>COUNTIFS('00 Encuesta'!$B$2:$B$511,"*a)*",'00 Encuesta'!$C$2:$C$511,"*c)*",'00 Encuesta'!$E$2:$E$511,"*a)*",'00 Encuesta'!$H$2:$H$511,"*d)*")</f>
        <v>0</v>
      </c>
      <c r="X41" s="52" t="e">
        <f t="shared" si="34"/>
        <v>#DIV/0!</v>
      </c>
      <c r="Y41" s="53">
        <f>COUNTIFS('00 Encuesta'!$B$2:$B$511,"*a)*",'00 Encuesta'!$C$2:$C$511,"*c)*",'00 Encuesta'!$E$2:$E$511,"*b)*",'00 Encuesta'!$H$2:$H$511,"*d)*")</f>
        <v>0</v>
      </c>
      <c r="Z41" s="52" t="e">
        <f t="shared" si="35"/>
        <v>#DIV/0!</v>
      </c>
      <c r="AA41" s="3"/>
      <c r="AB41" s="62">
        <f t="shared" si="6"/>
        <v>6</v>
      </c>
      <c r="AC41" s="52">
        <f t="shared" si="36"/>
        <v>7.6923076923076925</v>
      </c>
      <c r="AD41" s="7"/>
      <c r="AE41" s="7"/>
      <c r="AF41" s="9" t="str">
        <f t="shared" si="37"/>
        <v>d) Casa rural</v>
      </c>
      <c r="AG41" s="72">
        <f t="shared" si="38"/>
        <v>0</v>
      </c>
      <c r="AH41" s="72">
        <f t="shared" si="39"/>
        <v>11.111111111111111</v>
      </c>
      <c r="AI41" s="73">
        <f t="shared" si="40"/>
        <v>5</v>
      </c>
      <c r="AJ41" s="73"/>
      <c r="AK41" s="76">
        <f t="shared" si="41"/>
        <v>7.6923076923076925</v>
      </c>
      <c r="AL41" s="76">
        <f t="shared" si="42"/>
        <v>12</v>
      </c>
      <c r="AM41" s="76">
        <f t="shared" si="43"/>
        <v>10.526315789473683</v>
      </c>
      <c r="AN41" s="76"/>
      <c r="AO41" s="81" t="e">
        <f t="shared" si="44"/>
        <v>#DIV/0!</v>
      </c>
      <c r="AP41" s="81" t="e">
        <f t="shared" si="45"/>
        <v>#DIV/0!</v>
      </c>
      <c r="AQ41" s="81" t="e">
        <f t="shared" si="46"/>
        <v>#DIV/0!</v>
      </c>
      <c r="AR41" s="7"/>
      <c r="AS41" s="76">
        <f t="shared" si="1"/>
        <v>7.6923076923076925</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ht="15" x14ac:dyDescent="0.25">
      <c r="A42" s="8" t="s">
        <v>22</v>
      </c>
      <c r="B42" s="9" t="s">
        <v>44</v>
      </c>
      <c r="C42" s="7"/>
      <c r="D42" s="7"/>
      <c r="E42" s="7"/>
      <c r="F42" s="71"/>
      <c r="G42" s="51">
        <f t="shared" si="26"/>
        <v>0</v>
      </c>
      <c r="H42" s="52">
        <f t="shared" si="27"/>
        <v>0</v>
      </c>
      <c r="I42" s="53">
        <f>COUNTIFS('00 Encuesta'!$B$2:$B$511,"*a)*",'00 Encuesta'!$C$2:$C$511,"*a)*",'00 Encuesta'!$E$2:$E$511,"*a)*",'00 Encuesta'!$H$2:$H$511,"*e)*")</f>
        <v>0</v>
      </c>
      <c r="J42" s="52">
        <f t="shared" si="28"/>
        <v>0</v>
      </c>
      <c r="K42" s="53">
        <f>COUNTIFS('00 Encuesta'!$B$2:$B$511,"*a)*",'00 Encuesta'!$C$2:$C$511,"*a)*",'00 Encuesta'!$E$2:$E$511,"*b)*",'00 Encuesta'!$H$2:$H$511,"*e)*")</f>
        <v>0</v>
      </c>
      <c r="L42" s="52">
        <f t="shared" si="29"/>
        <v>0</v>
      </c>
      <c r="M42" s="23"/>
      <c r="N42" s="51">
        <f t="shared" si="30"/>
        <v>1</v>
      </c>
      <c r="O42" s="52">
        <f t="shared" si="47"/>
        <v>2.6315789473684208</v>
      </c>
      <c r="P42" s="53">
        <f>COUNTIFS('00 Encuesta'!$B$2:$B$511,"*a)*",'00 Encuesta'!$C$2:$C$511,"*b)*",'00 Encuesta'!$E$2:$E$511,"*a)*",'00 Encuesta'!$H$2:$H$511,"*e)*")</f>
        <v>1</v>
      </c>
      <c r="Q42" s="52">
        <f t="shared" si="48"/>
        <v>7.6923076923076925</v>
      </c>
      <c r="R42" s="53">
        <f>COUNTIFS('00 Encuesta'!$B$2:$B$511,"*a)*",'00 Encuesta'!$C$2:$C$511,"*b)*",'00 Encuesta'!$E$2:$E$511,"*b)*",'00 Encuesta'!$H$2:$H$511,"*e)*")</f>
        <v>0</v>
      </c>
      <c r="S42" s="52">
        <f t="shared" si="31"/>
        <v>0</v>
      </c>
      <c r="T42" s="3"/>
      <c r="U42" s="51">
        <f t="shared" si="32"/>
        <v>0</v>
      </c>
      <c r="V42" s="52" t="e">
        <f t="shared" si="33"/>
        <v>#DIV/0!</v>
      </c>
      <c r="W42" s="53">
        <f>COUNTIFS('00 Encuesta'!$B$2:$B$511,"*a)*",'00 Encuesta'!$C$2:$C$511,"*c)*",'00 Encuesta'!$E$2:$E$511,"*a)*",'00 Encuesta'!$H$2:$H$511,"*e)*")</f>
        <v>0</v>
      </c>
      <c r="X42" s="52" t="e">
        <f t="shared" si="34"/>
        <v>#DIV/0!</v>
      </c>
      <c r="Y42" s="53">
        <f>COUNTIFS('00 Encuesta'!$B$2:$B$511,"*a)*",'00 Encuesta'!$C$2:$C$511,"*c)*",'00 Encuesta'!$E$2:$E$511,"*b)*",'00 Encuesta'!$H$2:$H$511,"*e)*")</f>
        <v>0</v>
      </c>
      <c r="Z42" s="52" t="e">
        <f t="shared" si="35"/>
        <v>#DIV/0!</v>
      </c>
      <c r="AA42" s="3"/>
      <c r="AB42" s="62">
        <f t="shared" si="6"/>
        <v>1</v>
      </c>
      <c r="AC42" s="52">
        <f t="shared" si="36"/>
        <v>1.2820512820512822</v>
      </c>
      <c r="AD42" s="7"/>
      <c r="AE42" s="7"/>
      <c r="AF42" s="9" t="str">
        <f t="shared" si="37"/>
        <v>e) Rancho</v>
      </c>
      <c r="AG42" s="72">
        <f t="shared" si="38"/>
        <v>0</v>
      </c>
      <c r="AH42" s="72">
        <f t="shared" si="39"/>
        <v>0</v>
      </c>
      <c r="AI42" s="73">
        <f t="shared" si="40"/>
        <v>0</v>
      </c>
      <c r="AJ42" s="73"/>
      <c r="AK42" s="76">
        <f t="shared" si="41"/>
        <v>7.6923076923076925</v>
      </c>
      <c r="AL42" s="76">
        <f t="shared" si="42"/>
        <v>0</v>
      </c>
      <c r="AM42" s="76">
        <f t="shared" si="43"/>
        <v>2.6315789473684208</v>
      </c>
      <c r="AN42" s="76"/>
      <c r="AO42" s="81" t="e">
        <f t="shared" si="44"/>
        <v>#DIV/0!</v>
      </c>
      <c r="AP42" s="81" t="e">
        <f t="shared" si="45"/>
        <v>#DIV/0!</v>
      </c>
      <c r="AQ42" s="81" t="e">
        <f t="shared" si="46"/>
        <v>#DIV/0!</v>
      </c>
      <c r="AR42" s="7"/>
      <c r="AS42" s="76">
        <f t="shared" si="1"/>
        <v>1.2820512820512822</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ht="15" x14ac:dyDescent="0.25">
      <c r="A43" s="8" t="s">
        <v>45</v>
      </c>
      <c r="B43" s="9" t="s">
        <v>46</v>
      </c>
      <c r="C43" s="7"/>
      <c r="D43" s="7"/>
      <c r="E43" s="7"/>
      <c r="F43" s="71"/>
      <c r="G43" s="51">
        <f t="shared" si="26"/>
        <v>1</v>
      </c>
      <c r="H43" s="52">
        <f t="shared" si="27"/>
        <v>2.5</v>
      </c>
      <c r="I43" s="53">
        <f>COUNTIFS('00 Encuesta'!$B$2:$B$511,"*a)*",'00 Encuesta'!$C$2:$C$511,"*a)*",'00 Encuesta'!$E$2:$E$511,"*a)*",'00 Encuesta'!$H$2:$H$511,"*f)*")</f>
        <v>1</v>
      </c>
      <c r="J43" s="52">
        <f t="shared" si="28"/>
        <v>4.5454545454545459</v>
      </c>
      <c r="K43" s="53">
        <f>COUNTIFS('00 Encuesta'!$B$2:$B$511,"*a)*",'00 Encuesta'!$C$2:$C$511,"*a)*",'00 Encuesta'!$E$2:$E$511,"*b)*",'00 Encuesta'!$H$2:$H$511,"*f)*")</f>
        <v>0</v>
      </c>
      <c r="L43" s="52">
        <f t="shared" si="29"/>
        <v>0</v>
      </c>
      <c r="M43" s="23"/>
      <c r="N43" s="51">
        <f t="shared" si="30"/>
        <v>0</v>
      </c>
      <c r="O43" s="52">
        <f t="shared" si="47"/>
        <v>0</v>
      </c>
      <c r="P43" s="53">
        <f>COUNTIFS('00 Encuesta'!$B$2:$B$511,"*a)*",'00 Encuesta'!$C$2:$C$511,"*b)*",'00 Encuesta'!$E$2:$E$511,"*a)*",'00 Encuesta'!$H$2:$H$511,"*f)*")</f>
        <v>0</v>
      </c>
      <c r="Q43" s="52">
        <f t="shared" si="48"/>
        <v>0</v>
      </c>
      <c r="R43" s="53">
        <f>COUNTIFS('00 Encuesta'!$B$2:$B$511,"*a)*",'00 Encuesta'!$C$2:$C$511,"*b)*",'00 Encuesta'!$E$2:$E$511,"*b)*",'00 Encuesta'!$H$2:$H$511,"*f)*")</f>
        <v>0</v>
      </c>
      <c r="S43" s="52">
        <f t="shared" si="31"/>
        <v>0</v>
      </c>
      <c r="T43" s="3"/>
      <c r="U43" s="51">
        <f t="shared" si="32"/>
        <v>0</v>
      </c>
      <c r="V43" s="52" t="e">
        <f t="shared" si="33"/>
        <v>#DIV/0!</v>
      </c>
      <c r="W43" s="53">
        <f>COUNTIFS('00 Encuesta'!$B$2:$B$511,"*a)*",'00 Encuesta'!$C$2:$C$511,"*c)*",'00 Encuesta'!$E$2:$E$511,"*a)*",'00 Encuesta'!$H$2:$H$511,"*f)*")</f>
        <v>0</v>
      </c>
      <c r="X43" s="52" t="e">
        <f t="shared" si="34"/>
        <v>#DIV/0!</v>
      </c>
      <c r="Y43" s="53">
        <f>COUNTIFS('00 Encuesta'!$B$2:$B$511,"*a)*",'00 Encuesta'!$C$2:$C$511,"*c)*",'00 Encuesta'!$E$2:$E$511,"*b)*",'00 Encuesta'!$H$2:$H$511,"*f)*")</f>
        <v>0</v>
      </c>
      <c r="Z43" s="52" t="e">
        <f t="shared" si="35"/>
        <v>#DIV/0!</v>
      </c>
      <c r="AA43" s="3"/>
      <c r="AB43" s="62">
        <f t="shared" si="6"/>
        <v>1</v>
      </c>
      <c r="AC43" s="52">
        <f t="shared" si="36"/>
        <v>1.2820512820512822</v>
      </c>
      <c r="AD43" s="7"/>
      <c r="AE43" s="7"/>
      <c r="AF43" s="9" t="str">
        <f t="shared" si="37"/>
        <v>f) Otro</v>
      </c>
      <c r="AG43" s="72">
        <f t="shared" si="38"/>
        <v>4.5454545454545459</v>
      </c>
      <c r="AH43" s="72">
        <f t="shared" si="39"/>
        <v>0</v>
      </c>
      <c r="AI43" s="73">
        <f t="shared" si="40"/>
        <v>2.5</v>
      </c>
      <c r="AJ43" s="73"/>
      <c r="AK43" s="76">
        <f t="shared" si="41"/>
        <v>0</v>
      </c>
      <c r="AL43" s="76">
        <f t="shared" si="42"/>
        <v>0</v>
      </c>
      <c r="AM43" s="76">
        <f t="shared" si="43"/>
        <v>0</v>
      </c>
      <c r="AN43" s="76"/>
      <c r="AO43" s="81" t="e">
        <f t="shared" si="44"/>
        <v>#DIV/0!</v>
      </c>
      <c r="AP43" s="81" t="e">
        <f t="shared" si="45"/>
        <v>#DIV/0!</v>
      </c>
      <c r="AQ43" s="81" t="e">
        <f t="shared" si="46"/>
        <v>#DIV/0!</v>
      </c>
      <c r="AR43" s="7"/>
      <c r="AS43" s="76">
        <f t="shared" si="1"/>
        <v>1.2820512820512822</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ht="15" x14ac:dyDescent="0.25">
      <c r="A44" s="8" t="s">
        <v>23</v>
      </c>
      <c r="B44" s="9" t="s">
        <v>24</v>
      </c>
      <c r="C44" s="7"/>
      <c r="D44" s="7"/>
      <c r="E44" s="7"/>
      <c r="F44" s="71"/>
      <c r="G44" s="51">
        <f t="shared" si="26"/>
        <v>0</v>
      </c>
      <c r="H44" s="52">
        <f t="shared" si="27"/>
        <v>0</v>
      </c>
      <c r="I44" s="53"/>
      <c r="J44" s="52">
        <f t="shared" si="28"/>
        <v>0</v>
      </c>
      <c r="K44" s="53"/>
      <c r="L44" s="52">
        <f t="shared" si="29"/>
        <v>0</v>
      </c>
      <c r="M44" s="23"/>
      <c r="N44" s="51">
        <f t="shared" si="30"/>
        <v>0</v>
      </c>
      <c r="O44" s="52">
        <f t="shared" si="47"/>
        <v>0</v>
      </c>
      <c r="P44" s="53"/>
      <c r="Q44" s="52">
        <f t="shared" si="48"/>
        <v>0</v>
      </c>
      <c r="R44" s="53"/>
      <c r="S44" s="52">
        <f t="shared" si="31"/>
        <v>0</v>
      </c>
      <c r="T44" s="3"/>
      <c r="U44" s="51">
        <f t="shared" si="32"/>
        <v>0</v>
      </c>
      <c r="V44" s="52" t="e">
        <f t="shared" si="33"/>
        <v>#DIV/0!</v>
      </c>
      <c r="W44" s="53"/>
      <c r="X44" s="52" t="e">
        <f t="shared" si="34"/>
        <v>#DIV/0!</v>
      </c>
      <c r="Y44" s="53"/>
      <c r="Z44" s="52" t="e">
        <f t="shared" si="35"/>
        <v>#DIV/0!</v>
      </c>
      <c r="AA44" s="3"/>
      <c r="AB44" s="62">
        <f t="shared" si="6"/>
        <v>0</v>
      </c>
      <c r="AC44" s="52">
        <f t="shared" si="36"/>
        <v>0</v>
      </c>
      <c r="AD44" s="7"/>
      <c r="AE44" s="7"/>
      <c r="AF44" s="9" t="str">
        <f t="shared" si="37"/>
        <v>S/R Sin Respuesta</v>
      </c>
      <c r="AG44" s="72">
        <f t="shared" si="38"/>
        <v>0</v>
      </c>
      <c r="AH44" s="72">
        <f t="shared" si="39"/>
        <v>0</v>
      </c>
      <c r="AI44" s="73">
        <f t="shared" si="40"/>
        <v>0</v>
      </c>
      <c r="AJ44" s="73"/>
      <c r="AK44" s="76">
        <f t="shared" si="41"/>
        <v>0</v>
      </c>
      <c r="AL44" s="76">
        <f t="shared" si="42"/>
        <v>0</v>
      </c>
      <c r="AM44" s="76">
        <f t="shared" si="43"/>
        <v>0</v>
      </c>
      <c r="AN44" s="76"/>
      <c r="AO44" s="81" t="e">
        <f t="shared" si="44"/>
        <v>#DIV/0!</v>
      </c>
      <c r="AP44" s="81" t="e">
        <f t="shared" si="45"/>
        <v>#DIV/0!</v>
      </c>
      <c r="AQ44" s="81" t="e">
        <f t="shared" si="46"/>
        <v>#DIV/0!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ht="15" x14ac:dyDescent="0.25">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ht="15" x14ac:dyDescent="0.25">
      <c r="A47" s="8" t="s">
        <v>17</v>
      </c>
      <c r="B47" s="9" t="s">
        <v>49</v>
      </c>
      <c r="C47" s="7"/>
      <c r="D47" s="7"/>
      <c r="E47" s="7"/>
      <c r="F47" s="71">
        <v>100</v>
      </c>
      <c r="G47" s="51">
        <f>I47+K47</f>
        <v>28</v>
      </c>
      <c r="H47" s="52">
        <f>G47/$J$5*100</f>
        <v>70</v>
      </c>
      <c r="I47" s="53">
        <f>COUNTIFS('00 Encuesta'!$B$2:$B$511,"*a)*",'00 Encuesta'!$C$2:$C$511,"*a)*",'00 Encuesta'!$E$2:$E$511,"*a)*",'00 Encuesta'!$I$2:$I$511,"*a)*")</f>
        <v>20</v>
      </c>
      <c r="J47" s="52">
        <f>I47/$J$6*100</f>
        <v>90.909090909090907</v>
      </c>
      <c r="K47" s="53">
        <f>COUNTIFS('00 Encuesta'!$B$2:$B$511,"*a)*",'00 Encuesta'!$C$2:$C$511,"*a)*",'00 Encuesta'!$E$2:$E$511,"*b)*",'00 Encuesta'!$I$2:$I$511,"*a)*")</f>
        <v>8</v>
      </c>
      <c r="L47" s="52">
        <f>K47/$J$7*100</f>
        <v>44.444444444444443</v>
      </c>
      <c r="M47" s="23"/>
      <c r="N47" s="51">
        <f>P47+R47</f>
        <v>25</v>
      </c>
      <c r="O47" s="52">
        <f>N47/$Q$5*100</f>
        <v>65.789473684210535</v>
      </c>
      <c r="P47" s="53">
        <f>COUNTIFS('00 Encuesta'!$B$2:$B$511,"*a)*",'00 Encuesta'!$C$2:$C$511,"*b)*",'00 Encuesta'!$E$2:$E$511,"*a)*",'00 Encuesta'!$I$2:$I$511,"*a)*")</f>
        <v>10</v>
      </c>
      <c r="Q47" s="52">
        <f>P47/$Q$6*100</f>
        <v>76.923076923076934</v>
      </c>
      <c r="R47" s="53">
        <f>COUNTIFS('00 Encuesta'!$B$2:$B$511,"*a)*",'00 Encuesta'!$C$2:$C$511,"*b)*",'00 Encuesta'!$E$2:$E$511,"*b)*",'00 Encuesta'!$I$2:$I$511,"*a)*")</f>
        <v>15</v>
      </c>
      <c r="S47" s="52">
        <f>R47/$Q$7*100</f>
        <v>60</v>
      </c>
      <c r="T47" s="3"/>
      <c r="U47" s="51">
        <f>W47+Y47</f>
        <v>0</v>
      </c>
      <c r="V47" s="52" t="e">
        <f>U47/$X$5*100</f>
        <v>#DIV/0!</v>
      </c>
      <c r="W47" s="53">
        <f>COUNTIFS('00 Encuesta'!$B$2:$B$511,"*a)*",'00 Encuesta'!$C$2:$C$511,"*c)*",'00 Encuesta'!$E$2:$E$511,"*a)*",'00 Encuesta'!$I$2:$I$511,"*a)*")</f>
        <v>0</v>
      </c>
      <c r="X47" s="52" t="e">
        <f>W47/$X$6*100</f>
        <v>#DIV/0!</v>
      </c>
      <c r="Y47" s="53">
        <f>COUNTIFS('00 Encuesta'!$B$2:$B$511,"*a)*",'00 Encuesta'!$C$2:$C$511,"*c)*",'00 Encuesta'!$E$2:$E$511,"*b)*",'00 Encuesta'!$I$2:$I$511,"*a)*")</f>
        <v>0</v>
      </c>
      <c r="Z47" s="52" t="e">
        <f>Y47/$X$7*100</f>
        <v>#DIV/0!</v>
      </c>
      <c r="AA47" s="3"/>
      <c r="AB47" s="62">
        <f t="shared" si="6"/>
        <v>53</v>
      </c>
      <c r="AC47" s="52">
        <f>AB47*100/$AC$5</f>
        <v>67.948717948717942</v>
      </c>
      <c r="AD47" s="7"/>
      <c r="AE47" s="7"/>
      <c r="AF47" s="9" t="str">
        <f t="shared" si="49"/>
        <v>a) Si</v>
      </c>
      <c r="AG47" s="72">
        <f>J47</f>
        <v>90.909090909090907</v>
      </c>
      <c r="AH47" s="72">
        <f>L47</f>
        <v>44.444444444444443</v>
      </c>
      <c r="AI47" s="73">
        <f>H47</f>
        <v>70</v>
      </c>
      <c r="AJ47" s="73"/>
      <c r="AK47" s="76">
        <f>Q47</f>
        <v>76.923076923076934</v>
      </c>
      <c r="AL47" s="76">
        <f>S47</f>
        <v>60</v>
      </c>
      <c r="AM47" s="76">
        <f>O47</f>
        <v>65.789473684210535</v>
      </c>
      <c r="AN47" s="76"/>
      <c r="AO47" s="81" t="e">
        <f>X47</f>
        <v>#DIV/0!</v>
      </c>
      <c r="AP47" s="81" t="e">
        <f>Z47</f>
        <v>#DIV/0!</v>
      </c>
      <c r="AQ47" s="81" t="e">
        <f>V47</f>
        <v>#DIV/0!</v>
      </c>
      <c r="AR47" s="7"/>
      <c r="AS47" s="76">
        <f t="shared" si="1"/>
        <v>67.948717948717942</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ht="15" x14ac:dyDescent="0.25">
      <c r="A48" s="8" t="s">
        <v>18</v>
      </c>
      <c r="B48" s="9" t="s">
        <v>50</v>
      </c>
      <c r="C48" s="7"/>
      <c r="D48" s="7"/>
      <c r="E48" s="7"/>
      <c r="F48" s="71">
        <v>0</v>
      </c>
      <c r="G48" s="51">
        <f>I48+K48</f>
        <v>0</v>
      </c>
      <c r="H48" s="52">
        <f>G48/$J$5*100</f>
        <v>0</v>
      </c>
      <c r="I48" s="53">
        <f>COUNTIFS('00 Encuesta'!$B$2:$B$511,"*a)*",'00 Encuesta'!$C$2:$C$511,"*a)*",'00 Encuesta'!$E$2:$E$511,"*a)*",'00 Encuesta'!$I$2:$I$511,"*b)*")</f>
        <v>0</v>
      </c>
      <c r="J48" s="52">
        <f>I48/$J$6*100</f>
        <v>0</v>
      </c>
      <c r="K48" s="53">
        <f>COUNTIFS('00 Encuesta'!$B$2:$B$511,"*a)*",'00 Encuesta'!$C$2:$C$511,"*a)*",'00 Encuesta'!$E$2:$E$511,"*b)*",'00 Encuesta'!$I$2:$I$511,"*b)*")</f>
        <v>0</v>
      </c>
      <c r="L48" s="52">
        <f>K48/$J$7*100</f>
        <v>0</v>
      </c>
      <c r="M48" s="23"/>
      <c r="N48" s="51">
        <f>P48+R48</f>
        <v>0</v>
      </c>
      <c r="O48" s="52">
        <f>N48/$Q$5*100</f>
        <v>0</v>
      </c>
      <c r="P48" s="53">
        <f>COUNTIFS('00 Encuesta'!$B$2:$B$511,"*a)*",'00 Encuesta'!$C$2:$C$511,"*b)*",'00 Encuesta'!$E$2:$E$511,"*a)*",'00 Encuesta'!$I$2:$I$511,"*b)*")</f>
        <v>0</v>
      </c>
      <c r="Q48" s="52">
        <f>P48/$Q$6*100</f>
        <v>0</v>
      </c>
      <c r="R48" s="53">
        <f>COUNTIFS('00 Encuesta'!$B$2:$B$511,"*a)*",'00 Encuesta'!$C$2:$C$511,"*b)*",'00 Encuesta'!$E$2:$E$511,"*b)*",'00 Encuesta'!$I$2:$I$511,"*b)*")</f>
        <v>0</v>
      </c>
      <c r="S48" s="52">
        <f>R48/$Q$7*100</f>
        <v>0</v>
      </c>
      <c r="T48" s="3"/>
      <c r="U48" s="51">
        <f>W48+Y48</f>
        <v>0</v>
      </c>
      <c r="V48" s="52" t="e">
        <f>U48/$X$5*100</f>
        <v>#DIV/0!</v>
      </c>
      <c r="W48" s="53">
        <f>COUNTIFS('00 Encuesta'!$B$2:$B$511,"*a)*",'00 Encuesta'!$C$2:$C$511,"*c)*",'00 Encuesta'!$E$2:$E$511,"*a)*",'00 Encuesta'!$I$2:$I$511,"*b)*")</f>
        <v>0</v>
      </c>
      <c r="X48" s="52" t="e">
        <f>W48/$X$6*100</f>
        <v>#DIV/0!</v>
      </c>
      <c r="Y48" s="53">
        <f>COUNTIFS('00 Encuesta'!$B$2:$B$511,"*a)*",'00 Encuesta'!$C$2:$C$511,"*c)*",'00 Encuesta'!$E$2:$E$511,"*b)*",'00 Encuesta'!$I$2:$I$511,"*b)*")</f>
        <v>0</v>
      </c>
      <c r="Z48" s="52" t="e">
        <f>Y48/$X$7*100</f>
        <v>#DIV/0!</v>
      </c>
      <c r="AA48" s="3"/>
      <c r="AB48" s="62">
        <f t="shared" si="6"/>
        <v>0</v>
      </c>
      <c r="AC48" s="52">
        <f>AB48*100/$AC$5</f>
        <v>0</v>
      </c>
      <c r="AD48" s="7"/>
      <c r="AE48" s="7"/>
      <c r="AF48" s="9" t="str">
        <f t="shared" si="49"/>
        <v>b) No</v>
      </c>
      <c r="AG48" s="72">
        <f>J48</f>
        <v>0</v>
      </c>
      <c r="AH48" s="72">
        <f>L48</f>
        <v>0</v>
      </c>
      <c r="AI48" s="73">
        <f>H48</f>
        <v>0</v>
      </c>
      <c r="AJ48" s="73"/>
      <c r="AK48" s="76">
        <f>Q48</f>
        <v>0</v>
      </c>
      <c r="AL48" s="76">
        <f>S48</f>
        <v>0</v>
      </c>
      <c r="AM48" s="76">
        <f>O48</f>
        <v>0</v>
      </c>
      <c r="AN48" s="76"/>
      <c r="AO48" s="81" t="e">
        <f>X48</f>
        <v>#DIV/0!</v>
      </c>
      <c r="AP48" s="81" t="e">
        <f>Z48</f>
        <v>#DIV/0!</v>
      </c>
      <c r="AQ48" s="81" t="e">
        <f>V48</f>
        <v>#DIV/0!</v>
      </c>
      <c r="AR48" s="7"/>
      <c r="AS48" s="76">
        <f t="shared" si="1"/>
        <v>0</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ht="15" x14ac:dyDescent="0.25">
      <c r="A49" s="8" t="s">
        <v>20</v>
      </c>
      <c r="B49" s="9" t="s">
        <v>51</v>
      </c>
      <c r="C49" s="7"/>
      <c r="D49" s="7"/>
      <c r="E49" s="7"/>
      <c r="F49" s="71">
        <v>50</v>
      </c>
      <c r="G49" s="51">
        <f>I49+K49</f>
        <v>9</v>
      </c>
      <c r="H49" s="52">
        <f>G49/$J$5*100</f>
        <v>22.5</v>
      </c>
      <c r="I49" s="53">
        <f>COUNTIFS('00 Encuesta'!$B$2:$B$511,"*a)*",'00 Encuesta'!$C$2:$C$511,"*a)*",'00 Encuesta'!$E$2:$E$511,"*a)*",'00 Encuesta'!$I$2:$I$511,"*c)*")</f>
        <v>2</v>
      </c>
      <c r="J49" s="52">
        <f>I49/$J$6*100</f>
        <v>9.0909090909090917</v>
      </c>
      <c r="K49" s="53">
        <f>COUNTIFS('00 Encuesta'!$B$2:$B$511,"*a)*",'00 Encuesta'!$C$2:$C$511,"*a)*",'00 Encuesta'!$E$2:$E$511,"*b)*",'00 Encuesta'!$I$2:$I$511,"*c)*")</f>
        <v>7</v>
      </c>
      <c r="L49" s="52">
        <f>K49/$J$7*100</f>
        <v>38.888888888888893</v>
      </c>
      <c r="M49" s="23"/>
      <c r="N49" s="51">
        <f>P49+R49</f>
        <v>10</v>
      </c>
      <c r="O49" s="52">
        <f>N49/$Q$5*100</f>
        <v>26.315789473684209</v>
      </c>
      <c r="P49" s="53">
        <f>COUNTIFS('00 Encuesta'!$B$2:$B$511,"*a)*",'00 Encuesta'!$C$2:$C$511,"*b)*",'00 Encuesta'!$E$2:$E$511,"*a)*",'00 Encuesta'!$I$2:$I$511,"*c)*")</f>
        <v>3</v>
      </c>
      <c r="Q49" s="52">
        <f>P49/$Q$6*100</f>
        <v>23.076923076923077</v>
      </c>
      <c r="R49" s="53">
        <f>COUNTIFS('00 Encuesta'!$B$2:$B$511,"*a)*",'00 Encuesta'!$C$2:$C$511,"*b)*",'00 Encuesta'!$E$2:$E$511,"*b)*",'00 Encuesta'!$I$2:$I$511,"*c)*")</f>
        <v>7</v>
      </c>
      <c r="S49" s="52">
        <f>R49/$Q$7*100</f>
        <v>28.000000000000004</v>
      </c>
      <c r="T49" s="3"/>
      <c r="U49" s="51">
        <f>W49+Y49</f>
        <v>0</v>
      </c>
      <c r="V49" s="52" t="e">
        <f>U49/$X$5*100</f>
        <v>#DIV/0!</v>
      </c>
      <c r="W49" s="53">
        <f>COUNTIFS('00 Encuesta'!$B$2:$B$511,"*a)*",'00 Encuesta'!$C$2:$C$511,"*c)*",'00 Encuesta'!$E$2:$E$511,"*a)*",'00 Encuesta'!$I$2:$I$511,"*c)*")</f>
        <v>0</v>
      </c>
      <c r="X49" s="52" t="e">
        <f>W49/$X$6*100</f>
        <v>#DIV/0!</v>
      </c>
      <c r="Y49" s="53">
        <f>COUNTIFS('00 Encuesta'!$B$2:$B$511,"*a)*",'00 Encuesta'!$C$2:$C$511,"*c)*",'00 Encuesta'!$E$2:$E$511,"*b)*",'00 Encuesta'!$I$2:$I$511,"*c)*")</f>
        <v>0</v>
      </c>
      <c r="Z49" s="52" t="e">
        <f>Y49/$X$7*100</f>
        <v>#DIV/0!</v>
      </c>
      <c r="AA49" s="3"/>
      <c r="AB49" s="62">
        <f t="shared" si="6"/>
        <v>19</v>
      </c>
      <c r="AC49" s="52">
        <f>AB49*100/$AC$5</f>
        <v>24.358974358974358</v>
      </c>
      <c r="AD49" s="7"/>
      <c r="AE49" s="7"/>
      <c r="AF49" s="9" t="str">
        <f t="shared" si="49"/>
        <v>c) Algo</v>
      </c>
      <c r="AG49" s="72">
        <f>J49</f>
        <v>9.0909090909090917</v>
      </c>
      <c r="AH49" s="72">
        <f>L49</f>
        <v>38.888888888888893</v>
      </c>
      <c r="AI49" s="73">
        <f>H49</f>
        <v>22.5</v>
      </c>
      <c r="AJ49" s="73"/>
      <c r="AK49" s="76">
        <f>Q49</f>
        <v>23.076923076923077</v>
      </c>
      <c r="AL49" s="76">
        <f>S49</f>
        <v>28.000000000000004</v>
      </c>
      <c r="AM49" s="76">
        <f>O49</f>
        <v>26.315789473684209</v>
      </c>
      <c r="AN49" s="76"/>
      <c r="AO49" s="81" t="e">
        <f>X49</f>
        <v>#DIV/0!</v>
      </c>
      <c r="AP49" s="81" t="e">
        <f>Z49</f>
        <v>#DIV/0!</v>
      </c>
      <c r="AQ49" s="81" t="e">
        <f>V49</f>
        <v>#DIV/0!</v>
      </c>
      <c r="AR49" s="7"/>
      <c r="AS49" s="76">
        <f t="shared" si="1"/>
        <v>24.358974358974358</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3</v>
      </c>
      <c r="H50" s="52">
        <f>G50/$J$5*100</f>
        <v>7.5</v>
      </c>
      <c r="I50" s="53">
        <f>COUNTIFS('00 Encuesta'!$B$2:$B$511,"*a)*",'00 Encuesta'!$C$2:$C$511,"*a)*",'00 Encuesta'!$E$2:$E$511,"*a)*",'00 Encuesta'!$I$2:$I$511,"*d)*")</f>
        <v>0</v>
      </c>
      <c r="J50" s="52">
        <f>I50/$J$6*100</f>
        <v>0</v>
      </c>
      <c r="K50" s="53">
        <f>COUNTIFS('00 Encuesta'!$B$2:$B$511,"*a)*",'00 Encuesta'!$C$2:$C$511,"*a)*",'00 Encuesta'!$E$2:$E$511,"*b)*",'00 Encuesta'!$I$2:$I$511,"*d)*")</f>
        <v>3</v>
      </c>
      <c r="L50" s="52">
        <f>K50/$J$7*100</f>
        <v>16.666666666666664</v>
      </c>
      <c r="M50" s="23"/>
      <c r="N50" s="51">
        <f>P50+R50</f>
        <v>2</v>
      </c>
      <c r="O50" s="52">
        <f>N50/$Q$5*100</f>
        <v>5.2631578947368416</v>
      </c>
      <c r="P50" s="53">
        <f>COUNTIFS('00 Encuesta'!$B$2:$B$511,"*a)*",'00 Encuesta'!$C$2:$C$511,"*b)*",'00 Encuesta'!$E$2:$E$511,"*a)*",'00 Encuesta'!$I$2:$I$511,"*d)*")</f>
        <v>0</v>
      </c>
      <c r="Q50" s="52">
        <f>P50/$Q$6*100</f>
        <v>0</v>
      </c>
      <c r="R50" s="53">
        <f>COUNTIFS('00 Encuesta'!$B$2:$B$511,"*a)*",'00 Encuesta'!$C$2:$C$511,"*b)*",'00 Encuesta'!$E$2:$E$511,"*b)*",'00 Encuesta'!$I$2:$I$511,"*d)*")</f>
        <v>2</v>
      </c>
      <c r="S50" s="52">
        <f>R50/$Q$7*100</f>
        <v>8</v>
      </c>
      <c r="T50" s="3"/>
      <c r="U50" s="51">
        <f>W50+Y50</f>
        <v>0</v>
      </c>
      <c r="V50" s="52" t="e">
        <f>U50/$X$5*100</f>
        <v>#DIV/0!</v>
      </c>
      <c r="W50" s="53">
        <f>COUNTIFS('00 Encuesta'!$B$2:$B$511,"*a)*",'00 Encuesta'!$C$2:$C$511,"*c)*",'00 Encuesta'!$E$2:$E$511,"*a)*",'00 Encuesta'!$I$2:$I$511,"*d)*")</f>
        <v>0</v>
      </c>
      <c r="X50" s="52" t="e">
        <f>W50/$X$6*100</f>
        <v>#DIV/0!</v>
      </c>
      <c r="Y50" s="53">
        <f>COUNTIFS('00 Encuesta'!$B$2:$B$511,"*a)*",'00 Encuesta'!$C$2:$C$511,"*c)*",'00 Encuesta'!$E$2:$E$511,"*b)*",'00 Encuesta'!$I$2:$I$511,"*d)*")</f>
        <v>0</v>
      </c>
      <c r="Z50" s="52" t="e">
        <f>Y50/$X$7*100</f>
        <v>#DIV/0!</v>
      </c>
      <c r="AA50" s="3"/>
      <c r="AB50" s="62">
        <f t="shared" si="6"/>
        <v>5</v>
      </c>
      <c r="AC50" s="52">
        <f>AB50*100/$AC$5</f>
        <v>6.4102564102564106</v>
      </c>
      <c r="AD50" s="7"/>
      <c r="AE50" s="7"/>
      <c r="AF50" s="9" t="str">
        <f t="shared" si="49"/>
        <v>d) No sé</v>
      </c>
      <c r="AG50" s="72">
        <f>J50</f>
        <v>0</v>
      </c>
      <c r="AH50" s="72">
        <f>L50</f>
        <v>16.666666666666664</v>
      </c>
      <c r="AI50" s="73">
        <f>H50</f>
        <v>7.5</v>
      </c>
      <c r="AJ50" s="73"/>
      <c r="AK50" s="76">
        <f>Q50</f>
        <v>0</v>
      </c>
      <c r="AL50" s="76">
        <f>S50</f>
        <v>8</v>
      </c>
      <c r="AM50" s="76">
        <f>O50</f>
        <v>5.2631578947368416</v>
      </c>
      <c r="AN50" s="76"/>
      <c r="AO50" s="81" t="e">
        <f>X50</f>
        <v>#DIV/0!</v>
      </c>
      <c r="AP50" s="81" t="e">
        <f>Z50</f>
        <v>#DIV/0!</v>
      </c>
      <c r="AQ50" s="81" t="e">
        <f>V50</f>
        <v>#DIV/0!</v>
      </c>
      <c r="AR50" s="7"/>
      <c r="AS50" s="76">
        <f t="shared" si="1"/>
        <v>6.4102564102564106</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ht="15" x14ac:dyDescent="0.25">
      <c r="A51" s="8" t="s">
        <v>23</v>
      </c>
      <c r="B51" s="9" t="s">
        <v>24</v>
      </c>
      <c r="C51" s="7"/>
      <c r="D51" s="7"/>
      <c r="E51" s="7"/>
      <c r="F51" s="71"/>
      <c r="G51" s="51">
        <f>I51+K51</f>
        <v>0</v>
      </c>
      <c r="H51" s="52">
        <f>G51/$J$5*100</f>
        <v>0</v>
      </c>
      <c r="I51" s="53"/>
      <c r="J51" s="52">
        <f>I51/$J$6*100</f>
        <v>0</v>
      </c>
      <c r="K51" s="53"/>
      <c r="L51" s="52">
        <f>K51/$J$7*100</f>
        <v>0</v>
      </c>
      <c r="M51" s="23"/>
      <c r="N51" s="51">
        <f>P51+R51</f>
        <v>0</v>
      </c>
      <c r="O51" s="52">
        <f>N51/$Q$5*100</f>
        <v>0</v>
      </c>
      <c r="P51" s="53"/>
      <c r="Q51" s="52">
        <f>P51/$Q$6*100</f>
        <v>0</v>
      </c>
      <c r="R51" s="53"/>
      <c r="S51" s="52">
        <f>R51/$Q$7*100</f>
        <v>0</v>
      </c>
      <c r="T51" s="3"/>
      <c r="U51" s="51">
        <f>W51+Y51</f>
        <v>0</v>
      </c>
      <c r="V51" s="52" t="e">
        <f>U51/$X$5*100</f>
        <v>#DIV/0!</v>
      </c>
      <c r="W51" s="53"/>
      <c r="X51" s="52" t="e">
        <f>W51/$X$6*100</f>
        <v>#DIV/0!</v>
      </c>
      <c r="Y51" s="53"/>
      <c r="Z51" s="52" t="e">
        <f>Y51/$X$7*100</f>
        <v>#DIV/0!</v>
      </c>
      <c r="AA51" s="3"/>
      <c r="AB51" s="62">
        <f t="shared" si="6"/>
        <v>0</v>
      </c>
      <c r="AC51" s="52">
        <f>AB51*100/$AC$5</f>
        <v>0</v>
      </c>
      <c r="AD51" s="7"/>
      <c r="AE51" s="7"/>
      <c r="AF51" s="9" t="str">
        <f t="shared" si="49"/>
        <v>S/R Sin Respuesta</v>
      </c>
      <c r="AG51" s="72">
        <f>J51</f>
        <v>0</v>
      </c>
      <c r="AH51" s="72">
        <f>L51</f>
        <v>0</v>
      </c>
      <c r="AI51" s="73">
        <f>H51</f>
        <v>0</v>
      </c>
      <c r="AJ51" s="73"/>
      <c r="AK51" s="76">
        <f>Q51</f>
        <v>0</v>
      </c>
      <c r="AL51" s="76">
        <f>S51</f>
        <v>0</v>
      </c>
      <c r="AM51" s="76">
        <f>O51</f>
        <v>0</v>
      </c>
      <c r="AN51" s="76"/>
      <c r="AO51" s="81" t="e">
        <f>X51</f>
        <v>#DIV/0!</v>
      </c>
      <c r="AP51" s="81" t="e">
        <f>Z51</f>
        <v>#DIV/0!</v>
      </c>
      <c r="AQ51" s="81" t="e">
        <f>V51</f>
        <v>#DIV/0!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ht="15" x14ac:dyDescent="0.25">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95.454545454545453</v>
      </c>
      <c r="AH52" s="82">
        <f>($F47*K47+$F48*K48+$F49*K49+$F50*K50)/(+K47+K48+K49+K50)</f>
        <v>63.888888888888886</v>
      </c>
      <c r="AI52" s="82">
        <f>($F47*G47+$F48*G48+$F49*G49+$F50*G50)/(G47+G48+G49+G50)</f>
        <v>81.25</v>
      </c>
      <c r="AJ52" s="82"/>
      <c r="AK52" s="82">
        <f>($F47*P47+$F48*P48+$F49*P49+$F50*P50)/(P47+P48+P49+P50)</f>
        <v>88.461538461538467</v>
      </c>
      <c r="AL52" s="82">
        <f>($F47*R47+$F48*R48+$F49*R49+$F50*R50)/(R47+R48+R49+R50)</f>
        <v>77.083333333333329</v>
      </c>
      <c r="AM52" s="82">
        <f>($F47*N47+$F48*N48+$F49*N49+$F50*N50)/(N47+N48+N49+N50)</f>
        <v>81.081081081081081</v>
      </c>
      <c r="AN52" s="82"/>
      <c r="AO52" s="82" t="e">
        <f>($F47*W47+$F48*W48+$F49*W49+$F50*W50)/(W47+W48+W49+W50)</f>
        <v>#DIV/0!</v>
      </c>
      <c r="AP52" s="82" t="e">
        <f>($F47*Y47+$F48*Y48+$F49*Y49+$F50*Y50)/(Y47+Y48+Y49+Y50)</f>
        <v>#DIV/0!</v>
      </c>
      <c r="AQ52" s="82" t="e">
        <f>($F47*U47+$F48*U48+$F49*U49+$F50*U50)/(U47+U48+U49+U50)</f>
        <v>#DIV/0!</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ht="15" x14ac:dyDescent="0.25">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ht="15" x14ac:dyDescent="0.25">
      <c r="A54" s="8" t="s">
        <v>17</v>
      </c>
      <c r="B54" s="9" t="s">
        <v>55</v>
      </c>
      <c r="C54" s="7"/>
      <c r="D54" s="7"/>
      <c r="E54" s="7"/>
      <c r="F54" s="71"/>
      <c r="G54" s="51">
        <f t="shared" ref="G54:G64" si="50">I54+K54</f>
        <v>32</v>
      </c>
      <c r="H54" s="52">
        <f t="shared" ref="H54:H64" si="51">G54/$J$5*100</f>
        <v>80</v>
      </c>
      <c r="I54" s="53">
        <f>COUNTIFS('00 Encuesta'!$B$2:$B$511,"*a)*",'00 Encuesta'!$C$2:$C$511,"*a)*",'00 Encuesta'!$E$2:$E$511,"*a)*",'00 Encuesta'!$J$2:$J$511,"*a)*")</f>
        <v>18</v>
      </c>
      <c r="J54" s="52">
        <f t="shared" ref="J54:J64" si="52">I54/$J$6*100</f>
        <v>81.818181818181827</v>
      </c>
      <c r="K54" s="53">
        <f>COUNTIFS('00 Encuesta'!$B$2:$B$511,"*a)*",'00 Encuesta'!$C$2:$C$511,"*a)*",'00 Encuesta'!$E$2:$E$511,"*b)*",'00 Encuesta'!$J$2:$J$511,"*a)*")</f>
        <v>14</v>
      </c>
      <c r="L54" s="52">
        <f t="shared" ref="L54:L64" si="53">K54/$J$7*100</f>
        <v>77.777777777777786</v>
      </c>
      <c r="M54" s="23"/>
      <c r="N54" s="51">
        <f t="shared" ref="N54:N64" si="54">P54+R54</f>
        <v>19</v>
      </c>
      <c r="O54" s="52">
        <f t="shared" ref="O54:O64" si="55">N54/$Q$5*100</f>
        <v>50</v>
      </c>
      <c r="P54" s="53">
        <f>COUNTIFS('00 Encuesta'!$B$2:$B$511,"*a)*",'00 Encuesta'!$C$2:$C$511,"*b)*",'00 Encuesta'!$E$2:$E$511,"*a)*",'00 Encuesta'!$J$2:$J$511,"*a)*")</f>
        <v>7</v>
      </c>
      <c r="Q54" s="52">
        <f t="shared" ref="Q54:Q64" si="56">P54/$Q$6*100</f>
        <v>53.846153846153847</v>
      </c>
      <c r="R54" s="53">
        <f>COUNTIFS('00 Encuesta'!$B$2:$B$511,"*a)*",'00 Encuesta'!$C$2:$C$511,"*b)*",'00 Encuesta'!$E$2:$E$511,"*b)*",'00 Encuesta'!$J$2:$J$511,"*a)*")</f>
        <v>12</v>
      </c>
      <c r="S54" s="52">
        <f t="shared" ref="S54:S64" si="57">R54/$Q$7*100</f>
        <v>48</v>
      </c>
      <c r="T54" s="3"/>
      <c r="U54" s="51">
        <f t="shared" ref="U54:U64" si="58">W54+Y54</f>
        <v>0</v>
      </c>
      <c r="V54" s="52" t="e">
        <f t="shared" ref="V54:V64" si="59">U54/$X$5*100</f>
        <v>#DIV/0!</v>
      </c>
      <c r="W54" s="53">
        <f>COUNTIFS('00 Encuesta'!$B$2:$B$511,"*a)*",'00 Encuesta'!$C$2:$C$511,"*c)*",'00 Encuesta'!$E$2:$E$511,"*a)*",'00 Encuesta'!$J$2:$J$511,"*a)*")</f>
        <v>0</v>
      </c>
      <c r="X54" s="52" t="e">
        <f t="shared" ref="X54:X64" si="60">W54/$X$6*100</f>
        <v>#DIV/0!</v>
      </c>
      <c r="Y54" s="53">
        <f>COUNTIFS('00 Encuesta'!$B$2:$B$511,"*a)*",'00 Encuesta'!$C$2:$C$511,"*c)*",'00 Encuesta'!$E$2:$E$511,"*b)*",'00 Encuesta'!$J$2:$J$511,"*a)*")</f>
        <v>0</v>
      </c>
      <c r="Z54" s="52" t="e">
        <f t="shared" ref="Z54:Z64" si="61">Y54/$X$7*100</f>
        <v>#DIV/0!</v>
      </c>
      <c r="AA54" s="3"/>
      <c r="AB54" s="62">
        <f t="shared" si="6"/>
        <v>51</v>
      </c>
      <c r="AC54" s="52">
        <f t="shared" ref="AC54:AC64" si="62">AB54*100/$AC$5</f>
        <v>65.384615384615387</v>
      </c>
      <c r="AD54" s="7"/>
      <c r="AE54" s="7"/>
      <c r="AF54" s="9" t="str">
        <f t="shared" ref="AF54:AF65" si="63">A54&amp;" "&amp;B54</f>
        <v>a) Videojuegos consola</v>
      </c>
      <c r="AG54" s="72">
        <f t="shared" ref="AG54:AG65" si="64">J54</f>
        <v>81.818181818181827</v>
      </c>
      <c r="AH54" s="72">
        <f t="shared" ref="AH54:AH65" si="65">L54</f>
        <v>77.777777777777786</v>
      </c>
      <c r="AI54" s="73">
        <f t="shared" ref="AI54:AI65" si="66">H54</f>
        <v>80</v>
      </c>
      <c r="AJ54" s="73"/>
      <c r="AK54" s="76">
        <f t="shared" ref="AK54:AK65" si="67">Q54</f>
        <v>53.846153846153847</v>
      </c>
      <c r="AL54" s="76">
        <f t="shared" ref="AL54:AL65" si="68">S54</f>
        <v>48</v>
      </c>
      <c r="AM54" s="76">
        <f t="shared" ref="AM54:AM65" si="69">O54</f>
        <v>50</v>
      </c>
      <c r="AN54" s="76"/>
      <c r="AO54" s="81" t="e">
        <f t="shared" ref="AO54:AO65" si="70">X54</f>
        <v>#DIV/0!</v>
      </c>
      <c r="AP54" s="81" t="e">
        <f t="shared" ref="AP54:AP65" si="71">Z54</f>
        <v>#DIV/0!</v>
      </c>
      <c r="AQ54" s="81" t="e">
        <f t="shared" ref="AQ54:AQ65" si="72">V54</f>
        <v>#DIV/0!</v>
      </c>
      <c r="AR54" s="7"/>
      <c r="AS54" s="76">
        <f t="shared" si="1"/>
        <v>65.384615384615387</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ht="15" x14ac:dyDescent="0.25">
      <c r="A55" s="8" t="s">
        <v>18</v>
      </c>
      <c r="B55" s="9" t="s">
        <v>56</v>
      </c>
      <c r="C55" s="7"/>
      <c r="D55" s="7"/>
      <c r="E55" s="7"/>
      <c r="F55" s="71"/>
      <c r="G55" s="51">
        <f t="shared" si="50"/>
        <v>37</v>
      </c>
      <c r="H55" s="52">
        <f t="shared" si="51"/>
        <v>92.5</v>
      </c>
      <c r="I55" s="53">
        <f>COUNTIFS('00 Encuesta'!$B$2:$B$511,"*a)*",'00 Encuesta'!$C$2:$C$511,"*a)*",'00 Encuesta'!$E$2:$E$511,"*a)*",'00 Encuesta'!$J$2:$J$511,"*b)*")</f>
        <v>19</v>
      </c>
      <c r="J55" s="52">
        <f t="shared" si="52"/>
        <v>86.36363636363636</v>
      </c>
      <c r="K55" s="53">
        <f>COUNTIFS('00 Encuesta'!$B$2:$B$511,"*a)*",'00 Encuesta'!$C$2:$C$511,"*a)*",'00 Encuesta'!$E$2:$E$511,"*b)*",'00 Encuesta'!$J$2:$J$511,"*b)*")</f>
        <v>18</v>
      </c>
      <c r="L55" s="52">
        <f t="shared" si="53"/>
        <v>100</v>
      </c>
      <c r="M55" s="23"/>
      <c r="N55" s="51">
        <f t="shared" si="54"/>
        <v>32</v>
      </c>
      <c r="O55" s="52">
        <f t="shared" si="55"/>
        <v>84.210526315789465</v>
      </c>
      <c r="P55" s="53">
        <f>COUNTIFS('00 Encuesta'!$B$2:$B$511,"*a)*",'00 Encuesta'!$C$2:$C$511,"*b)*",'00 Encuesta'!$E$2:$E$511,"*a)*",'00 Encuesta'!$J$2:$J$511,"*b)*")</f>
        <v>11</v>
      </c>
      <c r="Q55" s="52">
        <f t="shared" si="56"/>
        <v>84.615384615384613</v>
      </c>
      <c r="R55" s="53">
        <f>COUNTIFS('00 Encuesta'!$B$2:$B$511,"*a)*",'00 Encuesta'!$C$2:$C$511,"*b)*",'00 Encuesta'!$E$2:$E$511,"*b)*",'00 Encuesta'!$J$2:$J$511,"*b)*")</f>
        <v>21</v>
      </c>
      <c r="S55" s="52">
        <f t="shared" si="57"/>
        <v>84</v>
      </c>
      <c r="T55" s="3"/>
      <c r="U55" s="51">
        <f t="shared" si="58"/>
        <v>0</v>
      </c>
      <c r="V55" s="52" t="e">
        <f t="shared" si="59"/>
        <v>#DIV/0!</v>
      </c>
      <c r="W55" s="53">
        <f>COUNTIFS('00 Encuesta'!$B$2:$B$511,"*a)*",'00 Encuesta'!$C$2:$C$511,"*c)*",'00 Encuesta'!$E$2:$E$511,"*a)*",'00 Encuesta'!$J$2:$J$511,"*b)*")</f>
        <v>0</v>
      </c>
      <c r="X55" s="52" t="e">
        <f t="shared" si="60"/>
        <v>#DIV/0!</v>
      </c>
      <c r="Y55" s="53">
        <f>COUNTIFS('00 Encuesta'!$B$2:$B$511,"*a)*",'00 Encuesta'!$C$2:$C$511,"*c)*",'00 Encuesta'!$E$2:$E$511,"*b)*",'00 Encuesta'!$J$2:$J$511,"*b)*")</f>
        <v>0</v>
      </c>
      <c r="Z55" s="52" t="e">
        <f t="shared" si="61"/>
        <v>#DIV/0!</v>
      </c>
      <c r="AA55" s="3"/>
      <c r="AB55" s="62">
        <f t="shared" si="6"/>
        <v>69</v>
      </c>
      <c r="AC55" s="52">
        <f t="shared" si="62"/>
        <v>88.461538461538467</v>
      </c>
      <c r="AD55" s="7"/>
      <c r="AE55" s="7"/>
      <c r="AF55" s="9" t="str">
        <f t="shared" si="63"/>
        <v>b) Lavadora</v>
      </c>
      <c r="AG55" s="72">
        <f t="shared" si="64"/>
        <v>86.36363636363636</v>
      </c>
      <c r="AH55" s="72">
        <f t="shared" si="65"/>
        <v>100</v>
      </c>
      <c r="AI55" s="73">
        <f t="shared" si="66"/>
        <v>92.5</v>
      </c>
      <c r="AJ55" s="73"/>
      <c r="AK55" s="76">
        <f t="shared" si="67"/>
        <v>84.615384615384613</v>
      </c>
      <c r="AL55" s="76">
        <f t="shared" si="68"/>
        <v>84</v>
      </c>
      <c r="AM55" s="76">
        <f t="shared" si="69"/>
        <v>84.210526315789465</v>
      </c>
      <c r="AN55" s="76"/>
      <c r="AO55" s="81" t="e">
        <f t="shared" si="70"/>
        <v>#DIV/0!</v>
      </c>
      <c r="AP55" s="81" t="e">
        <f t="shared" si="71"/>
        <v>#DIV/0!</v>
      </c>
      <c r="AQ55" s="81" t="e">
        <f t="shared" si="72"/>
        <v>#DIV/0!</v>
      </c>
      <c r="AR55" s="7"/>
      <c r="AS55" s="76">
        <f t="shared" si="1"/>
        <v>88.461538461538467</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ht="15" x14ac:dyDescent="0.25">
      <c r="A56" s="8" t="s">
        <v>20</v>
      </c>
      <c r="B56" s="9" t="s">
        <v>57</v>
      </c>
      <c r="C56" s="7"/>
      <c r="D56" s="7"/>
      <c r="E56" s="7"/>
      <c r="F56" s="71"/>
      <c r="G56" s="51">
        <f t="shared" si="50"/>
        <v>34</v>
      </c>
      <c r="H56" s="52">
        <f t="shared" si="51"/>
        <v>85</v>
      </c>
      <c r="I56" s="53">
        <f>COUNTIFS('00 Encuesta'!$B$2:$B$511,"*a)*",'00 Encuesta'!$C$2:$C$511,"*a)*",'00 Encuesta'!$E$2:$E$511,"*a)*",'00 Encuesta'!$J$2:$J$511,"*c)*")</f>
        <v>19</v>
      </c>
      <c r="J56" s="52">
        <f t="shared" si="52"/>
        <v>86.36363636363636</v>
      </c>
      <c r="K56" s="53">
        <f>COUNTIFS('00 Encuesta'!$B$2:$B$511,"*a)*",'00 Encuesta'!$C$2:$C$511,"*a)*",'00 Encuesta'!$E$2:$E$511,"*b)*",'00 Encuesta'!$J$2:$J$511,"*c)*")</f>
        <v>15</v>
      </c>
      <c r="L56" s="52">
        <f t="shared" si="53"/>
        <v>83.333333333333343</v>
      </c>
      <c r="M56" s="23"/>
      <c r="N56" s="51">
        <f t="shared" si="54"/>
        <v>26</v>
      </c>
      <c r="O56" s="52">
        <f t="shared" si="55"/>
        <v>68.421052631578945</v>
      </c>
      <c r="P56" s="53">
        <f>COUNTIFS('00 Encuesta'!$B$2:$B$511,"*a)*",'00 Encuesta'!$C$2:$C$511,"*b)*",'00 Encuesta'!$E$2:$E$511,"*a)*",'00 Encuesta'!$J$2:$J$511,"*c)*")</f>
        <v>7</v>
      </c>
      <c r="Q56" s="52">
        <f t="shared" si="56"/>
        <v>53.846153846153847</v>
      </c>
      <c r="R56" s="53">
        <f>COUNTIFS('00 Encuesta'!$B$2:$B$511,"*a)*",'00 Encuesta'!$C$2:$C$511,"*b)*",'00 Encuesta'!$E$2:$E$511,"*b)*",'00 Encuesta'!$J$2:$J$511,"*c)*")</f>
        <v>19</v>
      </c>
      <c r="S56" s="52">
        <f t="shared" si="57"/>
        <v>76</v>
      </c>
      <c r="T56" s="3"/>
      <c r="U56" s="51">
        <f t="shared" si="58"/>
        <v>0</v>
      </c>
      <c r="V56" s="52" t="e">
        <f t="shared" si="59"/>
        <v>#DIV/0!</v>
      </c>
      <c r="W56" s="53">
        <f>COUNTIFS('00 Encuesta'!$B$2:$B$511,"*a)*",'00 Encuesta'!$C$2:$C$511,"*c)*",'00 Encuesta'!$E$2:$E$511,"*a)*",'00 Encuesta'!$J$2:$J$511,"*c)*")</f>
        <v>0</v>
      </c>
      <c r="X56" s="52" t="e">
        <f t="shared" si="60"/>
        <v>#DIV/0!</v>
      </c>
      <c r="Y56" s="53">
        <f>COUNTIFS('00 Encuesta'!$B$2:$B$511,"*a)*",'00 Encuesta'!$C$2:$C$511,"*c)*",'00 Encuesta'!$E$2:$E$511,"*b)*",'00 Encuesta'!$J$2:$J$511,"*c)*")</f>
        <v>0</v>
      </c>
      <c r="Z56" s="52" t="e">
        <f t="shared" si="61"/>
        <v>#DIV/0!</v>
      </c>
      <c r="AA56" s="3"/>
      <c r="AB56" s="62">
        <f t="shared" si="6"/>
        <v>60</v>
      </c>
      <c r="AC56" s="52">
        <f t="shared" si="62"/>
        <v>76.92307692307692</v>
      </c>
      <c r="AD56" s="7"/>
      <c r="AE56" s="7"/>
      <c r="AF56" s="9" t="str">
        <f t="shared" si="63"/>
        <v>c) Microondas</v>
      </c>
      <c r="AG56" s="72">
        <f t="shared" si="64"/>
        <v>86.36363636363636</v>
      </c>
      <c r="AH56" s="72">
        <f t="shared" si="65"/>
        <v>83.333333333333343</v>
      </c>
      <c r="AI56" s="73">
        <f t="shared" si="66"/>
        <v>85</v>
      </c>
      <c r="AJ56" s="73"/>
      <c r="AK56" s="76">
        <f t="shared" si="67"/>
        <v>53.846153846153847</v>
      </c>
      <c r="AL56" s="76">
        <f t="shared" si="68"/>
        <v>76</v>
      </c>
      <c r="AM56" s="76">
        <f t="shared" si="69"/>
        <v>68.421052631578945</v>
      </c>
      <c r="AN56" s="76"/>
      <c r="AO56" s="81" t="e">
        <f t="shared" si="70"/>
        <v>#DIV/0!</v>
      </c>
      <c r="AP56" s="81" t="e">
        <f t="shared" si="71"/>
        <v>#DIV/0!</v>
      </c>
      <c r="AQ56" s="81" t="e">
        <f t="shared" si="72"/>
        <v>#DIV/0!</v>
      </c>
      <c r="AR56" s="7"/>
      <c r="AS56" s="76">
        <f t="shared" si="1"/>
        <v>76.92307692307692</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37</v>
      </c>
      <c r="H57" s="52">
        <f t="shared" si="51"/>
        <v>92.5</v>
      </c>
      <c r="I57" s="53">
        <f>COUNTIFS('00 Encuesta'!$B$2:$B$511,"*a)*",'00 Encuesta'!$C$2:$C$511,"*a)*",'00 Encuesta'!$E$2:$E$511,"*a)*",'00 Encuesta'!$J$2:$J$511,"*d)*")</f>
        <v>20</v>
      </c>
      <c r="J57" s="52">
        <f t="shared" si="52"/>
        <v>90.909090909090907</v>
      </c>
      <c r="K57" s="53">
        <f>COUNTIFS('00 Encuesta'!$B$2:$B$511,"*a)*",'00 Encuesta'!$C$2:$C$511,"*a)*",'00 Encuesta'!$E$2:$E$511,"*b)*",'00 Encuesta'!$J$2:$J$511,"*d)*")</f>
        <v>17</v>
      </c>
      <c r="L57" s="52">
        <f t="shared" si="53"/>
        <v>94.444444444444443</v>
      </c>
      <c r="M57" s="23"/>
      <c r="N57" s="51">
        <f t="shared" si="54"/>
        <v>27</v>
      </c>
      <c r="O57" s="52">
        <f t="shared" si="55"/>
        <v>71.05263157894737</v>
      </c>
      <c r="P57" s="53">
        <f>COUNTIFS('00 Encuesta'!$B$2:$B$511,"*a)*",'00 Encuesta'!$C$2:$C$511,"*b)*",'00 Encuesta'!$E$2:$E$511,"*a)*",'00 Encuesta'!$J$2:$J$511,"*d)*")</f>
        <v>9</v>
      </c>
      <c r="Q57" s="52">
        <f t="shared" si="56"/>
        <v>69.230769230769226</v>
      </c>
      <c r="R57" s="53">
        <f>COUNTIFS('00 Encuesta'!$B$2:$B$511,"*a)*",'00 Encuesta'!$C$2:$C$511,"*b)*",'00 Encuesta'!$E$2:$E$511,"*b)*",'00 Encuesta'!$J$2:$J$511,"*d)*")</f>
        <v>18</v>
      </c>
      <c r="S57" s="52">
        <f t="shared" si="57"/>
        <v>72</v>
      </c>
      <c r="T57" s="3"/>
      <c r="U57" s="51">
        <f t="shared" si="58"/>
        <v>0</v>
      </c>
      <c r="V57" s="52" t="e">
        <f t="shared" si="59"/>
        <v>#DIV/0!</v>
      </c>
      <c r="W57" s="53">
        <f>COUNTIFS('00 Encuesta'!$B$2:$B$511,"*a)*",'00 Encuesta'!$C$2:$C$511,"*c)*",'00 Encuesta'!$E$2:$E$511,"*a)*",'00 Encuesta'!$J$2:$J$511,"*d)*")</f>
        <v>0</v>
      </c>
      <c r="X57" s="52" t="e">
        <f t="shared" si="60"/>
        <v>#DIV/0!</v>
      </c>
      <c r="Y57" s="53">
        <f>COUNTIFS('00 Encuesta'!$B$2:$B$511,"*a)*",'00 Encuesta'!$C$2:$C$511,"*c)*",'00 Encuesta'!$E$2:$E$511,"*b)*",'00 Encuesta'!$J$2:$J$511,"*d)*")</f>
        <v>0</v>
      </c>
      <c r="Z57" s="52" t="e">
        <f t="shared" si="61"/>
        <v>#DIV/0!</v>
      </c>
      <c r="AA57" s="3"/>
      <c r="AB57" s="62">
        <f t="shared" si="6"/>
        <v>64</v>
      </c>
      <c r="AC57" s="52">
        <f t="shared" si="62"/>
        <v>82.051282051282058</v>
      </c>
      <c r="AD57" s="7"/>
      <c r="AE57" s="7"/>
      <c r="AF57" s="9" t="str">
        <f t="shared" si="63"/>
        <v>d) Televisión plana</v>
      </c>
      <c r="AG57" s="72">
        <f t="shared" si="64"/>
        <v>90.909090909090907</v>
      </c>
      <c r="AH57" s="72">
        <f t="shared" si="65"/>
        <v>94.444444444444443</v>
      </c>
      <c r="AI57" s="73">
        <f t="shared" si="66"/>
        <v>92.5</v>
      </c>
      <c r="AJ57" s="73"/>
      <c r="AK57" s="76">
        <f t="shared" si="67"/>
        <v>69.230769230769226</v>
      </c>
      <c r="AL57" s="76">
        <f t="shared" si="68"/>
        <v>72</v>
      </c>
      <c r="AM57" s="76">
        <f t="shared" si="69"/>
        <v>71.05263157894737</v>
      </c>
      <c r="AN57" s="76"/>
      <c r="AO57" s="81" t="e">
        <f t="shared" si="70"/>
        <v>#DIV/0!</v>
      </c>
      <c r="AP57" s="81" t="e">
        <f t="shared" si="71"/>
        <v>#DIV/0!</v>
      </c>
      <c r="AQ57" s="81" t="e">
        <f t="shared" si="72"/>
        <v>#DIV/0!</v>
      </c>
      <c r="AR57" s="7"/>
      <c r="AS57" s="76">
        <f t="shared" si="1"/>
        <v>82.051282051282058</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ht="15" x14ac:dyDescent="0.25">
      <c r="A58" s="8" t="s">
        <v>22</v>
      </c>
      <c r="B58" s="9" t="s">
        <v>59</v>
      </c>
      <c r="C58" s="7"/>
      <c r="D58" s="7"/>
      <c r="E58" s="7"/>
      <c r="F58" s="71"/>
      <c r="G58" s="51">
        <f t="shared" si="50"/>
        <v>5</v>
      </c>
      <c r="H58" s="52">
        <f t="shared" si="51"/>
        <v>12.5</v>
      </c>
      <c r="I58" s="53">
        <f>COUNTIFS('00 Encuesta'!$B$2:$B$511,"*a)*",'00 Encuesta'!$C$2:$C$511,"*a)*",'00 Encuesta'!$E$2:$E$511,"*a)*",'00 Encuesta'!$J$2:$J$511,"*e)*")</f>
        <v>3</v>
      </c>
      <c r="J58" s="52">
        <f t="shared" si="52"/>
        <v>13.636363636363635</v>
      </c>
      <c r="K58" s="53">
        <f>COUNTIFS('00 Encuesta'!$B$2:$B$511,"*a)*",'00 Encuesta'!$C$2:$C$511,"*a)*",'00 Encuesta'!$E$2:$E$511,"*b)*",'00 Encuesta'!$J$2:$J$511,"*e)*")</f>
        <v>2</v>
      </c>
      <c r="L58" s="52">
        <f t="shared" si="53"/>
        <v>11.111111111111111</v>
      </c>
      <c r="M58" s="23"/>
      <c r="N58" s="51">
        <f t="shared" si="54"/>
        <v>6</v>
      </c>
      <c r="O58" s="52">
        <f t="shared" si="55"/>
        <v>15.789473684210526</v>
      </c>
      <c r="P58" s="53">
        <f>COUNTIFS('00 Encuesta'!$B$2:$B$511,"*a)*",'00 Encuesta'!$C$2:$C$511,"*b)*",'00 Encuesta'!$E$2:$E$511,"*a)*",'00 Encuesta'!$J$2:$J$511,"*e)*")</f>
        <v>2</v>
      </c>
      <c r="Q58" s="52">
        <f t="shared" si="56"/>
        <v>15.384615384615385</v>
      </c>
      <c r="R58" s="53">
        <f>COUNTIFS('00 Encuesta'!$B$2:$B$511,"*a)*",'00 Encuesta'!$C$2:$C$511,"*b)*",'00 Encuesta'!$E$2:$E$511,"*b)*",'00 Encuesta'!$J$2:$J$511,"*e)*")</f>
        <v>4</v>
      </c>
      <c r="S58" s="52">
        <f t="shared" si="57"/>
        <v>16</v>
      </c>
      <c r="T58" s="3"/>
      <c r="U58" s="51">
        <f t="shared" si="58"/>
        <v>0</v>
      </c>
      <c r="V58" s="52" t="e">
        <f t="shared" si="59"/>
        <v>#DIV/0!</v>
      </c>
      <c r="W58" s="53">
        <f>COUNTIFS('00 Encuesta'!$B$2:$B$511,"*a)*",'00 Encuesta'!$C$2:$C$511,"*c)*",'00 Encuesta'!$E$2:$E$511,"*a)*",'00 Encuesta'!$J$2:$J$511,"*e)*")</f>
        <v>0</v>
      </c>
      <c r="X58" s="52" t="e">
        <f t="shared" si="60"/>
        <v>#DIV/0!</v>
      </c>
      <c r="Y58" s="53">
        <f>COUNTIFS('00 Encuesta'!$B$2:$B$511,"*a)*",'00 Encuesta'!$C$2:$C$511,"*c)*",'00 Encuesta'!$E$2:$E$511,"*b)*",'00 Encuesta'!$J$2:$J$511,"*e)*")</f>
        <v>0</v>
      </c>
      <c r="Z58" s="52" t="e">
        <f t="shared" si="61"/>
        <v>#DIV/0!</v>
      </c>
      <c r="AA58" s="3"/>
      <c r="AB58" s="62">
        <f t="shared" si="6"/>
        <v>11</v>
      </c>
      <c r="AC58" s="52">
        <f t="shared" si="62"/>
        <v>14.102564102564102</v>
      </c>
      <c r="AD58" s="7"/>
      <c r="AE58" s="7"/>
      <c r="AF58" s="9" t="str">
        <f t="shared" si="63"/>
        <v>e) Moto</v>
      </c>
      <c r="AG58" s="72">
        <f t="shared" si="64"/>
        <v>13.636363636363635</v>
      </c>
      <c r="AH58" s="72">
        <f t="shared" si="65"/>
        <v>11.111111111111111</v>
      </c>
      <c r="AI58" s="73">
        <f t="shared" si="66"/>
        <v>12.5</v>
      </c>
      <c r="AJ58" s="73"/>
      <c r="AK58" s="76">
        <f t="shared" si="67"/>
        <v>15.384615384615385</v>
      </c>
      <c r="AL58" s="76">
        <f t="shared" si="68"/>
        <v>16</v>
      </c>
      <c r="AM58" s="76">
        <f t="shared" si="69"/>
        <v>15.789473684210526</v>
      </c>
      <c r="AN58" s="76"/>
      <c r="AO58" s="81" t="e">
        <f t="shared" si="70"/>
        <v>#DIV/0!</v>
      </c>
      <c r="AP58" s="81" t="e">
        <f t="shared" si="71"/>
        <v>#DIV/0!</v>
      </c>
      <c r="AQ58" s="81" t="e">
        <f t="shared" si="72"/>
        <v>#DIV/0!</v>
      </c>
      <c r="AR58" s="7"/>
      <c r="AS58" s="76">
        <f t="shared" si="1"/>
        <v>14.102564102564102</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ht="15" x14ac:dyDescent="0.25">
      <c r="A59" s="8" t="s">
        <v>45</v>
      </c>
      <c r="B59" s="9" t="s">
        <v>60</v>
      </c>
      <c r="C59" s="7"/>
      <c r="D59" s="7"/>
      <c r="E59" s="7"/>
      <c r="F59" s="71"/>
      <c r="G59" s="51">
        <f t="shared" si="50"/>
        <v>16</v>
      </c>
      <c r="H59" s="52">
        <f t="shared" si="51"/>
        <v>40</v>
      </c>
      <c r="I59" s="53">
        <f>COUNTIFS('00 Encuesta'!$B$2:$B$511,"*a)*",'00 Encuesta'!$C$2:$C$511,"*a)*",'00 Encuesta'!$E$2:$E$511,"*a)*",'00 Encuesta'!$J$2:$J$511,"*f)*")</f>
        <v>9</v>
      </c>
      <c r="J59" s="52">
        <f t="shared" si="52"/>
        <v>40.909090909090914</v>
      </c>
      <c r="K59" s="53">
        <f>COUNTIFS('00 Encuesta'!$B$2:$B$511,"*a)*",'00 Encuesta'!$C$2:$C$511,"*a)*",'00 Encuesta'!$E$2:$E$511,"*b)*",'00 Encuesta'!$J$2:$J$511,"*f)*")</f>
        <v>7</v>
      </c>
      <c r="L59" s="52">
        <f t="shared" si="53"/>
        <v>38.888888888888893</v>
      </c>
      <c r="M59" s="23"/>
      <c r="N59" s="51">
        <f t="shared" si="54"/>
        <v>5</v>
      </c>
      <c r="O59" s="52">
        <f t="shared" si="55"/>
        <v>13.157894736842104</v>
      </c>
      <c r="P59" s="53">
        <f>COUNTIFS('00 Encuesta'!$B$2:$B$511,"*a)*",'00 Encuesta'!$C$2:$C$511,"*b)*",'00 Encuesta'!$E$2:$E$511,"*a)*",'00 Encuesta'!$J$2:$J$511,"*f)*")</f>
        <v>3</v>
      </c>
      <c r="Q59" s="52">
        <f t="shared" si="56"/>
        <v>23.076923076923077</v>
      </c>
      <c r="R59" s="53">
        <f>COUNTIFS('00 Encuesta'!$B$2:$B$511,"*a)*",'00 Encuesta'!$C$2:$C$511,"*b)*",'00 Encuesta'!$E$2:$E$511,"*b)*",'00 Encuesta'!$J$2:$J$511,"*f)*")</f>
        <v>2</v>
      </c>
      <c r="S59" s="52">
        <f t="shared" si="57"/>
        <v>8</v>
      </c>
      <c r="T59" s="3"/>
      <c r="U59" s="51">
        <f t="shared" si="58"/>
        <v>0</v>
      </c>
      <c r="V59" s="52" t="e">
        <f t="shared" si="59"/>
        <v>#DIV/0!</v>
      </c>
      <c r="W59" s="53">
        <f>COUNTIFS('00 Encuesta'!$B$2:$B$511,"*a)*",'00 Encuesta'!$C$2:$C$511,"*c)*",'00 Encuesta'!$E$2:$E$511,"*a)*",'00 Encuesta'!$J$2:$J$511,"*f)*")</f>
        <v>0</v>
      </c>
      <c r="X59" s="52" t="e">
        <f t="shared" si="60"/>
        <v>#DIV/0!</v>
      </c>
      <c r="Y59" s="53">
        <f>COUNTIFS('00 Encuesta'!$B$2:$B$511,"*a)*",'00 Encuesta'!$C$2:$C$511,"*c)*",'00 Encuesta'!$E$2:$E$511,"*b)*",'00 Encuesta'!$J$2:$J$511,"*f)*")</f>
        <v>0</v>
      </c>
      <c r="Z59" s="52" t="e">
        <f t="shared" si="61"/>
        <v>#DIV/0!</v>
      </c>
      <c r="AA59" s="3"/>
      <c r="AB59" s="62">
        <f t="shared" si="6"/>
        <v>21</v>
      </c>
      <c r="AC59" s="52">
        <f t="shared" si="62"/>
        <v>26.923076923076923</v>
      </c>
      <c r="AD59" s="7"/>
      <c r="AE59" s="7"/>
      <c r="AF59" s="9" t="str">
        <f t="shared" si="63"/>
        <v>f) MP3</v>
      </c>
      <c r="AG59" s="72">
        <f t="shared" si="64"/>
        <v>40.909090909090914</v>
      </c>
      <c r="AH59" s="72">
        <f t="shared" si="65"/>
        <v>38.888888888888893</v>
      </c>
      <c r="AI59" s="73">
        <f t="shared" si="66"/>
        <v>40</v>
      </c>
      <c r="AJ59" s="73"/>
      <c r="AK59" s="76">
        <f t="shared" si="67"/>
        <v>23.076923076923077</v>
      </c>
      <c r="AL59" s="76">
        <f t="shared" si="68"/>
        <v>8</v>
      </c>
      <c r="AM59" s="76">
        <f t="shared" si="69"/>
        <v>13.157894736842104</v>
      </c>
      <c r="AN59" s="76"/>
      <c r="AO59" s="81" t="e">
        <f t="shared" si="70"/>
        <v>#DIV/0!</v>
      </c>
      <c r="AP59" s="81" t="e">
        <f t="shared" si="71"/>
        <v>#DIV/0!</v>
      </c>
      <c r="AQ59" s="81" t="e">
        <f t="shared" si="72"/>
        <v>#DIV/0!</v>
      </c>
      <c r="AR59" s="7"/>
      <c r="AS59" s="76">
        <f t="shared" si="1"/>
        <v>26.923076923076923</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ht="15" x14ac:dyDescent="0.25">
      <c r="A60" s="8" t="s">
        <v>61</v>
      </c>
      <c r="B60" s="9" t="s">
        <v>62</v>
      </c>
      <c r="C60" s="7"/>
      <c r="D60" s="7"/>
      <c r="E60" s="7"/>
      <c r="F60" s="71"/>
      <c r="G60" s="51">
        <f t="shared" si="50"/>
        <v>13</v>
      </c>
      <c r="H60" s="52">
        <f t="shared" si="51"/>
        <v>32.5</v>
      </c>
      <c r="I60" s="53">
        <f>COUNTIFS('00 Encuesta'!$B$2:$B$511,"*a)*",'00 Encuesta'!$C$2:$C$511,"*a)*",'00 Encuesta'!$E$2:$E$511,"*a)*",'00 Encuesta'!$J$2:$J$511,"*g)*")</f>
        <v>7</v>
      </c>
      <c r="J60" s="52">
        <f t="shared" si="52"/>
        <v>31.818181818181817</v>
      </c>
      <c r="K60" s="53">
        <f>COUNTIFS('00 Encuesta'!$B$2:$B$511,"*a)*",'00 Encuesta'!$C$2:$C$511,"*a)*",'00 Encuesta'!$E$2:$E$511,"*b)*",'00 Encuesta'!$J$2:$J$511,"*g)*")</f>
        <v>6</v>
      </c>
      <c r="L60" s="52">
        <f t="shared" si="53"/>
        <v>33.333333333333329</v>
      </c>
      <c r="M60" s="23"/>
      <c r="N60" s="51">
        <f t="shared" si="54"/>
        <v>14</v>
      </c>
      <c r="O60" s="52">
        <f t="shared" si="55"/>
        <v>36.84210526315789</v>
      </c>
      <c r="P60" s="53">
        <f>COUNTIFS('00 Encuesta'!$B$2:$B$511,"*a)*",'00 Encuesta'!$C$2:$C$511,"*b)*",'00 Encuesta'!$E$2:$E$511,"*a)*",'00 Encuesta'!$J$2:$J$511,"*g)*")</f>
        <v>5</v>
      </c>
      <c r="Q60" s="52">
        <f t="shared" si="56"/>
        <v>38.461538461538467</v>
      </c>
      <c r="R60" s="53">
        <f>COUNTIFS('00 Encuesta'!$B$2:$B$511,"*a)*",'00 Encuesta'!$C$2:$C$511,"*b)*",'00 Encuesta'!$E$2:$E$511,"*b)*",'00 Encuesta'!$J$2:$J$511,"*g)*")</f>
        <v>9</v>
      </c>
      <c r="S60" s="52">
        <f t="shared" si="57"/>
        <v>36</v>
      </c>
      <c r="T60" s="3"/>
      <c r="U60" s="51">
        <f t="shared" si="58"/>
        <v>0</v>
      </c>
      <c r="V60" s="52" t="e">
        <f t="shared" si="59"/>
        <v>#DIV/0!</v>
      </c>
      <c r="W60" s="53">
        <f>COUNTIFS('00 Encuesta'!$B$2:$B$511,"*a)*",'00 Encuesta'!$C$2:$C$511,"*c)*",'00 Encuesta'!$E$2:$E$511,"*a)*",'00 Encuesta'!$J$2:$J$511,"*g)*")</f>
        <v>0</v>
      </c>
      <c r="X60" s="52" t="e">
        <f t="shared" si="60"/>
        <v>#DIV/0!</v>
      </c>
      <c r="Y60" s="53">
        <f>COUNTIFS('00 Encuesta'!$B$2:$B$511,"*a)*",'00 Encuesta'!$C$2:$C$511,"*c)*",'00 Encuesta'!$E$2:$E$511,"*b)*",'00 Encuesta'!$J$2:$J$511,"*g)*")</f>
        <v>0</v>
      </c>
      <c r="Z60" s="52" t="e">
        <f t="shared" si="61"/>
        <v>#DIV/0!</v>
      </c>
      <c r="AA60" s="3"/>
      <c r="AB60" s="62">
        <f t="shared" si="6"/>
        <v>27</v>
      </c>
      <c r="AC60" s="52">
        <f t="shared" si="62"/>
        <v>34.615384615384613</v>
      </c>
      <c r="AD60" s="7"/>
      <c r="AE60" s="7"/>
      <c r="AF60" s="9" t="str">
        <f t="shared" si="63"/>
        <v>g) MP4</v>
      </c>
      <c r="AG60" s="72">
        <f t="shared" si="64"/>
        <v>31.818181818181817</v>
      </c>
      <c r="AH60" s="72">
        <f t="shared" si="65"/>
        <v>33.333333333333329</v>
      </c>
      <c r="AI60" s="73">
        <f t="shared" si="66"/>
        <v>32.5</v>
      </c>
      <c r="AJ60" s="73"/>
      <c r="AK60" s="76">
        <f t="shared" si="67"/>
        <v>38.461538461538467</v>
      </c>
      <c r="AL60" s="76">
        <f t="shared" si="68"/>
        <v>36</v>
      </c>
      <c r="AM60" s="76">
        <f t="shared" si="69"/>
        <v>36.84210526315789</v>
      </c>
      <c r="AN60" s="76"/>
      <c r="AO60" s="81" t="e">
        <f t="shared" si="70"/>
        <v>#DIV/0!</v>
      </c>
      <c r="AP60" s="81" t="e">
        <f t="shared" si="71"/>
        <v>#DIV/0!</v>
      </c>
      <c r="AQ60" s="81" t="e">
        <f t="shared" si="72"/>
        <v>#DIV/0!</v>
      </c>
      <c r="AR60" s="7"/>
      <c r="AS60" s="76">
        <f t="shared" si="1"/>
        <v>34.615384615384613</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ht="15" x14ac:dyDescent="0.25">
      <c r="A61" s="8" t="s">
        <v>63</v>
      </c>
      <c r="B61" s="9" t="s">
        <v>64</v>
      </c>
      <c r="C61" s="7"/>
      <c r="D61" s="7"/>
      <c r="E61" s="7"/>
      <c r="F61" s="71"/>
      <c r="G61" s="51">
        <f t="shared" si="50"/>
        <v>31</v>
      </c>
      <c r="H61" s="52">
        <f t="shared" si="51"/>
        <v>77.5</v>
      </c>
      <c r="I61" s="53">
        <f>COUNTIFS('00 Encuesta'!$B$2:$B$511,"*a)*",'00 Encuesta'!$C$2:$C$511,"*a)*",'00 Encuesta'!$E$2:$E$511,"*a)*",'00 Encuesta'!$J$2:$J$511,"*h)*")</f>
        <v>18</v>
      </c>
      <c r="J61" s="52">
        <f t="shared" si="52"/>
        <v>81.818181818181827</v>
      </c>
      <c r="K61" s="53">
        <f>COUNTIFS('00 Encuesta'!$B$2:$B$511,"*a)*",'00 Encuesta'!$C$2:$C$511,"*a)*",'00 Encuesta'!$E$2:$E$511,"*b)*",'00 Encuesta'!$J$2:$J$511,"*h)*")</f>
        <v>13</v>
      </c>
      <c r="L61" s="52">
        <f t="shared" si="53"/>
        <v>72.222222222222214</v>
      </c>
      <c r="M61" s="23"/>
      <c r="N61" s="51">
        <f t="shared" si="54"/>
        <v>19</v>
      </c>
      <c r="O61" s="52">
        <f t="shared" si="55"/>
        <v>50</v>
      </c>
      <c r="P61" s="53">
        <f>COUNTIFS('00 Encuesta'!$B$2:$B$511,"*a)*",'00 Encuesta'!$C$2:$C$511,"*b)*",'00 Encuesta'!$E$2:$E$511,"*a)*",'00 Encuesta'!$J$2:$J$511,"*h)*")</f>
        <v>6</v>
      </c>
      <c r="Q61" s="52">
        <f t="shared" si="56"/>
        <v>46.153846153846153</v>
      </c>
      <c r="R61" s="53">
        <f>COUNTIFS('00 Encuesta'!$B$2:$B$511,"*a)*",'00 Encuesta'!$C$2:$C$511,"*b)*",'00 Encuesta'!$E$2:$E$511,"*b)*",'00 Encuesta'!$J$2:$J$511,"*h)*")</f>
        <v>13</v>
      </c>
      <c r="S61" s="52">
        <f t="shared" si="57"/>
        <v>52</v>
      </c>
      <c r="T61" s="3"/>
      <c r="U61" s="51">
        <f t="shared" si="58"/>
        <v>0</v>
      </c>
      <c r="V61" s="52" t="e">
        <f t="shared" si="59"/>
        <v>#DIV/0!</v>
      </c>
      <c r="W61" s="53">
        <f>COUNTIFS('00 Encuesta'!$B$2:$B$511,"*a)*",'00 Encuesta'!$C$2:$C$511,"*c)*",'00 Encuesta'!$E$2:$E$511,"*a)*",'00 Encuesta'!$J$2:$J$511,"*h)*")</f>
        <v>0</v>
      </c>
      <c r="X61" s="52" t="e">
        <f t="shared" si="60"/>
        <v>#DIV/0!</v>
      </c>
      <c r="Y61" s="53">
        <f>COUNTIFS('00 Encuesta'!$B$2:$B$511,"*a)*",'00 Encuesta'!$C$2:$C$511,"*c)*",'00 Encuesta'!$E$2:$E$511,"*b)*",'00 Encuesta'!$J$2:$J$511,"*h)*")</f>
        <v>0</v>
      </c>
      <c r="Z61" s="52" t="e">
        <f t="shared" si="61"/>
        <v>#DIV/0!</v>
      </c>
      <c r="AA61" s="3"/>
      <c r="AB61" s="62">
        <f t="shared" si="6"/>
        <v>50</v>
      </c>
      <c r="AC61" s="52">
        <f t="shared" si="62"/>
        <v>64.102564102564102</v>
      </c>
      <c r="AD61" s="7"/>
      <c r="AE61" s="7"/>
      <c r="AF61" s="9" t="str">
        <f t="shared" si="63"/>
        <v>h) Carro</v>
      </c>
      <c r="AG61" s="72">
        <f t="shared" si="64"/>
        <v>81.818181818181827</v>
      </c>
      <c r="AH61" s="72">
        <f t="shared" si="65"/>
        <v>72.222222222222214</v>
      </c>
      <c r="AI61" s="73">
        <f t="shared" si="66"/>
        <v>77.5</v>
      </c>
      <c r="AJ61" s="73"/>
      <c r="AK61" s="76">
        <f t="shared" si="67"/>
        <v>46.153846153846153</v>
      </c>
      <c r="AL61" s="76">
        <f t="shared" si="68"/>
        <v>52</v>
      </c>
      <c r="AM61" s="76">
        <f t="shared" si="69"/>
        <v>50</v>
      </c>
      <c r="AN61" s="76"/>
      <c r="AO61" s="81" t="e">
        <f t="shared" si="70"/>
        <v>#DIV/0!</v>
      </c>
      <c r="AP61" s="81" t="e">
        <f t="shared" si="71"/>
        <v>#DIV/0!</v>
      </c>
      <c r="AQ61" s="81" t="e">
        <f t="shared" si="72"/>
        <v>#DIV/0!</v>
      </c>
      <c r="AR61" s="7"/>
      <c r="AS61" s="76">
        <f t="shared" si="1"/>
        <v>64.102564102564102</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ht="15" x14ac:dyDescent="0.25">
      <c r="A62" s="8" t="s">
        <v>65</v>
      </c>
      <c r="B62" s="9" t="s">
        <v>66</v>
      </c>
      <c r="C62" s="7"/>
      <c r="D62" s="7"/>
      <c r="E62" s="7"/>
      <c r="F62" s="71"/>
      <c r="G62" s="51">
        <f t="shared" si="50"/>
        <v>32</v>
      </c>
      <c r="H62" s="52">
        <f t="shared" si="51"/>
        <v>80</v>
      </c>
      <c r="I62" s="53">
        <f>COUNTIFS('00 Encuesta'!$B$2:$B$511,"*a)*",'00 Encuesta'!$C$2:$C$511,"*a)*",'00 Encuesta'!$E$2:$E$511,"*a)*",'00 Encuesta'!$J$2:$J$511,"*i)*")</f>
        <v>17</v>
      </c>
      <c r="J62" s="52">
        <f t="shared" si="52"/>
        <v>77.272727272727266</v>
      </c>
      <c r="K62" s="53">
        <f>COUNTIFS('00 Encuesta'!$B$2:$B$511,"*a)*",'00 Encuesta'!$C$2:$C$511,"*a)*",'00 Encuesta'!$E$2:$E$511,"*b)*",'00 Encuesta'!$J$2:$J$511,"*i)*")</f>
        <v>15</v>
      </c>
      <c r="L62" s="52">
        <f t="shared" si="53"/>
        <v>83.333333333333343</v>
      </c>
      <c r="M62" s="23"/>
      <c r="N62" s="51">
        <f t="shared" si="54"/>
        <v>32</v>
      </c>
      <c r="O62" s="52">
        <f t="shared" si="55"/>
        <v>84.210526315789465</v>
      </c>
      <c r="P62" s="53">
        <f>COUNTIFS('00 Encuesta'!$B$2:$B$511,"*a)*",'00 Encuesta'!$C$2:$C$511,"*b)*",'00 Encuesta'!$E$2:$E$511,"*a)*",'00 Encuesta'!$J$2:$J$511,"*i)*")</f>
        <v>10</v>
      </c>
      <c r="Q62" s="52">
        <f t="shared" si="56"/>
        <v>76.923076923076934</v>
      </c>
      <c r="R62" s="53">
        <f>COUNTIFS('00 Encuesta'!$B$2:$B$511,"*a)*",'00 Encuesta'!$C$2:$C$511,"*b)*",'00 Encuesta'!$E$2:$E$511,"*b)*",'00 Encuesta'!$J$2:$J$511,"*i)*")</f>
        <v>22</v>
      </c>
      <c r="S62" s="52">
        <f t="shared" si="57"/>
        <v>88</v>
      </c>
      <c r="T62" s="3"/>
      <c r="U62" s="51">
        <f t="shared" si="58"/>
        <v>0</v>
      </c>
      <c r="V62" s="52" t="e">
        <f t="shared" si="59"/>
        <v>#DIV/0!</v>
      </c>
      <c r="W62" s="53">
        <f>COUNTIFS('00 Encuesta'!$B$2:$B$511,"*a)*",'00 Encuesta'!$C$2:$C$511,"*c)*",'00 Encuesta'!$E$2:$E$511,"*a)*",'00 Encuesta'!$J$2:$J$511,"*i)*")</f>
        <v>0</v>
      </c>
      <c r="X62" s="52" t="e">
        <f t="shared" si="60"/>
        <v>#DIV/0!</v>
      </c>
      <c r="Y62" s="53">
        <f>COUNTIFS('00 Encuesta'!$B$2:$B$511,"*a)*",'00 Encuesta'!$C$2:$C$511,"*c)*",'00 Encuesta'!$E$2:$E$511,"*b)*",'00 Encuesta'!$J$2:$J$511,"*i)*")</f>
        <v>0</v>
      </c>
      <c r="Z62" s="52" t="e">
        <f t="shared" si="61"/>
        <v>#DIV/0!</v>
      </c>
      <c r="AA62" s="3"/>
      <c r="AB62" s="62">
        <f t="shared" si="6"/>
        <v>64</v>
      </c>
      <c r="AC62" s="52">
        <f t="shared" si="62"/>
        <v>82.051282051282058</v>
      </c>
      <c r="AD62" s="7"/>
      <c r="AE62" s="7"/>
      <c r="AF62" s="9" t="str">
        <f t="shared" si="63"/>
        <v>i) Computadora</v>
      </c>
      <c r="AG62" s="72">
        <f t="shared" si="64"/>
        <v>77.272727272727266</v>
      </c>
      <c r="AH62" s="72">
        <f t="shared" si="65"/>
        <v>83.333333333333343</v>
      </c>
      <c r="AI62" s="73">
        <f t="shared" si="66"/>
        <v>80</v>
      </c>
      <c r="AJ62" s="73"/>
      <c r="AK62" s="76">
        <f t="shared" si="67"/>
        <v>76.923076923076934</v>
      </c>
      <c r="AL62" s="76">
        <f t="shared" si="68"/>
        <v>88</v>
      </c>
      <c r="AM62" s="76">
        <f t="shared" si="69"/>
        <v>84.210526315789465</v>
      </c>
      <c r="AN62" s="76"/>
      <c r="AO62" s="81" t="e">
        <f t="shared" si="70"/>
        <v>#DIV/0!</v>
      </c>
      <c r="AP62" s="81" t="e">
        <f t="shared" si="71"/>
        <v>#DIV/0!</v>
      </c>
      <c r="AQ62" s="81" t="e">
        <f t="shared" si="72"/>
        <v>#DIV/0!</v>
      </c>
      <c r="AR62" s="7"/>
      <c r="AS62" s="76">
        <f t="shared" si="1"/>
        <v>82.051282051282058</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27</v>
      </c>
      <c r="H63" s="52">
        <f t="shared" si="51"/>
        <v>67.5</v>
      </c>
      <c r="I63" s="53">
        <f>COUNTIFS('00 Encuesta'!$B$2:$B$511,"*a)*",'00 Encuesta'!$C$2:$C$511,"*a)*",'00 Encuesta'!$E$2:$E$511,"*a)*",'00 Encuesta'!$J$2:$J$511,"*j)*")</f>
        <v>14</v>
      </c>
      <c r="J63" s="52">
        <f t="shared" si="52"/>
        <v>63.636363636363633</v>
      </c>
      <c r="K63" s="53">
        <f>COUNTIFS('00 Encuesta'!$B$2:$B$511,"*a)*",'00 Encuesta'!$C$2:$C$511,"*a)*",'00 Encuesta'!$E$2:$E$511,"*b)*",'00 Encuesta'!$J$2:$J$511,"*j)*")</f>
        <v>13</v>
      </c>
      <c r="L63" s="52">
        <f t="shared" si="53"/>
        <v>72.222222222222214</v>
      </c>
      <c r="M63" s="23"/>
      <c r="N63" s="51">
        <f t="shared" si="54"/>
        <v>25</v>
      </c>
      <c r="O63" s="52">
        <f t="shared" si="55"/>
        <v>65.789473684210535</v>
      </c>
      <c r="P63" s="53">
        <f>COUNTIFS('00 Encuesta'!$B$2:$B$511,"*a)*",'00 Encuesta'!$C$2:$C$511,"*b)*",'00 Encuesta'!$E$2:$E$511,"*a)*",'00 Encuesta'!$J$2:$J$511,"*j)*")</f>
        <v>7</v>
      </c>
      <c r="Q63" s="52">
        <f t="shared" si="56"/>
        <v>53.846153846153847</v>
      </c>
      <c r="R63" s="53">
        <f>COUNTIFS('00 Encuesta'!$B$2:$B$511,"*a)*",'00 Encuesta'!$C$2:$C$511,"*b)*",'00 Encuesta'!$E$2:$E$511,"*b)*",'00 Encuesta'!$J$2:$J$511,"*j)*")</f>
        <v>18</v>
      </c>
      <c r="S63" s="52">
        <f t="shared" si="57"/>
        <v>72</v>
      </c>
      <c r="T63" s="3"/>
      <c r="U63" s="51">
        <f t="shared" si="58"/>
        <v>0</v>
      </c>
      <c r="V63" s="52" t="e">
        <f t="shared" si="59"/>
        <v>#DIV/0!</v>
      </c>
      <c r="W63" s="53">
        <f>COUNTIFS('00 Encuesta'!$B$2:$B$511,"*a)*",'00 Encuesta'!$C$2:$C$511,"*c)*",'00 Encuesta'!$E$2:$E$511,"*a)*",'00 Encuesta'!$J$2:$J$511,"*j)*")</f>
        <v>0</v>
      </c>
      <c r="X63" s="52" t="e">
        <f t="shared" si="60"/>
        <v>#DIV/0!</v>
      </c>
      <c r="Y63" s="53">
        <f>COUNTIFS('00 Encuesta'!$B$2:$B$511,"*a)*",'00 Encuesta'!$C$2:$C$511,"*c)*",'00 Encuesta'!$E$2:$E$511,"*b)*",'00 Encuesta'!$J$2:$J$511,"*j)*")</f>
        <v>0</v>
      </c>
      <c r="Z63" s="52" t="e">
        <f t="shared" si="61"/>
        <v>#DIV/0!</v>
      </c>
      <c r="AA63" s="3"/>
      <c r="AB63" s="62">
        <f t="shared" si="6"/>
        <v>52</v>
      </c>
      <c r="AC63" s="52">
        <f t="shared" si="62"/>
        <v>66.666666666666671</v>
      </c>
      <c r="AD63" s="7"/>
      <c r="AE63" s="7"/>
      <c r="AF63" s="9" t="str">
        <f t="shared" si="63"/>
        <v>j) Cámara digital</v>
      </c>
      <c r="AG63" s="72">
        <f t="shared" si="64"/>
        <v>63.636363636363633</v>
      </c>
      <c r="AH63" s="72">
        <f t="shared" si="65"/>
        <v>72.222222222222214</v>
      </c>
      <c r="AI63" s="73">
        <f t="shared" si="66"/>
        <v>67.5</v>
      </c>
      <c r="AJ63" s="73"/>
      <c r="AK63" s="76">
        <f t="shared" si="67"/>
        <v>53.846153846153847</v>
      </c>
      <c r="AL63" s="76">
        <f t="shared" si="68"/>
        <v>72</v>
      </c>
      <c r="AM63" s="76">
        <f t="shared" si="69"/>
        <v>65.789473684210535</v>
      </c>
      <c r="AN63" s="76"/>
      <c r="AO63" s="81" t="e">
        <f t="shared" si="70"/>
        <v>#DIV/0!</v>
      </c>
      <c r="AP63" s="81" t="e">
        <f t="shared" si="71"/>
        <v>#DIV/0!</v>
      </c>
      <c r="AQ63" s="81" t="e">
        <f t="shared" si="72"/>
        <v>#DIV/0!</v>
      </c>
      <c r="AR63" s="7"/>
      <c r="AS63" s="76">
        <f t="shared" si="1"/>
        <v>66.666666666666671</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ht="15.75" x14ac:dyDescent="0.3">
      <c r="A64" s="1" t="s">
        <v>69</v>
      </c>
      <c r="B64" s="2" t="s">
        <v>70</v>
      </c>
      <c r="C64" s="3"/>
      <c r="D64" s="7"/>
      <c r="E64" s="7"/>
      <c r="F64" s="71"/>
      <c r="G64" s="51">
        <f t="shared" si="50"/>
        <v>18</v>
      </c>
      <c r="H64" s="52">
        <f t="shared" si="51"/>
        <v>45</v>
      </c>
      <c r="I64" s="53">
        <f>COUNTIFS('00 Encuesta'!$B$2:$B$511,"*a)*",'00 Encuesta'!$C$2:$C$511,"*a)*",'00 Encuesta'!$E$2:$E$511,"*a)*",'00 Encuesta'!$J$2:$J$511,"*k)*")</f>
        <v>13</v>
      </c>
      <c r="J64" s="52">
        <f t="shared" si="52"/>
        <v>59.090909090909093</v>
      </c>
      <c r="K64" s="53">
        <f>COUNTIFS('00 Encuesta'!$B$2:$B$511,"*a)*",'00 Encuesta'!$C$2:$C$511,"*a)*",'00 Encuesta'!$E$2:$E$511,"*b)*",'00 Encuesta'!$J$2:$J$511,"*k)*")</f>
        <v>5</v>
      </c>
      <c r="L64" s="52">
        <f t="shared" si="53"/>
        <v>27.777777777777779</v>
      </c>
      <c r="M64" s="23"/>
      <c r="N64" s="51">
        <f t="shared" si="54"/>
        <v>10</v>
      </c>
      <c r="O64" s="52">
        <f t="shared" si="55"/>
        <v>26.315789473684209</v>
      </c>
      <c r="P64" s="53">
        <f>COUNTIFS('00 Encuesta'!$B$2:$B$511,"*a)*",'00 Encuesta'!$C$2:$C$511,"*b)*",'00 Encuesta'!$E$2:$E$511,"*a)*",'00 Encuesta'!$J$2:$J$511,"*k)*")</f>
        <v>4</v>
      </c>
      <c r="Q64" s="52">
        <f t="shared" si="56"/>
        <v>30.76923076923077</v>
      </c>
      <c r="R64" s="53">
        <f>COUNTIFS('00 Encuesta'!$B$2:$B$511,"*a)*",'00 Encuesta'!$C$2:$C$511,"*b)*",'00 Encuesta'!$E$2:$E$511,"*b)*",'00 Encuesta'!$J$2:$J$511,"*k)*")</f>
        <v>6</v>
      </c>
      <c r="S64" s="52">
        <f t="shared" si="57"/>
        <v>24</v>
      </c>
      <c r="T64" s="3"/>
      <c r="U64" s="51">
        <f t="shared" si="58"/>
        <v>0</v>
      </c>
      <c r="V64" s="52" t="e">
        <f t="shared" si="59"/>
        <v>#DIV/0!</v>
      </c>
      <c r="W64" s="53">
        <f>COUNTIFS('00 Encuesta'!$B$2:$B$511,"*a)*",'00 Encuesta'!$C$2:$C$511,"*c)*",'00 Encuesta'!$E$2:$E$511,"*a)*",'00 Encuesta'!$J$2:$J$511,"*k)*")</f>
        <v>0</v>
      </c>
      <c r="X64" s="52" t="e">
        <f t="shared" si="60"/>
        <v>#DIV/0!</v>
      </c>
      <c r="Y64" s="53">
        <f>COUNTIFS('00 Encuesta'!$B$2:$B$511,"*a)*",'00 Encuesta'!$C$2:$C$511,"*c)*",'00 Encuesta'!$E$2:$E$511,"*b)*",'00 Encuesta'!$J$2:$J$511,"*k)*")</f>
        <v>0</v>
      </c>
      <c r="Z64" s="52" t="e">
        <f t="shared" si="61"/>
        <v>#DIV/0!</v>
      </c>
      <c r="AA64" s="3"/>
      <c r="AB64" s="62">
        <f t="shared" si="6"/>
        <v>28</v>
      </c>
      <c r="AC64" s="52">
        <f t="shared" si="62"/>
        <v>35.897435897435898</v>
      </c>
      <c r="AD64" s="7"/>
      <c r="AE64" s="7"/>
      <c r="AF64" s="9" t="str">
        <f t="shared" si="63"/>
        <v>k) Aire acondicionado</v>
      </c>
      <c r="AG64" s="72">
        <f t="shared" si="64"/>
        <v>59.090909090909093</v>
      </c>
      <c r="AH64" s="72">
        <f t="shared" si="65"/>
        <v>27.777777777777779</v>
      </c>
      <c r="AI64" s="73">
        <f t="shared" si="66"/>
        <v>45</v>
      </c>
      <c r="AJ64" s="73"/>
      <c r="AK64" s="76">
        <f t="shared" si="67"/>
        <v>30.76923076923077</v>
      </c>
      <c r="AL64" s="76">
        <f t="shared" si="68"/>
        <v>24</v>
      </c>
      <c r="AM64" s="76">
        <f t="shared" si="69"/>
        <v>26.315789473684209</v>
      </c>
      <c r="AN64" s="76"/>
      <c r="AO64" s="81" t="e">
        <f t="shared" si="70"/>
        <v>#DIV/0!</v>
      </c>
      <c r="AP64" s="81" t="e">
        <f t="shared" si="71"/>
        <v>#DIV/0!</v>
      </c>
      <c r="AQ64" s="81" t="e">
        <f t="shared" si="72"/>
        <v>#DIV/0!</v>
      </c>
      <c r="AR64" s="7"/>
      <c r="AS64" s="76">
        <f t="shared" si="1"/>
        <v>35.897435897435898</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ht="15" x14ac:dyDescent="0.25">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ht="15" x14ac:dyDescent="0.25">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ht="15" x14ac:dyDescent="0.25">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ht="15" x14ac:dyDescent="0.25">
      <c r="A68" s="8" t="s">
        <v>17</v>
      </c>
      <c r="B68" s="9" t="s">
        <v>72</v>
      </c>
      <c r="C68" s="7"/>
      <c r="D68" s="7"/>
      <c r="E68" s="7"/>
      <c r="F68" s="71"/>
      <c r="G68" s="51">
        <f>I68+K68</f>
        <v>2</v>
      </c>
      <c r="H68" s="52">
        <f>G68/$J$5*100</f>
        <v>5</v>
      </c>
      <c r="I68" s="53">
        <f>COUNTIFS('00 Encuesta'!$B$2:$B$511,"*a)*",'00 Encuesta'!$C$2:$C$511,"*a)*",'00 Encuesta'!$E$2:$E$511,"*a)*",'00 Encuesta'!$K$2:$K$511,"*a)*")</f>
        <v>1</v>
      </c>
      <c r="J68" s="52">
        <f t="shared" ref="J68:J74" si="73">I68/$J$6*100</f>
        <v>4.5454545454545459</v>
      </c>
      <c r="K68" s="53">
        <f>COUNTIFS('00 Encuesta'!$B$2:$B$511,"*a)*",'00 Encuesta'!$C$2:$C$511,"*a)*",'00 Encuesta'!$E$2:$E$511,"*b)*",'00 Encuesta'!$K$2:$K$511,"*a)*")</f>
        <v>1</v>
      </c>
      <c r="L68" s="52">
        <f t="shared" ref="L68:L74" si="74">K68/$J$7*100</f>
        <v>5.5555555555555554</v>
      </c>
      <c r="M68" s="23"/>
      <c r="N68" s="51">
        <f t="shared" ref="N68:N74" si="75">P68+R68</f>
        <v>0</v>
      </c>
      <c r="O68" s="52">
        <f t="shared" ref="O68:O74" si="76">N68/$Q$5*100</f>
        <v>0</v>
      </c>
      <c r="P68" s="53">
        <f>COUNTIFS('00 Encuesta'!$B$2:$B$511,"*a)*",'00 Encuesta'!$C$2:$C$511,"*b)*",'00 Encuesta'!$E$2:$E$511,"*a)*",'00 Encuesta'!$K$2:$K$511,"*a)*")</f>
        <v>0</v>
      </c>
      <c r="Q68" s="52">
        <f t="shared" ref="Q68:Q74" si="77">P68/$Q$6*100</f>
        <v>0</v>
      </c>
      <c r="R68" s="53">
        <f>COUNTIFS('00 Encuesta'!$B$2:$B$511,"*a)*",'00 Encuesta'!$C$2:$C$511,"*b)*",'00 Encuesta'!$E$2:$E$511,"*b)*",'00 Encuesta'!$K$2:$K$511,"*a)*")</f>
        <v>0</v>
      </c>
      <c r="S68" s="52">
        <f t="shared" ref="S68:S74" si="78">R68/$Q$7*100</f>
        <v>0</v>
      </c>
      <c r="T68" s="3"/>
      <c r="U68" s="51">
        <f t="shared" ref="U68:U74" si="79">W68+Y68</f>
        <v>0</v>
      </c>
      <c r="V68" s="52" t="e">
        <f t="shared" ref="V68:V74" si="80">U68/$X$5*100</f>
        <v>#DIV/0!</v>
      </c>
      <c r="W68" s="53">
        <f>COUNTIFS('00 Encuesta'!$B$2:$B$511,"*a)*",'00 Encuesta'!$C$2:$C$511,"*c)*",'00 Encuesta'!$E$2:$E$511,"*a)*",'00 Encuesta'!$K$2:$K$511,"*a)*")</f>
        <v>0</v>
      </c>
      <c r="X68" s="52" t="e">
        <f t="shared" ref="X68:X74" si="81">W68/$X$6*100</f>
        <v>#DIV/0!</v>
      </c>
      <c r="Y68" s="53">
        <f>COUNTIFS('00 Encuesta'!$B$2:$B$511,"*a)*",'00 Encuesta'!$C$2:$C$511,"*c)*",'00 Encuesta'!$E$2:$E$511,"*b)*",'00 Encuesta'!$K$2:$K$511,"*a)*")</f>
        <v>0</v>
      </c>
      <c r="Z68" s="52" t="e">
        <f t="shared" ref="Z68:Z74" si="82">Y68/$X$7*100</f>
        <v>#DIV/0!</v>
      </c>
      <c r="AA68" s="3"/>
      <c r="AB68" s="62">
        <f t="shared" ref="AB68:AB74" si="83">G68+N68+U68</f>
        <v>2</v>
      </c>
      <c r="AC68" s="52">
        <f t="shared" ref="AC68:AC74" si="84">AB68*100/$AC$5</f>
        <v>2.5641025641025643</v>
      </c>
      <c r="AD68" s="7"/>
      <c r="AE68" s="7"/>
      <c r="AF68" s="9" t="str">
        <f t="shared" ref="AF68:AF74" si="85">A68&amp;" "&amp;B68</f>
        <v>a) Ninguna</v>
      </c>
      <c r="AG68" s="72">
        <f t="shared" ref="AG68:AG74" si="86">J68</f>
        <v>4.5454545454545459</v>
      </c>
      <c r="AH68" s="72">
        <f t="shared" ref="AH68:AH74" si="87">L68</f>
        <v>5.5555555555555554</v>
      </c>
      <c r="AI68" s="73">
        <f t="shared" ref="AI68:AI74" si="88">H68</f>
        <v>5</v>
      </c>
      <c r="AJ68" s="73"/>
      <c r="AK68" s="76">
        <f t="shared" ref="AK68:AK74" si="89">Q68</f>
        <v>0</v>
      </c>
      <c r="AL68" s="76">
        <f t="shared" ref="AL68:AL74" si="90">S68</f>
        <v>0</v>
      </c>
      <c r="AM68" s="76">
        <f t="shared" ref="AM68:AM74" si="91">O68</f>
        <v>0</v>
      </c>
      <c r="AN68" s="76"/>
      <c r="AO68" s="81" t="e">
        <f t="shared" ref="AO68:AO74" si="92">X68</f>
        <v>#DIV/0!</v>
      </c>
      <c r="AP68" s="81" t="e">
        <f t="shared" ref="AP68:AP74" si="93">Z68</f>
        <v>#DIV/0!</v>
      </c>
      <c r="AQ68" s="81" t="e">
        <f t="shared" ref="AQ68:AQ74" si="94">V68</f>
        <v>#DIV/0!</v>
      </c>
      <c r="AR68" s="7"/>
      <c r="AS68" s="76">
        <f t="shared" si="1"/>
        <v>2.5641025641025643</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ht="15" x14ac:dyDescent="0.25">
      <c r="A69" s="8" t="s">
        <v>18</v>
      </c>
      <c r="B69" s="9" t="s">
        <v>73</v>
      </c>
      <c r="C69" s="7"/>
      <c r="D69" s="7"/>
      <c r="E69" s="7"/>
      <c r="F69" s="71"/>
      <c r="G69" s="51">
        <f t="shared" ref="G69:G74" si="95">I69+K69</f>
        <v>6</v>
      </c>
      <c r="H69" s="52">
        <f t="shared" ref="H69:H74" si="96">G69/$J$5*100</f>
        <v>15</v>
      </c>
      <c r="I69" s="53">
        <f>COUNTIFS('00 Encuesta'!$B$2:$B$511,"*a)*",'00 Encuesta'!$C$2:$C$511,"*a)*",'00 Encuesta'!$E$2:$E$511,"*a)*",'00 Encuesta'!$K$2:$K$511,"*b)*")</f>
        <v>3</v>
      </c>
      <c r="J69" s="52">
        <f t="shared" si="73"/>
        <v>13.636363636363635</v>
      </c>
      <c r="K69" s="53">
        <f>COUNTIFS('00 Encuesta'!$B$2:$B$511,"*a)*",'00 Encuesta'!$C$2:$C$511,"*a)*",'00 Encuesta'!$E$2:$E$511,"*b)*",'00 Encuesta'!$K$2:$K$511,"*b)*")</f>
        <v>3</v>
      </c>
      <c r="L69" s="52">
        <f t="shared" si="74"/>
        <v>16.666666666666664</v>
      </c>
      <c r="M69" s="23"/>
      <c r="N69" s="51">
        <f t="shared" si="75"/>
        <v>4</v>
      </c>
      <c r="O69" s="52">
        <f t="shared" si="76"/>
        <v>10.526315789473683</v>
      </c>
      <c r="P69" s="53">
        <f>COUNTIFS('00 Encuesta'!$B$2:$B$511,"*a)*",'00 Encuesta'!$C$2:$C$511,"*b)*",'00 Encuesta'!$E$2:$E$511,"*a)*",'00 Encuesta'!$K$2:$K$511,"*b)*")</f>
        <v>1</v>
      </c>
      <c r="Q69" s="52">
        <f t="shared" si="77"/>
        <v>7.6923076923076925</v>
      </c>
      <c r="R69" s="53">
        <f>COUNTIFS('00 Encuesta'!$B$2:$B$511,"*a)*",'00 Encuesta'!$C$2:$C$511,"*b)*",'00 Encuesta'!$E$2:$E$511,"*b)*",'00 Encuesta'!$K$2:$K$511,"*b)*")</f>
        <v>3</v>
      </c>
      <c r="S69" s="52">
        <f t="shared" si="78"/>
        <v>12</v>
      </c>
      <c r="T69" s="3"/>
      <c r="U69" s="51">
        <f t="shared" si="79"/>
        <v>0</v>
      </c>
      <c r="V69" s="52" t="e">
        <f t="shared" si="80"/>
        <v>#DIV/0!</v>
      </c>
      <c r="W69" s="53">
        <f>COUNTIFS('00 Encuesta'!$B$2:$B$511,"*a)*",'00 Encuesta'!$C$2:$C$511,"*c)*",'00 Encuesta'!$E$2:$E$511,"*a)*",'00 Encuesta'!$K$2:$K$511,"*b)*")</f>
        <v>0</v>
      </c>
      <c r="X69" s="52" t="e">
        <f t="shared" si="81"/>
        <v>#DIV/0!</v>
      </c>
      <c r="Y69" s="53">
        <f>COUNTIFS('00 Encuesta'!$B$2:$B$511,"*a)*",'00 Encuesta'!$C$2:$C$511,"*c)*",'00 Encuesta'!$E$2:$E$511,"*b)*",'00 Encuesta'!$K$2:$K$511,"*b)*")</f>
        <v>0</v>
      </c>
      <c r="Z69" s="52" t="e">
        <f t="shared" si="82"/>
        <v>#DIV/0!</v>
      </c>
      <c r="AA69" s="3"/>
      <c r="AB69" s="62">
        <f t="shared" si="83"/>
        <v>10</v>
      </c>
      <c r="AC69" s="52">
        <f t="shared" si="84"/>
        <v>12.820512820512821</v>
      </c>
      <c r="AD69" s="7"/>
      <c r="AE69" s="7"/>
      <c r="AF69" s="9" t="str">
        <f t="shared" si="85"/>
        <v>b) Una</v>
      </c>
      <c r="AG69" s="72">
        <f t="shared" si="86"/>
        <v>13.636363636363635</v>
      </c>
      <c r="AH69" s="72">
        <f t="shared" si="87"/>
        <v>16.666666666666664</v>
      </c>
      <c r="AI69" s="73">
        <f t="shared" si="88"/>
        <v>15</v>
      </c>
      <c r="AJ69" s="73"/>
      <c r="AK69" s="76">
        <f t="shared" si="89"/>
        <v>7.6923076923076925</v>
      </c>
      <c r="AL69" s="76">
        <f t="shared" si="90"/>
        <v>12</v>
      </c>
      <c r="AM69" s="76">
        <f t="shared" si="91"/>
        <v>10.526315789473683</v>
      </c>
      <c r="AN69" s="76"/>
      <c r="AO69" s="81" t="e">
        <f t="shared" si="92"/>
        <v>#DIV/0!</v>
      </c>
      <c r="AP69" s="81" t="e">
        <f t="shared" si="93"/>
        <v>#DIV/0!</v>
      </c>
      <c r="AQ69" s="81" t="e">
        <f t="shared" si="94"/>
        <v>#DIV/0!</v>
      </c>
      <c r="AR69" s="7"/>
      <c r="AS69" s="76">
        <f t="shared" si="1"/>
        <v>12.820512820512821</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ht="15" x14ac:dyDescent="0.25">
      <c r="A70" s="8" t="s">
        <v>20</v>
      </c>
      <c r="B70" s="9" t="s">
        <v>74</v>
      </c>
      <c r="C70" s="7"/>
      <c r="D70" s="7"/>
      <c r="E70" s="7"/>
      <c r="F70" s="71"/>
      <c r="G70" s="51">
        <f t="shared" si="95"/>
        <v>15</v>
      </c>
      <c r="H70" s="52">
        <f t="shared" si="96"/>
        <v>37.5</v>
      </c>
      <c r="I70" s="53">
        <f>COUNTIFS('00 Encuesta'!$B$2:$B$511,"*a)*",'00 Encuesta'!$C$2:$C$511,"*a)*",'00 Encuesta'!$E$2:$E$511,"*a)*",'00 Encuesta'!$K$2:$K$511,"*c)*")</f>
        <v>10</v>
      </c>
      <c r="J70" s="52">
        <f t="shared" si="73"/>
        <v>45.454545454545453</v>
      </c>
      <c r="K70" s="53">
        <f>COUNTIFS('00 Encuesta'!$B$2:$B$511,"*a)*",'00 Encuesta'!$C$2:$C$511,"*a)*",'00 Encuesta'!$E$2:$E$511,"*b)*",'00 Encuesta'!$K$2:$K$511,"*c)*")</f>
        <v>5</v>
      </c>
      <c r="L70" s="52">
        <f t="shared" si="74"/>
        <v>27.777777777777779</v>
      </c>
      <c r="M70" s="23"/>
      <c r="N70" s="51">
        <f t="shared" si="75"/>
        <v>17</v>
      </c>
      <c r="O70" s="52">
        <f t="shared" si="76"/>
        <v>44.736842105263158</v>
      </c>
      <c r="P70" s="53">
        <f>COUNTIFS('00 Encuesta'!$B$2:$B$511,"*a)*",'00 Encuesta'!$C$2:$C$511,"*b)*",'00 Encuesta'!$E$2:$E$511,"*a)*",'00 Encuesta'!$K$2:$K$511,"*c)*")</f>
        <v>5</v>
      </c>
      <c r="Q70" s="52">
        <f t="shared" si="77"/>
        <v>38.461538461538467</v>
      </c>
      <c r="R70" s="53">
        <f>COUNTIFS('00 Encuesta'!$B$2:$B$511,"*a)*",'00 Encuesta'!$C$2:$C$511,"*b)*",'00 Encuesta'!$E$2:$E$511,"*b)*",'00 Encuesta'!$K$2:$K$511,"*c)*")</f>
        <v>12</v>
      </c>
      <c r="S70" s="52">
        <f t="shared" si="78"/>
        <v>48</v>
      </c>
      <c r="T70" s="3"/>
      <c r="U70" s="51">
        <f t="shared" si="79"/>
        <v>0</v>
      </c>
      <c r="V70" s="52" t="e">
        <f t="shared" si="80"/>
        <v>#DIV/0!</v>
      </c>
      <c r="W70" s="53">
        <f>COUNTIFS('00 Encuesta'!$B$2:$B$511,"*a)*",'00 Encuesta'!$C$2:$C$511,"*c)*",'00 Encuesta'!$E$2:$E$511,"*a)*",'00 Encuesta'!$K$2:$K$511,"*c)*")</f>
        <v>0</v>
      </c>
      <c r="X70" s="52" t="e">
        <f t="shared" si="81"/>
        <v>#DIV/0!</v>
      </c>
      <c r="Y70" s="53">
        <f>COUNTIFS('00 Encuesta'!$B$2:$B$511,"*a)*",'00 Encuesta'!$C$2:$C$511,"*c)*",'00 Encuesta'!$E$2:$E$511,"*b)*",'00 Encuesta'!$K$2:$K$511,"*c)*")</f>
        <v>0</v>
      </c>
      <c r="Z70" s="52" t="e">
        <f t="shared" si="82"/>
        <v>#DIV/0!</v>
      </c>
      <c r="AA70" s="3"/>
      <c r="AB70" s="62">
        <f t="shared" si="83"/>
        <v>32</v>
      </c>
      <c r="AC70" s="52">
        <f t="shared" si="84"/>
        <v>41.025641025641029</v>
      </c>
      <c r="AD70" s="7"/>
      <c r="AE70" s="7"/>
      <c r="AF70" s="9" t="str">
        <f t="shared" si="85"/>
        <v>c) Dos</v>
      </c>
      <c r="AG70" s="72">
        <f t="shared" si="86"/>
        <v>45.454545454545453</v>
      </c>
      <c r="AH70" s="72">
        <f t="shared" si="87"/>
        <v>27.777777777777779</v>
      </c>
      <c r="AI70" s="73">
        <f t="shared" si="88"/>
        <v>37.5</v>
      </c>
      <c r="AJ70" s="73"/>
      <c r="AK70" s="76">
        <f t="shared" si="89"/>
        <v>38.461538461538467</v>
      </c>
      <c r="AL70" s="76">
        <f t="shared" si="90"/>
        <v>48</v>
      </c>
      <c r="AM70" s="76">
        <f t="shared" si="91"/>
        <v>44.736842105263158</v>
      </c>
      <c r="AN70" s="76"/>
      <c r="AO70" s="81" t="e">
        <f t="shared" si="92"/>
        <v>#DIV/0!</v>
      </c>
      <c r="AP70" s="81" t="e">
        <f t="shared" si="93"/>
        <v>#DIV/0!</v>
      </c>
      <c r="AQ70" s="81" t="e">
        <f t="shared" si="94"/>
        <v>#DIV/0!</v>
      </c>
      <c r="AR70" s="7"/>
      <c r="AS70" s="76">
        <f t="shared" si="1"/>
        <v>41.025641025641029</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ht="15" x14ac:dyDescent="0.25">
      <c r="A71" s="8" t="s">
        <v>21</v>
      </c>
      <c r="B71" s="9" t="s">
        <v>75</v>
      </c>
      <c r="C71" s="7"/>
      <c r="D71" s="7"/>
      <c r="E71" s="7"/>
      <c r="F71" s="71"/>
      <c r="G71" s="51">
        <f t="shared" si="95"/>
        <v>5</v>
      </c>
      <c r="H71" s="52">
        <f t="shared" si="96"/>
        <v>12.5</v>
      </c>
      <c r="I71" s="53">
        <f>COUNTIFS('00 Encuesta'!$B$2:$B$511,"*a)*",'00 Encuesta'!$C$2:$C$511,"*a)*",'00 Encuesta'!$E$2:$E$511,"*a)*",'00 Encuesta'!$K$2:$K$511,"*d)*")</f>
        <v>2</v>
      </c>
      <c r="J71" s="52">
        <f t="shared" si="73"/>
        <v>9.0909090909090917</v>
      </c>
      <c r="K71" s="53">
        <f>COUNTIFS('00 Encuesta'!$B$2:$B$511,"*a)*",'00 Encuesta'!$C$2:$C$511,"*a)*",'00 Encuesta'!$E$2:$E$511,"*b)*",'00 Encuesta'!$K$2:$K$511,"*d)*")</f>
        <v>3</v>
      </c>
      <c r="L71" s="52">
        <f t="shared" si="74"/>
        <v>16.666666666666664</v>
      </c>
      <c r="M71" s="23"/>
      <c r="N71" s="51">
        <f t="shared" si="75"/>
        <v>6</v>
      </c>
      <c r="O71" s="52">
        <f t="shared" si="76"/>
        <v>15.789473684210526</v>
      </c>
      <c r="P71" s="53">
        <f>COUNTIFS('00 Encuesta'!$B$2:$B$511,"*a)*",'00 Encuesta'!$C$2:$C$511,"*b)*",'00 Encuesta'!$E$2:$E$511,"*a)*",'00 Encuesta'!$K$2:$K$511,"*d)*")</f>
        <v>2</v>
      </c>
      <c r="Q71" s="52">
        <f t="shared" si="77"/>
        <v>15.384615384615385</v>
      </c>
      <c r="R71" s="53">
        <f>COUNTIFS('00 Encuesta'!$B$2:$B$511,"*a)*",'00 Encuesta'!$C$2:$C$511,"*b)*",'00 Encuesta'!$E$2:$E$511,"*b)*",'00 Encuesta'!$K$2:$K$511,"*d)*")</f>
        <v>4</v>
      </c>
      <c r="S71" s="52">
        <f t="shared" si="78"/>
        <v>16</v>
      </c>
      <c r="T71" s="3"/>
      <c r="U71" s="51">
        <f t="shared" si="79"/>
        <v>0</v>
      </c>
      <c r="V71" s="52" t="e">
        <f t="shared" si="80"/>
        <v>#DIV/0!</v>
      </c>
      <c r="W71" s="53">
        <f>COUNTIFS('00 Encuesta'!$B$2:$B$511,"*a)*",'00 Encuesta'!$C$2:$C$511,"*c)*",'00 Encuesta'!$E$2:$E$511,"*a)*",'00 Encuesta'!$K$2:$K$511,"*d)*")</f>
        <v>0</v>
      </c>
      <c r="X71" s="52" t="e">
        <f t="shared" si="81"/>
        <v>#DIV/0!</v>
      </c>
      <c r="Y71" s="53">
        <f>COUNTIFS('00 Encuesta'!$B$2:$B$511,"*a)*",'00 Encuesta'!$C$2:$C$511,"*c)*",'00 Encuesta'!$E$2:$E$511,"*b)*",'00 Encuesta'!$K$2:$K$511,"*d)*")</f>
        <v>0</v>
      </c>
      <c r="Z71" s="52" t="e">
        <f t="shared" si="82"/>
        <v>#DIV/0!</v>
      </c>
      <c r="AA71" s="3"/>
      <c r="AB71" s="62">
        <f t="shared" si="83"/>
        <v>11</v>
      </c>
      <c r="AC71" s="52">
        <f t="shared" si="84"/>
        <v>14.102564102564102</v>
      </c>
      <c r="AD71" s="7"/>
      <c r="AE71" s="7"/>
      <c r="AF71" s="9" t="str">
        <f t="shared" si="85"/>
        <v>d) Tres</v>
      </c>
      <c r="AG71" s="72">
        <f t="shared" si="86"/>
        <v>9.0909090909090917</v>
      </c>
      <c r="AH71" s="72">
        <f t="shared" si="87"/>
        <v>16.666666666666664</v>
      </c>
      <c r="AI71" s="73">
        <f t="shared" si="88"/>
        <v>12.5</v>
      </c>
      <c r="AJ71" s="73"/>
      <c r="AK71" s="76">
        <f t="shared" si="89"/>
        <v>15.384615384615385</v>
      </c>
      <c r="AL71" s="76">
        <f t="shared" si="90"/>
        <v>16</v>
      </c>
      <c r="AM71" s="76">
        <f t="shared" si="91"/>
        <v>15.789473684210526</v>
      </c>
      <c r="AN71" s="76"/>
      <c r="AO71" s="81" t="e">
        <f t="shared" si="92"/>
        <v>#DIV/0!</v>
      </c>
      <c r="AP71" s="81" t="e">
        <f t="shared" si="93"/>
        <v>#DIV/0!</v>
      </c>
      <c r="AQ71" s="81" t="e">
        <f t="shared" si="94"/>
        <v>#DIV/0!</v>
      </c>
      <c r="AR71" s="7"/>
      <c r="AS71" s="76">
        <f t="shared" si="1"/>
        <v>14.102564102564102</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ht="15" x14ac:dyDescent="0.25">
      <c r="A72" s="8" t="s">
        <v>22</v>
      </c>
      <c r="B72" s="9" t="s">
        <v>76</v>
      </c>
      <c r="C72" s="7"/>
      <c r="D72" s="7"/>
      <c r="E72" s="7"/>
      <c r="F72" s="71"/>
      <c r="G72" s="51">
        <f t="shared" si="95"/>
        <v>2</v>
      </c>
      <c r="H72" s="52">
        <f t="shared" si="96"/>
        <v>5</v>
      </c>
      <c r="I72" s="53">
        <f>COUNTIFS('00 Encuesta'!$B$2:$B$511,"*a)*",'00 Encuesta'!$C$2:$C$511,"*a)*",'00 Encuesta'!$E$2:$E$511,"*a)*",'00 Encuesta'!$K$2:$K$511,"*e)*")</f>
        <v>2</v>
      </c>
      <c r="J72" s="52">
        <f t="shared" si="73"/>
        <v>9.0909090909090917</v>
      </c>
      <c r="K72" s="53">
        <f>COUNTIFS('00 Encuesta'!$B$2:$B$511,"*a)*",'00 Encuesta'!$C$2:$C$511,"*a)*",'00 Encuesta'!$E$2:$E$511,"*b)*",'00 Encuesta'!$K$2:$K$511,"*e)*")</f>
        <v>0</v>
      </c>
      <c r="L72" s="52">
        <f t="shared" si="74"/>
        <v>0</v>
      </c>
      <c r="M72" s="23"/>
      <c r="N72" s="51">
        <f t="shared" si="75"/>
        <v>6</v>
      </c>
      <c r="O72" s="52">
        <f t="shared" si="76"/>
        <v>15.789473684210526</v>
      </c>
      <c r="P72" s="53">
        <f>COUNTIFS('00 Encuesta'!$B$2:$B$511,"*a)*",'00 Encuesta'!$C$2:$C$511,"*b)*",'00 Encuesta'!$E$2:$E$511,"*a)*",'00 Encuesta'!$K$2:$K$511,"*e)*")</f>
        <v>4</v>
      </c>
      <c r="Q72" s="52">
        <f t="shared" si="77"/>
        <v>30.76923076923077</v>
      </c>
      <c r="R72" s="53">
        <f>COUNTIFS('00 Encuesta'!$B$2:$B$511,"*a)*",'00 Encuesta'!$C$2:$C$511,"*b)*",'00 Encuesta'!$E$2:$E$511,"*b)*",'00 Encuesta'!$K$2:$K$511,"*e)*")</f>
        <v>2</v>
      </c>
      <c r="S72" s="52">
        <f t="shared" si="78"/>
        <v>8</v>
      </c>
      <c r="T72" s="3"/>
      <c r="U72" s="51">
        <f t="shared" si="79"/>
        <v>0</v>
      </c>
      <c r="V72" s="52" t="e">
        <f t="shared" si="80"/>
        <v>#DIV/0!</v>
      </c>
      <c r="W72" s="53">
        <f>COUNTIFS('00 Encuesta'!$B$2:$B$511,"*a)*",'00 Encuesta'!$C$2:$C$511,"*c)*",'00 Encuesta'!$E$2:$E$511,"*a)*",'00 Encuesta'!$K$2:$K$511,"*e)*")</f>
        <v>0</v>
      </c>
      <c r="X72" s="52" t="e">
        <f t="shared" si="81"/>
        <v>#DIV/0!</v>
      </c>
      <c r="Y72" s="53">
        <f>COUNTIFS('00 Encuesta'!$B$2:$B$511,"*a)*",'00 Encuesta'!$C$2:$C$511,"*c)*",'00 Encuesta'!$E$2:$E$511,"*b)*",'00 Encuesta'!$K$2:$K$511,"*e)*")</f>
        <v>0</v>
      </c>
      <c r="Z72" s="52" t="e">
        <f t="shared" si="82"/>
        <v>#DIV/0!</v>
      </c>
      <c r="AA72" s="3"/>
      <c r="AB72" s="62">
        <f t="shared" si="83"/>
        <v>8</v>
      </c>
      <c r="AC72" s="52">
        <f t="shared" si="84"/>
        <v>10.256410256410257</v>
      </c>
      <c r="AD72" s="7"/>
      <c r="AE72" s="7"/>
      <c r="AF72" s="9" t="str">
        <f t="shared" si="85"/>
        <v>e) Cuatro</v>
      </c>
      <c r="AG72" s="72">
        <f t="shared" si="86"/>
        <v>9.0909090909090917</v>
      </c>
      <c r="AH72" s="72">
        <f t="shared" si="87"/>
        <v>0</v>
      </c>
      <c r="AI72" s="73">
        <f t="shared" si="88"/>
        <v>5</v>
      </c>
      <c r="AJ72" s="73"/>
      <c r="AK72" s="76">
        <f t="shared" si="89"/>
        <v>30.76923076923077</v>
      </c>
      <c r="AL72" s="76">
        <f t="shared" si="90"/>
        <v>8</v>
      </c>
      <c r="AM72" s="76">
        <f t="shared" si="91"/>
        <v>15.789473684210526</v>
      </c>
      <c r="AN72" s="76"/>
      <c r="AO72" s="81" t="e">
        <f t="shared" si="92"/>
        <v>#DIV/0!</v>
      </c>
      <c r="AP72" s="81" t="e">
        <f t="shared" si="93"/>
        <v>#DIV/0!</v>
      </c>
      <c r="AQ72" s="81" t="e">
        <f t="shared" si="94"/>
        <v>#DIV/0!</v>
      </c>
      <c r="AR72" s="7"/>
      <c r="AS72" s="76">
        <f t="shared" si="1"/>
        <v>10.256410256410257</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7</v>
      </c>
      <c r="H73" s="52">
        <f t="shared" si="96"/>
        <v>17.5</v>
      </c>
      <c r="I73" s="53">
        <f>COUNTIFS('00 Encuesta'!$B$2:$B$511,"*a)*",'00 Encuesta'!$C$2:$C$511,"*a)*",'00 Encuesta'!$E$2:$E$511,"*a)*",'00 Encuesta'!$K$2:$K$511,"*f)*")</f>
        <v>3</v>
      </c>
      <c r="J73" s="52">
        <f t="shared" si="73"/>
        <v>13.636363636363635</v>
      </c>
      <c r="K73" s="53">
        <f>COUNTIFS('00 Encuesta'!$B$2:$B$511,"*a)*",'00 Encuesta'!$C$2:$C$511,"*a)*",'00 Encuesta'!$E$2:$E$511,"*b)*",'00 Encuesta'!$K$2:$K$511,"*f)*")</f>
        <v>4</v>
      </c>
      <c r="L73" s="52">
        <f t="shared" si="74"/>
        <v>22.222222222222221</v>
      </c>
      <c r="M73" s="23"/>
      <c r="N73" s="51">
        <f t="shared" si="75"/>
        <v>2</v>
      </c>
      <c r="O73" s="52">
        <f t="shared" si="76"/>
        <v>5.2631578947368416</v>
      </c>
      <c r="P73" s="53">
        <f>COUNTIFS('00 Encuesta'!$B$2:$B$511,"*a)*",'00 Encuesta'!$C$2:$C$511,"*b)*",'00 Encuesta'!$E$2:$E$511,"*a)*",'00 Encuesta'!$K$2:$K$511,"*f)*")</f>
        <v>1</v>
      </c>
      <c r="Q73" s="52">
        <f t="shared" si="77"/>
        <v>7.6923076923076925</v>
      </c>
      <c r="R73" s="53">
        <f>COUNTIFS('00 Encuesta'!$B$2:$B$511,"*a)*",'00 Encuesta'!$C$2:$C$511,"*b)*",'00 Encuesta'!$E$2:$E$511,"*b)*",'00 Encuesta'!$K$2:$K$511,"*f)*")</f>
        <v>1</v>
      </c>
      <c r="S73" s="52">
        <f t="shared" si="78"/>
        <v>4</v>
      </c>
      <c r="T73" s="3"/>
      <c r="U73" s="51">
        <f t="shared" si="79"/>
        <v>0</v>
      </c>
      <c r="V73" s="52" t="e">
        <f t="shared" si="80"/>
        <v>#DIV/0!</v>
      </c>
      <c r="W73" s="53">
        <f>COUNTIFS('00 Encuesta'!$B$2:$B$511,"*a)*",'00 Encuesta'!$C$2:$C$511,"*c)*",'00 Encuesta'!$E$2:$E$511,"*a)*",'00 Encuesta'!$K$2:$K$511,"*f)*")</f>
        <v>0</v>
      </c>
      <c r="X73" s="52" t="e">
        <f t="shared" si="81"/>
        <v>#DIV/0!</v>
      </c>
      <c r="Y73" s="53">
        <f>COUNTIFS('00 Encuesta'!$B$2:$B$511,"*a)*",'00 Encuesta'!$C$2:$C$511,"*c)*",'00 Encuesta'!$E$2:$E$511,"*b)*",'00 Encuesta'!$K$2:$K$511,"*f)*")</f>
        <v>0</v>
      </c>
      <c r="Z73" s="52" t="e">
        <f t="shared" si="82"/>
        <v>#DIV/0!</v>
      </c>
      <c r="AA73" s="3"/>
      <c r="AB73" s="62">
        <f t="shared" si="83"/>
        <v>9</v>
      </c>
      <c r="AC73" s="52">
        <f t="shared" si="84"/>
        <v>11.538461538461538</v>
      </c>
      <c r="AD73" s="7"/>
      <c r="AE73" s="7"/>
      <c r="AF73" s="9" t="str">
        <f t="shared" si="85"/>
        <v>f) Más de cuatro</v>
      </c>
      <c r="AG73" s="72">
        <f t="shared" si="86"/>
        <v>13.636363636363635</v>
      </c>
      <c r="AH73" s="72">
        <f t="shared" si="87"/>
        <v>22.222222222222221</v>
      </c>
      <c r="AI73" s="73">
        <f t="shared" si="88"/>
        <v>17.5</v>
      </c>
      <c r="AJ73" s="73"/>
      <c r="AK73" s="76">
        <f t="shared" si="89"/>
        <v>7.6923076923076925</v>
      </c>
      <c r="AL73" s="76">
        <f t="shared" si="90"/>
        <v>4</v>
      </c>
      <c r="AM73" s="76">
        <f t="shared" si="91"/>
        <v>5.2631578947368416</v>
      </c>
      <c r="AN73" s="76"/>
      <c r="AO73" s="81" t="e">
        <f t="shared" si="92"/>
        <v>#DIV/0!</v>
      </c>
      <c r="AP73" s="81" t="e">
        <f t="shared" si="93"/>
        <v>#DIV/0!</v>
      </c>
      <c r="AQ73" s="81" t="e">
        <f t="shared" si="94"/>
        <v>#DIV/0!</v>
      </c>
      <c r="AR73" s="7"/>
      <c r="AS73" s="76">
        <f t="shared" si="1"/>
        <v>11.538461538461538</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ht="15" x14ac:dyDescent="0.25">
      <c r="A74" s="8" t="s">
        <v>23</v>
      </c>
      <c r="B74" s="9" t="s">
        <v>24</v>
      </c>
      <c r="C74" s="7"/>
      <c r="D74" s="7"/>
      <c r="E74" s="7"/>
      <c r="F74" s="71"/>
      <c r="G74" s="51">
        <f t="shared" si="95"/>
        <v>0</v>
      </c>
      <c r="H74" s="52">
        <f t="shared" si="96"/>
        <v>0</v>
      </c>
      <c r="I74" s="53"/>
      <c r="J74" s="52">
        <f t="shared" si="73"/>
        <v>0</v>
      </c>
      <c r="K74" s="53"/>
      <c r="L74" s="52">
        <f t="shared" si="74"/>
        <v>0</v>
      </c>
      <c r="M74" s="23"/>
      <c r="N74" s="51">
        <f t="shared" si="75"/>
        <v>0</v>
      </c>
      <c r="O74" s="52">
        <f t="shared" si="76"/>
        <v>0</v>
      </c>
      <c r="P74" s="53"/>
      <c r="Q74" s="52">
        <f t="shared" si="77"/>
        <v>0</v>
      </c>
      <c r="R74" s="53"/>
      <c r="S74" s="52">
        <f t="shared" si="78"/>
        <v>0</v>
      </c>
      <c r="T74" s="3"/>
      <c r="U74" s="51">
        <f t="shared" si="79"/>
        <v>0</v>
      </c>
      <c r="V74" s="52" t="e">
        <f t="shared" si="80"/>
        <v>#DIV/0!</v>
      </c>
      <c r="W74" s="53"/>
      <c r="X74" s="52" t="e">
        <f t="shared" si="81"/>
        <v>#DIV/0!</v>
      </c>
      <c r="Y74" s="53"/>
      <c r="Z74" s="52" t="e">
        <f t="shared" si="82"/>
        <v>#DIV/0!</v>
      </c>
      <c r="AA74" s="3"/>
      <c r="AB74" s="62">
        <f t="shared" si="83"/>
        <v>0</v>
      </c>
      <c r="AC74" s="52">
        <f t="shared" si="84"/>
        <v>0</v>
      </c>
      <c r="AD74" s="7"/>
      <c r="AE74" s="7"/>
      <c r="AF74" s="9" t="str">
        <f t="shared" si="85"/>
        <v>S/R Sin Respuesta</v>
      </c>
      <c r="AG74" s="72">
        <f t="shared" si="86"/>
        <v>0</v>
      </c>
      <c r="AH74" s="72">
        <f t="shared" si="87"/>
        <v>0</v>
      </c>
      <c r="AI74" s="73">
        <f t="shared" si="88"/>
        <v>0</v>
      </c>
      <c r="AJ74" s="73"/>
      <c r="AK74" s="76">
        <f t="shared" si="89"/>
        <v>0</v>
      </c>
      <c r="AL74" s="76">
        <f t="shared" si="90"/>
        <v>0</v>
      </c>
      <c r="AM74" s="76">
        <f t="shared" si="91"/>
        <v>0</v>
      </c>
      <c r="AN74" s="76"/>
      <c r="AO74" s="81" t="e">
        <f t="shared" si="92"/>
        <v>#DIV/0!</v>
      </c>
      <c r="AP74" s="81" t="e">
        <f t="shared" si="93"/>
        <v>#DIV/0!</v>
      </c>
      <c r="AQ74" s="81" t="e">
        <f t="shared" si="94"/>
        <v>#DIV/0!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ht="15" x14ac:dyDescent="0.25">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ht="15" x14ac:dyDescent="0.25">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ht="15" x14ac:dyDescent="0.25">
      <c r="A78" s="8" t="s">
        <v>17</v>
      </c>
      <c r="B78" s="9" t="s">
        <v>80</v>
      </c>
      <c r="C78" s="7"/>
      <c r="D78" s="7"/>
      <c r="E78" s="7"/>
      <c r="F78" s="71"/>
      <c r="G78" s="51">
        <f t="shared" ref="G78:G88" si="97">I78+K78</f>
        <v>32</v>
      </c>
      <c r="H78" s="52">
        <f t="shared" ref="H78:H88" si="98">G78/$J$5*100</f>
        <v>80</v>
      </c>
      <c r="I78" s="53">
        <f>COUNTIFS('00 Encuesta'!$B$2:$B$511,"*a)*",'00 Encuesta'!$C$2:$C$511,"*a)*",'00 Encuesta'!$E$2:$E$511,"*a)*",'00 Encuesta'!$L$2:$L$511,"*a)*")</f>
        <v>19</v>
      </c>
      <c r="J78" s="52">
        <f t="shared" ref="J78:J88" si="99">I78/$J$6*100</f>
        <v>86.36363636363636</v>
      </c>
      <c r="K78" s="53">
        <f>COUNTIFS('00 Encuesta'!$B$2:$B$511,"*a)*",'00 Encuesta'!$C$2:$C$511,"*a)*",'00 Encuesta'!$E$2:$E$511,"*b)*",'00 Encuesta'!$L$2:$L$511,"*a)*")</f>
        <v>13</v>
      </c>
      <c r="L78" s="52">
        <f t="shared" ref="L78:L88" si="100">K78/$J$7*100</f>
        <v>72.222222222222214</v>
      </c>
      <c r="M78" s="23"/>
      <c r="N78" s="51">
        <f t="shared" ref="N78:N88" si="101">P78+R78</f>
        <v>28</v>
      </c>
      <c r="O78" s="52">
        <f t="shared" ref="O78:O88" si="102">N78/$Q$5*100</f>
        <v>73.68421052631578</v>
      </c>
      <c r="P78" s="53">
        <f>COUNTIFS('00 Encuesta'!$B$2:$B$511,"*a)*",'00 Encuesta'!$C$2:$C$511,"*b)*",'00 Encuesta'!$E$2:$E$511,"*a)*",'00 Encuesta'!$L$2:$L$511,"*a)*")</f>
        <v>10</v>
      </c>
      <c r="Q78" s="52">
        <f t="shared" ref="Q78:Q88" si="103">P78/$Q$6*100</f>
        <v>76.923076923076934</v>
      </c>
      <c r="R78" s="53">
        <f>COUNTIFS('00 Encuesta'!$B$2:$B$511,"*a)*",'00 Encuesta'!$C$2:$C$511,"*b)*",'00 Encuesta'!$E$2:$E$511,"*b)*",'00 Encuesta'!$L$2:$L$511,"*a)*")</f>
        <v>18</v>
      </c>
      <c r="S78" s="52">
        <f t="shared" ref="S78:S88" si="104">R78/$Q$7*100</f>
        <v>72</v>
      </c>
      <c r="T78" s="3"/>
      <c r="U78" s="51">
        <f t="shared" ref="U78:U88" si="105">W78+Y78</f>
        <v>0</v>
      </c>
      <c r="V78" s="52" t="e">
        <f t="shared" ref="V78:V88" si="106">U78/$X$5*100</f>
        <v>#DIV/0!</v>
      </c>
      <c r="W78" s="53">
        <f>COUNTIFS('00 Encuesta'!$B$2:$B$511,"*a)*",'00 Encuesta'!$C$2:$C$511,"*c)*",'00 Encuesta'!$E$2:$E$511,"*a)*",'00 Encuesta'!$L$2:$L$511,"*a)*")</f>
        <v>0</v>
      </c>
      <c r="X78" s="52" t="e">
        <f t="shared" ref="X78:X88" si="107">W78/$X$6*100</f>
        <v>#DIV/0!</v>
      </c>
      <c r="Y78" s="53">
        <f>COUNTIFS('00 Encuesta'!$B$2:$B$511,"*a)*",'00 Encuesta'!$C$2:$C$511,"*c)*",'00 Encuesta'!$E$2:$E$511,"*b)*",'00 Encuesta'!$L$2:$L$511,"*a)*")</f>
        <v>0</v>
      </c>
      <c r="Z78" s="52" t="e">
        <f t="shared" ref="Z78:Z88" si="108">Y78/$X$7*100</f>
        <v>#DIV/0!</v>
      </c>
      <c r="AA78" s="3"/>
      <c r="AB78" s="62">
        <f t="shared" ref="AB78:AB88" si="109">G78+N78+U78</f>
        <v>60</v>
      </c>
      <c r="AC78" s="52">
        <f t="shared" ref="AC78:AC88" si="110">AB78*100/$AC$5</f>
        <v>76.92307692307692</v>
      </c>
      <c r="AD78" s="7"/>
      <c r="AE78" s="7"/>
      <c r="AF78" s="9" t="str">
        <f t="shared" ref="AF78:AF89" si="111">A78&amp;" "&amp;B78</f>
        <v>a) La familia</v>
      </c>
      <c r="AG78" s="72">
        <f t="shared" ref="AG78:AG89" si="112">J78</f>
        <v>86.36363636363636</v>
      </c>
      <c r="AH78" s="72">
        <f t="shared" ref="AH78:AH89" si="113">L78</f>
        <v>72.222222222222214</v>
      </c>
      <c r="AI78" s="73">
        <f t="shared" ref="AI78:AI89" si="114">H78</f>
        <v>80</v>
      </c>
      <c r="AJ78" s="73"/>
      <c r="AK78" s="76">
        <f t="shared" ref="AK78:AK89" si="115">Q78</f>
        <v>76.923076923076934</v>
      </c>
      <c r="AL78" s="76">
        <f t="shared" ref="AL78:AL89" si="116">S78</f>
        <v>72</v>
      </c>
      <c r="AM78" s="76">
        <f t="shared" ref="AM78:AM89" si="117">O78</f>
        <v>73.68421052631578</v>
      </c>
      <c r="AN78" s="76"/>
      <c r="AO78" s="81" t="e">
        <f t="shared" ref="AO78:AO89" si="118">X78</f>
        <v>#DIV/0!</v>
      </c>
      <c r="AP78" s="81" t="e">
        <f t="shared" ref="AP78:AP89" si="119">Z78</f>
        <v>#DIV/0!</v>
      </c>
      <c r="AQ78" s="81" t="e">
        <f t="shared" ref="AQ78:AQ89" si="120">V78</f>
        <v>#DIV/0!</v>
      </c>
      <c r="AR78" s="7"/>
      <c r="AS78" s="76">
        <f t="shared" si="1"/>
        <v>76.92307692307692</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ht="15" x14ac:dyDescent="0.25">
      <c r="A79" s="8" t="s">
        <v>18</v>
      </c>
      <c r="B79" s="9" t="s">
        <v>81</v>
      </c>
      <c r="C79" s="7"/>
      <c r="D79" s="7"/>
      <c r="E79" s="7"/>
      <c r="F79" s="71"/>
      <c r="G79" s="51">
        <f t="shared" si="97"/>
        <v>16</v>
      </c>
      <c r="H79" s="52">
        <f t="shared" si="98"/>
        <v>40</v>
      </c>
      <c r="I79" s="53">
        <f>COUNTIFS('00 Encuesta'!$B$2:$B$511,"*a)*",'00 Encuesta'!$C$2:$C$511,"*a)*",'00 Encuesta'!$E$2:$E$511,"*a)*",'00 Encuesta'!$L$2:$L$511,"*b)*")</f>
        <v>10</v>
      </c>
      <c r="J79" s="52">
        <f t="shared" si="99"/>
        <v>45.454545454545453</v>
      </c>
      <c r="K79" s="53">
        <f>COUNTIFS('00 Encuesta'!$B$2:$B$511,"*a)*",'00 Encuesta'!$C$2:$C$511,"*a)*",'00 Encuesta'!$E$2:$E$511,"*b)*",'00 Encuesta'!$L$2:$L$511,"*b)*")</f>
        <v>6</v>
      </c>
      <c r="L79" s="52">
        <f t="shared" si="100"/>
        <v>33.333333333333329</v>
      </c>
      <c r="M79" s="23"/>
      <c r="N79" s="51">
        <f t="shared" si="101"/>
        <v>14</v>
      </c>
      <c r="O79" s="52">
        <f t="shared" si="102"/>
        <v>36.84210526315789</v>
      </c>
      <c r="P79" s="53">
        <f>COUNTIFS('00 Encuesta'!$B$2:$B$511,"*a)*",'00 Encuesta'!$C$2:$C$511,"*b)*",'00 Encuesta'!$E$2:$E$511,"*a)*",'00 Encuesta'!$L$2:$L$511,"*b)*")</f>
        <v>4</v>
      </c>
      <c r="Q79" s="52">
        <f t="shared" si="103"/>
        <v>30.76923076923077</v>
      </c>
      <c r="R79" s="53">
        <f>COUNTIFS('00 Encuesta'!$B$2:$B$511,"*a)*",'00 Encuesta'!$C$2:$C$511,"*b)*",'00 Encuesta'!$E$2:$E$511,"*b)*",'00 Encuesta'!$L$2:$L$511,"*b)*")</f>
        <v>10</v>
      </c>
      <c r="S79" s="52">
        <f t="shared" si="104"/>
        <v>40</v>
      </c>
      <c r="T79" s="3"/>
      <c r="U79" s="51">
        <f t="shared" si="105"/>
        <v>0</v>
      </c>
      <c r="V79" s="52" t="e">
        <f t="shared" si="106"/>
        <v>#DIV/0!</v>
      </c>
      <c r="W79" s="53">
        <f>COUNTIFS('00 Encuesta'!$B$2:$B$511,"*a)*",'00 Encuesta'!$C$2:$C$511,"*c)*",'00 Encuesta'!$E$2:$E$511,"*a)*",'00 Encuesta'!$L$2:$L$511,"*b)*")</f>
        <v>0</v>
      </c>
      <c r="X79" s="52" t="e">
        <f t="shared" si="107"/>
        <v>#DIV/0!</v>
      </c>
      <c r="Y79" s="53">
        <f>COUNTIFS('00 Encuesta'!$B$2:$B$511,"*a)*",'00 Encuesta'!$C$2:$C$511,"*c)*",'00 Encuesta'!$E$2:$E$511,"*b)*",'00 Encuesta'!$L$2:$L$511,"*b)*")</f>
        <v>0</v>
      </c>
      <c r="Z79" s="52" t="e">
        <f t="shared" si="108"/>
        <v>#DIV/0!</v>
      </c>
      <c r="AA79" s="3"/>
      <c r="AB79" s="62">
        <f t="shared" si="109"/>
        <v>30</v>
      </c>
      <c r="AC79" s="52">
        <f t="shared" si="110"/>
        <v>38.46153846153846</v>
      </c>
      <c r="AD79" s="7"/>
      <c r="AE79" s="7"/>
      <c r="AF79" s="9" t="str">
        <f t="shared" si="111"/>
        <v>b) Los amigos</v>
      </c>
      <c r="AG79" s="72">
        <f t="shared" si="112"/>
        <v>45.454545454545453</v>
      </c>
      <c r="AH79" s="72">
        <f t="shared" si="113"/>
        <v>33.333333333333329</v>
      </c>
      <c r="AI79" s="73">
        <f t="shared" si="114"/>
        <v>40</v>
      </c>
      <c r="AJ79" s="73"/>
      <c r="AK79" s="76">
        <f t="shared" si="115"/>
        <v>30.76923076923077</v>
      </c>
      <c r="AL79" s="76">
        <f t="shared" si="116"/>
        <v>40</v>
      </c>
      <c r="AM79" s="76">
        <f t="shared" si="117"/>
        <v>36.84210526315789</v>
      </c>
      <c r="AN79" s="76"/>
      <c r="AO79" s="81" t="e">
        <f t="shared" si="118"/>
        <v>#DIV/0!</v>
      </c>
      <c r="AP79" s="81" t="e">
        <f t="shared" si="119"/>
        <v>#DIV/0!</v>
      </c>
      <c r="AQ79" s="81" t="e">
        <f t="shared" si="120"/>
        <v>#DIV/0!</v>
      </c>
      <c r="AR79" s="7"/>
      <c r="AS79" s="76">
        <f t="shared" si="1"/>
        <v>38.46153846153846</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ht="15" x14ac:dyDescent="0.25">
      <c r="A80" s="8" t="s">
        <v>20</v>
      </c>
      <c r="B80" s="9" t="s">
        <v>82</v>
      </c>
      <c r="C80" s="7"/>
      <c r="D80" s="7"/>
      <c r="E80" s="7"/>
      <c r="F80" s="71"/>
      <c r="G80" s="51">
        <f t="shared" si="97"/>
        <v>20</v>
      </c>
      <c r="H80" s="52">
        <f t="shared" si="98"/>
        <v>50</v>
      </c>
      <c r="I80" s="53">
        <f>COUNTIFS('00 Encuesta'!$B$2:$B$511,"*a)*",'00 Encuesta'!$C$2:$C$511,"*a)*",'00 Encuesta'!$E$2:$E$511,"*a)*",'00 Encuesta'!$L$2:$L$511,"*c)*")</f>
        <v>12</v>
      </c>
      <c r="J80" s="52">
        <f t="shared" si="99"/>
        <v>54.54545454545454</v>
      </c>
      <c r="K80" s="53">
        <f>COUNTIFS('00 Encuesta'!$B$2:$B$511,"*a)*",'00 Encuesta'!$C$2:$C$511,"*a)*",'00 Encuesta'!$E$2:$E$511,"*b)*",'00 Encuesta'!$L$2:$L$511,"*c)*")</f>
        <v>8</v>
      </c>
      <c r="L80" s="52">
        <f t="shared" si="100"/>
        <v>44.444444444444443</v>
      </c>
      <c r="M80" s="23"/>
      <c r="N80" s="51">
        <f t="shared" si="101"/>
        <v>13</v>
      </c>
      <c r="O80" s="52">
        <f t="shared" si="102"/>
        <v>34.210526315789473</v>
      </c>
      <c r="P80" s="53">
        <f>COUNTIFS('00 Encuesta'!$B$2:$B$511,"*a)*",'00 Encuesta'!$C$2:$C$511,"*b)*",'00 Encuesta'!$E$2:$E$511,"*a)*",'00 Encuesta'!$L$2:$L$511,"*c)*")</f>
        <v>6</v>
      </c>
      <c r="Q80" s="52">
        <f t="shared" si="103"/>
        <v>46.153846153846153</v>
      </c>
      <c r="R80" s="53">
        <f>COUNTIFS('00 Encuesta'!$B$2:$B$511,"*a)*",'00 Encuesta'!$C$2:$C$511,"*b)*",'00 Encuesta'!$E$2:$E$511,"*b)*",'00 Encuesta'!$L$2:$L$511,"*c)*")</f>
        <v>7</v>
      </c>
      <c r="S80" s="52">
        <f t="shared" si="104"/>
        <v>28.000000000000004</v>
      </c>
      <c r="T80" s="3"/>
      <c r="U80" s="51">
        <f t="shared" si="105"/>
        <v>0</v>
      </c>
      <c r="V80" s="52" t="e">
        <f t="shared" si="106"/>
        <v>#DIV/0!</v>
      </c>
      <c r="W80" s="53">
        <f>COUNTIFS('00 Encuesta'!$B$2:$B$511,"*a)*",'00 Encuesta'!$C$2:$C$511,"*c)*",'00 Encuesta'!$E$2:$E$511,"*a)*",'00 Encuesta'!$L$2:$L$511,"*c)*")</f>
        <v>0</v>
      </c>
      <c r="X80" s="52" t="e">
        <f t="shared" si="107"/>
        <v>#DIV/0!</v>
      </c>
      <c r="Y80" s="53">
        <f>COUNTIFS('00 Encuesta'!$B$2:$B$511,"*a)*",'00 Encuesta'!$C$2:$C$511,"*c)*",'00 Encuesta'!$E$2:$E$511,"*b)*",'00 Encuesta'!$L$2:$L$511,"*c)*")</f>
        <v>0</v>
      </c>
      <c r="Z80" s="52" t="e">
        <f t="shared" si="108"/>
        <v>#DIV/0!</v>
      </c>
      <c r="AA80" s="3"/>
      <c r="AB80" s="62">
        <f t="shared" si="109"/>
        <v>33</v>
      </c>
      <c r="AC80" s="52">
        <f t="shared" si="110"/>
        <v>42.307692307692307</v>
      </c>
      <c r="AD80" s="7"/>
      <c r="AE80" s="7"/>
      <c r="AF80" s="9" t="str">
        <f t="shared" si="111"/>
        <v>c) Los estudios</v>
      </c>
      <c r="AG80" s="72">
        <f t="shared" si="112"/>
        <v>54.54545454545454</v>
      </c>
      <c r="AH80" s="72">
        <f t="shared" si="113"/>
        <v>44.444444444444443</v>
      </c>
      <c r="AI80" s="73">
        <f t="shared" si="114"/>
        <v>50</v>
      </c>
      <c r="AJ80" s="73"/>
      <c r="AK80" s="76">
        <f t="shared" si="115"/>
        <v>46.153846153846153</v>
      </c>
      <c r="AL80" s="76">
        <f t="shared" si="116"/>
        <v>28.000000000000004</v>
      </c>
      <c r="AM80" s="76">
        <f t="shared" si="117"/>
        <v>34.210526315789473</v>
      </c>
      <c r="AN80" s="76"/>
      <c r="AO80" s="81" t="e">
        <f t="shared" si="118"/>
        <v>#DIV/0!</v>
      </c>
      <c r="AP80" s="81" t="e">
        <f t="shared" si="119"/>
        <v>#DIV/0!</v>
      </c>
      <c r="AQ80" s="81" t="e">
        <f t="shared" si="120"/>
        <v>#DIV/0!</v>
      </c>
      <c r="AR80" s="7"/>
      <c r="AS80" s="76">
        <f t="shared" ref="AS80:AS141" si="121">AC80</f>
        <v>42.307692307692307</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ht="15" x14ac:dyDescent="0.25">
      <c r="A81" s="8" t="s">
        <v>21</v>
      </c>
      <c r="B81" s="9" t="s">
        <v>83</v>
      </c>
      <c r="C81" s="7"/>
      <c r="D81" s="7"/>
      <c r="E81" s="7"/>
      <c r="F81" s="71"/>
      <c r="G81" s="51">
        <f t="shared" si="97"/>
        <v>3</v>
      </c>
      <c r="H81" s="52">
        <f t="shared" si="98"/>
        <v>7.5</v>
      </c>
      <c r="I81" s="53">
        <f>COUNTIFS('00 Encuesta'!$B$2:$B$511,"*a)*",'00 Encuesta'!$C$2:$C$511,"*a)*",'00 Encuesta'!$E$2:$E$511,"*a)*",'00 Encuesta'!$L$2:$L$511,"*d)*")</f>
        <v>1</v>
      </c>
      <c r="J81" s="52">
        <f t="shared" si="99"/>
        <v>4.5454545454545459</v>
      </c>
      <c r="K81" s="53">
        <f>COUNTIFS('00 Encuesta'!$B$2:$B$511,"*a)*",'00 Encuesta'!$C$2:$C$511,"*a)*",'00 Encuesta'!$E$2:$E$511,"*b)*",'00 Encuesta'!$L$2:$L$511,"*d)*")</f>
        <v>2</v>
      </c>
      <c r="L81" s="52">
        <f t="shared" si="100"/>
        <v>11.111111111111111</v>
      </c>
      <c r="M81" s="23"/>
      <c r="N81" s="51">
        <f t="shared" si="101"/>
        <v>5</v>
      </c>
      <c r="O81" s="52">
        <f t="shared" si="102"/>
        <v>13.157894736842104</v>
      </c>
      <c r="P81" s="53">
        <f>COUNTIFS('00 Encuesta'!$B$2:$B$511,"*a)*",'00 Encuesta'!$C$2:$C$511,"*b)*",'00 Encuesta'!$E$2:$E$511,"*a)*",'00 Encuesta'!$L$2:$L$511,"*d)*")</f>
        <v>1</v>
      </c>
      <c r="Q81" s="52">
        <f t="shared" si="103"/>
        <v>7.6923076923076925</v>
      </c>
      <c r="R81" s="53">
        <f>COUNTIFS('00 Encuesta'!$B$2:$B$511,"*a)*",'00 Encuesta'!$C$2:$C$511,"*b)*",'00 Encuesta'!$E$2:$E$511,"*b)*",'00 Encuesta'!$L$2:$L$511,"*d)*")</f>
        <v>4</v>
      </c>
      <c r="S81" s="52">
        <f t="shared" si="104"/>
        <v>16</v>
      </c>
      <c r="T81" s="3"/>
      <c r="U81" s="51">
        <f t="shared" si="105"/>
        <v>0</v>
      </c>
      <c r="V81" s="52" t="e">
        <f t="shared" si="106"/>
        <v>#DIV/0!</v>
      </c>
      <c r="W81" s="53">
        <f>COUNTIFS('00 Encuesta'!$B$2:$B$511,"*a)*",'00 Encuesta'!$C$2:$C$511,"*c)*",'00 Encuesta'!$E$2:$E$511,"*a)*",'00 Encuesta'!$L$2:$L$511,"*d)*")</f>
        <v>0</v>
      </c>
      <c r="X81" s="52" t="e">
        <f t="shared" si="107"/>
        <v>#DIV/0!</v>
      </c>
      <c r="Y81" s="53">
        <f>COUNTIFS('00 Encuesta'!$B$2:$B$511,"*a)*",'00 Encuesta'!$C$2:$C$511,"*c)*",'00 Encuesta'!$E$2:$E$511,"*b)*",'00 Encuesta'!$L$2:$L$511,"*d)*")</f>
        <v>0</v>
      </c>
      <c r="Z81" s="52" t="e">
        <f t="shared" si="108"/>
        <v>#DIV/0!</v>
      </c>
      <c r="AA81" s="3"/>
      <c r="AB81" s="62">
        <f t="shared" si="109"/>
        <v>8</v>
      </c>
      <c r="AC81" s="52">
        <f t="shared" si="110"/>
        <v>10.256410256410257</v>
      </c>
      <c r="AD81" s="7"/>
      <c r="AE81" s="7"/>
      <c r="AF81" s="9" t="str">
        <f t="shared" si="111"/>
        <v>d) El cuidado de mi cuerpo</v>
      </c>
      <c r="AG81" s="72">
        <f t="shared" si="112"/>
        <v>4.5454545454545459</v>
      </c>
      <c r="AH81" s="72">
        <f t="shared" si="113"/>
        <v>11.111111111111111</v>
      </c>
      <c r="AI81" s="73">
        <f t="shared" si="114"/>
        <v>7.5</v>
      </c>
      <c r="AJ81" s="73"/>
      <c r="AK81" s="76">
        <f t="shared" si="115"/>
        <v>7.6923076923076925</v>
      </c>
      <c r="AL81" s="76">
        <f t="shared" si="116"/>
        <v>16</v>
      </c>
      <c r="AM81" s="76">
        <f t="shared" si="117"/>
        <v>13.157894736842104</v>
      </c>
      <c r="AN81" s="76"/>
      <c r="AO81" s="81" t="e">
        <f t="shared" si="118"/>
        <v>#DIV/0!</v>
      </c>
      <c r="AP81" s="81" t="e">
        <f t="shared" si="119"/>
        <v>#DIV/0!</v>
      </c>
      <c r="AQ81" s="81" t="e">
        <f t="shared" si="120"/>
        <v>#DIV/0!</v>
      </c>
      <c r="AR81" s="7"/>
      <c r="AS81" s="76">
        <f t="shared" si="121"/>
        <v>10.256410256410257</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ht="15" x14ac:dyDescent="0.25">
      <c r="A82" s="8" t="s">
        <v>22</v>
      </c>
      <c r="B82" s="9" t="s">
        <v>84</v>
      </c>
      <c r="C82" s="7"/>
      <c r="D82" s="7"/>
      <c r="E82" s="56"/>
      <c r="F82" s="71"/>
      <c r="G82" s="51">
        <f t="shared" si="97"/>
        <v>0</v>
      </c>
      <c r="H82" s="52">
        <f t="shared" si="98"/>
        <v>0</v>
      </c>
      <c r="I82" s="53">
        <f>COUNTIFS('00 Encuesta'!$B$2:$B$511,"*a)*",'00 Encuesta'!$C$2:$C$511,"*a)*",'00 Encuesta'!$E$2:$E$511,"*a)*",'00 Encuesta'!$L$2:$L$511,"*e)*")</f>
        <v>0</v>
      </c>
      <c r="J82" s="52">
        <f t="shared" si="99"/>
        <v>0</v>
      </c>
      <c r="K82" s="53">
        <f>COUNTIFS('00 Encuesta'!$B$2:$B$511,"*a)*",'00 Encuesta'!$C$2:$C$511,"*a)*",'00 Encuesta'!$E$2:$E$511,"*b)*",'00 Encuesta'!$L$2:$L$511,"*e)*")</f>
        <v>0</v>
      </c>
      <c r="L82" s="52">
        <f t="shared" si="100"/>
        <v>0</v>
      </c>
      <c r="M82" s="23"/>
      <c r="N82" s="51">
        <f t="shared" si="101"/>
        <v>3</v>
      </c>
      <c r="O82" s="52">
        <f t="shared" si="102"/>
        <v>7.8947368421052628</v>
      </c>
      <c r="P82" s="53">
        <f>COUNTIFS('00 Encuesta'!$B$2:$B$511,"*a)*",'00 Encuesta'!$C$2:$C$511,"*b)*",'00 Encuesta'!$E$2:$E$511,"*a)*",'00 Encuesta'!$L$2:$L$511,"*e)*")</f>
        <v>2</v>
      </c>
      <c r="Q82" s="52">
        <f t="shared" si="103"/>
        <v>15.384615384615385</v>
      </c>
      <c r="R82" s="53">
        <f>COUNTIFS('00 Encuesta'!$B$2:$B$511,"*a)*",'00 Encuesta'!$C$2:$C$511,"*b)*",'00 Encuesta'!$E$2:$E$511,"*b)*",'00 Encuesta'!$L$2:$L$511,"*e)*")</f>
        <v>1</v>
      </c>
      <c r="S82" s="52">
        <f t="shared" si="104"/>
        <v>4</v>
      </c>
      <c r="T82" s="3"/>
      <c r="U82" s="51">
        <f t="shared" si="105"/>
        <v>0</v>
      </c>
      <c r="V82" s="52" t="e">
        <f t="shared" si="106"/>
        <v>#DIV/0!</v>
      </c>
      <c r="W82" s="53">
        <f>COUNTIFS('00 Encuesta'!$B$2:$B$511,"*a)*",'00 Encuesta'!$C$2:$C$511,"*c)*",'00 Encuesta'!$E$2:$E$511,"*a)*",'00 Encuesta'!$L$2:$L$511,"*e)*")</f>
        <v>0</v>
      </c>
      <c r="X82" s="52" t="e">
        <f t="shared" si="107"/>
        <v>#DIV/0!</v>
      </c>
      <c r="Y82" s="53">
        <f>COUNTIFS('00 Encuesta'!$B$2:$B$511,"*a)*",'00 Encuesta'!$C$2:$C$511,"*c)*",'00 Encuesta'!$E$2:$E$511,"*b)*",'00 Encuesta'!$L$2:$L$511,"*e)*")</f>
        <v>0</v>
      </c>
      <c r="Z82" s="52" t="e">
        <f t="shared" si="108"/>
        <v>#DIV/0!</v>
      </c>
      <c r="AA82" s="3"/>
      <c r="AB82" s="62">
        <f t="shared" si="109"/>
        <v>3</v>
      </c>
      <c r="AC82" s="52">
        <f t="shared" si="110"/>
        <v>3.8461538461538463</v>
      </c>
      <c r="AD82" s="7"/>
      <c r="AE82" s="7"/>
      <c r="AF82" s="9" t="str">
        <f t="shared" si="111"/>
        <v>e) Disponer de dinero</v>
      </c>
      <c r="AG82" s="72">
        <f t="shared" si="112"/>
        <v>0</v>
      </c>
      <c r="AH82" s="72">
        <f t="shared" si="113"/>
        <v>0</v>
      </c>
      <c r="AI82" s="73">
        <f t="shared" si="114"/>
        <v>0</v>
      </c>
      <c r="AJ82" s="73"/>
      <c r="AK82" s="76">
        <f t="shared" si="115"/>
        <v>15.384615384615385</v>
      </c>
      <c r="AL82" s="76">
        <f t="shared" si="116"/>
        <v>4</v>
      </c>
      <c r="AM82" s="76">
        <f t="shared" si="117"/>
        <v>7.8947368421052628</v>
      </c>
      <c r="AN82" s="76"/>
      <c r="AO82" s="81" t="e">
        <f t="shared" si="118"/>
        <v>#DIV/0!</v>
      </c>
      <c r="AP82" s="81" t="e">
        <f t="shared" si="119"/>
        <v>#DIV/0!</v>
      </c>
      <c r="AQ82" s="81" t="e">
        <f t="shared" si="120"/>
        <v>#DIV/0!</v>
      </c>
      <c r="AR82" s="7"/>
      <c r="AS82" s="76">
        <f t="shared" si="121"/>
        <v>3.8461538461538463</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ht="15" x14ac:dyDescent="0.25">
      <c r="A83" s="8" t="s">
        <v>45</v>
      </c>
      <c r="B83" s="9" t="s">
        <v>85</v>
      </c>
      <c r="C83" s="7"/>
      <c r="D83" s="7"/>
      <c r="E83" s="7"/>
      <c r="F83" s="71"/>
      <c r="G83" s="51">
        <f t="shared" si="97"/>
        <v>5</v>
      </c>
      <c r="H83" s="52">
        <f t="shared" si="98"/>
        <v>12.5</v>
      </c>
      <c r="I83" s="53">
        <f>COUNTIFS('00 Encuesta'!$B$2:$B$511,"*a)*",'00 Encuesta'!$C$2:$C$511,"*a)*",'00 Encuesta'!$E$2:$E$511,"*a)*",'00 Encuesta'!$L$2:$L$511,"*f)*")</f>
        <v>2</v>
      </c>
      <c r="J83" s="52">
        <f t="shared" si="99"/>
        <v>9.0909090909090917</v>
      </c>
      <c r="K83" s="53">
        <f>COUNTIFS('00 Encuesta'!$B$2:$B$511,"*a)*",'00 Encuesta'!$C$2:$C$511,"*a)*",'00 Encuesta'!$E$2:$E$511,"*b)*",'00 Encuesta'!$L$2:$L$511,"*f)*")</f>
        <v>3</v>
      </c>
      <c r="L83" s="52">
        <f t="shared" si="100"/>
        <v>16.666666666666664</v>
      </c>
      <c r="M83" s="23"/>
      <c r="N83" s="51">
        <f t="shared" si="101"/>
        <v>1</v>
      </c>
      <c r="O83" s="52">
        <f t="shared" si="102"/>
        <v>2.6315789473684208</v>
      </c>
      <c r="P83" s="53">
        <f>COUNTIFS('00 Encuesta'!$B$2:$B$511,"*a)*",'00 Encuesta'!$C$2:$C$511,"*b)*",'00 Encuesta'!$E$2:$E$511,"*a)*",'00 Encuesta'!$L$2:$L$511,"*f)*")</f>
        <v>0</v>
      </c>
      <c r="Q83" s="52">
        <f t="shared" si="103"/>
        <v>0</v>
      </c>
      <c r="R83" s="53">
        <f>COUNTIFS('00 Encuesta'!$B$2:$B$511,"*a)*",'00 Encuesta'!$C$2:$C$511,"*b)*",'00 Encuesta'!$E$2:$E$511,"*b)*",'00 Encuesta'!$L$2:$L$511,"*f)*")</f>
        <v>1</v>
      </c>
      <c r="S83" s="52">
        <f t="shared" si="104"/>
        <v>4</v>
      </c>
      <c r="T83" s="3"/>
      <c r="U83" s="51">
        <f t="shared" si="105"/>
        <v>0</v>
      </c>
      <c r="V83" s="52" t="e">
        <f t="shared" si="106"/>
        <v>#DIV/0!</v>
      </c>
      <c r="W83" s="53">
        <f>COUNTIFS('00 Encuesta'!$B$2:$B$511,"*a)*",'00 Encuesta'!$C$2:$C$511,"*c)*",'00 Encuesta'!$E$2:$E$511,"*a)*",'00 Encuesta'!$L$2:$L$511,"*f)*")</f>
        <v>0</v>
      </c>
      <c r="X83" s="52" t="e">
        <f t="shared" si="107"/>
        <v>#DIV/0!</v>
      </c>
      <c r="Y83" s="53">
        <f>COUNTIFS('00 Encuesta'!$B$2:$B$511,"*a)*",'00 Encuesta'!$C$2:$C$511,"*c)*",'00 Encuesta'!$E$2:$E$511,"*b)*",'00 Encuesta'!$L$2:$L$511,"*f)*")</f>
        <v>0</v>
      </c>
      <c r="Z83" s="52" t="e">
        <f t="shared" si="108"/>
        <v>#DIV/0!</v>
      </c>
      <c r="AA83" s="3"/>
      <c r="AB83" s="62">
        <f t="shared" si="109"/>
        <v>6</v>
      </c>
      <c r="AC83" s="52">
        <f t="shared" si="110"/>
        <v>7.6923076923076925</v>
      </c>
      <c r="AD83" s="7"/>
      <c r="AE83" s="7"/>
      <c r="AF83" s="9" t="str">
        <f t="shared" si="111"/>
        <v>f) Mi fe y vida cristiana</v>
      </c>
      <c r="AG83" s="72">
        <f t="shared" si="112"/>
        <v>9.0909090909090917</v>
      </c>
      <c r="AH83" s="72">
        <f t="shared" si="113"/>
        <v>16.666666666666664</v>
      </c>
      <c r="AI83" s="73">
        <f t="shared" si="114"/>
        <v>12.5</v>
      </c>
      <c r="AJ83" s="73"/>
      <c r="AK83" s="76">
        <f t="shared" si="115"/>
        <v>0</v>
      </c>
      <c r="AL83" s="76">
        <f t="shared" si="116"/>
        <v>4</v>
      </c>
      <c r="AM83" s="76">
        <f t="shared" si="117"/>
        <v>2.6315789473684208</v>
      </c>
      <c r="AN83" s="76"/>
      <c r="AO83" s="81" t="e">
        <f t="shared" si="118"/>
        <v>#DIV/0!</v>
      </c>
      <c r="AP83" s="81" t="e">
        <f t="shared" si="119"/>
        <v>#DIV/0!</v>
      </c>
      <c r="AQ83" s="81" t="e">
        <f t="shared" si="120"/>
        <v>#DIV/0!</v>
      </c>
      <c r="AR83" s="7"/>
      <c r="AS83" s="76">
        <f t="shared" si="121"/>
        <v>7.6923076923076925</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ht="15" x14ac:dyDescent="0.25">
      <c r="A84" s="8" t="s">
        <v>61</v>
      </c>
      <c r="B84" s="9" t="s">
        <v>86</v>
      </c>
      <c r="C84" s="7"/>
      <c r="D84" s="7"/>
      <c r="E84" s="7"/>
      <c r="F84" s="71"/>
      <c r="G84" s="51">
        <f t="shared" si="97"/>
        <v>7</v>
      </c>
      <c r="H84" s="52">
        <f t="shared" si="98"/>
        <v>17.5</v>
      </c>
      <c r="I84" s="53">
        <f>COUNTIFS('00 Encuesta'!$B$2:$B$511,"*a)*",'00 Encuesta'!$C$2:$C$511,"*a)*",'00 Encuesta'!$E$2:$E$511,"*a)*",'00 Encuesta'!$L$2:$L$511,"*g)*")</f>
        <v>5</v>
      </c>
      <c r="J84" s="52">
        <f t="shared" si="99"/>
        <v>22.727272727272727</v>
      </c>
      <c r="K84" s="53">
        <f>COUNTIFS('00 Encuesta'!$B$2:$B$511,"*a)*",'00 Encuesta'!$C$2:$C$511,"*a)*",'00 Encuesta'!$E$2:$E$511,"*b)*",'00 Encuesta'!$L$2:$L$511,"*g)*")</f>
        <v>2</v>
      </c>
      <c r="L84" s="52">
        <f t="shared" si="100"/>
        <v>11.111111111111111</v>
      </c>
      <c r="M84" s="23"/>
      <c r="N84" s="51">
        <f t="shared" si="101"/>
        <v>14</v>
      </c>
      <c r="O84" s="52">
        <f t="shared" si="102"/>
        <v>36.84210526315789</v>
      </c>
      <c r="P84" s="53">
        <f>COUNTIFS('00 Encuesta'!$B$2:$B$511,"*a)*",'00 Encuesta'!$C$2:$C$511,"*b)*",'00 Encuesta'!$E$2:$E$511,"*a)*",'00 Encuesta'!$L$2:$L$511,"*g)*")</f>
        <v>3</v>
      </c>
      <c r="Q84" s="52">
        <f t="shared" si="103"/>
        <v>23.076923076923077</v>
      </c>
      <c r="R84" s="53">
        <f>COUNTIFS('00 Encuesta'!$B$2:$B$511,"*a)*",'00 Encuesta'!$C$2:$C$511,"*b)*",'00 Encuesta'!$E$2:$E$511,"*b)*",'00 Encuesta'!$L$2:$L$511,"*g)*")</f>
        <v>11</v>
      </c>
      <c r="S84" s="52">
        <f t="shared" si="104"/>
        <v>44</v>
      </c>
      <c r="T84" s="3"/>
      <c r="U84" s="51">
        <f t="shared" si="105"/>
        <v>0</v>
      </c>
      <c r="V84" s="52" t="e">
        <f t="shared" si="106"/>
        <v>#DIV/0!</v>
      </c>
      <c r="W84" s="53">
        <f>COUNTIFS('00 Encuesta'!$B$2:$B$511,"*a)*",'00 Encuesta'!$C$2:$C$511,"*c)*",'00 Encuesta'!$E$2:$E$511,"*a)*",'00 Encuesta'!$L$2:$L$511,"*g)*")</f>
        <v>0</v>
      </c>
      <c r="X84" s="52" t="e">
        <f t="shared" si="107"/>
        <v>#DIV/0!</v>
      </c>
      <c r="Y84" s="53">
        <f>COUNTIFS('00 Encuesta'!$B$2:$B$511,"*a)*",'00 Encuesta'!$C$2:$C$511,"*c)*",'00 Encuesta'!$E$2:$E$511,"*b)*",'00 Encuesta'!$L$2:$L$511,"*g)*")</f>
        <v>0</v>
      </c>
      <c r="Z84" s="52" t="e">
        <f t="shared" si="108"/>
        <v>#DIV/0!</v>
      </c>
      <c r="AA84" s="3"/>
      <c r="AB84" s="62">
        <f t="shared" si="109"/>
        <v>21</v>
      </c>
      <c r="AC84" s="52">
        <f t="shared" si="110"/>
        <v>26.923076923076923</v>
      </c>
      <c r="AD84" s="7"/>
      <c r="AE84" s="7"/>
      <c r="AF84" s="9" t="str">
        <f t="shared" si="111"/>
        <v>g) La felicidad</v>
      </c>
      <c r="AG84" s="72">
        <f t="shared" si="112"/>
        <v>22.727272727272727</v>
      </c>
      <c r="AH84" s="72">
        <f t="shared" si="113"/>
        <v>11.111111111111111</v>
      </c>
      <c r="AI84" s="73">
        <f t="shared" si="114"/>
        <v>17.5</v>
      </c>
      <c r="AJ84" s="73"/>
      <c r="AK84" s="76">
        <f t="shared" si="115"/>
        <v>23.076923076923077</v>
      </c>
      <c r="AL84" s="76">
        <f t="shared" si="116"/>
        <v>44</v>
      </c>
      <c r="AM84" s="76">
        <f t="shared" si="117"/>
        <v>36.84210526315789</v>
      </c>
      <c r="AN84" s="76"/>
      <c r="AO84" s="81" t="e">
        <f t="shared" si="118"/>
        <v>#DIV/0!</v>
      </c>
      <c r="AP84" s="81" t="e">
        <f t="shared" si="119"/>
        <v>#DIV/0!</v>
      </c>
      <c r="AQ84" s="81" t="e">
        <f t="shared" si="120"/>
        <v>#DIV/0!</v>
      </c>
      <c r="AR84" s="7"/>
      <c r="AS84" s="76">
        <f t="shared" si="121"/>
        <v>26.923076923076923</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ht="15" x14ac:dyDescent="0.25">
      <c r="A85" s="8" t="s">
        <v>63</v>
      </c>
      <c r="B85" s="9" t="s">
        <v>87</v>
      </c>
      <c r="C85" s="7"/>
      <c r="D85" s="7"/>
      <c r="E85" s="7"/>
      <c r="F85" s="71"/>
      <c r="G85" s="51">
        <f t="shared" si="97"/>
        <v>0</v>
      </c>
      <c r="H85" s="52">
        <f t="shared" si="98"/>
        <v>0</v>
      </c>
      <c r="I85" s="53">
        <f>COUNTIFS('00 Encuesta'!$B$2:$B$511,"*a)*",'00 Encuesta'!$C$2:$C$511,"*a)*",'00 Encuesta'!$E$2:$E$511,"*a)*",'00 Encuesta'!$L$2:$L$511,"*h)*")</f>
        <v>0</v>
      </c>
      <c r="J85" s="52">
        <f t="shared" si="99"/>
        <v>0</v>
      </c>
      <c r="K85" s="53">
        <f>COUNTIFS('00 Encuesta'!$B$2:$B$511,"*a)*",'00 Encuesta'!$C$2:$C$511,"*a)*",'00 Encuesta'!$E$2:$E$511,"*b)*",'00 Encuesta'!$L$2:$L$511,"*h)*")</f>
        <v>0</v>
      </c>
      <c r="L85" s="52">
        <f t="shared" si="100"/>
        <v>0</v>
      </c>
      <c r="M85" s="23"/>
      <c r="N85" s="51">
        <f t="shared" si="101"/>
        <v>0</v>
      </c>
      <c r="O85" s="52">
        <f t="shared" si="102"/>
        <v>0</v>
      </c>
      <c r="P85" s="53">
        <f>COUNTIFS('00 Encuesta'!$B$2:$B$511,"*a)*",'00 Encuesta'!$C$2:$C$511,"*b)*",'00 Encuesta'!$E$2:$E$511,"*a)*",'00 Encuesta'!$L$2:$L$511,"*h)*")</f>
        <v>0</v>
      </c>
      <c r="Q85" s="52">
        <f t="shared" si="103"/>
        <v>0</v>
      </c>
      <c r="R85" s="53">
        <f>COUNTIFS('00 Encuesta'!$B$2:$B$511,"*a)*",'00 Encuesta'!$C$2:$C$511,"*b)*",'00 Encuesta'!$E$2:$E$511,"*b)*",'00 Encuesta'!$L$2:$L$511,"*h)*")</f>
        <v>0</v>
      </c>
      <c r="S85" s="52">
        <f t="shared" si="104"/>
        <v>0</v>
      </c>
      <c r="T85" s="3"/>
      <c r="U85" s="51">
        <f t="shared" si="105"/>
        <v>0</v>
      </c>
      <c r="V85" s="52" t="e">
        <f t="shared" si="106"/>
        <v>#DIV/0!</v>
      </c>
      <c r="W85" s="53">
        <f>COUNTIFS('00 Encuesta'!$B$2:$B$511,"*a)*",'00 Encuesta'!$C$2:$C$511,"*c)*",'00 Encuesta'!$E$2:$E$511,"*a)*",'00 Encuesta'!$L$2:$L$511,"*h)*")</f>
        <v>0</v>
      </c>
      <c r="X85" s="52" t="e">
        <f t="shared" si="107"/>
        <v>#DIV/0!</v>
      </c>
      <c r="Y85" s="53">
        <f>COUNTIFS('00 Encuesta'!$B$2:$B$511,"*a)*",'00 Encuesta'!$C$2:$C$511,"*c)*",'00 Encuesta'!$E$2:$E$511,"*b)*",'00 Encuesta'!$L$2:$L$511,"*h)*")</f>
        <v>0</v>
      </c>
      <c r="Z85" s="52" t="e">
        <f t="shared" si="108"/>
        <v>#DIV/0!</v>
      </c>
      <c r="AA85" s="3"/>
      <c r="AB85" s="62">
        <f t="shared" si="109"/>
        <v>0</v>
      </c>
      <c r="AC85" s="52">
        <f t="shared" si="110"/>
        <v>0</v>
      </c>
      <c r="AD85" s="7"/>
      <c r="AE85" s="7"/>
      <c r="AF85" s="9" t="str">
        <f t="shared" si="111"/>
        <v>h) La sexualidad</v>
      </c>
      <c r="AG85" s="72">
        <f t="shared" si="112"/>
        <v>0</v>
      </c>
      <c r="AH85" s="72">
        <f t="shared" si="113"/>
        <v>0</v>
      </c>
      <c r="AI85" s="73">
        <f t="shared" si="114"/>
        <v>0</v>
      </c>
      <c r="AJ85" s="73"/>
      <c r="AK85" s="76">
        <f t="shared" si="115"/>
        <v>0</v>
      </c>
      <c r="AL85" s="76">
        <f t="shared" si="116"/>
        <v>0</v>
      </c>
      <c r="AM85" s="76">
        <f t="shared" si="117"/>
        <v>0</v>
      </c>
      <c r="AN85" s="76"/>
      <c r="AO85" s="81" t="e">
        <f t="shared" si="118"/>
        <v>#DIV/0!</v>
      </c>
      <c r="AP85" s="81" t="e">
        <f t="shared" si="119"/>
        <v>#DIV/0!</v>
      </c>
      <c r="AQ85" s="81" t="e">
        <f t="shared" si="120"/>
        <v>#DIV/0!</v>
      </c>
      <c r="AR85" s="7"/>
      <c r="AS85" s="76">
        <f t="shared" si="121"/>
        <v>0</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3</v>
      </c>
      <c r="H86" s="52">
        <f t="shared" si="98"/>
        <v>7.5</v>
      </c>
      <c r="I86" s="53">
        <f>COUNTIFS('00 Encuesta'!$B$2:$B$511,"*a)*",'00 Encuesta'!$C$2:$C$511,"*a)*",'00 Encuesta'!$E$2:$E$511,"*a)*",'00 Encuesta'!$L$2:$L$511,"*i)*")</f>
        <v>1</v>
      </c>
      <c r="J86" s="52">
        <f t="shared" si="99"/>
        <v>4.5454545454545459</v>
      </c>
      <c r="K86" s="53">
        <f>COUNTIFS('00 Encuesta'!$B$2:$B$511,"*a)*",'00 Encuesta'!$C$2:$C$511,"*a)*",'00 Encuesta'!$E$2:$E$511,"*b)*",'00 Encuesta'!$L$2:$L$511,"*i)*")</f>
        <v>2</v>
      </c>
      <c r="L86" s="52">
        <f t="shared" si="100"/>
        <v>11.111111111111111</v>
      </c>
      <c r="M86" s="23"/>
      <c r="N86" s="51">
        <f t="shared" si="101"/>
        <v>7</v>
      </c>
      <c r="O86" s="52">
        <f t="shared" si="102"/>
        <v>18.421052631578945</v>
      </c>
      <c r="P86" s="53">
        <f>COUNTIFS('00 Encuesta'!$B$2:$B$511,"*a)*",'00 Encuesta'!$C$2:$C$511,"*b)*",'00 Encuesta'!$E$2:$E$511,"*a)*",'00 Encuesta'!$L$2:$L$511,"*i)*")</f>
        <v>4</v>
      </c>
      <c r="Q86" s="52">
        <f t="shared" si="103"/>
        <v>30.76923076923077</v>
      </c>
      <c r="R86" s="53">
        <f>COUNTIFS('00 Encuesta'!$B$2:$B$511,"*a)*",'00 Encuesta'!$C$2:$C$511,"*b)*",'00 Encuesta'!$E$2:$E$511,"*b)*",'00 Encuesta'!$L$2:$L$511,"*i)*")</f>
        <v>3</v>
      </c>
      <c r="S86" s="52">
        <f t="shared" si="104"/>
        <v>12</v>
      </c>
      <c r="T86" s="3"/>
      <c r="U86" s="51">
        <f t="shared" si="105"/>
        <v>0</v>
      </c>
      <c r="V86" s="52" t="e">
        <f t="shared" si="106"/>
        <v>#DIV/0!</v>
      </c>
      <c r="W86" s="53">
        <f>COUNTIFS('00 Encuesta'!$B$2:$B$511,"*a)*",'00 Encuesta'!$C$2:$C$511,"*c)*",'00 Encuesta'!$E$2:$E$511,"*a)*",'00 Encuesta'!$L$2:$L$511,"*i)*")</f>
        <v>0</v>
      </c>
      <c r="X86" s="52" t="e">
        <f t="shared" si="107"/>
        <v>#DIV/0!</v>
      </c>
      <c r="Y86" s="53">
        <f>COUNTIFS('00 Encuesta'!$B$2:$B$511,"*a)*",'00 Encuesta'!$C$2:$C$511,"*c)*",'00 Encuesta'!$E$2:$E$511,"*b)*",'00 Encuesta'!$L$2:$L$511,"*i)*")</f>
        <v>0</v>
      </c>
      <c r="Z86" s="52" t="e">
        <f t="shared" si="108"/>
        <v>#DIV/0!</v>
      </c>
      <c r="AA86" s="3"/>
      <c r="AB86" s="62">
        <f t="shared" si="109"/>
        <v>10</v>
      </c>
      <c r="AC86" s="52">
        <f t="shared" si="110"/>
        <v>12.820512820512821</v>
      </c>
      <c r="AD86" s="7"/>
      <c r="AE86" s="7"/>
      <c r="AF86" s="9" t="str">
        <f t="shared" si="111"/>
        <v>i) La música</v>
      </c>
      <c r="AG86" s="72">
        <f t="shared" si="112"/>
        <v>4.5454545454545459</v>
      </c>
      <c r="AH86" s="72">
        <f t="shared" si="113"/>
        <v>11.111111111111111</v>
      </c>
      <c r="AI86" s="73">
        <f t="shared" si="114"/>
        <v>7.5</v>
      </c>
      <c r="AJ86" s="73"/>
      <c r="AK86" s="76">
        <f t="shared" si="115"/>
        <v>30.76923076923077</v>
      </c>
      <c r="AL86" s="76">
        <f t="shared" si="116"/>
        <v>12</v>
      </c>
      <c r="AM86" s="76">
        <f t="shared" si="117"/>
        <v>18.421052631578945</v>
      </c>
      <c r="AN86" s="76"/>
      <c r="AO86" s="81" t="e">
        <f t="shared" si="118"/>
        <v>#DIV/0!</v>
      </c>
      <c r="AP86" s="81" t="e">
        <f t="shared" si="119"/>
        <v>#DIV/0!</v>
      </c>
      <c r="AQ86" s="81" t="e">
        <f t="shared" si="120"/>
        <v>#DIV/0!</v>
      </c>
      <c r="AR86" s="7"/>
      <c r="AS86" s="76">
        <f t="shared" si="121"/>
        <v>12.820512820512821</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ht="15.75" x14ac:dyDescent="0.3">
      <c r="A87" s="1" t="s">
        <v>67</v>
      </c>
      <c r="B87" s="2" t="s">
        <v>89</v>
      </c>
      <c r="C87" s="3"/>
      <c r="D87" s="7"/>
      <c r="E87" s="7"/>
      <c r="F87" s="71"/>
      <c r="G87" s="51">
        <f t="shared" si="97"/>
        <v>5</v>
      </c>
      <c r="H87" s="52">
        <f t="shared" si="98"/>
        <v>12.5</v>
      </c>
      <c r="I87" s="53">
        <f>COUNTIFS('00 Encuesta'!$B$2:$B$511,"*a)*",'00 Encuesta'!$C$2:$C$511,"*a)*",'00 Encuesta'!$E$2:$E$511,"*a)*",'00 Encuesta'!$L$2:$L$511,"*j)*")</f>
        <v>4</v>
      </c>
      <c r="J87" s="52">
        <f t="shared" si="99"/>
        <v>18.181818181818183</v>
      </c>
      <c r="K87" s="53">
        <f>COUNTIFS('00 Encuesta'!$B$2:$B$511,"*a)*",'00 Encuesta'!$C$2:$C$511,"*a)*",'00 Encuesta'!$E$2:$E$511,"*b)*",'00 Encuesta'!$L$2:$L$511,"*j)*")</f>
        <v>1</v>
      </c>
      <c r="L87" s="52">
        <f t="shared" si="100"/>
        <v>5.5555555555555554</v>
      </c>
      <c r="M87" s="23"/>
      <c r="N87" s="51">
        <f t="shared" si="101"/>
        <v>2</v>
      </c>
      <c r="O87" s="52">
        <f t="shared" si="102"/>
        <v>5.2631578947368416</v>
      </c>
      <c r="P87" s="53">
        <f>COUNTIFS('00 Encuesta'!$B$2:$B$511,"*a)*",'00 Encuesta'!$C$2:$C$511,"*b)*",'00 Encuesta'!$E$2:$E$511,"*a)*",'00 Encuesta'!$L$2:$L$511,"*j)*")</f>
        <v>2</v>
      </c>
      <c r="Q87" s="52">
        <f t="shared" si="103"/>
        <v>15.384615384615385</v>
      </c>
      <c r="R87" s="53">
        <f>COUNTIFS('00 Encuesta'!$B$2:$B$511,"*a)*",'00 Encuesta'!$C$2:$C$511,"*b)*",'00 Encuesta'!$E$2:$E$511,"*b)*",'00 Encuesta'!$L$2:$L$511,"*j)*")</f>
        <v>0</v>
      </c>
      <c r="S87" s="52">
        <f t="shared" si="104"/>
        <v>0</v>
      </c>
      <c r="T87" s="3"/>
      <c r="U87" s="51">
        <f t="shared" si="105"/>
        <v>0</v>
      </c>
      <c r="V87" s="52" t="e">
        <f t="shared" si="106"/>
        <v>#DIV/0!</v>
      </c>
      <c r="W87" s="53">
        <f>COUNTIFS('00 Encuesta'!$B$2:$B$511,"*a)*",'00 Encuesta'!$C$2:$C$511,"*c)*",'00 Encuesta'!$E$2:$E$511,"*a)*",'00 Encuesta'!$L$2:$L$511,"*j)*")</f>
        <v>0</v>
      </c>
      <c r="X87" s="52" t="e">
        <f t="shared" si="107"/>
        <v>#DIV/0!</v>
      </c>
      <c r="Y87" s="53">
        <f>COUNTIFS('00 Encuesta'!$B$2:$B$511,"*a)*",'00 Encuesta'!$C$2:$C$511,"*c)*",'00 Encuesta'!$E$2:$E$511,"*b)*",'00 Encuesta'!$L$2:$L$511,"*j)*")</f>
        <v>0</v>
      </c>
      <c r="Z87" s="52" t="e">
        <f t="shared" si="108"/>
        <v>#DIV/0!</v>
      </c>
      <c r="AA87" s="3"/>
      <c r="AB87" s="62">
        <f t="shared" si="109"/>
        <v>7</v>
      </c>
      <c r="AC87" s="52">
        <f t="shared" si="110"/>
        <v>8.9743589743589745</v>
      </c>
      <c r="AD87" s="7"/>
      <c r="AE87" s="7"/>
      <c r="AF87" s="9" t="str">
        <f t="shared" si="111"/>
        <v>j) El deporte</v>
      </c>
      <c r="AG87" s="72">
        <f t="shared" si="112"/>
        <v>18.181818181818183</v>
      </c>
      <c r="AH87" s="72">
        <f t="shared" si="113"/>
        <v>5.5555555555555554</v>
      </c>
      <c r="AI87" s="73">
        <f t="shared" si="114"/>
        <v>12.5</v>
      </c>
      <c r="AJ87" s="73"/>
      <c r="AK87" s="76">
        <f t="shared" si="115"/>
        <v>15.384615384615385</v>
      </c>
      <c r="AL87" s="76">
        <f t="shared" si="116"/>
        <v>0</v>
      </c>
      <c r="AM87" s="76">
        <f t="shared" si="117"/>
        <v>5.2631578947368416</v>
      </c>
      <c r="AN87" s="76"/>
      <c r="AO87" s="81" t="e">
        <f t="shared" si="118"/>
        <v>#DIV/0!</v>
      </c>
      <c r="AP87" s="81" t="e">
        <f t="shared" si="119"/>
        <v>#DIV/0!</v>
      </c>
      <c r="AQ87" s="81" t="e">
        <f t="shared" si="120"/>
        <v>#DIV/0!</v>
      </c>
      <c r="AR87" s="7"/>
      <c r="AS87" s="76">
        <f t="shared" si="121"/>
        <v>8.9743589743589745</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ht="15.75" x14ac:dyDescent="0.3">
      <c r="A88" s="1" t="s">
        <v>69</v>
      </c>
      <c r="B88" s="2" t="s">
        <v>90</v>
      </c>
      <c r="C88" s="3"/>
      <c r="D88" s="7"/>
      <c r="E88" s="7"/>
      <c r="F88" s="71"/>
      <c r="G88" s="51">
        <f t="shared" si="97"/>
        <v>8</v>
      </c>
      <c r="H88" s="52">
        <f t="shared" si="98"/>
        <v>20</v>
      </c>
      <c r="I88" s="53">
        <f>COUNTIFS('00 Encuesta'!$B$2:$B$511,"*a)*",'00 Encuesta'!$C$2:$C$511,"*a)*",'00 Encuesta'!$E$2:$E$511,"*a)*",'00 Encuesta'!$L$2:$L$511,"*k)*")</f>
        <v>3</v>
      </c>
      <c r="J88" s="52">
        <f t="shared" si="99"/>
        <v>13.636363636363635</v>
      </c>
      <c r="K88" s="53">
        <f>COUNTIFS('00 Encuesta'!$B$2:$B$511,"*a)*",'00 Encuesta'!$C$2:$C$511,"*a)*",'00 Encuesta'!$E$2:$E$511,"*b)*",'00 Encuesta'!$L$2:$L$511,"*k)*")</f>
        <v>5</v>
      </c>
      <c r="L88" s="52">
        <f t="shared" si="100"/>
        <v>27.777777777777779</v>
      </c>
      <c r="M88" s="23"/>
      <c r="N88" s="51">
        <f t="shared" si="101"/>
        <v>1</v>
      </c>
      <c r="O88" s="52">
        <f t="shared" si="102"/>
        <v>2.6315789473684208</v>
      </c>
      <c r="P88" s="53">
        <f>COUNTIFS('00 Encuesta'!$B$2:$B$511,"*a)*",'00 Encuesta'!$C$2:$C$511,"*b)*",'00 Encuesta'!$E$2:$E$511,"*a)*",'00 Encuesta'!$L$2:$L$511,"*k)*")</f>
        <v>1</v>
      </c>
      <c r="Q88" s="52">
        <f t="shared" si="103"/>
        <v>7.6923076923076925</v>
      </c>
      <c r="R88" s="53">
        <f>COUNTIFS('00 Encuesta'!$B$2:$B$511,"*a)*",'00 Encuesta'!$C$2:$C$511,"*b)*",'00 Encuesta'!$E$2:$E$511,"*b)*",'00 Encuesta'!$L$2:$L$511,"*k)*")</f>
        <v>0</v>
      </c>
      <c r="S88" s="52">
        <f t="shared" si="104"/>
        <v>0</v>
      </c>
      <c r="T88" s="3"/>
      <c r="U88" s="51">
        <f t="shared" si="105"/>
        <v>0</v>
      </c>
      <c r="V88" s="52" t="e">
        <f t="shared" si="106"/>
        <v>#DIV/0!</v>
      </c>
      <c r="W88" s="53">
        <f>COUNTIFS('00 Encuesta'!$B$2:$B$511,"*a)*",'00 Encuesta'!$C$2:$C$511,"*c)*",'00 Encuesta'!$E$2:$E$511,"*a)*",'00 Encuesta'!$L$2:$L$511,"*k)*")</f>
        <v>0</v>
      </c>
      <c r="X88" s="52" t="e">
        <f t="shared" si="107"/>
        <v>#DIV/0!</v>
      </c>
      <c r="Y88" s="53">
        <f>COUNTIFS('00 Encuesta'!$B$2:$B$511,"*a)*",'00 Encuesta'!$C$2:$C$511,"*c)*",'00 Encuesta'!$E$2:$E$511,"*b)*",'00 Encuesta'!$L$2:$L$511,"*k)*")</f>
        <v>0</v>
      </c>
      <c r="Z88" s="52" t="e">
        <f t="shared" si="108"/>
        <v>#DIV/0!</v>
      </c>
      <c r="AA88" s="3"/>
      <c r="AB88" s="62">
        <f t="shared" si="109"/>
        <v>9</v>
      </c>
      <c r="AC88" s="52">
        <f t="shared" si="110"/>
        <v>11.538461538461538</v>
      </c>
      <c r="AD88" s="7"/>
      <c r="AE88" s="7"/>
      <c r="AF88" s="9" t="str">
        <f t="shared" si="111"/>
        <v>k) Internet</v>
      </c>
      <c r="AG88" s="72">
        <f t="shared" si="112"/>
        <v>13.636363636363635</v>
      </c>
      <c r="AH88" s="72">
        <f t="shared" si="113"/>
        <v>27.777777777777779</v>
      </c>
      <c r="AI88" s="73">
        <f t="shared" si="114"/>
        <v>20</v>
      </c>
      <c r="AJ88" s="73"/>
      <c r="AK88" s="76">
        <f t="shared" si="115"/>
        <v>7.6923076923076925</v>
      </c>
      <c r="AL88" s="76">
        <f t="shared" si="116"/>
        <v>0</v>
      </c>
      <c r="AM88" s="76">
        <f t="shared" si="117"/>
        <v>2.6315789473684208</v>
      </c>
      <c r="AN88" s="76"/>
      <c r="AO88" s="81" t="e">
        <f t="shared" si="118"/>
        <v>#DIV/0!</v>
      </c>
      <c r="AP88" s="81" t="e">
        <f t="shared" si="119"/>
        <v>#DIV/0!</v>
      </c>
      <c r="AQ88" s="81" t="e">
        <f t="shared" si="120"/>
        <v>#DIV/0!</v>
      </c>
      <c r="AR88" s="7"/>
      <c r="AS88" s="76">
        <f t="shared" si="121"/>
        <v>11.538461538461538</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ht="15" x14ac:dyDescent="0.25">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1"/>
        <v>S/R Sin Respuesta</v>
      </c>
      <c r="AG89" s="72">
        <f t="shared" si="112"/>
        <v>0</v>
      </c>
      <c r="AH89" s="72">
        <f t="shared" si="113"/>
        <v>0</v>
      </c>
      <c r="AI89" s="73">
        <f t="shared" si="114"/>
        <v>0</v>
      </c>
      <c r="AJ89" s="73"/>
      <c r="AK89" s="76">
        <f t="shared" si="115"/>
        <v>0</v>
      </c>
      <c r="AL89" s="76">
        <f t="shared" si="116"/>
        <v>0</v>
      </c>
      <c r="AM89" s="76">
        <f t="shared" si="117"/>
        <v>0</v>
      </c>
      <c r="AN89" s="76"/>
      <c r="AO89" s="81">
        <f t="shared" si="118"/>
        <v>0</v>
      </c>
      <c r="AP89" s="81">
        <f t="shared" si="119"/>
        <v>0</v>
      </c>
      <c r="AQ89" s="81">
        <f t="shared" si="120"/>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ht="15" x14ac:dyDescent="0.25">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ht="15" x14ac:dyDescent="0.25">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ht="15" x14ac:dyDescent="0.25">
      <c r="A92" s="8" t="s">
        <v>17</v>
      </c>
      <c r="B92" s="9" t="s">
        <v>93</v>
      </c>
      <c r="C92" s="7"/>
      <c r="D92" s="7"/>
      <c r="E92" s="7"/>
      <c r="F92" s="71"/>
      <c r="G92" s="51">
        <f t="shared" ref="G92:G99" si="122">I92+K92</f>
        <v>3</v>
      </c>
      <c r="H92" s="52">
        <f t="shared" ref="H92:H99" si="123">G92/$J$5*100</f>
        <v>7.5</v>
      </c>
      <c r="I92" s="53">
        <f>COUNTIFS('00 Encuesta'!$B$2:$B$511,"*a)*",'00 Encuesta'!$C$2:$C$511,"*a)*",'00 Encuesta'!$E$2:$E$511,"*a)*",'00 Encuesta'!$N$2:$N$511,"*a)*")</f>
        <v>1</v>
      </c>
      <c r="J92" s="52">
        <f t="shared" ref="J92:J99" si="124">I92/$J$6*100</f>
        <v>4.5454545454545459</v>
      </c>
      <c r="K92" s="53">
        <f>COUNTIFS('00 Encuesta'!$B$2:$B$511,"*a)*",'00 Encuesta'!$C$2:$C$511,"*a)*",'00 Encuesta'!$E$2:$E$511,"*b)*",'00 Encuesta'!$N$2:$N$511,"*a)*")</f>
        <v>2</v>
      </c>
      <c r="L92" s="52">
        <f t="shared" ref="L92:L99" si="125">K92/$J$7*100</f>
        <v>11.111111111111111</v>
      </c>
      <c r="M92" s="23"/>
      <c r="N92" s="51">
        <f t="shared" ref="N92:N99" si="126">P92+R92</f>
        <v>9</v>
      </c>
      <c r="O92" s="52">
        <f t="shared" ref="O92:O99" si="127">N92/$Q$5*100</f>
        <v>23.684210526315788</v>
      </c>
      <c r="P92" s="53">
        <f>COUNTIFS('00 Encuesta'!$B$2:$B$511,"*a)*",'00 Encuesta'!$C$2:$C$511,"*b)*",'00 Encuesta'!$E$2:$E$511,"*a)*",'00 Encuesta'!$N$2:$N$511,"*a)*")</f>
        <v>3</v>
      </c>
      <c r="Q92" s="52">
        <f t="shared" ref="Q92:Q99" si="128">P92/$Q$6*100</f>
        <v>23.076923076923077</v>
      </c>
      <c r="R92" s="53">
        <f>COUNTIFS('00 Encuesta'!$B$2:$B$511,"*a)*",'00 Encuesta'!$C$2:$C$511,"*b)*",'00 Encuesta'!$E$2:$E$511,"*b)*",'00 Encuesta'!$N$2:$N$511,"*a)*")</f>
        <v>6</v>
      </c>
      <c r="S92" s="52">
        <f t="shared" ref="S92:S99" si="129">R92/$Q$7*100</f>
        <v>24</v>
      </c>
      <c r="T92" s="3"/>
      <c r="U92" s="51">
        <f t="shared" ref="U92:U99" si="130">W92+Y92</f>
        <v>0</v>
      </c>
      <c r="V92" s="52" t="e">
        <f t="shared" ref="V92:V99" si="131">U92/$X$5*100</f>
        <v>#DIV/0!</v>
      </c>
      <c r="W92" s="53">
        <f>COUNTIFS('00 Encuesta'!$B$2:$B$511,"*a)*",'00 Encuesta'!$C$2:$C$511,"*c)*",'00 Encuesta'!$E$2:$E$511,"*a)*",'00 Encuesta'!$N$2:$N$511,"*a)*")</f>
        <v>0</v>
      </c>
      <c r="X92" s="52" t="e">
        <f t="shared" ref="X92:X99" si="132">W92/$X$6*100</f>
        <v>#DIV/0!</v>
      </c>
      <c r="Y92" s="53">
        <f>COUNTIFS('00 Encuesta'!$B$2:$B$511,"*a)*",'00 Encuesta'!$C$2:$C$511,"*c)*",'00 Encuesta'!$E$2:$E$511,"*b)*",'00 Encuesta'!$N$2:$N$511,"*a)*")</f>
        <v>0</v>
      </c>
      <c r="Z92" s="52" t="e">
        <f t="shared" ref="Z92:Z99" si="133">Y92/$X$7*100</f>
        <v>#DIV/0!</v>
      </c>
      <c r="AA92" s="3"/>
      <c r="AB92" s="62">
        <f t="shared" ref="AB92:AB99" si="134">G92+N92+U92</f>
        <v>12</v>
      </c>
      <c r="AC92" s="52">
        <f t="shared" ref="AC92:AC99" si="135">AB92*100/$AC$5</f>
        <v>15.384615384615385</v>
      </c>
      <c r="AD92" s="7"/>
      <c r="AE92" s="7"/>
      <c r="AF92" s="9" t="str">
        <f t="shared" ref="AF92:AF100" si="136">A92&amp;" "&amp;B92</f>
        <v>a) Seguridad personal  (la violencia y la delincuencia)</v>
      </c>
      <c r="AG92" s="72">
        <f t="shared" ref="AG92:AG100" si="137">J92</f>
        <v>4.5454545454545459</v>
      </c>
      <c r="AH92" s="72">
        <f t="shared" ref="AH92:AH100" si="138">L92</f>
        <v>11.111111111111111</v>
      </c>
      <c r="AI92" s="73">
        <f t="shared" ref="AI92:AI100" si="139">H92</f>
        <v>7.5</v>
      </c>
      <c r="AJ92" s="73"/>
      <c r="AK92" s="76">
        <f t="shared" ref="AK92:AK100" si="140">Q92</f>
        <v>23.076923076923077</v>
      </c>
      <c r="AL92" s="76">
        <f t="shared" ref="AL92:AL100" si="141">S92</f>
        <v>24</v>
      </c>
      <c r="AM92" s="76">
        <f t="shared" ref="AM92:AM100" si="142">O92</f>
        <v>23.684210526315788</v>
      </c>
      <c r="AN92" s="76"/>
      <c r="AO92" s="81" t="e">
        <f t="shared" ref="AO92:AO100" si="143">X92</f>
        <v>#DIV/0!</v>
      </c>
      <c r="AP92" s="81" t="e">
        <f t="shared" ref="AP92:AP100" si="144">Z92</f>
        <v>#DIV/0!</v>
      </c>
      <c r="AQ92" s="81" t="e">
        <f t="shared" ref="AQ92:AQ100" si="145">V92</f>
        <v>#DIV/0!</v>
      </c>
      <c r="AR92" s="7"/>
      <c r="AS92" s="76">
        <f t="shared" si="121"/>
        <v>15.384615384615385</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ht="15" x14ac:dyDescent="0.25">
      <c r="A93" s="8" t="s">
        <v>18</v>
      </c>
      <c r="B93" s="9" t="s">
        <v>94</v>
      </c>
      <c r="C93" s="7"/>
      <c r="D93" s="7"/>
      <c r="E93" s="7"/>
      <c r="F93" s="71"/>
      <c r="G93" s="51">
        <f t="shared" si="122"/>
        <v>16</v>
      </c>
      <c r="H93" s="52">
        <f t="shared" si="123"/>
        <v>40</v>
      </c>
      <c r="I93" s="53">
        <f>COUNTIFS('00 Encuesta'!$B$2:$B$511,"*a)*",'00 Encuesta'!$C$2:$C$511,"*a)*",'00 Encuesta'!$E$2:$E$511,"*a)*",'00 Encuesta'!$N$2:$N$511,"*b)*")</f>
        <v>6</v>
      </c>
      <c r="J93" s="52">
        <f t="shared" si="124"/>
        <v>27.27272727272727</v>
      </c>
      <c r="K93" s="53">
        <f>COUNTIFS('00 Encuesta'!$B$2:$B$511,"*a)*",'00 Encuesta'!$C$2:$C$511,"*a)*",'00 Encuesta'!$E$2:$E$511,"*b)*",'00 Encuesta'!$N$2:$N$511,"*b)*")</f>
        <v>10</v>
      </c>
      <c r="L93" s="52">
        <f t="shared" si="125"/>
        <v>55.555555555555557</v>
      </c>
      <c r="M93" s="23"/>
      <c r="N93" s="51">
        <f t="shared" si="126"/>
        <v>13</v>
      </c>
      <c r="O93" s="52">
        <f t="shared" si="127"/>
        <v>34.210526315789473</v>
      </c>
      <c r="P93" s="53">
        <f>COUNTIFS('00 Encuesta'!$B$2:$B$511,"*a)*",'00 Encuesta'!$C$2:$C$511,"*b)*",'00 Encuesta'!$E$2:$E$511,"*a)*",'00 Encuesta'!$N$2:$N$511,"*b)*")</f>
        <v>4</v>
      </c>
      <c r="Q93" s="52">
        <f t="shared" si="128"/>
        <v>30.76923076923077</v>
      </c>
      <c r="R93" s="53">
        <f>COUNTIFS('00 Encuesta'!$B$2:$B$511,"*a)*",'00 Encuesta'!$C$2:$C$511,"*b)*",'00 Encuesta'!$E$2:$E$511,"*b)*",'00 Encuesta'!$N$2:$N$511,"*b)*")</f>
        <v>9</v>
      </c>
      <c r="S93" s="52">
        <f t="shared" si="129"/>
        <v>36</v>
      </c>
      <c r="T93" s="3"/>
      <c r="U93" s="51">
        <f t="shared" si="130"/>
        <v>0</v>
      </c>
      <c r="V93" s="52" t="e">
        <f t="shared" si="131"/>
        <v>#DIV/0!</v>
      </c>
      <c r="W93" s="53">
        <f>COUNTIFS('00 Encuesta'!$B$2:$B$511,"*a)*",'00 Encuesta'!$C$2:$C$511,"*c)*",'00 Encuesta'!$E$2:$E$511,"*a)*",'00 Encuesta'!$N$2:$N$511,"*b)*")</f>
        <v>0</v>
      </c>
      <c r="X93" s="52" t="e">
        <f t="shared" si="132"/>
        <v>#DIV/0!</v>
      </c>
      <c r="Y93" s="53">
        <f>COUNTIFS('00 Encuesta'!$B$2:$B$511,"*a)*",'00 Encuesta'!$C$2:$C$511,"*c)*",'00 Encuesta'!$E$2:$E$511,"*b)*",'00 Encuesta'!$N$2:$N$511,"*b)*")</f>
        <v>0</v>
      </c>
      <c r="Z93" s="52" t="e">
        <f t="shared" si="133"/>
        <v>#DIV/0!</v>
      </c>
      <c r="AA93" s="3"/>
      <c r="AB93" s="62">
        <f t="shared" si="134"/>
        <v>29</v>
      </c>
      <c r="AC93" s="52">
        <f t="shared" si="135"/>
        <v>37.179487179487182</v>
      </c>
      <c r="AD93" s="7"/>
      <c r="AE93" s="7"/>
      <c r="AF93" s="9" t="str">
        <f t="shared" si="136"/>
        <v>b) El futuro</v>
      </c>
      <c r="AG93" s="72">
        <f t="shared" si="137"/>
        <v>27.27272727272727</v>
      </c>
      <c r="AH93" s="72">
        <f t="shared" si="138"/>
        <v>55.555555555555557</v>
      </c>
      <c r="AI93" s="73">
        <f t="shared" si="139"/>
        <v>40</v>
      </c>
      <c r="AJ93" s="73"/>
      <c r="AK93" s="76">
        <f t="shared" si="140"/>
        <v>30.76923076923077</v>
      </c>
      <c r="AL93" s="76">
        <f t="shared" si="141"/>
        <v>36</v>
      </c>
      <c r="AM93" s="76">
        <f t="shared" si="142"/>
        <v>34.210526315789473</v>
      </c>
      <c r="AN93" s="76"/>
      <c r="AO93" s="81" t="e">
        <f t="shared" si="143"/>
        <v>#DIV/0!</v>
      </c>
      <c r="AP93" s="81" t="e">
        <f t="shared" si="144"/>
        <v>#DIV/0!</v>
      </c>
      <c r="AQ93" s="81" t="e">
        <f t="shared" si="145"/>
        <v>#DIV/0!</v>
      </c>
      <c r="AR93" s="7"/>
      <c r="AS93" s="76">
        <f t="shared" si="121"/>
        <v>37.179487179487182</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ht="15" x14ac:dyDescent="0.25">
      <c r="A94" s="8" t="s">
        <v>20</v>
      </c>
      <c r="B94" s="9" t="s">
        <v>95</v>
      </c>
      <c r="C94" s="7"/>
      <c r="D94" s="7"/>
      <c r="E94" s="7"/>
      <c r="F94" s="71"/>
      <c r="G94" s="51">
        <f t="shared" si="122"/>
        <v>1</v>
      </c>
      <c r="H94" s="52">
        <f t="shared" si="123"/>
        <v>2.5</v>
      </c>
      <c r="I94" s="53">
        <f>COUNTIFS('00 Encuesta'!$B$2:$B$511,"*a)*",'00 Encuesta'!$C$2:$C$511,"*a)*",'00 Encuesta'!$E$2:$E$511,"*a)*",'00 Encuesta'!$N$2:$N$511,"*c)*")</f>
        <v>0</v>
      </c>
      <c r="J94" s="52">
        <f t="shared" si="124"/>
        <v>0</v>
      </c>
      <c r="K94" s="53">
        <f>COUNTIFS('00 Encuesta'!$B$2:$B$511,"*a)*",'00 Encuesta'!$C$2:$C$511,"*a)*",'00 Encuesta'!$E$2:$E$511,"*b)*",'00 Encuesta'!$N$2:$N$511,"*c)*")</f>
        <v>1</v>
      </c>
      <c r="L94" s="52">
        <f t="shared" si="125"/>
        <v>5.5555555555555554</v>
      </c>
      <c r="M94" s="23"/>
      <c r="N94" s="51">
        <f t="shared" si="126"/>
        <v>1</v>
      </c>
      <c r="O94" s="52">
        <f t="shared" si="127"/>
        <v>2.6315789473684208</v>
      </c>
      <c r="P94" s="53">
        <f>COUNTIFS('00 Encuesta'!$B$2:$B$511,"*a)*",'00 Encuesta'!$C$2:$C$511,"*b)*",'00 Encuesta'!$E$2:$E$511,"*a)*",'00 Encuesta'!$N$2:$N$511,"*c)*")</f>
        <v>0</v>
      </c>
      <c r="Q94" s="52">
        <f t="shared" si="128"/>
        <v>0</v>
      </c>
      <c r="R94" s="53">
        <f>COUNTIFS('00 Encuesta'!$B$2:$B$511,"*a)*",'00 Encuesta'!$C$2:$C$511,"*b)*",'00 Encuesta'!$E$2:$E$511,"*b)*",'00 Encuesta'!$N$2:$N$511,"*c)*")</f>
        <v>1</v>
      </c>
      <c r="S94" s="52">
        <f t="shared" si="129"/>
        <v>4</v>
      </c>
      <c r="T94" s="3"/>
      <c r="U94" s="51">
        <f t="shared" si="130"/>
        <v>0</v>
      </c>
      <c r="V94" s="52" t="e">
        <f t="shared" si="131"/>
        <v>#DIV/0!</v>
      </c>
      <c r="W94" s="53">
        <f>COUNTIFS('00 Encuesta'!$B$2:$B$511,"*a)*",'00 Encuesta'!$C$2:$C$511,"*c)*",'00 Encuesta'!$E$2:$E$511,"*a)*",'00 Encuesta'!$N$2:$N$511,"*c)*")</f>
        <v>0</v>
      </c>
      <c r="X94" s="52" t="e">
        <f t="shared" si="132"/>
        <v>#DIV/0!</v>
      </c>
      <c r="Y94" s="53">
        <f>COUNTIFS('00 Encuesta'!$B$2:$B$511,"*a)*",'00 Encuesta'!$C$2:$C$511,"*c)*",'00 Encuesta'!$E$2:$E$511,"*b)*",'00 Encuesta'!$N$2:$N$511,"*c)*")</f>
        <v>0</v>
      </c>
      <c r="Z94" s="52" t="e">
        <f t="shared" si="133"/>
        <v>#DIV/0!</v>
      </c>
      <c r="AA94" s="3"/>
      <c r="AB94" s="62">
        <f t="shared" si="134"/>
        <v>2</v>
      </c>
      <c r="AC94" s="52">
        <f t="shared" si="135"/>
        <v>2.5641025641025643</v>
      </c>
      <c r="AD94" s="7"/>
      <c r="AE94" s="7"/>
      <c r="AF94" s="9" t="str">
        <f t="shared" si="136"/>
        <v>c) Yo mismo</v>
      </c>
      <c r="AG94" s="72">
        <f t="shared" si="137"/>
        <v>0</v>
      </c>
      <c r="AH94" s="72">
        <f t="shared" si="138"/>
        <v>5.5555555555555554</v>
      </c>
      <c r="AI94" s="73">
        <f t="shared" si="139"/>
        <v>2.5</v>
      </c>
      <c r="AJ94" s="73"/>
      <c r="AK94" s="76">
        <f t="shared" si="140"/>
        <v>0</v>
      </c>
      <c r="AL94" s="76">
        <f t="shared" si="141"/>
        <v>4</v>
      </c>
      <c r="AM94" s="76">
        <f t="shared" si="142"/>
        <v>2.6315789473684208</v>
      </c>
      <c r="AN94" s="76"/>
      <c r="AO94" s="81" t="e">
        <f t="shared" si="143"/>
        <v>#DIV/0!</v>
      </c>
      <c r="AP94" s="81" t="e">
        <f t="shared" si="144"/>
        <v>#DIV/0!</v>
      </c>
      <c r="AQ94" s="81" t="e">
        <f t="shared" si="145"/>
        <v>#DIV/0!</v>
      </c>
      <c r="AR94" s="7"/>
      <c r="AS94" s="76">
        <f t="shared" si="121"/>
        <v>2.5641025641025643</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ht="15" x14ac:dyDescent="0.25">
      <c r="A95" s="8" t="s">
        <v>21</v>
      </c>
      <c r="B95" s="9" t="s">
        <v>96</v>
      </c>
      <c r="C95" s="7"/>
      <c r="D95" s="7"/>
      <c r="E95" s="7"/>
      <c r="F95" s="71"/>
      <c r="G95" s="51">
        <f t="shared" si="122"/>
        <v>8</v>
      </c>
      <c r="H95" s="52">
        <f t="shared" si="123"/>
        <v>20</v>
      </c>
      <c r="I95" s="53">
        <f>COUNTIFS('00 Encuesta'!$B$2:$B$511,"*a)*",'00 Encuesta'!$C$2:$C$511,"*a)*",'00 Encuesta'!$E$2:$E$511,"*a)*",'00 Encuesta'!$N$2:$N$511,"*d)*")</f>
        <v>6</v>
      </c>
      <c r="J95" s="52">
        <f t="shared" si="124"/>
        <v>27.27272727272727</v>
      </c>
      <c r="K95" s="53">
        <f>COUNTIFS('00 Encuesta'!$B$2:$B$511,"*a)*",'00 Encuesta'!$C$2:$C$511,"*a)*",'00 Encuesta'!$E$2:$E$511,"*b)*",'00 Encuesta'!$N$2:$N$511,"*d)*")</f>
        <v>2</v>
      </c>
      <c r="L95" s="52">
        <f t="shared" si="125"/>
        <v>11.111111111111111</v>
      </c>
      <c r="M95" s="23"/>
      <c r="N95" s="51">
        <f t="shared" si="126"/>
        <v>3</v>
      </c>
      <c r="O95" s="52">
        <f t="shared" si="127"/>
        <v>7.8947368421052628</v>
      </c>
      <c r="P95" s="53">
        <f>COUNTIFS('00 Encuesta'!$B$2:$B$511,"*a)*",'00 Encuesta'!$C$2:$C$511,"*b)*",'00 Encuesta'!$E$2:$E$511,"*a)*",'00 Encuesta'!$N$2:$N$511,"*d)*")</f>
        <v>2</v>
      </c>
      <c r="Q95" s="52">
        <f t="shared" si="128"/>
        <v>15.384615384615385</v>
      </c>
      <c r="R95" s="53">
        <f>COUNTIFS('00 Encuesta'!$B$2:$B$511,"*a)*",'00 Encuesta'!$C$2:$C$511,"*b)*",'00 Encuesta'!$E$2:$E$511,"*b)*",'00 Encuesta'!$N$2:$N$511,"*d)*")</f>
        <v>1</v>
      </c>
      <c r="S95" s="52">
        <f t="shared" si="129"/>
        <v>4</v>
      </c>
      <c r="T95" s="3"/>
      <c r="U95" s="51">
        <f t="shared" si="130"/>
        <v>0</v>
      </c>
      <c r="V95" s="52" t="e">
        <f t="shared" si="131"/>
        <v>#DIV/0!</v>
      </c>
      <c r="W95" s="53">
        <f>COUNTIFS('00 Encuesta'!$B$2:$B$511,"*a)*",'00 Encuesta'!$C$2:$C$511,"*c)*",'00 Encuesta'!$E$2:$E$511,"*a)*",'00 Encuesta'!$N$2:$N$511,"*d)*")</f>
        <v>0</v>
      </c>
      <c r="X95" s="52" t="e">
        <f t="shared" si="132"/>
        <v>#DIV/0!</v>
      </c>
      <c r="Y95" s="53">
        <f>COUNTIFS('00 Encuesta'!$B$2:$B$511,"*a)*",'00 Encuesta'!$C$2:$C$511,"*c)*",'00 Encuesta'!$E$2:$E$511,"*b)*",'00 Encuesta'!$N$2:$N$511,"*d)*")</f>
        <v>0</v>
      </c>
      <c r="Z95" s="52" t="e">
        <f t="shared" si="133"/>
        <v>#DIV/0!</v>
      </c>
      <c r="AA95" s="3"/>
      <c r="AB95" s="62">
        <f t="shared" si="134"/>
        <v>11</v>
      </c>
      <c r="AC95" s="52">
        <f t="shared" si="135"/>
        <v>14.102564102564102</v>
      </c>
      <c r="AD95" s="7"/>
      <c r="AE95" s="7"/>
      <c r="AF95" s="9" t="str">
        <f t="shared" si="136"/>
        <v>d) Los problemas familiares</v>
      </c>
      <c r="AG95" s="72">
        <f t="shared" si="137"/>
        <v>27.27272727272727</v>
      </c>
      <c r="AH95" s="72">
        <f t="shared" si="138"/>
        <v>11.111111111111111</v>
      </c>
      <c r="AI95" s="73">
        <f t="shared" si="139"/>
        <v>20</v>
      </c>
      <c r="AJ95" s="73"/>
      <c r="AK95" s="76">
        <f t="shared" si="140"/>
        <v>15.384615384615385</v>
      </c>
      <c r="AL95" s="76">
        <f t="shared" si="141"/>
        <v>4</v>
      </c>
      <c r="AM95" s="76">
        <f t="shared" si="142"/>
        <v>7.8947368421052628</v>
      </c>
      <c r="AN95" s="76"/>
      <c r="AO95" s="81" t="e">
        <f t="shared" si="143"/>
        <v>#DIV/0!</v>
      </c>
      <c r="AP95" s="81" t="e">
        <f t="shared" si="144"/>
        <v>#DIV/0!</v>
      </c>
      <c r="AQ95" s="81" t="e">
        <f t="shared" si="145"/>
        <v>#DIV/0!</v>
      </c>
      <c r="AR95" s="7"/>
      <c r="AS95" s="76">
        <f t="shared" si="121"/>
        <v>14.102564102564102</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2</v>
      </c>
      <c r="H96" s="52">
        <f t="shared" si="123"/>
        <v>5</v>
      </c>
      <c r="I96" s="53">
        <f>COUNTIFS('00 Encuesta'!$B$2:$B$511,"*a)*",'00 Encuesta'!$C$2:$C$511,"*a)*",'00 Encuesta'!$E$2:$E$511,"*a)*",'00 Encuesta'!$N$2:$N$511,"*e)*")</f>
        <v>1</v>
      </c>
      <c r="J96" s="52">
        <f t="shared" si="124"/>
        <v>4.5454545454545459</v>
      </c>
      <c r="K96" s="53">
        <f>COUNTIFS('00 Encuesta'!$B$2:$B$511,"*a)*",'00 Encuesta'!$C$2:$C$511,"*a)*",'00 Encuesta'!$E$2:$E$511,"*b)*",'00 Encuesta'!$N$2:$N$511,"*e)*")</f>
        <v>1</v>
      </c>
      <c r="L96" s="52">
        <f t="shared" si="125"/>
        <v>5.5555555555555554</v>
      </c>
      <c r="M96" s="23"/>
      <c r="N96" s="51">
        <f t="shared" si="126"/>
        <v>3</v>
      </c>
      <c r="O96" s="52">
        <f t="shared" si="127"/>
        <v>7.8947368421052628</v>
      </c>
      <c r="P96" s="53">
        <f>COUNTIFS('00 Encuesta'!$B$2:$B$511,"*a)*",'00 Encuesta'!$C$2:$C$511,"*b)*",'00 Encuesta'!$E$2:$E$511,"*a)*",'00 Encuesta'!$N$2:$N$511,"*e)*")</f>
        <v>0</v>
      </c>
      <c r="Q96" s="52">
        <f t="shared" si="128"/>
        <v>0</v>
      </c>
      <c r="R96" s="53">
        <f>COUNTIFS('00 Encuesta'!$B$2:$B$511,"*a)*",'00 Encuesta'!$C$2:$C$511,"*b)*",'00 Encuesta'!$E$2:$E$511,"*b)*",'00 Encuesta'!$N$2:$N$511,"*e)*")</f>
        <v>3</v>
      </c>
      <c r="S96" s="52">
        <f t="shared" si="129"/>
        <v>12</v>
      </c>
      <c r="T96" s="3"/>
      <c r="U96" s="51">
        <f t="shared" si="130"/>
        <v>0</v>
      </c>
      <c r="V96" s="52" t="e">
        <f t="shared" si="131"/>
        <v>#DIV/0!</v>
      </c>
      <c r="W96" s="53">
        <f>COUNTIFS('00 Encuesta'!$B$2:$B$511,"*a)*",'00 Encuesta'!$C$2:$C$511,"*c)*",'00 Encuesta'!$E$2:$E$511,"*a)*",'00 Encuesta'!$N$2:$N$511,"*e)*")</f>
        <v>0</v>
      </c>
      <c r="X96" s="52" t="e">
        <f t="shared" si="132"/>
        <v>#DIV/0!</v>
      </c>
      <c r="Y96" s="53">
        <f>COUNTIFS('00 Encuesta'!$B$2:$B$511,"*a)*",'00 Encuesta'!$C$2:$C$511,"*c)*",'00 Encuesta'!$E$2:$E$511,"*b)*",'00 Encuesta'!$N$2:$N$511,"*e)*")</f>
        <v>0</v>
      </c>
      <c r="Z96" s="52" t="e">
        <f t="shared" si="133"/>
        <v>#DIV/0!</v>
      </c>
      <c r="AA96" s="3"/>
      <c r="AB96" s="62">
        <f t="shared" si="134"/>
        <v>5</v>
      </c>
      <c r="AC96" s="52">
        <f t="shared" si="135"/>
        <v>6.4102564102564106</v>
      </c>
      <c r="AD96" s="7"/>
      <c r="AE96" s="7"/>
      <c r="AF96" s="9" t="str">
        <f t="shared" si="136"/>
        <v>e) La situación económica</v>
      </c>
      <c r="AG96" s="72">
        <f t="shared" si="137"/>
        <v>4.5454545454545459</v>
      </c>
      <c r="AH96" s="72">
        <f t="shared" si="138"/>
        <v>5.5555555555555554</v>
      </c>
      <c r="AI96" s="73">
        <f t="shared" si="139"/>
        <v>5</v>
      </c>
      <c r="AJ96" s="73"/>
      <c r="AK96" s="76">
        <f t="shared" si="140"/>
        <v>0</v>
      </c>
      <c r="AL96" s="76">
        <f t="shared" si="141"/>
        <v>12</v>
      </c>
      <c r="AM96" s="76">
        <f t="shared" si="142"/>
        <v>7.8947368421052628</v>
      </c>
      <c r="AN96" s="76"/>
      <c r="AO96" s="81" t="e">
        <f t="shared" si="143"/>
        <v>#DIV/0!</v>
      </c>
      <c r="AP96" s="81" t="e">
        <f t="shared" si="144"/>
        <v>#DIV/0!</v>
      </c>
      <c r="AQ96" s="81" t="e">
        <f t="shared" si="145"/>
        <v>#DIV/0!</v>
      </c>
      <c r="AR96" s="7"/>
      <c r="AS96" s="76">
        <f t="shared" si="121"/>
        <v>6.4102564102564106</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3</v>
      </c>
      <c r="H97" s="52">
        <f t="shared" si="123"/>
        <v>7.5</v>
      </c>
      <c r="I97" s="53">
        <f>COUNTIFS('00 Encuesta'!$B$2:$B$511,"*a)*",'00 Encuesta'!$C$2:$C$511,"*a)*",'00 Encuesta'!$E$2:$E$511,"*a)*",'00 Encuesta'!$N$2:$N$511,"*f)*")</f>
        <v>3</v>
      </c>
      <c r="J97" s="52">
        <f t="shared" si="124"/>
        <v>13.636363636363635</v>
      </c>
      <c r="K97" s="53">
        <f>COUNTIFS('00 Encuesta'!$B$2:$B$511,"*a)*",'00 Encuesta'!$C$2:$C$511,"*a)*",'00 Encuesta'!$E$2:$E$511,"*b)*",'00 Encuesta'!$N$2:$N$511,"*f)*")</f>
        <v>0</v>
      </c>
      <c r="L97" s="52">
        <f t="shared" si="125"/>
        <v>0</v>
      </c>
      <c r="M97" s="23"/>
      <c r="N97" s="51">
        <f t="shared" si="126"/>
        <v>3</v>
      </c>
      <c r="O97" s="52">
        <f t="shared" si="127"/>
        <v>7.8947368421052628</v>
      </c>
      <c r="P97" s="53">
        <f>COUNTIFS('00 Encuesta'!$B$2:$B$511,"*a)*",'00 Encuesta'!$C$2:$C$511,"*b)*",'00 Encuesta'!$E$2:$E$511,"*a)*",'00 Encuesta'!$N$2:$N$511,"*f)*")</f>
        <v>0</v>
      </c>
      <c r="Q97" s="52">
        <f t="shared" si="128"/>
        <v>0</v>
      </c>
      <c r="R97" s="53">
        <f>COUNTIFS('00 Encuesta'!$B$2:$B$511,"*a)*",'00 Encuesta'!$C$2:$C$511,"*b)*",'00 Encuesta'!$E$2:$E$511,"*b)*",'00 Encuesta'!$N$2:$N$511,"*f)*")</f>
        <v>3</v>
      </c>
      <c r="S97" s="52">
        <f t="shared" si="129"/>
        <v>12</v>
      </c>
      <c r="T97" s="3"/>
      <c r="U97" s="51">
        <f t="shared" si="130"/>
        <v>0</v>
      </c>
      <c r="V97" s="52" t="e">
        <f t="shared" si="131"/>
        <v>#DIV/0!</v>
      </c>
      <c r="W97" s="53">
        <f>COUNTIFS('00 Encuesta'!$B$2:$B$511,"*a)*",'00 Encuesta'!$C$2:$C$511,"*c)*",'00 Encuesta'!$E$2:$E$511,"*a)*",'00 Encuesta'!$N$2:$N$511,"*f)*")</f>
        <v>0</v>
      </c>
      <c r="X97" s="52" t="e">
        <f t="shared" si="132"/>
        <v>#DIV/0!</v>
      </c>
      <c r="Y97" s="53">
        <f>COUNTIFS('00 Encuesta'!$B$2:$B$511,"*a)*",'00 Encuesta'!$C$2:$C$511,"*c)*",'00 Encuesta'!$E$2:$E$511,"*b)*",'00 Encuesta'!$N$2:$N$511,"*f)*")</f>
        <v>0</v>
      </c>
      <c r="Z97" s="52" t="e">
        <f t="shared" si="133"/>
        <v>#DIV/0!</v>
      </c>
      <c r="AA97" s="3"/>
      <c r="AB97" s="62">
        <f t="shared" si="134"/>
        <v>6</v>
      </c>
      <c r="AC97" s="52">
        <f t="shared" si="135"/>
        <v>7.6923076923076925</v>
      </c>
      <c r="AD97" s="7"/>
      <c r="AE97" s="7"/>
      <c r="AF97" s="9" t="str">
        <f t="shared" si="136"/>
        <v>f) La situación política del país</v>
      </c>
      <c r="AG97" s="72">
        <f t="shared" si="137"/>
        <v>13.636363636363635</v>
      </c>
      <c r="AH97" s="72">
        <f t="shared" si="138"/>
        <v>0</v>
      </c>
      <c r="AI97" s="73">
        <f t="shared" si="139"/>
        <v>7.5</v>
      </c>
      <c r="AJ97" s="73"/>
      <c r="AK97" s="76">
        <f t="shared" si="140"/>
        <v>0</v>
      </c>
      <c r="AL97" s="76">
        <f t="shared" si="141"/>
        <v>12</v>
      </c>
      <c r="AM97" s="76">
        <f t="shared" si="142"/>
        <v>7.8947368421052628</v>
      </c>
      <c r="AN97" s="76"/>
      <c r="AO97" s="81" t="e">
        <f t="shared" si="143"/>
        <v>#DIV/0!</v>
      </c>
      <c r="AP97" s="81" t="e">
        <f t="shared" si="144"/>
        <v>#DIV/0!</v>
      </c>
      <c r="AQ97" s="81" t="e">
        <f t="shared" si="145"/>
        <v>#DIV/0!</v>
      </c>
      <c r="AR97" s="7"/>
      <c r="AS97" s="76">
        <f t="shared" si="121"/>
        <v>7.6923076923076925</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ht="15" x14ac:dyDescent="0.25">
      <c r="A98" s="8" t="s">
        <v>61</v>
      </c>
      <c r="B98" s="9" t="s">
        <v>99</v>
      </c>
      <c r="C98" s="7"/>
      <c r="D98" s="7"/>
      <c r="E98" s="7"/>
      <c r="F98" s="71"/>
      <c r="G98" s="51">
        <f t="shared" si="122"/>
        <v>5</v>
      </c>
      <c r="H98" s="52">
        <f t="shared" si="123"/>
        <v>12.5</v>
      </c>
      <c r="I98" s="53">
        <f>COUNTIFS('00 Encuesta'!$B$2:$B$511,"*a)*",'00 Encuesta'!$C$2:$C$511,"*a)*",'00 Encuesta'!$E$2:$E$511,"*a)*",'00 Encuesta'!$N$2:$N$511,"*g)*")</f>
        <v>4</v>
      </c>
      <c r="J98" s="52">
        <f t="shared" si="124"/>
        <v>18.181818181818183</v>
      </c>
      <c r="K98" s="53">
        <f>COUNTIFS('00 Encuesta'!$B$2:$B$511,"*a)*",'00 Encuesta'!$C$2:$C$511,"*a)*",'00 Encuesta'!$E$2:$E$511,"*b)*",'00 Encuesta'!$N$2:$N$511,"*g)*")</f>
        <v>1</v>
      </c>
      <c r="L98" s="52">
        <f t="shared" si="125"/>
        <v>5.5555555555555554</v>
      </c>
      <c r="M98" s="23"/>
      <c r="N98" s="51">
        <f t="shared" si="126"/>
        <v>5</v>
      </c>
      <c r="O98" s="52">
        <f t="shared" si="127"/>
        <v>13.157894736842104</v>
      </c>
      <c r="P98" s="53">
        <f>COUNTIFS('00 Encuesta'!$B$2:$B$511,"*a)*",'00 Encuesta'!$C$2:$C$511,"*b)*",'00 Encuesta'!$E$2:$E$511,"*a)*",'00 Encuesta'!$N$2:$N$511,"*g)*")</f>
        <v>4</v>
      </c>
      <c r="Q98" s="52">
        <f t="shared" si="128"/>
        <v>30.76923076923077</v>
      </c>
      <c r="R98" s="53">
        <f>COUNTIFS('00 Encuesta'!$B$2:$B$511,"*a)*",'00 Encuesta'!$C$2:$C$511,"*b)*",'00 Encuesta'!$E$2:$E$511,"*b)*",'00 Encuesta'!$N$2:$N$511,"*g)*")</f>
        <v>1</v>
      </c>
      <c r="S98" s="52">
        <f t="shared" si="129"/>
        <v>4</v>
      </c>
      <c r="T98" s="3"/>
      <c r="U98" s="51">
        <f t="shared" si="130"/>
        <v>0</v>
      </c>
      <c r="V98" s="52" t="e">
        <f t="shared" si="131"/>
        <v>#DIV/0!</v>
      </c>
      <c r="W98" s="53">
        <f>COUNTIFS('00 Encuesta'!$B$2:$B$511,"*a)*",'00 Encuesta'!$C$2:$C$511,"*c)*",'00 Encuesta'!$E$2:$E$511,"*a)*",'00 Encuesta'!$N$2:$N$511,"*g)*")</f>
        <v>0</v>
      </c>
      <c r="X98" s="52" t="e">
        <f t="shared" si="132"/>
        <v>#DIV/0!</v>
      </c>
      <c r="Y98" s="53">
        <f>COUNTIFS('00 Encuesta'!$B$2:$B$511,"*a)*",'00 Encuesta'!$C$2:$C$511,"*c)*",'00 Encuesta'!$E$2:$E$511,"*b)*",'00 Encuesta'!$N$2:$N$511,"*g)*")</f>
        <v>0</v>
      </c>
      <c r="Z98" s="52" t="e">
        <f t="shared" si="133"/>
        <v>#DIV/0!</v>
      </c>
      <c r="AA98" s="3"/>
      <c r="AB98" s="62">
        <f t="shared" si="134"/>
        <v>10</v>
      </c>
      <c r="AC98" s="52">
        <f t="shared" si="135"/>
        <v>12.820512820512821</v>
      </c>
      <c r="AD98" s="7"/>
      <c r="AE98" s="7"/>
      <c r="AF98" s="9" t="str">
        <f t="shared" si="136"/>
        <v>g) Mis estudios</v>
      </c>
      <c r="AG98" s="72">
        <f t="shared" si="137"/>
        <v>18.181818181818183</v>
      </c>
      <c r="AH98" s="72">
        <f t="shared" si="138"/>
        <v>5.5555555555555554</v>
      </c>
      <c r="AI98" s="73">
        <f t="shared" si="139"/>
        <v>12.5</v>
      </c>
      <c r="AJ98" s="73"/>
      <c r="AK98" s="76">
        <f t="shared" si="140"/>
        <v>30.76923076923077</v>
      </c>
      <c r="AL98" s="76">
        <f t="shared" si="141"/>
        <v>4</v>
      </c>
      <c r="AM98" s="76">
        <f t="shared" si="142"/>
        <v>13.157894736842104</v>
      </c>
      <c r="AN98" s="76"/>
      <c r="AO98" s="81" t="e">
        <f t="shared" si="143"/>
        <v>#DIV/0!</v>
      </c>
      <c r="AP98" s="81" t="e">
        <f t="shared" si="144"/>
        <v>#DIV/0!</v>
      </c>
      <c r="AQ98" s="81" t="e">
        <f t="shared" si="145"/>
        <v>#DIV/0!</v>
      </c>
      <c r="AR98" s="7"/>
      <c r="AS98" s="76">
        <f t="shared" si="121"/>
        <v>12.820512820512821</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ht="15" x14ac:dyDescent="0.25">
      <c r="A99" s="8" t="s">
        <v>63</v>
      </c>
      <c r="B99" s="9" t="s">
        <v>81</v>
      </c>
      <c r="C99" s="7"/>
      <c r="D99" s="7"/>
      <c r="E99" s="7"/>
      <c r="F99" s="71"/>
      <c r="G99" s="51">
        <f t="shared" si="122"/>
        <v>1</v>
      </c>
      <c r="H99" s="52">
        <f t="shared" si="123"/>
        <v>2.5</v>
      </c>
      <c r="I99" s="53">
        <f>COUNTIFS('00 Encuesta'!$B$2:$B$511,"*a)*",'00 Encuesta'!$C$2:$C$511,"*a)*",'00 Encuesta'!$E$2:$E$511,"*a)*",'00 Encuesta'!$N$2:$N$511,"*h)*")</f>
        <v>0</v>
      </c>
      <c r="J99" s="52">
        <f t="shared" si="124"/>
        <v>0</v>
      </c>
      <c r="K99" s="53">
        <f>COUNTIFS('00 Encuesta'!$B$2:$B$511,"*a)*",'00 Encuesta'!$C$2:$C$511,"*a)*",'00 Encuesta'!$E$2:$E$511,"*b)*",'00 Encuesta'!$N$2:$N$511,"*h)*")</f>
        <v>1</v>
      </c>
      <c r="L99" s="52">
        <f t="shared" si="125"/>
        <v>5.5555555555555554</v>
      </c>
      <c r="M99" s="23"/>
      <c r="N99" s="51">
        <f t="shared" si="126"/>
        <v>0</v>
      </c>
      <c r="O99" s="52">
        <f t="shared" si="127"/>
        <v>0</v>
      </c>
      <c r="P99" s="53">
        <f>COUNTIFS('00 Encuesta'!$B$2:$B$511,"*a)*",'00 Encuesta'!$C$2:$C$511,"*b)*",'00 Encuesta'!$E$2:$E$511,"*a)*",'00 Encuesta'!$N$2:$N$511,"*h)*")</f>
        <v>0</v>
      </c>
      <c r="Q99" s="52">
        <f t="shared" si="128"/>
        <v>0</v>
      </c>
      <c r="R99" s="53">
        <f>COUNTIFS('00 Encuesta'!$B$2:$B$511,"*a)*",'00 Encuesta'!$C$2:$C$511,"*b)*",'00 Encuesta'!$E$2:$E$511,"*b)*",'00 Encuesta'!$N$2:$N$511,"*h)*")</f>
        <v>0</v>
      </c>
      <c r="S99" s="52">
        <f t="shared" si="129"/>
        <v>0</v>
      </c>
      <c r="T99" s="3"/>
      <c r="U99" s="51">
        <f t="shared" si="130"/>
        <v>0</v>
      </c>
      <c r="V99" s="52" t="e">
        <f t="shared" si="131"/>
        <v>#DIV/0!</v>
      </c>
      <c r="W99" s="53">
        <f>COUNTIFS('00 Encuesta'!$B$2:$B$511,"*a)*",'00 Encuesta'!$C$2:$C$511,"*c)*",'00 Encuesta'!$E$2:$E$511,"*a)*",'00 Encuesta'!$N$2:$N$511,"*h)*")</f>
        <v>0</v>
      </c>
      <c r="X99" s="52" t="e">
        <f t="shared" si="132"/>
        <v>#DIV/0!</v>
      </c>
      <c r="Y99" s="53">
        <f>COUNTIFS('00 Encuesta'!$B$2:$B$511,"*a)*",'00 Encuesta'!$C$2:$C$511,"*c)*",'00 Encuesta'!$E$2:$E$511,"*b)*",'00 Encuesta'!$N$2:$N$511,"*h)*")</f>
        <v>0</v>
      </c>
      <c r="Z99" s="52" t="e">
        <f t="shared" si="133"/>
        <v>#DIV/0!</v>
      </c>
      <c r="AA99" s="3"/>
      <c r="AB99" s="62">
        <f t="shared" si="134"/>
        <v>1</v>
      </c>
      <c r="AC99" s="52">
        <f t="shared" si="135"/>
        <v>1.2820512820512822</v>
      </c>
      <c r="AD99" s="7"/>
      <c r="AE99" s="7"/>
      <c r="AF99" s="9" t="str">
        <f t="shared" si="136"/>
        <v>h) Los amigos</v>
      </c>
      <c r="AG99" s="72">
        <f t="shared" si="137"/>
        <v>0</v>
      </c>
      <c r="AH99" s="72">
        <f t="shared" si="138"/>
        <v>5.5555555555555554</v>
      </c>
      <c r="AI99" s="73">
        <f t="shared" si="139"/>
        <v>2.5</v>
      </c>
      <c r="AJ99" s="73"/>
      <c r="AK99" s="76">
        <f t="shared" si="140"/>
        <v>0</v>
      </c>
      <c r="AL99" s="76">
        <f t="shared" si="141"/>
        <v>0</v>
      </c>
      <c r="AM99" s="76">
        <f t="shared" si="142"/>
        <v>0</v>
      </c>
      <c r="AN99" s="76"/>
      <c r="AO99" s="81" t="e">
        <f t="shared" si="143"/>
        <v>#DIV/0!</v>
      </c>
      <c r="AP99" s="81" t="e">
        <f t="shared" si="144"/>
        <v>#DIV/0!</v>
      </c>
      <c r="AQ99" s="81" t="e">
        <f t="shared" si="145"/>
        <v>#DIV/0!</v>
      </c>
      <c r="AR99" s="7"/>
      <c r="AS99" s="76">
        <f t="shared" si="121"/>
        <v>1.2820512820512822</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ht="15" x14ac:dyDescent="0.25">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ht="15" x14ac:dyDescent="0.25">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ht="15" x14ac:dyDescent="0.25">
      <c r="A103" s="8" t="s">
        <v>17</v>
      </c>
      <c r="B103" s="9" t="s">
        <v>102</v>
      </c>
      <c r="C103" s="7"/>
      <c r="D103" s="7"/>
      <c r="E103" s="7"/>
      <c r="F103" s="71">
        <v>100</v>
      </c>
      <c r="G103" s="51">
        <f>I103+K103</f>
        <v>15</v>
      </c>
      <c r="H103" s="52">
        <f>G103/$J$5*100</f>
        <v>37.5</v>
      </c>
      <c r="I103" s="53">
        <f>COUNTIFS('00 Encuesta'!$B$2:$B$511,"*a)*",'00 Encuesta'!$C$2:$C$511,"*a)*",'00 Encuesta'!$E$2:$E$511,"*a)*",'00 Encuesta'!$O$2:$O$511,"*a)*")</f>
        <v>9</v>
      </c>
      <c r="J103" s="52">
        <f>I103/$J$6*100</f>
        <v>40.909090909090914</v>
      </c>
      <c r="K103" s="53">
        <f>COUNTIFS('00 Encuesta'!$B$2:$B$511,"*a)*",'00 Encuesta'!$C$2:$C$511,"*a)*",'00 Encuesta'!$E$2:$E$511,"*b)*",'00 Encuesta'!$O$2:$O$511,"*a)*")</f>
        <v>6</v>
      </c>
      <c r="L103" s="52">
        <f>K103/$J$7*100</f>
        <v>33.333333333333329</v>
      </c>
      <c r="M103" s="23"/>
      <c r="N103" s="51">
        <f>P103+R103</f>
        <v>10</v>
      </c>
      <c r="O103" s="52">
        <f>N103/$Q$5*100</f>
        <v>26.315789473684209</v>
      </c>
      <c r="P103" s="53">
        <f>COUNTIFS('00 Encuesta'!$B$2:$B$511,"*a)*",'00 Encuesta'!$C$2:$C$511,"*b)*",'00 Encuesta'!$E$2:$E$511,"*a)*",'00 Encuesta'!$O$2:$O$511,"*a)*")</f>
        <v>4</v>
      </c>
      <c r="Q103" s="52">
        <f>P103/$Q$6*100</f>
        <v>30.76923076923077</v>
      </c>
      <c r="R103" s="53">
        <f>COUNTIFS('00 Encuesta'!$B$2:$B$511,"*a)*",'00 Encuesta'!$C$2:$C$511,"*b)*",'00 Encuesta'!$E$2:$E$511,"*b)*",'00 Encuesta'!$O$2:$O$511,"*a)*")</f>
        <v>6</v>
      </c>
      <c r="S103" s="52">
        <f>R103/$Q$7*100</f>
        <v>24</v>
      </c>
      <c r="T103" s="3"/>
      <c r="U103" s="51">
        <f>W103+Y103</f>
        <v>0</v>
      </c>
      <c r="V103" s="52" t="e">
        <f>U103/$X$5*100</f>
        <v>#DIV/0!</v>
      </c>
      <c r="W103" s="53">
        <f>COUNTIFS('00 Encuesta'!$B$2:$B$511,"*a)*",'00 Encuesta'!$C$2:$C$511,"*c)*",'00 Encuesta'!$E$2:$E$511,"*a)*",'00 Encuesta'!$O$2:$O$511,"*a)*")</f>
        <v>0</v>
      </c>
      <c r="X103" s="52" t="e">
        <f>W103/$X$6*100</f>
        <v>#DIV/0!</v>
      </c>
      <c r="Y103" s="53">
        <f>COUNTIFS('00 Encuesta'!$B$2:$B$511,"*a)*",'00 Encuesta'!$C$2:$C$511,"*c)*",'00 Encuesta'!$E$2:$E$511,"*b)*",'00 Encuesta'!$O$2:$O$511,"*a)*")</f>
        <v>0</v>
      </c>
      <c r="Z103" s="52" t="e">
        <f>Y103/$X$7*100</f>
        <v>#DIV/0!</v>
      </c>
      <c r="AA103" s="3"/>
      <c r="AB103" s="62">
        <f>G103+N103+U103</f>
        <v>25</v>
      </c>
      <c r="AC103" s="52">
        <f>AB103*100/$AC$5</f>
        <v>32.051282051282051</v>
      </c>
      <c r="AD103" s="7"/>
      <c r="AE103" s="7"/>
      <c r="AF103" s="9" t="str">
        <f t="shared" si="146"/>
        <v>a) Mucho</v>
      </c>
      <c r="AG103" s="72">
        <f>J103</f>
        <v>40.909090909090914</v>
      </c>
      <c r="AH103" s="72">
        <f>L103</f>
        <v>33.333333333333329</v>
      </c>
      <c r="AI103" s="73">
        <f>H103</f>
        <v>37.5</v>
      </c>
      <c r="AJ103" s="73"/>
      <c r="AK103" s="76">
        <f>Q103</f>
        <v>30.76923076923077</v>
      </c>
      <c r="AL103" s="76">
        <f>S103</f>
        <v>24</v>
      </c>
      <c r="AM103" s="76">
        <f>O103</f>
        <v>26.315789473684209</v>
      </c>
      <c r="AN103" s="76"/>
      <c r="AO103" s="81" t="e">
        <f>X103</f>
        <v>#DIV/0!</v>
      </c>
      <c r="AP103" s="81" t="e">
        <f>Z103</f>
        <v>#DIV/0!</v>
      </c>
      <c r="AQ103" s="81" t="e">
        <f>V103</f>
        <v>#DIV/0!</v>
      </c>
      <c r="AR103" s="7"/>
      <c r="AS103" s="76">
        <f t="shared" si="121"/>
        <v>32.051282051282051</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ht="15" x14ac:dyDescent="0.25">
      <c r="A104" s="8" t="s">
        <v>18</v>
      </c>
      <c r="B104" s="9" t="s">
        <v>103</v>
      </c>
      <c r="C104" s="7"/>
      <c r="D104" s="7"/>
      <c r="E104" s="7"/>
      <c r="F104" s="71">
        <v>66.66</v>
      </c>
      <c r="G104" s="51">
        <f>I104+K104</f>
        <v>16</v>
      </c>
      <c r="H104" s="52">
        <f>G104/$J$5*100</f>
        <v>40</v>
      </c>
      <c r="I104" s="53">
        <f>COUNTIFS('00 Encuesta'!$B$2:$B$511,"*a)*",'00 Encuesta'!$C$2:$C$511,"*a)*",'00 Encuesta'!$E$2:$E$511,"*a)*",'00 Encuesta'!$O$2:$O$511,"*b)*")</f>
        <v>8</v>
      </c>
      <c r="J104" s="52">
        <f>I104/$J$6*100</f>
        <v>36.363636363636367</v>
      </c>
      <c r="K104" s="53">
        <f>COUNTIFS('00 Encuesta'!$B$2:$B$511,"*a)*",'00 Encuesta'!$C$2:$C$511,"*a)*",'00 Encuesta'!$E$2:$E$511,"*b)*",'00 Encuesta'!$O$2:$O$511,"*b)*")</f>
        <v>8</v>
      </c>
      <c r="L104" s="52">
        <f>K104/$J$7*100</f>
        <v>44.444444444444443</v>
      </c>
      <c r="M104" s="23"/>
      <c r="N104" s="51">
        <f>P104+R104</f>
        <v>19</v>
      </c>
      <c r="O104" s="52">
        <f>N104/$Q$5*100</f>
        <v>50</v>
      </c>
      <c r="P104" s="53">
        <f>COUNTIFS('00 Encuesta'!$B$2:$B$511,"*a)*",'00 Encuesta'!$C$2:$C$511,"*b)*",'00 Encuesta'!$E$2:$E$511,"*a)*",'00 Encuesta'!$O$2:$O$511,"*b)*")</f>
        <v>5</v>
      </c>
      <c r="Q104" s="52">
        <f>P104/$Q$6*100</f>
        <v>38.461538461538467</v>
      </c>
      <c r="R104" s="53">
        <f>COUNTIFS('00 Encuesta'!$B$2:$B$511,"*a)*",'00 Encuesta'!$C$2:$C$511,"*b)*",'00 Encuesta'!$E$2:$E$511,"*b)*",'00 Encuesta'!$O$2:$O$511,"*b)*")</f>
        <v>14</v>
      </c>
      <c r="S104" s="52">
        <f>R104/$Q$7*100</f>
        <v>56.000000000000007</v>
      </c>
      <c r="T104" s="3"/>
      <c r="U104" s="51">
        <f>W104+Y104</f>
        <v>0</v>
      </c>
      <c r="V104" s="52" t="e">
        <f>U104/$X$5*100</f>
        <v>#DIV/0!</v>
      </c>
      <c r="W104" s="53">
        <f>COUNTIFS('00 Encuesta'!$B$2:$B$511,"*a)*",'00 Encuesta'!$C$2:$C$511,"*c)*",'00 Encuesta'!$E$2:$E$511,"*a)*",'00 Encuesta'!$O$2:$O$511,"*b)*")</f>
        <v>0</v>
      </c>
      <c r="X104" s="52" t="e">
        <f>W104/$X$6*100</f>
        <v>#DIV/0!</v>
      </c>
      <c r="Y104" s="53">
        <f>COUNTIFS('00 Encuesta'!$B$2:$B$511,"*a)*",'00 Encuesta'!$C$2:$C$511,"*c)*",'00 Encuesta'!$E$2:$E$511,"*b)*",'00 Encuesta'!$O$2:$O$511,"*b)*")</f>
        <v>0</v>
      </c>
      <c r="Z104" s="52" t="e">
        <f>Y104/$X$7*100</f>
        <v>#DIV/0!</v>
      </c>
      <c r="AA104" s="3"/>
      <c r="AB104" s="62">
        <f>G104+N104+U104</f>
        <v>35</v>
      </c>
      <c r="AC104" s="52">
        <f>AB104*100/$AC$5</f>
        <v>44.871794871794869</v>
      </c>
      <c r="AD104" s="7"/>
      <c r="AE104" s="7"/>
      <c r="AF104" s="9" t="str">
        <f t="shared" si="146"/>
        <v>b) Suficiente</v>
      </c>
      <c r="AG104" s="72">
        <f>J104</f>
        <v>36.363636363636367</v>
      </c>
      <c r="AH104" s="72">
        <f>L104</f>
        <v>44.444444444444443</v>
      </c>
      <c r="AI104" s="73">
        <f>H104</f>
        <v>40</v>
      </c>
      <c r="AJ104" s="73"/>
      <c r="AK104" s="76">
        <f>Q104</f>
        <v>38.461538461538467</v>
      </c>
      <c r="AL104" s="76">
        <f>S104</f>
        <v>56.000000000000007</v>
      </c>
      <c r="AM104" s="76">
        <f>O104</f>
        <v>50</v>
      </c>
      <c r="AN104" s="76"/>
      <c r="AO104" s="81" t="e">
        <f>X104</f>
        <v>#DIV/0!</v>
      </c>
      <c r="AP104" s="81" t="e">
        <f>Z104</f>
        <v>#DIV/0!</v>
      </c>
      <c r="AQ104" s="81" t="e">
        <f>V104</f>
        <v>#DIV/0!</v>
      </c>
      <c r="AR104" s="7"/>
      <c r="AS104" s="76">
        <f t="shared" si="121"/>
        <v>44.871794871794869</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ht="15" x14ac:dyDescent="0.25">
      <c r="A105" s="8" t="s">
        <v>20</v>
      </c>
      <c r="B105" s="9" t="s">
        <v>104</v>
      </c>
      <c r="C105" s="7"/>
      <c r="D105" s="7"/>
      <c r="E105" s="7"/>
      <c r="F105" s="71">
        <v>33.33</v>
      </c>
      <c r="G105" s="51">
        <f>I105+K105</f>
        <v>7</v>
      </c>
      <c r="H105" s="52">
        <f>G105/$J$5*100</f>
        <v>17.5</v>
      </c>
      <c r="I105" s="53">
        <f>COUNTIFS('00 Encuesta'!$B$2:$B$511,"*a)*",'00 Encuesta'!$C$2:$C$511,"*a)*",'00 Encuesta'!$E$2:$E$511,"*a)*",'00 Encuesta'!$O$2:$O$511,"*c)*")</f>
        <v>3</v>
      </c>
      <c r="J105" s="52">
        <f>I105/$J$6*100</f>
        <v>13.636363636363635</v>
      </c>
      <c r="K105" s="53">
        <f>COUNTIFS('00 Encuesta'!$B$2:$B$511,"*a)*",'00 Encuesta'!$C$2:$C$511,"*a)*",'00 Encuesta'!$E$2:$E$511,"*b)*",'00 Encuesta'!$O$2:$O$511,"*c)*")</f>
        <v>4</v>
      </c>
      <c r="L105" s="52">
        <f>K105/$J$7*100</f>
        <v>22.222222222222221</v>
      </c>
      <c r="M105" s="23"/>
      <c r="N105" s="51">
        <f>P105+R105</f>
        <v>6</v>
      </c>
      <c r="O105" s="52">
        <f>N105/$Q$5*100</f>
        <v>15.789473684210526</v>
      </c>
      <c r="P105" s="53">
        <f>COUNTIFS('00 Encuesta'!$B$2:$B$511,"*a)*",'00 Encuesta'!$C$2:$C$511,"*b)*",'00 Encuesta'!$E$2:$E$511,"*a)*",'00 Encuesta'!$O$2:$O$511,"*c)*")</f>
        <v>2</v>
      </c>
      <c r="Q105" s="52">
        <f>P105/$Q$6*100</f>
        <v>15.384615384615385</v>
      </c>
      <c r="R105" s="53">
        <f>COUNTIFS('00 Encuesta'!$B$2:$B$511,"*a)*",'00 Encuesta'!$C$2:$C$511,"*b)*",'00 Encuesta'!$E$2:$E$511,"*b)*",'00 Encuesta'!$O$2:$O$511,"*c)*")</f>
        <v>4</v>
      </c>
      <c r="S105" s="52">
        <f>R105/$Q$7*100</f>
        <v>16</v>
      </c>
      <c r="T105" s="3"/>
      <c r="U105" s="51">
        <f>W105+Y105</f>
        <v>0</v>
      </c>
      <c r="V105" s="52" t="e">
        <f>U105/$X$5*100</f>
        <v>#DIV/0!</v>
      </c>
      <c r="W105" s="53">
        <f>COUNTIFS('00 Encuesta'!$B$2:$B$511,"*a)*",'00 Encuesta'!$C$2:$C$511,"*c)*",'00 Encuesta'!$E$2:$E$511,"*a)*",'00 Encuesta'!$O$2:$O$511,"*c)*")</f>
        <v>0</v>
      </c>
      <c r="X105" s="52" t="e">
        <f>W105/$X$6*100</f>
        <v>#DIV/0!</v>
      </c>
      <c r="Y105" s="53">
        <f>COUNTIFS('00 Encuesta'!$B$2:$B$511,"*a)*",'00 Encuesta'!$C$2:$C$511,"*c)*",'00 Encuesta'!$E$2:$E$511,"*b)*",'00 Encuesta'!$O$2:$O$511,"*c)*")</f>
        <v>0</v>
      </c>
      <c r="Z105" s="52" t="e">
        <f>Y105/$X$7*100</f>
        <v>#DIV/0!</v>
      </c>
      <c r="AA105" s="3"/>
      <c r="AB105" s="62">
        <f>G105+N105+U105</f>
        <v>13</v>
      </c>
      <c r="AC105" s="52">
        <f>AB105*100/$AC$5</f>
        <v>16.666666666666668</v>
      </c>
      <c r="AD105" s="7"/>
      <c r="AE105" s="7"/>
      <c r="AF105" s="9" t="str">
        <f t="shared" si="146"/>
        <v>c) Poco</v>
      </c>
      <c r="AG105" s="72">
        <f>J105</f>
        <v>13.636363636363635</v>
      </c>
      <c r="AH105" s="72">
        <f>L105</f>
        <v>22.222222222222221</v>
      </c>
      <c r="AI105" s="73">
        <f>H105</f>
        <v>17.5</v>
      </c>
      <c r="AJ105" s="73"/>
      <c r="AK105" s="76">
        <f>Q105</f>
        <v>15.384615384615385</v>
      </c>
      <c r="AL105" s="76">
        <f>S105</f>
        <v>16</v>
      </c>
      <c r="AM105" s="76">
        <f>O105</f>
        <v>15.789473684210526</v>
      </c>
      <c r="AN105" s="76"/>
      <c r="AO105" s="81" t="e">
        <f>X105</f>
        <v>#DIV/0!</v>
      </c>
      <c r="AP105" s="81" t="e">
        <f>Z105</f>
        <v>#DIV/0!</v>
      </c>
      <c r="AQ105" s="81" t="e">
        <f>V105</f>
        <v>#DIV/0!</v>
      </c>
      <c r="AR105" s="7"/>
      <c r="AS105" s="76">
        <f t="shared" si="121"/>
        <v>16.666666666666668</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ht="15" x14ac:dyDescent="0.25">
      <c r="A106" s="8" t="s">
        <v>21</v>
      </c>
      <c r="B106" s="9" t="s">
        <v>105</v>
      </c>
      <c r="C106" s="7"/>
      <c r="D106" s="7"/>
      <c r="E106" s="7"/>
      <c r="F106" s="71">
        <v>0</v>
      </c>
      <c r="G106" s="51">
        <f>I106+K106</f>
        <v>0</v>
      </c>
      <c r="H106" s="52">
        <f>G106/$J$5*100</f>
        <v>0</v>
      </c>
      <c r="I106" s="53">
        <f>COUNTIFS('00 Encuesta'!$B$2:$B$511,"*a)*",'00 Encuesta'!$C$2:$C$511,"*a)*",'00 Encuesta'!$E$2:$E$511,"*a)*",'00 Encuesta'!$O$2:$O$511,"*d)*")</f>
        <v>0</v>
      </c>
      <c r="J106" s="52">
        <f>I106/$J$6*100</f>
        <v>0</v>
      </c>
      <c r="K106" s="53">
        <f>COUNTIFS('00 Encuesta'!$B$2:$B$511,"*a)*",'00 Encuesta'!$C$2:$C$511,"*a)*",'00 Encuesta'!$E$2:$E$511,"*b)*",'00 Encuesta'!$O$2:$O$511,"*d)*")</f>
        <v>0</v>
      </c>
      <c r="L106" s="52">
        <f>K106/$J$7*100</f>
        <v>0</v>
      </c>
      <c r="M106" s="23"/>
      <c r="N106" s="51">
        <f>P106+R106</f>
        <v>1</v>
      </c>
      <c r="O106" s="52">
        <f>N106/$Q$5*100</f>
        <v>2.6315789473684208</v>
      </c>
      <c r="P106" s="53">
        <f>COUNTIFS('00 Encuesta'!$B$2:$B$511,"*a)*",'00 Encuesta'!$C$2:$C$511,"*b)*",'00 Encuesta'!$E$2:$E$511,"*a)*",'00 Encuesta'!$O$2:$O$511,"*d)*")</f>
        <v>1</v>
      </c>
      <c r="Q106" s="52">
        <f>P106/$Q$6*100</f>
        <v>7.6923076923076925</v>
      </c>
      <c r="R106" s="53">
        <f>COUNTIFS('00 Encuesta'!$B$2:$B$511,"*a)*",'00 Encuesta'!$C$2:$C$511,"*b)*",'00 Encuesta'!$E$2:$E$511,"*b)*",'00 Encuesta'!$O$2:$O$511,"*d)*")</f>
        <v>0</v>
      </c>
      <c r="S106" s="52">
        <f>R106/$Q$7*100</f>
        <v>0</v>
      </c>
      <c r="T106" s="3"/>
      <c r="U106" s="51">
        <f>W106+Y106</f>
        <v>0</v>
      </c>
      <c r="V106" s="52" t="e">
        <f>U106/$X$5*100</f>
        <v>#DIV/0!</v>
      </c>
      <c r="W106" s="53">
        <f>COUNTIFS('00 Encuesta'!$B$2:$B$511,"*a)*",'00 Encuesta'!$C$2:$C$511,"*c)*",'00 Encuesta'!$E$2:$E$511,"*a)*",'00 Encuesta'!$O$2:$O$511,"*d)*")</f>
        <v>0</v>
      </c>
      <c r="X106" s="52" t="e">
        <f>W106/$X$6*100</f>
        <v>#DIV/0!</v>
      </c>
      <c r="Y106" s="53">
        <f>COUNTIFS('00 Encuesta'!$B$2:$B$511,"*a)*",'00 Encuesta'!$C$2:$C$511,"*c)*",'00 Encuesta'!$E$2:$E$511,"*b)*",'00 Encuesta'!$O$2:$O$511,"*d)*")</f>
        <v>0</v>
      </c>
      <c r="Z106" s="52" t="e">
        <f>Y106/$X$7*100</f>
        <v>#DIV/0!</v>
      </c>
      <c r="AA106" s="3"/>
      <c r="AB106" s="62">
        <f>G106+N106+U106</f>
        <v>1</v>
      </c>
      <c r="AC106" s="52">
        <f>AB106*100/$AC$5</f>
        <v>1.2820512820512822</v>
      </c>
      <c r="AD106" s="7"/>
      <c r="AE106" s="7"/>
      <c r="AF106" s="9" t="str">
        <f t="shared" si="146"/>
        <v>d) Nada</v>
      </c>
      <c r="AG106" s="72">
        <f>J106</f>
        <v>0</v>
      </c>
      <c r="AH106" s="72">
        <f>L106</f>
        <v>0</v>
      </c>
      <c r="AI106" s="73">
        <f>H106</f>
        <v>0</v>
      </c>
      <c r="AJ106" s="73"/>
      <c r="AK106" s="76">
        <f>Q106</f>
        <v>7.6923076923076925</v>
      </c>
      <c r="AL106" s="76">
        <f>S106</f>
        <v>0</v>
      </c>
      <c r="AM106" s="76">
        <f>O106</f>
        <v>2.6315789473684208</v>
      </c>
      <c r="AN106" s="76"/>
      <c r="AO106" s="81" t="e">
        <f>X106</f>
        <v>#DIV/0!</v>
      </c>
      <c r="AP106" s="81" t="e">
        <f>Z106</f>
        <v>#DIV/0!</v>
      </c>
      <c r="AQ106" s="81" t="e">
        <f>V106</f>
        <v>#DIV/0!</v>
      </c>
      <c r="AR106" s="7"/>
      <c r="AS106" s="76">
        <f t="shared" si="121"/>
        <v>1.2820512820512822</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ht="15" x14ac:dyDescent="0.25">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f>N107/$Q$5*100</f>
        <v>0</v>
      </c>
      <c r="P107" s="53"/>
      <c r="Q107" s="52">
        <f>P107/$Q$6*100</f>
        <v>0</v>
      </c>
      <c r="R107" s="53"/>
      <c r="S107" s="52">
        <f>R107/$Q$7*100</f>
        <v>0</v>
      </c>
      <c r="T107" s="3"/>
      <c r="U107" s="51">
        <f>W107+Y107</f>
        <v>0</v>
      </c>
      <c r="V107" s="52" t="e">
        <f>U107/$X$5*100</f>
        <v>#DIV/0!</v>
      </c>
      <c r="W107" s="53"/>
      <c r="X107" s="52" t="e">
        <f>W107/$X$6*100</f>
        <v>#DIV/0!</v>
      </c>
      <c r="Y107" s="53"/>
      <c r="Z107" s="52" t="e">
        <f>Y107/$X$7*100</f>
        <v>#DIV/0!</v>
      </c>
      <c r="AA107" s="3"/>
      <c r="AB107" s="62">
        <f>G107+N107+U107</f>
        <v>0</v>
      </c>
      <c r="AC107" s="52">
        <f>AB107*100/$AC$5</f>
        <v>0</v>
      </c>
      <c r="AD107" s="7"/>
      <c r="AE107" s="7"/>
      <c r="AF107" s="9" t="str">
        <f t="shared" si="146"/>
        <v>S/R Sin Respuesta</v>
      </c>
      <c r="AG107" s="72">
        <f>J107</f>
        <v>0</v>
      </c>
      <c r="AH107" s="72">
        <f>L107</f>
        <v>0</v>
      </c>
      <c r="AI107" s="73">
        <f>H107</f>
        <v>0</v>
      </c>
      <c r="AJ107" s="73"/>
      <c r="AK107" s="76">
        <f>Q107</f>
        <v>0</v>
      </c>
      <c r="AL107" s="76">
        <f>S107</f>
        <v>0</v>
      </c>
      <c r="AM107" s="76">
        <f>O107</f>
        <v>0</v>
      </c>
      <c r="AN107" s="76"/>
      <c r="AO107" s="81" t="e">
        <f>X107</f>
        <v>#DIV/0!</v>
      </c>
      <c r="AP107" s="81" t="e">
        <f>Z107</f>
        <v>#DIV/0!</v>
      </c>
      <c r="AQ107" s="81" t="e">
        <f>V107</f>
        <v>#DIV/0!</v>
      </c>
      <c r="AR107" s="7"/>
      <c r="AS107" s="76">
        <f t="shared" si="121"/>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ht="15" x14ac:dyDescent="0.25">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76.663499999999999</v>
      </c>
      <c r="AH108" s="82">
        <f>($F103*K103+$F104*K104+$F105*K105+$F106*K106)/(+K103+K104+K105+K106)</f>
        <v>70.36666666666666</v>
      </c>
      <c r="AI108" s="82">
        <f>($F103*G103+$F104*G104+$F105*G105+$F106*G106)/(G103+G104+G105+G106)</f>
        <v>73.680789473684214</v>
      </c>
      <c r="AJ108" s="82"/>
      <c r="AK108" s="82">
        <f>($F103*P103+$F104*P104+$F105*P105+$F106*P106)/(P103+P104+P105+P106)</f>
        <v>66.663333333333327</v>
      </c>
      <c r="AL108" s="82">
        <f>($F103*R103+$F104*R104+$F105*R105+$F106*R106)/(R103+R104+R105+R106)</f>
        <v>69.44</v>
      </c>
      <c r="AM108" s="82">
        <f>($F103*N103+$F104*N104+$F105*N105+$F106*N106)/(N103+N104+N105+N106)</f>
        <v>68.51444444444445</v>
      </c>
      <c r="AN108" s="82"/>
      <c r="AO108" s="82" t="e">
        <f>($F103*W103+$F104*W104+$F105*W105+$F106*W106)/(W103+W104+W105+W106)</f>
        <v>#DIV/0!</v>
      </c>
      <c r="AP108" s="82" t="e">
        <f>($F103*Y103+$F104*Y104+$F105*Y105+$F106*Y106)/(Y103+Y104+Y105+Y106)</f>
        <v>#DIV/0!</v>
      </c>
      <c r="AQ108" s="82" t="e">
        <f>($F103*U103+$F104*U104+$F105*U105+$F106*U106)/(U103+U104+U105+U106)</f>
        <v>#DIV/0!</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ht="15" x14ac:dyDescent="0.25">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ht="15" x14ac:dyDescent="0.25">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ht="15" x14ac:dyDescent="0.25">
      <c r="A111" s="8" t="s">
        <v>17</v>
      </c>
      <c r="B111" s="9" t="s">
        <v>102</v>
      </c>
      <c r="C111" s="7"/>
      <c r="D111" s="7"/>
      <c r="E111" s="7"/>
      <c r="F111" s="71">
        <v>100</v>
      </c>
      <c r="G111" s="51">
        <f>I111+K111</f>
        <v>13</v>
      </c>
      <c r="H111" s="52">
        <f>G111/$J$5*100</f>
        <v>32.5</v>
      </c>
      <c r="I111" s="53">
        <f>COUNTIFS('00 Encuesta'!$B$2:$B$511,"*a)*",'00 Encuesta'!$C$2:$C$511,"*a)*",'00 Encuesta'!$E$2:$E$511,"*a)*",'00 Encuesta'!$P$2:$P$511,"*a)*")</f>
        <v>9</v>
      </c>
      <c r="J111" s="52">
        <f>I111/$J$6*100</f>
        <v>40.909090909090914</v>
      </c>
      <c r="K111" s="53">
        <f>COUNTIFS('00 Encuesta'!$B$2:$B$511,"*a)*",'00 Encuesta'!$C$2:$C$511,"*a)*",'00 Encuesta'!$E$2:$E$511,"*b)*",'00 Encuesta'!$P$2:$P$511,"*a)*")</f>
        <v>4</v>
      </c>
      <c r="L111" s="52">
        <f>K111/$J$7*100</f>
        <v>22.222222222222221</v>
      </c>
      <c r="M111" s="23"/>
      <c r="N111" s="51">
        <f>P111+R111</f>
        <v>6</v>
      </c>
      <c r="O111" s="52">
        <f>N111/$Q$5*100</f>
        <v>15.789473684210526</v>
      </c>
      <c r="P111" s="53">
        <f>COUNTIFS('00 Encuesta'!$B$2:$B$511,"*a)*",'00 Encuesta'!$C$2:$C$511,"*b)*",'00 Encuesta'!$E$2:$E$511,"*a)*",'00 Encuesta'!$P$2:$P$511,"*a)*")</f>
        <v>4</v>
      </c>
      <c r="Q111" s="52">
        <f>P111/$Q$6*100</f>
        <v>30.76923076923077</v>
      </c>
      <c r="R111" s="53">
        <f>COUNTIFS('00 Encuesta'!$B$2:$B$511,"*a)*",'00 Encuesta'!$C$2:$C$511,"*b)*",'00 Encuesta'!$E$2:$E$511,"*b)*",'00 Encuesta'!$P$2:$P$511,"*a)*")</f>
        <v>2</v>
      </c>
      <c r="S111" s="52">
        <f>R111/$Q$7*100</f>
        <v>8</v>
      </c>
      <c r="T111" s="3"/>
      <c r="U111" s="51">
        <f>W111+Y111</f>
        <v>0</v>
      </c>
      <c r="V111" s="52" t="e">
        <f>U111/$X$5*100</f>
        <v>#DIV/0!</v>
      </c>
      <c r="W111" s="53">
        <f>COUNTIFS('00 Encuesta'!$B$2:$B$511,"*a)*",'00 Encuesta'!$C$2:$C$511,"*c)*",'00 Encuesta'!$E$2:$E$511,"*a)*",'00 Encuesta'!$P$2:$P$511,"*a)*")</f>
        <v>0</v>
      </c>
      <c r="X111" s="52" t="e">
        <f>W111/$X$6*100</f>
        <v>#DIV/0!</v>
      </c>
      <c r="Y111" s="53">
        <f>COUNTIFS('00 Encuesta'!$B$2:$B$511,"*a)*",'00 Encuesta'!$C$2:$C$511,"*c)*",'00 Encuesta'!$E$2:$E$511,"*b)*",'00 Encuesta'!$P$2:$P$511,"*a)*")</f>
        <v>0</v>
      </c>
      <c r="Z111" s="52" t="e">
        <f>Y111/$X$7*100</f>
        <v>#DIV/0!</v>
      </c>
      <c r="AA111" s="3"/>
      <c r="AB111" s="62">
        <f>G111+N111+U111</f>
        <v>19</v>
      </c>
      <c r="AC111" s="52">
        <f>AB111*100/$AC$5</f>
        <v>24.358974358974358</v>
      </c>
      <c r="AD111" s="7"/>
      <c r="AE111" s="7"/>
      <c r="AF111" s="9" t="str">
        <f t="shared" si="147"/>
        <v>a) Mucho</v>
      </c>
      <c r="AG111" s="72">
        <f>J111</f>
        <v>40.909090909090914</v>
      </c>
      <c r="AH111" s="72">
        <f>L111</f>
        <v>22.222222222222221</v>
      </c>
      <c r="AI111" s="73">
        <f>H111</f>
        <v>32.5</v>
      </c>
      <c r="AJ111" s="73"/>
      <c r="AK111" s="76">
        <f>Q111</f>
        <v>30.76923076923077</v>
      </c>
      <c r="AL111" s="76">
        <f>S111</f>
        <v>8</v>
      </c>
      <c r="AM111" s="76">
        <f>O111</f>
        <v>15.789473684210526</v>
      </c>
      <c r="AN111" s="76"/>
      <c r="AO111" s="81" t="e">
        <f>X111</f>
        <v>#DIV/0!</v>
      </c>
      <c r="AP111" s="81" t="e">
        <f>Z111</f>
        <v>#DIV/0!</v>
      </c>
      <c r="AQ111" s="81" t="e">
        <f>V111</f>
        <v>#DIV/0!</v>
      </c>
      <c r="AR111" s="7"/>
      <c r="AS111" s="76">
        <f t="shared" si="121"/>
        <v>24.358974358974358</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ht="15" x14ac:dyDescent="0.25">
      <c r="A112" s="8" t="s">
        <v>18</v>
      </c>
      <c r="B112" s="9" t="s">
        <v>103</v>
      </c>
      <c r="C112" s="7"/>
      <c r="D112" s="7"/>
      <c r="E112" s="7"/>
      <c r="F112" s="71">
        <v>66.66</v>
      </c>
      <c r="G112" s="51">
        <f>I112+K112</f>
        <v>12</v>
      </c>
      <c r="H112" s="52">
        <f>G112/$J$5*100</f>
        <v>30</v>
      </c>
      <c r="I112" s="53">
        <f>COUNTIFS('00 Encuesta'!$B$2:$B$511,"*a)*",'00 Encuesta'!$C$2:$C$511,"*a)*",'00 Encuesta'!$E$2:$E$511,"*a)*",'00 Encuesta'!$P$2:$P$511,"*b)*")</f>
        <v>4</v>
      </c>
      <c r="J112" s="52">
        <f>I112/$J$6*100</f>
        <v>18.181818181818183</v>
      </c>
      <c r="K112" s="53">
        <f>COUNTIFS('00 Encuesta'!$B$2:$B$511,"*a)*",'00 Encuesta'!$C$2:$C$511,"*a)*",'00 Encuesta'!$E$2:$E$511,"*b)*",'00 Encuesta'!$P$2:$P$511,"*b)*")</f>
        <v>8</v>
      </c>
      <c r="L112" s="52">
        <f>K112/$J$7*100</f>
        <v>44.444444444444443</v>
      </c>
      <c r="M112" s="23"/>
      <c r="N112" s="51">
        <f>P112+R112</f>
        <v>20</v>
      </c>
      <c r="O112" s="52">
        <f>N112/$Q$5*100</f>
        <v>52.631578947368418</v>
      </c>
      <c r="P112" s="53">
        <f>COUNTIFS('00 Encuesta'!$B$2:$B$511,"*a)*",'00 Encuesta'!$C$2:$C$511,"*b)*",'00 Encuesta'!$E$2:$E$511,"*a)*",'00 Encuesta'!$P$2:$P$511,"*b)*")</f>
        <v>4</v>
      </c>
      <c r="Q112" s="52">
        <f>P112/$Q$6*100</f>
        <v>30.76923076923077</v>
      </c>
      <c r="R112" s="53">
        <f>COUNTIFS('00 Encuesta'!$B$2:$B$511,"*a)*",'00 Encuesta'!$C$2:$C$511,"*b)*",'00 Encuesta'!$E$2:$E$511,"*b)*",'00 Encuesta'!$P$2:$P$511,"*b)*")</f>
        <v>16</v>
      </c>
      <c r="S112" s="52">
        <f>R112/$Q$7*100</f>
        <v>64</v>
      </c>
      <c r="T112" s="3"/>
      <c r="U112" s="51">
        <f>W112+Y112</f>
        <v>0</v>
      </c>
      <c r="V112" s="52" t="e">
        <f>U112/$X$5*100</f>
        <v>#DIV/0!</v>
      </c>
      <c r="W112" s="53">
        <f>COUNTIFS('00 Encuesta'!$B$2:$B$511,"*a)*",'00 Encuesta'!$C$2:$C$511,"*c)*",'00 Encuesta'!$E$2:$E$511,"*a)*",'00 Encuesta'!$P$2:$P$511,"*b)*")</f>
        <v>0</v>
      </c>
      <c r="X112" s="52" t="e">
        <f>W112/$X$6*100</f>
        <v>#DIV/0!</v>
      </c>
      <c r="Y112" s="53">
        <f>COUNTIFS('00 Encuesta'!$B$2:$B$511,"*a)*",'00 Encuesta'!$C$2:$C$511,"*c)*",'00 Encuesta'!$E$2:$E$511,"*b)*",'00 Encuesta'!$P$2:$P$511,"*b)*")</f>
        <v>0</v>
      </c>
      <c r="Z112" s="52" t="e">
        <f>Y112/$X$7*100</f>
        <v>#DIV/0!</v>
      </c>
      <c r="AA112" s="3"/>
      <c r="AB112" s="62">
        <f>G112+N112+U112</f>
        <v>32</v>
      </c>
      <c r="AC112" s="52">
        <f>AB112*100/$AC$5</f>
        <v>41.025641025641029</v>
      </c>
      <c r="AD112" s="7"/>
      <c r="AE112" s="7"/>
      <c r="AF112" s="9" t="str">
        <f t="shared" si="147"/>
        <v>b) Suficiente</v>
      </c>
      <c r="AG112" s="72">
        <f>J112</f>
        <v>18.181818181818183</v>
      </c>
      <c r="AH112" s="72">
        <f>L112</f>
        <v>44.444444444444443</v>
      </c>
      <c r="AI112" s="73">
        <f>H112</f>
        <v>30</v>
      </c>
      <c r="AJ112" s="73"/>
      <c r="AK112" s="76">
        <f>Q112</f>
        <v>30.76923076923077</v>
      </c>
      <c r="AL112" s="76">
        <f>S112</f>
        <v>64</v>
      </c>
      <c r="AM112" s="76">
        <f>O112</f>
        <v>52.631578947368418</v>
      </c>
      <c r="AN112" s="76"/>
      <c r="AO112" s="81" t="e">
        <f>X112</f>
        <v>#DIV/0!</v>
      </c>
      <c r="AP112" s="81" t="e">
        <f>Z112</f>
        <v>#DIV/0!</v>
      </c>
      <c r="AQ112" s="81" t="e">
        <f>V112</f>
        <v>#DIV/0!</v>
      </c>
      <c r="AR112" s="7"/>
      <c r="AS112" s="76">
        <f t="shared" si="121"/>
        <v>41.025641025641029</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ht="15" x14ac:dyDescent="0.25">
      <c r="A113" s="8" t="s">
        <v>20</v>
      </c>
      <c r="B113" s="9" t="s">
        <v>104</v>
      </c>
      <c r="C113" s="7"/>
      <c r="D113" s="7"/>
      <c r="E113" s="7"/>
      <c r="F113" s="71">
        <v>33.33</v>
      </c>
      <c r="G113" s="51">
        <f>I113+K113</f>
        <v>12</v>
      </c>
      <c r="H113" s="52">
        <f>G113/$J$5*100</f>
        <v>30</v>
      </c>
      <c r="I113" s="53">
        <f>COUNTIFS('00 Encuesta'!$B$2:$B$511,"*a)*",'00 Encuesta'!$C$2:$C$511,"*a)*",'00 Encuesta'!$E$2:$E$511,"*a)*",'00 Encuesta'!$P$2:$P$511,"*c)*")</f>
        <v>9</v>
      </c>
      <c r="J113" s="52">
        <f>I113/$J$6*100</f>
        <v>40.909090909090914</v>
      </c>
      <c r="K113" s="53">
        <f>COUNTIFS('00 Encuesta'!$B$2:$B$511,"*a)*",'00 Encuesta'!$C$2:$C$511,"*a)*",'00 Encuesta'!$E$2:$E$511,"*b)*",'00 Encuesta'!$P$2:$P$511,"*c)*")</f>
        <v>3</v>
      </c>
      <c r="L113" s="52">
        <f>K113/$J$7*100</f>
        <v>16.666666666666664</v>
      </c>
      <c r="M113" s="23"/>
      <c r="N113" s="51">
        <f>P113+R113</f>
        <v>8</v>
      </c>
      <c r="O113" s="52">
        <f>N113/$Q$5*100</f>
        <v>21.052631578947366</v>
      </c>
      <c r="P113" s="53">
        <f>COUNTIFS('00 Encuesta'!$B$2:$B$511,"*a)*",'00 Encuesta'!$C$2:$C$511,"*b)*",'00 Encuesta'!$E$2:$E$511,"*a)*",'00 Encuesta'!$P$2:$P$511,"*c)*")</f>
        <v>4</v>
      </c>
      <c r="Q113" s="52">
        <f>P113/$Q$6*100</f>
        <v>30.76923076923077</v>
      </c>
      <c r="R113" s="53">
        <f>COUNTIFS('00 Encuesta'!$B$2:$B$511,"*a)*",'00 Encuesta'!$C$2:$C$511,"*b)*",'00 Encuesta'!$E$2:$E$511,"*b)*",'00 Encuesta'!$P$2:$P$511,"*c)*")</f>
        <v>4</v>
      </c>
      <c r="S113" s="52">
        <f>R113/$Q$7*100</f>
        <v>16</v>
      </c>
      <c r="T113" s="3"/>
      <c r="U113" s="51">
        <f>W113+Y113</f>
        <v>0</v>
      </c>
      <c r="V113" s="52" t="e">
        <f>U113/$X$5*100</f>
        <v>#DIV/0!</v>
      </c>
      <c r="W113" s="53">
        <f>COUNTIFS('00 Encuesta'!$B$2:$B$511,"*a)*",'00 Encuesta'!$C$2:$C$511,"*c)*",'00 Encuesta'!$E$2:$E$511,"*a)*",'00 Encuesta'!$P$2:$P$511,"*c)*")</f>
        <v>0</v>
      </c>
      <c r="X113" s="52" t="e">
        <f>W113/$X$6*100</f>
        <v>#DIV/0!</v>
      </c>
      <c r="Y113" s="53">
        <f>COUNTIFS('00 Encuesta'!$B$2:$B$511,"*a)*",'00 Encuesta'!$C$2:$C$511,"*c)*",'00 Encuesta'!$E$2:$E$511,"*b)*",'00 Encuesta'!$P$2:$P$511,"*c)*")</f>
        <v>0</v>
      </c>
      <c r="Z113" s="52" t="e">
        <f>Y113/$X$7*100</f>
        <v>#DIV/0!</v>
      </c>
      <c r="AA113" s="3"/>
      <c r="AB113" s="62">
        <f>G113+N113+U113</f>
        <v>20</v>
      </c>
      <c r="AC113" s="52">
        <f>AB113*100/$AC$5</f>
        <v>25.641025641025642</v>
      </c>
      <c r="AD113" s="7"/>
      <c r="AE113" s="7"/>
      <c r="AF113" s="9" t="str">
        <f t="shared" si="147"/>
        <v>c) Poco</v>
      </c>
      <c r="AG113" s="72">
        <f>J113</f>
        <v>40.909090909090914</v>
      </c>
      <c r="AH113" s="72">
        <f>L113</f>
        <v>16.666666666666664</v>
      </c>
      <c r="AI113" s="73">
        <f>H113</f>
        <v>30</v>
      </c>
      <c r="AJ113" s="73"/>
      <c r="AK113" s="76">
        <f>Q113</f>
        <v>30.76923076923077</v>
      </c>
      <c r="AL113" s="76">
        <f>S113</f>
        <v>16</v>
      </c>
      <c r="AM113" s="76">
        <f>O113</f>
        <v>21.052631578947366</v>
      </c>
      <c r="AN113" s="76"/>
      <c r="AO113" s="81" t="e">
        <f>X113</f>
        <v>#DIV/0!</v>
      </c>
      <c r="AP113" s="81" t="e">
        <f>Z113</f>
        <v>#DIV/0!</v>
      </c>
      <c r="AQ113" s="81" t="e">
        <f>V113</f>
        <v>#DIV/0!</v>
      </c>
      <c r="AR113" s="7"/>
      <c r="AS113" s="76">
        <f t="shared" si="121"/>
        <v>25.641025641025642</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ht="15" x14ac:dyDescent="0.25">
      <c r="A114" s="8" t="s">
        <v>21</v>
      </c>
      <c r="B114" s="9" t="s">
        <v>105</v>
      </c>
      <c r="C114" s="7"/>
      <c r="D114" s="7"/>
      <c r="E114" s="7"/>
      <c r="F114" s="71">
        <v>0</v>
      </c>
      <c r="G114" s="51">
        <f>I114+K114</f>
        <v>3</v>
      </c>
      <c r="H114" s="52">
        <f>G114/$J$5*100</f>
        <v>7.5</v>
      </c>
      <c r="I114" s="53">
        <f>COUNTIFS('00 Encuesta'!$B$2:$B$511,"*a)*",'00 Encuesta'!$C$2:$C$511,"*a)*",'00 Encuesta'!$E$2:$E$511,"*a)*",'00 Encuesta'!$P$2:$P$511,"*d)*")</f>
        <v>0</v>
      </c>
      <c r="J114" s="52">
        <f>I114/$J$6*100</f>
        <v>0</v>
      </c>
      <c r="K114" s="53">
        <f>COUNTIFS('00 Encuesta'!$B$2:$B$511,"*a)*",'00 Encuesta'!$C$2:$C$511,"*a)*",'00 Encuesta'!$E$2:$E$511,"*b)*",'00 Encuesta'!$P$2:$P$511,"*d)*")</f>
        <v>3</v>
      </c>
      <c r="L114" s="52">
        <f>K114/$J$7*100</f>
        <v>16.666666666666664</v>
      </c>
      <c r="M114" s="23"/>
      <c r="N114" s="51">
        <f>P114+R114</f>
        <v>2</v>
      </c>
      <c r="O114" s="52">
        <f>N114/$Q$5*100</f>
        <v>5.2631578947368416</v>
      </c>
      <c r="P114" s="53">
        <f>COUNTIFS('00 Encuesta'!$B$2:$B$511,"*a)*",'00 Encuesta'!$C$2:$C$511,"*b)*",'00 Encuesta'!$E$2:$E$511,"*a)*",'00 Encuesta'!$P$2:$P$511,"*d)*")</f>
        <v>1</v>
      </c>
      <c r="Q114" s="52">
        <f>P114/$Q$6*100</f>
        <v>7.6923076923076925</v>
      </c>
      <c r="R114" s="53">
        <f>COUNTIFS('00 Encuesta'!$B$2:$B$511,"*a)*",'00 Encuesta'!$C$2:$C$511,"*b)*",'00 Encuesta'!$E$2:$E$511,"*b)*",'00 Encuesta'!$P$2:$P$511,"*d)*")</f>
        <v>1</v>
      </c>
      <c r="S114" s="52">
        <f>R114/$Q$7*100</f>
        <v>4</v>
      </c>
      <c r="T114" s="3"/>
      <c r="U114" s="51">
        <f>W114+Y114</f>
        <v>0</v>
      </c>
      <c r="V114" s="52" t="e">
        <f>U114/$X$5*100</f>
        <v>#DIV/0!</v>
      </c>
      <c r="W114" s="53">
        <f>COUNTIFS('00 Encuesta'!$B$2:$B$511,"*a)*",'00 Encuesta'!$C$2:$C$511,"*c)*",'00 Encuesta'!$E$2:$E$511,"*a)*",'00 Encuesta'!$P$2:$P$511,"*d)*")</f>
        <v>0</v>
      </c>
      <c r="X114" s="52" t="e">
        <f>W114/$X$6*100</f>
        <v>#DIV/0!</v>
      </c>
      <c r="Y114" s="53">
        <f>COUNTIFS('00 Encuesta'!$B$2:$B$511,"*a)*",'00 Encuesta'!$C$2:$C$511,"*c)*",'00 Encuesta'!$E$2:$E$511,"*b)*",'00 Encuesta'!$P$2:$P$511,"*d)*")</f>
        <v>0</v>
      </c>
      <c r="Z114" s="52" t="e">
        <f>Y114/$X$7*100</f>
        <v>#DIV/0!</v>
      </c>
      <c r="AA114" s="3"/>
      <c r="AB114" s="62">
        <f>G114+N114+U114</f>
        <v>5</v>
      </c>
      <c r="AC114" s="52">
        <f>AB114*100/$AC$5</f>
        <v>6.4102564102564106</v>
      </c>
      <c r="AD114" s="7"/>
      <c r="AE114" s="7"/>
      <c r="AF114" s="9" t="str">
        <f t="shared" si="147"/>
        <v>d) Nada</v>
      </c>
      <c r="AG114" s="72">
        <f>J114</f>
        <v>0</v>
      </c>
      <c r="AH114" s="72">
        <f>L114</f>
        <v>16.666666666666664</v>
      </c>
      <c r="AI114" s="73">
        <f>H114</f>
        <v>7.5</v>
      </c>
      <c r="AJ114" s="73"/>
      <c r="AK114" s="76">
        <f>Q114</f>
        <v>7.6923076923076925</v>
      </c>
      <c r="AL114" s="76">
        <f>S114</f>
        <v>4</v>
      </c>
      <c r="AM114" s="76">
        <f>O114</f>
        <v>5.2631578947368416</v>
      </c>
      <c r="AN114" s="76"/>
      <c r="AO114" s="81" t="e">
        <f>X114</f>
        <v>#DIV/0!</v>
      </c>
      <c r="AP114" s="81" t="e">
        <f>Z114</f>
        <v>#DIV/0!</v>
      </c>
      <c r="AQ114" s="81" t="e">
        <f>V114</f>
        <v>#DIV/0!</v>
      </c>
      <c r="AR114" s="7"/>
      <c r="AS114" s="76">
        <f t="shared" si="121"/>
        <v>6.4102564102564106</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ht="15" x14ac:dyDescent="0.25">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f>N115/$Q$5*100</f>
        <v>0</v>
      </c>
      <c r="P115" s="53"/>
      <c r="Q115" s="52">
        <f>P115/$Q$6*100</f>
        <v>0</v>
      </c>
      <c r="R115" s="53"/>
      <c r="S115" s="52">
        <f>R115/$Q$7*100</f>
        <v>0</v>
      </c>
      <c r="T115" s="3"/>
      <c r="U115" s="51">
        <f>W115+Y115</f>
        <v>0</v>
      </c>
      <c r="V115" s="52" t="e">
        <f>U115/$X$5*100</f>
        <v>#DIV/0!</v>
      </c>
      <c r="W115" s="53"/>
      <c r="X115" s="52" t="e">
        <f>W115/$X$6*100</f>
        <v>#DIV/0!</v>
      </c>
      <c r="Y115" s="53"/>
      <c r="Z115" s="52" t="e">
        <f>Y115/$X$7*100</f>
        <v>#DIV/0!</v>
      </c>
      <c r="AA115" s="3"/>
      <c r="AB115" s="62">
        <f>G115+N115+U115</f>
        <v>0</v>
      </c>
      <c r="AC115" s="52">
        <f>AB115*100/$AC$5</f>
        <v>0</v>
      </c>
      <c r="AD115" s="7"/>
      <c r="AE115" s="7"/>
      <c r="AF115" s="9" t="str">
        <f t="shared" si="147"/>
        <v>S/R Sin Respuesta</v>
      </c>
      <c r="AG115" s="72">
        <f>J115</f>
        <v>0</v>
      </c>
      <c r="AH115" s="72">
        <f>L115</f>
        <v>0</v>
      </c>
      <c r="AI115" s="73">
        <f>H115</f>
        <v>0</v>
      </c>
      <c r="AJ115" s="73"/>
      <c r="AK115" s="76">
        <f>Q115</f>
        <v>0</v>
      </c>
      <c r="AL115" s="76">
        <f>S115</f>
        <v>0</v>
      </c>
      <c r="AM115" s="76">
        <f>O115</f>
        <v>0</v>
      </c>
      <c r="AN115" s="76"/>
      <c r="AO115" s="81" t="e">
        <f>X115</f>
        <v>#DIV/0!</v>
      </c>
      <c r="AP115" s="81" t="e">
        <f>Z115</f>
        <v>#DIV/0!</v>
      </c>
      <c r="AQ115" s="81" t="e">
        <f>V115</f>
        <v>#DIV/0!</v>
      </c>
      <c r="AR115" s="7"/>
      <c r="AS115" s="76">
        <f t="shared" si="121"/>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ht="15" x14ac:dyDescent="0.25">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66.664090909090902</v>
      </c>
      <c r="AH116" s="82">
        <f>($F111*K111+$F112*K112+$F113*K113+$F114*K114)/(+K111+K112+K113+K114)</f>
        <v>57.403888888888886</v>
      </c>
      <c r="AI116" s="82">
        <f>($F111*G111+$F112*G112+$F113*G113+$F114*G114)/(G111+G112+G113+G114)</f>
        <v>62.497</v>
      </c>
      <c r="AJ116" s="82"/>
      <c r="AK116" s="82">
        <f>($F111*P111+$F112*P112+$F113*P113+$F114*P114)/(P111+P112+P113+P114)</f>
        <v>61.535384615384615</v>
      </c>
      <c r="AL116" s="82">
        <f>($F111*R111+$F112*R112+$F113*R113+$F114*R114)/(R111+R112+R113+R114)</f>
        <v>60.864347826086949</v>
      </c>
      <c r="AM116" s="82">
        <f>($F111*N111+$F112*N112+$F113*N113+$F114*N114)/(N111+N112+N113+N114)</f>
        <v>61.106666666666655</v>
      </c>
      <c r="AN116" s="82"/>
      <c r="AO116" s="82" t="e">
        <f>($F111*W111+$F112*W112+$F113*W113+$F114*W114)/(W111+W112+W113+W114)</f>
        <v>#DIV/0!</v>
      </c>
      <c r="AP116" s="82" t="e">
        <f>($F111*Y111+$F112*Y112+$F113*Y113+$F114*Y114)/(Y111+Y112+Y113+Y114)</f>
        <v>#DIV/0!</v>
      </c>
      <c r="AQ116" s="82" t="e">
        <f>($F111*U111+$F112*U112+$F113*U113+$F114*U114)/(U111+U112+U113+U114)</f>
        <v>#DIV/0!</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ht="15" x14ac:dyDescent="0.25">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ht="15" x14ac:dyDescent="0.25">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ht="15" x14ac:dyDescent="0.25">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ht="15" x14ac:dyDescent="0.25">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ht="15" x14ac:dyDescent="0.25">
      <c r="A121" s="8" t="s">
        <v>17</v>
      </c>
      <c r="B121" s="9" t="s">
        <v>102</v>
      </c>
      <c r="C121" s="7"/>
      <c r="D121" s="7"/>
      <c r="E121" s="7"/>
      <c r="F121" s="71">
        <v>100</v>
      </c>
      <c r="G121" s="51">
        <f>I121+K121</f>
        <v>13</v>
      </c>
      <c r="H121" s="52">
        <f>G121/$J$5*100</f>
        <v>32.5</v>
      </c>
      <c r="I121" s="53">
        <f>COUNTIFS('00 Encuesta'!$B$2:$B$511,"*a)*",'00 Encuesta'!$C$2:$C$511,"*a)*",'00 Encuesta'!$E$2:$E$511,"*a)*",'00 Encuesta'!$Q$2:$Q$511,"*a)*")</f>
        <v>8</v>
      </c>
      <c r="J121" s="52">
        <f>I121/$J$6*100</f>
        <v>36.363636363636367</v>
      </c>
      <c r="K121" s="53">
        <f>COUNTIFS('00 Encuesta'!$B$2:$B$511,"*a)*",'00 Encuesta'!$C$2:$C$511,"*a)*",'00 Encuesta'!$E$2:$E$511,"*b)*",'00 Encuesta'!$Q$2:$Q$511,"*a)*")</f>
        <v>5</v>
      </c>
      <c r="L121" s="52">
        <f>K121/$J$7*100</f>
        <v>27.777777777777779</v>
      </c>
      <c r="M121" s="23"/>
      <c r="N121" s="51">
        <f>P121+R121</f>
        <v>5</v>
      </c>
      <c r="O121" s="52">
        <f>N121/$Q$5*100</f>
        <v>13.157894736842104</v>
      </c>
      <c r="P121" s="53">
        <f>COUNTIFS('00 Encuesta'!$B$2:$B$511,"*a)*",'00 Encuesta'!$C$2:$C$511,"*b)*",'00 Encuesta'!$E$2:$E$511,"*a)*",'00 Encuesta'!$Q$2:$Q$511,"*a)*")</f>
        <v>1</v>
      </c>
      <c r="Q121" s="52">
        <f>P121/$Q$6*100</f>
        <v>7.6923076923076925</v>
      </c>
      <c r="R121" s="53">
        <f>COUNTIFS('00 Encuesta'!$B$2:$B$511,"*a)*",'00 Encuesta'!$C$2:$C$511,"*b)*",'00 Encuesta'!$E$2:$E$511,"*b)*",'00 Encuesta'!$Q$2:$Q$511,"*a)*")</f>
        <v>4</v>
      </c>
      <c r="S121" s="52">
        <f>R121/$Q$7*100</f>
        <v>16</v>
      </c>
      <c r="T121" s="3"/>
      <c r="U121" s="51">
        <f>W121+Y121</f>
        <v>0</v>
      </c>
      <c r="V121" s="52" t="e">
        <f>U121/$X$5*100</f>
        <v>#DIV/0!</v>
      </c>
      <c r="W121" s="53">
        <f>COUNTIFS('00 Encuesta'!$B$2:$B$511,"*a)*",'00 Encuesta'!$C$2:$C$511,"*c)*",'00 Encuesta'!$E$2:$E$511,"*a)*",'00 Encuesta'!$Q$2:$Q$511,"*a)*")</f>
        <v>0</v>
      </c>
      <c r="X121" s="52" t="e">
        <f>W121/$X$6*100</f>
        <v>#DIV/0!</v>
      </c>
      <c r="Y121" s="53">
        <f>COUNTIFS('00 Encuesta'!$B$2:$B$511,"*a)*",'00 Encuesta'!$C$2:$C$511,"*c)*",'00 Encuesta'!$E$2:$E$511,"*b)*",'00 Encuesta'!$Q$2:$Q$511,"*a)*")</f>
        <v>0</v>
      </c>
      <c r="Z121" s="52" t="e">
        <f>Y121/$X$7*100</f>
        <v>#DIV/0!</v>
      </c>
      <c r="AA121" s="3"/>
      <c r="AB121" s="62">
        <f>G121+N121+U121</f>
        <v>18</v>
      </c>
      <c r="AC121" s="52">
        <f>AB121*100/$AC$5</f>
        <v>23.076923076923077</v>
      </c>
      <c r="AD121" s="7"/>
      <c r="AE121" s="7"/>
      <c r="AF121" s="9" t="str">
        <f t="shared" si="148"/>
        <v>a) Mucho</v>
      </c>
      <c r="AG121" s="72">
        <f>J121</f>
        <v>36.363636363636367</v>
      </c>
      <c r="AH121" s="72">
        <f>L121</f>
        <v>27.777777777777779</v>
      </c>
      <c r="AI121" s="73">
        <f>H121</f>
        <v>32.5</v>
      </c>
      <c r="AJ121" s="73"/>
      <c r="AK121" s="76">
        <f>Q121</f>
        <v>7.6923076923076925</v>
      </c>
      <c r="AL121" s="76">
        <f>S121</f>
        <v>16</v>
      </c>
      <c r="AM121" s="76">
        <f>O121</f>
        <v>13.157894736842104</v>
      </c>
      <c r="AN121" s="76"/>
      <c r="AO121" s="81" t="e">
        <f>X121</f>
        <v>#DIV/0!</v>
      </c>
      <c r="AP121" s="81" t="e">
        <f>Z121</f>
        <v>#DIV/0!</v>
      </c>
      <c r="AQ121" s="81" t="e">
        <f>V121</f>
        <v>#DIV/0!</v>
      </c>
      <c r="AR121" s="7"/>
      <c r="AS121" s="76">
        <f t="shared" si="121"/>
        <v>23.076923076923077</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ht="15" x14ac:dyDescent="0.25">
      <c r="A122" s="8" t="s">
        <v>18</v>
      </c>
      <c r="B122" s="9" t="s">
        <v>103</v>
      </c>
      <c r="C122" s="7"/>
      <c r="D122" s="7"/>
      <c r="E122" s="7"/>
      <c r="F122" s="71">
        <v>66.66</v>
      </c>
      <c r="G122" s="51">
        <f>I122+K122</f>
        <v>14</v>
      </c>
      <c r="H122" s="52">
        <f>G122/$J$5*100</f>
        <v>35</v>
      </c>
      <c r="I122" s="53">
        <f>COUNTIFS('00 Encuesta'!$B$2:$B$511,"*a)*",'00 Encuesta'!$C$2:$C$511,"*a)*",'00 Encuesta'!$E$2:$E$511,"*a)*",'00 Encuesta'!$Q$2:$Q$511,"*b)*")</f>
        <v>7</v>
      </c>
      <c r="J122" s="52">
        <f>I122/$J$6*100</f>
        <v>31.818181818181817</v>
      </c>
      <c r="K122" s="53">
        <f>COUNTIFS('00 Encuesta'!$B$2:$B$511,"*a)*",'00 Encuesta'!$C$2:$C$511,"*a)*",'00 Encuesta'!$E$2:$E$511,"*b)*",'00 Encuesta'!$Q$2:$Q$511,"*b)*")</f>
        <v>7</v>
      </c>
      <c r="L122" s="52">
        <f>K122/$J$7*100</f>
        <v>38.888888888888893</v>
      </c>
      <c r="M122" s="23"/>
      <c r="N122" s="51">
        <f>P122+R122</f>
        <v>16</v>
      </c>
      <c r="O122" s="52">
        <f>N122/$Q$5*100</f>
        <v>42.105263157894733</v>
      </c>
      <c r="P122" s="53">
        <f>COUNTIFS('00 Encuesta'!$B$2:$B$511,"*a)*",'00 Encuesta'!$C$2:$C$511,"*b)*",'00 Encuesta'!$E$2:$E$511,"*a)*",'00 Encuesta'!$Q$2:$Q$511,"*b)*")</f>
        <v>2</v>
      </c>
      <c r="Q122" s="52">
        <f>P122/$Q$6*100</f>
        <v>15.384615384615385</v>
      </c>
      <c r="R122" s="53">
        <f>COUNTIFS('00 Encuesta'!$B$2:$B$511,"*a)*",'00 Encuesta'!$C$2:$C$511,"*b)*",'00 Encuesta'!$E$2:$E$511,"*b)*",'00 Encuesta'!$Q$2:$Q$511,"*b)*")</f>
        <v>14</v>
      </c>
      <c r="S122" s="52">
        <f>R122/$Q$7*100</f>
        <v>56.000000000000007</v>
      </c>
      <c r="T122" s="3"/>
      <c r="U122" s="51">
        <f>W122+Y122</f>
        <v>0</v>
      </c>
      <c r="V122" s="52" t="e">
        <f>U122/$X$5*100</f>
        <v>#DIV/0!</v>
      </c>
      <c r="W122" s="53">
        <f>COUNTIFS('00 Encuesta'!$B$2:$B$511,"*a)*",'00 Encuesta'!$C$2:$C$511,"*c)*",'00 Encuesta'!$E$2:$E$511,"*a)*",'00 Encuesta'!$Q$2:$Q$511,"*b)*")</f>
        <v>0</v>
      </c>
      <c r="X122" s="52" t="e">
        <f>W122/$X$6*100</f>
        <v>#DIV/0!</v>
      </c>
      <c r="Y122" s="53">
        <f>COUNTIFS('00 Encuesta'!$B$2:$B$511,"*a)*",'00 Encuesta'!$C$2:$C$511,"*c)*",'00 Encuesta'!$E$2:$E$511,"*b)*",'00 Encuesta'!$Q$2:$Q$511,"*b)*")</f>
        <v>0</v>
      </c>
      <c r="Z122" s="52" t="e">
        <f>Y122/$X$7*100</f>
        <v>#DIV/0!</v>
      </c>
      <c r="AA122" s="3"/>
      <c r="AB122" s="62">
        <f>G122+N122+U122</f>
        <v>30</v>
      </c>
      <c r="AC122" s="52">
        <f>AB122*100/$AC$5</f>
        <v>38.46153846153846</v>
      </c>
      <c r="AD122" s="7"/>
      <c r="AE122" s="7"/>
      <c r="AF122" s="9" t="str">
        <f t="shared" si="148"/>
        <v>b) Suficiente</v>
      </c>
      <c r="AG122" s="72">
        <f>J122</f>
        <v>31.818181818181817</v>
      </c>
      <c r="AH122" s="72">
        <f>L122</f>
        <v>38.888888888888893</v>
      </c>
      <c r="AI122" s="73">
        <f>H122</f>
        <v>35</v>
      </c>
      <c r="AJ122" s="73"/>
      <c r="AK122" s="76">
        <f>Q122</f>
        <v>15.384615384615385</v>
      </c>
      <c r="AL122" s="76">
        <f>S122</f>
        <v>56.000000000000007</v>
      </c>
      <c r="AM122" s="76">
        <f>O122</f>
        <v>42.105263157894733</v>
      </c>
      <c r="AN122" s="76"/>
      <c r="AO122" s="81" t="e">
        <f>X122</f>
        <v>#DIV/0!</v>
      </c>
      <c r="AP122" s="81" t="e">
        <f>Z122</f>
        <v>#DIV/0!</v>
      </c>
      <c r="AQ122" s="81" t="e">
        <f>V122</f>
        <v>#DIV/0!</v>
      </c>
      <c r="AR122" s="7"/>
      <c r="AS122" s="76">
        <f t="shared" si="121"/>
        <v>38.46153846153846</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ht="15" x14ac:dyDescent="0.25">
      <c r="A123" s="8" t="s">
        <v>20</v>
      </c>
      <c r="B123" s="9" t="s">
        <v>104</v>
      </c>
      <c r="C123" s="7"/>
      <c r="D123" s="7"/>
      <c r="E123" s="7"/>
      <c r="F123" s="71">
        <v>33.33</v>
      </c>
      <c r="G123" s="51">
        <f>I123+K123</f>
        <v>11</v>
      </c>
      <c r="H123" s="52">
        <f>G123/$J$5*100</f>
        <v>27.500000000000004</v>
      </c>
      <c r="I123" s="53">
        <f>COUNTIFS('00 Encuesta'!$B$2:$B$511,"*a)*",'00 Encuesta'!$C$2:$C$511,"*a)*",'00 Encuesta'!$E$2:$E$511,"*a)*",'00 Encuesta'!$Q$2:$Q$511,"*c)*")</f>
        <v>7</v>
      </c>
      <c r="J123" s="52">
        <f>I123/$J$6*100</f>
        <v>31.818181818181817</v>
      </c>
      <c r="K123" s="53">
        <f>COUNTIFS('00 Encuesta'!$B$2:$B$511,"*a)*",'00 Encuesta'!$C$2:$C$511,"*a)*",'00 Encuesta'!$E$2:$E$511,"*b)*",'00 Encuesta'!$Q$2:$Q$511,"*c)*")</f>
        <v>4</v>
      </c>
      <c r="L123" s="52">
        <f>K123/$J$7*100</f>
        <v>22.222222222222221</v>
      </c>
      <c r="M123" s="23"/>
      <c r="N123" s="51">
        <f>P123+R123</f>
        <v>14</v>
      </c>
      <c r="O123" s="52">
        <f>N123/$Q$5*100</f>
        <v>36.84210526315789</v>
      </c>
      <c r="P123" s="53">
        <f>COUNTIFS('00 Encuesta'!$B$2:$B$511,"*a)*",'00 Encuesta'!$C$2:$C$511,"*b)*",'00 Encuesta'!$E$2:$E$511,"*a)*",'00 Encuesta'!$Q$2:$Q$511,"*c)*")</f>
        <v>9</v>
      </c>
      <c r="Q123" s="52">
        <f>P123/$Q$6*100</f>
        <v>69.230769230769226</v>
      </c>
      <c r="R123" s="53">
        <f>COUNTIFS('00 Encuesta'!$B$2:$B$511,"*a)*",'00 Encuesta'!$C$2:$C$511,"*b)*",'00 Encuesta'!$E$2:$E$511,"*b)*",'00 Encuesta'!$Q$2:$Q$511,"*c)*")</f>
        <v>5</v>
      </c>
      <c r="S123" s="52">
        <f>R123/$Q$7*100</f>
        <v>20</v>
      </c>
      <c r="T123" s="3"/>
      <c r="U123" s="51">
        <f>W123+Y123</f>
        <v>0</v>
      </c>
      <c r="V123" s="52" t="e">
        <f>U123/$X$5*100</f>
        <v>#DIV/0!</v>
      </c>
      <c r="W123" s="53">
        <f>COUNTIFS('00 Encuesta'!$B$2:$B$511,"*a)*",'00 Encuesta'!$C$2:$C$511,"*c)*",'00 Encuesta'!$E$2:$E$511,"*a)*",'00 Encuesta'!$Q$2:$Q$511,"*c)*")</f>
        <v>0</v>
      </c>
      <c r="X123" s="52" t="e">
        <f>W123/$X$6*100</f>
        <v>#DIV/0!</v>
      </c>
      <c r="Y123" s="53">
        <f>COUNTIFS('00 Encuesta'!$B$2:$B$511,"*a)*",'00 Encuesta'!$C$2:$C$511,"*c)*",'00 Encuesta'!$E$2:$E$511,"*b)*",'00 Encuesta'!$Q$2:$Q$511,"*c)*")</f>
        <v>0</v>
      </c>
      <c r="Z123" s="52" t="e">
        <f>Y123/$X$7*100</f>
        <v>#DIV/0!</v>
      </c>
      <c r="AA123" s="3"/>
      <c r="AB123" s="62">
        <f>G123+N123+U123</f>
        <v>25</v>
      </c>
      <c r="AC123" s="52">
        <f>AB123*100/$AC$5</f>
        <v>32.051282051282051</v>
      </c>
      <c r="AD123" s="7"/>
      <c r="AE123" s="7"/>
      <c r="AF123" s="9" t="str">
        <f t="shared" si="148"/>
        <v>c) Poco</v>
      </c>
      <c r="AG123" s="72">
        <f>J123</f>
        <v>31.818181818181817</v>
      </c>
      <c r="AH123" s="72">
        <f>L123</f>
        <v>22.222222222222221</v>
      </c>
      <c r="AI123" s="73">
        <f>H123</f>
        <v>27.500000000000004</v>
      </c>
      <c r="AJ123" s="73"/>
      <c r="AK123" s="76">
        <f>Q123</f>
        <v>69.230769230769226</v>
      </c>
      <c r="AL123" s="76">
        <f>S123</f>
        <v>20</v>
      </c>
      <c r="AM123" s="76">
        <f>O123</f>
        <v>36.84210526315789</v>
      </c>
      <c r="AN123" s="76"/>
      <c r="AO123" s="81" t="e">
        <f>X123</f>
        <v>#DIV/0!</v>
      </c>
      <c r="AP123" s="81" t="e">
        <f>Z123</f>
        <v>#DIV/0!</v>
      </c>
      <c r="AQ123" s="81" t="e">
        <f>V123</f>
        <v>#DIV/0!</v>
      </c>
      <c r="AR123" s="7"/>
      <c r="AS123" s="76">
        <f t="shared" si="121"/>
        <v>32.051282051282051</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ht="15" x14ac:dyDescent="0.25">
      <c r="A124" s="8" t="s">
        <v>21</v>
      </c>
      <c r="B124" s="9" t="s">
        <v>105</v>
      </c>
      <c r="C124" s="7"/>
      <c r="D124" s="7"/>
      <c r="E124" s="7"/>
      <c r="F124" s="71">
        <v>0</v>
      </c>
      <c r="G124" s="51">
        <f>I124+K124</f>
        <v>2</v>
      </c>
      <c r="H124" s="52">
        <f>G124/$J$5*100</f>
        <v>5</v>
      </c>
      <c r="I124" s="53">
        <f>COUNTIFS('00 Encuesta'!$B$2:$B$511,"*a)*",'00 Encuesta'!$C$2:$C$511,"*a)*",'00 Encuesta'!$E$2:$E$511,"*a)*",'00 Encuesta'!$Q$2:$Q$511,"*d)*")</f>
        <v>0</v>
      </c>
      <c r="J124" s="52">
        <f>I124/$J$6*100</f>
        <v>0</v>
      </c>
      <c r="K124" s="53">
        <f>COUNTIFS('00 Encuesta'!$B$2:$B$511,"*a)*",'00 Encuesta'!$C$2:$C$511,"*a)*",'00 Encuesta'!$E$2:$E$511,"*b)*",'00 Encuesta'!$Q$2:$Q$511,"*d)*")</f>
        <v>2</v>
      </c>
      <c r="L124" s="52">
        <f>K124/$J$7*100</f>
        <v>11.111111111111111</v>
      </c>
      <c r="M124" s="23"/>
      <c r="N124" s="51">
        <f>P124+R124</f>
        <v>1</v>
      </c>
      <c r="O124" s="52">
        <f>N124/$Q$5*100</f>
        <v>2.6315789473684208</v>
      </c>
      <c r="P124" s="53">
        <f>COUNTIFS('00 Encuesta'!$B$2:$B$511,"*a)*",'00 Encuesta'!$C$2:$C$511,"*b)*",'00 Encuesta'!$E$2:$E$511,"*a)*",'00 Encuesta'!$Q$2:$Q$511,"*d)*")</f>
        <v>1</v>
      </c>
      <c r="Q124" s="52">
        <f>P124/$Q$6*100</f>
        <v>7.6923076923076925</v>
      </c>
      <c r="R124" s="53">
        <f>COUNTIFS('00 Encuesta'!$B$2:$B$511,"*a)*",'00 Encuesta'!$C$2:$C$511,"*b)*",'00 Encuesta'!$E$2:$E$511,"*b)*",'00 Encuesta'!$Q$2:$Q$511,"*d)*")</f>
        <v>0</v>
      </c>
      <c r="S124" s="52">
        <f>R124/$Q$7*100</f>
        <v>0</v>
      </c>
      <c r="T124" s="3"/>
      <c r="U124" s="51">
        <f>W124+Y124</f>
        <v>0</v>
      </c>
      <c r="V124" s="52" t="e">
        <f>U124/$X$5*100</f>
        <v>#DIV/0!</v>
      </c>
      <c r="W124" s="53">
        <f>COUNTIFS('00 Encuesta'!$B$2:$B$511,"*a)*",'00 Encuesta'!$C$2:$C$511,"*c)*",'00 Encuesta'!$E$2:$E$511,"*a)*",'00 Encuesta'!$Q$2:$Q$511,"*d)*")</f>
        <v>0</v>
      </c>
      <c r="X124" s="52" t="e">
        <f>W124/$X$6*100</f>
        <v>#DIV/0!</v>
      </c>
      <c r="Y124" s="53">
        <f>COUNTIFS('00 Encuesta'!$B$2:$B$511,"*a)*",'00 Encuesta'!$C$2:$C$511,"*c)*",'00 Encuesta'!$E$2:$E$511,"*b)*",'00 Encuesta'!$Q$2:$Q$511,"*d)*")</f>
        <v>0</v>
      </c>
      <c r="Z124" s="52" t="e">
        <f>Y124/$X$7*100</f>
        <v>#DIV/0!</v>
      </c>
      <c r="AA124" s="3"/>
      <c r="AB124" s="62">
        <f>G124+N124+U124</f>
        <v>3</v>
      </c>
      <c r="AC124" s="52">
        <f>AB124*100/$AC$5</f>
        <v>3.8461538461538463</v>
      </c>
      <c r="AD124" s="7"/>
      <c r="AE124" s="7"/>
      <c r="AF124" s="9" t="str">
        <f t="shared" si="148"/>
        <v>d) Nada</v>
      </c>
      <c r="AG124" s="72">
        <f>J124</f>
        <v>0</v>
      </c>
      <c r="AH124" s="72">
        <f>L124</f>
        <v>11.111111111111111</v>
      </c>
      <c r="AI124" s="73">
        <f>H124</f>
        <v>5</v>
      </c>
      <c r="AJ124" s="73"/>
      <c r="AK124" s="76">
        <f>Q124</f>
        <v>7.6923076923076925</v>
      </c>
      <c r="AL124" s="76">
        <f>S124</f>
        <v>0</v>
      </c>
      <c r="AM124" s="76">
        <f>O124</f>
        <v>2.6315789473684208</v>
      </c>
      <c r="AN124" s="76"/>
      <c r="AO124" s="81" t="e">
        <f>X124</f>
        <v>#DIV/0!</v>
      </c>
      <c r="AP124" s="81" t="e">
        <f>Z124</f>
        <v>#DIV/0!</v>
      </c>
      <c r="AQ124" s="81" t="e">
        <f>V124</f>
        <v>#DIV/0!</v>
      </c>
      <c r="AR124" s="7"/>
      <c r="AS124" s="76">
        <f t="shared" si="121"/>
        <v>3.8461538461538463</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ht="15" x14ac:dyDescent="0.25">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f>N125/$Q$5*100</f>
        <v>0</v>
      </c>
      <c r="P125" s="53"/>
      <c r="Q125" s="52">
        <f>P125/$Q$6*100</f>
        <v>0</v>
      </c>
      <c r="R125" s="53"/>
      <c r="S125" s="52">
        <f>R125/$Q$7*100</f>
        <v>0</v>
      </c>
      <c r="T125" s="3"/>
      <c r="U125" s="51">
        <f>W125+Y125</f>
        <v>0</v>
      </c>
      <c r="V125" s="52" t="e">
        <f>U125/$X$5*100</f>
        <v>#DIV/0!</v>
      </c>
      <c r="W125" s="53"/>
      <c r="X125" s="52" t="e">
        <f>W125/$X$6*100</f>
        <v>#DIV/0!</v>
      </c>
      <c r="Y125" s="53"/>
      <c r="Z125" s="52" t="e">
        <f>Y125/$X$7*100</f>
        <v>#DIV/0!</v>
      </c>
      <c r="AA125" s="3"/>
      <c r="AB125" s="62">
        <f>G125+N125+U125</f>
        <v>0</v>
      </c>
      <c r="AC125" s="52">
        <f>AB125*100/$AC$5</f>
        <v>0</v>
      </c>
      <c r="AD125" s="7"/>
      <c r="AE125" s="7"/>
      <c r="AF125" s="9" t="str">
        <f t="shared" si="148"/>
        <v>S/R Sin Respuesta</v>
      </c>
      <c r="AG125" s="72">
        <f>J125</f>
        <v>0</v>
      </c>
      <c r="AH125" s="72">
        <f>L125</f>
        <v>0</v>
      </c>
      <c r="AI125" s="73">
        <f>H125</f>
        <v>0</v>
      </c>
      <c r="AJ125" s="73"/>
      <c r="AK125" s="76">
        <f>Q125</f>
        <v>0</v>
      </c>
      <c r="AL125" s="76">
        <f>S125</f>
        <v>0</v>
      </c>
      <c r="AM125" s="76">
        <f>O125</f>
        <v>0</v>
      </c>
      <c r="AN125" s="76"/>
      <c r="AO125" s="81" t="e">
        <f>X125</f>
        <v>#DIV/0!</v>
      </c>
      <c r="AP125" s="81" t="e">
        <f>Z125</f>
        <v>#DIV/0!</v>
      </c>
      <c r="AQ125" s="81" t="e">
        <f>V125</f>
        <v>#DIV/0!</v>
      </c>
      <c r="AR125" s="7"/>
      <c r="AS125" s="76">
        <f t="shared" si="121"/>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ht="15" x14ac:dyDescent="0.25">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68.178636363636357</v>
      </c>
      <c r="AH126" s="82">
        <f>($F121*K121+$F122*K122+$F123*K123+$F124*K124)/(+K121+K122+K123+K124)</f>
        <v>61.107777777777784</v>
      </c>
      <c r="AI126" s="82">
        <f>($F121*G121+$F122*G122+$F123*G123+$F124*G124)/(G121+G122+G123+G124)</f>
        <v>64.996749999999992</v>
      </c>
      <c r="AJ126" s="82"/>
      <c r="AK126" s="82">
        <f>($F121*P121+$F122*P122+$F123*P123+$F124*P124)/(P121+P122+P123+P124)</f>
        <v>41.022307692307692</v>
      </c>
      <c r="AL126" s="82">
        <f>($F121*R121+$F122*R122+$F123*R123+$F124*R124)/(R121+R122+R123+R124)</f>
        <v>65.212608695652165</v>
      </c>
      <c r="AM126" s="82">
        <f>($F121*N121+$F122*N122+$F123*N123+$F124*N124)/(N121+N122+N123+N124)</f>
        <v>56.477222222222217</v>
      </c>
      <c r="AN126" s="82"/>
      <c r="AO126" s="82" t="e">
        <f>($F121*W121+$F122*W122+$F123*W123+$F124*W124)/(W121+W122+W123+W124)</f>
        <v>#DIV/0!</v>
      </c>
      <c r="AP126" s="82" t="e">
        <f>($F121*Y121+$F122*Y122+$F123*Y123+$F124*Y124)/(Y121+Y122+Y123+Y124)</f>
        <v>#DIV/0!</v>
      </c>
      <c r="AQ126" s="82" t="e">
        <f>($F121*U121+$F122*U122+$F123*U123+$F124*U124)/(U121+U122+U123+U124)</f>
        <v>#DIV/0!</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ht="15" x14ac:dyDescent="0.25">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ht="15" x14ac:dyDescent="0.25">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ht="15" x14ac:dyDescent="0.25">
      <c r="A130" s="8" t="s">
        <v>17</v>
      </c>
      <c r="B130" s="9" t="s">
        <v>80</v>
      </c>
      <c r="C130" s="7"/>
      <c r="D130" s="7"/>
      <c r="E130" s="7"/>
      <c r="F130" s="71"/>
      <c r="G130" s="51">
        <f t="shared" ref="G130:G140" si="149">I130+K130</f>
        <v>24</v>
      </c>
      <c r="H130" s="52">
        <f t="shared" ref="H130:H140" si="150">G130/$J$5*100</f>
        <v>60</v>
      </c>
      <c r="I130" s="53">
        <f>COUNTIFS('00 Encuesta'!$B$2:$B$511,"*a)*",'00 Encuesta'!$C$2:$C$511,"*a)*",'00 Encuesta'!$E$2:$E$511,"*a)*",'00 Encuesta'!$R$2:$R$511,"*a)*")</f>
        <v>14</v>
      </c>
      <c r="J130" s="52">
        <f t="shared" ref="J130:J140" si="151">I130/$J$6*100</f>
        <v>63.636363636363633</v>
      </c>
      <c r="K130" s="53">
        <f>COUNTIFS('00 Encuesta'!$B$2:$B$511,"*a)*",'00 Encuesta'!$C$2:$C$511,"*a)*",'00 Encuesta'!$E$2:$E$511,"*b)*",'00 Encuesta'!$R$2:$R$511,"*a)*")</f>
        <v>10</v>
      </c>
      <c r="L130" s="52">
        <f t="shared" ref="L130:L140" si="152">K130/$J$7*100</f>
        <v>55.555555555555557</v>
      </c>
      <c r="M130" s="23"/>
      <c r="N130" s="51">
        <f t="shared" ref="N130:N140" si="153">P130+R130</f>
        <v>26</v>
      </c>
      <c r="O130" s="52">
        <f t="shared" ref="O130:O140" si="154">N130/$Q$5*100</f>
        <v>68.421052631578945</v>
      </c>
      <c r="P130" s="53">
        <f>COUNTIFS('00 Encuesta'!$B$2:$B$511,"*a)*",'00 Encuesta'!$C$2:$C$511,"*b)*",'00 Encuesta'!$E$2:$E$511,"*a)*",'00 Encuesta'!$R$2:$R$511,"*a)*")</f>
        <v>11</v>
      </c>
      <c r="Q130" s="52">
        <f t="shared" ref="Q130:Q140" si="155">P130/$Q$6*100</f>
        <v>84.615384615384613</v>
      </c>
      <c r="R130" s="53">
        <f>COUNTIFS('00 Encuesta'!$B$2:$B$511,"*a)*",'00 Encuesta'!$C$2:$C$511,"*b)*",'00 Encuesta'!$E$2:$E$511,"*b)*",'00 Encuesta'!$R$2:$R$511,"*a)*")</f>
        <v>15</v>
      </c>
      <c r="S130" s="52">
        <f t="shared" ref="S130:S140" si="156">R130/$Q$7*100</f>
        <v>60</v>
      </c>
      <c r="T130" s="3"/>
      <c r="U130" s="51">
        <f t="shared" ref="U130:U140" si="157">W130+Y130</f>
        <v>0</v>
      </c>
      <c r="V130" s="52" t="e">
        <f t="shared" ref="V130:V140" si="158">U130/$X$5*100</f>
        <v>#DIV/0!</v>
      </c>
      <c r="W130" s="53">
        <f>COUNTIFS('00 Encuesta'!$B$2:$B$511,"*a)*",'00 Encuesta'!$C$2:$C$511,"*c)*",'00 Encuesta'!$E$2:$E$511,"*a)*",'00 Encuesta'!$R$2:$R$511,"*a)*")</f>
        <v>0</v>
      </c>
      <c r="X130" s="52" t="e">
        <f t="shared" ref="X130:X140" si="159">W130/$X$6*100</f>
        <v>#DIV/0!</v>
      </c>
      <c r="Y130" s="53">
        <f>COUNTIFS('00 Encuesta'!$B$2:$B$511,"*a)*",'00 Encuesta'!$C$2:$C$511,"*c)*",'00 Encuesta'!$E$2:$E$511,"*b)*",'00 Encuesta'!$R$2:$R$511,"*a)*")</f>
        <v>0</v>
      </c>
      <c r="Z130" s="52" t="e">
        <f t="shared" ref="Z130:Z140" si="160">Y130/$X$7*100</f>
        <v>#DIV/0!</v>
      </c>
      <c r="AA130" s="3"/>
      <c r="AB130" s="62">
        <f t="shared" ref="AB130:AB140" si="161">G130+N130+U130</f>
        <v>50</v>
      </c>
      <c r="AC130" s="52">
        <f t="shared" ref="AC130:AC140" si="162">AB130*100/$AC$5</f>
        <v>64.102564102564102</v>
      </c>
      <c r="AD130" s="7"/>
      <c r="AE130" s="7"/>
      <c r="AF130" s="9" t="str">
        <f t="shared" ref="AF130:AF141" si="163">A130&amp;" "&amp;B130</f>
        <v>a) La familia</v>
      </c>
      <c r="AG130" s="72">
        <f t="shared" ref="AG130:AG141" si="164">J130</f>
        <v>63.636363636363633</v>
      </c>
      <c r="AH130" s="72">
        <f t="shared" ref="AH130:AH141" si="165">L130</f>
        <v>55.555555555555557</v>
      </c>
      <c r="AI130" s="73">
        <f t="shared" ref="AI130:AI141" si="166">H130</f>
        <v>60</v>
      </c>
      <c r="AJ130" s="73"/>
      <c r="AK130" s="76">
        <f t="shared" ref="AK130:AK141" si="167">Q130</f>
        <v>84.615384615384613</v>
      </c>
      <c r="AL130" s="76">
        <f t="shared" ref="AL130:AL141" si="168">S130</f>
        <v>60</v>
      </c>
      <c r="AM130" s="76">
        <f t="shared" ref="AM130:AM141" si="169">O130</f>
        <v>68.421052631578945</v>
      </c>
      <c r="AN130" s="76"/>
      <c r="AO130" s="81" t="e">
        <f t="shared" ref="AO130:AO141" si="170">X130</f>
        <v>#DIV/0!</v>
      </c>
      <c r="AP130" s="81" t="e">
        <f t="shared" ref="AP130:AP141" si="171">Z130</f>
        <v>#DIV/0!</v>
      </c>
      <c r="AQ130" s="81" t="e">
        <f t="shared" ref="AQ130:AQ141" si="172">V130</f>
        <v>#DIV/0!</v>
      </c>
      <c r="AR130" s="7"/>
      <c r="AS130" s="76">
        <f t="shared" si="121"/>
        <v>64.102564102564102</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ht="15" x14ac:dyDescent="0.25">
      <c r="A131" s="8" t="s">
        <v>18</v>
      </c>
      <c r="B131" s="9" t="s">
        <v>81</v>
      </c>
      <c r="C131" s="7"/>
      <c r="D131" s="7"/>
      <c r="E131" s="7"/>
      <c r="F131" s="71"/>
      <c r="G131" s="51">
        <f t="shared" si="149"/>
        <v>4</v>
      </c>
      <c r="H131" s="52">
        <f t="shared" si="150"/>
        <v>10</v>
      </c>
      <c r="I131" s="53">
        <f>COUNTIFS('00 Encuesta'!$B$2:$B$511,"*a)*",'00 Encuesta'!$C$2:$C$511,"*a)*",'00 Encuesta'!$E$2:$E$511,"*a)*",'00 Encuesta'!$R$2:$R$511,"*b)*")</f>
        <v>2</v>
      </c>
      <c r="J131" s="52">
        <f t="shared" si="151"/>
        <v>9.0909090909090917</v>
      </c>
      <c r="K131" s="53">
        <f>COUNTIFS('00 Encuesta'!$B$2:$B$511,"*a)*",'00 Encuesta'!$C$2:$C$511,"*a)*",'00 Encuesta'!$E$2:$E$511,"*b)*",'00 Encuesta'!$R$2:$R$511,"*b)*")</f>
        <v>2</v>
      </c>
      <c r="L131" s="52">
        <f t="shared" si="152"/>
        <v>11.111111111111111</v>
      </c>
      <c r="M131" s="23"/>
      <c r="N131" s="51">
        <f t="shared" si="153"/>
        <v>6</v>
      </c>
      <c r="O131" s="52">
        <f t="shared" si="154"/>
        <v>15.789473684210526</v>
      </c>
      <c r="P131" s="53">
        <f>COUNTIFS('00 Encuesta'!$B$2:$B$511,"*a)*",'00 Encuesta'!$C$2:$C$511,"*b)*",'00 Encuesta'!$E$2:$E$511,"*a)*",'00 Encuesta'!$R$2:$R$511,"*b)*")</f>
        <v>3</v>
      </c>
      <c r="Q131" s="52">
        <f t="shared" si="155"/>
        <v>23.076923076923077</v>
      </c>
      <c r="R131" s="53">
        <f>COUNTIFS('00 Encuesta'!$B$2:$B$511,"*a)*",'00 Encuesta'!$C$2:$C$511,"*b)*",'00 Encuesta'!$E$2:$E$511,"*b)*",'00 Encuesta'!$R$2:$R$511,"*b)*")</f>
        <v>3</v>
      </c>
      <c r="S131" s="52">
        <f t="shared" si="156"/>
        <v>12</v>
      </c>
      <c r="T131" s="3"/>
      <c r="U131" s="51">
        <f t="shared" si="157"/>
        <v>0</v>
      </c>
      <c r="V131" s="52" t="e">
        <f t="shared" si="158"/>
        <v>#DIV/0!</v>
      </c>
      <c r="W131" s="53">
        <f>COUNTIFS('00 Encuesta'!$B$2:$B$511,"*a)*",'00 Encuesta'!$C$2:$C$511,"*c)*",'00 Encuesta'!$E$2:$E$511,"*a)*",'00 Encuesta'!$R$2:$R$511,"*b)*")</f>
        <v>0</v>
      </c>
      <c r="X131" s="52" t="e">
        <f t="shared" si="159"/>
        <v>#DIV/0!</v>
      </c>
      <c r="Y131" s="53">
        <f>COUNTIFS('00 Encuesta'!$B$2:$B$511,"*a)*",'00 Encuesta'!$C$2:$C$511,"*c)*",'00 Encuesta'!$E$2:$E$511,"*b)*",'00 Encuesta'!$R$2:$R$511,"*b)*")</f>
        <v>0</v>
      </c>
      <c r="Z131" s="52" t="e">
        <f t="shared" si="160"/>
        <v>#DIV/0!</v>
      </c>
      <c r="AA131" s="3"/>
      <c r="AB131" s="62">
        <f t="shared" si="161"/>
        <v>10</v>
      </c>
      <c r="AC131" s="52">
        <f t="shared" si="162"/>
        <v>12.820512820512821</v>
      </c>
      <c r="AD131" s="7"/>
      <c r="AE131" s="7"/>
      <c r="AF131" s="9" t="str">
        <f t="shared" si="163"/>
        <v>b) Los amigos</v>
      </c>
      <c r="AG131" s="72">
        <f t="shared" si="164"/>
        <v>9.0909090909090917</v>
      </c>
      <c r="AH131" s="72">
        <f t="shared" si="165"/>
        <v>11.111111111111111</v>
      </c>
      <c r="AI131" s="73">
        <f t="shared" si="166"/>
        <v>10</v>
      </c>
      <c r="AJ131" s="73"/>
      <c r="AK131" s="76">
        <f t="shared" si="167"/>
        <v>23.076923076923077</v>
      </c>
      <c r="AL131" s="76">
        <f t="shared" si="168"/>
        <v>12</v>
      </c>
      <c r="AM131" s="76">
        <f t="shared" si="169"/>
        <v>15.789473684210526</v>
      </c>
      <c r="AN131" s="76"/>
      <c r="AO131" s="81" t="e">
        <f t="shared" si="170"/>
        <v>#DIV/0!</v>
      </c>
      <c r="AP131" s="81" t="e">
        <f t="shared" si="171"/>
        <v>#DIV/0!</v>
      </c>
      <c r="AQ131" s="81" t="e">
        <f t="shared" si="172"/>
        <v>#DIV/0!</v>
      </c>
      <c r="AR131" s="7"/>
      <c r="AS131" s="76">
        <f t="shared" si="121"/>
        <v>12.820512820512821</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ht="15" x14ac:dyDescent="0.25">
      <c r="A132" s="8" t="s">
        <v>20</v>
      </c>
      <c r="B132" s="9" t="s">
        <v>82</v>
      </c>
      <c r="C132" s="7"/>
      <c r="D132" s="7"/>
      <c r="E132" s="7"/>
      <c r="F132" s="71"/>
      <c r="G132" s="51">
        <f t="shared" si="149"/>
        <v>29</v>
      </c>
      <c r="H132" s="52">
        <f t="shared" si="150"/>
        <v>72.5</v>
      </c>
      <c r="I132" s="53">
        <f>COUNTIFS('00 Encuesta'!$B$2:$B$511,"*a)*",'00 Encuesta'!$C$2:$C$511,"*a)*",'00 Encuesta'!$E$2:$E$511,"*a)*",'00 Encuesta'!$R$2:$R$511,"*c)*")</f>
        <v>16</v>
      </c>
      <c r="J132" s="52">
        <f t="shared" si="151"/>
        <v>72.727272727272734</v>
      </c>
      <c r="K132" s="53">
        <f>COUNTIFS('00 Encuesta'!$B$2:$B$511,"*a)*",'00 Encuesta'!$C$2:$C$511,"*a)*",'00 Encuesta'!$E$2:$E$511,"*b)*",'00 Encuesta'!$R$2:$R$511,"*c)*")</f>
        <v>13</v>
      </c>
      <c r="L132" s="52">
        <f t="shared" si="152"/>
        <v>72.222222222222214</v>
      </c>
      <c r="M132" s="23"/>
      <c r="N132" s="51">
        <f t="shared" si="153"/>
        <v>31</v>
      </c>
      <c r="O132" s="52">
        <f t="shared" si="154"/>
        <v>81.578947368421055</v>
      </c>
      <c r="P132" s="53">
        <f>COUNTIFS('00 Encuesta'!$B$2:$B$511,"*a)*",'00 Encuesta'!$C$2:$C$511,"*b)*",'00 Encuesta'!$E$2:$E$511,"*a)*",'00 Encuesta'!$R$2:$R$511,"*c)*")</f>
        <v>12</v>
      </c>
      <c r="Q132" s="52">
        <f t="shared" si="155"/>
        <v>92.307692307692307</v>
      </c>
      <c r="R132" s="53">
        <f>COUNTIFS('00 Encuesta'!$B$2:$B$511,"*a)*",'00 Encuesta'!$C$2:$C$511,"*b)*",'00 Encuesta'!$E$2:$E$511,"*b)*",'00 Encuesta'!$R$2:$R$511,"*c)*")</f>
        <v>19</v>
      </c>
      <c r="S132" s="52">
        <f t="shared" si="156"/>
        <v>76</v>
      </c>
      <c r="T132" s="3"/>
      <c r="U132" s="51">
        <f t="shared" si="157"/>
        <v>0</v>
      </c>
      <c r="V132" s="52" t="e">
        <f t="shared" si="158"/>
        <v>#DIV/0!</v>
      </c>
      <c r="W132" s="53">
        <f>COUNTIFS('00 Encuesta'!$B$2:$B$511,"*a)*",'00 Encuesta'!$C$2:$C$511,"*c)*",'00 Encuesta'!$E$2:$E$511,"*a)*",'00 Encuesta'!$R$2:$R$511,"*c)*")</f>
        <v>0</v>
      </c>
      <c r="X132" s="52" t="e">
        <f t="shared" si="159"/>
        <v>#DIV/0!</v>
      </c>
      <c r="Y132" s="53">
        <f>COUNTIFS('00 Encuesta'!$B$2:$B$511,"*a)*",'00 Encuesta'!$C$2:$C$511,"*c)*",'00 Encuesta'!$E$2:$E$511,"*b)*",'00 Encuesta'!$R$2:$R$511,"*c)*")</f>
        <v>0</v>
      </c>
      <c r="Z132" s="52" t="e">
        <f t="shared" si="160"/>
        <v>#DIV/0!</v>
      </c>
      <c r="AA132" s="3"/>
      <c r="AB132" s="62">
        <f t="shared" si="161"/>
        <v>60</v>
      </c>
      <c r="AC132" s="52">
        <f t="shared" si="162"/>
        <v>76.92307692307692</v>
      </c>
      <c r="AD132" s="7"/>
      <c r="AE132" s="7"/>
      <c r="AF132" s="9" t="str">
        <f t="shared" si="163"/>
        <v>c) Los estudios</v>
      </c>
      <c r="AG132" s="72">
        <f t="shared" si="164"/>
        <v>72.727272727272734</v>
      </c>
      <c r="AH132" s="72">
        <f t="shared" si="165"/>
        <v>72.222222222222214</v>
      </c>
      <c r="AI132" s="73">
        <f t="shared" si="166"/>
        <v>72.5</v>
      </c>
      <c r="AJ132" s="73"/>
      <c r="AK132" s="76">
        <f t="shared" si="167"/>
        <v>92.307692307692307</v>
      </c>
      <c r="AL132" s="76">
        <f t="shared" si="168"/>
        <v>76</v>
      </c>
      <c r="AM132" s="76">
        <f t="shared" si="169"/>
        <v>81.578947368421055</v>
      </c>
      <c r="AN132" s="76"/>
      <c r="AO132" s="81" t="e">
        <f t="shared" si="170"/>
        <v>#DIV/0!</v>
      </c>
      <c r="AP132" s="81" t="e">
        <f t="shared" si="171"/>
        <v>#DIV/0!</v>
      </c>
      <c r="AQ132" s="81" t="e">
        <f t="shared" si="172"/>
        <v>#DIV/0!</v>
      </c>
      <c r="AR132" s="7"/>
      <c r="AS132" s="76">
        <f t="shared" si="121"/>
        <v>76.92307692307692</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ht="15" x14ac:dyDescent="0.25">
      <c r="A133" s="8" t="s">
        <v>21</v>
      </c>
      <c r="B133" s="9" t="s">
        <v>83</v>
      </c>
      <c r="C133" s="7"/>
      <c r="D133" s="7"/>
      <c r="E133" s="7"/>
      <c r="F133" s="71"/>
      <c r="G133" s="51">
        <f t="shared" si="149"/>
        <v>11</v>
      </c>
      <c r="H133" s="52">
        <f t="shared" si="150"/>
        <v>27.500000000000004</v>
      </c>
      <c r="I133" s="53">
        <f>COUNTIFS('00 Encuesta'!$B$2:$B$511,"*a)*",'00 Encuesta'!$C$2:$C$511,"*a)*",'00 Encuesta'!$E$2:$E$511,"*a)*",'00 Encuesta'!$R$2:$R$511,"*d)*")</f>
        <v>6</v>
      </c>
      <c r="J133" s="52">
        <f t="shared" si="151"/>
        <v>27.27272727272727</v>
      </c>
      <c r="K133" s="53">
        <f>COUNTIFS('00 Encuesta'!$B$2:$B$511,"*a)*",'00 Encuesta'!$C$2:$C$511,"*a)*",'00 Encuesta'!$E$2:$E$511,"*b)*",'00 Encuesta'!$R$2:$R$511,"*d)*")</f>
        <v>5</v>
      </c>
      <c r="L133" s="52">
        <f t="shared" si="152"/>
        <v>27.777777777777779</v>
      </c>
      <c r="M133" s="23"/>
      <c r="N133" s="51">
        <f t="shared" si="153"/>
        <v>7</v>
      </c>
      <c r="O133" s="52">
        <f t="shared" si="154"/>
        <v>18.421052631578945</v>
      </c>
      <c r="P133" s="53">
        <f>COUNTIFS('00 Encuesta'!$B$2:$B$511,"*a)*",'00 Encuesta'!$C$2:$C$511,"*b)*",'00 Encuesta'!$E$2:$E$511,"*a)*",'00 Encuesta'!$R$2:$R$511,"*d)*")</f>
        <v>3</v>
      </c>
      <c r="Q133" s="52">
        <f t="shared" si="155"/>
        <v>23.076923076923077</v>
      </c>
      <c r="R133" s="53">
        <f>COUNTIFS('00 Encuesta'!$B$2:$B$511,"*a)*",'00 Encuesta'!$C$2:$C$511,"*b)*",'00 Encuesta'!$E$2:$E$511,"*b)*",'00 Encuesta'!$R$2:$R$511,"*d)*")</f>
        <v>4</v>
      </c>
      <c r="S133" s="52">
        <f t="shared" si="156"/>
        <v>16</v>
      </c>
      <c r="T133" s="3"/>
      <c r="U133" s="51">
        <f t="shared" si="157"/>
        <v>0</v>
      </c>
      <c r="V133" s="52" t="e">
        <f t="shared" si="158"/>
        <v>#DIV/0!</v>
      </c>
      <c r="W133" s="53">
        <f>COUNTIFS('00 Encuesta'!$B$2:$B$511,"*a)*",'00 Encuesta'!$C$2:$C$511,"*c)*",'00 Encuesta'!$E$2:$E$511,"*a)*",'00 Encuesta'!$R$2:$R$511,"*d)*")</f>
        <v>0</v>
      </c>
      <c r="X133" s="52" t="e">
        <f t="shared" si="159"/>
        <v>#DIV/0!</v>
      </c>
      <c r="Y133" s="53">
        <f>COUNTIFS('00 Encuesta'!$B$2:$B$511,"*a)*",'00 Encuesta'!$C$2:$C$511,"*c)*",'00 Encuesta'!$E$2:$E$511,"*b)*",'00 Encuesta'!$R$2:$R$511,"*d)*")</f>
        <v>0</v>
      </c>
      <c r="Z133" s="52" t="e">
        <f t="shared" si="160"/>
        <v>#DIV/0!</v>
      </c>
      <c r="AA133" s="3"/>
      <c r="AB133" s="62">
        <f t="shared" si="161"/>
        <v>18</v>
      </c>
      <c r="AC133" s="52">
        <f t="shared" si="162"/>
        <v>23.076923076923077</v>
      </c>
      <c r="AD133" s="7"/>
      <c r="AE133" s="7"/>
      <c r="AF133" s="9" t="str">
        <f t="shared" si="163"/>
        <v>d) El cuidado de mi cuerpo</v>
      </c>
      <c r="AG133" s="72">
        <f t="shared" si="164"/>
        <v>27.27272727272727</v>
      </c>
      <c r="AH133" s="72">
        <f t="shared" si="165"/>
        <v>27.777777777777779</v>
      </c>
      <c r="AI133" s="73">
        <f t="shared" si="166"/>
        <v>27.500000000000004</v>
      </c>
      <c r="AJ133" s="73"/>
      <c r="AK133" s="76">
        <f t="shared" si="167"/>
        <v>23.076923076923077</v>
      </c>
      <c r="AL133" s="76">
        <f t="shared" si="168"/>
        <v>16</v>
      </c>
      <c r="AM133" s="76">
        <f t="shared" si="169"/>
        <v>18.421052631578945</v>
      </c>
      <c r="AN133" s="76"/>
      <c r="AO133" s="81" t="e">
        <f t="shared" si="170"/>
        <v>#DIV/0!</v>
      </c>
      <c r="AP133" s="81" t="e">
        <f t="shared" si="171"/>
        <v>#DIV/0!</v>
      </c>
      <c r="AQ133" s="81" t="e">
        <f t="shared" si="172"/>
        <v>#DIV/0!</v>
      </c>
      <c r="AR133" s="7"/>
      <c r="AS133" s="76">
        <f t="shared" si="121"/>
        <v>23.076923076923077</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ht="15" x14ac:dyDescent="0.25">
      <c r="A134" s="8" t="s">
        <v>22</v>
      </c>
      <c r="B134" s="9" t="s">
        <v>84</v>
      </c>
      <c r="C134" s="7"/>
      <c r="D134" s="7"/>
      <c r="E134" s="7"/>
      <c r="F134" s="71"/>
      <c r="G134" s="51">
        <f t="shared" si="149"/>
        <v>7</v>
      </c>
      <c r="H134" s="52">
        <f t="shared" si="150"/>
        <v>17.5</v>
      </c>
      <c r="I134" s="53">
        <f>COUNTIFS('00 Encuesta'!$B$2:$B$511,"*a)*",'00 Encuesta'!$C$2:$C$511,"*a)*",'00 Encuesta'!$E$2:$E$511,"*a)*",'00 Encuesta'!$R$2:$R$511,"*e)*")</f>
        <v>5</v>
      </c>
      <c r="J134" s="52">
        <f t="shared" si="151"/>
        <v>22.727272727272727</v>
      </c>
      <c r="K134" s="53">
        <f>COUNTIFS('00 Encuesta'!$B$2:$B$511,"*a)*",'00 Encuesta'!$C$2:$C$511,"*a)*",'00 Encuesta'!$E$2:$E$511,"*b)*",'00 Encuesta'!$R$2:$R$511,"*e)*")</f>
        <v>2</v>
      </c>
      <c r="L134" s="52">
        <f t="shared" si="152"/>
        <v>11.111111111111111</v>
      </c>
      <c r="M134" s="23"/>
      <c r="N134" s="51">
        <f t="shared" si="153"/>
        <v>10</v>
      </c>
      <c r="O134" s="52">
        <f t="shared" si="154"/>
        <v>26.315789473684209</v>
      </c>
      <c r="P134" s="53">
        <f>COUNTIFS('00 Encuesta'!$B$2:$B$511,"*a)*",'00 Encuesta'!$C$2:$C$511,"*b)*",'00 Encuesta'!$E$2:$E$511,"*a)*",'00 Encuesta'!$R$2:$R$511,"*e)*")</f>
        <v>1</v>
      </c>
      <c r="Q134" s="52">
        <f t="shared" si="155"/>
        <v>7.6923076923076925</v>
      </c>
      <c r="R134" s="53">
        <f>COUNTIFS('00 Encuesta'!$B$2:$B$511,"*a)*",'00 Encuesta'!$C$2:$C$511,"*b)*",'00 Encuesta'!$E$2:$E$511,"*b)*",'00 Encuesta'!$R$2:$R$511,"*e)*")</f>
        <v>9</v>
      </c>
      <c r="S134" s="52">
        <f t="shared" si="156"/>
        <v>36</v>
      </c>
      <c r="T134" s="3"/>
      <c r="U134" s="51">
        <f t="shared" si="157"/>
        <v>0</v>
      </c>
      <c r="V134" s="52" t="e">
        <f t="shared" si="158"/>
        <v>#DIV/0!</v>
      </c>
      <c r="W134" s="53">
        <f>COUNTIFS('00 Encuesta'!$B$2:$B$511,"*a)*",'00 Encuesta'!$C$2:$C$511,"*c)*",'00 Encuesta'!$E$2:$E$511,"*a)*",'00 Encuesta'!$R$2:$R$511,"*e)*")</f>
        <v>0</v>
      </c>
      <c r="X134" s="52" t="e">
        <f t="shared" si="159"/>
        <v>#DIV/0!</v>
      </c>
      <c r="Y134" s="53">
        <f>COUNTIFS('00 Encuesta'!$B$2:$B$511,"*a)*",'00 Encuesta'!$C$2:$C$511,"*c)*",'00 Encuesta'!$E$2:$E$511,"*b)*",'00 Encuesta'!$R$2:$R$511,"*e)*")</f>
        <v>0</v>
      </c>
      <c r="Z134" s="52" t="e">
        <f t="shared" si="160"/>
        <v>#DIV/0!</v>
      </c>
      <c r="AA134" s="3"/>
      <c r="AB134" s="62">
        <f t="shared" si="161"/>
        <v>17</v>
      </c>
      <c r="AC134" s="52">
        <f t="shared" si="162"/>
        <v>21.794871794871796</v>
      </c>
      <c r="AD134" s="7"/>
      <c r="AE134" s="7"/>
      <c r="AF134" s="9" t="str">
        <f t="shared" si="163"/>
        <v>e) Disponer de dinero</v>
      </c>
      <c r="AG134" s="72">
        <f t="shared" si="164"/>
        <v>22.727272727272727</v>
      </c>
      <c r="AH134" s="72">
        <f t="shared" si="165"/>
        <v>11.111111111111111</v>
      </c>
      <c r="AI134" s="73">
        <f t="shared" si="166"/>
        <v>17.5</v>
      </c>
      <c r="AJ134" s="73"/>
      <c r="AK134" s="76">
        <f t="shared" si="167"/>
        <v>7.6923076923076925</v>
      </c>
      <c r="AL134" s="76">
        <f t="shared" si="168"/>
        <v>36</v>
      </c>
      <c r="AM134" s="76">
        <f t="shared" si="169"/>
        <v>26.315789473684209</v>
      </c>
      <c r="AN134" s="76"/>
      <c r="AO134" s="81" t="e">
        <f t="shared" si="170"/>
        <v>#DIV/0!</v>
      </c>
      <c r="AP134" s="81" t="e">
        <f t="shared" si="171"/>
        <v>#DIV/0!</v>
      </c>
      <c r="AQ134" s="81" t="e">
        <f t="shared" si="172"/>
        <v>#DIV/0!</v>
      </c>
      <c r="AR134" s="7"/>
      <c r="AS134" s="76">
        <f t="shared" si="121"/>
        <v>21.794871794871796</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ht="15" x14ac:dyDescent="0.25">
      <c r="A135" s="8" t="s">
        <v>45</v>
      </c>
      <c r="B135" s="9" t="s">
        <v>110</v>
      </c>
      <c r="C135" s="7"/>
      <c r="D135" s="7"/>
      <c r="E135" s="7"/>
      <c r="F135" s="71"/>
      <c r="G135" s="51">
        <f t="shared" si="149"/>
        <v>6</v>
      </c>
      <c r="H135" s="52">
        <f t="shared" si="150"/>
        <v>15</v>
      </c>
      <c r="I135" s="53">
        <f>COUNTIFS('00 Encuesta'!$B$2:$B$511,"*a)*",'00 Encuesta'!$C$2:$C$511,"*a)*",'00 Encuesta'!$E$2:$E$511,"*a)*",'00 Encuesta'!$R$2:$R$511,"*f)*")</f>
        <v>1</v>
      </c>
      <c r="J135" s="52">
        <f t="shared" si="151"/>
        <v>4.5454545454545459</v>
      </c>
      <c r="K135" s="53">
        <f>COUNTIFS('00 Encuesta'!$B$2:$B$511,"*a)*",'00 Encuesta'!$C$2:$C$511,"*a)*",'00 Encuesta'!$E$2:$E$511,"*b)*",'00 Encuesta'!$R$2:$R$511,"*f)*")</f>
        <v>5</v>
      </c>
      <c r="L135" s="52">
        <f t="shared" si="152"/>
        <v>27.777777777777779</v>
      </c>
      <c r="M135" s="23"/>
      <c r="N135" s="51">
        <f t="shared" si="153"/>
        <v>0</v>
      </c>
      <c r="O135" s="52">
        <f t="shared" si="154"/>
        <v>0</v>
      </c>
      <c r="P135" s="53">
        <f>COUNTIFS('00 Encuesta'!$B$2:$B$511,"*a)*",'00 Encuesta'!$C$2:$C$511,"*b)*",'00 Encuesta'!$E$2:$E$511,"*a)*",'00 Encuesta'!$R$2:$R$511,"*f)*")</f>
        <v>0</v>
      </c>
      <c r="Q135" s="52">
        <f t="shared" si="155"/>
        <v>0</v>
      </c>
      <c r="R135" s="53">
        <f>COUNTIFS('00 Encuesta'!$B$2:$B$511,"*a)*",'00 Encuesta'!$C$2:$C$511,"*b)*",'00 Encuesta'!$E$2:$E$511,"*b)*",'00 Encuesta'!$R$2:$R$511,"*f)*")</f>
        <v>0</v>
      </c>
      <c r="S135" s="52">
        <f t="shared" si="156"/>
        <v>0</v>
      </c>
      <c r="T135" s="3"/>
      <c r="U135" s="51">
        <f t="shared" si="157"/>
        <v>0</v>
      </c>
      <c r="V135" s="52" t="e">
        <f t="shared" si="158"/>
        <v>#DIV/0!</v>
      </c>
      <c r="W135" s="53">
        <f>COUNTIFS('00 Encuesta'!$B$2:$B$511,"*a)*",'00 Encuesta'!$C$2:$C$511,"*c)*",'00 Encuesta'!$E$2:$E$511,"*a)*",'00 Encuesta'!$R$2:$R$511,"*f)*")</f>
        <v>0</v>
      </c>
      <c r="X135" s="52" t="e">
        <f t="shared" si="159"/>
        <v>#DIV/0!</v>
      </c>
      <c r="Y135" s="53">
        <f>COUNTIFS('00 Encuesta'!$B$2:$B$511,"*a)*",'00 Encuesta'!$C$2:$C$511,"*c)*",'00 Encuesta'!$E$2:$E$511,"*b)*",'00 Encuesta'!$R$2:$R$511,"*f)*")</f>
        <v>0</v>
      </c>
      <c r="Z135" s="52" t="e">
        <f t="shared" si="160"/>
        <v>#DIV/0!</v>
      </c>
      <c r="AA135" s="3"/>
      <c r="AB135" s="62">
        <f t="shared" si="161"/>
        <v>6</v>
      </c>
      <c r="AC135" s="52">
        <f t="shared" si="162"/>
        <v>7.6923076923076925</v>
      </c>
      <c r="AD135" s="7"/>
      <c r="AE135" s="7"/>
      <c r="AF135" s="9" t="str">
        <f t="shared" si="163"/>
        <v>f) Mi fe y mi vida cristiana</v>
      </c>
      <c r="AG135" s="72">
        <f t="shared" si="164"/>
        <v>4.5454545454545459</v>
      </c>
      <c r="AH135" s="72">
        <f t="shared" si="165"/>
        <v>27.777777777777779</v>
      </c>
      <c r="AI135" s="73">
        <f t="shared" si="166"/>
        <v>15</v>
      </c>
      <c r="AJ135" s="73"/>
      <c r="AK135" s="76">
        <f t="shared" si="167"/>
        <v>0</v>
      </c>
      <c r="AL135" s="76">
        <f t="shared" si="168"/>
        <v>0</v>
      </c>
      <c r="AM135" s="76">
        <f t="shared" si="169"/>
        <v>0</v>
      </c>
      <c r="AN135" s="76"/>
      <c r="AO135" s="81" t="e">
        <f t="shared" si="170"/>
        <v>#DIV/0!</v>
      </c>
      <c r="AP135" s="81" t="e">
        <f t="shared" si="171"/>
        <v>#DIV/0!</v>
      </c>
      <c r="AQ135" s="81" t="e">
        <f t="shared" si="172"/>
        <v>#DIV/0!</v>
      </c>
      <c r="AR135" s="7"/>
      <c r="AS135" s="76">
        <f t="shared" si="121"/>
        <v>7.6923076923076925</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ht="15" x14ac:dyDescent="0.25">
      <c r="A136" s="8" t="s">
        <v>61</v>
      </c>
      <c r="B136" s="9" t="s">
        <v>86</v>
      </c>
      <c r="C136" s="7"/>
      <c r="D136" s="7"/>
      <c r="E136" s="7"/>
      <c r="F136" s="71"/>
      <c r="G136" s="51">
        <f t="shared" si="149"/>
        <v>14</v>
      </c>
      <c r="H136" s="52">
        <f t="shared" si="150"/>
        <v>35</v>
      </c>
      <c r="I136" s="53">
        <f>COUNTIFS('00 Encuesta'!$B$2:$B$511,"*a)*",'00 Encuesta'!$C$2:$C$511,"*a)*",'00 Encuesta'!$E$2:$E$511,"*a)*",'00 Encuesta'!$R$2:$R$511,"*g)*")</f>
        <v>8</v>
      </c>
      <c r="J136" s="52">
        <f t="shared" si="151"/>
        <v>36.363636363636367</v>
      </c>
      <c r="K136" s="53">
        <f>COUNTIFS('00 Encuesta'!$B$2:$B$511,"*a)*",'00 Encuesta'!$C$2:$C$511,"*a)*",'00 Encuesta'!$E$2:$E$511,"*b)*",'00 Encuesta'!$R$2:$R$511,"*g)*")</f>
        <v>6</v>
      </c>
      <c r="L136" s="52">
        <f t="shared" si="152"/>
        <v>33.333333333333329</v>
      </c>
      <c r="M136" s="23"/>
      <c r="N136" s="51">
        <f t="shared" si="153"/>
        <v>15</v>
      </c>
      <c r="O136" s="52">
        <f t="shared" si="154"/>
        <v>39.473684210526315</v>
      </c>
      <c r="P136" s="53">
        <f>COUNTIFS('00 Encuesta'!$B$2:$B$511,"*a)*",'00 Encuesta'!$C$2:$C$511,"*b)*",'00 Encuesta'!$E$2:$E$511,"*a)*",'00 Encuesta'!$R$2:$R$511,"*g)*")</f>
        <v>6</v>
      </c>
      <c r="Q136" s="52">
        <f t="shared" si="155"/>
        <v>46.153846153846153</v>
      </c>
      <c r="R136" s="53">
        <f>COUNTIFS('00 Encuesta'!$B$2:$B$511,"*a)*",'00 Encuesta'!$C$2:$C$511,"*b)*",'00 Encuesta'!$E$2:$E$511,"*b)*",'00 Encuesta'!$R$2:$R$511,"*g)*")</f>
        <v>9</v>
      </c>
      <c r="S136" s="52">
        <f t="shared" si="156"/>
        <v>36</v>
      </c>
      <c r="T136" s="3"/>
      <c r="U136" s="51">
        <f t="shared" si="157"/>
        <v>0</v>
      </c>
      <c r="V136" s="52" t="e">
        <f t="shared" si="158"/>
        <v>#DIV/0!</v>
      </c>
      <c r="W136" s="53">
        <f>COUNTIFS('00 Encuesta'!$B$2:$B$511,"*a)*",'00 Encuesta'!$C$2:$C$511,"*c)*",'00 Encuesta'!$E$2:$E$511,"*a)*",'00 Encuesta'!$R$2:$R$511,"*g)*")</f>
        <v>0</v>
      </c>
      <c r="X136" s="52" t="e">
        <f t="shared" si="159"/>
        <v>#DIV/0!</v>
      </c>
      <c r="Y136" s="53">
        <f>COUNTIFS('00 Encuesta'!$B$2:$B$511,"*a)*",'00 Encuesta'!$C$2:$C$511,"*c)*",'00 Encuesta'!$E$2:$E$511,"*b)*",'00 Encuesta'!$R$2:$R$511,"*g)*")</f>
        <v>0</v>
      </c>
      <c r="Z136" s="52" t="e">
        <f t="shared" si="160"/>
        <v>#DIV/0!</v>
      </c>
      <c r="AA136" s="3"/>
      <c r="AB136" s="62">
        <f t="shared" si="161"/>
        <v>29</v>
      </c>
      <c r="AC136" s="52">
        <f t="shared" si="162"/>
        <v>37.179487179487182</v>
      </c>
      <c r="AD136" s="7"/>
      <c r="AE136" s="7"/>
      <c r="AF136" s="9" t="str">
        <f t="shared" si="163"/>
        <v>g) La felicidad</v>
      </c>
      <c r="AG136" s="72">
        <f t="shared" si="164"/>
        <v>36.363636363636367</v>
      </c>
      <c r="AH136" s="72">
        <f t="shared" si="165"/>
        <v>33.333333333333329</v>
      </c>
      <c r="AI136" s="73">
        <f t="shared" si="166"/>
        <v>35</v>
      </c>
      <c r="AJ136" s="73"/>
      <c r="AK136" s="76">
        <f t="shared" si="167"/>
        <v>46.153846153846153</v>
      </c>
      <c r="AL136" s="76">
        <f t="shared" si="168"/>
        <v>36</v>
      </c>
      <c r="AM136" s="76">
        <f t="shared" si="169"/>
        <v>39.473684210526315</v>
      </c>
      <c r="AN136" s="76"/>
      <c r="AO136" s="81" t="e">
        <f t="shared" si="170"/>
        <v>#DIV/0!</v>
      </c>
      <c r="AP136" s="81" t="e">
        <f t="shared" si="171"/>
        <v>#DIV/0!</v>
      </c>
      <c r="AQ136" s="81" t="e">
        <f t="shared" si="172"/>
        <v>#DIV/0!</v>
      </c>
      <c r="AR136" s="7"/>
      <c r="AS136" s="76">
        <f t="shared" si="121"/>
        <v>37.179487179487182</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ht="15" x14ac:dyDescent="0.25">
      <c r="A137" s="8" t="s">
        <v>63</v>
      </c>
      <c r="B137" s="9" t="s">
        <v>87</v>
      </c>
      <c r="C137" s="7"/>
      <c r="D137" s="7"/>
      <c r="E137" s="7"/>
      <c r="F137" s="71"/>
      <c r="G137" s="51">
        <f t="shared" si="149"/>
        <v>1</v>
      </c>
      <c r="H137" s="52">
        <f t="shared" si="150"/>
        <v>2.5</v>
      </c>
      <c r="I137" s="53">
        <f>COUNTIFS('00 Encuesta'!$B$2:$B$511,"*a)*",'00 Encuesta'!$C$2:$C$511,"*a)*",'00 Encuesta'!$E$2:$E$511,"*a)*",'00 Encuesta'!$R$2:$R$511,"*h)*")</f>
        <v>0</v>
      </c>
      <c r="J137" s="52">
        <f t="shared" si="151"/>
        <v>0</v>
      </c>
      <c r="K137" s="53">
        <f>COUNTIFS('00 Encuesta'!$B$2:$B$511,"*a)*",'00 Encuesta'!$C$2:$C$511,"*a)*",'00 Encuesta'!$E$2:$E$511,"*b)*",'00 Encuesta'!$R$2:$R$511,"*h)*")</f>
        <v>1</v>
      </c>
      <c r="L137" s="52">
        <f t="shared" si="152"/>
        <v>5.5555555555555554</v>
      </c>
      <c r="M137" s="23"/>
      <c r="N137" s="51">
        <f t="shared" si="153"/>
        <v>2</v>
      </c>
      <c r="O137" s="52">
        <f t="shared" si="154"/>
        <v>5.2631578947368416</v>
      </c>
      <c r="P137" s="53">
        <f>COUNTIFS('00 Encuesta'!$B$2:$B$511,"*a)*",'00 Encuesta'!$C$2:$C$511,"*b)*",'00 Encuesta'!$E$2:$E$511,"*a)*",'00 Encuesta'!$R$2:$R$511,"*h)*")</f>
        <v>0</v>
      </c>
      <c r="Q137" s="52">
        <f t="shared" si="155"/>
        <v>0</v>
      </c>
      <c r="R137" s="53">
        <f>COUNTIFS('00 Encuesta'!$B$2:$B$511,"*a)*",'00 Encuesta'!$C$2:$C$511,"*b)*",'00 Encuesta'!$E$2:$E$511,"*b)*",'00 Encuesta'!$R$2:$R$511,"*h)*")</f>
        <v>2</v>
      </c>
      <c r="S137" s="52">
        <f t="shared" si="156"/>
        <v>8</v>
      </c>
      <c r="T137" s="3"/>
      <c r="U137" s="51">
        <f t="shared" si="157"/>
        <v>0</v>
      </c>
      <c r="V137" s="52" t="e">
        <f t="shared" si="158"/>
        <v>#DIV/0!</v>
      </c>
      <c r="W137" s="53">
        <f>COUNTIFS('00 Encuesta'!$B$2:$B$511,"*a)*",'00 Encuesta'!$C$2:$C$511,"*c)*",'00 Encuesta'!$E$2:$E$511,"*a)*",'00 Encuesta'!$R$2:$R$511,"*h)*")</f>
        <v>0</v>
      </c>
      <c r="X137" s="52" t="e">
        <f t="shared" si="159"/>
        <v>#DIV/0!</v>
      </c>
      <c r="Y137" s="53">
        <f>COUNTIFS('00 Encuesta'!$B$2:$B$511,"*a)*",'00 Encuesta'!$C$2:$C$511,"*c)*",'00 Encuesta'!$E$2:$E$511,"*b)*",'00 Encuesta'!$R$2:$R$511,"*h)*")</f>
        <v>0</v>
      </c>
      <c r="Z137" s="52" t="e">
        <f t="shared" si="160"/>
        <v>#DIV/0!</v>
      </c>
      <c r="AA137" s="3"/>
      <c r="AB137" s="62">
        <f t="shared" si="161"/>
        <v>3</v>
      </c>
      <c r="AC137" s="52">
        <f t="shared" si="162"/>
        <v>3.8461538461538463</v>
      </c>
      <c r="AD137" s="7"/>
      <c r="AE137" s="7"/>
      <c r="AF137" s="9" t="str">
        <f t="shared" si="163"/>
        <v>h) La sexualidad</v>
      </c>
      <c r="AG137" s="72">
        <f t="shared" si="164"/>
        <v>0</v>
      </c>
      <c r="AH137" s="72">
        <f t="shared" si="165"/>
        <v>5.5555555555555554</v>
      </c>
      <c r="AI137" s="73">
        <f t="shared" si="166"/>
        <v>2.5</v>
      </c>
      <c r="AJ137" s="73"/>
      <c r="AK137" s="76">
        <f t="shared" si="167"/>
        <v>0</v>
      </c>
      <c r="AL137" s="76">
        <f t="shared" si="168"/>
        <v>8</v>
      </c>
      <c r="AM137" s="76">
        <f t="shared" si="169"/>
        <v>5.2631578947368416</v>
      </c>
      <c r="AN137" s="76"/>
      <c r="AO137" s="81" t="e">
        <f t="shared" si="170"/>
        <v>#DIV/0!</v>
      </c>
      <c r="AP137" s="81" t="e">
        <f t="shared" si="171"/>
        <v>#DIV/0!</v>
      </c>
      <c r="AQ137" s="81" t="e">
        <f t="shared" si="172"/>
        <v>#DIV/0!</v>
      </c>
      <c r="AR137" s="7"/>
      <c r="AS137" s="76">
        <f t="shared" si="121"/>
        <v>3.8461538461538463</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f t="shared" si="150"/>
        <v>0</v>
      </c>
      <c r="I138" s="53">
        <f>COUNTIFS('00 Encuesta'!$B$2:$B$511,"*a)*",'00 Encuesta'!$C$2:$C$511,"*a)*",'00 Encuesta'!$E$2:$E$511,"*a)*",'00 Encuesta'!$R$2:$R$511,"*i)*")</f>
        <v>0</v>
      </c>
      <c r="J138" s="52">
        <f t="shared" si="151"/>
        <v>0</v>
      </c>
      <c r="K138" s="53">
        <f>COUNTIFS('00 Encuesta'!$B$2:$B$511,"*a)*",'00 Encuesta'!$C$2:$C$511,"*a)*",'00 Encuesta'!$E$2:$E$511,"*b)*",'00 Encuesta'!$R$2:$R$511,"*i)*")</f>
        <v>0</v>
      </c>
      <c r="L138" s="52">
        <f t="shared" si="152"/>
        <v>0</v>
      </c>
      <c r="M138" s="23"/>
      <c r="N138" s="51">
        <f t="shared" si="153"/>
        <v>2</v>
      </c>
      <c r="O138" s="52">
        <f t="shared" si="154"/>
        <v>5.2631578947368416</v>
      </c>
      <c r="P138" s="53">
        <f>COUNTIFS('00 Encuesta'!$B$2:$B$511,"*a)*",'00 Encuesta'!$C$2:$C$511,"*b)*",'00 Encuesta'!$E$2:$E$511,"*a)*",'00 Encuesta'!$R$2:$R$511,"*i)*")</f>
        <v>1</v>
      </c>
      <c r="Q138" s="52">
        <f t="shared" si="155"/>
        <v>7.6923076923076925</v>
      </c>
      <c r="R138" s="53">
        <f>COUNTIFS('00 Encuesta'!$B$2:$B$511,"*a)*",'00 Encuesta'!$C$2:$C$511,"*b)*",'00 Encuesta'!$E$2:$E$511,"*b)*",'00 Encuesta'!$R$2:$R$511,"*i)*")</f>
        <v>1</v>
      </c>
      <c r="S138" s="52">
        <f t="shared" si="156"/>
        <v>4</v>
      </c>
      <c r="T138" s="3"/>
      <c r="U138" s="51">
        <f t="shared" si="157"/>
        <v>0</v>
      </c>
      <c r="V138" s="52" t="e">
        <f t="shared" si="158"/>
        <v>#DIV/0!</v>
      </c>
      <c r="W138" s="53">
        <f>COUNTIFS('00 Encuesta'!$B$2:$B$511,"*a)*",'00 Encuesta'!$C$2:$C$511,"*c)*",'00 Encuesta'!$E$2:$E$511,"*a)*",'00 Encuesta'!$R$2:$R$511,"*i)*")</f>
        <v>0</v>
      </c>
      <c r="X138" s="52" t="e">
        <f t="shared" si="159"/>
        <v>#DIV/0!</v>
      </c>
      <c r="Y138" s="53">
        <f>COUNTIFS('00 Encuesta'!$B$2:$B$511,"*a)*",'00 Encuesta'!$C$2:$C$511,"*c)*",'00 Encuesta'!$E$2:$E$511,"*b)*",'00 Encuesta'!$R$2:$R$511,"*i)*")</f>
        <v>0</v>
      </c>
      <c r="Z138" s="52" t="e">
        <f t="shared" si="160"/>
        <v>#DIV/0!</v>
      </c>
      <c r="AA138" s="3"/>
      <c r="AB138" s="62">
        <f t="shared" si="161"/>
        <v>2</v>
      </c>
      <c r="AC138" s="52">
        <f t="shared" si="162"/>
        <v>2.5641025641025643</v>
      </c>
      <c r="AD138" s="7"/>
      <c r="AE138" s="7"/>
      <c r="AF138" s="9" t="str">
        <f t="shared" si="163"/>
        <v>i) La música</v>
      </c>
      <c r="AG138" s="72">
        <f t="shared" si="164"/>
        <v>0</v>
      </c>
      <c r="AH138" s="72">
        <f t="shared" si="165"/>
        <v>0</v>
      </c>
      <c r="AI138" s="73">
        <f t="shared" si="166"/>
        <v>0</v>
      </c>
      <c r="AJ138" s="73"/>
      <c r="AK138" s="76">
        <f t="shared" si="167"/>
        <v>7.6923076923076925</v>
      </c>
      <c r="AL138" s="76">
        <f t="shared" si="168"/>
        <v>4</v>
      </c>
      <c r="AM138" s="76">
        <f t="shared" si="169"/>
        <v>5.2631578947368416</v>
      </c>
      <c r="AN138" s="76"/>
      <c r="AO138" s="81" t="e">
        <f t="shared" si="170"/>
        <v>#DIV/0!</v>
      </c>
      <c r="AP138" s="81" t="e">
        <f t="shared" si="171"/>
        <v>#DIV/0!</v>
      </c>
      <c r="AQ138" s="81" t="e">
        <f t="shared" si="172"/>
        <v>#DIV/0!</v>
      </c>
      <c r="AR138" s="7"/>
      <c r="AS138" s="76">
        <f t="shared" si="121"/>
        <v>2.5641025641025643</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ht="15.75" x14ac:dyDescent="0.3">
      <c r="A139" s="1" t="s">
        <v>67</v>
      </c>
      <c r="B139" s="2" t="s">
        <v>89</v>
      </c>
      <c r="C139" s="3"/>
      <c r="D139" s="7"/>
      <c r="E139" s="7"/>
      <c r="F139" s="71"/>
      <c r="G139" s="51">
        <f t="shared" si="149"/>
        <v>4</v>
      </c>
      <c r="H139" s="52">
        <f t="shared" si="150"/>
        <v>10</v>
      </c>
      <c r="I139" s="53">
        <f>COUNTIFS('00 Encuesta'!$B$2:$B$511,"*a)*",'00 Encuesta'!$C$2:$C$511,"*a)*",'00 Encuesta'!$E$2:$E$511,"*a)*",'00 Encuesta'!$R$2:$R$511,"*j)*")</f>
        <v>4</v>
      </c>
      <c r="J139" s="52">
        <f t="shared" si="151"/>
        <v>18.181818181818183</v>
      </c>
      <c r="K139" s="53">
        <f>COUNTIFS('00 Encuesta'!$B$2:$B$511,"*a)*",'00 Encuesta'!$C$2:$C$511,"*a)*",'00 Encuesta'!$E$2:$E$511,"*b)*",'00 Encuesta'!$R$2:$R$511,"*j)*")</f>
        <v>0</v>
      </c>
      <c r="L139" s="52">
        <f t="shared" si="152"/>
        <v>0</v>
      </c>
      <c r="M139" s="23"/>
      <c r="N139" s="51">
        <f t="shared" si="153"/>
        <v>2</v>
      </c>
      <c r="O139" s="52">
        <f t="shared" si="154"/>
        <v>5.2631578947368416</v>
      </c>
      <c r="P139" s="53">
        <f>COUNTIFS('00 Encuesta'!$B$2:$B$511,"*a)*",'00 Encuesta'!$C$2:$C$511,"*b)*",'00 Encuesta'!$E$2:$E$511,"*a)*",'00 Encuesta'!$R$2:$R$511,"*j)*")</f>
        <v>1</v>
      </c>
      <c r="Q139" s="52">
        <f t="shared" si="155"/>
        <v>7.6923076923076925</v>
      </c>
      <c r="R139" s="53">
        <f>COUNTIFS('00 Encuesta'!$B$2:$B$511,"*a)*",'00 Encuesta'!$C$2:$C$511,"*b)*",'00 Encuesta'!$E$2:$E$511,"*b)*",'00 Encuesta'!$R$2:$R$511,"*j)*")</f>
        <v>1</v>
      </c>
      <c r="S139" s="52">
        <f t="shared" si="156"/>
        <v>4</v>
      </c>
      <c r="T139" s="3"/>
      <c r="U139" s="51">
        <f t="shared" si="157"/>
        <v>0</v>
      </c>
      <c r="V139" s="52" t="e">
        <f t="shared" si="158"/>
        <v>#DIV/0!</v>
      </c>
      <c r="W139" s="53">
        <f>COUNTIFS('00 Encuesta'!$B$2:$B$511,"*a)*",'00 Encuesta'!$C$2:$C$511,"*c)*",'00 Encuesta'!$E$2:$E$511,"*a)*",'00 Encuesta'!$R$2:$R$511,"*j)*")</f>
        <v>0</v>
      </c>
      <c r="X139" s="52" t="e">
        <f t="shared" si="159"/>
        <v>#DIV/0!</v>
      </c>
      <c r="Y139" s="53">
        <f>COUNTIFS('00 Encuesta'!$B$2:$B$511,"*a)*",'00 Encuesta'!$C$2:$C$511,"*c)*",'00 Encuesta'!$E$2:$E$511,"*b)*",'00 Encuesta'!$R$2:$R$511,"*j)*")</f>
        <v>0</v>
      </c>
      <c r="Z139" s="52" t="e">
        <f t="shared" si="160"/>
        <v>#DIV/0!</v>
      </c>
      <c r="AA139" s="3"/>
      <c r="AB139" s="62">
        <f t="shared" si="161"/>
        <v>6</v>
      </c>
      <c r="AC139" s="52">
        <f t="shared" si="162"/>
        <v>7.6923076923076925</v>
      </c>
      <c r="AD139" s="7"/>
      <c r="AE139" s="7"/>
      <c r="AF139" s="9" t="str">
        <f t="shared" si="163"/>
        <v>j) El deporte</v>
      </c>
      <c r="AG139" s="72">
        <f t="shared" si="164"/>
        <v>18.181818181818183</v>
      </c>
      <c r="AH139" s="72">
        <f t="shared" si="165"/>
        <v>0</v>
      </c>
      <c r="AI139" s="73">
        <f t="shared" si="166"/>
        <v>10</v>
      </c>
      <c r="AJ139" s="73"/>
      <c r="AK139" s="76">
        <f t="shared" si="167"/>
        <v>7.6923076923076925</v>
      </c>
      <c r="AL139" s="76">
        <f t="shared" si="168"/>
        <v>4</v>
      </c>
      <c r="AM139" s="76">
        <f t="shared" si="169"/>
        <v>5.2631578947368416</v>
      </c>
      <c r="AN139" s="76"/>
      <c r="AO139" s="81" t="e">
        <f t="shared" si="170"/>
        <v>#DIV/0!</v>
      </c>
      <c r="AP139" s="81" t="e">
        <f t="shared" si="171"/>
        <v>#DIV/0!</v>
      </c>
      <c r="AQ139" s="81" t="e">
        <f t="shared" si="172"/>
        <v>#DIV/0!</v>
      </c>
      <c r="AR139" s="7"/>
      <c r="AS139" s="76">
        <f t="shared" si="121"/>
        <v>7.6923076923076925</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ht="15" x14ac:dyDescent="0.25">
      <c r="A140" s="8" t="s">
        <v>69</v>
      </c>
      <c r="B140" s="9" t="s">
        <v>90</v>
      </c>
      <c r="C140" s="7"/>
      <c r="D140" s="7"/>
      <c r="E140" s="7"/>
      <c r="F140" s="71"/>
      <c r="G140" s="51">
        <f t="shared" si="149"/>
        <v>2</v>
      </c>
      <c r="H140" s="52">
        <f t="shared" si="150"/>
        <v>5</v>
      </c>
      <c r="I140" s="53">
        <f>COUNTIFS('00 Encuesta'!$B$2:$B$511,"*a)*",'00 Encuesta'!$C$2:$C$511,"*a)*",'00 Encuesta'!$E$2:$E$511,"*a)*",'00 Encuesta'!$R$2:$R$511,"*k)*")</f>
        <v>0</v>
      </c>
      <c r="J140" s="52">
        <f t="shared" si="151"/>
        <v>0</v>
      </c>
      <c r="K140" s="53">
        <f>COUNTIFS('00 Encuesta'!$B$2:$B$511,"*a)*",'00 Encuesta'!$C$2:$C$511,"*a)*",'00 Encuesta'!$E$2:$E$511,"*b)*",'00 Encuesta'!$R$2:$R$511,"*k)*")</f>
        <v>2</v>
      </c>
      <c r="L140" s="52">
        <f t="shared" si="152"/>
        <v>11.111111111111111</v>
      </c>
      <c r="M140" s="23"/>
      <c r="N140" s="51">
        <f t="shared" si="153"/>
        <v>1</v>
      </c>
      <c r="O140" s="52">
        <f t="shared" si="154"/>
        <v>2.6315789473684208</v>
      </c>
      <c r="P140" s="53">
        <f>COUNTIFS('00 Encuesta'!$B$2:$B$511,"*a)*",'00 Encuesta'!$C$2:$C$511,"*b)*",'00 Encuesta'!$E$2:$E$511,"*a)*",'00 Encuesta'!$R$2:$R$511,"*k)*")</f>
        <v>1</v>
      </c>
      <c r="Q140" s="52">
        <f t="shared" si="155"/>
        <v>7.6923076923076925</v>
      </c>
      <c r="R140" s="53">
        <f>COUNTIFS('00 Encuesta'!$B$2:$B$511,"*a)*",'00 Encuesta'!$C$2:$C$511,"*b)*",'00 Encuesta'!$E$2:$E$511,"*b)*",'00 Encuesta'!$R$2:$R$511,"*k)*")</f>
        <v>0</v>
      </c>
      <c r="S140" s="52">
        <f t="shared" si="156"/>
        <v>0</v>
      </c>
      <c r="T140" s="3"/>
      <c r="U140" s="51">
        <f t="shared" si="157"/>
        <v>0</v>
      </c>
      <c r="V140" s="52" t="e">
        <f t="shared" si="158"/>
        <v>#DIV/0!</v>
      </c>
      <c r="W140" s="53">
        <f>COUNTIFS('00 Encuesta'!$B$2:$B$511,"*a)*",'00 Encuesta'!$C$2:$C$511,"*c)*",'00 Encuesta'!$E$2:$E$511,"*a)*",'00 Encuesta'!$R$2:$R$511,"*k)*")</f>
        <v>0</v>
      </c>
      <c r="X140" s="52" t="e">
        <f t="shared" si="159"/>
        <v>#DIV/0!</v>
      </c>
      <c r="Y140" s="53">
        <f>COUNTIFS('00 Encuesta'!$B$2:$B$511,"*a)*",'00 Encuesta'!$C$2:$C$511,"*c)*",'00 Encuesta'!$E$2:$E$511,"*b)*",'00 Encuesta'!$R$2:$R$511,"*k)*")</f>
        <v>0</v>
      </c>
      <c r="Z140" s="52" t="e">
        <f t="shared" si="160"/>
        <v>#DIV/0!</v>
      </c>
      <c r="AA140" s="3"/>
      <c r="AB140" s="62">
        <f t="shared" si="161"/>
        <v>3</v>
      </c>
      <c r="AC140" s="52">
        <f t="shared" si="162"/>
        <v>3.8461538461538463</v>
      </c>
      <c r="AD140" s="7"/>
      <c r="AE140" s="7"/>
      <c r="AF140" s="9" t="str">
        <f t="shared" si="163"/>
        <v>k) Internet</v>
      </c>
      <c r="AG140" s="72">
        <f t="shared" si="164"/>
        <v>0</v>
      </c>
      <c r="AH140" s="72">
        <f t="shared" si="165"/>
        <v>11.111111111111111</v>
      </c>
      <c r="AI140" s="73">
        <f t="shared" si="166"/>
        <v>5</v>
      </c>
      <c r="AJ140" s="73"/>
      <c r="AK140" s="76">
        <f t="shared" si="167"/>
        <v>7.6923076923076925</v>
      </c>
      <c r="AL140" s="76">
        <f t="shared" si="168"/>
        <v>0</v>
      </c>
      <c r="AM140" s="76">
        <f t="shared" si="169"/>
        <v>2.6315789473684208</v>
      </c>
      <c r="AN140" s="76"/>
      <c r="AO140" s="81" t="e">
        <f t="shared" si="170"/>
        <v>#DIV/0!</v>
      </c>
      <c r="AP140" s="81" t="e">
        <f t="shared" si="171"/>
        <v>#DIV/0!</v>
      </c>
      <c r="AQ140" s="81" t="e">
        <f t="shared" si="172"/>
        <v>#DIV/0!</v>
      </c>
      <c r="AR140" s="7"/>
      <c r="AS140" s="76">
        <f t="shared" si="121"/>
        <v>3.8461538461538463</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ht="15" x14ac:dyDescent="0.25">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ht="15" x14ac:dyDescent="0.25">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ht="15" x14ac:dyDescent="0.25">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ht="15" x14ac:dyDescent="0.25">
      <c r="A144" s="8" t="s">
        <v>17</v>
      </c>
      <c r="B144" s="9" t="s">
        <v>102</v>
      </c>
      <c r="C144" s="7"/>
      <c r="D144" s="7"/>
      <c r="E144" s="7"/>
      <c r="F144" s="71">
        <v>100</v>
      </c>
      <c r="G144" s="51">
        <f>I144+K144</f>
        <v>24</v>
      </c>
      <c r="H144" s="52">
        <f>G144/$J$5*100</f>
        <v>60</v>
      </c>
      <c r="I144" s="53">
        <f>COUNTIFS('00 Encuesta'!$B$2:$B$511,"*a)*",'00 Encuesta'!$C$2:$C$511,"*a)*",'00 Encuesta'!$E$2:$E$511,"*a)*",'00 Encuesta'!$T$2:$T$511,"*a)*")</f>
        <v>13</v>
      </c>
      <c r="J144" s="52">
        <f>I144/$J$6*100</f>
        <v>59.090909090909093</v>
      </c>
      <c r="K144" s="53">
        <f>COUNTIFS('00 Encuesta'!$B$2:$B$511,"*a)*",'00 Encuesta'!$C$2:$C$511,"*a)*",'00 Encuesta'!$E$2:$E$511,"*b)*",'00 Encuesta'!$T$2:$T$511,"*a)*")</f>
        <v>11</v>
      </c>
      <c r="L144" s="52">
        <f>K144/$J$7*100</f>
        <v>61.111111111111114</v>
      </c>
      <c r="M144" s="23"/>
      <c r="N144" s="51">
        <f>P144+R144</f>
        <v>15</v>
      </c>
      <c r="O144" s="52">
        <f>N144/$Q$5*100</f>
        <v>39.473684210526315</v>
      </c>
      <c r="P144" s="53">
        <f>COUNTIFS('00 Encuesta'!$B$2:$B$511,"*a)*",'00 Encuesta'!$C$2:$C$511,"*b)*",'00 Encuesta'!$E$2:$E$511,"*a)*",'00 Encuesta'!$T$2:$T$511,"*a)*")</f>
        <v>4</v>
      </c>
      <c r="Q144" s="52">
        <f>P144/$Q$6*100</f>
        <v>30.76923076923077</v>
      </c>
      <c r="R144" s="53">
        <f>COUNTIFS('00 Encuesta'!$B$2:$B$511,"*a)*",'00 Encuesta'!$C$2:$C$511,"*b)*",'00 Encuesta'!$E$2:$E$511,"*b)*",'00 Encuesta'!$T$2:$T$511,"*a)*")</f>
        <v>11</v>
      </c>
      <c r="S144" s="52">
        <f>R144/$Q$7*100</f>
        <v>44</v>
      </c>
      <c r="T144" s="3"/>
      <c r="U144" s="51">
        <f>W144+Y144</f>
        <v>0</v>
      </c>
      <c r="V144" s="52" t="e">
        <f>U144/$X$5*100</f>
        <v>#DIV/0!</v>
      </c>
      <c r="W144" s="53">
        <f>COUNTIFS('00 Encuesta'!$B$2:$B$511,"*a)*",'00 Encuesta'!$C$2:$C$511,"*c)*",'00 Encuesta'!$E$2:$E$511,"*a)*",'00 Encuesta'!$T$2:$T$511,"*a)*")</f>
        <v>0</v>
      </c>
      <c r="X144" s="52" t="e">
        <f>W144/$X$6*100</f>
        <v>#DIV/0!</v>
      </c>
      <c r="Y144" s="53">
        <f>COUNTIFS('00 Encuesta'!$B$2:$B$511,"*a)*",'00 Encuesta'!$C$2:$C$511,"*c)*",'00 Encuesta'!$E$2:$E$511,"*b)*",'00 Encuesta'!$T$2:$T$511,"*a)*")</f>
        <v>0</v>
      </c>
      <c r="Z144" s="52" t="e">
        <f>Y144/$X$7*100</f>
        <v>#DIV/0!</v>
      </c>
      <c r="AA144" s="3"/>
      <c r="AB144" s="62">
        <f>G144+N144+U144</f>
        <v>39</v>
      </c>
      <c r="AC144" s="52">
        <f>AB144*100/$AC$5</f>
        <v>50</v>
      </c>
      <c r="AD144" s="7"/>
      <c r="AE144" s="7"/>
      <c r="AF144" s="9" t="str">
        <f t="shared" si="173"/>
        <v>a) Mucho</v>
      </c>
      <c r="AG144" s="72">
        <f>J144</f>
        <v>59.090909090909093</v>
      </c>
      <c r="AH144" s="72">
        <f>L144</f>
        <v>61.111111111111114</v>
      </c>
      <c r="AI144" s="73">
        <f>H144</f>
        <v>60</v>
      </c>
      <c r="AJ144" s="73"/>
      <c r="AK144" s="76">
        <f>Q144</f>
        <v>30.76923076923077</v>
      </c>
      <c r="AL144" s="76">
        <f>S144</f>
        <v>44</v>
      </c>
      <c r="AM144" s="76">
        <f>O144</f>
        <v>39.473684210526315</v>
      </c>
      <c r="AN144" s="76"/>
      <c r="AO144" s="81" t="e">
        <f>X144</f>
        <v>#DIV/0!</v>
      </c>
      <c r="AP144" s="81" t="e">
        <f>Z144</f>
        <v>#DIV/0!</v>
      </c>
      <c r="AQ144" s="81" t="e">
        <f>V144</f>
        <v>#DIV/0!</v>
      </c>
      <c r="AR144" s="7"/>
      <c r="AS144" s="76">
        <f t="shared" ref="AS144:AS206" si="174">AC144</f>
        <v>50</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ht="15" x14ac:dyDescent="0.25">
      <c r="A145" s="8" t="s">
        <v>18</v>
      </c>
      <c r="B145" s="9" t="s">
        <v>103</v>
      </c>
      <c r="C145" s="7"/>
      <c r="D145" s="7"/>
      <c r="E145" s="7"/>
      <c r="F145" s="71">
        <v>66.66</v>
      </c>
      <c r="G145" s="51">
        <f>I145+K145</f>
        <v>9</v>
      </c>
      <c r="H145" s="52">
        <f>G145/$J$5*100</f>
        <v>22.5</v>
      </c>
      <c r="I145" s="53">
        <f>COUNTIFS('00 Encuesta'!$B$2:$B$511,"*a)*",'00 Encuesta'!$C$2:$C$511,"*a)*",'00 Encuesta'!$E$2:$E$511,"*a)*",'00 Encuesta'!$T$2:$T$511,"*b)*")</f>
        <v>6</v>
      </c>
      <c r="J145" s="52">
        <f>I145/$J$6*100</f>
        <v>27.27272727272727</v>
      </c>
      <c r="K145" s="53">
        <f>COUNTIFS('00 Encuesta'!$B$2:$B$511,"*a)*",'00 Encuesta'!$C$2:$C$511,"*a)*",'00 Encuesta'!$E$2:$E$511,"*b)*",'00 Encuesta'!$T$2:$T$511,"*b)*")</f>
        <v>3</v>
      </c>
      <c r="L145" s="52">
        <f>K145/$J$7*100</f>
        <v>16.666666666666664</v>
      </c>
      <c r="M145" s="23"/>
      <c r="N145" s="51">
        <f>P145+R145</f>
        <v>17</v>
      </c>
      <c r="O145" s="52">
        <f>N145/$Q$5*100</f>
        <v>44.736842105263158</v>
      </c>
      <c r="P145" s="53">
        <f>COUNTIFS('00 Encuesta'!$B$2:$B$511,"*a)*",'00 Encuesta'!$C$2:$C$511,"*b)*",'00 Encuesta'!$E$2:$E$511,"*a)*",'00 Encuesta'!$T$2:$T$511,"*b)*")</f>
        <v>7</v>
      </c>
      <c r="Q145" s="52">
        <f>P145/$Q$6*100</f>
        <v>53.846153846153847</v>
      </c>
      <c r="R145" s="53">
        <f>COUNTIFS('00 Encuesta'!$B$2:$B$511,"*a)*",'00 Encuesta'!$C$2:$C$511,"*b)*",'00 Encuesta'!$E$2:$E$511,"*b)*",'00 Encuesta'!$T$2:$T$511,"*b)*")</f>
        <v>10</v>
      </c>
      <c r="S145" s="52">
        <f>R145/$Q$7*100</f>
        <v>40</v>
      </c>
      <c r="T145" s="3"/>
      <c r="U145" s="51">
        <f>W145+Y145</f>
        <v>0</v>
      </c>
      <c r="V145" s="52" t="e">
        <f>U145/$X$5*100</f>
        <v>#DIV/0!</v>
      </c>
      <c r="W145" s="53">
        <f>COUNTIFS('00 Encuesta'!$B$2:$B$511,"*a)*",'00 Encuesta'!$C$2:$C$511,"*c)*",'00 Encuesta'!$E$2:$E$511,"*a)*",'00 Encuesta'!$T$2:$T$511,"*b)*")</f>
        <v>0</v>
      </c>
      <c r="X145" s="52" t="e">
        <f>W145/$X$6*100</f>
        <v>#DIV/0!</v>
      </c>
      <c r="Y145" s="53">
        <f>COUNTIFS('00 Encuesta'!$B$2:$B$511,"*a)*",'00 Encuesta'!$C$2:$C$511,"*c)*",'00 Encuesta'!$E$2:$E$511,"*b)*",'00 Encuesta'!$T$2:$T$511,"*b)*")</f>
        <v>0</v>
      </c>
      <c r="Z145" s="52" t="e">
        <f>Y145/$X$7*100</f>
        <v>#DIV/0!</v>
      </c>
      <c r="AA145" s="3"/>
      <c r="AB145" s="62">
        <f>G145+N145+U145</f>
        <v>26</v>
      </c>
      <c r="AC145" s="52">
        <f>AB145*100/$AC$5</f>
        <v>33.333333333333336</v>
      </c>
      <c r="AD145" s="7"/>
      <c r="AE145" s="7"/>
      <c r="AF145" s="9" t="str">
        <f t="shared" si="173"/>
        <v>b) Suficiente</v>
      </c>
      <c r="AG145" s="72">
        <f>J145</f>
        <v>27.27272727272727</v>
      </c>
      <c r="AH145" s="72">
        <f>L145</f>
        <v>16.666666666666664</v>
      </c>
      <c r="AI145" s="73">
        <f>H145</f>
        <v>22.5</v>
      </c>
      <c r="AJ145" s="73"/>
      <c r="AK145" s="76">
        <f>Q145</f>
        <v>53.846153846153847</v>
      </c>
      <c r="AL145" s="76">
        <f>S145</f>
        <v>40</v>
      </c>
      <c r="AM145" s="76">
        <f>O145</f>
        <v>44.736842105263158</v>
      </c>
      <c r="AN145" s="76"/>
      <c r="AO145" s="81" t="e">
        <f>X145</f>
        <v>#DIV/0!</v>
      </c>
      <c r="AP145" s="81" t="e">
        <f>Z145</f>
        <v>#DIV/0!</v>
      </c>
      <c r="AQ145" s="81" t="e">
        <f>V145</f>
        <v>#DIV/0!</v>
      </c>
      <c r="AR145" s="7"/>
      <c r="AS145" s="76">
        <f t="shared" si="174"/>
        <v>33.333333333333336</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ht="15" x14ac:dyDescent="0.25">
      <c r="A146" s="8" t="s">
        <v>20</v>
      </c>
      <c r="B146" s="9" t="s">
        <v>104</v>
      </c>
      <c r="C146" s="7"/>
      <c r="D146" s="7"/>
      <c r="E146" s="7"/>
      <c r="F146" s="71">
        <v>33.33</v>
      </c>
      <c r="G146" s="51">
        <f>I146+K146</f>
        <v>3</v>
      </c>
      <c r="H146" s="52">
        <f>G146/$J$5*100</f>
        <v>7.5</v>
      </c>
      <c r="I146" s="53">
        <f>COUNTIFS('00 Encuesta'!$B$2:$B$511,"*a)*",'00 Encuesta'!$C$2:$C$511,"*a)*",'00 Encuesta'!$E$2:$E$511,"*a)*",'00 Encuesta'!$T$2:$T$511,"*c)*")</f>
        <v>1</v>
      </c>
      <c r="J146" s="52">
        <f>I146/$J$6*100</f>
        <v>4.5454545454545459</v>
      </c>
      <c r="K146" s="53">
        <f>COUNTIFS('00 Encuesta'!$B$2:$B$511,"*a)*",'00 Encuesta'!$C$2:$C$511,"*a)*",'00 Encuesta'!$E$2:$E$511,"*b)*",'00 Encuesta'!$T$2:$T$511,"*c)*")</f>
        <v>2</v>
      </c>
      <c r="L146" s="52">
        <f>K146/$J$7*100</f>
        <v>11.111111111111111</v>
      </c>
      <c r="M146" s="23"/>
      <c r="N146" s="51">
        <f>P146+R146</f>
        <v>4</v>
      </c>
      <c r="O146" s="52">
        <f>N146/$Q$5*100</f>
        <v>10.526315789473683</v>
      </c>
      <c r="P146" s="53">
        <f>COUNTIFS('00 Encuesta'!$B$2:$B$511,"*a)*",'00 Encuesta'!$C$2:$C$511,"*b)*",'00 Encuesta'!$E$2:$E$511,"*a)*",'00 Encuesta'!$T$2:$T$511,"*c)*")</f>
        <v>2</v>
      </c>
      <c r="Q146" s="52">
        <f>P146/$Q$6*100</f>
        <v>15.384615384615385</v>
      </c>
      <c r="R146" s="53">
        <f>COUNTIFS('00 Encuesta'!$B$2:$B$511,"*a)*",'00 Encuesta'!$C$2:$C$511,"*b)*",'00 Encuesta'!$E$2:$E$511,"*b)*",'00 Encuesta'!$T$2:$T$511,"*c)*")</f>
        <v>2</v>
      </c>
      <c r="S146" s="52">
        <f>R146/$Q$7*100</f>
        <v>8</v>
      </c>
      <c r="T146" s="3"/>
      <c r="U146" s="51">
        <f>W146+Y146</f>
        <v>0</v>
      </c>
      <c r="V146" s="52" t="e">
        <f>U146/$X$5*100</f>
        <v>#DIV/0!</v>
      </c>
      <c r="W146" s="53">
        <f>COUNTIFS('00 Encuesta'!$B$2:$B$511,"*a)*",'00 Encuesta'!$C$2:$C$511,"*c)*",'00 Encuesta'!$E$2:$E$511,"*a)*",'00 Encuesta'!$T$2:$T$511,"*c)*")</f>
        <v>0</v>
      </c>
      <c r="X146" s="52" t="e">
        <f>W146/$X$6*100</f>
        <v>#DIV/0!</v>
      </c>
      <c r="Y146" s="53">
        <f>COUNTIFS('00 Encuesta'!$B$2:$B$511,"*a)*",'00 Encuesta'!$C$2:$C$511,"*c)*",'00 Encuesta'!$E$2:$E$511,"*b)*",'00 Encuesta'!$T$2:$T$511,"*c)*")</f>
        <v>0</v>
      </c>
      <c r="Z146" s="52" t="e">
        <f>Y146/$X$7*100</f>
        <v>#DIV/0!</v>
      </c>
      <c r="AA146" s="3"/>
      <c r="AB146" s="62">
        <f>G146+N146+U146</f>
        <v>7</v>
      </c>
      <c r="AC146" s="52">
        <f>AB146*100/$AC$5</f>
        <v>8.9743589743589745</v>
      </c>
      <c r="AD146" s="7"/>
      <c r="AE146" s="7"/>
      <c r="AF146" s="9" t="str">
        <f t="shared" si="173"/>
        <v>c) Poco</v>
      </c>
      <c r="AG146" s="72">
        <f>J146</f>
        <v>4.5454545454545459</v>
      </c>
      <c r="AH146" s="72">
        <f>L146</f>
        <v>11.111111111111111</v>
      </c>
      <c r="AI146" s="73">
        <f>H146</f>
        <v>7.5</v>
      </c>
      <c r="AJ146" s="73"/>
      <c r="AK146" s="76">
        <f>Q146</f>
        <v>15.384615384615385</v>
      </c>
      <c r="AL146" s="76">
        <f>S146</f>
        <v>8</v>
      </c>
      <c r="AM146" s="76">
        <f>O146</f>
        <v>10.526315789473683</v>
      </c>
      <c r="AN146" s="76"/>
      <c r="AO146" s="81" t="e">
        <f>X146</f>
        <v>#DIV/0!</v>
      </c>
      <c r="AP146" s="81" t="e">
        <f>Z146</f>
        <v>#DIV/0!</v>
      </c>
      <c r="AQ146" s="81" t="e">
        <f>V146</f>
        <v>#DIV/0!</v>
      </c>
      <c r="AR146" s="7"/>
      <c r="AS146" s="76">
        <f t="shared" si="174"/>
        <v>8.9743589743589745</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ht="15" x14ac:dyDescent="0.25">
      <c r="A147" s="8" t="s">
        <v>21</v>
      </c>
      <c r="B147" s="9" t="s">
        <v>105</v>
      </c>
      <c r="C147" s="7"/>
      <c r="D147" s="7"/>
      <c r="E147" s="7"/>
      <c r="F147" s="71">
        <v>0</v>
      </c>
      <c r="G147" s="51">
        <f>I147+K147</f>
        <v>3</v>
      </c>
      <c r="H147" s="52">
        <f>G147/$J$5*100</f>
        <v>7.5</v>
      </c>
      <c r="I147" s="53">
        <f>COUNTIFS('00 Encuesta'!$B$2:$B$511,"*a)*",'00 Encuesta'!$C$2:$C$511,"*a)*",'00 Encuesta'!$E$2:$E$511,"*a)*",'00 Encuesta'!$T$2:$T$511,"*d)*")</f>
        <v>1</v>
      </c>
      <c r="J147" s="52">
        <f>I147/$J$6*100</f>
        <v>4.5454545454545459</v>
      </c>
      <c r="K147" s="53">
        <f>COUNTIFS('00 Encuesta'!$B$2:$B$511,"*a)*",'00 Encuesta'!$C$2:$C$511,"*a)*",'00 Encuesta'!$E$2:$E$511,"*b)*",'00 Encuesta'!$T$2:$T$511,"*d)*")</f>
        <v>2</v>
      </c>
      <c r="L147" s="52">
        <f>K147/$J$7*100</f>
        <v>11.111111111111111</v>
      </c>
      <c r="M147" s="23"/>
      <c r="N147" s="51">
        <f>P147+R147</f>
        <v>0</v>
      </c>
      <c r="O147" s="52">
        <f>N147/$Q$5*100</f>
        <v>0</v>
      </c>
      <c r="P147" s="53">
        <f>COUNTIFS('00 Encuesta'!$B$2:$B$511,"*a)*",'00 Encuesta'!$C$2:$C$511,"*b)*",'00 Encuesta'!$E$2:$E$511,"*a)*",'00 Encuesta'!$T$2:$T$511,"*d)*")</f>
        <v>0</v>
      </c>
      <c r="Q147" s="52">
        <f>P147/$Q$6*100</f>
        <v>0</v>
      </c>
      <c r="R147" s="53">
        <f>COUNTIFS('00 Encuesta'!$B$2:$B$511,"*a)*",'00 Encuesta'!$C$2:$C$511,"*b)*",'00 Encuesta'!$E$2:$E$511,"*b)*",'00 Encuesta'!$T$2:$T$511,"*d)*")</f>
        <v>0</v>
      </c>
      <c r="S147" s="52">
        <f>R147/$Q$7*100</f>
        <v>0</v>
      </c>
      <c r="T147" s="3"/>
      <c r="U147" s="51">
        <f>W147+Y147</f>
        <v>0</v>
      </c>
      <c r="V147" s="52" t="e">
        <f>U147/$X$5*100</f>
        <v>#DIV/0!</v>
      </c>
      <c r="W147" s="53">
        <f>COUNTIFS('00 Encuesta'!$B$2:$B$511,"*a)*",'00 Encuesta'!$C$2:$C$511,"*c)*",'00 Encuesta'!$E$2:$E$511,"*a)*",'00 Encuesta'!$T$2:$T$511,"*d)*")</f>
        <v>0</v>
      </c>
      <c r="X147" s="52" t="e">
        <f>W147/$X$6*100</f>
        <v>#DIV/0!</v>
      </c>
      <c r="Y147" s="53">
        <f>COUNTIFS('00 Encuesta'!$B$2:$B$511,"*a)*",'00 Encuesta'!$C$2:$C$511,"*c)*",'00 Encuesta'!$E$2:$E$511,"*b)*",'00 Encuesta'!$T$2:$T$511,"*d)*")</f>
        <v>0</v>
      </c>
      <c r="Z147" s="52" t="e">
        <f>Y147/$X$7*100</f>
        <v>#DIV/0!</v>
      </c>
      <c r="AA147" s="3"/>
      <c r="AB147" s="62">
        <f>G147+N147+U147</f>
        <v>3</v>
      </c>
      <c r="AC147" s="52">
        <f>AB147*100/$AC$5</f>
        <v>3.8461538461538463</v>
      </c>
      <c r="AD147" s="7"/>
      <c r="AE147" s="7"/>
      <c r="AF147" s="9" t="str">
        <f t="shared" si="173"/>
        <v>d) Nada</v>
      </c>
      <c r="AG147" s="72">
        <f>J147</f>
        <v>4.5454545454545459</v>
      </c>
      <c r="AH147" s="72">
        <f>L147</f>
        <v>11.111111111111111</v>
      </c>
      <c r="AI147" s="73">
        <f>H147</f>
        <v>7.5</v>
      </c>
      <c r="AJ147" s="73"/>
      <c r="AK147" s="76">
        <f>Q147</f>
        <v>0</v>
      </c>
      <c r="AL147" s="76">
        <f>S147</f>
        <v>0</v>
      </c>
      <c r="AM147" s="76">
        <f>O147</f>
        <v>0</v>
      </c>
      <c r="AN147" s="76"/>
      <c r="AO147" s="81" t="e">
        <f>X147</f>
        <v>#DIV/0!</v>
      </c>
      <c r="AP147" s="81" t="e">
        <f>Z147</f>
        <v>#DIV/0!</v>
      </c>
      <c r="AQ147" s="81" t="e">
        <f>V147</f>
        <v>#DIV/0!</v>
      </c>
      <c r="AR147" s="7"/>
      <c r="AS147" s="76">
        <f t="shared" si="174"/>
        <v>3.8461538461538463</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ht="15" x14ac:dyDescent="0.25">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f>N148/$Q$5*100</f>
        <v>0</v>
      </c>
      <c r="P148" s="53"/>
      <c r="Q148" s="52">
        <f>P148/$Q$6*100</f>
        <v>0</v>
      </c>
      <c r="R148" s="53"/>
      <c r="S148" s="52">
        <f>R148/$Q$7*100</f>
        <v>0</v>
      </c>
      <c r="T148" s="3"/>
      <c r="U148" s="51">
        <f>W148+Y148</f>
        <v>0</v>
      </c>
      <c r="V148" s="52" t="e">
        <f>U148/$X$5*100</f>
        <v>#DIV/0!</v>
      </c>
      <c r="W148" s="53"/>
      <c r="X148" s="52" t="e">
        <f>W148/$X$6*100</f>
        <v>#DIV/0!</v>
      </c>
      <c r="Y148" s="53"/>
      <c r="Z148" s="52" t="e">
        <f>Y148/$X$7*100</f>
        <v>#DIV/0!</v>
      </c>
      <c r="AA148" s="3"/>
      <c r="AB148" s="62">
        <f>G148+N148+U148</f>
        <v>0</v>
      </c>
      <c r="AC148" s="52">
        <f>AB148*100/$AC$5</f>
        <v>0</v>
      </c>
      <c r="AD148" s="7"/>
      <c r="AE148" s="7"/>
      <c r="AF148" s="9" t="str">
        <f t="shared" si="173"/>
        <v>S/R Sin Respuesta</v>
      </c>
      <c r="AG148" s="72">
        <f>J148</f>
        <v>0</v>
      </c>
      <c r="AH148" s="72">
        <f>L148</f>
        <v>0</v>
      </c>
      <c r="AI148" s="73">
        <f>H148</f>
        <v>0</v>
      </c>
      <c r="AJ148" s="73"/>
      <c r="AK148" s="76">
        <f>Q148</f>
        <v>0</v>
      </c>
      <c r="AL148" s="76">
        <f>S148</f>
        <v>0</v>
      </c>
      <c r="AM148" s="76">
        <f>O148</f>
        <v>0</v>
      </c>
      <c r="AN148" s="76"/>
      <c r="AO148" s="81" t="e">
        <f>X148</f>
        <v>#DIV/0!</v>
      </c>
      <c r="AP148" s="81" t="e">
        <f>Z148</f>
        <v>#DIV/0!</v>
      </c>
      <c r="AQ148" s="81" t="e">
        <f>V148</f>
        <v>#DIV/0!</v>
      </c>
      <c r="AR148" s="7"/>
      <c r="AS148" s="76">
        <f t="shared" si="174"/>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ht="15" x14ac:dyDescent="0.25">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82.537619047619046</v>
      </c>
      <c r="AH149" s="82">
        <f>($F144*K144+$F145*K145+$F146*K146+$F147*K147)/(+K144+K145+K146+K147)</f>
        <v>75.924444444444447</v>
      </c>
      <c r="AI149" s="82">
        <f>($F144*G144+$F145*G145+$F146*G146+$F147*G147)/(G144+G145+G146+G147)</f>
        <v>79.485384615384618</v>
      </c>
      <c r="AJ149" s="82"/>
      <c r="AK149" s="82">
        <f>($F144*P144+$F145*P145+$F146*P146+$F147*P147)/(P144+P145+P146+P147)</f>
        <v>71.790769230769229</v>
      </c>
      <c r="AL149" s="82">
        <f>($F144*R144+$F145*R145+$F146*R146+$F147*R147)/(R144+R145+R146+R147)</f>
        <v>79.70695652173913</v>
      </c>
      <c r="AM149" s="82">
        <f>($F144*N144+$F145*N145+$F146*N146+$F147*N147)/(N144+N145+N146+N147)</f>
        <v>76.848333333333343</v>
      </c>
      <c r="AN149" s="82"/>
      <c r="AO149" s="82" t="e">
        <f>($F144*W144+$F145*W145+$F146*W146+$F147*W147)/(W144+W145+W146+W147)</f>
        <v>#DIV/0!</v>
      </c>
      <c r="AP149" s="82" t="e">
        <f>($F144*Y144+$F145*Y145+$F146*Y146+$F147*Y147)/(Y144+Y145+Y146+Y147)</f>
        <v>#DIV/0!</v>
      </c>
      <c r="AQ149" s="82" t="e">
        <f>($F144*U144+$F145*U145+$F146*U146+$F147*U147)/(U144+U145+U146+U147)</f>
        <v>#DIV/0!</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ht="15" x14ac:dyDescent="0.25">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ht="15" x14ac:dyDescent="0.25">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ht="15" x14ac:dyDescent="0.25">
      <c r="A153" s="8" t="s">
        <v>17</v>
      </c>
      <c r="B153" s="9" t="s">
        <v>114</v>
      </c>
      <c r="C153" s="7"/>
      <c r="D153" s="7"/>
      <c r="E153" s="7"/>
      <c r="F153" s="71"/>
      <c r="G153" s="51">
        <f t="shared" ref="G153:G164" si="175">I153+K153</f>
        <v>24</v>
      </c>
      <c r="H153" s="52">
        <f t="shared" ref="H153:H164" si="176">G153/$J$5*100</f>
        <v>60</v>
      </c>
      <c r="I153" s="53">
        <f>COUNTIFS('00 Encuesta'!$B$2:$B$511,"*a)*",'00 Encuesta'!$C$2:$C$511,"*a)*",'00 Encuesta'!$E$2:$E$511,"*a)*",'00 Encuesta'!$U$2:$U$511,"*a)*")</f>
        <v>12</v>
      </c>
      <c r="J153" s="52">
        <f t="shared" ref="J153:J164" si="177">I153/$J$6*100</f>
        <v>54.54545454545454</v>
      </c>
      <c r="K153" s="53">
        <f>COUNTIFS('00 Encuesta'!$B$2:$B$511,"*a)*",'00 Encuesta'!$C$2:$C$511,"*a)*",'00 Encuesta'!$E$2:$E$511,"*b)*",'00 Encuesta'!$U$2:$U$511,"*a)*")</f>
        <v>12</v>
      </c>
      <c r="L153" s="52">
        <f t="shared" ref="L153:L164" si="178">K153/$J$7*100</f>
        <v>66.666666666666657</v>
      </c>
      <c r="M153" s="23"/>
      <c r="N153" s="51">
        <f t="shared" ref="N153:N164" si="179">P153+R153</f>
        <v>21</v>
      </c>
      <c r="O153" s="52">
        <f t="shared" ref="O153:O164" si="180">N153/$Q$5*100</f>
        <v>55.26315789473685</v>
      </c>
      <c r="P153" s="53">
        <f>COUNTIFS('00 Encuesta'!$B$2:$B$511,"*a)*",'00 Encuesta'!$C$2:$C$511,"*b)*",'00 Encuesta'!$E$2:$E$511,"*a)*",'00 Encuesta'!$U$2:$U$511,"*a)*")</f>
        <v>9</v>
      </c>
      <c r="Q153" s="52">
        <f t="shared" ref="Q153:Q164" si="181">P153/$Q$6*100</f>
        <v>69.230769230769226</v>
      </c>
      <c r="R153" s="53">
        <f>COUNTIFS('00 Encuesta'!$B$2:$B$511,"*a)*",'00 Encuesta'!$C$2:$C$511,"*b)*",'00 Encuesta'!$E$2:$E$511,"*b)*",'00 Encuesta'!$U$2:$U$511,"*a)*")</f>
        <v>12</v>
      </c>
      <c r="S153" s="52">
        <f t="shared" ref="S153:S164" si="182">R153/$Q$7*100</f>
        <v>48</v>
      </c>
      <c r="T153" s="3"/>
      <c r="U153" s="51">
        <f t="shared" ref="U153:U164" si="183">W153+Y153</f>
        <v>0</v>
      </c>
      <c r="V153" s="52" t="e">
        <f t="shared" ref="V153:V164" si="184">U153/$X$5*100</f>
        <v>#DIV/0!</v>
      </c>
      <c r="W153" s="53">
        <f>COUNTIFS('00 Encuesta'!$B$2:$B$511,"*a)*",'00 Encuesta'!$C$2:$C$511,"*c)*",'00 Encuesta'!$E$2:$E$511,"*a)*",'00 Encuesta'!$U$2:$U$511,"*a)*")</f>
        <v>0</v>
      </c>
      <c r="X153" s="52" t="e">
        <f t="shared" ref="X153:X164" si="185">W153/$X$6*100</f>
        <v>#DIV/0!</v>
      </c>
      <c r="Y153" s="53">
        <f>COUNTIFS('00 Encuesta'!$B$2:$B$511,"*a)*",'00 Encuesta'!$C$2:$C$511,"*c)*",'00 Encuesta'!$E$2:$E$511,"*b)*",'00 Encuesta'!$U$2:$U$511,"*a)*")</f>
        <v>0</v>
      </c>
      <c r="Z153" s="52" t="e">
        <f t="shared" ref="Z153:Z164" si="186">Y153/$X$7*100</f>
        <v>#DIV/0!</v>
      </c>
      <c r="AA153" s="3"/>
      <c r="AB153" s="62">
        <f t="shared" ref="AB153:AB164" si="187">G153+N153+U153</f>
        <v>45</v>
      </c>
      <c r="AC153" s="52">
        <f t="shared" ref="AC153:AC164" si="188">AB153*100/$AC$5</f>
        <v>57.692307692307693</v>
      </c>
      <c r="AD153" s="7"/>
      <c r="AE153" s="7"/>
      <c r="AF153" s="9" t="str">
        <f t="shared" ref="AF153:AF165" si="189">A153&amp;" "&amp;B153</f>
        <v>a) La iglesia</v>
      </c>
      <c r="AG153" s="72">
        <f t="shared" ref="AG153:AG165" si="190">J153</f>
        <v>54.54545454545454</v>
      </c>
      <c r="AH153" s="72">
        <f t="shared" ref="AH153:AH165" si="191">L153</f>
        <v>66.666666666666657</v>
      </c>
      <c r="AI153" s="73">
        <f t="shared" ref="AI153:AI165" si="192">H153</f>
        <v>60</v>
      </c>
      <c r="AJ153" s="73"/>
      <c r="AK153" s="76">
        <f t="shared" ref="AK153:AK165" si="193">Q153</f>
        <v>69.230769230769226</v>
      </c>
      <c r="AL153" s="76">
        <f t="shared" ref="AL153:AL165" si="194">S153</f>
        <v>48</v>
      </c>
      <c r="AM153" s="76">
        <f t="shared" ref="AM153:AM165" si="195">O153</f>
        <v>55.26315789473685</v>
      </c>
      <c r="AN153" s="76"/>
      <c r="AO153" s="81" t="e">
        <f t="shared" ref="AO153:AO165" si="196">X153</f>
        <v>#DIV/0!</v>
      </c>
      <c r="AP153" s="81" t="e">
        <f t="shared" ref="AP153:AP165" si="197">Z153</f>
        <v>#DIV/0!</v>
      </c>
      <c r="AQ153" s="81" t="e">
        <f t="shared" ref="AQ153:AQ165" si="198">V153</f>
        <v>#DIV/0!</v>
      </c>
      <c r="AR153" s="7"/>
      <c r="AS153" s="76">
        <f t="shared" si="174"/>
        <v>57.692307692307693</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ht="15" x14ac:dyDescent="0.25">
      <c r="A154" s="8" t="s">
        <v>18</v>
      </c>
      <c r="B154" s="9" t="s">
        <v>115</v>
      </c>
      <c r="C154" s="7"/>
      <c r="D154" s="7"/>
      <c r="E154" s="7"/>
      <c r="F154" s="71"/>
      <c r="G154" s="51">
        <f t="shared" si="175"/>
        <v>33</v>
      </c>
      <c r="H154" s="52">
        <f t="shared" si="176"/>
        <v>82.5</v>
      </c>
      <c r="I154" s="53">
        <f>COUNTIFS('00 Encuesta'!$B$2:$B$511,"*a)*",'00 Encuesta'!$C$2:$C$511,"*a)*",'00 Encuesta'!$E$2:$E$511,"*a)*",'00 Encuesta'!$U$2:$U$511,"*b)*")</f>
        <v>19</v>
      </c>
      <c r="J154" s="52">
        <f t="shared" si="177"/>
        <v>86.36363636363636</v>
      </c>
      <c r="K154" s="53">
        <f>COUNTIFS('00 Encuesta'!$B$2:$B$511,"*a)*",'00 Encuesta'!$C$2:$C$511,"*a)*",'00 Encuesta'!$E$2:$E$511,"*b)*",'00 Encuesta'!$U$2:$U$511,"*b)*")</f>
        <v>14</v>
      </c>
      <c r="L154" s="52">
        <f t="shared" si="178"/>
        <v>77.777777777777786</v>
      </c>
      <c r="M154" s="23"/>
      <c r="N154" s="51">
        <f t="shared" si="179"/>
        <v>17</v>
      </c>
      <c r="O154" s="52">
        <f t="shared" si="180"/>
        <v>44.736842105263158</v>
      </c>
      <c r="P154" s="53">
        <f>COUNTIFS('00 Encuesta'!$B$2:$B$511,"*a)*",'00 Encuesta'!$C$2:$C$511,"*b)*",'00 Encuesta'!$E$2:$E$511,"*a)*",'00 Encuesta'!$U$2:$U$511,"*b)*")</f>
        <v>5</v>
      </c>
      <c r="Q154" s="52">
        <f t="shared" si="181"/>
        <v>38.461538461538467</v>
      </c>
      <c r="R154" s="53">
        <f>COUNTIFS('00 Encuesta'!$B$2:$B$511,"*a)*",'00 Encuesta'!$C$2:$C$511,"*b)*",'00 Encuesta'!$E$2:$E$511,"*b)*",'00 Encuesta'!$U$2:$U$511,"*b)*")</f>
        <v>12</v>
      </c>
      <c r="S154" s="52">
        <f t="shared" si="182"/>
        <v>48</v>
      </c>
      <c r="T154" s="3"/>
      <c r="U154" s="51">
        <f t="shared" si="183"/>
        <v>0</v>
      </c>
      <c r="V154" s="52" t="e">
        <f t="shared" si="184"/>
        <v>#DIV/0!</v>
      </c>
      <c r="W154" s="53">
        <f>COUNTIFS('00 Encuesta'!$B$2:$B$511,"*a)*",'00 Encuesta'!$C$2:$C$511,"*c)*",'00 Encuesta'!$E$2:$E$511,"*a)*",'00 Encuesta'!$U$2:$U$511,"*b)*")</f>
        <v>0</v>
      </c>
      <c r="X154" s="52" t="e">
        <f t="shared" si="185"/>
        <v>#DIV/0!</v>
      </c>
      <c r="Y154" s="53">
        <f>COUNTIFS('00 Encuesta'!$B$2:$B$511,"*a)*",'00 Encuesta'!$C$2:$C$511,"*c)*",'00 Encuesta'!$E$2:$E$511,"*b)*",'00 Encuesta'!$U$2:$U$511,"*b)*")</f>
        <v>0</v>
      </c>
      <c r="Z154" s="52" t="e">
        <f t="shared" si="186"/>
        <v>#DIV/0!</v>
      </c>
      <c r="AA154" s="3"/>
      <c r="AB154" s="62">
        <f t="shared" si="187"/>
        <v>50</v>
      </c>
      <c r="AC154" s="52">
        <f t="shared" si="188"/>
        <v>64.102564102564102</v>
      </c>
      <c r="AD154" s="7"/>
      <c r="AE154" s="7"/>
      <c r="AF154" s="9" t="str">
        <f t="shared" si="189"/>
        <v>b) La naturaleza</v>
      </c>
      <c r="AG154" s="72">
        <f t="shared" si="190"/>
        <v>86.36363636363636</v>
      </c>
      <c r="AH154" s="72">
        <f t="shared" si="191"/>
        <v>77.777777777777786</v>
      </c>
      <c r="AI154" s="73">
        <f t="shared" si="192"/>
        <v>82.5</v>
      </c>
      <c r="AJ154" s="73"/>
      <c r="AK154" s="76">
        <f t="shared" si="193"/>
        <v>38.461538461538467</v>
      </c>
      <c r="AL154" s="76">
        <f t="shared" si="194"/>
        <v>48</v>
      </c>
      <c r="AM154" s="76">
        <f t="shared" si="195"/>
        <v>44.736842105263158</v>
      </c>
      <c r="AN154" s="76"/>
      <c r="AO154" s="81" t="e">
        <f t="shared" si="196"/>
        <v>#DIV/0!</v>
      </c>
      <c r="AP154" s="81" t="e">
        <f t="shared" si="197"/>
        <v>#DIV/0!</v>
      </c>
      <c r="AQ154" s="81" t="e">
        <f t="shared" si="198"/>
        <v>#DIV/0!</v>
      </c>
      <c r="AR154" s="7"/>
      <c r="AS154" s="76">
        <f t="shared" si="174"/>
        <v>64.102564102564102</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12</v>
      </c>
      <c r="H155" s="52">
        <f t="shared" si="176"/>
        <v>30</v>
      </c>
      <c r="I155" s="53">
        <f>COUNTIFS('00 Encuesta'!$B$2:$B$511,"*a)*",'00 Encuesta'!$C$2:$C$511,"*a)*",'00 Encuesta'!$E$2:$E$511,"*a)*",'00 Encuesta'!$U$2:$U$511,"*c)*")</f>
        <v>9</v>
      </c>
      <c r="J155" s="52">
        <f t="shared" si="177"/>
        <v>40.909090909090914</v>
      </c>
      <c r="K155" s="53">
        <f>COUNTIFS('00 Encuesta'!$B$2:$B$511,"*a)*",'00 Encuesta'!$C$2:$C$511,"*a)*",'00 Encuesta'!$E$2:$E$511,"*b)*",'00 Encuesta'!$U$2:$U$511,"*c)*")</f>
        <v>3</v>
      </c>
      <c r="L155" s="52">
        <f t="shared" si="178"/>
        <v>16.666666666666664</v>
      </c>
      <c r="M155" s="23"/>
      <c r="N155" s="51">
        <f t="shared" si="179"/>
        <v>1</v>
      </c>
      <c r="O155" s="52">
        <f t="shared" si="180"/>
        <v>2.6315789473684208</v>
      </c>
      <c r="P155" s="53">
        <f>COUNTIFS('00 Encuesta'!$B$2:$B$511,"*a)*",'00 Encuesta'!$C$2:$C$511,"*b)*",'00 Encuesta'!$E$2:$E$511,"*a)*",'00 Encuesta'!$U$2:$U$511,"*c)*")</f>
        <v>1</v>
      </c>
      <c r="Q155" s="52">
        <f t="shared" si="181"/>
        <v>7.6923076923076925</v>
      </c>
      <c r="R155" s="53">
        <f>COUNTIFS('00 Encuesta'!$B$2:$B$511,"*a)*",'00 Encuesta'!$C$2:$C$511,"*b)*",'00 Encuesta'!$E$2:$E$511,"*b)*",'00 Encuesta'!$U$2:$U$511,"*c)*")</f>
        <v>0</v>
      </c>
      <c r="S155" s="52">
        <f t="shared" si="182"/>
        <v>0</v>
      </c>
      <c r="T155" s="3"/>
      <c r="U155" s="51">
        <f t="shared" si="183"/>
        <v>0</v>
      </c>
      <c r="V155" s="52" t="e">
        <f t="shared" si="184"/>
        <v>#DIV/0!</v>
      </c>
      <c r="W155" s="53">
        <f>COUNTIFS('00 Encuesta'!$B$2:$B$511,"*a)*",'00 Encuesta'!$C$2:$C$511,"*c)*",'00 Encuesta'!$E$2:$E$511,"*a)*",'00 Encuesta'!$U$2:$U$511,"*c)*")</f>
        <v>0</v>
      </c>
      <c r="X155" s="52" t="e">
        <f t="shared" si="185"/>
        <v>#DIV/0!</v>
      </c>
      <c r="Y155" s="53">
        <f>COUNTIFS('00 Encuesta'!$B$2:$B$511,"*a)*",'00 Encuesta'!$C$2:$C$511,"*c)*",'00 Encuesta'!$E$2:$E$511,"*b)*",'00 Encuesta'!$U$2:$U$511,"*c)*")</f>
        <v>0</v>
      </c>
      <c r="Z155" s="52" t="e">
        <f t="shared" si="186"/>
        <v>#DIV/0!</v>
      </c>
      <c r="AA155" s="3"/>
      <c r="AB155" s="62">
        <f t="shared" si="187"/>
        <v>13</v>
      </c>
      <c r="AC155" s="52">
        <f t="shared" si="188"/>
        <v>16.666666666666668</v>
      </c>
      <c r="AD155" s="7"/>
      <c r="AE155" s="7"/>
      <c r="AF155" s="9" t="str">
        <f t="shared" si="189"/>
        <v>c) El salón de clase</v>
      </c>
      <c r="AG155" s="72">
        <f t="shared" si="190"/>
        <v>40.909090909090914</v>
      </c>
      <c r="AH155" s="72">
        <f t="shared" si="191"/>
        <v>16.666666666666664</v>
      </c>
      <c r="AI155" s="73">
        <f t="shared" si="192"/>
        <v>30</v>
      </c>
      <c r="AJ155" s="73"/>
      <c r="AK155" s="76">
        <f t="shared" si="193"/>
        <v>7.6923076923076925</v>
      </c>
      <c r="AL155" s="76">
        <f t="shared" si="194"/>
        <v>0</v>
      </c>
      <c r="AM155" s="76">
        <f t="shared" si="195"/>
        <v>2.6315789473684208</v>
      </c>
      <c r="AN155" s="76"/>
      <c r="AO155" s="81" t="e">
        <f t="shared" si="196"/>
        <v>#DIV/0!</v>
      </c>
      <c r="AP155" s="81" t="e">
        <f t="shared" si="197"/>
        <v>#DIV/0!</v>
      </c>
      <c r="AQ155" s="81" t="e">
        <f t="shared" si="198"/>
        <v>#DIV/0!</v>
      </c>
      <c r="AR155" s="7"/>
      <c r="AS155" s="76">
        <f t="shared" si="174"/>
        <v>16.666666666666668</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ht="15" x14ac:dyDescent="0.25">
      <c r="A156" s="8" t="s">
        <v>21</v>
      </c>
      <c r="B156" s="9" t="s">
        <v>117</v>
      </c>
      <c r="C156" s="7"/>
      <c r="D156" s="7"/>
      <c r="E156" s="7"/>
      <c r="F156" s="71"/>
      <c r="G156" s="51">
        <f t="shared" si="175"/>
        <v>21</v>
      </c>
      <c r="H156" s="52">
        <f t="shared" si="176"/>
        <v>52.5</v>
      </c>
      <c r="I156" s="53">
        <f>COUNTIFS('00 Encuesta'!$B$2:$B$511,"*a)*",'00 Encuesta'!$C$2:$C$511,"*a)*",'00 Encuesta'!$E$2:$E$511,"*a)*",'00 Encuesta'!$U$2:$U$511,"*d)*")</f>
        <v>13</v>
      </c>
      <c r="J156" s="52">
        <f t="shared" si="177"/>
        <v>59.090909090909093</v>
      </c>
      <c r="K156" s="53">
        <f>COUNTIFS('00 Encuesta'!$B$2:$B$511,"*a)*",'00 Encuesta'!$C$2:$C$511,"*a)*",'00 Encuesta'!$E$2:$E$511,"*b)*",'00 Encuesta'!$U$2:$U$511,"*d)*")</f>
        <v>8</v>
      </c>
      <c r="L156" s="52">
        <f t="shared" si="178"/>
        <v>44.444444444444443</v>
      </c>
      <c r="M156" s="23"/>
      <c r="N156" s="51">
        <f t="shared" si="179"/>
        <v>5</v>
      </c>
      <c r="O156" s="52">
        <f t="shared" si="180"/>
        <v>13.157894736842104</v>
      </c>
      <c r="P156" s="53">
        <f>COUNTIFS('00 Encuesta'!$B$2:$B$511,"*a)*",'00 Encuesta'!$C$2:$C$511,"*b)*",'00 Encuesta'!$E$2:$E$511,"*a)*",'00 Encuesta'!$U$2:$U$511,"*d)*")</f>
        <v>0</v>
      </c>
      <c r="Q156" s="52">
        <f t="shared" si="181"/>
        <v>0</v>
      </c>
      <c r="R156" s="53">
        <f>COUNTIFS('00 Encuesta'!$B$2:$B$511,"*a)*",'00 Encuesta'!$C$2:$C$511,"*b)*",'00 Encuesta'!$E$2:$E$511,"*b)*",'00 Encuesta'!$U$2:$U$511,"*d)*")</f>
        <v>5</v>
      </c>
      <c r="S156" s="52">
        <f t="shared" si="182"/>
        <v>20</v>
      </c>
      <c r="T156" s="3"/>
      <c r="U156" s="51">
        <f t="shared" si="183"/>
        <v>0</v>
      </c>
      <c r="V156" s="52" t="e">
        <f t="shared" si="184"/>
        <v>#DIV/0!</v>
      </c>
      <c r="W156" s="53">
        <f>COUNTIFS('00 Encuesta'!$B$2:$B$511,"*a)*",'00 Encuesta'!$C$2:$C$511,"*c)*",'00 Encuesta'!$E$2:$E$511,"*a)*",'00 Encuesta'!$U$2:$U$511,"*d)*")</f>
        <v>0</v>
      </c>
      <c r="X156" s="52" t="e">
        <f t="shared" si="185"/>
        <v>#DIV/0!</v>
      </c>
      <c r="Y156" s="53">
        <f>COUNTIFS('00 Encuesta'!$B$2:$B$511,"*a)*",'00 Encuesta'!$C$2:$C$511,"*c)*",'00 Encuesta'!$E$2:$E$511,"*b)*",'00 Encuesta'!$U$2:$U$511,"*d)*")</f>
        <v>0</v>
      </c>
      <c r="Z156" s="52" t="e">
        <f t="shared" si="186"/>
        <v>#DIV/0!</v>
      </c>
      <c r="AA156" s="3"/>
      <c r="AB156" s="62">
        <f t="shared" si="187"/>
        <v>26</v>
      </c>
      <c r="AC156" s="52">
        <f t="shared" si="188"/>
        <v>33.333333333333336</v>
      </c>
      <c r="AD156" s="7"/>
      <c r="AE156" s="7"/>
      <c r="AF156" s="9" t="str">
        <f t="shared" si="189"/>
        <v>d) Las convivencias</v>
      </c>
      <c r="AG156" s="72">
        <f t="shared" si="190"/>
        <v>59.090909090909093</v>
      </c>
      <c r="AH156" s="72">
        <f t="shared" si="191"/>
        <v>44.444444444444443</v>
      </c>
      <c r="AI156" s="73">
        <f t="shared" si="192"/>
        <v>52.5</v>
      </c>
      <c r="AJ156" s="73"/>
      <c r="AK156" s="76">
        <f t="shared" si="193"/>
        <v>0</v>
      </c>
      <c r="AL156" s="76">
        <f t="shared" si="194"/>
        <v>20</v>
      </c>
      <c r="AM156" s="76">
        <f t="shared" si="195"/>
        <v>13.157894736842104</v>
      </c>
      <c r="AN156" s="76"/>
      <c r="AO156" s="81" t="e">
        <f t="shared" si="196"/>
        <v>#DIV/0!</v>
      </c>
      <c r="AP156" s="81" t="e">
        <f t="shared" si="197"/>
        <v>#DIV/0!</v>
      </c>
      <c r="AQ156" s="81" t="e">
        <f t="shared" si="198"/>
        <v>#DIV/0!</v>
      </c>
      <c r="AR156" s="7"/>
      <c r="AS156" s="76">
        <f t="shared" si="174"/>
        <v>33.333333333333336</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ht="15" x14ac:dyDescent="0.25">
      <c r="A157" s="8" t="s">
        <v>22</v>
      </c>
      <c r="B157" s="9" t="s">
        <v>81</v>
      </c>
      <c r="C157" s="7"/>
      <c r="D157" s="7"/>
      <c r="E157" s="7"/>
      <c r="F157" s="71"/>
      <c r="G157" s="51">
        <f t="shared" si="175"/>
        <v>13</v>
      </c>
      <c r="H157" s="52">
        <f t="shared" si="176"/>
        <v>32.5</v>
      </c>
      <c r="I157" s="53">
        <f>COUNTIFS('00 Encuesta'!$B$2:$B$511,"*a)*",'00 Encuesta'!$C$2:$C$511,"*a)*",'00 Encuesta'!$E$2:$E$511,"*a)*",'00 Encuesta'!$U$2:$U$511,"*e)*")</f>
        <v>9</v>
      </c>
      <c r="J157" s="52">
        <f t="shared" si="177"/>
        <v>40.909090909090914</v>
      </c>
      <c r="K157" s="53">
        <f>COUNTIFS('00 Encuesta'!$B$2:$B$511,"*a)*",'00 Encuesta'!$C$2:$C$511,"*a)*",'00 Encuesta'!$E$2:$E$511,"*b)*",'00 Encuesta'!$U$2:$U$511,"*e)*")</f>
        <v>4</v>
      </c>
      <c r="L157" s="52">
        <f t="shared" si="178"/>
        <v>22.222222222222221</v>
      </c>
      <c r="M157" s="23"/>
      <c r="N157" s="51">
        <f t="shared" si="179"/>
        <v>3</v>
      </c>
      <c r="O157" s="52">
        <f t="shared" si="180"/>
        <v>7.8947368421052628</v>
      </c>
      <c r="P157" s="53">
        <f>COUNTIFS('00 Encuesta'!$B$2:$B$511,"*a)*",'00 Encuesta'!$C$2:$C$511,"*b)*",'00 Encuesta'!$E$2:$E$511,"*a)*",'00 Encuesta'!$U$2:$U$511,"*e)*")</f>
        <v>1</v>
      </c>
      <c r="Q157" s="52">
        <f t="shared" si="181"/>
        <v>7.6923076923076925</v>
      </c>
      <c r="R157" s="53">
        <f>COUNTIFS('00 Encuesta'!$B$2:$B$511,"*a)*",'00 Encuesta'!$C$2:$C$511,"*b)*",'00 Encuesta'!$E$2:$E$511,"*b)*",'00 Encuesta'!$U$2:$U$511,"*e)*")</f>
        <v>2</v>
      </c>
      <c r="S157" s="52">
        <f t="shared" si="182"/>
        <v>8</v>
      </c>
      <c r="T157" s="3"/>
      <c r="U157" s="51">
        <f t="shared" si="183"/>
        <v>0</v>
      </c>
      <c r="V157" s="52" t="e">
        <f t="shared" si="184"/>
        <v>#DIV/0!</v>
      </c>
      <c r="W157" s="53">
        <f>COUNTIFS('00 Encuesta'!$B$2:$B$511,"*a)*",'00 Encuesta'!$C$2:$C$511,"*c)*",'00 Encuesta'!$E$2:$E$511,"*a)*",'00 Encuesta'!$U$2:$U$511,"*e)*")</f>
        <v>0</v>
      </c>
      <c r="X157" s="52" t="e">
        <f t="shared" si="185"/>
        <v>#DIV/0!</v>
      </c>
      <c r="Y157" s="53">
        <f>COUNTIFS('00 Encuesta'!$B$2:$B$511,"*a)*",'00 Encuesta'!$C$2:$C$511,"*c)*",'00 Encuesta'!$E$2:$E$511,"*b)*",'00 Encuesta'!$U$2:$U$511,"*e)*")</f>
        <v>0</v>
      </c>
      <c r="Z157" s="52" t="e">
        <f t="shared" si="186"/>
        <v>#DIV/0!</v>
      </c>
      <c r="AA157" s="3"/>
      <c r="AB157" s="62">
        <f t="shared" si="187"/>
        <v>16</v>
      </c>
      <c r="AC157" s="52">
        <f t="shared" si="188"/>
        <v>20.512820512820515</v>
      </c>
      <c r="AD157" s="7"/>
      <c r="AE157" s="7"/>
      <c r="AF157" s="9" t="str">
        <f t="shared" si="189"/>
        <v>e) Los amigos</v>
      </c>
      <c r="AG157" s="72">
        <f t="shared" si="190"/>
        <v>40.909090909090914</v>
      </c>
      <c r="AH157" s="72">
        <f t="shared" si="191"/>
        <v>22.222222222222221</v>
      </c>
      <c r="AI157" s="73">
        <f t="shared" si="192"/>
        <v>32.5</v>
      </c>
      <c r="AJ157" s="73"/>
      <c r="AK157" s="76">
        <f t="shared" si="193"/>
        <v>7.6923076923076925</v>
      </c>
      <c r="AL157" s="76">
        <f t="shared" si="194"/>
        <v>8</v>
      </c>
      <c r="AM157" s="76">
        <f t="shared" si="195"/>
        <v>7.8947368421052628</v>
      </c>
      <c r="AN157" s="76"/>
      <c r="AO157" s="81" t="e">
        <f t="shared" si="196"/>
        <v>#DIV/0!</v>
      </c>
      <c r="AP157" s="81" t="e">
        <f t="shared" si="197"/>
        <v>#DIV/0!</v>
      </c>
      <c r="AQ157" s="81" t="e">
        <f t="shared" si="198"/>
        <v>#DIV/0!</v>
      </c>
      <c r="AR157" s="7"/>
      <c r="AS157" s="76">
        <f t="shared" si="174"/>
        <v>20.512820512820515</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ht="15" x14ac:dyDescent="0.25">
      <c r="A158" s="8" t="s">
        <v>45</v>
      </c>
      <c r="B158" s="9" t="s">
        <v>118</v>
      </c>
      <c r="C158" s="7"/>
      <c r="D158" s="7"/>
      <c r="E158" s="7"/>
      <c r="F158" s="71"/>
      <c r="G158" s="51">
        <f t="shared" si="175"/>
        <v>6</v>
      </c>
      <c r="H158" s="52">
        <f t="shared" si="176"/>
        <v>15</v>
      </c>
      <c r="I158" s="53">
        <f>COUNTIFS('00 Encuesta'!$B$2:$B$511,"*a)*",'00 Encuesta'!$C$2:$C$511,"*a)*",'00 Encuesta'!$E$2:$E$511,"*a)*",'00 Encuesta'!$U$2:$U$511,"*f)*")</f>
        <v>3</v>
      </c>
      <c r="J158" s="52">
        <f t="shared" si="177"/>
        <v>13.636363636363635</v>
      </c>
      <c r="K158" s="53">
        <f>COUNTIFS('00 Encuesta'!$B$2:$B$511,"*a)*",'00 Encuesta'!$C$2:$C$511,"*a)*",'00 Encuesta'!$E$2:$E$511,"*b)*",'00 Encuesta'!$U$2:$U$511,"*f)*")</f>
        <v>3</v>
      </c>
      <c r="L158" s="52">
        <f t="shared" si="178"/>
        <v>16.666666666666664</v>
      </c>
      <c r="M158" s="23"/>
      <c r="N158" s="51">
        <f t="shared" si="179"/>
        <v>2</v>
      </c>
      <c r="O158" s="52">
        <f t="shared" si="180"/>
        <v>5.2631578947368416</v>
      </c>
      <c r="P158" s="53">
        <f>COUNTIFS('00 Encuesta'!$B$2:$B$511,"*a)*",'00 Encuesta'!$C$2:$C$511,"*b)*",'00 Encuesta'!$E$2:$E$511,"*a)*",'00 Encuesta'!$U$2:$U$511,"*f)*")</f>
        <v>1</v>
      </c>
      <c r="Q158" s="52">
        <f t="shared" si="181"/>
        <v>7.6923076923076925</v>
      </c>
      <c r="R158" s="53">
        <f>COUNTIFS('00 Encuesta'!$B$2:$B$511,"*a)*",'00 Encuesta'!$C$2:$C$511,"*b)*",'00 Encuesta'!$E$2:$E$511,"*b)*",'00 Encuesta'!$U$2:$U$511,"*f)*")</f>
        <v>1</v>
      </c>
      <c r="S158" s="52">
        <f t="shared" si="182"/>
        <v>4</v>
      </c>
      <c r="T158" s="3"/>
      <c r="U158" s="51">
        <f t="shared" si="183"/>
        <v>0</v>
      </c>
      <c r="V158" s="52" t="e">
        <f t="shared" si="184"/>
        <v>#DIV/0!</v>
      </c>
      <c r="W158" s="53">
        <f>COUNTIFS('00 Encuesta'!$B$2:$B$511,"*a)*",'00 Encuesta'!$C$2:$C$511,"*c)*",'00 Encuesta'!$E$2:$E$511,"*a)*",'00 Encuesta'!$U$2:$U$511,"*f)*")</f>
        <v>0</v>
      </c>
      <c r="X158" s="52" t="e">
        <f t="shared" si="185"/>
        <v>#DIV/0!</v>
      </c>
      <c r="Y158" s="53">
        <f>COUNTIFS('00 Encuesta'!$B$2:$B$511,"*a)*",'00 Encuesta'!$C$2:$C$511,"*c)*",'00 Encuesta'!$E$2:$E$511,"*b)*",'00 Encuesta'!$U$2:$U$511,"*f)*")</f>
        <v>0</v>
      </c>
      <c r="Z158" s="52" t="e">
        <f t="shared" si="186"/>
        <v>#DIV/0!</v>
      </c>
      <c r="AA158" s="3"/>
      <c r="AB158" s="62">
        <f t="shared" si="187"/>
        <v>8</v>
      </c>
      <c r="AC158" s="52">
        <f t="shared" si="188"/>
        <v>10.256410256410257</v>
      </c>
      <c r="AD158" s="7"/>
      <c r="AE158" s="7"/>
      <c r="AF158" s="9" t="str">
        <f t="shared" si="189"/>
        <v>f) Todas las personas</v>
      </c>
      <c r="AG158" s="72">
        <f t="shared" si="190"/>
        <v>13.636363636363635</v>
      </c>
      <c r="AH158" s="72">
        <f t="shared" si="191"/>
        <v>16.666666666666664</v>
      </c>
      <c r="AI158" s="73">
        <f t="shared" si="192"/>
        <v>15</v>
      </c>
      <c r="AJ158" s="73"/>
      <c r="AK158" s="76">
        <f t="shared" si="193"/>
        <v>7.6923076923076925</v>
      </c>
      <c r="AL158" s="76">
        <f t="shared" si="194"/>
        <v>4</v>
      </c>
      <c r="AM158" s="76">
        <f t="shared" si="195"/>
        <v>5.2631578947368416</v>
      </c>
      <c r="AN158" s="76"/>
      <c r="AO158" s="81" t="e">
        <f t="shared" si="196"/>
        <v>#DIV/0!</v>
      </c>
      <c r="AP158" s="81" t="e">
        <f t="shared" si="197"/>
        <v>#DIV/0!</v>
      </c>
      <c r="AQ158" s="81" t="e">
        <f t="shared" si="198"/>
        <v>#DIV/0!</v>
      </c>
      <c r="AR158" s="7"/>
      <c r="AS158" s="76">
        <f t="shared" si="174"/>
        <v>10.256410256410257</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ht="15" x14ac:dyDescent="0.25">
      <c r="A159" s="8" t="s">
        <v>61</v>
      </c>
      <c r="B159" s="9" t="s">
        <v>119</v>
      </c>
      <c r="C159" s="7"/>
      <c r="D159" s="7"/>
      <c r="E159" s="56"/>
      <c r="F159" s="71"/>
      <c r="G159" s="51">
        <f t="shared" si="175"/>
        <v>30</v>
      </c>
      <c r="H159" s="52">
        <f t="shared" si="176"/>
        <v>75</v>
      </c>
      <c r="I159" s="53">
        <f>COUNTIFS('00 Encuesta'!$B$2:$B$511,"*a)*",'00 Encuesta'!$C$2:$C$511,"*a)*",'00 Encuesta'!$E$2:$E$511,"*a)*",'00 Encuesta'!$U$2:$U$511,"*g)*")</f>
        <v>17</v>
      </c>
      <c r="J159" s="52">
        <f t="shared" si="177"/>
        <v>77.272727272727266</v>
      </c>
      <c r="K159" s="53">
        <f>COUNTIFS('00 Encuesta'!$B$2:$B$511,"*a)*",'00 Encuesta'!$C$2:$C$511,"*a)*",'00 Encuesta'!$E$2:$E$511,"*b)*",'00 Encuesta'!$U$2:$U$511,"*g)*")</f>
        <v>13</v>
      </c>
      <c r="L159" s="52">
        <f t="shared" si="178"/>
        <v>72.222222222222214</v>
      </c>
      <c r="M159" s="23"/>
      <c r="N159" s="51">
        <f t="shared" si="179"/>
        <v>16</v>
      </c>
      <c r="O159" s="52">
        <f t="shared" si="180"/>
        <v>42.105263157894733</v>
      </c>
      <c r="P159" s="53">
        <f>COUNTIFS('00 Encuesta'!$B$2:$B$511,"*a)*",'00 Encuesta'!$C$2:$C$511,"*b)*",'00 Encuesta'!$E$2:$E$511,"*a)*",'00 Encuesta'!$U$2:$U$511,"*g)*")</f>
        <v>7</v>
      </c>
      <c r="Q159" s="52">
        <f t="shared" si="181"/>
        <v>53.846153846153847</v>
      </c>
      <c r="R159" s="53">
        <f>COUNTIFS('00 Encuesta'!$B$2:$B$511,"*a)*",'00 Encuesta'!$C$2:$C$511,"*b)*",'00 Encuesta'!$E$2:$E$511,"*b)*",'00 Encuesta'!$U$2:$U$511,"*g)*")</f>
        <v>9</v>
      </c>
      <c r="S159" s="52">
        <f t="shared" si="182"/>
        <v>36</v>
      </c>
      <c r="T159" s="3"/>
      <c r="U159" s="51">
        <f t="shared" si="183"/>
        <v>0</v>
      </c>
      <c r="V159" s="52" t="e">
        <f t="shared" si="184"/>
        <v>#DIV/0!</v>
      </c>
      <c r="W159" s="53">
        <f>COUNTIFS('00 Encuesta'!$B$2:$B$511,"*a)*",'00 Encuesta'!$C$2:$C$511,"*c)*",'00 Encuesta'!$E$2:$E$511,"*a)*",'00 Encuesta'!$U$2:$U$511,"*g)*")</f>
        <v>0</v>
      </c>
      <c r="X159" s="52" t="e">
        <f t="shared" si="185"/>
        <v>#DIV/0!</v>
      </c>
      <c r="Y159" s="53">
        <f>COUNTIFS('00 Encuesta'!$B$2:$B$511,"*a)*",'00 Encuesta'!$C$2:$C$511,"*c)*",'00 Encuesta'!$E$2:$E$511,"*b)*",'00 Encuesta'!$U$2:$U$511,"*g)*")</f>
        <v>0</v>
      </c>
      <c r="Z159" s="52" t="e">
        <f t="shared" si="186"/>
        <v>#DIV/0!</v>
      </c>
      <c r="AA159" s="3"/>
      <c r="AB159" s="62">
        <f t="shared" si="187"/>
        <v>46</v>
      </c>
      <c r="AC159" s="52">
        <f t="shared" si="188"/>
        <v>58.974358974358971</v>
      </c>
      <c r="AD159" s="7"/>
      <c r="AE159" s="7"/>
      <c r="AF159" s="9" t="str">
        <f t="shared" si="189"/>
        <v>g) Mi familia</v>
      </c>
      <c r="AG159" s="72">
        <f t="shared" si="190"/>
        <v>77.272727272727266</v>
      </c>
      <c r="AH159" s="72">
        <f t="shared" si="191"/>
        <v>72.222222222222214</v>
      </c>
      <c r="AI159" s="73">
        <f t="shared" si="192"/>
        <v>75</v>
      </c>
      <c r="AJ159" s="73"/>
      <c r="AK159" s="76">
        <f t="shared" si="193"/>
        <v>53.846153846153847</v>
      </c>
      <c r="AL159" s="76">
        <f t="shared" si="194"/>
        <v>36</v>
      </c>
      <c r="AM159" s="76">
        <f t="shared" si="195"/>
        <v>42.105263157894733</v>
      </c>
      <c r="AN159" s="76"/>
      <c r="AO159" s="81" t="e">
        <f t="shared" si="196"/>
        <v>#DIV/0!</v>
      </c>
      <c r="AP159" s="81" t="e">
        <f t="shared" si="197"/>
        <v>#DIV/0!</v>
      </c>
      <c r="AQ159" s="81" t="e">
        <f t="shared" si="198"/>
        <v>#DIV/0!</v>
      </c>
      <c r="AR159" s="7"/>
      <c r="AS159" s="76">
        <f t="shared" si="174"/>
        <v>58.974358974358971</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ht="15" x14ac:dyDescent="0.25">
      <c r="A160" s="8" t="s">
        <v>63</v>
      </c>
      <c r="B160" s="9" t="s">
        <v>120</v>
      </c>
      <c r="C160" s="7"/>
      <c r="D160" s="7"/>
      <c r="E160" s="7"/>
      <c r="F160" s="71"/>
      <c r="G160" s="51">
        <f t="shared" si="175"/>
        <v>15</v>
      </c>
      <c r="H160" s="52">
        <f t="shared" si="176"/>
        <v>37.5</v>
      </c>
      <c r="I160" s="53">
        <f>COUNTIFS('00 Encuesta'!$B$2:$B$511,"*a)*",'00 Encuesta'!$C$2:$C$511,"*a)*",'00 Encuesta'!$E$2:$E$511,"*a)*",'00 Encuesta'!$U$2:$U$511,"*h)*")</f>
        <v>8</v>
      </c>
      <c r="J160" s="52">
        <f t="shared" si="177"/>
        <v>36.363636363636367</v>
      </c>
      <c r="K160" s="53">
        <f>COUNTIFS('00 Encuesta'!$B$2:$B$511,"*a)*",'00 Encuesta'!$C$2:$C$511,"*a)*",'00 Encuesta'!$E$2:$E$511,"*b)*",'00 Encuesta'!$U$2:$U$511,"*h)*")</f>
        <v>7</v>
      </c>
      <c r="L160" s="52">
        <f t="shared" si="178"/>
        <v>38.888888888888893</v>
      </c>
      <c r="M160" s="23"/>
      <c r="N160" s="51">
        <f t="shared" si="179"/>
        <v>11</v>
      </c>
      <c r="O160" s="52">
        <f t="shared" si="180"/>
        <v>28.947368421052634</v>
      </c>
      <c r="P160" s="53">
        <f>COUNTIFS('00 Encuesta'!$B$2:$B$511,"*a)*",'00 Encuesta'!$C$2:$C$511,"*b)*",'00 Encuesta'!$E$2:$E$511,"*a)*",'00 Encuesta'!$U$2:$U$511,"*h)*")</f>
        <v>5</v>
      </c>
      <c r="Q160" s="52">
        <f t="shared" si="181"/>
        <v>38.461538461538467</v>
      </c>
      <c r="R160" s="53">
        <f>COUNTIFS('00 Encuesta'!$B$2:$B$511,"*a)*",'00 Encuesta'!$C$2:$C$511,"*b)*",'00 Encuesta'!$E$2:$E$511,"*b)*",'00 Encuesta'!$U$2:$U$511,"*h)*")</f>
        <v>6</v>
      </c>
      <c r="S160" s="52">
        <f t="shared" si="182"/>
        <v>24</v>
      </c>
      <c r="T160" s="3"/>
      <c r="U160" s="51">
        <f t="shared" si="183"/>
        <v>0</v>
      </c>
      <c r="V160" s="52" t="e">
        <f t="shared" si="184"/>
        <v>#DIV/0!</v>
      </c>
      <c r="W160" s="53">
        <f>COUNTIFS('00 Encuesta'!$B$2:$B$511,"*a)*",'00 Encuesta'!$C$2:$C$511,"*c)*",'00 Encuesta'!$E$2:$E$511,"*a)*",'00 Encuesta'!$U$2:$U$511,"*h)*")</f>
        <v>0</v>
      </c>
      <c r="X160" s="52" t="e">
        <f t="shared" si="185"/>
        <v>#DIV/0!</v>
      </c>
      <c r="Y160" s="53">
        <f>COUNTIFS('00 Encuesta'!$B$2:$B$511,"*a)*",'00 Encuesta'!$C$2:$C$511,"*c)*",'00 Encuesta'!$E$2:$E$511,"*b)*",'00 Encuesta'!$U$2:$U$511,"*h)*")</f>
        <v>0</v>
      </c>
      <c r="Z160" s="52" t="e">
        <f t="shared" si="186"/>
        <v>#DIV/0!</v>
      </c>
      <c r="AA160" s="3"/>
      <c r="AB160" s="62">
        <f t="shared" si="187"/>
        <v>26</v>
      </c>
      <c r="AC160" s="52">
        <f t="shared" si="188"/>
        <v>33.333333333333336</v>
      </c>
      <c r="AD160" s="7"/>
      <c r="AE160" s="7"/>
      <c r="AF160" s="9" t="str">
        <f t="shared" si="189"/>
        <v>h) Algunas personas cercanas a dios</v>
      </c>
      <c r="AG160" s="72">
        <f t="shared" si="190"/>
        <v>36.363636363636367</v>
      </c>
      <c r="AH160" s="72">
        <f t="shared" si="191"/>
        <v>38.888888888888893</v>
      </c>
      <c r="AI160" s="73">
        <f t="shared" si="192"/>
        <v>37.5</v>
      </c>
      <c r="AJ160" s="73"/>
      <c r="AK160" s="76">
        <f t="shared" si="193"/>
        <v>38.461538461538467</v>
      </c>
      <c r="AL160" s="76">
        <f t="shared" si="194"/>
        <v>24</v>
      </c>
      <c r="AM160" s="76">
        <f t="shared" si="195"/>
        <v>28.947368421052634</v>
      </c>
      <c r="AN160" s="76"/>
      <c r="AO160" s="81" t="e">
        <f t="shared" si="196"/>
        <v>#DIV/0!</v>
      </c>
      <c r="AP160" s="81" t="e">
        <f t="shared" si="197"/>
        <v>#DIV/0!</v>
      </c>
      <c r="AQ160" s="81" t="e">
        <f t="shared" si="198"/>
        <v>#DIV/0!</v>
      </c>
      <c r="AR160" s="7"/>
      <c r="AS160" s="76">
        <f t="shared" si="174"/>
        <v>33.333333333333336</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ht="15" x14ac:dyDescent="0.25">
      <c r="A161" s="8" t="s">
        <v>65</v>
      </c>
      <c r="B161" s="9" t="s">
        <v>121</v>
      </c>
      <c r="C161" s="7"/>
      <c r="D161" s="7"/>
      <c r="E161" s="7"/>
      <c r="F161" s="71"/>
      <c r="G161" s="51">
        <f t="shared" si="175"/>
        <v>14</v>
      </c>
      <c r="H161" s="52">
        <f t="shared" si="176"/>
        <v>35</v>
      </c>
      <c r="I161" s="53">
        <f>COUNTIFS('00 Encuesta'!$B$2:$B$511,"*a)*",'00 Encuesta'!$C$2:$C$511,"*a)*",'00 Encuesta'!$E$2:$E$511,"*a)*",'00 Encuesta'!$U$2:$U$511,"*i)*")</f>
        <v>7</v>
      </c>
      <c r="J161" s="52">
        <f t="shared" si="177"/>
        <v>31.818181818181817</v>
      </c>
      <c r="K161" s="53">
        <f>COUNTIFS('00 Encuesta'!$B$2:$B$511,"*a)*",'00 Encuesta'!$C$2:$C$511,"*a)*",'00 Encuesta'!$E$2:$E$511,"*b)*",'00 Encuesta'!$U$2:$U$511,"*i)*")</f>
        <v>7</v>
      </c>
      <c r="L161" s="52">
        <f t="shared" si="178"/>
        <v>38.888888888888893</v>
      </c>
      <c r="M161" s="23"/>
      <c r="N161" s="51">
        <f t="shared" si="179"/>
        <v>5</v>
      </c>
      <c r="O161" s="52">
        <f t="shared" si="180"/>
        <v>13.157894736842104</v>
      </c>
      <c r="P161" s="53">
        <f>COUNTIFS('00 Encuesta'!$B$2:$B$511,"*a)*",'00 Encuesta'!$C$2:$C$511,"*b)*",'00 Encuesta'!$E$2:$E$511,"*a)*",'00 Encuesta'!$U$2:$U$511,"*i)*")</f>
        <v>3</v>
      </c>
      <c r="Q161" s="52">
        <f t="shared" si="181"/>
        <v>23.076923076923077</v>
      </c>
      <c r="R161" s="53">
        <f>COUNTIFS('00 Encuesta'!$B$2:$B$511,"*a)*",'00 Encuesta'!$C$2:$C$511,"*b)*",'00 Encuesta'!$E$2:$E$511,"*b)*",'00 Encuesta'!$U$2:$U$511,"*i)*")</f>
        <v>2</v>
      </c>
      <c r="S161" s="52">
        <f t="shared" si="182"/>
        <v>8</v>
      </c>
      <c r="T161" s="3"/>
      <c r="U161" s="51">
        <f t="shared" si="183"/>
        <v>0</v>
      </c>
      <c r="V161" s="52" t="e">
        <f t="shared" si="184"/>
        <v>#DIV/0!</v>
      </c>
      <c r="W161" s="53">
        <f>COUNTIFS('00 Encuesta'!$B$2:$B$511,"*a)*",'00 Encuesta'!$C$2:$C$511,"*c)*",'00 Encuesta'!$E$2:$E$511,"*a)*",'00 Encuesta'!$U$2:$U$511,"*i)*")</f>
        <v>0</v>
      </c>
      <c r="X161" s="52" t="e">
        <f t="shared" si="185"/>
        <v>#DIV/0!</v>
      </c>
      <c r="Y161" s="53">
        <f>COUNTIFS('00 Encuesta'!$B$2:$B$511,"*a)*",'00 Encuesta'!$C$2:$C$511,"*c)*",'00 Encuesta'!$E$2:$E$511,"*b)*",'00 Encuesta'!$U$2:$U$511,"*i)*")</f>
        <v>0</v>
      </c>
      <c r="Z161" s="52" t="e">
        <f t="shared" si="186"/>
        <v>#DIV/0!</v>
      </c>
      <c r="AA161" s="3"/>
      <c r="AB161" s="62">
        <f t="shared" si="187"/>
        <v>19</v>
      </c>
      <c r="AC161" s="52">
        <f t="shared" si="188"/>
        <v>24.358974358974358</v>
      </c>
      <c r="AD161" s="7"/>
      <c r="AE161" s="7"/>
      <c r="AF161" s="9" t="str">
        <f t="shared" si="189"/>
        <v>i) Los necesitados</v>
      </c>
      <c r="AG161" s="72">
        <f t="shared" si="190"/>
        <v>31.818181818181817</v>
      </c>
      <c r="AH161" s="72">
        <f t="shared" si="191"/>
        <v>38.888888888888893</v>
      </c>
      <c r="AI161" s="73">
        <f t="shared" si="192"/>
        <v>35</v>
      </c>
      <c r="AJ161" s="73"/>
      <c r="AK161" s="76">
        <f t="shared" si="193"/>
        <v>23.076923076923077</v>
      </c>
      <c r="AL161" s="76">
        <f t="shared" si="194"/>
        <v>8</v>
      </c>
      <c r="AM161" s="76">
        <f t="shared" si="195"/>
        <v>13.157894736842104</v>
      </c>
      <c r="AN161" s="76"/>
      <c r="AO161" s="81" t="e">
        <f t="shared" si="196"/>
        <v>#DIV/0!</v>
      </c>
      <c r="AP161" s="81" t="e">
        <f t="shared" si="197"/>
        <v>#DIV/0!</v>
      </c>
      <c r="AQ161" s="81" t="e">
        <f t="shared" si="198"/>
        <v>#DIV/0!</v>
      </c>
      <c r="AR161" s="7"/>
      <c r="AS161" s="76">
        <f t="shared" si="174"/>
        <v>24.358974358974358</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ht="15" x14ac:dyDescent="0.25">
      <c r="A162" s="8" t="s">
        <v>67</v>
      </c>
      <c r="B162" s="9" t="s">
        <v>122</v>
      </c>
      <c r="C162" s="7"/>
      <c r="D162" s="7"/>
      <c r="E162" s="7"/>
      <c r="F162" s="71"/>
      <c r="G162" s="51">
        <f t="shared" si="175"/>
        <v>10</v>
      </c>
      <c r="H162" s="52">
        <f t="shared" si="176"/>
        <v>25</v>
      </c>
      <c r="I162" s="53">
        <f>COUNTIFS('00 Encuesta'!$B$2:$B$511,"*a)*",'00 Encuesta'!$C$2:$C$511,"*a)*",'00 Encuesta'!$E$2:$E$511,"*a)*",'00 Encuesta'!$U$2:$U$511,"*j)*")</f>
        <v>6</v>
      </c>
      <c r="J162" s="52">
        <f t="shared" si="177"/>
        <v>27.27272727272727</v>
      </c>
      <c r="K162" s="53">
        <f>COUNTIFS('00 Encuesta'!$B$2:$B$511,"*a)*",'00 Encuesta'!$C$2:$C$511,"*a)*",'00 Encuesta'!$E$2:$E$511,"*b)*",'00 Encuesta'!$U$2:$U$511,"*j)*")</f>
        <v>4</v>
      </c>
      <c r="L162" s="52">
        <f t="shared" si="178"/>
        <v>22.222222222222221</v>
      </c>
      <c r="M162" s="23"/>
      <c r="N162" s="51">
        <f t="shared" si="179"/>
        <v>6</v>
      </c>
      <c r="O162" s="52">
        <f t="shared" si="180"/>
        <v>15.789473684210526</v>
      </c>
      <c r="P162" s="53">
        <f>COUNTIFS('00 Encuesta'!$B$2:$B$511,"*a)*",'00 Encuesta'!$C$2:$C$511,"*b)*",'00 Encuesta'!$E$2:$E$511,"*a)*",'00 Encuesta'!$U$2:$U$511,"*j)*")</f>
        <v>1</v>
      </c>
      <c r="Q162" s="52">
        <f t="shared" si="181"/>
        <v>7.6923076923076925</v>
      </c>
      <c r="R162" s="53">
        <f>COUNTIFS('00 Encuesta'!$B$2:$B$511,"*a)*",'00 Encuesta'!$C$2:$C$511,"*b)*",'00 Encuesta'!$E$2:$E$511,"*b)*",'00 Encuesta'!$U$2:$U$511,"*j)*")</f>
        <v>5</v>
      </c>
      <c r="S162" s="52">
        <f t="shared" si="182"/>
        <v>20</v>
      </c>
      <c r="T162" s="3"/>
      <c r="U162" s="51">
        <f t="shared" si="183"/>
        <v>0</v>
      </c>
      <c r="V162" s="52" t="e">
        <f t="shared" si="184"/>
        <v>#DIV/0!</v>
      </c>
      <c r="W162" s="53">
        <f>COUNTIFS('00 Encuesta'!$B$2:$B$511,"*a)*",'00 Encuesta'!$C$2:$C$511,"*c)*",'00 Encuesta'!$E$2:$E$511,"*a)*",'00 Encuesta'!$U$2:$U$511,"*j)*")</f>
        <v>0</v>
      </c>
      <c r="X162" s="52" t="e">
        <f t="shared" si="185"/>
        <v>#DIV/0!</v>
      </c>
      <c r="Y162" s="53">
        <f>COUNTIFS('00 Encuesta'!$B$2:$B$511,"*a)*",'00 Encuesta'!$C$2:$C$511,"*c)*",'00 Encuesta'!$E$2:$E$511,"*b)*",'00 Encuesta'!$U$2:$U$511,"*j)*")</f>
        <v>0</v>
      </c>
      <c r="Z162" s="52" t="e">
        <f t="shared" si="186"/>
        <v>#DIV/0!</v>
      </c>
      <c r="AA162" s="3"/>
      <c r="AB162" s="62">
        <f t="shared" si="187"/>
        <v>16</v>
      </c>
      <c r="AC162" s="52">
        <f t="shared" si="188"/>
        <v>20.512820512820515</v>
      </c>
      <c r="AD162" s="7"/>
      <c r="AE162" s="7"/>
      <c r="AF162" s="9" t="str">
        <f t="shared" si="189"/>
        <v>j) Todas partes</v>
      </c>
      <c r="AG162" s="72">
        <f t="shared" si="190"/>
        <v>27.27272727272727</v>
      </c>
      <c r="AH162" s="72">
        <f t="shared" si="191"/>
        <v>22.222222222222221</v>
      </c>
      <c r="AI162" s="73">
        <f t="shared" si="192"/>
        <v>25</v>
      </c>
      <c r="AJ162" s="73"/>
      <c r="AK162" s="76">
        <f t="shared" si="193"/>
        <v>7.6923076923076925</v>
      </c>
      <c r="AL162" s="76">
        <f t="shared" si="194"/>
        <v>20</v>
      </c>
      <c r="AM162" s="76">
        <f t="shared" si="195"/>
        <v>15.789473684210526</v>
      </c>
      <c r="AN162" s="76"/>
      <c r="AO162" s="81" t="e">
        <f t="shared" si="196"/>
        <v>#DIV/0!</v>
      </c>
      <c r="AP162" s="81" t="e">
        <f t="shared" si="197"/>
        <v>#DIV/0!</v>
      </c>
      <c r="AQ162" s="81" t="e">
        <f t="shared" si="198"/>
        <v>#DIV/0!</v>
      </c>
      <c r="AR162" s="7"/>
      <c r="AS162" s="76">
        <f t="shared" si="174"/>
        <v>20.512820512820515</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25</v>
      </c>
      <c r="H163" s="52">
        <f t="shared" si="176"/>
        <v>62.5</v>
      </c>
      <c r="I163" s="53">
        <f>COUNTIFS('00 Encuesta'!$B$2:$B$511,"*a)*",'00 Encuesta'!$C$2:$C$511,"*a)*",'00 Encuesta'!$E$2:$E$511,"*a)*",'00 Encuesta'!$U$2:$U$511,"*k)*")</f>
        <v>11</v>
      </c>
      <c r="J163" s="52">
        <f t="shared" si="177"/>
        <v>50</v>
      </c>
      <c r="K163" s="53">
        <f>COUNTIFS('00 Encuesta'!$B$2:$B$511,"*a)*",'00 Encuesta'!$C$2:$C$511,"*a)*",'00 Encuesta'!$E$2:$E$511,"*b)*",'00 Encuesta'!$U$2:$U$511,"*k)*")</f>
        <v>14</v>
      </c>
      <c r="L163" s="52">
        <f t="shared" si="178"/>
        <v>77.777777777777786</v>
      </c>
      <c r="M163" s="23"/>
      <c r="N163" s="51">
        <f t="shared" si="179"/>
        <v>22</v>
      </c>
      <c r="O163" s="52">
        <f t="shared" si="180"/>
        <v>57.894736842105267</v>
      </c>
      <c r="P163" s="53">
        <f>COUNTIFS('00 Encuesta'!$B$2:$B$511,"*a)*",'00 Encuesta'!$C$2:$C$511,"*b)*",'00 Encuesta'!$E$2:$E$511,"*a)*",'00 Encuesta'!$U$2:$U$511,"*k)*")</f>
        <v>6</v>
      </c>
      <c r="Q163" s="52">
        <f t="shared" si="181"/>
        <v>46.153846153846153</v>
      </c>
      <c r="R163" s="53">
        <f>COUNTIFS('00 Encuesta'!$B$2:$B$511,"*a)*",'00 Encuesta'!$C$2:$C$511,"*b)*",'00 Encuesta'!$E$2:$E$511,"*b)*",'00 Encuesta'!$U$2:$U$511,"*k)*")</f>
        <v>16</v>
      </c>
      <c r="S163" s="52">
        <f t="shared" si="182"/>
        <v>64</v>
      </c>
      <c r="T163" s="3"/>
      <c r="U163" s="51">
        <f t="shared" si="183"/>
        <v>0</v>
      </c>
      <c r="V163" s="52" t="e">
        <f t="shared" si="184"/>
        <v>#DIV/0!</v>
      </c>
      <c r="W163" s="53">
        <f>COUNTIFS('00 Encuesta'!$B$2:$B$511,"*a)*",'00 Encuesta'!$C$2:$C$511,"*c)*",'00 Encuesta'!$E$2:$E$511,"*a)*",'00 Encuesta'!$U$2:$U$511,"*k)*")</f>
        <v>0</v>
      </c>
      <c r="X163" s="52" t="e">
        <f t="shared" si="185"/>
        <v>#DIV/0!</v>
      </c>
      <c r="Y163" s="53">
        <f>COUNTIFS('00 Encuesta'!$B$2:$B$511,"*a)*",'00 Encuesta'!$C$2:$C$511,"*c)*",'00 Encuesta'!$E$2:$E$511,"*b)*",'00 Encuesta'!$U$2:$U$511,"*k)*")</f>
        <v>0</v>
      </c>
      <c r="Z163" s="52" t="e">
        <f t="shared" si="186"/>
        <v>#DIV/0!</v>
      </c>
      <c r="AA163" s="3"/>
      <c r="AB163" s="62">
        <f t="shared" si="187"/>
        <v>47</v>
      </c>
      <c r="AC163" s="52">
        <f t="shared" si="188"/>
        <v>60.256410256410255</v>
      </c>
      <c r="AD163" s="7"/>
      <c r="AE163" s="7"/>
      <c r="AF163" s="9" t="str">
        <f t="shared" si="189"/>
        <v>k) Oración</v>
      </c>
      <c r="AG163" s="72">
        <f t="shared" si="190"/>
        <v>50</v>
      </c>
      <c r="AH163" s="72">
        <f t="shared" si="191"/>
        <v>77.777777777777786</v>
      </c>
      <c r="AI163" s="73">
        <f t="shared" si="192"/>
        <v>62.5</v>
      </c>
      <c r="AJ163" s="73"/>
      <c r="AK163" s="76">
        <f t="shared" si="193"/>
        <v>46.153846153846153</v>
      </c>
      <c r="AL163" s="76">
        <f t="shared" si="194"/>
        <v>64</v>
      </c>
      <c r="AM163" s="76">
        <f t="shared" si="195"/>
        <v>57.894736842105267</v>
      </c>
      <c r="AN163" s="76"/>
      <c r="AO163" s="81" t="e">
        <f t="shared" si="196"/>
        <v>#DIV/0!</v>
      </c>
      <c r="AP163" s="81" t="e">
        <f t="shared" si="197"/>
        <v>#DIV/0!</v>
      </c>
      <c r="AQ163" s="81" t="e">
        <f t="shared" si="198"/>
        <v>#DIV/0!</v>
      </c>
      <c r="AR163" s="7"/>
      <c r="AS163" s="76">
        <f t="shared" si="174"/>
        <v>60.256410256410255</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ht="15.75" x14ac:dyDescent="0.3">
      <c r="A164" s="1" t="s">
        <v>124</v>
      </c>
      <c r="B164" s="2" t="s">
        <v>125</v>
      </c>
      <c r="C164" s="3"/>
      <c r="D164" s="7"/>
      <c r="E164" s="7"/>
      <c r="F164" s="71"/>
      <c r="G164" s="51">
        <f t="shared" si="175"/>
        <v>15</v>
      </c>
      <c r="H164" s="52">
        <f t="shared" si="176"/>
        <v>37.5</v>
      </c>
      <c r="I164" s="53">
        <f>COUNTIFS('00 Encuesta'!$B$2:$B$511,"*a)*",'00 Encuesta'!$C$2:$C$511,"*a)*",'00 Encuesta'!$E$2:$E$511,"*a)*",'00 Encuesta'!$U$2:$U$511,"*l)*")</f>
        <v>6</v>
      </c>
      <c r="J164" s="52">
        <f t="shared" si="177"/>
        <v>27.27272727272727</v>
      </c>
      <c r="K164" s="53">
        <f>COUNTIFS('00 Encuesta'!$B$2:$B$511,"*a)*",'00 Encuesta'!$C$2:$C$511,"*a)*",'00 Encuesta'!$E$2:$E$511,"*b)*",'00 Encuesta'!$U$2:$U$511,"*l)*")</f>
        <v>9</v>
      </c>
      <c r="L164" s="52">
        <f t="shared" si="178"/>
        <v>50</v>
      </c>
      <c r="M164" s="23"/>
      <c r="N164" s="51">
        <f t="shared" si="179"/>
        <v>9</v>
      </c>
      <c r="O164" s="52">
        <f t="shared" si="180"/>
        <v>23.684210526315788</v>
      </c>
      <c r="P164" s="53">
        <f>COUNTIFS('00 Encuesta'!$B$2:$B$511,"*a)*",'00 Encuesta'!$C$2:$C$511,"*b)*",'00 Encuesta'!$E$2:$E$511,"*a)*",'00 Encuesta'!$U$2:$U$511,"*l)*")</f>
        <v>4</v>
      </c>
      <c r="Q164" s="52">
        <f t="shared" si="181"/>
        <v>30.76923076923077</v>
      </c>
      <c r="R164" s="53">
        <f>COUNTIFS('00 Encuesta'!$B$2:$B$511,"*a)*",'00 Encuesta'!$C$2:$C$511,"*b)*",'00 Encuesta'!$E$2:$E$511,"*b)*",'00 Encuesta'!$U$2:$U$511,"*l)*")</f>
        <v>5</v>
      </c>
      <c r="S164" s="52">
        <f t="shared" si="182"/>
        <v>20</v>
      </c>
      <c r="T164" s="3"/>
      <c r="U164" s="51">
        <f t="shared" si="183"/>
        <v>0</v>
      </c>
      <c r="V164" s="52" t="e">
        <f t="shared" si="184"/>
        <v>#DIV/0!</v>
      </c>
      <c r="W164" s="53">
        <f>COUNTIFS('00 Encuesta'!$B$2:$B$511,"*a)*",'00 Encuesta'!$C$2:$C$511,"*c)*",'00 Encuesta'!$E$2:$E$511,"*a)*",'00 Encuesta'!$U$2:$U$511,"*l)*")</f>
        <v>0</v>
      </c>
      <c r="X164" s="52" t="e">
        <f t="shared" si="185"/>
        <v>#DIV/0!</v>
      </c>
      <c r="Y164" s="53">
        <f>COUNTIFS('00 Encuesta'!$B$2:$B$511,"*a)*",'00 Encuesta'!$C$2:$C$511,"*c)*",'00 Encuesta'!$E$2:$E$511,"*b)*",'00 Encuesta'!$U$2:$U$511,"*l)*")</f>
        <v>0</v>
      </c>
      <c r="Z164" s="52" t="e">
        <f t="shared" si="186"/>
        <v>#DIV/0!</v>
      </c>
      <c r="AA164" s="3"/>
      <c r="AB164" s="62">
        <f t="shared" si="187"/>
        <v>24</v>
      </c>
      <c r="AC164" s="52">
        <f t="shared" si="188"/>
        <v>30.76923076923077</v>
      </c>
      <c r="AD164" s="7"/>
      <c r="AE164" s="7"/>
      <c r="AF164" s="9" t="str">
        <f t="shared" si="189"/>
        <v>l) Sacramentos</v>
      </c>
      <c r="AG164" s="72">
        <f t="shared" si="190"/>
        <v>27.27272727272727</v>
      </c>
      <c r="AH164" s="72">
        <f t="shared" si="191"/>
        <v>50</v>
      </c>
      <c r="AI164" s="73">
        <f t="shared" si="192"/>
        <v>37.5</v>
      </c>
      <c r="AJ164" s="73"/>
      <c r="AK164" s="76">
        <f t="shared" si="193"/>
        <v>30.76923076923077</v>
      </c>
      <c r="AL164" s="76">
        <f t="shared" si="194"/>
        <v>20</v>
      </c>
      <c r="AM164" s="76">
        <f t="shared" si="195"/>
        <v>23.684210526315788</v>
      </c>
      <c r="AN164" s="76"/>
      <c r="AO164" s="81" t="e">
        <f t="shared" si="196"/>
        <v>#DIV/0!</v>
      </c>
      <c r="AP164" s="81" t="e">
        <f t="shared" si="197"/>
        <v>#DIV/0!</v>
      </c>
      <c r="AQ164" s="81" t="e">
        <f t="shared" si="198"/>
        <v>#DIV/0!</v>
      </c>
      <c r="AR164" s="7"/>
      <c r="AS164" s="76">
        <f t="shared" si="174"/>
        <v>30.76923076923077</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ht="15" x14ac:dyDescent="0.25">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ht="15" x14ac:dyDescent="0.25">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10</v>
      </c>
      <c r="H168" s="52">
        <f>G168/$J$5*100</f>
        <v>25</v>
      </c>
      <c r="I168" s="53">
        <f>COUNTIFS('00 Encuesta'!$B$2:$B$511,"*a)*",'00 Encuesta'!$C$2:$C$511,"*a)*",'00 Encuesta'!$E$2:$E$511,"*a)*",'00 Encuesta'!$V$2:$V$511,"*a)*")</f>
        <v>4</v>
      </c>
      <c r="J168" s="52">
        <f>I168/$J$6*100</f>
        <v>18.181818181818183</v>
      </c>
      <c r="K168" s="53">
        <f>COUNTIFS('00 Encuesta'!$B$2:$B$511,"*a)*",'00 Encuesta'!$C$2:$C$511,"*a)*",'00 Encuesta'!$E$2:$E$511,"*b)*",'00 Encuesta'!$V$2:$V$511,"*a)*")</f>
        <v>6</v>
      </c>
      <c r="L168" s="52">
        <f>K168/$J$7*100</f>
        <v>33.333333333333329</v>
      </c>
      <c r="M168" s="23"/>
      <c r="N168" s="51">
        <f>P168+R168</f>
        <v>7</v>
      </c>
      <c r="O168" s="52">
        <f>N168/$Q$5*100</f>
        <v>18.421052631578945</v>
      </c>
      <c r="P168" s="53">
        <f>COUNTIFS('00 Encuesta'!$B$2:$B$511,"*a)*",'00 Encuesta'!$C$2:$C$511,"*b)*",'00 Encuesta'!$E$2:$E$511,"*a)*",'00 Encuesta'!$V$2:$V$511,"*a)*")</f>
        <v>0</v>
      </c>
      <c r="Q168" s="52">
        <f>P168/$Q$6*100</f>
        <v>0</v>
      </c>
      <c r="R168" s="53">
        <f>COUNTIFS('00 Encuesta'!$B$2:$B$511,"*a)*",'00 Encuesta'!$C$2:$C$511,"*b)*",'00 Encuesta'!$E$2:$E$511,"*b)*",'00 Encuesta'!$V$2:$V$511,"*a)*")</f>
        <v>7</v>
      </c>
      <c r="S168" s="52">
        <f>R168/$Q$7*100</f>
        <v>28.000000000000004</v>
      </c>
      <c r="T168" s="3"/>
      <c r="U168" s="51">
        <f>W168+Y168</f>
        <v>0</v>
      </c>
      <c r="V168" s="52" t="e">
        <f>U168/$X$5*100</f>
        <v>#DIV/0!</v>
      </c>
      <c r="W168" s="53">
        <f>COUNTIFS('00 Encuesta'!$B$2:$B$511,"*a)*",'00 Encuesta'!$C$2:$C$511,"*c)*",'00 Encuesta'!$E$2:$E$511,"*a)*",'00 Encuesta'!$V$2:$V$511,"*a)*")</f>
        <v>0</v>
      </c>
      <c r="X168" s="52" t="e">
        <f>W168/$X$6*100</f>
        <v>#DIV/0!</v>
      </c>
      <c r="Y168" s="53">
        <f>COUNTIFS('00 Encuesta'!$B$2:$B$511,"*a)*",'00 Encuesta'!$C$2:$C$511,"*c)*",'00 Encuesta'!$E$2:$E$511,"*b)*",'00 Encuesta'!$V$2:$V$511,"*a)*")</f>
        <v>0</v>
      </c>
      <c r="Z168" s="52" t="e">
        <f>Y168/$X$7*100</f>
        <v>#DIV/0!</v>
      </c>
      <c r="AA168" s="3"/>
      <c r="AB168" s="62">
        <f>G168+N168+U168</f>
        <v>17</v>
      </c>
      <c r="AC168" s="52">
        <f>AB168*100/$AC$5</f>
        <v>21.794871794871796</v>
      </c>
      <c r="AD168" s="3"/>
      <c r="AE168" s="3"/>
      <c r="AF168" s="9" t="str">
        <f t="shared" si="199"/>
        <v>a) Suelo rezar por convicción o porque me gusta</v>
      </c>
      <c r="AG168" s="72">
        <f>J168</f>
        <v>18.181818181818183</v>
      </c>
      <c r="AH168" s="72">
        <f>L168</f>
        <v>33.333333333333329</v>
      </c>
      <c r="AI168" s="73">
        <f>H168</f>
        <v>25</v>
      </c>
      <c r="AJ168" s="73"/>
      <c r="AK168" s="76">
        <f>Q168</f>
        <v>0</v>
      </c>
      <c r="AL168" s="76">
        <f>S168</f>
        <v>28.000000000000004</v>
      </c>
      <c r="AM168" s="76">
        <f>O168</f>
        <v>18.421052631578945</v>
      </c>
      <c r="AN168" s="76"/>
      <c r="AO168" s="81" t="e">
        <f>X168</f>
        <v>#DIV/0!</v>
      </c>
      <c r="AP168" s="81" t="e">
        <f>Z168</f>
        <v>#DIV/0!</v>
      </c>
      <c r="AQ168" s="81" t="e">
        <f>V168</f>
        <v>#DIV/0!</v>
      </c>
      <c r="AR168" s="3"/>
      <c r="AS168" s="76">
        <f t="shared" si="174"/>
        <v>21.794871794871796</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ht="15" x14ac:dyDescent="0.25">
      <c r="A169" s="8" t="s">
        <v>18</v>
      </c>
      <c r="B169" s="9" t="s">
        <v>128</v>
      </c>
      <c r="C169" s="7"/>
      <c r="D169" s="7"/>
      <c r="E169" s="7"/>
      <c r="F169" s="71"/>
      <c r="G169" s="51">
        <f>I169+K169</f>
        <v>9</v>
      </c>
      <c r="H169" s="52">
        <f>G169/$J$5*100</f>
        <v>22.5</v>
      </c>
      <c r="I169" s="53">
        <f>COUNTIFS('00 Encuesta'!$B$2:$B$511,"*a)*",'00 Encuesta'!$C$2:$C$511,"*a)*",'00 Encuesta'!$E$2:$E$511,"*a)*",'00 Encuesta'!$V$2:$V$511,"*b)*")</f>
        <v>6</v>
      </c>
      <c r="J169" s="52">
        <f>I169/$J$6*100</f>
        <v>27.27272727272727</v>
      </c>
      <c r="K169" s="53">
        <f>COUNTIFS('00 Encuesta'!$B$2:$B$511,"*a)*",'00 Encuesta'!$C$2:$C$511,"*a)*",'00 Encuesta'!$E$2:$E$511,"*b)*",'00 Encuesta'!$V$2:$V$511,"*b)*")</f>
        <v>3</v>
      </c>
      <c r="L169" s="52">
        <f>K169/$J$7*100</f>
        <v>16.666666666666664</v>
      </c>
      <c r="M169" s="23"/>
      <c r="N169" s="51">
        <f>P169+R169</f>
        <v>11</v>
      </c>
      <c r="O169" s="52">
        <f>N169/$Q$5*100</f>
        <v>28.947368421052634</v>
      </c>
      <c r="P169" s="53">
        <f>COUNTIFS('00 Encuesta'!$B$2:$B$511,"*a)*",'00 Encuesta'!$C$2:$C$511,"*b)*",'00 Encuesta'!$E$2:$E$511,"*a)*",'00 Encuesta'!$V$2:$V$511,"*b)*")</f>
        <v>4</v>
      </c>
      <c r="Q169" s="52">
        <f>P169/$Q$6*100</f>
        <v>30.76923076923077</v>
      </c>
      <c r="R169" s="53">
        <f>COUNTIFS('00 Encuesta'!$B$2:$B$511,"*a)*",'00 Encuesta'!$C$2:$C$511,"*b)*",'00 Encuesta'!$E$2:$E$511,"*b)*",'00 Encuesta'!$V$2:$V$511,"*b)*")</f>
        <v>7</v>
      </c>
      <c r="S169" s="52">
        <f>R169/$Q$7*100</f>
        <v>28.000000000000004</v>
      </c>
      <c r="T169" s="3"/>
      <c r="U169" s="51">
        <f>W169+Y169</f>
        <v>0</v>
      </c>
      <c r="V169" s="52" t="e">
        <f>U169/$X$5*100</f>
        <v>#DIV/0!</v>
      </c>
      <c r="W169" s="53">
        <f>COUNTIFS('00 Encuesta'!$B$2:$B$511,"*a)*",'00 Encuesta'!$C$2:$C$511,"*c)*",'00 Encuesta'!$E$2:$E$511,"*a)*",'00 Encuesta'!$V$2:$V$511,"*b)*")</f>
        <v>0</v>
      </c>
      <c r="X169" s="52" t="e">
        <f>W169/$X$6*100</f>
        <v>#DIV/0!</v>
      </c>
      <c r="Y169" s="53">
        <f>COUNTIFS('00 Encuesta'!$B$2:$B$511,"*a)*",'00 Encuesta'!$C$2:$C$511,"*c)*",'00 Encuesta'!$E$2:$E$511,"*b)*",'00 Encuesta'!$V$2:$V$511,"*b)*")</f>
        <v>0</v>
      </c>
      <c r="Z169" s="52" t="e">
        <f>Y169/$X$7*100</f>
        <v>#DIV/0!</v>
      </c>
      <c r="AA169" s="3"/>
      <c r="AB169" s="62">
        <f>G169+N169+U169</f>
        <v>20</v>
      </c>
      <c r="AC169" s="52">
        <f>AB169*100/$AC$5</f>
        <v>25.641025641025642</v>
      </c>
      <c r="AD169" s="7"/>
      <c r="AE169" s="7"/>
      <c r="AF169" s="9" t="str">
        <f t="shared" si="199"/>
        <v>b) Rezo por costumbre</v>
      </c>
      <c r="AG169" s="72">
        <f>J169</f>
        <v>27.27272727272727</v>
      </c>
      <c r="AH169" s="72">
        <f>L169</f>
        <v>16.666666666666664</v>
      </c>
      <c r="AI169" s="73">
        <f>H169</f>
        <v>22.5</v>
      </c>
      <c r="AJ169" s="73"/>
      <c r="AK169" s="76">
        <f>Q169</f>
        <v>30.76923076923077</v>
      </c>
      <c r="AL169" s="76">
        <f>S169</f>
        <v>28.000000000000004</v>
      </c>
      <c r="AM169" s="76">
        <f>O169</f>
        <v>28.947368421052634</v>
      </c>
      <c r="AN169" s="76"/>
      <c r="AO169" s="81" t="e">
        <f>X169</f>
        <v>#DIV/0!</v>
      </c>
      <c r="AP169" s="81" t="e">
        <f>Z169</f>
        <v>#DIV/0!</v>
      </c>
      <c r="AQ169" s="81" t="e">
        <f>V169</f>
        <v>#DIV/0!</v>
      </c>
      <c r="AR169" s="3"/>
      <c r="AS169" s="76">
        <f t="shared" si="174"/>
        <v>25.641025641025642</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13</v>
      </c>
      <c r="H170" s="52">
        <f>G170/$J$5*100</f>
        <v>32.5</v>
      </c>
      <c r="I170" s="53">
        <f>COUNTIFS('00 Encuesta'!$B$2:$B$511,"*a)*",'00 Encuesta'!$C$2:$C$511,"*a)*",'00 Encuesta'!$E$2:$E$511,"*a)*",'00 Encuesta'!$V$2:$V$511,"*c)*")</f>
        <v>8</v>
      </c>
      <c r="J170" s="52">
        <f>I170/$J$6*100</f>
        <v>36.363636363636367</v>
      </c>
      <c r="K170" s="53">
        <f>COUNTIFS('00 Encuesta'!$B$2:$B$511,"*a)*",'00 Encuesta'!$C$2:$C$511,"*a)*",'00 Encuesta'!$E$2:$E$511,"*b)*",'00 Encuesta'!$V$2:$V$511,"*c)*")</f>
        <v>5</v>
      </c>
      <c r="L170" s="52">
        <f>K170/$J$7*100</f>
        <v>27.777777777777779</v>
      </c>
      <c r="M170" s="23"/>
      <c r="N170" s="51">
        <f>P170+R170</f>
        <v>10</v>
      </c>
      <c r="O170" s="52">
        <f>N170/$Q$5*100</f>
        <v>26.315789473684209</v>
      </c>
      <c r="P170" s="53">
        <f>COUNTIFS('00 Encuesta'!$B$2:$B$511,"*a)*",'00 Encuesta'!$C$2:$C$511,"*b)*",'00 Encuesta'!$E$2:$E$511,"*a)*",'00 Encuesta'!$V$2:$V$511,"*c)*")</f>
        <v>4</v>
      </c>
      <c r="Q170" s="52">
        <f>P170/$Q$6*100</f>
        <v>30.76923076923077</v>
      </c>
      <c r="R170" s="53">
        <f>COUNTIFS('00 Encuesta'!$B$2:$B$511,"*a)*",'00 Encuesta'!$C$2:$C$511,"*b)*",'00 Encuesta'!$E$2:$E$511,"*b)*",'00 Encuesta'!$V$2:$V$511,"*c)*")</f>
        <v>6</v>
      </c>
      <c r="S170" s="52">
        <f>R170/$Q$7*100</f>
        <v>24</v>
      </c>
      <c r="T170" s="3"/>
      <c r="U170" s="51">
        <f>W170+Y170</f>
        <v>0</v>
      </c>
      <c r="V170" s="52" t="e">
        <f>U170/$X$5*100</f>
        <v>#DIV/0!</v>
      </c>
      <c r="W170" s="53">
        <f>COUNTIFS('00 Encuesta'!$B$2:$B$511,"*a)*",'00 Encuesta'!$C$2:$C$511,"*c)*",'00 Encuesta'!$E$2:$E$511,"*a)*",'00 Encuesta'!$V$2:$V$511,"*c)*")</f>
        <v>0</v>
      </c>
      <c r="X170" s="52" t="e">
        <f>W170/$X$6*100</f>
        <v>#DIV/0!</v>
      </c>
      <c r="Y170" s="53">
        <f>COUNTIFS('00 Encuesta'!$B$2:$B$511,"*a)*",'00 Encuesta'!$C$2:$C$511,"*c)*",'00 Encuesta'!$E$2:$E$511,"*b)*",'00 Encuesta'!$V$2:$V$511,"*c)*")</f>
        <v>0</v>
      </c>
      <c r="Z170" s="52" t="e">
        <f>Y170/$X$7*100</f>
        <v>#DIV/0!</v>
      </c>
      <c r="AA170" s="3"/>
      <c r="AB170" s="62">
        <f>G170+N170+U170</f>
        <v>23</v>
      </c>
      <c r="AC170" s="52">
        <f>AB170*100/$AC$5</f>
        <v>29.487179487179485</v>
      </c>
      <c r="AD170" s="7"/>
      <c r="AE170" s="7"/>
      <c r="AF170" s="9" t="str">
        <f t="shared" si="199"/>
        <v>c) Rezo solo en situación de dificultad</v>
      </c>
      <c r="AG170" s="72">
        <f>J170</f>
        <v>36.363636363636367</v>
      </c>
      <c r="AH170" s="72">
        <f>L170</f>
        <v>27.777777777777779</v>
      </c>
      <c r="AI170" s="73">
        <f>H170</f>
        <v>32.5</v>
      </c>
      <c r="AJ170" s="73"/>
      <c r="AK170" s="76">
        <f>Q170</f>
        <v>30.76923076923077</v>
      </c>
      <c r="AL170" s="76">
        <f>S170</f>
        <v>24</v>
      </c>
      <c r="AM170" s="76">
        <f>O170</f>
        <v>26.315789473684209</v>
      </c>
      <c r="AN170" s="76"/>
      <c r="AO170" s="81" t="e">
        <f>X170</f>
        <v>#DIV/0!</v>
      </c>
      <c r="AP170" s="81" t="e">
        <f>Z170</f>
        <v>#DIV/0!</v>
      </c>
      <c r="AQ170" s="81" t="e">
        <f>V170</f>
        <v>#DIV/0!</v>
      </c>
      <c r="AR170" s="7"/>
      <c r="AS170" s="76">
        <f t="shared" si="174"/>
        <v>29.487179487179485</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ht="15" x14ac:dyDescent="0.25">
      <c r="A171" s="8" t="s">
        <v>21</v>
      </c>
      <c r="B171" s="9" t="s">
        <v>130</v>
      </c>
      <c r="C171" s="7"/>
      <c r="D171" s="7"/>
      <c r="E171" s="7"/>
      <c r="F171" s="71"/>
      <c r="G171" s="51">
        <f>I171+K171</f>
        <v>6</v>
      </c>
      <c r="H171" s="52">
        <f>G171/$J$5*100</f>
        <v>15</v>
      </c>
      <c r="I171" s="53">
        <f>COUNTIFS('00 Encuesta'!$B$2:$B$511,"*a)*",'00 Encuesta'!$C$2:$C$511,"*a)*",'00 Encuesta'!$E$2:$E$511,"*a)*",'00 Encuesta'!$V$2:$V$511,"*d)*")</f>
        <v>3</v>
      </c>
      <c r="J171" s="52">
        <f>I171/$J$6*100</f>
        <v>13.636363636363635</v>
      </c>
      <c r="K171" s="53">
        <f>COUNTIFS('00 Encuesta'!$B$2:$B$511,"*a)*",'00 Encuesta'!$C$2:$C$511,"*a)*",'00 Encuesta'!$E$2:$E$511,"*b)*",'00 Encuesta'!$V$2:$V$511,"*d)*")</f>
        <v>3</v>
      </c>
      <c r="L171" s="52">
        <f>K171/$J$7*100</f>
        <v>16.666666666666664</v>
      </c>
      <c r="M171" s="23"/>
      <c r="N171" s="51">
        <f>P171+R171</f>
        <v>8</v>
      </c>
      <c r="O171" s="52">
        <f>N171/$Q$5*100</f>
        <v>21.052631578947366</v>
      </c>
      <c r="P171" s="53">
        <f>COUNTIFS('00 Encuesta'!$B$2:$B$511,"*a)*",'00 Encuesta'!$C$2:$C$511,"*b)*",'00 Encuesta'!$E$2:$E$511,"*a)*",'00 Encuesta'!$V$2:$V$511,"*d)*")</f>
        <v>5</v>
      </c>
      <c r="Q171" s="52">
        <f>P171/$Q$6*100</f>
        <v>38.461538461538467</v>
      </c>
      <c r="R171" s="53">
        <f>COUNTIFS('00 Encuesta'!$B$2:$B$511,"*a)*",'00 Encuesta'!$C$2:$C$511,"*b)*",'00 Encuesta'!$E$2:$E$511,"*b)*",'00 Encuesta'!$V$2:$V$511,"*d)*")</f>
        <v>3</v>
      </c>
      <c r="S171" s="52">
        <f>R171/$Q$7*100</f>
        <v>12</v>
      </c>
      <c r="T171" s="3"/>
      <c r="U171" s="51">
        <f>W171+Y171</f>
        <v>0</v>
      </c>
      <c r="V171" s="52" t="e">
        <f>U171/$X$5*100</f>
        <v>#DIV/0!</v>
      </c>
      <c r="W171" s="53">
        <f>COUNTIFS('00 Encuesta'!$B$2:$B$511,"*a)*",'00 Encuesta'!$C$2:$C$511,"*c)*",'00 Encuesta'!$E$2:$E$511,"*a)*",'00 Encuesta'!$V$2:$V$511,"*d)*")</f>
        <v>0</v>
      </c>
      <c r="X171" s="52" t="e">
        <f>W171/$X$6*100</f>
        <v>#DIV/0!</v>
      </c>
      <c r="Y171" s="53">
        <f>COUNTIFS('00 Encuesta'!$B$2:$B$511,"*a)*",'00 Encuesta'!$C$2:$C$511,"*c)*",'00 Encuesta'!$E$2:$E$511,"*b)*",'00 Encuesta'!$V$2:$V$511,"*d)*")</f>
        <v>0</v>
      </c>
      <c r="Z171" s="52" t="e">
        <f>Y171/$X$7*100</f>
        <v>#DIV/0!</v>
      </c>
      <c r="AA171" s="3"/>
      <c r="AB171" s="62">
        <f>G171+N171+U171</f>
        <v>14</v>
      </c>
      <c r="AC171" s="52">
        <f>AB171*100/$AC$5</f>
        <v>17.948717948717949</v>
      </c>
      <c r="AD171" s="3"/>
      <c r="AE171" s="3"/>
      <c r="AF171" s="9" t="str">
        <f t="shared" si="199"/>
        <v>d) No rezo nunca</v>
      </c>
      <c r="AG171" s="72">
        <f>J171</f>
        <v>13.636363636363635</v>
      </c>
      <c r="AH171" s="72">
        <f>L171</f>
        <v>16.666666666666664</v>
      </c>
      <c r="AI171" s="73">
        <f>H171</f>
        <v>15</v>
      </c>
      <c r="AJ171" s="73"/>
      <c r="AK171" s="76">
        <f>Q171</f>
        <v>38.461538461538467</v>
      </c>
      <c r="AL171" s="76">
        <f>S171</f>
        <v>12</v>
      </c>
      <c r="AM171" s="76">
        <f>O171</f>
        <v>21.052631578947366</v>
      </c>
      <c r="AN171" s="76"/>
      <c r="AO171" s="81" t="e">
        <f>X171</f>
        <v>#DIV/0!</v>
      </c>
      <c r="AP171" s="81" t="e">
        <f>Z171</f>
        <v>#DIV/0!</v>
      </c>
      <c r="AQ171" s="81" t="e">
        <f>V171</f>
        <v>#DIV/0!</v>
      </c>
      <c r="AR171" s="7"/>
      <c r="AS171" s="76">
        <f t="shared" si="174"/>
        <v>17.948717948717949</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ht="15" x14ac:dyDescent="0.25">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f>N172/$Q$5*100</f>
        <v>0</v>
      </c>
      <c r="P172" s="53"/>
      <c r="Q172" s="52">
        <f>P172/$Q$6*100</f>
        <v>0</v>
      </c>
      <c r="R172" s="53"/>
      <c r="S172" s="52">
        <f>R172/$Q$7*100</f>
        <v>0</v>
      </c>
      <c r="T172" s="3"/>
      <c r="U172" s="51">
        <f>W172+Y172</f>
        <v>0</v>
      </c>
      <c r="V172" s="52" t="e">
        <f>U172/$X$5*100</f>
        <v>#DIV/0!</v>
      </c>
      <c r="W172" s="53"/>
      <c r="X172" s="52" t="e">
        <f>W172/$X$6*100</f>
        <v>#DIV/0!</v>
      </c>
      <c r="Y172" s="53"/>
      <c r="Z172" s="52" t="e">
        <f>Y172/$X$7*100</f>
        <v>#DIV/0!</v>
      </c>
      <c r="AA172" s="3"/>
      <c r="AB172" s="62">
        <f>G172+N172+U172</f>
        <v>0</v>
      </c>
      <c r="AC172" s="52">
        <f>AB172*100/$AC$5</f>
        <v>0</v>
      </c>
      <c r="AD172" s="3"/>
      <c r="AE172" s="3"/>
      <c r="AF172" s="9" t="str">
        <f t="shared" si="199"/>
        <v>S/R Sin Respuesta</v>
      </c>
      <c r="AG172" s="72">
        <f>J172</f>
        <v>0</v>
      </c>
      <c r="AH172" s="72">
        <f>L172</f>
        <v>0</v>
      </c>
      <c r="AI172" s="73">
        <f>H172</f>
        <v>0</v>
      </c>
      <c r="AJ172" s="73"/>
      <c r="AK172" s="76">
        <f>Q172</f>
        <v>0</v>
      </c>
      <c r="AL172" s="76">
        <f>S172</f>
        <v>0</v>
      </c>
      <c r="AM172" s="76">
        <f>O172</f>
        <v>0</v>
      </c>
      <c r="AN172" s="76"/>
      <c r="AO172" s="81" t="e">
        <f>X172</f>
        <v>#DIV/0!</v>
      </c>
      <c r="AP172" s="81" t="e">
        <f>Z172</f>
        <v>#DIV/0!</v>
      </c>
      <c r="AQ172" s="81" t="e">
        <f>V172</f>
        <v>#DIV/0!</v>
      </c>
      <c r="AR172" s="3"/>
      <c r="AS172" s="76">
        <f t="shared" si="174"/>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ht="15" x14ac:dyDescent="0.25">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ht="15" x14ac:dyDescent="0.25">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ht="15" x14ac:dyDescent="0.25">
      <c r="A175" s="8" t="s">
        <v>17</v>
      </c>
      <c r="B175" s="9" t="s">
        <v>132</v>
      </c>
      <c r="C175" s="7"/>
      <c r="D175" s="7"/>
      <c r="E175" s="7"/>
      <c r="F175" s="71"/>
      <c r="G175" s="51">
        <f>I175+K175</f>
        <v>3</v>
      </c>
      <c r="H175" s="52">
        <f>G175/$J$5*100</f>
        <v>7.5</v>
      </c>
      <c r="I175" s="53">
        <f>COUNTIFS('00 Encuesta'!$B$2:$B$511,"*a)*",'00 Encuesta'!$C$2:$C$511,"*a)*",'00 Encuesta'!$E$2:$E$511,"*a)*",'00 Encuesta'!$W$2:$W$511,"*a)*")</f>
        <v>1</v>
      </c>
      <c r="J175" s="52">
        <f>I175/$J$6*100</f>
        <v>4.5454545454545459</v>
      </c>
      <c r="K175" s="53">
        <f>COUNTIFS('00 Encuesta'!$B$2:$B$511,"*a)*",'00 Encuesta'!$C$2:$C$511,"*a)*",'00 Encuesta'!$E$2:$E$511,"*b)*",'00 Encuesta'!$W$2:$W$511,"*a)*")</f>
        <v>2</v>
      </c>
      <c r="L175" s="52">
        <f>K175/$J$7*100</f>
        <v>11.111111111111111</v>
      </c>
      <c r="M175" s="23"/>
      <c r="N175" s="51">
        <f>P175+R175</f>
        <v>3</v>
      </c>
      <c r="O175" s="52">
        <f>N175/$Q$5*100</f>
        <v>7.8947368421052628</v>
      </c>
      <c r="P175" s="53">
        <f>COUNTIFS('00 Encuesta'!$B$2:$B$511,"*a)*",'00 Encuesta'!$C$2:$C$511,"*b)*",'00 Encuesta'!$E$2:$E$511,"*a)*",'00 Encuesta'!$W$2:$W$511,"*a)*")</f>
        <v>1</v>
      </c>
      <c r="Q175" s="52">
        <f>P175/$Q$6*100</f>
        <v>7.6923076923076925</v>
      </c>
      <c r="R175" s="53">
        <f>COUNTIFS('00 Encuesta'!$B$2:$B$511,"*a)*",'00 Encuesta'!$C$2:$C$511,"*b)*",'00 Encuesta'!$E$2:$E$511,"*b)*",'00 Encuesta'!$W$2:$W$511,"*a)*")</f>
        <v>2</v>
      </c>
      <c r="S175" s="52">
        <f>R175/$Q$7*100</f>
        <v>8</v>
      </c>
      <c r="T175" s="3"/>
      <c r="U175" s="51">
        <f>W175+Y175</f>
        <v>0</v>
      </c>
      <c r="V175" s="52" t="e">
        <f>U175/$X$5*100</f>
        <v>#DIV/0!</v>
      </c>
      <c r="W175" s="53">
        <f>COUNTIFS('00 Encuesta'!$B$2:$B$511,"*a)*",'00 Encuesta'!$C$2:$C$511,"*c)*",'00 Encuesta'!$E$2:$E$511,"*a)*",'00 Encuesta'!$W$2:$W$511,"*a)*")</f>
        <v>0</v>
      </c>
      <c r="X175" s="52" t="e">
        <f>W175/$X$6*100</f>
        <v>#DIV/0!</v>
      </c>
      <c r="Y175" s="53">
        <f>COUNTIFS('00 Encuesta'!$B$2:$B$511,"*a)*",'00 Encuesta'!$C$2:$C$511,"*c)*",'00 Encuesta'!$E$2:$E$511,"*b)*",'00 Encuesta'!$W$2:$W$511,"*a)*")</f>
        <v>0</v>
      </c>
      <c r="Z175" s="52" t="e">
        <f>Y175/$X$7*100</f>
        <v>#DIV/0!</v>
      </c>
      <c r="AA175" s="3"/>
      <c r="AB175" s="62">
        <f>G175+N175+U175</f>
        <v>6</v>
      </c>
      <c r="AC175" s="52">
        <f>AB175*100/$AC$5</f>
        <v>7.6923076923076925</v>
      </c>
      <c r="AD175" s="3"/>
      <c r="AE175" s="3"/>
      <c r="AF175" s="9" t="str">
        <f t="shared" si="200"/>
        <v>a) Todos los domingos</v>
      </c>
      <c r="AG175" s="72">
        <f>J175</f>
        <v>4.5454545454545459</v>
      </c>
      <c r="AH175" s="72">
        <f>L175</f>
        <v>11.111111111111111</v>
      </c>
      <c r="AI175" s="73">
        <f>H175</f>
        <v>7.5</v>
      </c>
      <c r="AJ175" s="73"/>
      <c r="AK175" s="76">
        <f>Q175</f>
        <v>7.6923076923076925</v>
      </c>
      <c r="AL175" s="76">
        <f>S175</f>
        <v>8</v>
      </c>
      <c r="AM175" s="76">
        <f>O175</f>
        <v>7.8947368421052628</v>
      </c>
      <c r="AN175" s="76"/>
      <c r="AO175" s="81" t="e">
        <f>X175</f>
        <v>#DIV/0!</v>
      </c>
      <c r="AP175" s="81" t="e">
        <f>Z175</f>
        <v>#DIV/0!</v>
      </c>
      <c r="AQ175" s="81" t="e">
        <f>V175</f>
        <v>#DIV/0!</v>
      </c>
      <c r="AR175" s="3"/>
      <c r="AS175" s="76">
        <f t="shared" si="174"/>
        <v>7.6923076923076925</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ht="15" x14ac:dyDescent="0.25">
      <c r="A176" s="8" t="s">
        <v>18</v>
      </c>
      <c r="B176" s="9" t="s">
        <v>133</v>
      </c>
      <c r="C176" s="7"/>
      <c r="D176" s="7"/>
      <c r="E176" s="7"/>
      <c r="F176" s="71"/>
      <c r="G176" s="51">
        <f>I176+K176</f>
        <v>9</v>
      </c>
      <c r="H176" s="52">
        <f>G176/$J$5*100</f>
        <v>22.5</v>
      </c>
      <c r="I176" s="53">
        <f>COUNTIFS('00 Encuesta'!$B$2:$B$511,"*a)*",'00 Encuesta'!$C$2:$C$511,"*a)*",'00 Encuesta'!$E$2:$E$511,"*a)*",'00 Encuesta'!$W$2:$W$511,"*b)*")</f>
        <v>4</v>
      </c>
      <c r="J176" s="52">
        <f>I176/$J$6*100</f>
        <v>18.181818181818183</v>
      </c>
      <c r="K176" s="53">
        <f>COUNTIFS('00 Encuesta'!$B$2:$B$511,"*a)*",'00 Encuesta'!$C$2:$C$511,"*a)*",'00 Encuesta'!$E$2:$E$511,"*b)*",'00 Encuesta'!$W$2:$W$511,"*b)*")</f>
        <v>5</v>
      </c>
      <c r="L176" s="52">
        <f>K176/$J$7*100</f>
        <v>27.777777777777779</v>
      </c>
      <c r="M176" s="23"/>
      <c r="N176" s="51">
        <f>P176+R176</f>
        <v>2</v>
      </c>
      <c r="O176" s="52">
        <f>N176/$Q$5*100</f>
        <v>5.2631578947368416</v>
      </c>
      <c r="P176" s="53">
        <f>COUNTIFS('00 Encuesta'!$B$2:$B$511,"*a)*",'00 Encuesta'!$C$2:$C$511,"*b)*",'00 Encuesta'!$E$2:$E$511,"*a)*",'00 Encuesta'!$W$2:$W$511,"*b)*")</f>
        <v>1</v>
      </c>
      <c r="Q176" s="52">
        <f>P176/$Q$6*100</f>
        <v>7.6923076923076925</v>
      </c>
      <c r="R176" s="53">
        <f>COUNTIFS('00 Encuesta'!$B$2:$B$511,"*a)*",'00 Encuesta'!$C$2:$C$511,"*b)*",'00 Encuesta'!$E$2:$E$511,"*b)*",'00 Encuesta'!$W$2:$W$511,"*b)*")</f>
        <v>1</v>
      </c>
      <c r="S176" s="52">
        <f>R176/$Q$7*100</f>
        <v>4</v>
      </c>
      <c r="T176" s="3"/>
      <c r="U176" s="51">
        <f>W176+Y176</f>
        <v>0</v>
      </c>
      <c r="V176" s="52" t="e">
        <f>U176/$X$5*100</f>
        <v>#DIV/0!</v>
      </c>
      <c r="W176" s="53">
        <f>COUNTIFS('00 Encuesta'!$B$2:$B$511,"*a)*",'00 Encuesta'!$C$2:$C$511,"*c)*",'00 Encuesta'!$E$2:$E$511,"*a)*",'00 Encuesta'!$W$2:$W$511,"*b)*")</f>
        <v>0</v>
      </c>
      <c r="X176" s="52" t="e">
        <f>W176/$X$6*100</f>
        <v>#DIV/0!</v>
      </c>
      <c r="Y176" s="53">
        <f>COUNTIFS('00 Encuesta'!$B$2:$B$511,"*a)*",'00 Encuesta'!$C$2:$C$511,"*c)*",'00 Encuesta'!$E$2:$E$511,"*b)*",'00 Encuesta'!$W$2:$W$511,"*b)*")</f>
        <v>0</v>
      </c>
      <c r="Z176" s="52" t="e">
        <f>Y176/$X$7*100</f>
        <v>#DIV/0!</v>
      </c>
      <c r="AA176" s="3"/>
      <c r="AB176" s="62">
        <f>G176+N176+U176</f>
        <v>11</v>
      </c>
      <c r="AC176" s="52">
        <f>AB176*100/$AC$5</f>
        <v>14.102564102564102</v>
      </c>
      <c r="AD176" s="3"/>
      <c r="AE176" s="3"/>
      <c r="AF176" s="9" t="str">
        <f t="shared" si="200"/>
        <v>b) Algunos domingos</v>
      </c>
      <c r="AG176" s="72">
        <f>J176</f>
        <v>18.181818181818183</v>
      </c>
      <c r="AH176" s="72">
        <f>L176</f>
        <v>27.777777777777779</v>
      </c>
      <c r="AI176" s="73">
        <f>H176</f>
        <v>22.5</v>
      </c>
      <c r="AJ176" s="73"/>
      <c r="AK176" s="76">
        <f>Q176</f>
        <v>7.6923076923076925</v>
      </c>
      <c r="AL176" s="76">
        <f>S176</f>
        <v>4</v>
      </c>
      <c r="AM176" s="76">
        <f>O176</f>
        <v>5.2631578947368416</v>
      </c>
      <c r="AN176" s="76"/>
      <c r="AO176" s="81" t="e">
        <f>X176</f>
        <v>#DIV/0!</v>
      </c>
      <c r="AP176" s="81" t="e">
        <f>Z176</f>
        <v>#DIV/0!</v>
      </c>
      <c r="AQ176" s="81" t="e">
        <f>V176</f>
        <v>#DIV/0!</v>
      </c>
      <c r="AR176" s="3"/>
      <c r="AS176" s="76">
        <f t="shared" si="174"/>
        <v>14.102564102564102</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14</v>
      </c>
      <c r="H177" s="52">
        <f>G177/$J$5*100</f>
        <v>35</v>
      </c>
      <c r="I177" s="53">
        <f>COUNTIFS('00 Encuesta'!$B$2:$B$511,"*a)*",'00 Encuesta'!$C$2:$C$511,"*a)*",'00 Encuesta'!$E$2:$E$511,"*a)*",'00 Encuesta'!$W$2:$W$511,"*c)*")</f>
        <v>8</v>
      </c>
      <c r="J177" s="52">
        <f>I177/$J$6*100</f>
        <v>36.363636363636367</v>
      </c>
      <c r="K177" s="53">
        <f>COUNTIFS('00 Encuesta'!$B$2:$B$511,"*a)*",'00 Encuesta'!$C$2:$C$511,"*a)*",'00 Encuesta'!$E$2:$E$511,"*b)*",'00 Encuesta'!$W$2:$W$511,"*c)*")</f>
        <v>6</v>
      </c>
      <c r="L177" s="52">
        <f>K177/$J$7*100</f>
        <v>33.333333333333329</v>
      </c>
      <c r="M177" s="23"/>
      <c r="N177" s="51">
        <f>P177+R177</f>
        <v>15</v>
      </c>
      <c r="O177" s="52">
        <f>N177/$Q$5*100</f>
        <v>39.473684210526315</v>
      </c>
      <c r="P177" s="53">
        <f>COUNTIFS('00 Encuesta'!$B$2:$B$511,"*a)*",'00 Encuesta'!$C$2:$C$511,"*b)*",'00 Encuesta'!$E$2:$E$511,"*a)*",'00 Encuesta'!$W$2:$W$511,"*c)*")</f>
        <v>7</v>
      </c>
      <c r="Q177" s="52">
        <f>P177/$Q$6*100</f>
        <v>53.846153846153847</v>
      </c>
      <c r="R177" s="53">
        <f>COUNTIFS('00 Encuesta'!$B$2:$B$511,"*a)*",'00 Encuesta'!$C$2:$C$511,"*b)*",'00 Encuesta'!$E$2:$E$511,"*b)*",'00 Encuesta'!$W$2:$W$511,"*c)*")</f>
        <v>8</v>
      </c>
      <c r="S177" s="52">
        <f>R177/$Q$7*100</f>
        <v>32</v>
      </c>
      <c r="T177" s="3"/>
      <c r="U177" s="51">
        <f>W177+Y177</f>
        <v>0</v>
      </c>
      <c r="V177" s="52" t="e">
        <f>U177/$X$5*100</f>
        <v>#DIV/0!</v>
      </c>
      <c r="W177" s="53">
        <f>COUNTIFS('00 Encuesta'!$B$2:$B$511,"*a)*",'00 Encuesta'!$C$2:$C$511,"*c)*",'00 Encuesta'!$E$2:$E$511,"*a)*",'00 Encuesta'!$W$2:$W$511,"*c)*")</f>
        <v>0</v>
      </c>
      <c r="X177" s="52" t="e">
        <f>W177/$X$6*100</f>
        <v>#DIV/0!</v>
      </c>
      <c r="Y177" s="53">
        <f>COUNTIFS('00 Encuesta'!$B$2:$B$511,"*a)*",'00 Encuesta'!$C$2:$C$511,"*c)*",'00 Encuesta'!$E$2:$E$511,"*b)*",'00 Encuesta'!$W$2:$W$511,"*c)*")</f>
        <v>0</v>
      </c>
      <c r="Z177" s="52" t="e">
        <f>Y177/$X$7*100</f>
        <v>#DIV/0!</v>
      </c>
      <c r="AA177" s="3"/>
      <c r="AB177" s="62">
        <f>G177+N177+U177</f>
        <v>29</v>
      </c>
      <c r="AC177" s="52">
        <f>AB177*100/$AC$5</f>
        <v>37.179487179487182</v>
      </c>
      <c r="AD177" s="3"/>
      <c r="AE177" s="3"/>
      <c r="AF177" s="9" t="str">
        <f t="shared" si="200"/>
        <v>c) Sólo en fechas especiales</v>
      </c>
      <c r="AG177" s="72">
        <f>J177</f>
        <v>36.363636363636367</v>
      </c>
      <c r="AH177" s="72">
        <f>L177</f>
        <v>33.333333333333329</v>
      </c>
      <c r="AI177" s="73">
        <f>H177</f>
        <v>35</v>
      </c>
      <c r="AJ177" s="73"/>
      <c r="AK177" s="76">
        <f>Q177</f>
        <v>53.846153846153847</v>
      </c>
      <c r="AL177" s="76">
        <f>S177</f>
        <v>32</v>
      </c>
      <c r="AM177" s="76">
        <f>O177</f>
        <v>39.473684210526315</v>
      </c>
      <c r="AN177" s="76"/>
      <c r="AO177" s="81" t="e">
        <f>X177</f>
        <v>#DIV/0!</v>
      </c>
      <c r="AP177" s="81" t="e">
        <f>Z177</f>
        <v>#DIV/0!</v>
      </c>
      <c r="AQ177" s="81" t="e">
        <f>V177</f>
        <v>#DIV/0!</v>
      </c>
      <c r="AR177" s="3"/>
      <c r="AS177" s="76">
        <f t="shared" si="174"/>
        <v>37.179487179487182</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ht="15" x14ac:dyDescent="0.25">
      <c r="A178" s="8" t="s">
        <v>21</v>
      </c>
      <c r="B178" s="9" t="s">
        <v>135</v>
      </c>
      <c r="C178" s="7"/>
      <c r="D178" s="7"/>
      <c r="E178" s="7"/>
      <c r="F178" s="71"/>
      <c r="G178" s="51">
        <f>I178+K178</f>
        <v>14</v>
      </c>
      <c r="H178" s="52">
        <f>G178/$J$5*100</f>
        <v>35</v>
      </c>
      <c r="I178" s="53">
        <f>COUNTIFS('00 Encuesta'!$B$2:$B$511,"*a)*",'00 Encuesta'!$C$2:$C$511,"*a)*",'00 Encuesta'!$E$2:$E$511,"*a)*",'00 Encuesta'!$W$2:$W$511,"*d)*")</f>
        <v>9</v>
      </c>
      <c r="J178" s="52">
        <f>I178/$J$6*100</f>
        <v>40.909090909090914</v>
      </c>
      <c r="K178" s="53">
        <f>COUNTIFS('00 Encuesta'!$B$2:$B$511,"*a)*",'00 Encuesta'!$C$2:$C$511,"*a)*",'00 Encuesta'!$E$2:$E$511,"*b)*",'00 Encuesta'!$W$2:$W$511,"*d)*")</f>
        <v>5</v>
      </c>
      <c r="L178" s="52">
        <f>K178/$J$7*100</f>
        <v>27.777777777777779</v>
      </c>
      <c r="M178" s="23"/>
      <c r="N178" s="51">
        <f>P178+R178</f>
        <v>16</v>
      </c>
      <c r="O178" s="52">
        <f>N178/$Q$5*100</f>
        <v>42.105263157894733</v>
      </c>
      <c r="P178" s="53">
        <f>COUNTIFS('00 Encuesta'!$B$2:$B$511,"*a)*",'00 Encuesta'!$C$2:$C$511,"*b)*",'00 Encuesta'!$E$2:$E$511,"*a)*",'00 Encuesta'!$W$2:$W$511,"*d)*")</f>
        <v>4</v>
      </c>
      <c r="Q178" s="52">
        <f>P178/$Q$6*100</f>
        <v>30.76923076923077</v>
      </c>
      <c r="R178" s="53">
        <f>COUNTIFS('00 Encuesta'!$B$2:$B$511,"*a)*",'00 Encuesta'!$C$2:$C$511,"*b)*",'00 Encuesta'!$E$2:$E$511,"*b)*",'00 Encuesta'!$W$2:$W$511,"*d)*")</f>
        <v>12</v>
      </c>
      <c r="S178" s="52">
        <f>R178/$Q$7*100</f>
        <v>48</v>
      </c>
      <c r="T178" s="3"/>
      <c r="U178" s="51">
        <f>W178+Y178</f>
        <v>0</v>
      </c>
      <c r="V178" s="52" t="e">
        <f>U178/$X$5*100</f>
        <v>#DIV/0!</v>
      </c>
      <c r="W178" s="53">
        <f>COUNTIFS('00 Encuesta'!$B$2:$B$511,"*a)*",'00 Encuesta'!$C$2:$C$511,"*c)*",'00 Encuesta'!$E$2:$E$511,"*a)*",'00 Encuesta'!$W$2:$W$511,"*d)*")</f>
        <v>0</v>
      </c>
      <c r="X178" s="52" t="e">
        <f>W178/$X$6*100</f>
        <v>#DIV/0!</v>
      </c>
      <c r="Y178" s="53">
        <f>COUNTIFS('00 Encuesta'!$B$2:$B$511,"*a)*",'00 Encuesta'!$C$2:$C$511,"*c)*",'00 Encuesta'!$E$2:$E$511,"*b)*",'00 Encuesta'!$W$2:$W$511,"*d)*")</f>
        <v>0</v>
      </c>
      <c r="Z178" s="52" t="e">
        <f>Y178/$X$7*100</f>
        <v>#DIV/0!</v>
      </c>
      <c r="AA178" s="3"/>
      <c r="AB178" s="62">
        <f>G178+N178+U178</f>
        <v>30</v>
      </c>
      <c r="AC178" s="52">
        <f>AB178*100/$AC$5</f>
        <v>38.46153846153846</v>
      </c>
      <c r="AD178" s="7"/>
      <c r="AE178" s="7"/>
      <c r="AF178" s="9" t="str">
        <f t="shared" si="200"/>
        <v>d) Nunca</v>
      </c>
      <c r="AG178" s="72">
        <f>J178</f>
        <v>40.909090909090914</v>
      </c>
      <c r="AH178" s="72">
        <f>L178</f>
        <v>27.777777777777779</v>
      </c>
      <c r="AI178" s="73">
        <f>H178</f>
        <v>35</v>
      </c>
      <c r="AJ178" s="73"/>
      <c r="AK178" s="76">
        <f>Q178</f>
        <v>30.76923076923077</v>
      </c>
      <c r="AL178" s="76">
        <f>S178</f>
        <v>48</v>
      </c>
      <c r="AM178" s="76">
        <f>O178</f>
        <v>42.105263157894733</v>
      </c>
      <c r="AN178" s="76"/>
      <c r="AO178" s="81" t="e">
        <f>X178</f>
        <v>#DIV/0!</v>
      </c>
      <c r="AP178" s="81" t="e">
        <f>Z178</f>
        <v>#DIV/0!</v>
      </c>
      <c r="AQ178" s="81" t="e">
        <f>V178</f>
        <v>#DIV/0!</v>
      </c>
      <c r="AR178" s="3"/>
      <c r="AS178" s="76">
        <f t="shared" si="174"/>
        <v>38.46153846153846</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ht="15" x14ac:dyDescent="0.25">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f>N179/$Q$5*100</f>
        <v>0</v>
      </c>
      <c r="P179" s="53"/>
      <c r="Q179" s="52">
        <f>P179/$Q$6*100</f>
        <v>0</v>
      </c>
      <c r="R179" s="53"/>
      <c r="S179" s="52">
        <f>R179/$Q$7*100</f>
        <v>0</v>
      </c>
      <c r="T179" s="3"/>
      <c r="U179" s="51">
        <f>W179+Y179</f>
        <v>0</v>
      </c>
      <c r="V179" s="52" t="e">
        <f>U179/$X$5*100</f>
        <v>#DIV/0!</v>
      </c>
      <c r="W179" s="53"/>
      <c r="X179" s="52" t="e">
        <f>W179/$X$6*100</f>
        <v>#DIV/0!</v>
      </c>
      <c r="Y179" s="53"/>
      <c r="Z179" s="52" t="e">
        <f>Y179/$X$7*100</f>
        <v>#DIV/0!</v>
      </c>
      <c r="AA179" s="3"/>
      <c r="AB179" s="62">
        <f>G179+N179+U179</f>
        <v>0</v>
      </c>
      <c r="AC179" s="52">
        <f>AB179*100/$AC$5</f>
        <v>0</v>
      </c>
      <c r="AD179" s="3"/>
      <c r="AE179" s="3"/>
      <c r="AF179" s="9" t="str">
        <f t="shared" si="200"/>
        <v>S/R Sin Respuesta</v>
      </c>
      <c r="AG179" s="72">
        <f>J179</f>
        <v>0</v>
      </c>
      <c r="AH179" s="72">
        <f>L179</f>
        <v>0</v>
      </c>
      <c r="AI179" s="73">
        <f>H179</f>
        <v>0</v>
      </c>
      <c r="AJ179" s="73"/>
      <c r="AK179" s="76">
        <f>Q179</f>
        <v>0</v>
      </c>
      <c r="AL179" s="76">
        <f>S179</f>
        <v>0</v>
      </c>
      <c r="AM179" s="76">
        <f>O179</f>
        <v>0</v>
      </c>
      <c r="AN179" s="76"/>
      <c r="AO179" s="81" t="e">
        <f>X179</f>
        <v>#DIV/0!</v>
      </c>
      <c r="AP179" s="81" t="e">
        <f>Z179</f>
        <v>#DIV/0!</v>
      </c>
      <c r="AQ179" s="81" t="e">
        <f>V179</f>
        <v>#DIV/0!</v>
      </c>
      <c r="AR179" s="7"/>
      <c r="AS179" s="76">
        <f t="shared" si="174"/>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ht="15" x14ac:dyDescent="0.25">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ht="15" x14ac:dyDescent="0.25">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4</v>
      </c>
      <c r="H182" s="52">
        <f t="shared" ref="H182:H191" si="202">G182/$J$5*100</f>
        <v>10</v>
      </c>
      <c r="I182" s="53">
        <f>COUNTIFS('00 Encuesta'!$B$2:$B$511,"*a)*",'00 Encuesta'!$C$2:$C$511,"*a)*",'00 Encuesta'!$E$2:$E$511,"*a)*",'00 Encuesta'!$X$2:$X$511,"*a)*")</f>
        <v>1</v>
      </c>
      <c r="J182" s="52">
        <f t="shared" ref="J182:J191" si="203">I182/$J$6*100</f>
        <v>4.5454545454545459</v>
      </c>
      <c r="K182" s="53">
        <f>COUNTIFS('00 Encuesta'!$B$2:$B$511,"*a)*",'00 Encuesta'!$C$2:$C$511,"*a)*",'00 Encuesta'!$E$2:$E$511,"*b)*",'00 Encuesta'!$X$2:$X$511,"*a)*")</f>
        <v>3</v>
      </c>
      <c r="L182" s="52">
        <f t="shared" ref="L182:L191" si="204">K182/$J$7*100</f>
        <v>16.666666666666664</v>
      </c>
      <c r="M182" s="23"/>
      <c r="N182" s="51">
        <f t="shared" ref="N182:N191" si="205">P182+R182</f>
        <v>4</v>
      </c>
      <c r="O182" s="52">
        <f t="shared" ref="O182:O191" si="206">N182/$Q$5*100</f>
        <v>10.526315789473683</v>
      </c>
      <c r="P182" s="53">
        <f>COUNTIFS('00 Encuesta'!$B$2:$B$511,"*a)*",'00 Encuesta'!$C$2:$C$511,"*b)*",'00 Encuesta'!$E$2:$E$511,"*a)*",'00 Encuesta'!$X$2:$X$511,"*a)*")</f>
        <v>2</v>
      </c>
      <c r="Q182" s="52">
        <f t="shared" ref="Q182:Q191" si="207">P182/$Q$6*100</f>
        <v>15.384615384615385</v>
      </c>
      <c r="R182" s="53">
        <f>COUNTIFS('00 Encuesta'!$B$2:$B$511,"*a)*",'00 Encuesta'!$C$2:$C$511,"*b)*",'00 Encuesta'!$E$2:$E$511,"*b)*",'00 Encuesta'!$X$2:$X$511,"*a)*")</f>
        <v>2</v>
      </c>
      <c r="S182" s="52">
        <f t="shared" ref="S182:S191" si="208">R182/$Q$7*100</f>
        <v>8</v>
      </c>
      <c r="T182" s="3"/>
      <c r="U182" s="51">
        <f t="shared" ref="U182:U191" si="209">W182+Y182</f>
        <v>0</v>
      </c>
      <c r="V182" s="52" t="e">
        <f t="shared" ref="V182:V191" si="210">U182/$X$5*100</f>
        <v>#DIV/0!</v>
      </c>
      <c r="W182" s="53">
        <f>COUNTIFS('00 Encuesta'!$B$2:$B$511,"*a)*",'00 Encuesta'!$C$2:$C$511,"*c)*",'00 Encuesta'!$E$2:$E$511,"*a)*",'00 Encuesta'!$X$2:$X$511,"*a)*")</f>
        <v>0</v>
      </c>
      <c r="X182" s="52" t="e">
        <f t="shared" ref="X182:X191" si="211">W182/$X$6*100</f>
        <v>#DIV/0!</v>
      </c>
      <c r="Y182" s="53">
        <f>COUNTIFS('00 Encuesta'!$B$2:$B$511,"*a)*",'00 Encuesta'!$C$2:$C$511,"*c)*",'00 Encuesta'!$E$2:$E$511,"*b)*",'00 Encuesta'!$X$2:$X$511,"*a)*")</f>
        <v>0</v>
      </c>
      <c r="Z182" s="52" t="e">
        <f t="shared" ref="Z182:Z191" si="212">Y182/$X$7*100</f>
        <v>#DIV/0!</v>
      </c>
      <c r="AA182" s="3"/>
      <c r="AB182" s="62">
        <f t="shared" ref="AB182:AB191" si="213">G182+N182+U182</f>
        <v>8</v>
      </c>
      <c r="AC182" s="52">
        <f t="shared" ref="AC182:AC191" si="214">AB182*100/$AC$5</f>
        <v>10.256410256410257</v>
      </c>
      <c r="AD182" s="3"/>
      <c r="AE182" s="3"/>
      <c r="AF182" s="9" t="str">
        <f t="shared" ref="AF182:AF191" si="215">A182&amp;" "&amp;B182</f>
        <v>a) Suelo llevar una cruz o algún objeto religioso</v>
      </c>
      <c r="AG182" s="72">
        <f t="shared" ref="AG182:AG191" si="216">J182</f>
        <v>4.5454545454545459</v>
      </c>
      <c r="AH182" s="72">
        <f t="shared" ref="AH182:AH191" si="217">L182</f>
        <v>16.666666666666664</v>
      </c>
      <c r="AI182" s="73">
        <f t="shared" ref="AI182:AI191" si="218">H182</f>
        <v>10</v>
      </c>
      <c r="AJ182" s="73"/>
      <c r="AK182" s="76">
        <f t="shared" ref="AK182:AK191" si="219">Q182</f>
        <v>15.384615384615385</v>
      </c>
      <c r="AL182" s="76">
        <f t="shared" ref="AL182:AL191" si="220">S182</f>
        <v>8</v>
      </c>
      <c r="AM182" s="76">
        <f t="shared" ref="AM182:AM191" si="221">O182</f>
        <v>10.526315789473683</v>
      </c>
      <c r="AN182" s="76"/>
      <c r="AO182" s="81" t="e">
        <f t="shared" ref="AO182:AO191" si="222">X182</f>
        <v>#DIV/0!</v>
      </c>
      <c r="AP182" s="81" t="e">
        <f t="shared" ref="AP182:AP191" si="223">Z182</f>
        <v>#DIV/0!</v>
      </c>
      <c r="AQ182" s="81" t="e">
        <f t="shared" ref="AQ182:AQ191" si="224">V182</f>
        <v>#DIV/0!</v>
      </c>
      <c r="AR182" s="3"/>
      <c r="AS182" s="76">
        <f t="shared" si="174"/>
        <v>10.256410256410257</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ht="15" x14ac:dyDescent="0.25">
      <c r="A183" s="8" t="s">
        <v>18</v>
      </c>
      <c r="B183" s="9" t="s">
        <v>138</v>
      </c>
      <c r="C183" s="7"/>
      <c r="D183" s="7"/>
      <c r="E183" s="7"/>
      <c r="F183" s="71"/>
      <c r="G183" s="51">
        <f t="shared" si="201"/>
        <v>6</v>
      </c>
      <c r="H183" s="52">
        <f t="shared" si="202"/>
        <v>15</v>
      </c>
      <c r="I183" s="53">
        <f>COUNTIFS('00 Encuesta'!$B$2:$B$511,"*a)*",'00 Encuesta'!$C$2:$C$511,"*a)*",'00 Encuesta'!$E$2:$E$511,"*a)*",'00 Encuesta'!$X$2:$X$511,"*b)*")</f>
        <v>3</v>
      </c>
      <c r="J183" s="52">
        <f t="shared" si="203"/>
        <v>13.636363636363635</v>
      </c>
      <c r="K183" s="53">
        <f>COUNTIFS('00 Encuesta'!$B$2:$B$511,"*a)*",'00 Encuesta'!$C$2:$C$511,"*a)*",'00 Encuesta'!$E$2:$E$511,"*b)*",'00 Encuesta'!$X$2:$X$511,"*b)*")</f>
        <v>3</v>
      </c>
      <c r="L183" s="52">
        <f t="shared" si="204"/>
        <v>16.666666666666664</v>
      </c>
      <c r="M183" s="23"/>
      <c r="N183" s="51">
        <f t="shared" si="205"/>
        <v>8</v>
      </c>
      <c r="O183" s="52">
        <f t="shared" si="206"/>
        <v>21.052631578947366</v>
      </c>
      <c r="P183" s="53">
        <f>COUNTIFS('00 Encuesta'!$B$2:$B$511,"*a)*",'00 Encuesta'!$C$2:$C$511,"*b)*",'00 Encuesta'!$E$2:$E$511,"*a)*",'00 Encuesta'!$X$2:$X$511,"*b)*")</f>
        <v>2</v>
      </c>
      <c r="Q183" s="52">
        <f t="shared" si="207"/>
        <v>15.384615384615385</v>
      </c>
      <c r="R183" s="53">
        <f>COUNTIFS('00 Encuesta'!$B$2:$B$511,"*a)*",'00 Encuesta'!$C$2:$C$511,"*b)*",'00 Encuesta'!$E$2:$E$511,"*b)*",'00 Encuesta'!$X$2:$X$511,"*b)*")</f>
        <v>6</v>
      </c>
      <c r="S183" s="52">
        <f t="shared" si="208"/>
        <v>24</v>
      </c>
      <c r="T183" s="3"/>
      <c r="U183" s="51">
        <f t="shared" si="209"/>
        <v>0</v>
      </c>
      <c r="V183" s="52" t="e">
        <f t="shared" si="210"/>
        <v>#DIV/0!</v>
      </c>
      <c r="W183" s="53">
        <f>COUNTIFS('00 Encuesta'!$B$2:$B$511,"*a)*",'00 Encuesta'!$C$2:$C$511,"*c)*",'00 Encuesta'!$E$2:$E$511,"*a)*",'00 Encuesta'!$X$2:$X$511,"*b)*")</f>
        <v>0</v>
      </c>
      <c r="X183" s="52" t="e">
        <f t="shared" si="211"/>
        <v>#DIV/0!</v>
      </c>
      <c r="Y183" s="53">
        <f>COUNTIFS('00 Encuesta'!$B$2:$B$511,"*a)*",'00 Encuesta'!$C$2:$C$511,"*c)*",'00 Encuesta'!$E$2:$E$511,"*b)*",'00 Encuesta'!$X$2:$X$511,"*b)*")</f>
        <v>0</v>
      </c>
      <c r="Z183" s="52" t="e">
        <f t="shared" si="212"/>
        <v>#DIV/0!</v>
      </c>
      <c r="AA183" s="3"/>
      <c r="AB183" s="62">
        <f t="shared" si="213"/>
        <v>14</v>
      </c>
      <c r="AC183" s="52">
        <f t="shared" si="214"/>
        <v>17.948717948717949</v>
      </c>
      <c r="AD183" s="3"/>
      <c r="AE183" s="3"/>
      <c r="AF183" s="9" t="str">
        <f t="shared" si="215"/>
        <v>b) Suelo bendecir los alimentos antes de comer</v>
      </c>
      <c r="AG183" s="72">
        <f t="shared" si="216"/>
        <v>13.636363636363635</v>
      </c>
      <c r="AH183" s="72">
        <f t="shared" si="217"/>
        <v>16.666666666666664</v>
      </c>
      <c r="AI183" s="73">
        <f t="shared" si="218"/>
        <v>15</v>
      </c>
      <c r="AJ183" s="73"/>
      <c r="AK183" s="76">
        <f t="shared" si="219"/>
        <v>15.384615384615385</v>
      </c>
      <c r="AL183" s="76">
        <f t="shared" si="220"/>
        <v>24</v>
      </c>
      <c r="AM183" s="76">
        <f t="shared" si="221"/>
        <v>21.052631578947366</v>
      </c>
      <c r="AN183" s="76"/>
      <c r="AO183" s="81" t="e">
        <f t="shared" si="222"/>
        <v>#DIV/0!</v>
      </c>
      <c r="AP183" s="81" t="e">
        <f t="shared" si="223"/>
        <v>#DIV/0!</v>
      </c>
      <c r="AQ183" s="81" t="e">
        <f t="shared" si="224"/>
        <v>#DIV/0!</v>
      </c>
      <c r="AR183" s="3"/>
      <c r="AS183" s="76">
        <f t="shared" si="174"/>
        <v>17.948717948717949</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ht="15" x14ac:dyDescent="0.25">
      <c r="A184" s="8" t="s">
        <v>20</v>
      </c>
      <c r="B184" s="9" t="s">
        <v>139</v>
      </c>
      <c r="C184" s="7"/>
      <c r="D184" s="7"/>
      <c r="E184" s="7"/>
      <c r="F184" s="71"/>
      <c r="G184" s="51">
        <f t="shared" si="201"/>
        <v>15</v>
      </c>
      <c r="H184" s="52">
        <f t="shared" si="202"/>
        <v>37.5</v>
      </c>
      <c r="I184" s="53">
        <f>COUNTIFS('00 Encuesta'!$B$2:$B$511,"*a)*",'00 Encuesta'!$C$2:$C$511,"*a)*",'00 Encuesta'!$E$2:$E$511,"*a)*",'00 Encuesta'!$X$2:$X$511,"*c)*")</f>
        <v>8</v>
      </c>
      <c r="J184" s="52">
        <f t="shared" si="203"/>
        <v>36.363636363636367</v>
      </c>
      <c r="K184" s="53">
        <f>COUNTIFS('00 Encuesta'!$B$2:$B$511,"*a)*",'00 Encuesta'!$C$2:$C$511,"*a)*",'00 Encuesta'!$E$2:$E$511,"*b)*",'00 Encuesta'!$X$2:$X$511,"*c)*")</f>
        <v>7</v>
      </c>
      <c r="L184" s="52">
        <f t="shared" si="204"/>
        <v>38.888888888888893</v>
      </c>
      <c r="M184" s="23"/>
      <c r="N184" s="51">
        <f t="shared" si="205"/>
        <v>8</v>
      </c>
      <c r="O184" s="52">
        <f t="shared" si="206"/>
        <v>21.052631578947366</v>
      </c>
      <c r="P184" s="53">
        <f>COUNTIFS('00 Encuesta'!$B$2:$B$511,"*a)*",'00 Encuesta'!$C$2:$C$511,"*b)*",'00 Encuesta'!$E$2:$E$511,"*a)*",'00 Encuesta'!$X$2:$X$511,"*c)*")</f>
        <v>4</v>
      </c>
      <c r="Q184" s="52">
        <f t="shared" si="207"/>
        <v>30.76923076923077</v>
      </c>
      <c r="R184" s="53">
        <f>COUNTIFS('00 Encuesta'!$B$2:$B$511,"*a)*",'00 Encuesta'!$C$2:$C$511,"*b)*",'00 Encuesta'!$E$2:$E$511,"*b)*",'00 Encuesta'!$X$2:$X$511,"*c)*")</f>
        <v>4</v>
      </c>
      <c r="S184" s="52">
        <f t="shared" si="208"/>
        <v>16</v>
      </c>
      <c r="T184" s="3"/>
      <c r="U184" s="51">
        <f t="shared" si="209"/>
        <v>0</v>
      </c>
      <c r="V184" s="52" t="e">
        <f t="shared" si="210"/>
        <v>#DIV/0!</v>
      </c>
      <c r="W184" s="53">
        <f>COUNTIFS('00 Encuesta'!$B$2:$B$511,"*a)*",'00 Encuesta'!$C$2:$C$511,"*c)*",'00 Encuesta'!$E$2:$E$511,"*a)*",'00 Encuesta'!$X$2:$X$511,"*c)*")</f>
        <v>0</v>
      </c>
      <c r="X184" s="52" t="e">
        <f t="shared" si="211"/>
        <v>#DIV/0!</v>
      </c>
      <c r="Y184" s="53">
        <f>COUNTIFS('00 Encuesta'!$B$2:$B$511,"*a)*",'00 Encuesta'!$C$2:$C$511,"*c)*",'00 Encuesta'!$E$2:$E$511,"*b)*",'00 Encuesta'!$X$2:$X$511,"*c)*")</f>
        <v>0</v>
      </c>
      <c r="Z184" s="52" t="e">
        <f t="shared" si="212"/>
        <v>#DIV/0!</v>
      </c>
      <c r="AA184" s="3"/>
      <c r="AB184" s="62">
        <f t="shared" si="213"/>
        <v>23</v>
      </c>
      <c r="AC184" s="52">
        <f t="shared" si="214"/>
        <v>29.487179487179485</v>
      </c>
      <c r="AD184" s="3"/>
      <c r="AE184" s="3"/>
      <c r="AF184" s="9" t="str">
        <f t="shared" si="215"/>
        <v>c) Suelo ir los domingos y otras fechas especiales a la iglesia</v>
      </c>
      <c r="AG184" s="72">
        <f t="shared" si="216"/>
        <v>36.363636363636367</v>
      </c>
      <c r="AH184" s="72">
        <f t="shared" si="217"/>
        <v>38.888888888888893</v>
      </c>
      <c r="AI184" s="73">
        <f t="shared" si="218"/>
        <v>37.5</v>
      </c>
      <c r="AJ184" s="73"/>
      <c r="AK184" s="76">
        <f t="shared" si="219"/>
        <v>30.76923076923077</v>
      </c>
      <c r="AL184" s="76">
        <f t="shared" si="220"/>
        <v>16</v>
      </c>
      <c r="AM184" s="76">
        <f t="shared" si="221"/>
        <v>21.052631578947366</v>
      </c>
      <c r="AN184" s="76"/>
      <c r="AO184" s="81" t="e">
        <f t="shared" si="222"/>
        <v>#DIV/0!</v>
      </c>
      <c r="AP184" s="81" t="e">
        <f t="shared" si="223"/>
        <v>#DIV/0!</v>
      </c>
      <c r="AQ184" s="81" t="e">
        <f t="shared" si="224"/>
        <v>#DIV/0!</v>
      </c>
      <c r="AR184" s="3"/>
      <c r="AS184" s="76">
        <f t="shared" si="174"/>
        <v>29.487179487179485</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11</v>
      </c>
      <c r="H185" s="52">
        <f t="shared" si="202"/>
        <v>27.500000000000004</v>
      </c>
      <c r="I185" s="53">
        <f>COUNTIFS('00 Encuesta'!$B$2:$B$511,"*a)*",'00 Encuesta'!$C$2:$C$511,"*a)*",'00 Encuesta'!$E$2:$E$511,"*a)*",'00 Encuesta'!$X$2:$X$511,"*d)*")</f>
        <v>6</v>
      </c>
      <c r="J185" s="52">
        <f t="shared" si="203"/>
        <v>27.27272727272727</v>
      </c>
      <c r="K185" s="53">
        <f>COUNTIFS('00 Encuesta'!$B$2:$B$511,"*a)*",'00 Encuesta'!$C$2:$C$511,"*a)*",'00 Encuesta'!$E$2:$E$511,"*b)*",'00 Encuesta'!$X$2:$X$511,"*d)*")</f>
        <v>5</v>
      </c>
      <c r="L185" s="52">
        <f t="shared" si="204"/>
        <v>27.777777777777779</v>
      </c>
      <c r="M185" s="23"/>
      <c r="N185" s="51">
        <f t="shared" si="205"/>
        <v>13</v>
      </c>
      <c r="O185" s="52">
        <f t="shared" si="206"/>
        <v>34.210526315789473</v>
      </c>
      <c r="P185" s="53">
        <f>COUNTIFS('00 Encuesta'!$B$2:$B$511,"*a)*",'00 Encuesta'!$C$2:$C$511,"*b)*",'00 Encuesta'!$E$2:$E$511,"*a)*",'00 Encuesta'!$X$2:$X$511,"*d)*")</f>
        <v>4</v>
      </c>
      <c r="Q185" s="52">
        <f t="shared" si="207"/>
        <v>30.76923076923077</v>
      </c>
      <c r="R185" s="53">
        <f>COUNTIFS('00 Encuesta'!$B$2:$B$511,"*a)*",'00 Encuesta'!$C$2:$C$511,"*b)*",'00 Encuesta'!$E$2:$E$511,"*b)*",'00 Encuesta'!$X$2:$X$511,"*d)*")</f>
        <v>9</v>
      </c>
      <c r="S185" s="52">
        <f t="shared" si="208"/>
        <v>36</v>
      </c>
      <c r="T185" s="3"/>
      <c r="U185" s="51">
        <f t="shared" si="209"/>
        <v>0</v>
      </c>
      <c r="V185" s="52" t="e">
        <f t="shared" si="210"/>
        <v>#DIV/0!</v>
      </c>
      <c r="W185" s="53">
        <f>COUNTIFS('00 Encuesta'!$B$2:$B$511,"*a)*",'00 Encuesta'!$C$2:$C$511,"*c)*",'00 Encuesta'!$E$2:$E$511,"*a)*",'00 Encuesta'!$X$2:$X$511,"*d)*")</f>
        <v>0</v>
      </c>
      <c r="X185" s="52" t="e">
        <f t="shared" si="211"/>
        <v>#DIV/0!</v>
      </c>
      <c r="Y185" s="53">
        <f>COUNTIFS('00 Encuesta'!$B$2:$B$511,"*a)*",'00 Encuesta'!$C$2:$C$511,"*c)*",'00 Encuesta'!$E$2:$E$511,"*b)*",'00 Encuesta'!$X$2:$X$511,"*d)*")</f>
        <v>0</v>
      </c>
      <c r="Z185" s="52" t="e">
        <f t="shared" si="212"/>
        <v>#DIV/0!</v>
      </c>
      <c r="AA185" s="3"/>
      <c r="AB185" s="62">
        <f t="shared" si="213"/>
        <v>24</v>
      </c>
      <c r="AC185" s="52">
        <f t="shared" si="214"/>
        <v>30.76923076923077</v>
      </c>
      <c r="AD185" s="3"/>
      <c r="AE185" s="3"/>
      <c r="AF185" s="9" t="str">
        <f t="shared" si="215"/>
        <v>d) Suelo orar todos los días</v>
      </c>
      <c r="AG185" s="72">
        <f t="shared" si="216"/>
        <v>27.27272727272727</v>
      </c>
      <c r="AH185" s="72">
        <f t="shared" si="217"/>
        <v>27.777777777777779</v>
      </c>
      <c r="AI185" s="73">
        <f t="shared" si="218"/>
        <v>27.500000000000004</v>
      </c>
      <c r="AJ185" s="73"/>
      <c r="AK185" s="76">
        <f t="shared" si="219"/>
        <v>30.76923076923077</v>
      </c>
      <c r="AL185" s="76">
        <f t="shared" si="220"/>
        <v>36</v>
      </c>
      <c r="AM185" s="76">
        <f t="shared" si="221"/>
        <v>34.210526315789473</v>
      </c>
      <c r="AN185" s="76"/>
      <c r="AO185" s="81" t="e">
        <f t="shared" si="222"/>
        <v>#DIV/0!</v>
      </c>
      <c r="AP185" s="81" t="e">
        <f t="shared" si="223"/>
        <v>#DIV/0!</v>
      </c>
      <c r="AQ185" s="81" t="e">
        <f t="shared" si="224"/>
        <v>#DIV/0!</v>
      </c>
      <c r="AR185" s="3"/>
      <c r="AS185" s="76">
        <f t="shared" si="174"/>
        <v>30.76923076923077</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ht="15.75" x14ac:dyDescent="0.3">
      <c r="A186" s="1" t="s">
        <v>22</v>
      </c>
      <c r="B186" s="2" t="s">
        <v>141</v>
      </c>
      <c r="C186" s="3"/>
      <c r="D186" s="7"/>
      <c r="E186" s="7"/>
      <c r="F186" s="71"/>
      <c r="G186" s="51">
        <f t="shared" si="201"/>
        <v>19</v>
      </c>
      <c r="H186" s="52">
        <f t="shared" si="202"/>
        <v>47.5</v>
      </c>
      <c r="I186" s="53">
        <f>COUNTIFS('00 Encuesta'!$B$2:$B$511,"*a)*",'00 Encuesta'!$C$2:$C$511,"*a)*",'00 Encuesta'!$E$2:$E$511,"*a)*",'00 Encuesta'!$X$2:$X$511,"*e)*")</f>
        <v>9</v>
      </c>
      <c r="J186" s="52">
        <f t="shared" si="203"/>
        <v>40.909090909090914</v>
      </c>
      <c r="K186" s="53">
        <f>COUNTIFS('00 Encuesta'!$B$2:$B$511,"*a)*",'00 Encuesta'!$C$2:$C$511,"*a)*",'00 Encuesta'!$E$2:$E$511,"*b)*",'00 Encuesta'!$X$2:$X$511,"*e)*")</f>
        <v>10</v>
      </c>
      <c r="L186" s="52">
        <f t="shared" si="204"/>
        <v>55.555555555555557</v>
      </c>
      <c r="M186" s="23"/>
      <c r="N186" s="51">
        <f t="shared" si="205"/>
        <v>13</v>
      </c>
      <c r="O186" s="52">
        <f t="shared" si="206"/>
        <v>34.210526315789473</v>
      </c>
      <c r="P186" s="53">
        <f>COUNTIFS('00 Encuesta'!$B$2:$B$511,"*a)*",'00 Encuesta'!$C$2:$C$511,"*b)*",'00 Encuesta'!$E$2:$E$511,"*a)*",'00 Encuesta'!$X$2:$X$511,"*e)*")</f>
        <v>3</v>
      </c>
      <c r="Q186" s="52">
        <f t="shared" si="207"/>
        <v>23.076923076923077</v>
      </c>
      <c r="R186" s="53">
        <f>COUNTIFS('00 Encuesta'!$B$2:$B$511,"*a)*",'00 Encuesta'!$C$2:$C$511,"*b)*",'00 Encuesta'!$E$2:$E$511,"*b)*",'00 Encuesta'!$X$2:$X$511,"*e)*")</f>
        <v>10</v>
      </c>
      <c r="S186" s="52">
        <f t="shared" si="208"/>
        <v>40</v>
      </c>
      <c r="T186" s="3"/>
      <c r="U186" s="51">
        <f t="shared" si="209"/>
        <v>0</v>
      </c>
      <c r="V186" s="52" t="e">
        <f t="shared" si="210"/>
        <v>#DIV/0!</v>
      </c>
      <c r="W186" s="53">
        <f>COUNTIFS('00 Encuesta'!$B$2:$B$511,"*a)*",'00 Encuesta'!$C$2:$C$511,"*c)*",'00 Encuesta'!$E$2:$E$511,"*a)*",'00 Encuesta'!$X$2:$X$511,"*e)*")</f>
        <v>0</v>
      </c>
      <c r="X186" s="52" t="e">
        <f t="shared" si="211"/>
        <v>#DIV/0!</v>
      </c>
      <c r="Y186" s="53">
        <f>COUNTIFS('00 Encuesta'!$B$2:$B$511,"*a)*",'00 Encuesta'!$C$2:$C$511,"*c)*",'00 Encuesta'!$E$2:$E$511,"*b)*",'00 Encuesta'!$X$2:$X$511,"*e)*")</f>
        <v>0</v>
      </c>
      <c r="Z186" s="52" t="e">
        <f t="shared" si="212"/>
        <v>#DIV/0!</v>
      </c>
      <c r="AA186" s="3"/>
      <c r="AB186" s="62">
        <f t="shared" si="213"/>
        <v>32</v>
      </c>
      <c r="AC186" s="52">
        <f t="shared" si="214"/>
        <v>41.025641025641029</v>
      </c>
      <c r="AD186" s="7"/>
      <c r="AE186" s="7"/>
      <c r="AF186" s="9" t="str">
        <f t="shared" si="215"/>
        <v>e) Voy a misa en las fechas de mis familiares difuntos</v>
      </c>
      <c r="AG186" s="72">
        <f t="shared" si="216"/>
        <v>40.909090909090914</v>
      </c>
      <c r="AH186" s="72">
        <f t="shared" si="217"/>
        <v>55.555555555555557</v>
      </c>
      <c r="AI186" s="73">
        <f t="shared" si="218"/>
        <v>47.5</v>
      </c>
      <c r="AJ186" s="73"/>
      <c r="AK186" s="76">
        <f t="shared" si="219"/>
        <v>23.076923076923077</v>
      </c>
      <c r="AL186" s="76">
        <f t="shared" si="220"/>
        <v>40</v>
      </c>
      <c r="AM186" s="76">
        <f t="shared" si="221"/>
        <v>34.210526315789473</v>
      </c>
      <c r="AN186" s="76"/>
      <c r="AO186" s="81" t="e">
        <f t="shared" si="222"/>
        <v>#DIV/0!</v>
      </c>
      <c r="AP186" s="81" t="e">
        <f t="shared" si="223"/>
        <v>#DIV/0!</v>
      </c>
      <c r="AQ186" s="81" t="e">
        <f t="shared" si="224"/>
        <v>#DIV/0!</v>
      </c>
      <c r="AR186" s="3"/>
      <c r="AS186" s="76">
        <f t="shared" si="174"/>
        <v>41.025641025641029</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11</v>
      </c>
      <c r="H187" s="52">
        <f t="shared" si="202"/>
        <v>27.500000000000004</v>
      </c>
      <c r="I187" s="53">
        <f>COUNTIFS('00 Encuesta'!$B$2:$B$511,"*a)*",'00 Encuesta'!$C$2:$C$511,"*a)*",'00 Encuesta'!$E$2:$E$511,"*a)*",'00 Encuesta'!$X$2:$X$511,"*f)*")</f>
        <v>7</v>
      </c>
      <c r="J187" s="52">
        <f t="shared" si="203"/>
        <v>31.818181818181817</v>
      </c>
      <c r="K187" s="53">
        <f>COUNTIFS('00 Encuesta'!$B$2:$B$511,"*a)*",'00 Encuesta'!$C$2:$C$511,"*a)*",'00 Encuesta'!$E$2:$E$511,"*b)*",'00 Encuesta'!$X$2:$X$511,"*f)*")</f>
        <v>4</v>
      </c>
      <c r="L187" s="52">
        <f t="shared" si="204"/>
        <v>22.222222222222221</v>
      </c>
      <c r="M187" s="23"/>
      <c r="N187" s="51">
        <f t="shared" si="205"/>
        <v>14</v>
      </c>
      <c r="O187" s="52">
        <f t="shared" si="206"/>
        <v>36.84210526315789</v>
      </c>
      <c r="P187" s="53">
        <f>COUNTIFS('00 Encuesta'!$B$2:$B$511,"*a)*",'00 Encuesta'!$C$2:$C$511,"*b)*",'00 Encuesta'!$E$2:$E$511,"*a)*",'00 Encuesta'!$X$2:$X$511,"*f)*")</f>
        <v>5</v>
      </c>
      <c r="Q187" s="52">
        <f t="shared" si="207"/>
        <v>38.461538461538467</v>
      </c>
      <c r="R187" s="53">
        <f>COUNTIFS('00 Encuesta'!$B$2:$B$511,"*a)*",'00 Encuesta'!$C$2:$C$511,"*b)*",'00 Encuesta'!$E$2:$E$511,"*b)*",'00 Encuesta'!$X$2:$X$511,"*f)*")</f>
        <v>9</v>
      </c>
      <c r="S187" s="52">
        <f t="shared" si="208"/>
        <v>36</v>
      </c>
      <c r="T187" s="3"/>
      <c r="U187" s="51">
        <f t="shared" si="209"/>
        <v>0</v>
      </c>
      <c r="V187" s="52" t="e">
        <f t="shared" si="210"/>
        <v>#DIV/0!</v>
      </c>
      <c r="W187" s="53">
        <f>COUNTIFS('00 Encuesta'!$B$2:$B$511,"*a)*",'00 Encuesta'!$C$2:$C$511,"*c)*",'00 Encuesta'!$E$2:$E$511,"*a)*",'00 Encuesta'!$X$2:$X$511,"*f)*")</f>
        <v>0</v>
      </c>
      <c r="X187" s="52" t="e">
        <f t="shared" si="211"/>
        <v>#DIV/0!</v>
      </c>
      <c r="Y187" s="53">
        <f>COUNTIFS('00 Encuesta'!$B$2:$B$511,"*a)*",'00 Encuesta'!$C$2:$C$511,"*c)*",'00 Encuesta'!$E$2:$E$511,"*b)*",'00 Encuesta'!$X$2:$X$511,"*f)*")</f>
        <v>0</v>
      </c>
      <c r="Z187" s="52" t="e">
        <f t="shared" si="212"/>
        <v>#DIV/0!</v>
      </c>
      <c r="AA187" s="3"/>
      <c r="AB187" s="62">
        <f t="shared" si="213"/>
        <v>25</v>
      </c>
      <c r="AC187" s="52">
        <f t="shared" si="214"/>
        <v>32.051282051282051</v>
      </c>
      <c r="AD187" s="7"/>
      <c r="AE187" s="7"/>
      <c r="AF187" s="9" t="str">
        <f t="shared" si="215"/>
        <v>f) En alguna ocasión he rezado el rosario</v>
      </c>
      <c r="AG187" s="72">
        <f t="shared" si="216"/>
        <v>31.818181818181817</v>
      </c>
      <c r="AH187" s="72">
        <f t="shared" si="217"/>
        <v>22.222222222222221</v>
      </c>
      <c r="AI187" s="73">
        <f t="shared" si="218"/>
        <v>27.500000000000004</v>
      </c>
      <c r="AJ187" s="73"/>
      <c r="AK187" s="76">
        <f t="shared" si="219"/>
        <v>38.461538461538467</v>
      </c>
      <c r="AL187" s="76">
        <f t="shared" si="220"/>
        <v>36</v>
      </c>
      <c r="AM187" s="76">
        <f t="shared" si="221"/>
        <v>36.84210526315789</v>
      </c>
      <c r="AN187" s="76"/>
      <c r="AO187" s="81" t="e">
        <f t="shared" si="222"/>
        <v>#DIV/0!</v>
      </c>
      <c r="AP187" s="81" t="e">
        <f t="shared" si="223"/>
        <v>#DIV/0!</v>
      </c>
      <c r="AQ187" s="81" t="e">
        <f t="shared" si="224"/>
        <v>#DIV/0!</v>
      </c>
      <c r="AR187" s="7"/>
      <c r="AS187" s="76">
        <f t="shared" si="174"/>
        <v>32.051282051282051</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14</v>
      </c>
      <c r="H188" s="52">
        <f t="shared" si="202"/>
        <v>35</v>
      </c>
      <c r="I188" s="53">
        <f>COUNTIFS('00 Encuesta'!$B$2:$B$511,"*a)*",'00 Encuesta'!$C$2:$C$511,"*a)*",'00 Encuesta'!$E$2:$E$511,"*a)*",'00 Encuesta'!$X$2:$X$511,"*g)*")</f>
        <v>7</v>
      </c>
      <c r="J188" s="52">
        <f t="shared" si="203"/>
        <v>31.818181818181817</v>
      </c>
      <c r="K188" s="53">
        <f>COUNTIFS('00 Encuesta'!$B$2:$B$511,"*a)*",'00 Encuesta'!$C$2:$C$511,"*a)*",'00 Encuesta'!$E$2:$E$511,"*b)*",'00 Encuesta'!$X$2:$X$511,"*g)*")</f>
        <v>7</v>
      </c>
      <c r="L188" s="52">
        <f t="shared" si="204"/>
        <v>38.888888888888893</v>
      </c>
      <c r="M188" s="23"/>
      <c r="N188" s="51">
        <f t="shared" si="205"/>
        <v>6</v>
      </c>
      <c r="O188" s="52">
        <f t="shared" si="206"/>
        <v>15.789473684210526</v>
      </c>
      <c r="P188" s="53">
        <f>COUNTIFS('00 Encuesta'!$B$2:$B$511,"*a)*",'00 Encuesta'!$C$2:$C$511,"*b)*",'00 Encuesta'!$E$2:$E$511,"*a)*",'00 Encuesta'!$X$2:$X$511,"*g)*")</f>
        <v>1</v>
      </c>
      <c r="Q188" s="52">
        <f t="shared" si="207"/>
        <v>7.6923076923076925</v>
      </c>
      <c r="R188" s="53">
        <f>COUNTIFS('00 Encuesta'!$B$2:$B$511,"*a)*",'00 Encuesta'!$C$2:$C$511,"*b)*",'00 Encuesta'!$E$2:$E$511,"*b)*",'00 Encuesta'!$X$2:$X$511,"*g)*")</f>
        <v>5</v>
      </c>
      <c r="S188" s="52">
        <f t="shared" si="208"/>
        <v>20</v>
      </c>
      <c r="T188" s="3"/>
      <c r="U188" s="51">
        <f t="shared" si="209"/>
        <v>0</v>
      </c>
      <c r="V188" s="52" t="e">
        <f t="shared" si="210"/>
        <v>#DIV/0!</v>
      </c>
      <c r="W188" s="53">
        <f>COUNTIFS('00 Encuesta'!$B$2:$B$511,"*a)*",'00 Encuesta'!$C$2:$C$511,"*c)*",'00 Encuesta'!$E$2:$E$511,"*a)*",'00 Encuesta'!$X$2:$X$511,"*g)*")</f>
        <v>0</v>
      </c>
      <c r="X188" s="52" t="e">
        <f t="shared" si="211"/>
        <v>#DIV/0!</v>
      </c>
      <c r="Y188" s="53">
        <f>COUNTIFS('00 Encuesta'!$B$2:$B$511,"*a)*",'00 Encuesta'!$C$2:$C$511,"*c)*",'00 Encuesta'!$E$2:$E$511,"*b)*",'00 Encuesta'!$X$2:$X$511,"*g)*")</f>
        <v>0</v>
      </c>
      <c r="Z188" s="52" t="e">
        <f t="shared" si="212"/>
        <v>#DIV/0!</v>
      </c>
      <c r="AA188" s="3"/>
      <c r="AB188" s="62">
        <f t="shared" si="213"/>
        <v>20</v>
      </c>
      <c r="AC188" s="52">
        <f t="shared" si="214"/>
        <v>25.641025641025642</v>
      </c>
      <c r="AD188" s="7"/>
      <c r="AE188" s="7"/>
      <c r="AF188" s="9" t="str">
        <f t="shared" si="215"/>
        <v>g) En ocasiones, en mi casa tenemos una oración familiar</v>
      </c>
      <c r="AG188" s="72">
        <f t="shared" si="216"/>
        <v>31.818181818181817</v>
      </c>
      <c r="AH188" s="72">
        <f t="shared" si="217"/>
        <v>38.888888888888893</v>
      </c>
      <c r="AI188" s="73">
        <f t="shared" si="218"/>
        <v>35</v>
      </c>
      <c r="AJ188" s="73"/>
      <c r="AK188" s="76">
        <f t="shared" si="219"/>
        <v>7.6923076923076925</v>
      </c>
      <c r="AL188" s="76">
        <f t="shared" si="220"/>
        <v>20</v>
      </c>
      <c r="AM188" s="76">
        <f t="shared" si="221"/>
        <v>15.789473684210526</v>
      </c>
      <c r="AN188" s="76"/>
      <c r="AO188" s="81" t="e">
        <f t="shared" si="222"/>
        <v>#DIV/0!</v>
      </c>
      <c r="AP188" s="81" t="e">
        <f t="shared" si="223"/>
        <v>#DIV/0!</v>
      </c>
      <c r="AQ188" s="81" t="e">
        <f t="shared" si="224"/>
        <v>#DIV/0!</v>
      </c>
      <c r="AR188" s="7"/>
      <c r="AS188" s="76">
        <f t="shared" si="174"/>
        <v>25.641025641025642</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ht="15" x14ac:dyDescent="0.25">
      <c r="A189" s="8" t="s">
        <v>63</v>
      </c>
      <c r="B189" s="9" t="s">
        <v>144</v>
      </c>
      <c r="C189" s="7"/>
      <c r="D189" s="7"/>
      <c r="E189" s="7"/>
      <c r="F189" s="71"/>
      <c r="G189" s="51">
        <f t="shared" si="201"/>
        <v>16</v>
      </c>
      <c r="H189" s="52">
        <f t="shared" si="202"/>
        <v>40</v>
      </c>
      <c r="I189" s="53">
        <f>COUNTIFS('00 Encuesta'!$B$2:$B$511,"*a)*",'00 Encuesta'!$C$2:$C$511,"*a)*",'00 Encuesta'!$E$2:$E$511,"*a)*",'00 Encuesta'!$X$2:$X$511,"*h)*")</f>
        <v>8</v>
      </c>
      <c r="J189" s="52">
        <f t="shared" si="203"/>
        <v>36.363636363636367</v>
      </c>
      <c r="K189" s="53">
        <f>COUNTIFS('00 Encuesta'!$B$2:$B$511,"*a)*",'00 Encuesta'!$C$2:$C$511,"*a)*",'00 Encuesta'!$E$2:$E$511,"*b)*",'00 Encuesta'!$X$2:$X$511,"*h)*")</f>
        <v>8</v>
      </c>
      <c r="L189" s="52">
        <f t="shared" si="204"/>
        <v>44.444444444444443</v>
      </c>
      <c r="M189" s="23"/>
      <c r="N189" s="51">
        <f t="shared" si="205"/>
        <v>6</v>
      </c>
      <c r="O189" s="52">
        <f t="shared" si="206"/>
        <v>15.789473684210526</v>
      </c>
      <c r="P189" s="53">
        <f>COUNTIFS('00 Encuesta'!$B$2:$B$511,"*a)*",'00 Encuesta'!$C$2:$C$511,"*b)*",'00 Encuesta'!$E$2:$E$511,"*a)*",'00 Encuesta'!$X$2:$X$511,"*h)*")</f>
        <v>3</v>
      </c>
      <c r="Q189" s="52">
        <f t="shared" si="207"/>
        <v>23.076923076923077</v>
      </c>
      <c r="R189" s="53">
        <f>COUNTIFS('00 Encuesta'!$B$2:$B$511,"*a)*",'00 Encuesta'!$C$2:$C$511,"*b)*",'00 Encuesta'!$E$2:$E$511,"*b)*",'00 Encuesta'!$X$2:$X$511,"*h)*")</f>
        <v>3</v>
      </c>
      <c r="S189" s="52">
        <f t="shared" si="208"/>
        <v>12</v>
      </c>
      <c r="T189" s="3"/>
      <c r="U189" s="51">
        <f t="shared" si="209"/>
        <v>0</v>
      </c>
      <c r="V189" s="52" t="e">
        <f t="shared" si="210"/>
        <v>#DIV/0!</v>
      </c>
      <c r="W189" s="53">
        <f>COUNTIFS('00 Encuesta'!$B$2:$B$511,"*a)*",'00 Encuesta'!$C$2:$C$511,"*c)*",'00 Encuesta'!$E$2:$E$511,"*a)*",'00 Encuesta'!$X$2:$X$511,"*h)*")</f>
        <v>0</v>
      </c>
      <c r="X189" s="52" t="e">
        <f t="shared" si="211"/>
        <v>#DIV/0!</v>
      </c>
      <c r="Y189" s="53">
        <f>COUNTIFS('00 Encuesta'!$B$2:$B$511,"*a)*",'00 Encuesta'!$C$2:$C$511,"*c)*",'00 Encuesta'!$E$2:$E$511,"*b)*",'00 Encuesta'!$X$2:$X$511,"*h)*")</f>
        <v>0</v>
      </c>
      <c r="Z189" s="52" t="e">
        <f t="shared" si="212"/>
        <v>#DIV/0!</v>
      </c>
      <c r="AA189" s="3"/>
      <c r="AB189" s="62">
        <f t="shared" si="213"/>
        <v>22</v>
      </c>
      <c r="AC189" s="52">
        <f t="shared" si="214"/>
        <v>28.205128205128204</v>
      </c>
      <c r="AD189" s="7"/>
      <c r="AE189" s="7"/>
      <c r="AF189" s="9" t="str">
        <f t="shared" si="215"/>
        <v>h) En Semana Santa asisto a las procesiones</v>
      </c>
      <c r="AG189" s="72">
        <f t="shared" si="216"/>
        <v>36.363636363636367</v>
      </c>
      <c r="AH189" s="72">
        <f t="shared" si="217"/>
        <v>44.444444444444443</v>
      </c>
      <c r="AI189" s="73">
        <f t="shared" si="218"/>
        <v>40</v>
      </c>
      <c r="AJ189" s="73"/>
      <c r="AK189" s="76">
        <f t="shared" si="219"/>
        <v>23.076923076923077</v>
      </c>
      <c r="AL189" s="76">
        <f t="shared" si="220"/>
        <v>12</v>
      </c>
      <c r="AM189" s="76">
        <f t="shared" si="221"/>
        <v>15.789473684210526</v>
      </c>
      <c r="AN189" s="76"/>
      <c r="AO189" s="81" t="e">
        <f t="shared" si="222"/>
        <v>#DIV/0!</v>
      </c>
      <c r="AP189" s="81" t="e">
        <f t="shared" si="223"/>
        <v>#DIV/0!</v>
      </c>
      <c r="AQ189" s="81" t="e">
        <f t="shared" si="224"/>
        <v>#DIV/0!</v>
      </c>
      <c r="AR189" s="7"/>
      <c r="AS189" s="76">
        <f t="shared" si="174"/>
        <v>28.205128205128204</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ht="15" x14ac:dyDescent="0.25">
      <c r="A190" s="8" t="s">
        <v>65</v>
      </c>
      <c r="B190" s="9" t="s">
        <v>145</v>
      </c>
      <c r="C190" s="7"/>
      <c r="D190" s="7"/>
      <c r="E190" s="7"/>
      <c r="F190" s="71"/>
      <c r="G190" s="51">
        <f t="shared" si="201"/>
        <v>21</v>
      </c>
      <c r="H190" s="52">
        <f t="shared" si="202"/>
        <v>52.5</v>
      </c>
      <c r="I190" s="53">
        <f>COUNTIFS('00 Encuesta'!$B$2:$B$511,"*a)*",'00 Encuesta'!$C$2:$C$511,"*a)*",'00 Encuesta'!$E$2:$E$511,"*a)*",'00 Encuesta'!$X$2:$X$511,"*i)*")</f>
        <v>10</v>
      </c>
      <c r="J190" s="52">
        <f t="shared" si="203"/>
        <v>45.454545454545453</v>
      </c>
      <c r="K190" s="53">
        <f>COUNTIFS('00 Encuesta'!$B$2:$B$511,"*a)*",'00 Encuesta'!$C$2:$C$511,"*a)*",'00 Encuesta'!$E$2:$E$511,"*b)*",'00 Encuesta'!$X$2:$X$511,"*i)*")</f>
        <v>11</v>
      </c>
      <c r="L190" s="52">
        <f t="shared" si="204"/>
        <v>61.111111111111114</v>
      </c>
      <c r="M190" s="23"/>
      <c r="N190" s="51">
        <f t="shared" si="205"/>
        <v>13</v>
      </c>
      <c r="O190" s="52">
        <f t="shared" si="206"/>
        <v>34.210526315789473</v>
      </c>
      <c r="P190" s="53">
        <f>COUNTIFS('00 Encuesta'!$B$2:$B$511,"*a)*",'00 Encuesta'!$C$2:$C$511,"*b)*",'00 Encuesta'!$E$2:$E$511,"*a)*",'00 Encuesta'!$X$2:$X$511,"*i)*")</f>
        <v>4</v>
      </c>
      <c r="Q190" s="52">
        <f t="shared" si="207"/>
        <v>30.76923076923077</v>
      </c>
      <c r="R190" s="53">
        <f>COUNTIFS('00 Encuesta'!$B$2:$B$511,"*a)*",'00 Encuesta'!$C$2:$C$511,"*b)*",'00 Encuesta'!$E$2:$E$511,"*b)*",'00 Encuesta'!$X$2:$X$511,"*i)*")</f>
        <v>9</v>
      </c>
      <c r="S190" s="52">
        <f t="shared" si="208"/>
        <v>36</v>
      </c>
      <c r="T190" s="3"/>
      <c r="U190" s="51">
        <f t="shared" si="209"/>
        <v>0</v>
      </c>
      <c r="V190" s="52" t="e">
        <f t="shared" si="210"/>
        <v>#DIV/0!</v>
      </c>
      <c r="W190" s="53">
        <f>COUNTIFS('00 Encuesta'!$B$2:$B$511,"*a)*",'00 Encuesta'!$C$2:$C$511,"*c)*",'00 Encuesta'!$E$2:$E$511,"*a)*",'00 Encuesta'!$X$2:$X$511,"*i)*")</f>
        <v>0</v>
      </c>
      <c r="X190" s="52" t="e">
        <f t="shared" si="211"/>
        <v>#DIV/0!</v>
      </c>
      <c r="Y190" s="53">
        <f>COUNTIFS('00 Encuesta'!$B$2:$B$511,"*a)*",'00 Encuesta'!$C$2:$C$511,"*c)*",'00 Encuesta'!$E$2:$E$511,"*b)*",'00 Encuesta'!$X$2:$X$511,"*i)*")</f>
        <v>0</v>
      </c>
      <c r="Z190" s="52" t="e">
        <f t="shared" si="212"/>
        <v>#DIV/0!</v>
      </c>
      <c r="AA190" s="3"/>
      <c r="AB190" s="62">
        <f t="shared" si="213"/>
        <v>34</v>
      </c>
      <c r="AC190" s="52">
        <f t="shared" si="214"/>
        <v>43.589743589743591</v>
      </c>
      <c r="AD190" s="7"/>
      <c r="AE190" s="7"/>
      <c r="AF190" s="9" t="str">
        <f t="shared" si="215"/>
        <v>i) Tengo en mi cuarto alguna imagen religiosa</v>
      </c>
      <c r="AG190" s="72">
        <f t="shared" si="216"/>
        <v>45.454545454545453</v>
      </c>
      <c r="AH190" s="72">
        <f t="shared" si="217"/>
        <v>61.111111111111114</v>
      </c>
      <c r="AI190" s="73">
        <f t="shared" si="218"/>
        <v>52.5</v>
      </c>
      <c r="AJ190" s="73"/>
      <c r="AK190" s="76">
        <f t="shared" si="219"/>
        <v>30.76923076923077</v>
      </c>
      <c r="AL190" s="76">
        <f t="shared" si="220"/>
        <v>36</v>
      </c>
      <c r="AM190" s="76">
        <f t="shared" si="221"/>
        <v>34.210526315789473</v>
      </c>
      <c r="AN190" s="76"/>
      <c r="AO190" s="81" t="e">
        <f t="shared" si="222"/>
        <v>#DIV/0!</v>
      </c>
      <c r="AP190" s="81" t="e">
        <f t="shared" si="223"/>
        <v>#DIV/0!</v>
      </c>
      <c r="AQ190" s="81" t="e">
        <f t="shared" si="224"/>
        <v>#DIV/0!</v>
      </c>
      <c r="AR190" s="7"/>
      <c r="AS190" s="76">
        <f t="shared" si="174"/>
        <v>43.589743589743591</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ht="15" x14ac:dyDescent="0.25">
      <c r="A191" s="8" t="s">
        <v>23</v>
      </c>
      <c r="B191" s="9" t="s">
        <v>24</v>
      </c>
      <c r="C191" s="7"/>
      <c r="D191" s="7"/>
      <c r="E191" s="7"/>
      <c r="F191" s="71"/>
      <c r="G191" s="51">
        <f t="shared" si="201"/>
        <v>0</v>
      </c>
      <c r="H191" s="52">
        <f t="shared" si="202"/>
        <v>0</v>
      </c>
      <c r="I191" s="53"/>
      <c r="J191" s="52">
        <f t="shared" si="203"/>
        <v>0</v>
      </c>
      <c r="K191" s="53"/>
      <c r="L191" s="52">
        <f t="shared" si="204"/>
        <v>0</v>
      </c>
      <c r="M191" s="23"/>
      <c r="N191" s="51">
        <f t="shared" si="205"/>
        <v>0</v>
      </c>
      <c r="O191" s="52">
        <f t="shared" si="206"/>
        <v>0</v>
      </c>
      <c r="P191" s="53"/>
      <c r="Q191" s="52">
        <f t="shared" si="207"/>
        <v>0</v>
      </c>
      <c r="R191" s="53"/>
      <c r="S191" s="52">
        <f t="shared" si="208"/>
        <v>0</v>
      </c>
      <c r="T191" s="3"/>
      <c r="U191" s="51">
        <f t="shared" si="209"/>
        <v>0</v>
      </c>
      <c r="V191" s="52" t="e">
        <f t="shared" si="210"/>
        <v>#DIV/0!</v>
      </c>
      <c r="W191" s="53"/>
      <c r="X191" s="52" t="e">
        <f t="shared" si="211"/>
        <v>#DIV/0!</v>
      </c>
      <c r="Y191" s="53"/>
      <c r="Z191" s="52" t="e">
        <f t="shared" si="212"/>
        <v>#DIV/0!</v>
      </c>
      <c r="AA191" s="3"/>
      <c r="AB191" s="62">
        <f t="shared" si="213"/>
        <v>0</v>
      </c>
      <c r="AC191" s="52">
        <f t="shared" si="214"/>
        <v>0</v>
      </c>
      <c r="AD191" s="7"/>
      <c r="AE191" s="7"/>
      <c r="AF191" s="9" t="str">
        <f t="shared" si="215"/>
        <v>S/R Sin Respuesta</v>
      </c>
      <c r="AG191" s="72">
        <f t="shared" si="216"/>
        <v>0</v>
      </c>
      <c r="AH191" s="72">
        <f t="shared" si="217"/>
        <v>0</v>
      </c>
      <c r="AI191" s="73">
        <f t="shared" si="218"/>
        <v>0</v>
      </c>
      <c r="AJ191" s="73"/>
      <c r="AK191" s="76">
        <f t="shared" si="219"/>
        <v>0</v>
      </c>
      <c r="AL191" s="76">
        <f t="shared" si="220"/>
        <v>0</v>
      </c>
      <c r="AM191" s="76">
        <f t="shared" si="221"/>
        <v>0</v>
      </c>
      <c r="AN191" s="76"/>
      <c r="AO191" s="81" t="e">
        <f t="shared" si="222"/>
        <v>#DIV/0!</v>
      </c>
      <c r="AP191" s="81" t="e">
        <f t="shared" si="223"/>
        <v>#DIV/0!</v>
      </c>
      <c r="AQ191" s="81" t="e">
        <f t="shared" si="224"/>
        <v>#DIV/0!</v>
      </c>
      <c r="AR191" s="7"/>
      <c r="AS191" s="76">
        <f t="shared" si="174"/>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ht="15" x14ac:dyDescent="0.25">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ht="15" x14ac:dyDescent="0.25">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ht="15" x14ac:dyDescent="0.25">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ht="15" x14ac:dyDescent="0.25">
      <c r="A195" s="8" t="s">
        <v>17</v>
      </c>
      <c r="B195" s="9" t="s">
        <v>147</v>
      </c>
      <c r="C195" s="7"/>
      <c r="D195" s="7"/>
      <c r="E195" s="7"/>
      <c r="F195" s="71"/>
      <c r="G195" s="51">
        <f>I195+K195</f>
        <v>20</v>
      </c>
      <c r="H195" s="52">
        <f>G195/$J$5*100</f>
        <v>50</v>
      </c>
      <c r="I195" s="53">
        <f>COUNTIFS('00 Encuesta'!$B$2:$B$511,"*a)*",'00 Encuesta'!$C$2:$C$511,"*a)*",'00 Encuesta'!$E$2:$E$511,"*a)*",'00 Encuesta'!$Y$2:$Y$511,"*a)*")</f>
        <v>14</v>
      </c>
      <c r="J195" s="52">
        <f>I195/$J$6*100</f>
        <v>63.636363636363633</v>
      </c>
      <c r="K195" s="53">
        <f>COUNTIFS('00 Encuesta'!$B$2:$B$511,"*a)*",'00 Encuesta'!$C$2:$C$511,"*a)*",'00 Encuesta'!$E$2:$E$511,"*b)*",'00 Encuesta'!$Y$2:$Y$511,"*a)*")</f>
        <v>6</v>
      </c>
      <c r="L195" s="52">
        <f>K195/$J$7*100</f>
        <v>33.333333333333329</v>
      </c>
      <c r="M195" s="23"/>
      <c r="N195" s="51">
        <f>P195+R195</f>
        <v>14</v>
      </c>
      <c r="O195" s="52">
        <f>N195/$Q$5*100</f>
        <v>36.84210526315789</v>
      </c>
      <c r="P195" s="53">
        <f>COUNTIFS('00 Encuesta'!$B$2:$B$511,"*a)*",'00 Encuesta'!$C$2:$C$511,"*b)*",'00 Encuesta'!$E$2:$E$511,"*a)*",'00 Encuesta'!$Y$2:$Y$511,"*a)*")</f>
        <v>7</v>
      </c>
      <c r="Q195" s="52">
        <f>P195/$Q$6*100</f>
        <v>53.846153846153847</v>
      </c>
      <c r="R195" s="53">
        <f>COUNTIFS('00 Encuesta'!$B$2:$B$511,"*a)*",'00 Encuesta'!$C$2:$C$511,"*b)*",'00 Encuesta'!$E$2:$E$511,"*b)*",'00 Encuesta'!$Y$2:$Y$511,"*a)*")</f>
        <v>7</v>
      </c>
      <c r="S195" s="52">
        <f>R195/$Q$7*100</f>
        <v>28.000000000000004</v>
      </c>
      <c r="T195" s="3"/>
      <c r="U195" s="51">
        <f>W195+Y195</f>
        <v>0</v>
      </c>
      <c r="V195" s="52" t="e">
        <f>U195/$X$5*100</f>
        <v>#DIV/0!</v>
      </c>
      <c r="W195" s="53">
        <f>COUNTIFS('00 Encuesta'!$B$2:$B$511,"*a)*",'00 Encuesta'!$C$2:$C$511,"*c)*",'00 Encuesta'!$E$2:$E$511,"*a)*",'00 Encuesta'!$Y$2:$Y$511,"*a)*")</f>
        <v>0</v>
      </c>
      <c r="X195" s="52" t="e">
        <f>W195/$X$6*100</f>
        <v>#DIV/0!</v>
      </c>
      <c r="Y195" s="53">
        <f>COUNTIFS('00 Encuesta'!$B$2:$B$511,"*a)*",'00 Encuesta'!$C$2:$C$511,"*c)*",'00 Encuesta'!$E$2:$E$511,"*b)*",'00 Encuesta'!$Y$2:$Y$511,"*a)*")</f>
        <v>0</v>
      </c>
      <c r="Z195" s="52" t="e">
        <f>Y195/$X$7*100</f>
        <v>#DIV/0!</v>
      </c>
      <c r="AA195" s="3"/>
      <c r="AB195" s="62">
        <f>G195+N195+U195</f>
        <v>34</v>
      </c>
      <c r="AC195" s="52">
        <f>AB195*100/$AC$5</f>
        <v>43.589743589743591</v>
      </c>
      <c r="AD195" s="3"/>
      <c r="AE195" s="3"/>
      <c r="AF195" s="9" t="str">
        <f t="shared" si="225"/>
        <v>a) Deportivo</v>
      </c>
      <c r="AG195" s="72">
        <f>J195</f>
        <v>63.636363636363633</v>
      </c>
      <c r="AH195" s="72">
        <f>L195</f>
        <v>33.333333333333329</v>
      </c>
      <c r="AI195" s="73">
        <f>H195</f>
        <v>50</v>
      </c>
      <c r="AJ195" s="73"/>
      <c r="AK195" s="76">
        <f>Q195</f>
        <v>53.846153846153847</v>
      </c>
      <c r="AL195" s="76">
        <f>S195</f>
        <v>28.000000000000004</v>
      </c>
      <c r="AM195" s="76">
        <f>O195</f>
        <v>36.84210526315789</v>
      </c>
      <c r="AN195" s="76"/>
      <c r="AO195" s="81" t="e">
        <f>X195</f>
        <v>#DIV/0!</v>
      </c>
      <c r="AP195" s="81" t="e">
        <f>Z195</f>
        <v>#DIV/0!</v>
      </c>
      <c r="AQ195" s="81" t="e">
        <f>V195</f>
        <v>#DIV/0!</v>
      </c>
      <c r="AR195" s="3"/>
      <c r="AS195" s="76">
        <f t="shared" si="174"/>
        <v>43.589743589743591</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9</v>
      </c>
      <c r="H196" s="52">
        <f>G196/$J$5*100</f>
        <v>22.5</v>
      </c>
      <c r="I196" s="53">
        <f>COUNTIFS('00 Encuesta'!$B$2:$B$511,"*a)*",'00 Encuesta'!$C$2:$C$511,"*a)*",'00 Encuesta'!$E$2:$E$511,"*a)*",'00 Encuesta'!$Y$2:$Y$511,"*b)*")</f>
        <v>4</v>
      </c>
      <c r="J196" s="52">
        <f>I196/$J$6*100</f>
        <v>18.181818181818183</v>
      </c>
      <c r="K196" s="53">
        <f>COUNTIFS('00 Encuesta'!$B$2:$B$511,"*a)*",'00 Encuesta'!$C$2:$C$511,"*a)*",'00 Encuesta'!$E$2:$E$511,"*b)*",'00 Encuesta'!$Y$2:$Y$511,"*b)*")</f>
        <v>5</v>
      </c>
      <c r="L196" s="52">
        <f>K196/$J$7*100</f>
        <v>27.777777777777779</v>
      </c>
      <c r="M196" s="23"/>
      <c r="N196" s="51">
        <f>P196+R196</f>
        <v>6</v>
      </c>
      <c r="O196" s="52">
        <f>N196/$Q$5*100</f>
        <v>15.789473684210526</v>
      </c>
      <c r="P196" s="53">
        <f>COUNTIFS('00 Encuesta'!$B$2:$B$511,"*a)*",'00 Encuesta'!$C$2:$C$511,"*b)*",'00 Encuesta'!$E$2:$E$511,"*a)*",'00 Encuesta'!$Y$2:$Y$511,"*b)*")</f>
        <v>2</v>
      </c>
      <c r="Q196" s="52">
        <f>P196/$Q$6*100</f>
        <v>15.384615384615385</v>
      </c>
      <c r="R196" s="53">
        <f>COUNTIFS('00 Encuesta'!$B$2:$B$511,"*a)*",'00 Encuesta'!$C$2:$C$511,"*b)*",'00 Encuesta'!$E$2:$E$511,"*b)*",'00 Encuesta'!$Y$2:$Y$511,"*b)*")</f>
        <v>4</v>
      </c>
      <c r="S196" s="52">
        <f>R196/$Q$7*100</f>
        <v>16</v>
      </c>
      <c r="T196" s="3"/>
      <c r="U196" s="51">
        <f>W196+Y196</f>
        <v>0</v>
      </c>
      <c r="V196" s="52" t="e">
        <f>U196/$X$5*100</f>
        <v>#DIV/0!</v>
      </c>
      <c r="W196" s="53">
        <f>COUNTIFS('00 Encuesta'!$B$2:$B$511,"*a)*",'00 Encuesta'!$C$2:$C$511,"*c)*",'00 Encuesta'!$E$2:$E$511,"*a)*",'00 Encuesta'!$Y$2:$Y$511,"*b)*")</f>
        <v>0</v>
      </c>
      <c r="X196" s="52" t="e">
        <f>W196/$X$6*100</f>
        <v>#DIV/0!</v>
      </c>
      <c r="Y196" s="53">
        <f>COUNTIFS('00 Encuesta'!$B$2:$B$511,"*a)*",'00 Encuesta'!$C$2:$C$511,"*c)*",'00 Encuesta'!$E$2:$E$511,"*b)*",'00 Encuesta'!$Y$2:$Y$511,"*b)*")</f>
        <v>0</v>
      </c>
      <c r="Z196" s="52" t="e">
        <f>Y196/$X$7*100</f>
        <v>#DIV/0!</v>
      </c>
      <c r="AA196" s="3"/>
      <c r="AB196" s="62">
        <f>G196+N196+U196</f>
        <v>15</v>
      </c>
      <c r="AC196" s="52">
        <f>AB196*100/$AC$5</f>
        <v>19.23076923076923</v>
      </c>
      <c r="AD196" s="3"/>
      <c r="AE196" s="3"/>
      <c r="AF196" s="9" t="str">
        <f t="shared" si="225"/>
        <v>b) Cultural (folklórico, musicales, danzas, scout, banda marcial...)</v>
      </c>
      <c r="AG196" s="72">
        <f>J196</f>
        <v>18.181818181818183</v>
      </c>
      <c r="AH196" s="72">
        <f>L196</f>
        <v>27.777777777777779</v>
      </c>
      <c r="AI196" s="73">
        <f>H196</f>
        <v>22.5</v>
      </c>
      <c r="AJ196" s="73"/>
      <c r="AK196" s="76">
        <f>Q196</f>
        <v>15.384615384615385</v>
      </c>
      <c r="AL196" s="76">
        <f>S196</f>
        <v>16</v>
      </c>
      <c r="AM196" s="76">
        <f>O196</f>
        <v>15.789473684210526</v>
      </c>
      <c r="AN196" s="76"/>
      <c r="AO196" s="81" t="e">
        <f>X196</f>
        <v>#DIV/0!</v>
      </c>
      <c r="AP196" s="81" t="e">
        <f>Z196</f>
        <v>#DIV/0!</v>
      </c>
      <c r="AQ196" s="81" t="e">
        <f>V196</f>
        <v>#DIV/0!</v>
      </c>
      <c r="AR196" s="3"/>
      <c r="AS196" s="76">
        <f t="shared" si="174"/>
        <v>19.23076923076923</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ht="15" x14ac:dyDescent="0.25">
      <c r="A197" s="8" t="s">
        <v>20</v>
      </c>
      <c r="B197" s="9" t="s">
        <v>149</v>
      </c>
      <c r="C197" s="7"/>
      <c r="D197" s="7"/>
      <c r="E197" s="7"/>
      <c r="F197" s="71"/>
      <c r="G197" s="51">
        <f>I197+K197</f>
        <v>8</v>
      </c>
      <c r="H197" s="52">
        <f>G197/$J$5*100</f>
        <v>20</v>
      </c>
      <c r="I197" s="53">
        <f>COUNTIFS('00 Encuesta'!$B$2:$B$511,"*a)*",'00 Encuesta'!$C$2:$C$511,"*a)*",'00 Encuesta'!$E$2:$E$511,"*a)*",'00 Encuesta'!$Y$2:$Y$511,"*c)*")</f>
        <v>3</v>
      </c>
      <c r="J197" s="52">
        <f>I197/$J$6*100</f>
        <v>13.636363636363635</v>
      </c>
      <c r="K197" s="53">
        <f>COUNTIFS('00 Encuesta'!$B$2:$B$511,"*a)*",'00 Encuesta'!$C$2:$C$511,"*a)*",'00 Encuesta'!$E$2:$E$511,"*b)*",'00 Encuesta'!$Y$2:$Y$511,"*c)*")</f>
        <v>5</v>
      </c>
      <c r="L197" s="52">
        <f>K197/$J$7*100</f>
        <v>27.777777777777779</v>
      </c>
      <c r="M197" s="23"/>
      <c r="N197" s="51">
        <f>P197+R197</f>
        <v>2</v>
      </c>
      <c r="O197" s="52">
        <f>N197/$Q$5*100</f>
        <v>5.2631578947368416</v>
      </c>
      <c r="P197" s="53">
        <f>COUNTIFS('00 Encuesta'!$B$2:$B$511,"*a)*",'00 Encuesta'!$C$2:$C$511,"*b)*",'00 Encuesta'!$E$2:$E$511,"*a)*",'00 Encuesta'!$Y$2:$Y$511,"*c)*")</f>
        <v>0</v>
      </c>
      <c r="Q197" s="52">
        <f>P197/$Q$6*100</f>
        <v>0</v>
      </c>
      <c r="R197" s="53">
        <f>COUNTIFS('00 Encuesta'!$B$2:$B$511,"*a)*",'00 Encuesta'!$C$2:$C$511,"*b)*",'00 Encuesta'!$E$2:$E$511,"*b)*",'00 Encuesta'!$Y$2:$Y$511,"*c)*")</f>
        <v>2</v>
      </c>
      <c r="S197" s="52">
        <f>R197/$Q$7*100</f>
        <v>8</v>
      </c>
      <c r="T197" s="3"/>
      <c r="U197" s="51">
        <f>W197+Y197</f>
        <v>0</v>
      </c>
      <c r="V197" s="52" t="e">
        <f>U197/$X$5*100</f>
        <v>#DIV/0!</v>
      </c>
      <c r="W197" s="53">
        <f>COUNTIFS('00 Encuesta'!$B$2:$B$511,"*a)*",'00 Encuesta'!$C$2:$C$511,"*c)*",'00 Encuesta'!$E$2:$E$511,"*a)*",'00 Encuesta'!$Y$2:$Y$511,"*c)*")</f>
        <v>0</v>
      </c>
      <c r="X197" s="52" t="e">
        <f>W197/$X$6*100</f>
        <v>#DIV/0!</v>
      </c>
      <c r="Y197" s="53">
        <f>COUNTIFS('00 Encuesta'!$B$2:$B$511,"*a)*",'00 Encuesta'!$C$2:$C$511,"*c)*",'00 Encuesta'!$E$2:$E$511,"*b)*",'00 Encuesta'!$Y$2:$Y$511,"*c)*")</f>
        <v>0</v>
      </c>
      <c r="Z197" s="52" t="e">
        <f>Y197/$X$7*100</f>
        <v>#DIV/0!</v>
      </c>
      <c r="AA197" s="3"/>
      <c r="AB197" s="62">
        <f>G197+N197+U197</f>
        <v>10</v>
      </c>
      <c r="AC197" s="52">
        <f>AB197*100/$AC$5</f>
        <v>12.820512820512821</v>
      </c>
      <c r="AD197" s="3"/>
      <c r="AE197" s="3"/>
      <c r="AF197" s="9" t="str">
        <f t="shared" si="225"/>
        <v>c) Religioso o parroquial</v>
      </c>
      <c r="AG197" s="72">
        <f>J197</f>
        <v>13.636363636363635</v>
      </c>
      <c r="AH197" s="72">
        <f>L197</f>
        <v>27.777777777777779</v>
      </c>
      <c r="AI197" s="73">
        <f>H197</f>
        <v>20</v>
      </c>
      <c r="AJ197" s="73"/>
      <c r="AK197" s="76">
        <f>Q197</f>
        <v>0</v>
      </c>
      <c r="AL197" s="76">
        <f>S197</f>
        <v>8</v>
      </c>
      <c r="AM197" s="76">
        <f>O197</f>
        <v>5.2631578947368416</v>
      </c>
      <c r="AN197" s="76"/>
      <c r="AO197" s="81" t="e">
        <f>X197</f>
        <v>#DIV/0!</v>
      </c>
      <c r="AP197" s="81" t="e">
        <f>Z197</f>
        <v>#DIV/0!</v>
      </c>
      <c r="AQ197" s="81" t="e">
        <f>V197</f>
        <v>#DIV/0!</v>
      </c>
      <c r="AR197" s="3"/>
      <c r="AS197" s="76">
        <f t="shared" si="174"/>
        <v>12.820512820512821</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ht="15" x14ac:dyDescent="0.25">
      <c r="A198" s="8" t="s">
        <v>21</v>
      </c>
      <c r="B198" s="9" t="s">
        <v>150</v>
      </c>
      <c r="C198" s="7"/>
      <c r="D198" s="7"/>
      <c r="E198" s="7"/>
      <c r="F198" s="71"/>
      <c r="G198" s="51">
        <f>I198+K198</f>
        <v>9</v>
      </c>
      <c r="H198" s="52">
        <f>G198/$J$5*100</f>
        <v>22.5</v>
      </c>
      <c r="I198" s="53">
        <f>COUNTIFS('00 Encuesta'!$B$2:$B$511,"*a)*",'00 Encuesta'!$C$2:$C$511,"*a)*",'00 Encuesta'!$E$2:$E$511,"*a)*",'00 Encuesta'!$Y$2:$Y$511,"*d)*")</f>
        <v>3</v>
      </c>
      <c r="J198" s="52">
        <f>I198/$J$6*100</f>
        <v>13.636363636363635</v>
      </c>
      <c r="K198" s="53">
        <f>COUNTIFS('00 Encuesta'!$B$2:$B$511,"*a)*",'00 Encuesta'!$C$2:$C$511,"*a)*",'00 Encuesta'!$E$2:$E$511,"*b)*",'00 Encuesta'!$Y$2:$Y$511,"*d)*")</f>
        <v>6</v>
      </c>
      <c r="L198" s="52">
        <f>K198/$J$7*100</f>
        <v>33.333333333333329</v>
      </c>
      <c r="M198" s="23"/>
      <c r="N198" s="51">
        <f>P198+R198</f>
        <v>15</v>
      </c>
      <c r="O198" s="52">
        <f>N198/$Q$5*100</f>
        <v>39.473684210526315</v>
      </c>
      <c r="P198" s="53">
        <f>COUNTIFS('00 Encuesta'!$B$2:$B$511,"*a)*",'00 Encuesta'!$C$2:$C$511,"*b)*",'00 Encuesta'!$E$2:$E$511,"*a)*",'00 Encuesta'!$Y$2:$Y$511,"*d)*")</f>
        <v>2</v>
      </c>
      <c r="Q198" s="52">
        <f>P198/$Q$6*100</f>
        <v>15.384615384615385</v>
      </c>
      <c r="R198" s="53">
        <f>COUNTIFS('00 Encuesta'!$B$2:$B$511,"*a)*",'00 Encuesta'!$C$2:$C$511,"*b)*",'00 Encuesta'!$E$2:$E$511,"*b)*",'00 Encuesta'!$Y$2:$Y$511,"*d)*")</f>
        <v>13</v>
      </c>
      <c r="S198" s="52">
        <f>R198/$Q$7*100</f>
        <v>52</v>
      </c>
      <c r="T198" s="3"/>
      <c r="U198" s="51">
        <f>W198+Y198</f>
        <v>0</v>
      </c>
      <c r="V198" s="52" t="e">
        <f>U198/$X$5*100</f>
        <v>#DIV/0!</v>
      </c>
      <c r="W198" s="53">
        <f>COUNTIFS('00 Encuesta'!$B$2:$B$511,"*a)*",'00 Encuesta'!$C$2:$C$511,"*c)*",'00 Encuesta'!$E$2:$E$511,"*a)*",'00 Encuesta'!$Y$2:$Y$511,"*d)*")</f>
        <v>0</v>
      </c>
      <c r="X198" s="52" t="e">
        <f>W198/$X$6*100</f>
        <v>#DIV/0!</v>
      </c>
      <c r="Y198" s="53">
        <f>COUNTIFS('00 Encuesta'!$B$2:$B$511,"*a)*",'00 Encuesta'!$C$2:$C$511,"*c)*",'00 Encuesta'!$E$2:$E$511,"*b)*",'00 Encuesta'!$Y$2:$Y$511,"*d)*")</f>
        <v>0</v>
      </c>
      <c r="Z198" s="52" t="e">
        <f>Y198/$X$7*100</f>
        <v>#DIV/0!</v>
      </c>
      <c r="AA198" s="3"/>
      <c r="AB198" s="62">
        <f>G198+N198+U198</f>
        <v>24</v>
      </c>
      <c r="AC198" s="52">
        <f>AB198*100/$AC$5</f>
        <v>30.76923076923077</v>
      </c>
      <c r="AD198" s="3"/>
      <c r="AE198" s="3"/>
      <c r="AF198" s="9" t="str">
        <f t="shared" si="225"/>
        <v>d) No pertenezco a ninguno.</v>
      </c>
      <c r="AG198" s="72">
        <f>J198</f>
        <v>13.636363636363635</v>
      </c>
      <c r="AH198" s="72">
        <f>L198</f>
        <v>33.333333333333329</v>
      </c>
      <c r="AI198" s="73">
        <f>H198</f>
        <v>22.5</v>
      </c>
      <c r="AJ198" s="73"/>
      <c r="AK198" s="76">
        <f>Q198</f>
        <v>15.384615384615385</v>
      </c>
      <c r="AL198" s="76">
        <f>S198</f>
        <v>52</v>
      </c>
      <c r="AM198" s="76">
        <f>O198</f>
        <v>39.473684210526315</v>
      </c>
      <c r="AN198" s="76"/>
      <c r="AO198" s="81" t="e">
        <f>X198</f>
        <v>#DIV/0!</v>
      </c>
      <c r="AP198" s="81" t="e">
        <f>Z198</f>
        <v>#DIV/0!</v>
      </c>
      <c r="AQ198" s="81" t="e">
        <f>V198</f>
        <v>#DIV/0!</v>
      </c>
      <c r="AR198" s="3"/>
      <c r="AS198" s="76">
        <f t="shared" si="174"/>
        <v>30.76923076923077</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ht="15" x14ac:dyDescent="0.25">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f>N199/$Q$5*100</f>
        <v>0</v>
      </c>
      <c r="P199" s="53"/>
      <c r="Q199" s="52">
        <f>P199/$Q$6*100</f>
        <v>0</v>
      </c>
      <c r="R199" s="53"/>
      <c r="S199" s="52">
        <f>R199/$Q$7*100</f>
        <v>0</v>
      </c>
      <c r="T199" s="3"/>
      <c r="U199" s="51">
        <f>W199+Y199</f>
        <v>0</v>
      </c>
      <c r="V199" s="52" t="e">
        <f>U199/$X$5*100</f>
        <v>#DIV/0!</v>
      </c>
      <c r="W199" s="53"/>
      <c r="X199" s="52" t="e">
        <f>W199/$X$6*100</f>
        <v>#DIV/0!</v>
      </c>
      <c r="Y199" s="53"/>
      <c r="Z199" s="52" t="e">
        <f>Y199/$X$7*100</f>
        <v>#DIV/0!</v>
      </c>
      <c r="AA199" s="3"/>
      <c r="AB199" s="62">
        <f>G199+N199+U199</f>
        <v>0</v>
      </c>
      <c r="AC199" s="52">
        <f>AB199*100/$AC$5</f>
        <v>0</v>
      </c>
      <c r="AD199" s="3"/>
      <c r="AE199" s="3"/>
      <c r="AF199" s="9" t="str">
        <f t="shared" si="225"/>
        <v>S/R Sin Respuesta</v>
      </c>
      <c r="AG199" s="72">
        <f>J199</f>
        <v>0</v>
      </c>
      <c r="AH199" s="72">
        <f>L199</f>
        <v>0</v>
      </c>
      <c r="AI199" s="73">
        <f>H199</f>
        <v>0</v>
      </c>
      <c r="AJ199" s="73"/>
      <c r="AK199" s="76">
        <f>Q199</f>
        <v>0</v>
      </c>
      <c r="AL199" s="76">
        <f>S199</f>
        <v>0</v>
      </c>
      <c r="AM199" s="76">
        <f>O199</f>
        <v>0</v>
      </c>
      <c r="AN199" s="76"/>
      <c r="AO199" s="81" t="e">
        <f>X199</f>
        <v>#DIV/0!</v>
      </c>
      <c r="AP199" s="81" t="e">
        <f>Z199</f>
        <v>#DIV/0!</v>
      </c>
      <c r="AQ199" s="81" t="e">
        <f>V199</f>
        <v>#DIV/0!</v>
      </c>
      <c r="AR199" s="3"/>
      <c r="AS199" s="76">
        <f t="shared" si="174"/>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ht="15" x14ac:dyDescent="0.25">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ht="15" x14ac:dyDescent="0.25">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ht="15" x14ac:dyDescent="0.25">
      <c r="A202" s="8" t="s">
        <v>17</v>
      </c>
      <c r="B202" s="9" t="s">
        <v>152</v>
      </c>
      <c r="C202" s="7"/>
      <c r="D202" s="7"/>
      <c r="E202" s="7"/>
      <c r="F202" s="71"/>
      <c r="G202" s="51">
        <f>I202+K202</f>
        <v>7</v>
      </c>
      <c r="H202" s="52">
        <f>G202/$J$5*100</f>
        <v>17.5</v>
      </c>
      <c r="I202" s="53">
        <f>COUNTIFS('00 Encuesta'!$B$2:$B$511,"*a)*",'00 Encuesta'!$C$2:$C$511,"*a)*",'00 Encuesta'!$E$2:$E$511,"*a)*",'00 Encuesta'!$Z$2:$Z$511,"*a)*")</f>
        <v>3</v>
      </c>
      <c r="J202" s="52">
        <f>I202/$J$6*100</f>
        <v>13.636363636363635</v>
      </c>
      <c r="K202" s="53">
        <f>COUNTIFS('00 Encuesta'!$B$2:$B$511,"*a)*",'00 Encuesta'!$C$2:$C$511,"*a)*",'00 Encuesta'!$E$2:$E$511,"*b)*",'00 Encuesta'!$Z$2:$Z$511,"*a)*")</f>
        <v>4</v>
      </c>
      <c r="L202" s="52">
        <f>K202/$J$7*100</f>
        <v>22.222222222222221</v>
      </c>
      <c r="M202" s="23"/>
      <c r="N202" s="51">
        <f>P202+R202</f>
        <v>5</v>
      </c>
      <c r="O202" s="52">
        <f>N202/$Q$5*100</f>
        <v>13.157894736842104</v>
      </c>
      <c r="P202" s="53">
        <f>COUNTIFS('00 Encuesta'!$B$2:$B$511,"*a)*",'00 Encuesta'!$C$2:$C$511,"*b)*",'00 Encuesta'!$E$2:$E$511,"*a)*",'00 Encuesta'!$Z$2:$Z$511,"*a)*")</f>
        <v>0</v>
      </c>
      <c r="Q202" s="52">
        <f>P202/$Q$6*100</f>
        <v>0</v>
      </c>
      <c r="R202" s="53">
        <f>COUNTIFS('00 Encuesta'!$B$2:$B$511,"*a)*",'00 Encuesta'!$C$2:$C$511,"*b)*",'00 Encuesta'!$E$2:$E$511,"*b)*",'00 Encuesta'!$Z$2:$Z$511,"*a)*")</f>
        <v>5</v>
      </c>
      <c r="S202" s="52">
        <f>R202/$Q$7*100</f>
        <v>20</v>
      </c>
      <c r="T202" s="3"/>
      <c r="U202" s="51">
        <f>W202+Y202</f>
        <v>0</v>
      </c>
      <c r="V202" s="52" t="e">
        <f>U202/$X$5*100</f>
        <v>#DIV/0!</v>
      </c>
      <c r="W202" s="53">
        <f>COUNTIFS('00 Encuesta'!$B$2:$B$511,"*a)*",'00 Encuesta'!$C$2:$C$511,"*c)*",'00 Encuesta'!$E$2:$E$511,"*a)*",'00 Encuesta'!$Z$2:$Z$511,"*a)*")</f>
        <v>0</v>
      </c>
      <c r="X202" s="52" t="e">
        <f>W202/$X$6*100</f>
        <v>#DIV/0!</v>
      </c>
      <c r="Y202" s="53">
        <f>COUNTIFS('00 Encuesta'!$B$2:$B$511,"*a)*",'00 Encuesta'!$C$2:$C$511,"*c)*",'00 Encuesta'!$E$2:$E$511,"*b)*",'00 Encuesta'!$Z$2:$Z$511,"*a)*")</f>
        <v>0</v>
      </c>
      <c r="Z202" s="52" t="e">
        <f>Y202/$X$7*100</f>
        <v>#DIV/0!</v>
      </c>
      <c r="AA202" s="3"/>
      <c r="AB202" s="62">
        <f>G202+N202+U202</f>
        <v>12</v>
      </c>
      <c r="AC202" s="52">
        <f>AB202*100/$AC$5</f>
        <v>15.384615384615385</v>
      </c>
      <c r="AD202" s="3"/>
      <c r="AE202" s="3"/>
      <c r="AF202" s="9" t="str">
        <f t="shared" si="226"/>
        <v>a) Un grupo donde profundizo mi fe</v>
      </c>
      <c r="AG202" s="72">
        <f>J202</f>
        <v>13.636363636363635</v>
      </c>
      <c r="AH202" s="72">
        <f>L202</f>
        <v>22.222222222222221</v>
      </c>
      <c r="AI202" s="73">
        <f>H202</f>
        <v>17.5</v>
      </c>
      <c r="AJ202" s="73"/>
      <c r="AK202" s="76">
        <f>Q202</f>
        <v>0</v>
      </c>
      <c r="AL202" s="76">
        <f>S202</f>
        <v>20</v>
      </c>
      <c r="AM202" s="76">
        <f>O202</f>
        <v>13.157894736842104</v>
      </c>
      <c r="AN202" s="76"/>
      <c r="AO202" s="81" t="e">
        <f>X202</f>
        <v>#DIV/0!</v>
      </c>
      <c r="AP202" s="81" t="e">
        <f>Z202</f>
        <v>#DIV/0!</v>
      </c>
      <c r="AQ202" s="81" t="e">
        <f>V202</f>
        <v>#DIV/0!</v>
      </c>
      <c r="AR202" s="3"/>
      <c r="AS202" s="76">
        <f t="shared" si="174"/>
        <v>15.384615384615385</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10</v>
      </c>
      <c r="H203" s="52">
        <f>G203/$J$5*100</f>
        <v>25</v>
      </c>
      <c r="I203" s="53">
        <f>COUNTIFS('00 Encuesta'!$B$2:$B$511,"*a)*",'00 Encuesta'!$C$2:$C$511,"*a)*",'00 Encuesta'!$E$2:$E$511,"*a)*",'00 Encuesta'!$Z$2:$Z$511,"*b)*")</f>
        <v>7</v>
      </c>
      <c r="J203" s="52">
        <f>I203/$J$6*100</f>
        <v>31.818181818181817</v>
      </c>
      <c r="K203" s="53">
        <f>COUNTIFS('00 Encuesta'!$B$2:$B$511,"*a)*",'00 Encuesta'!$C$2:$C$511,"*a)*",'00 Encuesta'!$E$2:$E$511,"*b)*",'00 Encuesta'!$Z$2:$Z$511,"*b)*")</f>
        <v>3</v>
      </c>
      <c r="L203" s="52">
        <f>K203/$J$7*100</f>
        <v>16.666666666666664</v>
      </c>
      <c r="M203" s="23"/>
      <c r="N203" s="51">
        <f>P203+R203</f>
        <v>5</v>
      </c>
      <c r="O203" s="52">
        <f>N203/$Q$5*100</f>
        <v>13.157894736842104</v>
      </c>
      <c r="P203" s="53">
        <f>COUNTIFS('00 Encuesta'!$B$2:$B$511,"*a)*",'00 Encuesta'!$C$2:$C$511,"*b)*",'00 Encuesta'!$E$2:$E$511,"*a)*",'00 Encuesta'!$Z$2:$Z$511,"*b)*")</f>
        <v>2</v>
      </c>
      <c r="Q203" s="52">
        <f>P203/$Q$6*100</f>
        <v>15.384615384615385</v>
      </c>
      <c r="R203" s="53">
        <f>COUNTIFS('00 Encuesta'!$B$2:$B$511,"*a)*",'00 Encuesta'!$C$2:$C$511,"*b)*",'00 Encuesta'!$E$2:$E$511,"*b)*",'00 Encuesta'!$Z$2:$Z$511,"*b)*")</f>
        <v>3</v>
      </c>
      <c r="S203" s="52">
        <f>R203/$Q$7*100</f>
        <v>12</v>
      </c>
      <c r="T203" s="3"/>
      <c r="U203" s="51">
        <f>W203+Y203</f>
        <v>0</v>
      </c>
      <c r="V203" s="52" t="e">
        <f>U203/$X$5*100</f>
        <v>#DIV/0!</v>
      </c>
      <c r="W203" s="53">
        <f>COUNTIFS('00 Encuesta'!$B$2:$B$511,"*a)*",'00 Encuesta'!$C$2:$C$511,"*c)*",'00 Encuesta'!$E$2:$E$511,"*a)*",'00 Encuesta'!$Z$2:$Z$511,"*b)*")</f>
        <v>0</v>
      </c>
      <c r="X203" s="52" t="e">
        <f>W203/$X$6*100</f>
        <v>#DIV/0!</v>
      </c>
      <c r="Y203" s="53">
        <f>COUNTIFS('00 Encuesta'!$B$2:$B$511,"*a)*",'00 Encuesta'!$C$2:$C$511,"*c)*",'00 Encuesta'!$E$2:$E$511,"*b)*",'00 Encuesta'!$Z$2:$Z$511,"*b)*")</f>
        <v>0</v>
      </c>
      <c r="Z203" s="52" t="e">
        <f>Y203/$X$7*100</f>
        <v>#DIV/0!</v>
      </c>
      <c r="AA203" s="3"/>
      <c r="AB203" s="62">
        <f>G203+N203+U203</f>
        <v>15</v>
      </c>
      <c r="AC203" s="52">
        <f>AB203*100/$AC$5</f>
        <v>19.23076923076923</v>
      </c>
      <c r="AD203" s="3"/>
      <c r="AE203" s="3"/>
      <c r="AF203" s="9" t="str">
        <f t="shared" si="226"/>
        <v>b) Un lugar donde comparto con mis compañeros</v>
      </c>
      <c r="AG203" s="72">
        <f>J203</f>
        <v>31.818181818181817</v>
      </c>
      <c r="AH203" s="72">
        <f>L203</f>
        <v>16.666666666666664</v>
      </c>
      <c r="AI203" s="73">
        <f>H203</f>
        <v>25</v>
      </c>
      <c r="AJ203" s="73"/>
      <c r="AK203" s="76">
        <f>Q203</f>
        <v>15.384615384615385</v>
      </c>
      <c r="AL203" s="76">
        <f>S203</f>
        <v>12</v>
      </c>
      <c r="AM203" s="76">
        <f>O203</f>
        <v>13.157894736842104</v>
      </c>
      <c r="AN203" s="76"/>
      <c r="AO203" s="81" t="e">
        <f>X203</f>
        <v>#DIV/0!</v>
      </c>
      <c r="AP203" s="81" t="e">
        <f>Z203</f>
        <v>#DIV/0!</v>
      </c>
      <c r="AQ203" s="81" t="e">
        <f>V203</f>
        <v>#DIV/0!</v>
      </c>
      <c r="AR203" s="3"/>
      <c r="AS203" s="76">
        <f t="shared" si="174"/>
        <v>19.23076923076923</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ht="15" x14ac:dyDescent="0.25">
      <c r="A204" s="8" t="s">
        <v>20</v>
      </c>
      <c r="B204" s="9" t="s">
        <v>154</v>
      </c>
      <c r="C204" s="7"/>
      <c r="D204" s="7"/>
      <c r="E204" s="7"/>
      <c r="F204" s="71"/>
      <c r="G204" s="51">
        <f>I204+K204</f>
        <v>7</v>
      </c>
      <c r="H204" s="52">
        <f>G204/$J$5*100</f>
        <v>17.5</v>
      </c>
      <c r="I204" s="53">
        <f>COUNTIFS('00 Encuesta'!$B$2:$B$511,"*a)*",'00 Encuesta'!$C$2:$C$511,"*a)*",'00 Encuesta'!$E$2:$E$511,"*a)*",'00 Encuesta'!$Z$2:$Z$511,"*c)*")</f>
        <v>4</v>
      </c>
      <c r="J204" s="52">
        <f>I204/$J$6*100</f>
        <v>18.181818181818183</v>
      </c>
      <c r="K204" s="53">
        <f>COUNTIFS('00 Encuesta'!$B$2:$B$511,"*a)*",'00 Encuesta'!$C$2:$C$511,"*a)*",'00 Encuesta'!$E$2:$E$511,"*b)*",'00 Encuesta'!$Z$2:$Z$511,"*c)*")</f>
        <v>3</v>
      </c>
      <c r="L204" s="52">
        <f>K204/$J$7*100</f>
        <v>16.666666666666664</v>
      </c>
      <c r="M204" s="23"/>
      <c r="N204" s="51">
        <f>P204+R204</f>
        <v>1</v>
      </c>
      <c r="O204" s="52">
        <f>N204/$Q$5*100</f>
        <v>2.6315789473684208</v>
      </c>
      <c r="P204" s="53">
        <f>COUNTIFS('00 Encuesta'!$B$2:$B$511,"*a)*",'00 Encuesta'!$C$2:$C$511,"*b)*",'00 Encuesta'!$E$2:$E$511,"*a)*",'00 Encuesta'!$Z$2:$Z$511,"*c)*")</f>
        <v>1</v>
      </c>
      <c r="Q204" s="52">
        <f>P204/$Q$6*100</f>
        <v>7.6923076923076925</v>
      </c>
      <c r="R204" s="53">
        <f>COUNTIFS('00 Encuesta'!$B$2:$B$511,"*a)*",'00 Encuesta'!$C$2:$C$511,"*b)*",'00 Encuesta'!$E$2:$E$511,"*b)*",'00 Encuesta'!$Z$2:$Z$511,"*c)*")</f>
        <v>0</v>
      </c>
      <c r="S204" s="52">
        <f>R204/$Q$7*100</f>
        <v>0</v>
      </c>
      <c r="T204" s="3"/>
      <c r="U204" s="51">
        <f>W204+Y204</f>
        <v>0</v>
      </c>
      <c r="V204" s="52" t="e">
        <f>U204/$X$5*100</f>
        <v>#DIV/0!</v>
      </c>
      <c r="W204" s="53">
        <f>COUNTIFS('00 Encuesta'!$B$2:$B$511,"*a)*",'00 Encuesta'!$C$2:$C$511,"*c)*",'00 Encuesta'!$E$2:$E$511,"*a)*",'00 Encuesta'!$Z$2:$Z$511,"*c)*")</f>
        <v>0</v>
      </c>
      <c r="X204" s="52" t="e">
        <f>W204/$X$6*100</f>
        <v>#DIV/0!</v>
      </c>
      <c r="Y204" s="53">
        <f>COUNTIFS('00 Encuesta'!$B$2:$B$511,"*a)*",'00 Encuesta'!$C$2:$C$511,"*c)*",'00 Encuesta'!$E$2:$E$511,"*b)*",'00 Encuesta'!$Z$2:$Z$511,"*c)*")</f>
        <v>0</v>
      </c>
      <c r="Z204" s="52" t="e">
        <f>Y204/$X$7*100</f>
        <v>#DIV/0!</v>
      </c>
      <c r="AA204" s="3"/>
      <c r="AB204" s="62">
        <f>G204+N204+U204</f>
        <v>8</v>
      </c>
      <c r="AC204" s="52">
        <f>AB204*100/$AC$5</f>
        <v>10.256410256410257</v>
      </c>
      <c r="AD204" s="3"/>
      <c r="AE204" s="3"/>
      <c r="AF204" s="9" t="str">
        <f t="shared" si="226"/>
        <v>c) Un lugar donde me lo paso bien</v>
      </c>
      <c r="AG204" s="72">
        <f>J204</f>
        <v>18.181818181818183</v>
      </c>
      <c r="AH204" s="72">
        <f>L204</f>
        <v>16.666666666666664</v>
      </c>
      <c r="AI204" s="73">
        <f>H204</f>
        <v>17.5</v>
      </c>
      <c r="AJ204" s="73"/>
      <c r="AK204" s="76">
        <f>Q204</f>
        <v>7.6923076923076925</v>
      </c>
      <c r="AL204" s="76">
        <f>S204</f>
        <v>0</v>
      </c>
      <c r="AM204" s="76">
        <f>O204</f>
        <v>2.6315789473684208</v>
      </c>
      <c r="AN204" s="76"/>
      <c r="AO204" s="81" t="e">
        <f>X204</f>
        <v>#DIV/0!</v>
      </c>
      <c r="AP204" s="81" t="e">
        <f>Z204</f>
        <v>#DIV/0!</v>
      </c>
      <c r="AQ204" s="81" t="e">
        <f>V204</f>
        <v>#DIV/0!</v>
      </c>
      <c r="AR204" s="3"/>
      <c r="AS204" s="76">
        <f t="shared" si="174"/>
        <v>10.256410256410257</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ht="15" x14ac:dyDescent="0.25">
      <c r="A205" s="8" t="s">
        <v>21</v>
      </c>
      <c r="B205" s="9" t="s">
        <v>155</v>
      </c>
      <c r="C205" s="7"/>
      <c r="D205" s="7"/>
      <c r="E205" s="7"/>
      <c r="F205" s="71"/>
      <c r="G205" s="51">
        <f>I205+K205</f>
        <v>14</v>
      </c>
      <c r="H205" s="52">
        <f>G205/$J$5*100</f>
        <v>35</v>
      </c>
      <c r="I205" s="53">
        <f>COUNTIFS('00 Encuesta'!$B$2:$B$511,"*a)*",'00 Encuesta'!$C$2:$C$511,"*a)*",'00 Encuesta'!$E$2:$E$511,"*a)*",'00 Encuesta'!$Z$2:$Z$511,"*d)*")</f>
        <v>6</v>
      </c>
      <c r="J205" s="52">
        <f>I205/$J$6*100</f>
        <v>27.27272727272727</v>
      </c>
      <c r="K205" s="53">
        <f>COUNTIFS('00 Encuesta'!$B$2:$B$511,"*a)*",'00 Encuesta'!$C$2:$C$511,"*a)*",'00 Encuesta'!$E$2:$E$511,"*b)*",'00 Encuesta'!$Z$2:$Z$511,"*d)*")</f>
        <v>8</v>
      </c>
      <c r="L205" s="52">
        <f>K205/$J$7*100</f>
        <v>44.444444444444443</v>
      </c>
      <c r="M205" s="23"/>
      <c r="N205" s="51">
        <f>P205+R205</f>
        <v>26</v>
      </c>
      <c r="O205" s="52">
        <f>N205/$Q$5*100</f>
        <v>68.421052631578945</v>
      </c>
      <c r="P205" s="53">
        <f>COUNTIFS('00 Encuesta'!$B$2:$B$511,"*a)*",'00 Encuesta'!$C$2:$C$511,"*b)*",'00 Encuesta'!$E$2:$E$511,"*a)*",'00 Encuesta'!$Z$2:$Z$511,"*d)*")</f>
        <v>10</v>
      </c>
      <c r="Q205" s="52">
        <f>P205/$Q$6*100</f>
        <v>76.923076923076934</v>
      </c>
      <c r="R205" s="53">
        <f>COUNTIFS('00 Encuesta'!$B$2:$B$511,"*a)*",'00 Encuesta'!$C$2:$C$511,"*b)*",'00 Encuesta'!$E$2:$E$511,"*b)*",'00 Encuesta'!$Z$2:$Z$511,"*d)*")</f>
        <v>16</v>
      </c>
      <c r="S205" s="52">
        <f>R205/$Q$7*100</f>
        <v>64</v>
      </c>
      <c r="T205" s="3"/>
      <c r="U205" s="51">
        <f>W205+Y205</f>
        <v>0</v>
      </c>
      <c r="V205" s="52" t="e">
        <f>U205/$X$5*100</f>
        <v>#DIV/0!</v>
      </c>
      <c r="W205" s="53">
        <f>COUNTIFS('00 Encuesta'!$B$2:$B$511,"*a)*",'00 Encuesta'!$C$2:$C$511,"*c)*",'00 Encuesta'!$E$2:$E$511,"*a)*",'00 Encuesta'!$Z$2:$Z$511,"*d)*")</f>
        <v>0</v>
      </c>
      <c r="X205" s="52" t="e">
        <f>W205/$X$6*100</f>
        <v>#DIV/0!</v>
      </c>
      <c r="Y205" s="53">
        <f>COUNTIFS('00 Encuesta'!$B$2:$B$511,"*a)*",'00 Encuesta'!$C$2:$C$511,"*c)*",'00 Encuesta'!$E$2:$E$511,"*b)*",'00 Encuesta'!$Z$2:$Z$511,"*d)*")</f>
        <v>0</v>
      </c>
      <c r="Z205" s="52" t="e">
        <f>Y205/$X$7*100</f>
        <v>#DIV/0!</v>
      </c>
      <c r="AA205" s="3"/>
      <c r="AB205" s="62">
        <f>G205+N205+U205</f>
        <v>40</v>
      </c>
      <c r="AC205" s="52">
        <f>AB205*100/$AC$5</f>
        <v>51.282051282051285</v>
      </c>
      <c r="AD205" s="3"/>
      <c r="AE205" s="3"/>
      <c r="AF205" s="9" t="str">
        <f t="shared" si="226"/>
        <v>d) No pertenezco a grupos juveniles cristianos</v>
      </c>
      <c r="AG205" s="72">
        <f>J205</f>
        <v>27.27272727272727</v>
      </c>
      <c r="AH205" s="72">
        <f>L205</f>
        <v>44.444444444444443</v>
      </c>
      <c r="AI205" s="73">
        <f>H205</f>
        <v>35</v>
      </c>
      <c r="AJ205" s="73"/>
      <c r="AK205" s="76">
        <f>Q205</f>
        <v>76.923076923076934</v>
      </c>
      <c r="AL205" s="76">
        <f>S205</f>
        <v>64</v>
      </c>
      <c r="AM205" s="76">
        <f>O205</f>
        <v>68.421052631578945</v>
      </c>
      <c r="AN205" s="76"/>
      <c r="AO205" s="81" t="e">
        <f>X205</f>
        <v>#DIV/0!</v>
      </c>
      <c r="AP205" s="81" t="e">
        <f>Z205</f>
        <v>#DIV/0!</v>
      </c>
      <c r="AQ205" s="81" t="e">
        <f>V205</f>
        <v>#DIV/0!</v>
      </c>
      <c r="AR205" s="3"/>
      <c r="AS205" s="76">
        <f t="shared" si="174"/>
        <v>51.282051282051285</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ht="15" x14ac:dyDescent="0.25">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f>N206/$Q$5*100</f>
        <v>0</v>
      </c>
      <c r="P206" s="53"/>
      <c r="Q206" s="52">
        <f>P206/$Q$6*100</f>
        <v>0</v>
      </c>
      <c r="R206" s="53"/>
      <c r="S206" s="52">
        <f>R206/$Q$7*100</f>
        <v>0</v>
      </c>
      <c r="T206" s="3"/>
      <c r="U206" s="51">
        <f>W206+Y206</f>
        <v>0</v>
      </c>
      <c r="V206" s="52" t="e">
        <f>U206/$X$5*100</f>
        <v>#DIV/0!</v>
      </c>
      <c r="W206" s="53"/>
      <c r="X206" s="52" t="e">
        <f>W206/$X$6*100</f>
        <v>#DIV/0!</v>
      </c>
      <c r="Y206" s="53"/>
      <c r="Z206" s="52" t="e">
        <f>Y206/$X$7*100</f>
        <v>#DIV/0!</v>
      </c>
      <c r="AA206" s="3"/>
      <c r="AB206" s="62">
        <f>G206+N206+U206</f>
        <v>0</v>
      </c>
      <c r="AC206" s="52">
        <f>AB206*100/$AC$5</f>
        <v>0</v>
      </c>
      <c r="AD206" s="3"/>
      <c r="AE206" s="3"/>
      <c r="AF206" s="9" t="str">
        <f t="shared" si="226"/>
        <v>S/R Sin Respuesta</v>
      </c>
      <c r="AG206" s="72">
        <f>J206</f>
        <v>0</v>
      </c>
      <c r="AH206" s="72">
        <f>L206</f>
        <v>0</v>
      </c>
      <c r="AI206" s="73">
        <f>H206</f>
        <v>0</v>
      </c>
      <c r="AJ206" s="73"/>
      <c r="AK206" s="76">
        <f>Q206</f>
        <v>0</v>
      </c>
      <c r="AL206" s="76">
        <f>S206</f>
        <v>0</v>
      </c>
      <c r="AM206" s="76">
        <f>O206</f>
        <v>0</v>
      </c>
      <c r="AN206" s="76"/>
      <c r="AO206" s="81" t="e">
        <f>X206</f>
        <v>#DIV/0!</v>
      </c>
      <c r="AP206" s="81" t="e">
        <f>Z206</f>
        <v>#DIV/0!</v>
      </c>
      <c r="AQ206" s="81" t="e">
        <f>V206</f>
        <v>#DIV/0!</v>
      </c>
      <c r="AR206" s="3"/>
      <c r="AS206" s="76">
        <f t="shared" si="174"/>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ht="15" x14ac:dyDescent="0.25">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ht="15" x14ac:dyDescent="0.25">
      <c r="A209" s="8" t="s">
        <v>17</v>
      </c>
      <c r="B209" s="9" t="s">
        <v>49</v>
      </c>
      <c r="C209" s="7"/>
      <c r="D209" s="7"/>
      <c r="E209" s="7"/>
      <c r="F209" s="71"/>
      <c r="G209" s="51">
        <f>I209+K209</f>
        <v>2</v>
      </c>
      <c r="H209" s="52">
        <f>G209/$J$5*100</f>
        <v>5</v>
      </c>
      <c r="I209" s="53">
        <f>COUNTIFS('00 Encuesta'!$B$2:$B$511,"*a)*",'00 Encuesta'!$C$2:$C$511,"*a)*",'00 Encuesta'!$E$2:$E$511,"*a)*",'00 Encuesta'!$AA$2:$AA$511,"*a)*")</f>
        <v>2</v>
      </c>
      <c r="J209" s="52">
        <f>I209/$J$6*100</f>
        <v>9.0909090909090917</v>
      </c>
      <c r="K209" s="53">
        <f>COUNTIFS('00 Encuesta'!$B$2:$B$511,"*a)*",'00 Encuesta'!$C$2:$C$511,"*a)*",'00 Encuesta'!$E$2:$E$511,"*b)*",'00 Encuesta'!$AA$2:$AA$511,"*a)*")</f>
        <v>0</v>
      </c>
      <c r="L209" s="52">
        <f>K209/$J$7*100</f>
        <v>0</v>
      </c>
      <c r="M209" s="23"/>
      <c r="N209" s="51">
        <f>P209+R209</f>
        <v>1</v>
      </c>
      <c r="O209" s="52">
        <f>N209/$Q$5*100</f>
        <v>2.6315789473684208</v>
      </c>
      <c r="P209" s="53">
        <f>COUNTIFS('00 Encuesta'!$B$2:$B$511,"*a)*",'00 Encuesta'!$C$2:$C$511,"*b)*",'00 Encuesta'!$E$2:$E$511,"*a)*",'00 Encuesta'!$AA$2:$AA$511,"*a)*")</f>
        <v>1</v>
      </c>
      <c r="Q209" s="52">
        <f>P209/$Q$6*100</f>
        <v>7.6923076923076925</v>
      </c>
      <c r="R209" s="53">
        <f>COUNTIFS('00 Encuesta'!$B$2:$B$511,"*a)*",'00 Encuesta'!$C$2:$C$511,"*b)*",'00 Encuesta'!$E$2:$E$511,"*b)*",'00 Encuesta'!$AA$2:$AA$511,"*a)*")</f>
        <v>0</v>
      </c>
      <c r="S209" s="52">
        <f>R209/$Q$7*100</f>
        <v>0</v>
      </c>
      <c r="T209" s="3"/>
      <c r="U209" s="51">
        <f>W209+Y209</f>
        <v>0</v>
      </c>
      <c r="V209" s="52" t="e">
        <f>U209/$X$5*100</f>
        <v>#DIV/0!</v>
      </c>
      <c r="W209" s="53">
        <f>COUNTIFS('00 Encuesta'!$B$2:$B$511,"*a)*",'00 Encuesta'!$C$2:$C$511,"*c)*",'00 Encuesta'!$E$2:$E$511,"*a)*",'00 Encuesta'!$AA$2:$AA$511,"*a)*")</f>
        <v>0</v>
      </c>
      <c r="X209" s="52" t="e">
        <f>W209/$X$6*100</f>
        <v>#DIV/0!</v>
      </c>
      <c r="Y209" s="53">
        <f>COUNTIFS('00 Encuesta'!$B$2:$B$511,"*a)*",'00 Encuesta'!$C$2:$C$511,"*c)*",'00 Encuesta'!$E$2:$E$511,"*b)*",'00 Encuesta'!$AA$2:$AA$511,"*a)*")</f>
        <v>0</v>
      </c>
      <c r="Z209" s="52" t="e">
        <f>Y209/$X$7*100</f>
        <v>#DIV/0!</v>
      </c>
      <c r="AA209" s="3"/>
      <c r="AB209" s="62">
        <f>G209+N209+U209</f>
        <v>3</v>
      </c>
      <c r="AC209" s="52">
        <f>AB209*100/$AC$5</f>
        <v>3.8461538461538463</v>
      </c>
      <c r="AD209" s="3"/>
      <c r="AE209" s="3"/>
      <c r="AF209" s="9" t="str">
        <f>A209&amp;" "&amp;B209</f>
        <v>a) Si</v>
      </c>
      <c r="AG209" s="72">
        <f>J209</f>
        <v>9.0909090909090917</v>
      </c>
      <c r="AH209" s="72">
        <f>L209</f>
        <v>0</v>
      </c>
      <c r="AI209" s="73">
        <f>H209</f>
        <v>5</v>
      </c>
      <c r="AJ209" s="73"/>
      <c r="AK209" s="76">
        <f>Q209</f>
        <v>7.6923076923076925</v>
      </c>
      <c r="AL209" s="76">
        <f>S209</f>
        <v>0</v>
      </c>
      <c r="AM209" s="76">
        <f>O209</f>
        <v>2.6315789473684208</v>
      </c>
      <c r="AN209" s="76"/>
      <c r="AO209" s="81" t="e">
        <f>X209</f>
        <v>#DIV/0!</v>
      </c>
      <c r="AP209" s="81" t="e">
        <f>Z209</f>
        <v>#DIV/0!</v>
      </c>
      <c r="AQ209" s="81" t="e">
        <f>V209</f>
        <v>#DIV/0!</v>
      </c>
      <c r="AR209" s="3"/>
      <c r="AS209" s="76">
        <f t="shared" ref="AS209:AS270" si="227">AC209</f>
        <v>3.8461538461538463</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ht="15" x14ac:dyDescent="0.25">
      <c r="A210" s="8" t="s">
        <v>18</v>
      </c>
      <c r="B210" s="9" t="s">
        <v>50</v>
      </c>
      <c r="C210" s="7"/>
      <c r="D210" s="7"/>
      <c r="E210" s="7"/>
      <c r="F210" s="71"/>
      <c r="G210" s="51">
        <f>I210+K210</f>
        <v>34</v>
      </c>
      <c r="H210" s="52">
        <f>G210/$J$5*100</f>
        <v>85</v>
      </c>
      <c r="I210" s="53">
        <f>COUNTIFS('00 Encuesta'!$B$2:$B$511,"*a)*",'00 Encuesta'!$C$2:$C$511,"*a)*",'00 Encuesta'!$E$2:$E$511,"*a)*",'00 Encuesta'!$AA$2:$AA$511,"*b)*")</f>
        <v>17</v>
      </c>
      <c r="J210" s="52">
        <f>I210/$J$6*100</f>
        <v>77.272727272727266</v>
      </c>
      <c r="K210" s="53">
        <f>COUNTIFS('00 Encuesta'!$B$2:$B$511,"*a)*",'00 Encuesta'!$C$2:$C$511,"*a)*",'00 Encuesta'!$E$2:$E$511,"*b)*",'00 Encuesta'!$AA$2:$AA$511,"*b)*")</f>
        <v>17</v>
      </c>
      <c r="L210" s="52">
        <f>K210/$J$7*100</f>
        <v>94.444444444444443</v>
      </c>
      <c r="M210" s="23"/>
      <c r="N210" s="51">
        <f>P210+R210</f>
        <v>36</v>
      </c>
      <c r="O210" s="52">
        <f>N210/$Q$5*100</f>
        <v>94.73684210526315</v>
      </c>
      <c r="P210" s="53">
        <f>COUNTIFS('00 Encuesta'!$B$2:$B$511,"*a)*",'00 Encuesta'!$C$2:$C$511,"*b)*",'00 Encuesta'!$E$2:$E$511,"*a)*",'00 Encuesta'!$AA$2:$AA$511,"*b)*")</f>
        <v>12</v>
      </c>
      <c r="Q210" s="52">
        <f>P210/$Q$6*100</f>
        <v>92.307692307692307</v>
      </c>
      <c r="R210" s="53">
        <f>COUNTIFS('00 Encuesta'!$B$2:$B$511,"*a)*",'00 Encuesta'!$C$2:$C$511,"*b)*",'00 Encuesta'!$E$2:$E$511,"*b)*",'00 Encuesta'!$AA$2:$AA$511,"*b)*")</f>
        <v>24</v>
      </c>
      <c r="S210" s="52">
        <f>R210/$Q$7*100</f>
        <v>96</v>
      </c>
      <c r="T210" s="3"/>
      <c r="U210" s="51">
        <f>W210+Y210</f>
        <v>0</v>
      </c>
      <c r="V210" s="52" t="e">
        <f>U210/$X$5*100</f>
        <v>#DIV/0!</v>
      </c>
      <c r="W210" s="53">
        <f>COUNTIFS('00 Encuesta'!$B$2:$B$511,"*a)*",'00 Encuesta'!$C$2:$C$511,"*c)*",'00 Encuesta'!$E$2:$E$511,"*a)*",'00 Encuesta'!$AA$2:$AA$511,"*b)*")</f>
        <v>0</v>
      </c>
      <c r="X210" s="52" t="e">
        <f>W210/$X$6*100</f>
        <v>#DIV/0!</v>
      </c>
      <c r="Y210" s="53">
        <f>COUNTIFS('00 Encuesta'!$B$2:$B$511,"*a)*",'00 Encuesta'!$C$2:$C$511,"*c)*",'00 Encuesta'!$E$2:$E$511,"*b)*",'00 Encuesta'!$AA$2:$AA$511,"*b)*")</f>
        <v>0</v>
      </c>
      <c r="Z210" s="52" t="e">
        <f>Y210/$X$7*100</f>
        <v>#DIV/0!</v>
      </c>
      <c r="AA210" s="3"/>
      <c r="AB210" s="62">
        <f>G210+N210+U210</f>
        <v>70</v>
      </c>
      <c r="AC210" s="52">
        <f>AB210*100/$AC$5</f>
        <v>89.743589743589737</v>
      </c>
      <c r="AD210" s="3"/>
      <c r="AE210" s="3"/>
      <c r="AF210" s="9" t="str">
        <f>A210&amp;" "&amp;B210</f>
        <v>b) No</v>
      </c>
      <c r="AG210" s="72">
        <f>J210</f>
        <v>77.272727272727266</v>
      </c>
      <c r="AH210" s="72">
        <f>L210</f>
        <v>94.444444444444443</v>
      </c>
      <c r="AI210" s="73">
        <f>H210</f>
        <v>85</v>
      </c>
      <c r="AJ210" s="73"/>
      <c r="AK210" s="76">
        <f>Q210</f>
        <v>92.307692307692307</v>
      </c>
      <c r="AL210" s="76">
        <f>S210</f>
        <v>96</v>
      </c>
      <c r="AM210" s="76">
        <f>O210</f>
        <v>94.73684210526315</v>
      </c>
      <c r="AN210" s="76"/>
      <c r="AO210" s="81" t="e">
        <f>X210</f>
        <v>#DIV/0!</v>
      </c>
      <c r="AP210" s="81" t="e">
        <f>Z210</f>
        <v>#DIV/0!</v>
      </c>
      <c r="AQ210" s="81" t="e">
        <f>V210</f>
        <v>#DIV/0!</v>
      </c>
      <c r="AR210" s="3"/>
      <c r="AS210" s="76">
        <f t="shared" si="227"/>
        <v>89.743589743589737</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ht="15" x14ac:dyDescent="0.25">
      <c r="A211" s="8" t="s">
        <v>20</v>
      </c>
      <c r="B211" s="9" t="s">
        <v>51</v>
      </c>
      <c r="C211" s="7"/>
      <c r="D211" s="7"/>
      <c r="E211" s="7"/>
      <c r="F211" s="71"/>
      <c r="G211" s="51">
        <f>I211+K211</f>
        <v>1</v>
      </c>
      <c r="H211" s="52">
        <f>G211/$J$5*100</f>
        <v>2.5</v>
      </c>
      <c r="I211" s="53">
        <f>COUNTIFS('00 Encuesta'!$B$2:$B$511,"*a)*",'00 Encuesta'!$C$2:$C$511,"*a)*",'00 Encuesta'!$E$2:$E$511,"*a)*",'00 Encuesta'!$AA$2:$AA$511,"*c)*")</f>
        <v>1</v>
      </c>
      <c r="J211" s="52">
        <f>I211/$J$6*100</f>
        <v>4.5454545454545459</v>
      </c>
      <c r="K211" s="53">
        <f>COUNTIFS('00 Encuesta'!$B$2:$B$511,"*a)*",'00 Encuesta'!$C$2:$C$511,"*a)*",'00 Encuesta'!$E$2:$E$511,"*b)*",'00 Encuesta'!$AA$2:$AA$511,"*c)*")</f>
        <v>0</v>
      </c>
      <c r="L211" s="52">
        <f>K211/$J$7*100</f>
        <v>0</v>
      </c>
      <c r="M211" s="23"/>
      <c r="N211" s="51">
        <f>P211+R211</f>
        <v>0</v>
      </c>
      <c r="O211" s="52">
        <f>N211/$Q$5*100</f>
        <v>0</v>
      </c>
      <c r="P211" s="53">
        <f>COUNTIFS('00 Encuesta'!$B$2:$B$511,"*a)*",'00 Encuesta'!$C$2:$C$511,"*b)*",'00 Encuesta'!$E$2:$E$511,"*a)*",'00 Encuesta'!$AA$2:$AA$511,"*c)*")</f>
        <v>0</v>
      </c>
      <c r="Q211" s="52">
        <f>P211/$Q$6*100</f>
        <v>0</v>
      </c>
      <c r="R211" s="53">
        <f>COUNTIFS('00 Encuesta'!$B$2:$B$511,"*a)*",'00 Encuesta'!$C$2:$C$511,"*b)*",'00 Encuesta'!$E$2:$E$511,"*b)*",'00 Encuesta'!$AA$2:$AA$511,"*c)*")</f>
        <v>0</v>
      </c>
      <c r="S211" s="52">
        <f>R211/$Q$7*100</f>
        <v>0</v>
      </c>
      <c r="T211" s="3"/>
      <c r="U211" s="51">
        <f>W211+Y211</f>
        <v>0</v>
      </c>
      <c r="V211" s="52" t="e">
        <f>U211/$X$5*100</f>
        <v>#DIV/0!</v>
      </c>
      <c r="W211" s="53">
        <f>COUNTIFS('00 Encuesta'!$B$2:$B$511,"*a)*",'00 Encuesta'!$C$2:$C$511,"*c)*",'00 Encuesta'!$E$2:$E$511,"*a)*",'00 Encuesta'!$AA$2:$AA$511,"*c)*")</f>
        <v>0</v>
      </c>
      <c r="X211" s="52" t="e">
        <f>W211/$X$6*100</f>
        <v>#DIV/0!</v>
      </c>
      <c r="Y211" s="53">
        <f>COUNTIFS('00 Encuesta'!$B$2:$B$511,"*a)*",'00 Encuesta'!$C$2:$C$511,"*c)*",'00 Encuesta'!$E$2:$E$511,"*b)*",'00 Encuesta'!$AA$2:$AA$511,"*c)*")</f>
        <v>0</v>
      </c>
      <c r="Z211" s="52" t="e">
        <f>Y211/$X$7*100</f>
        <v>#DIV/0!</v>
      </c>
      <c r="AA211" s="3"/>
      <c r="AB211" s="62">
        <f>G211+N211+U211</f>
        <v>1</v>
      </c>
      <c r="AC211" s="52">
        <f>AB211*100/$AC$5</f>
        <v>1.2820512820512822</v>
      </c>
      <c r="AD211" s="3"/>
      <c r="AE211" s="3"/>
      <c r="AF211" s="9" t="str">
        <f>A211&amp;" "&amp;B211</f>
        <v>c) Algo</v>
      </c>
      <c r="AG211" s="72">
        <f>J211</f>
        <v>4.5454545454545459</v>
      </c>
      <c r="AH211" s="72">
        <f>L211</f>
        <v>0</v>
      </c>
      <c r="AI211" s="73">
        <f>H211</f>
        <v>2.5</v>
      </c>
      <c r="AJ211" s="73"/>
      <c r="AK211" s="76">
        <f>Q211</f>
        <v>0</v>
      </c>
      <c r="AL211" s="76">
        <f>S211</f>
        <v>0</v>
      </c>
      <c r="AM211" s="76">
        <f>O211</f>
        <v>0</v>
      </c>
      <c r="AN211" s="76"/>
      <c r="AO211" s="81" t="e">
        <f>X211</f>
        <v>#DIV/0!</v>
      </c>
      <c r="AP211" s="81" t="e">
        <f>Z211</f>
        <v>#DIV/0!</v>
      </c>
      <c r="AQ211" s="81" t="e">
        <f>V211</f>
        <v>#DIV/0!</v>
      </c>
      <c r="AR211" s="3"/>
      <c r="AS211" s="76">
        <f t="shared" si="227"/>
        <v>1.2820512820512822</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ht="15" x14ac:dyDescent="0.25">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f>N212/$Q$5*100</f>
        <v>0</v>
      </c>
      <c r="P212" s="53"/>
      <c r="Q212" s="52">
        <f>P212/$Q$6*100</f>
        <v>0</v>
      </c>
      <c r="R212" s="53"/>
      <c r="S212" s="52">
        <f>R212/$Q$7*100</f>
        <v>0</v>
      </c>
      <c r="T212" s="3"/>
      <c r="U212" s="51">
        <f>W212+Y212</f>
        <v>0</v>
      </c>
      <c r="V212" s="52" t="e">
        <f>U212/$X$5*100</f>
        <v>#DIV/0!</v>
      </c>
      <c r="W212" s="53"/>
      <c r="X212" s="52" t="e">
        <f>W212/$X$6*100</f>
        <v>#DIV/0!</v>
      </c>
      <c r="Y212" s="53"/>
      <c r="Z212" s="52" t="e">
        <f>Y212/$X$7*100</f>
        <v>#DIV/0!</v>
      </c>
      <c r="AA212" s="3"/>
      <c r="AB212" s="62">
        <f>G212+N212+U212</f>
        <v>0</v>
      </c>
      <c r="AC212" s="52">
        <f>AB212*100/$AC$5</f>
        <v>0</v>
      </c>
      <c r="AD212" s="3"/>
      <c r="AE212" s="3"/>
      <c r="AF212" s="9" t="str">
        <f>A212&amp;" "&amp;B212</f>
        <v>S/R Sin Respuesta</v>
      </c>
      <c r="AG212" s="72">
        <f>J212</f>
        <v>0</v>
      </c>
      <c r="AH212" s="72">
        <f>L212</f>
        <v>0</v>
      </c>
      <c r="AI212" s="73">
        <f>H212</f>
        <v>0</v>
      </c>
      <c r="AJ212" s="73"/>
      <c r="AK212" s="76">
        <f>Q212</f>
        <v>0</v>
      </c>
      <c r="AL212" s="76">
        <f>S212</f>
        <v>0</v>
      </c>
      <c r="AM212" s="76">
        <f>O212</f>
        <v>0</v>
      </c>
      <c r="AN212" s="76"/>
      <c r="AO212" s="81" t="e">
        <f>X212</f>
        <v>#DIV/0!</v>
      </c>
      <c r="AP212" s="81" t="e">
        <f>Z212</f>
        <v>#DIV/0!</v>
      </c>
      <c r="AQ212" s="81" t="e">
        <f>V212</f>
        <v>#DIV/0!</v>
      </c>
      <c r="AR212" s="3"/>
      <c r="AS212" s="76">
        <f t="shared" si="227"/>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ht="15" x14ac:dyDescent="0.25">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ht="15" x14ac:dyDescent="0.25">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ht="15" x14ac:dyDescent="0.25">
      <c r="A215" s="8" t="s">
        <v>17</v>
      </c>
      <c r="B215" s="9" t="s">
        <v>49</v>
      </c>
      <c r="C215" s="7"/>
      <c r="D215" s="7"/>
      <c r="E215" s="7"/>
      <c r="F215" s="71"/>
      <c r="G215" s="51">
        <f>I215+K215</f>
        <v>1</v>
      </c>
      <c r="H215" s="52">
        <f>G215/$J$5*100</f>
        <v>2.5</v>
      </c>
      <c r="I215" s="53">
        <f>COUNTIFS('00 Encuesta'!$B$2:$B$511,"*a)*",'00 Encuesta'!$C$2:$C$511,"*a)*",'00 Encuesta'!$E$2:$E$511,"*a)*",'00 Encuesta'!$AB$2:$AB$511,"*a)*")</f>
        <v>1</v>
      </c>
      <c r="J215" s="52">
        <f>I215/$J$6*100</f>
        <v>4.5454545454545459</v>
      </c>
      <c r="K215" s="53">
        <f>COUNTIFS('00 Encuesta'!$B$2:$B$511,"*a)*",'00 Encuesta'!$C$2:$C$511,"*a)*",'00 Encuesta'!$E$2:$E$511,"*b)*",'00 Encuesta'!$AB$2:$AB$511,"*a)*")</f>
        <v>0</v>
      </c>
      <c r="L215" s="52">
        <f>K215/$J$7*100</f>
        <v>0</v>
      </c>
      <c r="M215" s="23"/>
      <c r="N215" s="51">
        <f>P215+R215</f>
        <v>0</v>
      </c>
      <c r="O215" s="52">
        <f>N215/$Q$5*100</f>
        <v>0</v>
      </c>
      <c r="P215" s="53">
        <f>COUNTIFS('00 Encuesta'!$B$2:$B$511,"*a)*",'00 Encuesta'!$C$2:$C$511,"*b)*",'00 Encuesta'!$E$2:$E$511,"*a)*",'00 Encuesta'!$AB$2:$AB$511,"*a)*")</f>
        <v>0</v>
      </c>
      <c r="Q215" s="52">
        <f>P215/$Q$6*100</f>
        <v>0</v>
      </c>
      <c r="R215" s="53">
        <f>COUNTIFS('00 Encuesta'!$B$2:$B$511,"*a)*",'00 Encuesta'!$C$2:$C$511,"*b)*",'00 Encuesta'!$E$2:$E$511,"*b)*",'00 Encuesta'!$AB$2:$AB$511,"*a)*")</f>
        <v>0</v>
      </c>
      <c r="S215" s="52">
        <f>R215/$Q$7*100</f>
        <v>0</v>
      </c>
      <c r="T215" s="3"/>
      <c r="U215" s="51">
        <f>W215+Y215</f>
        <v>0</v>
      </c>
      <c r="V215" s="52" t="e">
        <f>U215/$X$5*100</f>
        <v>#DIV/0!</v>
      </c>
      <c r="W215" s="53">
        <f>COUNTIFS('00 Encuesta'!$B$2:$B$511,"*a)*",'00 Encuesta'!$C$2:$C$511,"*c)*",'00 Encuesta'!$E$2:$E$511,"*a)*",'00 Encuesta'!$AB$2:$AB$511,"*a)*")</f>
        <v>0</v>
      </c>
      <c r="X215" s="52" t="e">
        <f>W215/$X$6*100</f>
        <v>#DIV/0!</v>
      </c>
      <c r="Y215" s="53">
        <f>COUNTIFS('00 Encuesta'!$B$2:$B$511,"*a)*",'00 Encuesta'!$C$2:$C$511,"*c)*",'00 Encuesta'!$E$2:$E$511,"*b)*",'00 Encuesta'!$AB$2:$AB$511,"*a)*")</f>
        <v>0</v>
      </c>
      <c r="Z215" s="52" t="e">
        <f>Y215/$X$7*100</f>
        <v>#DIV/0!</v>
      </c>
      <c r="AA215" s="3"/>
      <c r="AB215" s="62">
        <f>G215+N215+U215</f>
        <v>1</v>
      </c>
      <c r="AC215" s="52">
        <f>AB215*100/$AC$5</f>
        <v>1.2820512820512822</v>
      </c>
      <c r="AD215" s="3"/>
      <c r="AE215" s="3"/>
      <c r="AF215" s="9" t="str">
        <f>A215&amp;" "&amp;B215</f>
        <v>a) Si</v>
      </c>
      <c r="AG215" s="72">
        <f>J215</f>
        <v>4.5454545454545459</v>
      </c>
      <c r="AH215" s="72">
        <f>L215</f>
        <v>0</v>
      </c>
      <c r="AI215" s="73">
        <f>H215</f>
        <v>2.5</v>
      </c>
      <c r="AJ215" s="73"/>
      <c r="AK215" s="76">
        <f>Q215</f>
        <v>0</v>
      </c>
      <c r="AL215" s="76">
        <f>S215</f>
        <v>0</v>
      </c>
      <c r="AM215" s="76">
        <f>O215</f>
        <v>0</v>
      </c>
      <c r="AN215" s="76"/>
      <c r="AO215" s="81" t="e">
        <f>X215</f>
        <v>#DIV/0!</v>
      </c>
      <c r="AP215" s="81" t="e">
        <f>Z215</f>
        <v>#DIV/0!</v>
      </c>
      <c r="AQ215" s="81" t="e">
        <f>V215</f>
        <v>#DIV/0!</v>
      </c>
      <c r="AR215" s="3"/>
      <c r="AS215" s="76">
        <f t="shared" si="227"/>
        <v>1.2820512820512822</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ht="15" x14ac:dyDescent="0.25">
      <c r="A216" s="8" t="s">
        <v>18</v>
      </c>
      <c r="B216" s="9" t="s">
        <v>50</v>
      </c>
      <c r="C216" s="7"/>
      <c r="D216" s="7"/>
      <c r="E216" s="7"/>
      <c r="F216" s="71"/>
      <c r="G216" s="51">
        <f>I216+K216</f>
        <v>37</v>
      </c>
      <c r="H216" s="52">
        <f>G216/$J$5*100</f>
        <v>92.5</v>
      </c>
      <c r="I216" s="53">
        <f>COUNTIFS('00 Encuesta'!$B$2:$B$511,"*a)*",'00 Encuesta'!$C$2:$C$511,"*a)*",'00 Encuesta'!$E$2:$E$511,"*a)*",'00 Encuesta'!$AB$2:$AB$511,"*b)*")</f>
        <v>19</v>
      </c>
      <c r="J216" s="52">
        <f>I216/$J$6*100</f>
        <v>86.36363636363636</v>
      </c>
      <c r="K216" s="53">
        <f>COUNTIFS('00 Encuesta'!$B$2:$B$511,"*a)*",'00 Encuesta'!$C$2:$C$511,"*a)*",'00 Encuesta'!$E$2:$E$511,"*b)*",'00 Encuesta'!$AB$2:$AB$511,"*b)*")</f>
        <v>18</v>
      </c>
      <c r="L216" s="52">
        <f>K216/$J$7*100</f>
        <v>100</v>
      </c>
      <c r="M216" s="23"/>
      <c r="N216" s="51">
        <f>P216+R216</f>
        <v>36</v>
      </c>
      <c r="O216" s="52">
        <f>N216/$Q$5*100</f>
        <v>94.73684210526315</v>
      </c>
      <c r="P216" s="53">
        <f>COUNTIFS('00 Encuesta'!$B$2:$B$511,"*a)*",'00 Encuesta'!$C$2:$C$511,"*b)*",'00 Encuesta'!$E$2:$E$511,"*a)*",'00 Encuesta'!$AB$2:$AB$511,"*b)*")</f>
        <v>12</v>
      </c>
      <c r="Q216" s="52">
        <f>P216/$Q$6*100</f>
        <v>92.307692307692307</v>
      </c>
      <c r="R216" s="53">
        <f>COUNTIFS('00 Encuesta'!$B$2:$B$511,"*a)*",'00 Encuesta'!$C$2:$C$511,"*b)*",'00 Encuesta'!$E$2:$E$511,"*b)*",'00 Encuesta'!$AB$2:$AB$511,"*b)*")</f>
        <v>24</v>
      </c>
      <c r="S216" s="52">
        <f>R216/$Q$7*100</f>
        <v>96</v>
      </c>
      <c r="T216" s="3"/>
      <c r="U216" s="51">
        <f>W216+Y216</f>
        <v>0</v>
      </c>
      <c r="V216" s="52" t="e">
        <f>U216/$X$5*100</f>
        <v>#DIV/0!</v>
      </c>
      <c r="W216" s="53">
        <f>COUNTIFS('00 Encuesta'!$B$2:$B$511,"*a)*",'00 Encuesta'!$C$2:$C$511,"*c)*",'00 Encuesta'!$E$2:$E$511,"*a)*",'00 Encuesta'!$AB$2:$AB$511,"*b)*")</f>
        <v>0</v>
      </c>
      <c r="X216" s="52" t="e">
        <f>W216/$X$6*100</f>
        <v>#DIV/0!</v>
      </c>
      <c r="Y216" s="53">
        <f>COUNTIFS('00 Encuesta'!$B$2:$B$511,"*a)*",'00 Encuesta'!$C$2:$C$511,"*c)*",'00 Encuesta'!$E$2:$E$511,"*b)*",'00 Encuesta'!$AB$2:$AB$511,"*b)*")</f>
        <v>0</v>
      </c>
      <c r="Z216" s="52" t="e">
        <f>Y216/$X$7*100</f>
        <v>#DIV/0!</v>
      </c>
      <c r="AA216" s="3"/>
      <c r="AB216" s="62">
        <f>G216+N216+U216</f>
        <v>73</v>
      </c>
      <c r="AC216" s="52">
        <f>AB216*100/$AC$5</f>
        <v>93.589743589743591</v>
      </c>
      <c r="AD216" s="3"/>
      <c r="AE216" s="3"/>
      <c r="AF216" s="9" t="str">
        <f>A216&amp;" "&amp;B216</f>
        <v>b) No</v>
      </c>
      <c r="AG216" s="72">
        <f>J216</f>
        <v>86.36363636363636</v>
      </c>
      <c r="AH216" s="72">
        <f>L216</f>
        <v>100</v>
      </c>
      <c r="AI216" s="73">
        <f>H216</f>
        <v>92.5</v>
      </c>
      <c r="AJ216" s="73"/>
      <c r="AK216" s="76">
        <f>Q216</f>
        <v>92.307692307692307</v>
      </c>
      <c r="AL216" s="76">
        <f>S216</f>
        <v>96</v>
      </c>
      <c r="AM216" s="76">
        <f>O216</f>
        <v>94.73684210526315</v>
      </c>
      <c r="AN216" s="76"/>
      <c r="AO216" s="81" t="e">
        <f>X216</f>
        <v>#DIV/0!</v>
      </c>
      <c r="AP216" s="81" t="e">
        <f>Z216</f>
        <v>#DIV/0!</v>
      </c>
      <c r="AQ216" s="81" t="e">
        <f>V216</f>
        <v>#DIV/0!</v>
      </c>
      <c r="AR216" s="3"/>
      <c r="AS216" s="76">
        <f t="shared" si="227"/>
        <v>93.589743589743591</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ht="15" x14ac:dyDescent="0.25">
      <c r="A217" s="8" t="s">
        <v>20</v>
      </c>
      <c r="B217" s="9" t="s">
        <v>51</v>
      </c>
      <c r="C217" s="7"/>
      <c r="D217" s="7"/>
      <c r="E217" s="7"/>
      <c r="F217" s="71"/>
      <c r="G217" s="51">
        <f>I217+K217</f>
        <v>1</v>
      </c>
      <c r="H217" s="52">
        <f>G217/$J$5*100</f>
        <v>2.5</v>
      </c>
      <c r="I217" s="53">
        <f>COUNTIFS('00 Encuesta'!$B$2:$B$511,"*a)*",'00 Encuesta'!$C$2:$C$511,"*a)*",'00 Encuesta'!$E$2:$E$511,"*a)*",'00 Encuesta'!$AB$2:$AB$511,"*c)*")</f>
        <v>1</v>
      </c>
      <c r="J217" s="52">
        <f>I217/$J$6*100</f>
        <v>4.5454545454545459</v>
      </c>
      <c r="K217" s="53">
        <f>COUNTIFS('00 Encuesta'!$B$2:$B$511,"*a)*",'00 Encuesta'!$C$2:$C$511,"*a)*",'00 Encuesta'!$E$2:$E$511,"*b)*",'00 Encuesta'!$AB$2:$AB$511,"*c)*")</f>
        <v>0</v>
      </c>
      <c r="L217" s="52">
        <f>K217/$J$7*100</f>
        <v>0</v>
      </c>
      <c r="M217" s="23"/>
      <c r="N217" s="51">
        <f>P217+R217</f>
        <v>1</v>
      </c>
      <c r="O217" s="52">
        <f>N217/$Q$5*100</f>
        <v>2.6315789473684208</v>
      </c>
      <c r="P217" s="53">
        <f>COUNTIFS('00 Encuesta'!$B$2:$B$511,"*a)*",'00 Encuesta'!$C$2:$C$511,"*b)*",'00 Encuesta'!$E$2:$E$511,"*a)*",'00 Encuesta'!$AB$2:$AB$511,"*c)*")</f>
        <v>1</v>
      </c>
      <c r="Q217" s="52">
        <f>P217/$Q$6*100</f>
        <v>7.6923076923076925</v>
      </c>
      <c r="R217" s="53">
        <f>COUNTIFS('00 Encuesta'!$B$2:$B$511,"*a)*",'00 Encuesta'!$C$2:$C$511,"*b)*",'00 Encuesta'!$E$2:$E$511,"*b)*",'00 Encuesta'!$AB$2:$AB$511,"*c)*")</f>
        <v>0</v>
      </c>
      <c r="S217" s="52">
        <f>R217/$Q$7*100</f>
        <v>0</v>
      </c>
      <c r="T217" s="3"/>
      <c r="U217" s="51">
        <f>W217+Y217</f>
        <v>0</v>
      </c>
      <c r="V217" s="52" t="e">
        <f>U217/$X$5*100</f>
        <v>#DIV/0!</v>
      </c>
      <c r="W217" s="53">
        <f>COUNTIFS('00 Encuesta'!$B$2:$B$511,"*a)*",'00 Encuesta'!$C$2:$C$511,"*c)*",'00 Encuesta'!$E$2:$E$511,"*a)*",'00 Encuesta'!$AB$2:$AB$511,"*c)*")</f>
        <v>0</v>
      </c>
      <c r="X217" s="52" t="e">
        <f>W217/$X$6*100</f>
        <v>#DIV/0!</v>
      </c>
      <c r="Y217" s="53">
        <f>COUNTIFS('00 Encuesta'!$B$2:$B$511,"*a)*",'00 Encuesta'!$C$2:$C$511,"*c)*",'00 Encuesta'!$E$2:$E$511,"*b)*",'00 Encuesta'!$AB$2:$AB$511,"*c)*")</f>
        <v>0</v>
      </c>
      <c r="Z217" s="52" t="e">
        <f>Y217/$X$7*100</f>
        <v>#DIV/0!</v>
      </c>
      <c r="AA217" s="3"/>
      <c r="AB217" s="62">
        <f>G217+N217+U217</f>
        <v>2</v>
      </c>
      <c r="AC217" s="52">
        <f>AB217*100/$AC$5</f>
        <v>2.5641025641025643</v>
      </c>
      <c r="AD217" s="3"/>
      <c r="AE217" s="3"/>
      <c r="AF217" s="9" t="str">
        <f>A217&amp;" "&amp;B217</f>
        <v>c) Algo</v>
      </c>
      <c r="AG217" s="72">
        <f>J217</f>
        <v>4.5454545454545459</v>
      </c>
      <c r="AH217" s="72">
        <f>L217</f>
        <v>0</v>
      </c>
      <c r="AI217" s="73">
        <f>H217</f>
        <v>2.5</v>
      </c>
      <c r="AJ217" s="73"/>
      <c r="AK217" s="76">
        <f>Q217</f>
        <v>7.6923076923076925</v>
      </c>
      <c r="AL217" s="76">
        <f>S217</f>
        <v>0</v>
      </c>
      <c r="AM217" s="76">
        <f>O217</f>
        <v>2.6315789473684208</v>
      </c>
      <c r="AN217" s="76"/>
      <c r="AO217" s="81" t="e">
        <f>X217</f>
        <v>#DIV/0!</v>
      </c>
      <c r="AP217" s="81" t="e">
        <f>Z217</f>
        <v>#DIV/0!</v>
      </c>
      <c r="AQ217" s="81" t="e">
        <f>V217</f>
        <v>#DIV/0!</v>
      </c>
      <c r="AR217" s="3"/>
      <c r="AS217" s="76">
        <f t="shared" si="227"/>
        <v>2.5641025641025643</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ht="15" x14ac:dyDescent="0.25">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f>N218/$Q$5*100</f>
        <v>0</v>
      </c>
      <c r="P218" s="53"/>
      <c r="Q218" s="52">
        <f>P218/$Q$6*100</f>
        <v>0</v>
      </c>
      <c r="R218" s="53"/>
      <c r="S218" s="52">
        <f>R218/$Q$7*100</f>
        <v>0</v>
      </c>
      <c r="T218" s="3"/>
      <c r="U218" s="51">
        <f>W218+Y218</f>
        <v>0</v>
      </c>
      <c r="V218" s="52" t="e">
        <f>U218/$X$5*100</f>
        <v>#DIV/0!</v>
      </c>
      <c r="W218" s="53"/>
      <c r="X218" s="52" t="e">
        <f>W218/$X$6*100</f>
        <v>#DIV/0!</v>
      </c>
      <c r="Y218" s="53"/>
      <c r="Z218" s="52" t="e">
        <f>Y218/$X$7*100</f>
        <v>#DIV/0!</v>
      </c>
      <c r="AA218" s="3"/>
      <c r="AB218" s="62">
        <f>G218+N218+U218</f>
        <v>0</v>
      </c>
      <c r="AC218" s="52">
        <f>AB218*100/$AC$5</f>
        <v>0</v>
      </c>
      <c r="AD218" s="3"/>
      <c r="AE218" s="3"/>
      <c r="AF218" s="9" t="str">
        <f>A218&amp;" "&amp;B218</f>
        <v>S/R Sin respuesta</v>
      </c>
      <c r="AG218" s="72">
        <f>J218</f>
        <v>0</v>
      </c>
      <c r="AH218" s="72">
        <f>L218</f>
        <v>0</v>
      </c>
      <c r="AI218" s="73">
        <f>H218</f>
        <v>0</v>
      </c>
      <c r="AJ218" s="73"/>
      <c r="AK218" s="76">
        <f>Q218</f>
        <v>0</v>
      </c>
      <c r="AL218" s="76">
        <f>S218</f>
        <v>0</v>
      </c>
      <c r="AM218" s="76">
        <f>O218</f>
        <v>0</v>
      </c>
      <c r="AN218" s="76"/>
      <c r="AO218" s="81" t="e">
        <f>X218</f>
        <v>#DIV/0!</v>
      </c>
      <c r="AP218" s="81" t="e">
        <f>Z218</f>
        <v>#DIV/0!</v>
      </c>
      <c r="AQ218" s="81" t="e">
        <f>V218</f>
        <v>#DIV/0!</v>
      </c>
      <c r="AR218" s="3"/>
      <c r="AS218" s="76">
        <f t="shared" si="227"/>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ht="15" x14ac:dyDescent="0.25">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ht="15" x14ac:dyDescent="0.25">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ht="15" x14ac:dyDescent="0.25">
      <c r="A222" s="8" t="s">
        <v>17</v>
      </c>
      <c r="B222" s="9" t="s">
        <v>160</v>
      </c>
      <c r="C222" s="7"/>
      <c r="D222" s="7"/>
      <c r="E222" s="7"/>
      <c r="F222" s="71"/>
      <c r="G222" s="51">
        <f t="shared" ref="G222:G232" si="228">I222+K222</f>
        <v>18</v>
      </c>
      <c r="H222" s="52">
        <f t="shared" ref="H222:H232" si="229">G222/$J$5*100</f>
        <v>45</v>
      </c>
      <c r="I222" s="53">
        <f>COUNTIFS('00 Encuesta'!$B$2:$B$511,"*a)*",'00 Encuesta'!$C$2:$C$511,"*a)*",'00 Encuesta'!$E$2:$E$511,"*a)*",'00 Encuesta'!$AC$2:$AC$511,"*a)*")</f>
        <v>9</v>
      </c>
      <c r="J222" s="52">
        <f t="shared" ref="J222:J232" si="230">I222/$J$6*100</f>
        <v>40.909090909090914</v>
      </c>
      <c r="K222" s="53">
        <f>COUNTIFS('00 Encuesta'!$B$2:$B$511,"*a)*",'00 Encuesta'!$C$2:$C$511,"*a)*",'00 Encuesta'!$E$2:$E$511,"*b)*",'00 Encuesta'!$AC$2:$AC$511,"*a)*")</f>
        <v>9</v>
      </c>
      <c r="L222" s="52">
        <f t="shared" ref="L222:L232" si="231">K222/$J$7*100</f>
        <v>50</v>
      </c>
      <c r="M222" s="23"/>
      <c r="N222" s="51">
        <f t="shared" ref="N222:N232" si="232">P222+R222</f>
        <v>17</v>
      </c>
      <c r="O222" s="52">
        <f t="shared" ref="O222:O232" si="233">N222/$Q$5*100</f>
        <v>44.736842105263158</v>
      </c>
      <c r="P222" s="53">
        <f>COUNTIFS('00 Encuesta'!$B$2:$B$511,"*a)*",'00 Encuesta'!$C$2:$C$511,"*b)*",'00 Encuesta'!$E$2:$E$511,"*a)*",'00 Encuesta'!$AC$2:$AC$511,"*a)*")</f>
        <v>5</v>
      </c>
      <c r="Q222" s="52">
        <f t="shared" ref="Q222:Q232" si="234">P222/$Q$6*100</f>
        <v>38.461538461538467</v>
      </c>
      <c r="R222" s="53">
        <f>COUNTIFS('00 Encuesta'!$B$2:$B$511,"*a)*",'00 Encuesta'!$C$2:$C$511,"*b)*",'00 Encuesta'!$E$2:$E$511,"*b)*",'00 Encuesta'!$AC$2:$AC$511,"*a)*")</f>
        <v>12</v>
      </c>
      <c r="S222" s="52">
        <f t="shared" ref="S222:S232" si="235">R222/$Q$7*100</f>
        <v>48</v>
      </c>
      <c r="T222" s="3"/>
      <c r="U222" s="51">
        <f t="shared" ref="U222:U232" si="236">W222+Y222</f>
        <v>0</v>
      </c>
      <c r="V222" s="52" t="e">
        <f t="shared" ref="V222:V232" si="237">U222/$X$5*100</f>
        <v>#DIV/0!</v>
      </c>
      <c r="W222" s="53">
        <f>COUNTIFS('00 Encuesta'!$B$2:$B$511,"*a)*",'00 Encuesta'!$C$2:$C$511,"*c)*",'00 Encuesta'!$E$2:$E$511,"*a)*",'00 Encuesta'!$AC$2:$AC$511,"*a)*")</f>
        <v>0</v>
      </c>
      <c r="X222" s="52" t="e">
        <f t="shared" ref="X222:X232" si="238">W222/$X$6*100</f>
        <v>#DIV/0!</v>
      </c>
      <c r="Y222" s="53">
        <f>COUNTIFS('00 Encuesta'!$B$2:$B$511,"*a)*",'00 Encuesta'!$C$2:$C$511,"*c)*",'00 Encuesta'!$E$2:$E$511,"*b)*",'00 Encuesta'!$AC$2:$AC$511,"*a)*")</f>
        <v>0</v>
      </c>
      <c r="Z222" s="52" t="e">
        <f t="shared" ref="Z222:Z232" si="239">Y222/$X$7*100</f>
        <v>#DIV/0!</v>
      </c>
      <c r="AA222" s="3"/>
      <c r="AB222" s="62">
        <f t="shared" ref="AB222:AB232" si="240">G222+N222+U222</f>
        <v>35</v>
      </c>
      <c r="AC222" s="52">
        <f t="shared" ref="AC222:AC232" si="241">AB222*100/$AC$5</f>
        <v>44.871794871794869</v>
      </c>
      <c r="AD222" s="3"/>
      <c r="AE222" s="3"/>
      <c r="AF222" s="9" t="str">
        <f t="shared" ref="AF222:AF232" si="242">A222&amp;" "&amp;B222</f>
        <v>a) Medicina</v>
      </c>
      <c r="AG222" s="72">
        <f t="shared" ref="AG222:AG232" si="243">J222</f>
        <v>40.909090909090914</v>
      </c>
      <c r="AH222" s="72">
        <f t="shared" ref="AH222:AH232" si="244">L222</f>
        <v>50</v>
      </c>
      <c r="AI222" s="73">
        <f t="shared" ref="AI222:AI232" si="245">H222</f>
        <v>45</v>
      </c>
      <c r="AJ222" s="73"/>
      <c r="AK222" s="76">
        <f t="shared" ref="AK222:AK232" si="246">Q222</f>
        <v>38.461538461538467</v>
      </c>
      <c r="AL222" s="76">
        <f t="shared" ref="AL222:AL232" si="247">S222</f>
        <v>48</v>
      </c>
      <c r="AM222" s="76">
        <f t="shared" ref="AM222:AM232" si="248">O222</f>
        <v>44.736842105263158</v>
      </c>
      <c r="AN222" s="76"/>
      <c r="AO222" s="81" t="e">
        <f t="shared" ref="AO222:AO232" si="249">X222</f>
        <v>#DIV/0!</v>
      </c>
      <c r="AP222" s="81" t="e">
        <f t="shared" ref="AP222:AP232" si="250">Z222</f>
        <v>#DIV/0!</v>
      </c>
      <c r="AQ222" s="81" t="e">
        <f t="shared" ref="AQ222:AQ232" si="251">V222</f>
        <v>#DIV/0!</v>
      </c>
      <c r="AR222" s="3"/>
      <c r="AS222" s="76">
        <f t="shared" si="227"/>
        <v>44.871794871794869</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ht="15" x14ac:dyDescent="0.25">
      <c r="A223" s="8" t="s">
        <v>18</v>
      </c>
      <c r="B223" s="9" t="s">
        <v>161</v>
      </c>
      <c r="C223" s="7"/>
      <c r="D223" s="7"/>
      <c r="E223" s="7"/>
      <c r="F223" s="71"/>
      <c r="G223" s="51">
        <f t="shared" si="228"/>
        <v>11</v>
      </c>
      <c r="H223" s="52">
        <f t="shared" si="229"/>
        <v>27.500000000000004</v>
      </c>
      <c r="I223" s="53">
        <f>COUNTIFS('00 Encuesta'!$B$2:$B$511,"*a)*",'00 Encuesta'!$C$2:$C$511,"*a)*",'00 Encuesta'!$E$2:$E$511,"*a)*",'00 Encuesta'!$AC$2:$AC$511,"*b)*")</f>
        <v>5</v>
      </c>
      <c r="J223" s="52">
        <f t="shared" si="230"/>
        <v>22.727272727272727</v>
      </c>
      <c r="K223" s="53">
        <f>COUNTIFS('00 Encuesta'!$B$2:$B$511,"*a)*",'00 Encuesta'!$C$2:$C$511,"*a)*",'00 Encuesta'!$E$2:$E$511,"*b)*",'00 Encuesta'!$AC$2:$AC$511,"*b)*")</f>
        <v>6</v>
      </c>
      <c r="L223" s="52">
        <f t="shared" si="231"/>
        <v>33.333333333333329</v>
      </c>
      <c r="M223" s="23"/>
      <c r="N223" s="51">
        <f t="shared" si="232"/>
        <v>7</v>
      </c>
      <c r="O223" s="52">
        <f t="shared" si="233"/>
        <v>18.421052631578945</v>
      </c>
      <c r="P223" s="53">
        <f>COUNTIFS('00 Encuesta'!$B$2:$B$511,"*a)*",'00 Encuesta'!$C$2:$C$511,"*b)*",'00 Encuesta'!$E$2:$E$511,"*a)*",'00 Encuesta'!$AC$2:$AC$511,"*b)*")</f>
        <v>0</v>
      </c>
      <c r="Q223" s="52">
        <f t="shared" si="234"/>
        <v>0</v>
      </c>
      <c r="R223" s="53">
        <f>COUNTIFS('00 Encuesta'!$B$2:$B$511,"*a)*",'00 Encuesta'!$C$2:$C$511,"*b)*",'00 Encuesta'!$E$2:$E$511,"*b)*",'00 Encuesta'!$AC$2:$AC$511,"*b)*")</f>
        <v>7</v>
      </c>
      <c r="S223" s="52">
        <f t="shared" si="235"/>
        <v>28.000000000000004</v>
      </c>
      <c r="T223" s="3"/>
      <c r="U223" s="51">
        <f t="shared" si="236"/>
        <v>0</v>
      </c>
      <c r="V223" s="52" t="e">
        <f t="shared" si="237"/>
        <v>#DIV/0!</v>
      </c>
      <c r="W223" s="53">
        <f>COUNTIFS('00 Encuesta'!$B$2:$B$511,"*a)*",'00 Encuesta'!$C$2:$C$511,"*c)*",'00 Encuesta'!$E$2:$E$511,"*a)*",'00 Encuesta'!$AC$2:$AC$511,"*b)*")</f>
        <v>0</v>
      </c>
      <c r="X223" s="52" t="e">
        <f t="shared" si="238"/>
        <v>#DIV/0!</v>
      </c>
      <c r="Y223" s="53">
        <f>COUNTIFS('00 Encuesta'!$B$2:$B$511,"*a)*",'00 Encuesta'!$C$2:$C$511,"*c)*",'00 Encuesta'!$E$2:$E$511,"*b)*",'00 Encuesta'!$AC$2:$AC$511,"*b)*")</f>
        <v>0</v>
      </c>
      <c r="Z223" s="52" t="e">
        <f t="shared" si="239"/>
        <v>#DIV/0!</v>
      </c>
      <c r="AA223" s="3"/>
      <c r="AB223" s="62">
        <f t="shared" si="240"/>
        <v>18</v>
      </c>
      <c r="AC223" s="52">
        <f t="shared" si="241"/>
        <v>23.076923076923077</v>
      </c>
      <c r="AD223" s="3"/>
      <c r="AE223" s="3"/>
      <c r="AF223" s="9" t="str">
        <f t="shared" si="242"/>
        <v>b) Docencia</v>
      </c>
      <c r="AG223" s="72">
        <f t="shared" si="243"/>
        <v>22.727272727272727</v>
      </c>
      <c r="AH223" s="72">
        <f t="shared" si="244"/>
        <v>33.333333333333329</v>
      </c>
      <c r="AI223" s="73">
        <f t="shared" si="245"/>
        <v>27.500000000000004</v>
      </c>
      <c r="AJ223" s="73"/>
      <c r="AK223" s="76">
        <f t="shared" si="246"/>
        <v>0</v>
      </c>
      <c r="AL223" s="76">
        <f t="shared" si="247"/>
        <v>28.000000000000004</v>
      </c>
      <c r="AM223" s="76">
        <f t="shared" si="248"/>
        <v>18.421052631578945</v>
      </c>
      <c r="AN223" s="76"/>
      <c r="AO223" s="81" t="e">
        <f t="shared" si="249"/>
        <v>#DIV/0!</v>
      </c>
      <c r="AP223" s="81" t="e">
        <f t="shared" si="250"/>
        <v>#DIV/0!</v>
      </c>
      <c r="AQ223" s="81" t="e">
        <f t="shared" si="251"/>
        <v>#DIV/0!</v>
      </c>
      <c r="AR223" s="3"/>
      <c r="AS223" s="76">
        <f t="shared" si="227"/>
        <v>23.076923076923077</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ht="15" x14ac:dyDescent="0.25">
      <c r="A224" s="8" t="s">
        <v>20</v>
      </c>
      <c r="B224" s="9" t="s">
        <v>162</v>
      </c>
      <c r="C224" s="7"/>
      <c r="D224" s="7"/>
      <c r="E224" s="7"/>
      <c r="F224" s="71"/>
      <c r="G224" s="51">
        <f t="shared" si="228"/>
        <v>4</v>
      </c>
      <c r="H224" s="52">
        <f t="shared" si="229"/>
        <v>10</v>
      </c>
      <c r="I224" s="53">
        <f>COUNTIFS('00 Encuesta'!$B$2:$B$511,"*a)*",'00 Encuesta'!$C$2:$C$511,"*a)*",'00 Encuesta'!$E$2:$E$511,"*a)*",'00 Encuesta'!$AC$2:$AC$511,"*c)*")</f>
        <v>1</v>
      </c>
      <c r="J224" s="52">
        <f t="shared" si="230"/>
        <v>4.5454545454545459</v>
      </c>
      <c r="K224" s="53">
        <f>COUNTIFS('00 Encuesta'!$B$2:$B$511,"*a)*",'00 Encuesta'!$C$2:$C$511,"*a)*",'00 Encuesta'!$E$2:$E$511,"*b)*",'00 Encuesta'!$AC$2:$AC$511,"*c)*")</f>
        <v>3</v>
      </c>
      <c r="L224" s="52">
        <f t="shared" si="231"/>
        <v>16.666666666666664</v>
      </c>
      <c r="M224" s="23"/>
      <c r="N224" s="51">
        <f t="shared" si="232"/>
        <v>0</v>
      </c>
      <c r="O224" s="52">
        <f t="shared" si="233"/>
        <v>0</v>
      </c>
      <c r="P224" s="53">
        <f>COUNTIFS('00 Encuesta'!$B$2:$B$511,"*a)*",'00 Encuesta'!$C$2:$C$511,"*b)*",'00 Encuesta'!$E$2:$E$511,"*a)*",'00 Encuesta'!$AC$2:$AC$511,"*c)*")</f>
        <v>0</v>
      </c>
      <c r="Q224" s="52">
        <f t="shared" si="234"/>
        <v>0</v>
      </c>
      <c r="R224" s="53">
        <f>COUNTIFS('00 Encuesta'!$B$2:$B$511,"*a)*",'00 Encuesta'!$C$2:$C$511,"*b)*",'00 Encuesta'!$E$2:$E$511,"*b)*",'00 Encuesta'!$AC$2:$AC$511,"*c)*")</f>
        <v>0</v>
      </c>
      <c r="S224" s="52">
        <f t="shared" si="235"/>
        <v>0</v>
      </c>
      <c r="T224" s="3"/>
      <c r="U224" s="51">
        <f t="shared" si="236"/>
        <v>0</v>
      </c>
      <c r="V224" s="52" t="e">
        <f t="shared" si="237"/>
        <v>#DIV/0!</v>
      </c>
      <c r="W224" s="53">
        <f>COUNTIFS('00 Encuesta'!$B$2:$B$511,"*a)*",'00 Encuesta'!$C$2:$C$511,"*c)*",'00 Encuesta'!$E$2:$E$511,"*a)*",'00 Encuesta'!$AC$2:$AC$511,"*c)*")</f>
        <v>0</v>
      </c>
      <c r="X224" s="52" t="e">
        <f t="shared" si="238"/>
        <v>#DIV/0!</v>
      </c>
      <c r="Y224" s="53">
        <f>COUNTIFS('00 Encuesta'!$B$2:$B$511,"*a)*",'00 Encuesta'!$C$2:$C$511,"*c)*",'00 Encuesta'!$E$2:$E$511,"*b)*",'00 Encuesta'!$AC$2:$AC$511,"*c)*")</f>
        <v>0</v>
      </c>
      <c r="Z224" s="52" t="e">
        <f t="shared" si="239"/>
        <v>#DIV/0!</v>
      </c>
      <c r="AA224" s="3"/>
      <c r="AB224" s="62">
        <f t="shared" si="240"/>
        <v>4</v>
      </c>
      <c r="AC224" s="52">
        <f t="shared" si="241"/>
        <v>5.1282051282051286</v>
      </c>
      <c r="AD224" s="3"/>
      <c r="AE224" s="3"/>
      <c r="AF224" s="9" t="str">
        <f t="shared" si="242"/>
        <v>c) Sacerdocio o hermana religiosa</v>
      </c>
      <c r="AG224" s="72">
        <f t="shared" si="243"/>
        <v>4.5454545454545459</v>
      </c>
      <c r="AH224" s="72">
        <f t="shared" si="244"/>
        <v>16.666666666666664</v>
      </c>
      <c r="AI224" s="73">
        <f t="shared" si="245"/>
        <v>10</v>
      </c>
      <c r="AJ224" s="73"/>
      <c r="AK224" s="76">
        <f t="shared" si="246"/>
        <v>0</v>
      </c>
      <c r="AL224" s="76">
        <f t="shared" si="247"/>
        <v>0</v>
      </c>
      <c r="AM224" s="76">
        <f t="shared" si="248"/>
        <v>0</v>
      </c>
      <c r="AN224" s="76"/>
      <c r="AO224" s="81" t="e">
        <f t="shared" si="249"/>
        <v>#DIV/0!</v>
      </c>
      <c r="AP224" s="81" t="e">
        <f t="shared" si="250"/>
        <v>#DIV/0!</v>
      </c>
      <c r="AQ224" s="81" t="e">
        <f t="shared" si="251"/>
        <v>#DIV/0!</v>
      </c>
      <c r="AR224" s="3"/>
      <c r="AS224" s="76">
        <f t="shared" si="227"/>
        <v>5.1282051282051286</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10</v>
      </c>
      <c r="H225" s="52">
        <f t="shared" si="229"/>
        <v>25</v>
      </c>
      <c r="I225" s="53">
        <f>COUNTIFS('00 Encuesta'!$B$2:$B$511,"*a)*",'00 Encuesta'!$C$2:$C$511,"*a)*",'00 Encuesta'!$E$2:$E$511,"*a)*",'00 Encuesta'!$AC$2:$AC$511,"*d)*")</f>
        <v>6</v>
      </c>
      <c r="J225" s="52">
        <f t="shared" si="230"/>
        <v>27.27272727272727</v>
      </c>
      <c r="K225" s="53">
        <f>COUNTIFS('00 Encuesta'!$B$2:$B$511,"*a)*",'00 Encuesta'!$C$2:$C$511,"*a)*",'00 Encuesta'!$E$2:$E$511,"*b)*",'00 Encuesta'!$AC$2:$AC$511,"*d)*")</f>
        <v>4</v>
      </c>
      <c r="L225" s="52">
        <f t="shared" si="231"/>
        <v>22.222222222222221</v>
      </c>
      <c r="M225" s="23"/>
      <c r="N225" s="51">
        <f t="shared" si="232"/>
        <v>7</v>
      </c>
      <c r="O225" s="52">
        <f t="shared" si="233"/>
        <v>18.421052631578945</v>
      </c>
      <c r="P225" s="53">
        <f>COUNTIFS('00 Encuesta'!$B$2:$B$511,"*a)*",'00 Encuesta'!$C$2:$C$511,"*b)*",'00 Encuesta'!$E$2:$E$511,"*a)*",'00 Encuesta'!$AC$2:$AC$511,"*d)*")</f>
        <v>3</v>
      </c>
      <c r="Q225" s="52">
        <f t="shared" si="234"/>
        <v>23.076923076923077</v>
      </c>
      <c r="R225" s="53">
        <f>COUNTIFS('00 Encuesta'!$B$2:$B$511,"*a)*",'00 Encuesta'!$C$2:$C$511,"*b)*",'00 Encuesta'!$E$2:$E$511,"*b)*",'00 Encuesta'!$AC$2:$AC$511,"*d)*")</f>
        <v>4</v>
      </c>
      <c r="S225" s="52">
        <f t="shared" si="235"/>
        <v>16</v>
      </c>
      <c r="T225" s="3"/>
      <c r="U225" s="51">
        <f t="shared" si="236"/>
        <v>0</v>
      </c>
      <c r="V225" s="52" t="e">
        <f t="shared" si="237"/>
        <v>#DIV/0!</v>
      </c>
      <c r="W225" s="53">
        <f>COUNTIFS('00 Encuesta'!$B$2:$B$511,"*a)*",'00 Encuesta'!$C$2:$C$511,"*c)*",'00 Encuesta'!$E$2:$E$511,"*a)*",'00 Encuesta'!$AC$2:$AC$511,"*d)*")</f>
        <v>0</v>
      </c>
      <c r="X225" s="52" t="e">
        <f t="shared" si="238"/>
        <v>#DIV/0!</v>
      </c>
      <c r="Y225" s="53">
        <f>COUNTIFS('00 Encuesta'!$B$2:$B$511,"*a)*",'00 Encuesta'!$C$2:$C$511,"*c)*",'00 Encuesta'!$E$2:$E$511,"*b)*",'00 Encuesta'!$AC$2:$AC$511,"*d)*")</f>
        <v>0</v>
      </c>
      <c r="Z225" s="52" t="e">
        <f t="shared" si="239"/>
        <v>#DIV/0!</v>
      </c>
      <c r="AA225" s="3"/>
      <c r="AB225" s="62">
        <f t="shared" si="240"/>
        <v>17</v>
      </c>
      <c r="AC225" s="52">
        <f t="shared" si="241"/>
        <v>21.794871794871796</v>
      </c>
      <c r="AD225" s="3"/>
      <c r="AE225" s="3"/>
      <c r="AF225" s="9" t="str">
        <f t="shared" si="242"/>
        <v>d) Ingeniería</v>
      </c>
      <c r="AG225" s="72">
        <f t="shared" si="243"/>
        <v>27.27272727272727</v>
      </c>
      <c r="AH225" s="72">
        <f t="shared" si="244"/>
        <v>22.222222222222221</v>
      </c>
      <c r="AI225" s="73">
        <f t="shared" si="245"/>
        <v>25</v>
      </c>
      <c r="AJ225" s="73"/>
      <c r="AK225" s="76">
        <f t="shared" si="246"/>
        <v>23.076923076923077</v>
      </c>
      <c r="AL225" s="76">
        <f t="shared" si="247"/>
        <v>16</v>
      </c>
      <c r="AM225" s="76">
        <f t="shared" si="248"/>
        <v>18.421052631578945</v>
      </c>
      <c r="AN225" s="76"/>
      <c r="AO225" s="81" t="e">
        <f t="shared" si="249"/>
        <v>#DIV/0!</v>
      </c>
      <c r="AP225" s="81" t="e">
        <f t="shared" si="250"/>
        <v>#DIV/0!</v>
      </c>
      <c r="AQ225" s="81" t="e">
        <f t="shared" si="251"/>
        <v>#DIV/0!</v>
      </c>
      <c r="AR225" s="3"/>
      <c r="AS225" s="76">
        <f t="shared" si="227"/>
        <v>21.794871794871796</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ht="15" x14ac:dyDescent="0.25">
      <c r="A226" s="8" t="s">
        <v>22</v>
      </c>
      <c r="B226" s="9" t="s">
        <v>164</v>
      </c>
      <c r="C226" s="7"/>
      <c r="D226" s="7"/>
      <c r="E226" s="7"/>
      <c r="F226" s="71"/>
      <c r="G226" s="51">
        <f t="shared" si="228"/>
        <v>4</v>
      </c>
      <c r="H226" s="52">
        <f t="shared" si="229"/>
        <v>10</v>
      </c>
      <c r="I226" s="53">
        <f>COUNTIFS('00 Encuesta'!$B$2:$B$511,"*a)*",'00 Encuesta'!$C$2:$C$511,"*a)*",'00 Encuesta'!$E$2:$E$511,"*a)*",'00 Encuesta'!$AC$2:$AC$511,"*e)*")</f>
        <v>1</v>
      </c>
      <c r="J226" s="52">
        <f t="shared" si="230"/>
        <v>4.5454545454545459</v>
      </c>
      <c r="K226" s="53">
        <f>COUNTIFS('00 Encuesta'!$B$2:$B$511,"*a)*",'00 Encuesta'!$C$2:$C$511,"*a)*",'00 Encuesta'!$E$2:$E$511,"*b)*",'00 Encuesta'!$AC$2:$AC$511,"*e)*")</f>
        <v>3</v>
      </c>
      <c r="L226" s="52">
        <f t="shared" si="231"/>
        <v>16.666666666666664</v>
      </c>
      <c r="M226" s="23"/>
      <c r="N226" s="51">
        <f t="shared" si="232"/>
        <v>7</v>
      </c>
      <c r="O226" s="52">
        <f t="shared" si="233"/>
        <v>18.421052631578945</v>
      </c>
      <c r="P226" s="53">
        <f>COUNTIFS('00 Encuesta'!$B$2:$B$511,"*a)*",'00 Encuesta'!$C$2:$C$511,"*b)*",'00 Encuesta'!$E$2:$E$511,"*a)*",'00 Encuesta'!$AC$2:$AC$511,"*e)*")</f>
        <v>1</v>
      </c>
      <c r="Q226" s="52">
        <f t="shared" si="234"/>
        <v>7.6923076923076925</v>
      </c>
      <c r="R226" s="53">
        <f>COUNTIFS('00 Encuesta'!$B$2:$B$511,"*a)*",'00 Encuesta'!$C$2:$C$511,"*b)*",'00 Encuesta'!$E$2:$E$511,"*b)*",'00 Encuesta'!$AC$2:$AC$511,"*e)*")</f>
        <v>6</v>
      </c>
      <c r="S226" s="52">
        <f t="shared" si="235"/>
        <v>24</v>
      </c>
      <c r="T226" s="3"/>
      <c r="U226" s="51">
        <f t="shared" si="236"/>
        <v>0</v>
      </c>
      <c r="V226" s="52" t="e">
        <f t="shared" si="237"/>
        <v>#DIV/0!</v>
      </c>
      <c r="W226" s="53">
        <f>COUNTIFS('00 Encuesta'!$B$2:$B$511,"*a)*",'00 Encuesta'!$C$2:$C$511,"*c)*",'00 Encuesta'!$E$2:$E$511,"*a)*",'00 Encuesta'!$AC$2:$AC$511,"*e)*")</f>
        <v>0</v>
      </c>
      <c r="X226" s="52" t="e">
        <f t="shared" si="238"/>
        <v>#DIV/0!</v>
      </c>
      <c r="Y226" s="53">
        <f>COUNTIFS('00 Encuesta'!$B$2:$B$511,"*a)*",'00 Encuesta'!$C$2:$C$511,"*c)*",'00 Encuesta'!$E$2:$E$511,"*b)*",'00 Encuesta'!$AC$2:$AC$511,"*e)*")</f>
        <v>0</v>
      </c>
      <c r="Z226" s="52" t="e">
        <f t="shared" si="239"/>
        <v>#DIV/0!</v>
      </c>
      <c r="AA226" s="3"/>
      <c r="AB226" s="62">
        <f t="shared" si="240"/>
        <v>11</v>
      </c>
      <c r="AC226" s="52">
        <f t="shared" si="241"/>
        <v>14.102564102564102</v>
      </c>
      <c r="AD226" s="3"/>
      <c r="AE226" s="3"/>
      <c r="AF226" s="9" t="str">
        <f t="shared" si="242"/>
        <v>e) Derecho</v>
      </c>
      <c r="AG226" s="72">
        <f t="shared" si="243"/>
        <v>4.5454545454545459</v>
      </c>
      <c r="AH226" s="72">
        <f t="shared" si="244"/>
        <v>16.666666666666664</v>
      </c>
      <c r="AI226" s="73">
        <f t="shared" si="245"/>
        <v>10</v>
      </c>
      <c r="AJ226" s="73"/>
      <c r="AK226" s="76">
        <f t="shared" si="246"/>
        <v>7.6923076923076925</v>
      </c>
      <c r="AL226" s="76">
        <f t="shared" si="247"/>
        <v>24</v>
      </c>
      <c r="AM226" s="76">
        <f t="shared" si="248"/>
        <v>18.421052631578945</v>
      </c>
      <c r="AN226" s="76"/>
      <c r="AO226" s="81" t="e">
        <f t="shared" si="249"/>
        <v>#DIV/0!</v>
      </c>
      <c r="AP226" s="81" t="e">
        <f t="shared" si="250"/>
        <v>#DIV/0!</v>
      </c>
      <c r="AQ226" s="81" t="e">
        <f t="shared" si="251"/>
        <v>#DIV/0!</v>
      </c>
      <c r="AR226" s="3"/>
      <c r="AS226" s="76">
        <f t="shared" si="227"/>
        <v>14.102564102564102</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ht="15.75" x14ac:dyDescent="0.3">
      <c r="A227" s="1" t="s">
        <v>45</v>
      </c>
      <c r="B227" s="2" t="s">
        <v>165</v>
      </c>
      <c r="C227" s="3"/>
      <c r="D227" s="7"/>
      <c r="E227" s="7"/>
      <c r="F227" s="71"/>
      <c r="G227" s="51">
        <f t="shared" si="228"/>
        <v>3</v>
      </c>
      <c r="H227" s="52">
        <f t="shared" si="229"/>
        <v>7.5</v>
      </c>
      <c r="I227" s="53">
        <f>COUNTIFS('00 Encuesta'!$B$2:$B$511,"*a)*",'00 Encuesta'!$C$2:$C$511,"*a)*",'00 Encuesta'!$E$2:$E$511,"*a)*",'00 Encuesta'!$AC$2:$AC$511,"*f)*")</f>
        <v>3</v>
      </c>
      <c r="J227" s="52">
        <f t="shared" si="230"/>
        <v>13.636363636363635</v>
      </c>
      <c r="K227" s="53">
        <f>COUNTIFS('00 Encuesta'!$B$2:$B$511,"*a)*",'00 Encuesta'!$C$2:$C$511,"*a)*",'00 Encuesta'!$E$2:$E$511,"*b)*",'00 Encuesta'!$AC$2:$AC$511,"*f)*")</f>
        <v>0</v>
      </c>
      <c r="L227" s="52">
        <f t="shared" si="231"/>
        <v>0</v>
      </c>
      <c r="M227" s="23"/>
      <c r="N227" s="51">
        <f t="shared" si="232"/>
        <v>0</v>
      </c>
      <c r="O227" s="52">
        <f t="shared" si="233"/>
        <v>0</v>
      </c>
      <c r="P227" s="53">
        <f>COUNTIFS('00 Encuesta'!$B$2:$B$511,"*a)*",'00 Encuesta'!$C$2:$C$511,"*b)*",'00 Encuesta'!$E$2:$E$511,"*a)*",'00 Encuesta'!$AC$2:$AC$511,"*f)*")</f>
        <v>0</v>
      </c>
      <c r="Q227" s="52">
        <f t="shared" si="234"/>
        <v>0</v>
      </c>
      <c r="R227" s="53">
        <f>COUNTIFS('00 Encuesta'!$B$2:$B$511,"*a)*",'00 Encuesta'!$C$2:$C$511,"*b)*",'00 Encuesta'!$E$2:$E$511,"*b)*",'00 Encuesta'!$AC$2:$AC$511,"*f)*")</f>
        <v>0</v>
      </c>
      <c r="S227" s="52">
        <f t="shared" si="235"/>
        <v>0</v>
      </c>
      <c r="T227" s="3"/>
      <c r="U227" s="51">
        <f t="shared" si="236"/>
        <v>0</v>
      </c>
      <c r="V227" s="52" t="e">
        <f t="shared" si="237"/>
        <v>#DIV/0!</v>
      </c>
      <c r="W227" s="53">
        <f>COUNTIFS('00 Encuesta'!$B$2:$B$511,"*a)*",'00 Encuesta'!$C$2:$C$511,"*c)*",'00 Encuesta'!$E$2:$E$511,"*a)*",'00 Encuesta'!$AC$2:$AC$511,"*f)*")</f>
        <v>0</v>
      </c>
      <c r="X227" s="52" t="e">
        <f t="shared" si="238"/>
        <v>#DIV/0!</v>
      </c>
      <c r="Y227" s="53">
        <f>COUNTIFS('00 Encuesta'!$B$2:$B$511,"*a)*",'00 Encuesta'!$C$2:$C$511,"*c)*",'00 Encuesta'!$E$2:$E$511,"*b)*",'00 Encuesta'!$AC$2:$AC$511,"*f)*")</f>
        <v>0</v>
      </c>
      <c r="Z227" s="52" t="e">
        <f t="shared" si="239"/>
        <v>#DIV/0!</v>
      </c>
      <c r="AA227" s="3"/>
      <c r="AB227" s="62">
        <f t="shared" si="240"/>
        <v>3</v>
      </c>
      <c r="AC227" s="52">
        <f t="shared" si="241"/>
        <v>3.8461538461538463</v>
      </c>
      <c r="AD227" s="3"/>
      <c r="AE227" s="3"/>
      <c r="AF227" s="9" t="str">
        <f t="shared" si="242"/>
        <v>f) Ciencias policiales o artes militares</v>
      </c>
      <c r="AG227" s="72">
        <f t="shared" si="243"/>
        <v>13.636363636363635</v>
      </c>
      <c r="AH227" s="72">
        <f t="shared" si="244"/>
        <v>0</v>
      </c>
      <c r="AI227" s="73">
        <f t="shared" si="245"/>
        <v>7.5</v>
      </c>
      <c r="AJ227" s="73"/>
      <c r="AK227" s="76">
        <f t="shared" si="246"/>
        <v>0</v>
      </c>
      <c r="AL227" s="76">
        <f t="shared" si="247"/>
        <v>0</v>
      </c>
      <c r="AM227" s="76">
        <f t="shared" si="248"/>
        <v>0</v>
      </c>
      <c r="AN227" s="76"/>
      <c r="AO227" s="81" t="e">
        <f t="shared" si="249"/>
        <v>#DIV/0!</v>
      </c>
      <c r="AP227" s="81" t="e">
        <f t="shared" si="250"/>
        <v>#DIV/0!</v>
      </c>
      <c r="AQ227" s="81" t="e">
        <f t="shared" si="251"/>
        <v>#DIV/0!</v>
      </c>
      <c r="AR227" s="3"/>
      <c r="AS227" s="76">
        <f t="shared" si="227"/>
        <v>3.8461538461538463</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ht="15.75" x14ac:dyDescent="0.3">
      <c r="A228" s="1" t="s">
        <v>61</v>
      </c>
      <c r="B228" s="2" t="s">
        <v>166</v>
      </c>
      <c r="C228" s="3"/>
      <c r="D228" s="7"/>
      <c r="E228" s="7"/>
      <c r="F228" s="71"/>
      <c r="G228" s="51">
        <f t="shared" si="228"/>
        <v>8</v>
      </c>
      <c r="H228" s="52">
        <f t="shared" si="229"/>
        <v>20</v>
      </c>
      <c r="I228" s="53">
        <f>COUNTIFS('00 Encuesta'!$B$2:$B$511,"*a)*",'00 Encuesta'!$C$2:$C$511,"*a)*",'00 Encuesta'!$E$2:$E$511,"*a)*",'00 Encuesta'!$AC$2:$AC$511,"*g)*")</f>
        <v>4</v>
      </c>
      <c r="J228" s="52">
        <f t="shared" si="230"/>
        <v>18.181818181818183</v>
      </c>
      <c r="K228" s="53">
        <f>COUNTIFS('00 Encuesta'!$B$2:$B$511,"*a)*",'00 Encuesta'!$C$2:$C$511,"*a)*",'00 Encuesta'!$E$2:$E$511,"*b)*",'00 Encuesta'!$AC$2:$AC$511,"*g)*")</f>
        <v>4</v>
      </c>
      <c r="L228" s="52">
        <f t="shared" si="231"/>
        <v>22.222222222222221</v>
      </c>
      <c r="M228" s="23"/>
      <c r="N228" s="51">
        <f t="shared" si="232"/>
        <v>13</v>
      </c>
      <c r="O228" s="52">
        <f t="shared" si="233"/>
        <v>34.210526315789473</v>
      </c>
      <c r="P228" s="53">
        <f>COUNTIFS('00 Encuesta'!$B$2:$B$511,"*a)*",'00 Encuesta'!$C$2:$C$511,"*b)*",'00 Encuesta'!$E$2:$E$511,"*a)*",'00 Encuesta'!$AC$2:$AC$511,"*g)*")</f>
        <v>5</v>
      </c>
      <c r="Q228" s="52">
        <f t="shared" si="234"/>
        <v>38.461538461538467</v>
      </c>
      <c r="R228" s="53">
        <f>COUNTIFS('00 Encuesta'!$B$2:$B$511,"*a)*",'00 Encuesta'!$C$2:$C$511,"*b)*",'00 Encuesta'!$E$2:$E$511,"*b)*",'00 Encuesta'!$AC$2:$AC$511,"*g)*")</f>
        <v>8</v>
      </c>
      <c r="S228" s="52">
        <f t="shared" si="235"/>
        <v>32</v>
      </c>
      <c r="T228" s="3"/>
      <c r="U228" s="51">
        <f t="shared" si="236"/>
        <v>0</v>
      </c>
      <c r="V228" s="52" t="e">
        <f t="shared" si="237"/>
        <v>#DIV/0!</v>
      </c>
      <c r="W228" s="53">
        <f>COUNTIFS('00 Encuesta'!$B$2:$B$511,"*a)*",'00 Encuesta'!$C$2:$C$511,"*c)*",'00 Encuesta'!$E$2:$E$511,"*a)*",'00 Encuesta'!$AC$2:$AC$511,"*g)*")</f>
        <v>0</v>
      </c>
      <c r="X228" s="52" t="e">
        <f t="shared" si="238"/>
        <v>#DIV/0!</v>
      </c>
      <c r="Y228" s="53">
        <f>COUNTIFS('00 Encuesta'!$B$2:$B$511,"*a)*",'00 Encuesta'!$C$2:$C$511,"*c)*",'00 Encuesta'!$E$2:$E$511,"*b)*",'00 Encuesta'!$AC$2:$AC$511,"*g)*")</f>
        <v>0</v>
      </c>
      <c r="Z228" s="52" t="e">
        <f t="shared" si="239"/>
        <v>#DIV/0!</v>
      </c>
      <c r="AA228" s="3"/>
      <c r="AB228" s="62">
        <f t="shared" si="240"/>
        <v>21</v>
      </c>
      <c r="AC228" s="52">
        <f t="shared" si="241"/>
        <v>26.923076923076923</v>
      </c>
      <c r="AD228" s="3"/>
      <c r="AE228" s="3"/>
      <c r="AF228" s="9" t="str">
        <f t="shared" si="242"/>
        <v>g) Artista</v>
      </c>
      <c r="AG228" s="72">
        <f t="shared" si="243"/>
        <v>18.181818181818183</v>
      </c>
      <c r="AH228" s="72">
        <f t="shared" si="244"/>
        <v>22.222222222222221</v>
      </c>
      <c r="AI228" s="73">
        <f t="shared" si="245"/>
        <v>20</v>
      </c>
      <c r="AJ228" s="73"/>
      <c r="AK228" s="76">
        <f t="shared" si="246"/>
        <v>38.461538461538467</v>
      </c>
      <c r="AL228" s="76">
        <f t="shared" si="247"/>
        <v>32</v>
      </c>
      <c r="AM228" s="76">
        <f t="shared" si="248"/>
        <v>34.210526315789473</v>
      </c>
      <c r="AN228" s="76"/>
      <c r="AO228" s="81" t="e">
        <f t="shared" si="249"/>
        <v>#DIV/0!</v>
      </c>
      <c r="AP228" s="81" t="e">
        <f t="shared" si="250"/>
        <v>#DIV/0!</v>
      </c>
      <c r="AQ228" s="81" t="e">
        <f t="shared" si="251"/>
        <v>#DIV/0!</v>
      </c>
      <c r="AR228" s="3"/>
      <c r="AS228" s="76">
        <f t="shared" si="227"/>
        <v>26.923076923076923</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1</v>
      </c>
      <c r="H229" s="52">
        <f t="shared" si="229"/>
        <v>2.5</v>
      </c>
      <c r="I229" s="53">
        <f>COUNTIFS('00 Encuesta'!$B$2:$B$511,"*a)*",'00 Encuesta'!$C$2:$C$511,"*a)*",'00 Encuesta'!$E$2:$E$511,"*a)*",'00 Encuesta'!$AC$2:$AC$511,"*h)*")</f>
        <v>1</v>
      </c>
      <c r="J229" s="52">
        <f t="shared" si="230"/>
        <v>4.5454545454545459</v>
      </c>
      <c r="K229" s="53">
        <f>COUNTIFS('00 Encuesta'!$B$2:$B$511,"*a)*",'00 Encuesta'!$C$2:$C$511,"*a)*",'00 Encuesta'!$E$2:$E$511,"*b)*",'00 Encuesta'!$AC$2:$AC$511,"*h)*")</f>
        <v>0</v>
      </c>
      <c r="L229" s="52">
        <f t="shared" si="231"/>
        <v>0</v>
      </c>
      <c r="M229" s="23"/>
      <c r="N229" s="51">
        <f t="shared" si="232"/>
        <v>3</v>
      </c>
      <c r="O229" s="52">
        <f t="shared" si="233"/>
        <v>7.8947368421052628</v>
      </c>
      <c r="P229" s="53">
        <f>COUNTIFS('00 Encuesta'!$B$2:$B$511,"*a)*",'00 Encuesta'!$C$2:$C$511,"*b)*",'00 Encuesta'!$E$2:$E$511,"*a)*",'00 Encuesta'!$AC$2:$AC$511,"*h)*")</f>
        <v>3</v>
      </c>
      <c r="Q229" s="52">
        <f t="shared" si="234"/>
        <v>23.076923076923077</v>
      </c>
      <c r="R229" s="53">
        <f>COUNTIFS('00 Encuesta'!$B$2:$B$511,"*a)*",'00 Encuesta'!$C$2:$C$511,"*b)*",'00 Encuesta'!$E$2:$E$511,"*b)*",'00 Encuesta'!$AC$2:$AC$511,"*h)*")</f>
        <v>0</v>
      </c>
      <c r="S229" s="52">
        <f t="shared" si="235"/>
        <v>0</v>
      </c>
      <c r="T229" s="3"/>
      <c r="U229" s="51">
        <f t="shared" si="236"/>
        <v>0</v>
      </c>
      <c r="V229" s="52" t="e">
        <f t="shared" si="237"/>
        <v>#DIV/0!</v>
      </c>
      <c r="W229" s="53">
        <f>COUNTIFS('00 Encuesta'!$B$2:$B$511,"*a)*",'00 Encuesta'!$C$2:$C$511,"*c)*",'00 Encuesta'!$E$2:$E$511,"*a)*",'00 Encuesta'!$AC$2:$AC$511,"*h)*")</f>
        <v>0</v>
      </c>
      <c r="X229" s="52" t="e">
        <f t="shared" si="238"/>
        <v>#DIV/0!</v>
      </c>
      <c r="Y229" s="53">
        <f>COUNTIFS('00 Encuesta'!$B$2:$B$511,"*a)*",'00 Encuesta'!$C$2:$C$511,"*c)*",'00 Encuesta'!$E$2:$E$511,"*b)*",'00 Encuesta'!$AC$2:$AC$511,"*h)*")</f>
        <v>0</v>
      </c>
      <c r="Z229" s="52" t="e">
        <f t="shared" si="239"/>
        <v>#DIV/0!</v>
      </c>
      <c r="AA229" s="3"/>
      <c r="AB229" s="62">
        <f t="shared" si="240"/>
        <v>4</v>
      </c>
      <c r="AC229" s="52">
        <f t="shared" si="241"/>
        <v>5.1282051282051286</v>
      </c>
      <c r="AD229" s="3"/>
      <c r="AE229" s="3"/>
      <c r="AF229" s="9" t="str">
        <f t="shared" si="242"/>
        <v>h) Ciencias Políticas</v>
      </c>
      <c r="AG229" s="72">
        <f t="shared" si="243"/>
        <v>4.5454545454545459</v>
      </c>
      <c r="AH229" s="72">
        <f t="shared" si="244"/>
        <v>0</v>
      </c>
      <c r="AI229" s="73">
        <f t="shared" si="245"/>
        <v>2.5</v>
      </c>
      <c r="AJ229" s="73"/>
      <c r="AK229" s="76">
        <f t="shared" si="246"/>
        <v>23.076923076923077</v>
      </c>
      <c r="AL229" s="76">
        <f t="shared" si="247"/>
        <v>0</v>
      </c>
      <c r="AM229" s="76">
        <f t="shared" si="248"/>
        <v>7.8947368421052628</v>
      </c>
      <c r="AN229" s="76"/>
      <c r="AO229" s="81" t="e">
        <f t="shared" si="249"/>
        <v>#DIV/0!</v>
      </c>
      <c r="AP229" s="81" t="e">
        <f t="shared" si="250"/>
        <v>#DIV/0!</v>
      </c>
      <c r="AQ229" s="81" t="e">
        <f t="shared" si="251"/>
        <v>#DIV/0!</v>
      </c>
      <c r="AR229" s="3"/>
      <c r="AS229" s="76">
        <f t="shared" si="227"/>
        <v>5.1282051282051286</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ht="15" x14ac:dyDescent="0.25">
      <c r="A230" s="84" t="s">
        <v>65</v>
      </c>
      <c r="B230" s="9" t="s">
        <v>168</v>
      </c>
      <c r="C230" s="7"/>
      <c r="D230" s="7"/>
      <c r="E230" s="7"/>
      <c r="F230" s="71"/>
      <c r="G230" s="51">
        <f t="shared" si="228"/>
        <v>3</v>
      </c>
      <c r="H230" s="52">
        <f t="shared" si="229"/>
        <v>7.5</v>
      </c>
      <c r="I230" s="53">
        <f>COUNTIFS('00 Encuesta'!$B$2:$B$511,"*a)*",'00 Encuesta'!$C$2:$C$511,"*a)*",'00 Encuesta'!$E$2:$E$511,"*a)*",'00 Encuesta'!$AC$2:$AC$511,"*i)*")</f>
        <v>2</v>
      </c>
      <c r="J230" s="52">
        <f t="shared" si="230"/>
        <v>9.0909090909090917</v>
      </c>
      <c r="K230" s="53">
        <f>COUNTIFS('00 Encuesta'!$B$2:$B$511,"*a)*",'00 Encuesta'!$C$2:$C$511,"*a)*",'00 Encuesta'!$E$2:$E$511,"*b)*",'00 Encuesta'!$AC$2:$AC$511,"*i)*")</f>
        <v>1</v>
      </c>
      <c r="L230" s="52">
        <f t="shared" si="231"/>
        <v>5.5555555555555554</v>
      </c>
      <c r="M230" s="23"/>
      <c r="N230" s="51">
        <f t="shared" si="232"/>
        <v>4</v>
      </c>
      <c r="O230" s="52">
        <f t="shared" si="233"/>
        <v>10.526315789473683</v>
      </c>
      <c r="P230" s="53">
        <f>COUNTIFS('00 Encuesta'!$B$2:$B$511,"*a)*",'00 Encuesta'!$C$2:$C$511,"*b)*",'00 Encuesta'!$E$2:$E$511,"*a)*",'00 Encuesta'!$AC$2:$AC$511,"*i)*")</f>
        <v>1</v>
      </c>
      <c r="Q230" s="52">
        <f t="shared" si="234"/>
        <v>7.6923076923076925</v>
      </c>
      <c r="R230" s="53">
        <f>COUNTIFS('00 Encuesta'!$B$2:$B$511,"*a)*",'00 Encuesta'!$C$2:$C$511,"*b)*",'00 Encuesta'!$E$2:$E$511,"*b)*",'00 Encuesta'!$AC$2:$AC$511,"*i)*")</f>
        <v>3</v>
      </c>
      <c r="S230" s="52">
        <f t="shared" si="235"/>
        <v>12</v>
      </c>
      <c r="T230" s="3"/>
      <c r="U230" s="51">
        <f t="shared" si="236"/>
        <v>0</v>
      </c>
      <c r="V230" s="52" t="e">
        <f t="shared" si="237"/>
        <v>#DIV/0!</v>
      </c>
      <c r="W230" s="53">
        <f>COUNTIFS('00 Encuesta'!$B$2:$B$511,"*a)*",'00 Encuesta'!$C$2:$C$511,"*c)*",'00 Encuesta'!$E$2:$E$511,"*a)*",'00 Encuesta'!$AC$2:$AC$511,"*i)*")</f>
        <v>0</v>
      </c>
      <c r="X230" s="52" t="e">
        <f t="shared" si="238"/>
        <v>#DIV/0!</v>
      </c>
      <c r="Y230" s="53">
        <f>COUNTIFS('00 Encuesta'!$B$2:$B$511,"*a)*",'00 Encuesta'!$C$2:$C$511,"*c)*",'00 Encuesta'!$E$2:$E$511,"*b)*",'00 Encuesta'!$AC$2:$AC$511,"*i)*")</f>
        <v>0</v>
      </c>
      <c r="Z230" s="52" t="e">
        <f t="shared" si="239"/>
        <v>#DIV/0!</v>
      </c>
      <c r="AA230" s="3"/>
      <c r="AB230" s="62">
        <f t="shared" si="240"/>
        <v>7</v>
      </c>
      <c r="AC230" s="52">
        <f t="shared" si="241"/>
        <v>8.9743589743589745</v>
      </c>
      <c r="AD230" s="3"/>
      <c r="AE230" s="3"/>
      <c r="AF230" s="9" t="str">
        <f t="shared" si="242"/>
        <v>i) Comerciante</v>
      </c>
      <c r="AG230" s="72">
        <f t="shared" si="243"/>
        <v>9.0909090909090917</v>
      </c>
      <c r="AH230" s="72">
        <f t="shared" si="244"/>
        <v>5.5555555555555554</v>
      </c>
      <c r="AI230" s="73">
        <f t="shared" si="245"/>
        <v>7.5</v>
      </c>
      <c r="AJ230" s="73"/>
      <c r="AK230" s="76">
        <f t="shared" si="246"/>
        <v>7.6923076923076925</v>
      </c>
      <c r="AL230" s="76">
        <f t="shared" si="247"/>
        <v>12</v>
      </c>
      <c r="AM230" s="76">
        <f t="shared" si="248"/>
        <v>10.526315789473683</v>
      </c>
      <c r="AN230" s="76"/>
      <c r="AO230" s="81" t="e">
        <f t="shared" si="249"/>
        <v>#DIV/0!</v>
      </c>
      <c r="AP230" s="81" t="e">
        <f t="shared" si="250"/>
        <v>#DIV/0!</v>
      </c>
      <c r="AQ230" s="81" t="e">
        <f t="shared" si="251"/>
        <v>#DIV/0!</v>
      </c>
      <c r="AR230" s="3"/>
      <c r="AS230" s="76">
        <f t="shared" si="227"/>
        <v>8.9743589743589745</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ht="15" x14ac:dyDescent="0.25">
      <c r="A231" s="84" t="s">
        <v>67</v>
      </c>
      <c r="B231" s="9" t="s">
        <v>169</v>
      </c>
      <c r="C231" s="7"/>
      <c r="D231" s="7"/>
      <c r="E231" s="7"/>
      <c r="F231" s="71"/>
      <c r="G231" s="51">
        <f t="shared" si="228"/>
        <v>1</v>
      </c>
      <c r="H231" s="52">
        <f t="shared" si="229"/>
        <v>2.5</v>
      </c>
      <c r="I231" s="53">
        <f>COUNTIFS('00 Encuesta'!$B$2:$B$511,"*a)*",'00 Encuesta'!$C$2:$C$511,"*a)*",'00 Encuesta'!$E$2:$E$511,"*a)*",'00 Encuesta'!$AC$2:$AC$511,"*j)*")</f>
        <v>1</v>
      </c>
      <c r="J231" s="52">
        <f t="shared" si="230"/>
        <v>4.5454545454545459</v>
      </c>
      <c r="K231" s="53">
        <f>COUNTIFS('00 Encuesta'!$B$2:$B$511,"*a)*",'00 Encuesta'!$C$2:$C$511,"*a)*",'00 Encuesta'!$E$2:$E$511,"*b)*",'00 Encuesta'!$AC$2:$AC$511,"*j)*")</f>
        <v>0</v>
      </c>
      <c r="L231" s="52">
        <f t="shared" si="231"/>
        <v>0</v>
      </c>
      <c r="M231" s="23"/>
      <c r="N231" s="51">
        <f t="shared" si="232"/>
        <v>3</v>
      </c>
      <c r="O231" s="52">
        <f t="shared" si="233"/>
        <v>7.8947368421052628</v>
      </c>
      <c r="P231" s="53">
        <f>COUNTIFS('00 Encuesta'!$B$2:$B$511,"*a)*",'00 Encuesta'!$C$2:$C$511,"*b)*",'00 Encuesta'!$E$2:$E$511,"*a)*",'00 Encuesta'!$AC$2:$AC$511,"*j)*")</f>
        <v>1</v>
      </c>
      <c r="Q231" s="52">
        <f t="shared" si="234"/>
        <v>7.6923076923076925</v>
      </c>
      <c r="R231" s="53">
        <f>COUNTIFS('00 Encuesta'!$B$2:$B$511,"*a)*",'00 Encuesta'!$C$2:$C$511,"*b)*",'00 Encuesta'!$E$2:$E$511,"*b)*",'00 Encuesta'!$AC$2:$AC$511,"*j)*")</f>
        <v>2</v>
      </c>
      <c r="S231" s="52">
        <f t="shared" si="235"/>
        <v>8</v>
      </c>
      <c r="T231" s="3"/>
      <c r="U231" s="51">
        <f t="shared" si="236"/>
        <v>0</v>
      </c>
      <c r="V231" s="52" t="e">
        <f t="shared" si="237"/>
        <v>#DIV/0!</v>
      </c>
      <c r="W231" s="53">
        <f>COUNTIFS('00 Encuesta'!$B$2:$B$511,"*a)*",'00 Encuesta'!$C$2:$C$511,"*c)*",'00 Encuesta'!$E$2:$E$511,"*a)*",'00 Encuesta'!$AC$2:$AC$511,"*j)*")</f>
        <v>0</v>
      </c>
      <c r="X231" s="52" t="e">
        <f t="shared" si="238"/>
        <v>#DIV/0!</v>
      </c>
      <c r="Y231" s="53">
        <f>COUNTIFS('00 Encuesta'!$B$2:$B$511,"*a)*",'00 Encuesta'!$C$2:$C$511,"*c)*",'00 Encuesta'!$E$2:$E$511,"*b)*",'00 Encuesta'!$AC$2:$AC$511,"*j)*")</f>
        <v>0</v>
      </c>
      <c r="Z231" s="52" t="e">
        <f t="shared" si="239"/>
        <v>#DIV/0!</v>
      </c>
      <c r="AA231" s="3"/>
      <c r="AB231" s="62">
        <f t="shared" si="240"/>
        <v>4</v>
      </c>
      <c r="AC231" s="52">
        <f t="shared" si="241"/>
        <v>5.1282051282051286</v>
      </c>
      <c r="AD231" s="3"/>
      <c r="AE231" s="3"/>
      <c r="AF231" s="9" t="str">
        <f t="shared" si="242"/>
        <v>j) Trabajador calificado</v>
      </c>
      <c r="AG231" s="72">
        <f t="shared" si="243"/>
        <v>4.5454545454545459</v>
      </c>
      <c r="AH231" s="72">
        <f t="shared" si="244"/>
        <v>0</v>
      </c>
      <c r="AI231" s="73">
        <f t="shared" si="245"/>
        <v>2.5</v>
      </c>
      <c r="AJ231" s="73"/>
      <c r="AK231" s="76">
        <f t="shared" si="246"/>
        <v>7.6923076923076925</v>
      </c>
      <c r="AL231" s="76">
        <f t="shared" si="247"/>
        <v>8</v>
      </c>
      <c r="AM231" s="76">
        <f t="shared" si="248"/>
        <v>7.8947368421052628</v>
      </c>
      <c r="AN231" s="76"/>
      <c r="AO231" s="81" t="e">
        <f t="shared" si="249"/>
        <v>#DIV/0!</v>
      </c>
      <c r="AP231" s="81" t="e">
        <f t="shared" si="250"/>
        <v>#DIV/0!</v>
      </c>
      <c r="AQ231" s="81" t="e">
        <f t="shared" si="251"/>
        <v>#DIV/0!</v>
      </c>
      <c r="AR231" s="3"/>
      <c r="AS231" s="76">
        <f t="shared" si="227"/>
        <v>5.1282051282051286</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ht="15" x14ac:dyDescent="0.25">
      <c r="A232" s="8" t="s">
        <v>23</v>
      </c>
      <c r="B232" s="9" t="s">
        <v>158</v>
      </c>
      <c r="C232" s="7"/>
      <c r="D232" s="7"/>
      <c r="E232" s="7"/>
      <c r="F232" s="71"/>
      <c r="G232" s="51">
        <f t="shared" si="228"/>
        <v>0</v>
      </c>
      <c r="H232" s="52">
        <f t="shared" si="229"/>
        <v>0</v>
      </c>
      <c r="I232" s="53"/>
      <c r="J232" s="52">
        <f t="shared" si="230"/>
        <v>0</v>
      </c>
      <c r="K232" s="53"/>
      <c r="L232" s="52">
        <f t="shared" si="231"/>
        <v>0</v>
      </c>
      <c r="M232" s="23"/>
      <c r="N232" s="51">
        <f t="shared" si="232"/>
        <v>0</v>
      </c>
      <c r="O232" s="52">
        <f t="shared" si="233"/>
        <v>0</v>
      </c>
      <c r="P232" s="53"/>
      <c r="Q232" s="52">
        <f t="shared" si="234"/>
        <v>0</v>
      </c>
      <c r="R232" s="53"/>
      <c r="S232" s="52">
        <f t="shared" si="235"/>
        <v>0</v>
      </c>
      <c r="T232" s="3"/>
      <c r="U232" s="51">
        <f t="shared" si="236"/>
        <v>0</v>
      </c>
      <c r="V232" s="52" t="e">
        <f t="shared" si="237"/>
        <v>#DIV/0!</v>
      </c>
      <c r="W232" s="53"/>
      <c r="X232" s="52" t="e">
        <f t="shared" si="238"/>
        <v>#DIV/0!</v>
      </c>
      <c r="Y232" s="53"/>
      <c r="Z232" s="52" t="e">
        <f t="shared" si="239"/>
        <v>#DIV/0!</v>
      </c>
      <c r="AA232" s="3"/>
      <c r="AB232" s="62">
        <f t="shared" si="240"/>
        <v>0</v>
      </c>
      <c r="AC232" s="52">
        <f t="shared" si="241"/>
        <v>0</v>
      </c>
      <c r="AD232" s="3"/>
      <c r="AE232" s="3"/>
      <c r="AF232" s="9" t="str">
        <f t="shared" si="242"/>
        <v>S/R Sin respuesta</v>
      </c>
      <c r="AG232" s="72">
        <f t="shared" si="243"/>
        <v>0</v>
      </c>
      <c r="AH232" s="72">
        <f t="shared" si="244"/>
        <v>0</v>
      </c>
      <c r="AI232" s="73">
        <f t="shared" si="245"/>
        <v>0</v>
      </c>
      <c r="AJ232" s="73"/>
      <c r="AK232" s="76">
        <f t="shared" si="246"/>
        <v>0</v>
      </c>
      <c r="AL232" s="76">
        <f t="shared" si="247"/>
        <v>0</v>
      </c>
      <c r="AM232" s="76">
        <f t="shared" si="248"/>
        <v>0</v>
      </c>
      <c r="AN232" s="76"/>
      <c r="AO232" s="81" t="e">
        <f t="shared" si="249"/>
        <v>#DIV/0!</v>
      </c>
      <c r="AP232" s="81" t="e">
        <f t="shared" si="250"/>
        <v>#DIV/0!</v>
      </c>
      <c r="AQ232" s="81" t="e">
        <f t="shared" si="251"/>
        <v>#DIV/0!</v>
      </c>
      <c r="AR232" s="3"/>
      <c r="AS232" s="76">
        <f t="shared" si="227"/>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ht="15" x14ac:dyDescent="0.25">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ht="15" x14ac:dyDescent="0.25">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ht="15" x14ac:dyDescent="0.25">
      <c r="A235" s="8" t="s">
        <v>17</v>
      </c>
      <c r="B235" s="9" t="s">
        <v>171</v>
      </c>
      <c r="C235" s="7"/>
      <c r="D235" s="7"/>
      <c r="E235" s="7"/>
      <c r="F235" s="71"/>
      <c r="G235" s="51">
        <f t="shared" ref="G235:G241" si="252">I235+K235</f>
        <v>4</v>
      </c>
      <c r="H235" s="52">
        <f t="shared" ref="H235:H241" si="253">G235/$J$5*100</f>
        <v>10</v>
      </c>
      <c r="I235" s="53">
        <f>COUNTIFS('00 Encuesta'!$B$2:$B$511,"*a)*",'00 Encuesta'!$C$2:$C$511,"*a)*",'00 Encuesta'!$E$2:$E$511,"*a)*",'00 Encuesta'!$AE$2:$AE$511,"*a)*")</f>
        <v>3</v>
      </c>
      <c r="J235" s="52">
        <f t="shared" ref="J235:J241" si="254">I235/$J$6*100</f>
        <v>13.636363636363635</v>
      </c>
      <c r="K235" s="53">
        <f>COUNTIFS('00 Encuesta'!$B$2:$B$511,"*a)*",'00 Encuesta'!$C$2:$C$511,"*a)*",'00 Encuesta'!$E$2:$E$511,"*b)*",'00 Encuesta'!$AE$2:$AE$511,"*a)*")</f>
        <v>1</v>
      </c>
      <c r="L235" s="52">
        <f t="shared" ref="L235:L241" si="255">K235/$J$7*100</f>
        <v>5.5555555555555554</v>
      </c>
      <c r="M235" s="23"/>
      <c r="N235" s="51">
        <f t="shared" ref="N235:N241" si="256">P235+R235</f>
        <v>8</v>
      </c>
      <c r="O235" s="52">
        <f t="shared" ref="O235:O241" si="257">N235/$Q$5*100</f>
        <v>21.052631578947366</v>
      </c>
      <c r="P235" s="53">
        <f>COUNTIFS('00 Encuesta'!$B$2:$B$511,"*a)*",'00 Encuesta'!$C$2:$C$511,"*b)*",'00 Encuesta'!$E$2:$E$511,"*a)*",'00 Encuesta'!$AE$2:$AE$511,"*a)*")</f>
        <v>5</v>
      </c>
      <c r="Q235" s="52">
        <f t="shared" ref="Q235:Q241" si="258">P235/$Q$6*100</f>
        <v>38.461538461538467</v>
      </c>
      <c r="R235" s="53">
        <f>COUNTIFS('00 Encuesta'!$B$2:$B$511,"*a)*",'00 Encuesta'!$C$2:$C$511,"*b)*",'00 Encuesta'!$E$2:$E$511,"*b)*",'00 Encuesta'!$AE$2:$AE$511,"*a)*")</f>
        <v>3</v>
      </c>
      <c r="S235" s="52">
        <f t="shared" ref="S235:S241" si="259">R235/$Q$7*100</f>
        <v>12</v>
      </c>
      <c r="T235" s="3"/>
      <c r="U235" s="51">
        <f t="shared" ref="U235:U241" si="260">W235+Y235</f>
        <v>0</v>
      </c>
      <c r="V235" s="52" t="e">
        <f t="shared" ref="V235:V241" si="261">U235/$X$5*100</f>
        <v>#DIV/0!</v>
      </c>
      <c r="W235" s="53">
        <f>COUNTIFS('00 Encuesta'!$B$2:$B$511,"*a)*",'00 Encuesta'!$C$2:$C$511,"*c)*",'00 Encuesta'!$E$2:$E$511,"*a)*",'00 Encuesta'!$AE$2:$AE$511,"*a)*")</f>
        <v>0</v>
      </c>
      <c r="X235" s="52" t="e">
        <f t="shared" ref="X235:X241" si="262">W235/$X$6*100</f>
        <v>#DIV/0!</v>
      </c>
      <c r="Y235" s="53">
        <f>COUNTIFS('00 Encuesta'!$B$2:$B$511,"*a)*",'00 Encuesta'!$C$2:$C$511,"*c)*",'00 Encuesta'!$E$2:$E$511,"*b)*",'00 Encuesta'!$AE$2:$AE$511,"*a)*")</f>
        <v>0</v>
      </c>
      <c r="Z235" s="52" t="e">
        <f t="shared" ref="Z235:Z241" si="263">Y235/$X$7*100</f>
        <v>#DIV/0!</v>
      </c>
      <c r="AA235" s="3"/>
      <c r="AB235" s="62">
        <f t="shared" ref="AB235:AB241" si="264">G235+N235+U235</f>
        <v>12</v>
      </c>
      <c r="AC235" s="52">
        <f t="shared" ref="AC235:AC241" si="265">AB235*100/$AC$5</f>
        <v>15.384615384615385</v>
      </c>
      <c r="AD235" s="3"/>
      <c r="AE235" s="3"/>
      <c r="AF235" s="9" t="str">
        <f t="shared" ref="AF235:AF241" si="266">A235&amp;" "&amp;B235</f>
        <v>a) Ganar mucho dinero</v>
      </c>
      <c r="AG235" s="72">
        <f t="shared" ref="AG235:AG241" si="267">J235</f>
        <v>13.636363636363635</v>
      </c>
      <c r="AH235" s="72">
        <f t="shared" ref="AH235:AH241" si="268">L235</f>
        <v>5.5555555555555554</v>
      </c>
      <c r="AI235" s="73">
        <f t="shared" ref="AI235:AI241" si="269">H235</f>
        <v>10</v>
      </c>
      <c r="AJ235" s="73"/>
      <c r="AK235" s="76">
        <f t="shared" ref="AK235:AK241" si="270">Q235</f>
        <v>38.461538461538467</v>
      </c>
      <c r="AL235" s="76">
        <f t="shared" ref="AL235:AL241" si="271">S235</f>
        <v>12</v>
      </c>
      <c r="AM235" s="76">
        <f t="shared" ref="AM235:AM241" si="272">O235</f>
        <v>21.052631578947366</v>
      </c>
      <c r="AN235" s="76"/>
      <c r="AO235" s="81" t="e">
        <f t="shared" ref="AO235:AO241" si="273">X235</f>
        <v>#DIV/0!</v>
      </c>
      <c r="AP235" s="81" t="e">
        <f t="shared" ref="AP235:AP241" si="274">Z235</f>
        <v>#DIV/0!</v>
      </c>
      <c r="AQ235" s="81" t="e">
        <f t="shared" ref="AQ235:AQ241" si="275">V235</f>
        <v>#DIV/0!</v>
      </c>
      <c r="AR235" s="3"/>
      <c r="AS235" s="76">
        <f t="shared" si="227"/>
        <v>15.384615384615385</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11</v>
      </c>
      <c r="H236" s="52">
        <f t="shared" si="253"/>
        <v>27.500000000000004</v>
      </c>
      <c r="I236" s="53">
        <f>COUNTIFS('00 Encuesta'!$B$2:$B$511,"*a)*",'00 Encuesta'!$C$2:$C$511,"*a)*",'00 Encuesta'!$E$2:$E$511,"*a)*",'00 Encuesta'!$AE$2:$AE$511,"*b)*")</f>
        <v>5</v>
      </c>
      <c r="J236" s="52">
        <f t="shared" si="254"/>
        <v>22.727272727272727</v>
      </c>
      <c r="K236" s="53">
        <f>COUNTIFS('00 Encuesta'!$B$2:$B$511,"*a)*",'00 Encuesta'!$C$2:$C$511,"*a)*",'00 Encuesta'!$E$2:$E$511,"*b)*",'00 Encuesta'!$AE$2:$AE$511,"*b)*")</f>
        <v>6</v>
      </c>
      <c r="L236" s="52">
        <f t="shared" si="255"/>
        <v>33.333333333333329</v>
      </c>
      <c r="M236" s="23"/>
      <c r="N236" s="51">
        <f t="shared" si="256"/>
        <v>5</v>
      </c>
      <c r="O236" s="52">
        <f t="shared" si="257"/>
        <v>13.157894736842104</v>
      </c>
      <c r="P236" s="53">
        <f>COUNTIFS('00 Encuesta'!$B$2:$B$511,"*a)*",'00 Encuesta'!$C$2:$C$511,"*b)*",'00 Encuesta'!$E$2:$E$511,"*a)*",'00 Encuesta'!$AE$2:$AE$511,"*b)*")</f>
        <v>2</v>
      </c>
      <c r="Q236" s="52">
        <f t="shared" si="258"/>
        <v>15.384615384615385</v>
      </c>
      <c r="R236" s="53">
        <f>COUNTIFS('00 Encuesta'!$B$2:$B$511,"*a)*",'00 Encuesta'!$C$2:$C$511,"*b)*",'00 Encuesta'!$E$2:$E$511,"*b)*",'00 Encuesta'!$AE$2:$AE$511,"*b)*")</f>
        <v>3</v>
      </c>
      <c r="S236" s="52">
        <f t="shared" si="259"/>
        <v>12</v>
      </c>
      <c r="T236" s="3"/>
      <c r="U236" s="51">
        <f t="shared" si="260"/>
        <v>0</v>
      </c>
      <c r="V236" s="52" t="e">
        <f t="shared" si="261"/>
        <v>#DIV/0!</v>
      </c>
      <c r="W236" s="53">
        <f>COUNTIFS('00 Encuesta'!$B$2:$B$511,"*a)*",'00 Encuesta'!$C$2:$C$511,"*c)*",'00 Encuesta'!$E$2:$E$511,"*a)*",'00 Encuesta'!$AE$2:$AE$511,"*b)*")</f>
        <v>0</v>
      </c>
      <c r="X236" s="52" t="e">
        <f t="shared" si="262"/>
        <v>#DIV/0!</v>
      </c>
      <c r="Y236" s="53">
        <f>COUNTIFS('00 Encuesta'!$B$2:$B$511,"*a)*",'00 Encuesta'!$C$2:$C$511,"*c)*",'00 Encuesta'!$E$2:$E$511,"*b)*",'00 Encuesta'!$AE$2:$AE$511,"*b)*")</f>
        <v>0</v>
      </c>
      <c r="Z236" s="52" t="e">
        <f t="shared" si="263"/>
        <v>#DIV/0!</v>
      </c>
      <c r="AA236" s="3"/>
      <c r="AB236" s="62">
        <f t="shared" si="264"/>
        <v>16</v>
      </c>
      <c r="AC236" s="52">
        <f t="shared" si="265"/>
        <v>20.512820512820515</v>
      </c>
      <c r="AD236" s="3"/>
      <c r="AE236" s="3"/>
      <c r="AF236" s="9" t="str">
        <f t="shared" si="266"/>
        <v>b) Tener una buena posición social, ser importante</v>
      </c>
      <c r="AG236" s="72">
        <f t="shared" si="267"/>
        <v>22.727272727272727</v>
      </c>
      <c r="AH236" s="72">
        <f t="shared" si="268"/>
        <v>33.333333333333329</v>
      </c>
      <c r="AI236" s="73">
        <f t="shared" si="269"/>
        <v>27.500000000000004</v>
      </c>
      <c r="AJ236" s="73"/>
      <c r="AK236" s="76">
        <f t="shared" si="270"/>
        <v>15.384615384615385</v>
      </c>
      <c r="AL236" s="76">
        <f t="shared" si="271"/>
        <v>12</v>
      </c>
      <c r="AM236" s="76">
        <f t="shared" si="272"/>
        <v>13.157894736842104</v>
      </c>
      <c r="AN236" s="76"/>
      <c r="AO236" s="81" t="e">
        <f t="shared" si="273"/>
        <v>#DIV/0!</v>
      </c>
      <c r="AP236" s="81" t="e">
        <f t="shared" si="274"/>
        <v>#DIV/0!</v>
      </c>
      <c r="AQ236" s="81" t="e">
        <f t="shared" si="275"/>
        <v>#DIV/0!</v>
      </c>
      <c r="AR236" s="3"/>
      <c r="AS236" s="76">
        <f t="shared" si="227"/>
        <v>20.512820512820515</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ht="15" x14ac:dyDescent="0.25">
      <c r="A237" s="8" t="s">
        <v>20</v>
      </c>
      <c r="B237" s="9" t="s">
        <v>173</v>
      </c>
      <c r="C237" s="7"/>
      <c r="D237" s="7"/>
      <c r="E237" s="7"/>
      <c r="F237" s="71"/>
      <c r="G237" s="51">
        <f t="shared" si="252"/>
        <v>12</v>
      </c>
      <c r="H237" s="52">
        <f t="shared" si="253"/>
        <v>30</v>
      </c>
      <c r="I237" s="53">
        <f>COUNTIFS('00 Encuesta'!$B$2:$B$511,"*a)*",'00 Encuesta'!$C$2:$C$511,"*a)*",'00 Encuesta'!$E$2:$E$511,"*a)*",'00 Encuesta'!$AE$2:$AE$511,"*c)*")</f>
        <v>5</v>
      </c>
      <c r="J237" s="52">
        <f t="shared" si="254"/>
        <v>22.727272727272727</v>
      </c>
      <c r="K237" s="53">
        <f>COUNTIFS('00 Encuesta'!$B$2:$B$511,"*a)*",'00 Encuesta'!$C$2:$C$511,"*a)*",'00 Encuesta'!$E$2:$E$511,"*b)*",'00 Encuesta'!$AE$2:$AE$511,"*c)*")</f>
        <v>7</v>
      </c>
      <c r="L237" s="52">
        <f t="shared" si="255"/>
        <v>38.888888888888893</v>
      </c>
      <c r="M237" s="23"/>
      <c r="N237" s="51">
        <f t="shared" si="256"/>
        <v>12</v>
      </c>
      <c r="O237" s="52">
        <f t="shared" si="257"/>
        <v>31.578947368421051</v>
      </c>
      <c r="P237" s="53">
        <f>COUNTIFS('00 Encuesta'!$B$2:$B$511,"*a)*",'00 Encuesta'!$C$2:$C$511,"*b)*",'00 Encuesta'!$E$2:$E$511,"*a)*",'00 Encuesta'!$AE$2:$AE$511,"*c)*")</f>
        <v>3</v>
      </c>
      <c r="Q237" s="52">
        <f t="shared" si="258"/>
        <v>23.076923076923077</v>
      </c>
      <c r="R237" s="53">
        <f>COUNTIFS('00 Encuesta'!$B$2:$B$511,"*a)*",'00 Encuesta'!$C$2:$C$511,"*b)*",'00 Encuesta'!$E$2:$E$511,"*b)*",'00 Encuesta'!$AE$2:$AE$511,"*c)*")</f>
        <v>9</v>
      </c>
      <c r="S237" s="52">
        <f t="shared" si="259"/>
        <v>36</v>
      </c>
      <c r="T237" s="3"/>
      <c r="U237" s="51">
        <f t="shared" si="260"/>
        <v>0</v>
      </c>
      <c r="V237" s="52" t="e">
        <f t="shared" si="261"/>
        <v>#DIV/0!</v>
      </c>
      <c r="W237" s="53">
        <f>COUNTIFS('00 Encuesta'!$B$2:$B$511,"*a)*",'00 Encuesta'!$C$2:$C$511,"*c)*",'00 Encuesta'!$E$2:$E$511,"*a)*",'00 Encuesta'!$AE$2:$AE$511,"*c)*")</f>
        <v>0</v>
      </c>
      <c r="X237" s="52" t="e">
        <f t="shared" si="262"/>
        <v>#DIV/0!</v>
      </c>
      <c r="Y237" s="53">
        <f>COUNTIFS('00 Encuesta'!$B$2:$B$511,"*a)*",'00 Encuesta'!$C$2:$C$511,"*c)*",'00 Encuesta'!$E$2:$E$511,"*b)*",'00 Encuesta'!$AE$2:$AE$511,"*c)*")</f>
        <v>0</v>
      </c>
      <c r="Z237" s="52" t="e">
        <f t="shared" si="263"/>
        <v>#DIV/0!</v>
      </c>
      <c r="AA237" s="3"/>
      <c r="AB237" s="62">
        <f t="shared" si="264"/>
        <v>24</v>
      </c>
      <c r="AC237" s="52">
        <f t="shared" si="265"/>
        <v>30.76923076923077</v>
      </c>
      <c r="AD237" s="3"/>
      <c r="AE237" s="3"/>
      <c r="AF237" s="9" t="str">
        <f t="shared" si="266"/>
        <v>c) Ser un excelente profesional</v>
      </c>
      <c r="AG237" s="72">
        <f t="shared" si="267"/>
        <v>22.727272727272727</v>
      </c>
      <c r="AH237" s="72">
        <f t="shared" si="268"/>
        <v>38.888888888888893</v>
      </c>
      <c r="AI237" s="73">
        <f t="shared" si="269"/>
        <v>30</v>
      </c>
      <c r="AJ237" s="73"/>
      <c r="AK237" s="76">
        <f t="shared" si="270"/>
        <v>23.076923076923077</v>
      </c>
      <c r="AL237" s="76">
        <f t="shared" si="271"/>
        <v>36</v>
      </c>
      <c r="AM237" s="76">
        <f t="shared" si="272"/>
        <v>31.578947368421051</v>
      </c>
      <c r="AN237" s="76"/>
      <c r="AO237" s="81" t="e">
        <f t="shared" si="273"/>
        <v>#DIV/0!</v>
      </c>
      <c r="AP237" s="81" t="e">
        <f t="shared" si="274"/>
        <v>#DIV/0!</v>
      </c>
      <c r="AQ237" s="81" t="e">
        <f t="shared" si="275"/>
        <v>#DIV/0!</v>
      </c>
      <c r="AR237" s="3"/>
      <c r="AS237" s="76">
        <f t="shared" si="227"/>
        <v>30.76923076923077</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ht="15" x14ac:dyDescent="0.25">
      <c r="A238" s="8" t="s">
        <v>21</v>
      </c>
      <c r="B238" s="9" t="s">
        <v>174</v>
      </c>
      <c r="C238" s="7"/>
      <c r="D238" s="7"/>
      <c r="E238" s="7"/>
      <c r="F238" s="71"/>
      <c r="G238" s="51">
        <f t="shared" si="252"/>
        <v>2</v>
      </c>
      <c r="H238" s="52">
        <f t="shared" si="253"/>
        <v>5</v>
      </c>
      <c r="I238" s="53">
        <f>COUNTIFS('00 Encuesta'!$B$2:$B$511,"*a)*",'00 Encuesta'!$C$2:$C$511,"*a)*",'00 Encuesta'!$E$2:$E$511,"*a)*",'00 Encuesta'!$AE$2:$AE$511,"*d)*")</f>
        <v>0</v>
      </c>
      <c r="J238" s="52">
        <f t="shared" si="254"/>
        <v>0</v>
      </c>
      <c r="K238" s="53">
        <f>COUNTIFS('00 Encuesta'!$B$2:$B$511,"*a)*",'00 Encuesta'!$C$2:$C$511,"*a)*",'00 Encuesta'!$E$2:$E$511,"*b)*",'00 Encuesta'!$AE$2:$AE$511,"*d)*")</f>
        <v>2</v>
      </c>
      <c r="L238" s="52">
        <f t="shared" si="255"/>
        <v>11.111111111111111</v>
      </c>
      <c r="M238" s="23"/>
      <c r="N238" s="51">
        <f t="shared" si="256"/>
        <v>9</v>
      </c>
      <c r="O238" s="52">
        <f t="shared" si="257"/>
        <v>23.684210526315788</v>
      </c>
      <c r="P238" s="53">
        <f>COUNTIFS('00 Encuesta'!$B$2:$B$511,"*a)*",'00 Encuesta'!$C$2:$C$511,"*b)*",'00 Encuesta'!$E$2:$E$511,"*a)*",'00 Encuesta'!$AE$2:$AE$511,"*d)*")</f>
        <v>2</v>
      </c>
      <c r="Q238" s="52">
        <f t="shared" si="258"/>
        <v>15.384615384615385</v>
      </c>
      <c r="R238" s="53">
        <f>COUNTIFS('00 Encuesta'!$B$2:$B$511,"*a)*",'00 Encuesta'!$C$2:$C$511,"*b)*",'00 Encuesta'!$E$2:$E$511,"*b)*",'00 Encuesta'!$AE$2:$AE$511,"*d)*")</f>
        <v>7</v>
      </c>
      <c r="S238" s="52">
        <f t="shared" si="259"/>
        <v>28.000000000000004</v>
      </c>
      <c r="T238" s="3"/>
      <c r="U238" s="51">
        <f t="shared" si="260"/>
        <v>0</v>
      </c>
      <c r="V238" s="52" t="e">
        <f t="shared" si="261"/>
        <v>#DIV/0!</v>
      </c>
      <c r="W238" s="53">
        <f>COUNTIFS('00 Encuesta'!$B$2:$B$511,"*a)*",'00 Encuesta'!$C$2:$C$511,"*c)*",'00 Encuesta'!$E$2:$E$511,"*a)*",'00 Encuesta'!$AE$2:$AE$511,"*d)*")</f>
        <v>0</v>
      </c>
      <c r="X238" s="52" t="e">
        <f t="shared" si="262"/>
        <v>#DIV/0!</v>
      </c>
      <c r="Y238" s="53">
        <f>COUNTIFS('00 Encuesta'!$B$2:$B$511,"*a)*",'00 Encuesta'!$C$2:$C$511,"*c)*",'00 Encuesta'!$E$2:$E$511,"*b)*",'00 Encuesta'!$AE$2:$AE$511,"*d)*")</f>
        <v>0</v>
      </c>
      <c r="Z238" s="52" t="e">
        <f t="shared" si="263"/>
        <v>#DIV/0!</v>
      </c>
      <c r="AA238" s="3"/>
      <c r="AB238" s="62">
        <f t="shared" si="264"/>
        <v>11</v>
      </c>
      <c r="AC238" s="52">
        <f t="shared" si="265"/>
        <v>14.102564102564102</v>
      </c>
      <c r="AD238" s="3"/>
      <c r="AE238" s="3"/>
      <c r="AF238" s="9" t="str">
        <f t="shared" si="266"/>
        <v>d) Desarrollarme personalmente</v>
      </c>
      <c r="AG238" s="72">
        <f t="shared" si="267"/>
        <v>0</v>
      </c>
      <c r="AH238" s="72">
        <f t="shared" si="268"/>
        <v>11.111111111111111</v>
      </c>
      <c r="AI238" s="73">
        <f t="shared" si="269"/>
        <v>5</v>
      </c>
      <c r="AJ238" s="73"/>
      <c r="AK238" s="76">
        <f t="shared" si="270"/>
        <v>15.384615384615385</v>
      </c>
      <c r="AL238" s="76">
        <f t="shared" si="271"/>
        <v>28.000000000000004</v>
      </c>
      <c r="AM238" s="76">
        <f t="shared" si="272"/>
        <v>23.684210526315788</v>
      </c>
      <c r="AN238" s="76"/>
      <c r="AO238" s="81" t="e">
        <f t="shared" si="273"/>
        <v>#DIV/0!</v>
      </c>
      <c r="AP238" s="81" t="e">
        <f t="shared" si="274"/>
        <v>#DIV/0!</v>
      </c>
      <c r="AQ238" s="81" t="e">
        <f t="shared" si="275"/>
        <v>#DIV/0!</v>
      </c>
      <c r="AR238" s="3"/>
      <c r="AS238" s="76">
        <f t="shared" si="227"/>
        <v>14.102564102564102</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10</v>
      </c>
      <c r="H239" s="52">
        <f t="shared" si="253"/>
        <v>25</v>
      </c>
      <c r="I239" s="53">
        <f>COUNTIFS('00 Encuesta'!$B$2:$B$511,"*a)*",'00 Encuesta'!$C$2:$C$511,"*a)*",'00 Encuesta'!$E$2:$E$511,"*a)*",'00 Encuesta'!$AE$2:$AE$511,"*e)*")</f>
        <v>8</v>
      </c>
      <c r="J239" s="52">
        <f t="shared" si="254"/>
        <v>36.363636363636367</v>
      </c>
      <c r="K239" s="53">
        <f>COUNTIFS('00 Encuesta'!$B$2:$B$511,"*a)*",'00 Encuesta'!$C$2:$C$511,"*a)*",'00 Encuesta'!$E$2:$E$511,"*b)*",'00 Encuesta'!$AE$2:$AE$511,"*e)*")</f>
        <v>2</v>
      </c>
      <c r="L239" s="52">
        <f t="shared" si="255"/>
        <v>11.111111111111111</v>
      </c>
      <c r="M239" s="23"/>
      <c r="N239" s="51">
        <f t="shared" si="256"/>
        <v>3</v>
      </c>
      <c r="O239" s="52">
        <f t="shared" si="257"/>
        <v>7.8947368421052628</v>
      </c>
      <c r="P239" s="53">
        <f>COUNTIFS('00 Encuesta'!$B$2:$B$511,"*a)*",'00 Encuesta'!$C$2:$C$511,"*b)*",'00 Encuesta'!$E$2:$E$511,"*a)*",'00 Encuesta'!$AE$2:$AE$511,"*e)*")</f>
        <v>1</v>
      </c>
      <c r="Q239" s="52">
        <f t="shared" si="258"/>
        <v>7.6923076923076925</v>
      </c>
      <c r="R239" s="53">
        <f>COUNTIFS('00 Encuesta'!$B$2:$B$511,"*a)*",'00 Encuesta'!$C$2:$C$511,"*b)*",'00 Encuesta'!$E$2:$E$511,"*b)*",'00 Encuesta'!$AE$2:$AE$511,"*e)*")</f>
        <v>2</v>
      </c>
      <c r="S239" s="52">
        <f t="shared" si="259"/>
        <v>8</v>
      </c>
      <c r="T239" s="3"/>
      <c r="U239" s="51">
        <f t="shared" si="260"/>
        <v>0</v>
      </c>
      <c r="V239" s="52" t="e">
        <f t="shared" si="261"/>
        <v>#DIV/0!</v>
      </c>
      <c r="W239" s="53">
        <f>COUNTIFS('00 Encuesta'!$B$2:$B$511,"*a)*",'00 Encuesta'!$C$2:$C$511,"*c)*",'00 Encuesta'!$E$2:$E$511,"*a)*",'00 Encuesta'!$AE$2:$AE$511,"*e)*")</f>
        <v>0</v>
      </c>
      <c r="X239" s="52" t="e">
        <f t="shared" si="262"/>
        <v>#DIV/0!</v>
      </c>
      <c r="Y239" s="53">
        <f>COUNTIFS('00 Encuesta'!$B$2:$B$511,"*a)*",'00 Encuesta'!$C$2:$C$511,"*c)*",'00 Encuesta'!$E$2:$E$511,"*b)*",'00 Encuesta'!$AE$2:$AE$511,"*e)*")</f>
        <v>0</v>
      </c>
      <c r="Z239" s="52" t="e">
        <f t="shared" si="263"/>
        <v>#DIV/0!</v>
      </c>
      <c r="AA239" s="3"/>
      <c r="AB239" s="62">
        <f t="shared" si="264"/>
        <v>13</v>
      </c>
      <c r="AC239" s="52">
        <f t="shared" si="265"/>
        <v>16.666666666666668</v>
      </c>
      <c r="AD239" s="3"/>
      <c r="AE239" s="3"/>
      <c r="AF239" s="9" t="str">
        <f t="shared" si="266"/>
        <v>e) Servir a los demás</v>
      </c>
      <c r="AG239" s="72">
        <f t="shared" si="267"/>
        <v>36.363636363636367</v>
      </c>
      <c r="AH239" s="72">
        <f t="shared" si="268"/>
        <v>11.111111111111111</v>
      </c>
      <c r="AI239" s="73">
        <f t="shared" si="269"/>
        <v>25</v>
      </c>
      <c r="AJ239" s="73"/>
      <c r="AK239" s="76">
        <f t="shared" si="270"/>
        <v>7.6923076923076925</v>
      </c>
      <c r="AL239" s="76">
        <f t="shared" si="271"/>
        <v>8</v>
      </c>
      <c r="AM239" s="76">
        <f t="shared" si="272"/>
        <v>7.8947368421052628</v>
      </c>
      <c r="AN239" s="76"/>
      <c r="AO239" s="81" t="e">
        <f t="shared" si="273"/>
        <v>#DIV/0!</v>
      </c>
      <c r="AP239" s="81" t="e">
        <f t="shared" si="274"/>
        <v>#DIV/0!</v>
      </c>
      <c r="AQ239" s="81" t="e">
        <f t="shared" si="275"/>
        <v>#DIV/0!</v>
      </c>
      <c r="AR239" s="3"/>
      <c r="AS239" s="76">
        <f t="shared" si="227"/>
        <v>16.666666666666668</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ht="15" x14ac:dyDescent="0.25">
      <c r="A240" s="8" t="s">
        <v>45</v>
      </c>
      <c r="B240" s="9" t="s">
        <v>176</v>
      </c>
      <c r="C240" s="7"/>
      <c r="D240" s="7"/>
      <c r="E240" s="7"/>
      <c r="F240" s="71"/>
      <c r="G240" s="51">
        <f t="shared" si="252"/>
        <v>0</v>
      </c>
      <c r="H240" s="52">
        <f t="shared" si="253"/>
        <v>0</v>
      </c>
      <c r="I240" s="53">
        <f>COUNTIFS('00 Encuesta'!$B$2:$B$511,"*a)*",'00 Encuesta'!$C$2:$C$511,"*a)*",'00 Encuesta'!$E$2:$E$511,"*a)*",'00 Encuesta'!$AE$2:$AE$511,"*f)*")</f>
        <v>0</v>
      </c>
      <c r="J240" s="52">
        <f t="shared" si="254"/>
        <v>0</v>
      </c>
      <c r="K240" s="53">
        <f>COUNTIFS('00 Encuesta'!$B$2:$B$511,"*a)*",'00 Encuesta'!$C$2:$C$511,"*a)*",'00 Encuesta'!$E$2:$E$511,"*b)*",'00 Encuesta'!$AE$2:$AE$511,"*f)*")</f>
        <v>0</v>
      </c>
      <c r="L240" s="52">
        <f t="shared" si="255"/>
        <v>0</v>
      </c>
      <c r="M240" s="23"/>
      <c r="N240" s="51">
        <f t="shared" si="256"/>
        <v>0</v>
      </c>
      <c r="O240" s="52">
        <f t="shared" si="257"/>
        <v>0</v>
      </c>
      <c r="P240" s="53">
        <f>COUNTIFS('00 Encuesta'!$B$2:$B$511,"*a)*",'00 Encuesta'!$C$2:$C$511,"*b)*",'00 Encuesta'!$E$2:$E$511,"*a)*",'00 Encuesta'!$AE$2:$AE$511,"*f)*")</f>
        <v>0</v>
      </c>
      <c r="Q240" s="52">
        <f t="shared" si="258"/>
        <v>0</v>
      </c>
      <c r="R240" s="53">
        <f>COUNTIFS('00 Encuesta'!$B$2:$B$511,"*a)*",'00 Encuesta'!$C$2:$C$511,"*b)*",'00 Encuesta'!$E$2:$E$511,"*b)*",'00 Encuesta'!$AE$2:$AE$511,"*f)*")</f>
        <v>0</v>
      </c>
      <c r="S240" s="52">
        <f t="shared" si="259"/>
        <v>0</v>
      </c>
      <c r="T240" s="3"/>
      <c r="U240" s="51">
        <f t="shared" si="260"/>
        <v>0</v>
      </c>
      <c r="V240" s="52" t="e">
        <f t="shared" si="261"/>
        <v>#DIV/0!</v>
      </c>
      <c r="W240" s="53">
        <f>COUNTIFS('00 Encuesta'!$B$2:$B$511,"*a)*",'00 Encuesta'!$C$2:$C$511,"*c)*",'00 Encuesta'!$E$2:$E$511,"*a)*",'00 Encuesta'!$AE$2:$AE$511,"*f)*")</f>
        <v>0</v>
      </c>
      <c r="X240" s="52" t="e">
        <f t="shared" si="262"/>
        <v>#DIV/0!</v>
      </c>
      <c r="Y240" s="53">
        <f>COUNTIFS('00 Encuesta'!$B$2:$B$511,"*a)*",'00 Encuesta'!$C$2:$C$511,"*c)*",'00 Encuesta'!$E$2:$E$511,"*b)*",'00 Encuesta'!$AE$2:$AE$511,"*f)*")</f>
        <v>0</v>
      </c>
      <c r="Z240" s="52" t="e">
        <f t="shared" si="263"/>
        <v>#DIV/0!</v>
      </c>
      <c r="AA240" s="3"/>
      <c r="AB240" s="62">
        <f t="shared" si="264"/>
        <v>0</v>
      </c>
      <c r="AC240" s="52">
        <f t="shared" si="265"/>
        <v>0</v>
      </c>
      <c r="AD240" s="3"/>
      <c r="AE240" s="3"/>
      <c r="AF240" s="9" t="str">
        <f t="shared" si="266"/>
        <v>f) Ejecutar una tarea conforme a mi fe</v>
      </c>
      <c r="AG240" s="72">
        <f t="shared" si="267"/>
        <v>0</v>
      </c>
      <c r="AH240" s="72">
        <f t="shared" si="268"/>
        <v>0</v>
      </c>
      <c r="AI240" s="73">
        <f t="shared" si="269"/>
        <v>0</v>
      </c>
      <c r="AJ240" s="73"/>
      <c r="AK240" s="76">
        <f t="shared" si="270"/>
        <v>0</v>
      </c>
      <c r="AL240" s="76">
        <f t="shared" si="271"/>
        <v>0</v>
      </c>
      <c r="AM240" s="76">
        <f t="shared" si="272"/>
        <v>0</v>
      </c>
      <c r="AN240" s="76"/>
      <c r="AO240" s="81" t="e">
        <f t="shared" si="273"/>
        <v>#DIV/0!</v>
      </c>
      <c r="AP240" s="81" t="e">
        <f t="shared" si="274"/>
        <v>#DIV/0!</v>
      </c>
      <c r="AQ240" s="81" t="e">
        <f t="shared" si="275"/>
        <v>#DIV/0!</v>
      </c>
      <c r="AR240" s="3"/>
      <c r="AS240" s="76">
        <f t="shared" si="227"/>
        <v>0</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ht="15" x14ac:dyDescent="0.25">
      <c r="A241" s="8" t="s">
        <v>23</v>
      </c>
      <c r="B241" s="9" t="s">
        <v>24</v>
      </c>
      <c r="C241" s="7"/>
      <c r="D241" s="7"/>
      <c r="E241" s="7"/>
      <c r="F241" s="71"/>
      <c r="G241" s="51">
        <f t="shared" si="252"/>
        <v>0</v>
      </c>
      <c r="H241" s="52">
        <f t="shared" si="253"/>
        <v>0</v>
      </c>
      <c r="I241" s="53"/>
      <c r="J241" s="52">
        <f t="shared" si="254"/>
        <v>0</v>
      </c>
      <c r="K241" s="53"/>
      <c r="L241" s="52">
        <f t="shared" si="255"/>
        <v>0</v>
      </c>
      <c r="M241" s="23"/>
      <c r="N241" s="51">
        <f t="shared" si="256"/>
        <v>0</v>
      </c>
      <c r="O241" s="52">
        <f t="shared" si="257"/>
        <v>0</v>
      </c>
      <c r="P241" s="53"/>
      <c r="Q241" s="52">
        <f t="shared" si="258"/>
        <v>0</v>
      </c>
      <c r="R241" s="53"/>
      <c r="S241" s="52">
        <f t="shared" si="259"/>
        <v>0</v>
      </c>
      <c r="T241" s="3"/>
      <c r="U241" s="51">
        <f t="shared" si="260"/>
        <v>0</v>
      </c>
      <c r="V241" s="52" t="e">
        <f t="shared" si="261"/>
        <v>#DIV/0!</v>
      </c>
      <c r="W241" s="53"/>
      <c r="X241" s="52" t="e">
        <f t="shared" si="262"/>
        <v>#DIV/0!</v>
      </c>
      <c r="Y241" s="53"/>
      <c r="Z241" s="52" t="e">
        <f t="shared" si="263"/>
        <v>#DIV/0!</v>
      </c>
      <c r="AA241" s="3"/>
      <c r="AB241" s="62">
        <f t="shared" si="264"/>
        <v>0</v>
      </c>
      <c r="AC241" s="52">
        <f t="shared" si="265"/>
        <v>0</v>
      </c>
      <c r="AD241" s="3"/>
      <c r="AE241" s="3"/>
      <c r="AF241" s="9" t="str">
        <f t="shared" si="266"/>
        <v>S/R Sin Respuesta</v>
      </c>
      <c r="AG241" s="72">
        <f t="shared" si="267"/>
        <v>0</v>
      </c>
      <c r="AH241" s="72">
        <f t="shared" si="268"/>
        <v>0</v>
      </c>
      <c r="AI241" s="73">
        <f t="shared" si="269"/>
        <v>0</v>
      </c>
      <c r="AJ241" s="73"/>
      <c r="AK241" s="76">
        <f t="shared" si="270"/>
        <v>0</v>
      </c>
      <c r="AL241" s="76">
        <f t="shared" si="271"/>
        <v>0</v>
      </c>
      <c r="AM241" s="76">
        <f t="shared" si="272"/>
        <v>0</v>
      </c>
      <c r="AN241" s="76"/>
      <c r="AO241" s="81" t="e">
        <f t="shared" si="273"/>
        <v>#DIV/0!</v>
      </c>
      <c r="AP241" s="81" t="e">
        <f t="shared" si="274"/>
        <v>#DIV/0!</v>
      </c>
      <c r="AQ241" s="81" t="e">
        <f t="shared" si="275"/>
        <v>#DIV/0!</v>
      </c>
      <c r="AR241" s="3"/>
      <c r="AS241" s="76">
        <f t="shared" si="227"/>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ht="15.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ht="15" x14ac:dyDescent="0.25">
      <c r="A244" s="8" t="s">
        <v>17</v>
      </c>
      <c r="B244" s="9" t="s">
        <v>178</v>
      </c>
      <c r="C244" s="7"/>
      <c r="D244" s="7"/>
      <c r="E244" s="7"/>
      <c r="F244" s="71">
        <v>0</v>
      </c>
      <c r="G244" s="51">
        <f t="shared" ref="G244:G249" si="276">I244+K244</f>
        <v>6</v>
      </c>
      <c r="H244" s="52">
        <f t="shared" ref="H244:H249" si="277">G244/$J$5*100</f>
        <v>15</v>
      </c>
      <c r="I244" s="53">
        <f>COUNTIFS('00 Encuesta'!$B$2:$B$511,"*a)*",'00 Encuesta'!$C$2:$C$511,"*a)*",'00 Encuesta'!$E$2:$E$511,"*a)*",'00 Encuesta'!$AF$2:$AF$511,"*a)*")</f>
        <v>4</v>
      </c>
      <c r="J244" s="52">
        <f t="shared" ref="J244:J249" si="278">I244/$J$6*100</f>
        <v>18.181818181818183</v>
      </c>
      <c r="K244" s="53">
        <f>COUNTIFS('00 Encuesta'!$B$2:$B$511,"*a)*",'00 Encuesta'!$C$2:$C$511,"*a)*",'00 Encuesta'!$E$2:$E$511,"*b)*",'00 Encuesta'!$AF$2:$AF$511,"*a)*")</f>
        <v>2</v>
      </c>
      <c r="L244" s="52">
        <f>K244/$J$7*100</f>
        <v>11.111111111111111</v>
      </c>
      <c r="M244" s="23"/>
      <c r="N244" s="51">
        <f>P244+R244</f>
        <v>2</v>
      </c>
      <c r="O244" s="52">
        <f>N244/$Q$5*100</f>
        <v>5.2631578947368416</v>
      </c>
      <c r="P244" s="53">
        <f>COUNTIFS('00 Encuesta'!$B$2:$B$511,"*a)*",'00 Encuesta'!$C$2:$C$511,"*b)*",'00 Encuesta'!$E$2:$E$511,"*a)*",'00 Encuesta'!$AF$2:$AF$511,"*a)*")</f>
        <v>0</v>
      </c>
      <c r="Q244" s="52">
        <f>P244/$Q$6*100</f>
        <v>0</v>
      </c>
      <c r="R244" s="53">
        <f>COUNTIFS('00 Encuesta'!$B$2:$B$511,"*a)*",'00 Encuesta'!$C$2:$C$511,"*b)*",'00 Encuesta'!$E$2:$E$511,"*b)*",'00 Encuesta'!$AF$2:$AF$511,"*a)*")</f>
        <v>2</v>
      </c>
      <c r="S244" s="52">
        <f>R244/$Q$7*100</f>
        <v>8</v>
      </c>
      <c r="T244" s="3"/>
      <c r="U244" s="51">
        <f>W244+Y244</f>
        <v>0</v>
      </c>
      <c r="V244" s="52" t="e">
        <f>U244/$X$5*100</f>
        <v>#DIV/0!</v>
      </c>
      <c r="W244" s="53">
        <f>COUNTIFS('00 Encuesta'!$B$2:$B$511,"*a)*",'00 Encuesta'!$C$2:$C$511,"*c)*",'00 Encuesta'!$E$2:$E$511,"*a)*",'00 Encuesta'!$AF$2:$AF$511,"*a)*")</f>
        <v>0</v>
      </c>
      <c r="X244" s="52" t="e">
        <f>W244/$X$6*100</f>
        <v>#DIV/0!</v>
      </c>
      <c r="Y244" s="53">
        <f>COUNTIFS('00 Encuesta'!$B$2:$B$511,"*a)*",'00 Encuesta'!$C$2:$C$511,"*c)*",'00 Encuesta'!$E$2:$E$511,"*b)*",'00 Encuesta'!$AF$2:$AF$511,"*a)*")</f>
        <v>0</v>
      </c>
      <c r="Z244" s="52" t="e">
        <f t="shared" ref="Z244:Z249" si="279">Y244/$X$7*100</f>
        <v>#DIV/0!</v>
      </c>
      <c r="AA244" s="3"/>
      <c r="AB244" s="62">
        <f t="shared" ref="AB244:AB249" si="280">G244+N244+U244</f>
        <v>8</v>
      </c>
      <c r="AC244" s="52">
        <f t="shared" ref="AC244:AC249" si="281">AB244*100/$AC$5</f>
        <v>10.256410256410257</v>
      </c>
      <c r="AD244" s="3"/>
      <c r="AE244" s="3"/>
      <c r="AF244" s="9" t="str">
        <f t="shared" ref="AF244:AF249" si="282">A244&amp;" "&amp;B244</f>
        <v>a) No, en absoluto</v>
      </c>
      <c r="AG244" s="72">
        <f t="shared" ref="AG244:AG249" si="283">J244</f>
        <v>18.181818181818183</v>
      </c>
      <c r="AH244" s="72">
        <f t="shared" ref="AH244:AH249" si="284">L244</f>
        <v>11.111111111111111</v>
      </c>
      <c r="AI244" s="73">
        <f t="shared" ref="AI244:AI249" si="285">H244</f>
        <v>15</v>
      </c>
      <c r="AJ244" s="73"/>
      <c r="AK244" s="76">
        <f t="shared" ref="AK244:AK249" si="286">Q244</f>
        <v>0</v>
      </c>
      <c r="AL244" s="76">
        <f t="shared" ref="AL244:AL249" si="287">S244</f>
        <v>8</v>
      </c>
      <c r="AM244" s="76">
        <f t="shared" ref="AM244:AM249" si="288">O244</f>
        <v>5.2631578947368416</v>
      </c>
      <c r="AN244" s="76"/>
      <c r="AO244" s="81" t="e">
        <f t="shared" ref="AO244:AO249" si="289">X244</f>
        <v>#DIV/0!</v>
      </c>
      <c r="AP244" s="81" t="e">
        <f t="shared" ref="AP244:AP249" si="290">Z244</f>
        <v>#DIV/0!</v>
      </c>
      <c r="AQ244" s="81" t="e">
        <f t="shared" ref="AQ244:AQ249" si="291">V244</f>
        <v>#DIV/0!</v>
      </c>
      <c r="AR244" s="3"/>
      <c r="AS244" s="76">
        <f t="shared" si="227"/>
        <v>10.256410256410257</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ht="15" x14ac:dyDescent="0.25">
      <c r="A245" s="8" t="s">
        <v>18</v>
      </c>
      <c r="B245" s="9" t="s">
        <v>104</v>
      </c>
      <c r="C245" s="7"/>
      <c r="D245" s="7"/>
      <c r="E245" s="7"/>
      <c r="F245" s="71">
        <v>33.33</v>
      </c>
      <c r="G245" s="51">
        <f t="shared" si="276"/>
        <v>22</v>
      </c>
      <c r="H245" s="52">
        <f t="shared" si="277"/>
        <v>55.000000000000007</v>
      </c>
      <c r="I245" s="53">
        <f>COUNTIFS('00 Encuesta'!$B$2:$B$511,"*a)*",'00 Encuesta'!$C$2:$C$511,"*a)*",'00 Encuesta'!$E$2:$E$511,"*a)*",'00 Encuesta'!$AF$2:$AF$511,"*b)*")</f>
        <v>8</v>
      </c>
      <c r="J245" s="52">
        <f t="shared" si="278"/>
        <v>36.363636363636367</v>
      </c>
      <c r="K245" s="53">
        <f>COUNTIFS('00 Encuesta'!$B$2:$B$511,"*a)*",'00 Encuesta'!$C$2:$C$511,"*a)*",'00 Encuesta'!$E$2:$E$511,"*b)*",'00 Encuesta'!$AF$2:$AF$511,"*b)*")</f>
        <v>14</v>
      </c>
      <c r="L245" s="52">
        <f>K245/$J$7*100</f>
        <v>77.777777777777786</v>
      </c>
      <c r="M245" s="23"/>
      <c r="N245" s="51">
        <f>P245+R245</f>
        <v>22</v>
      </c>
      <c r="O245" s="52">
        <f>N245/$Q$5*100</f>
        <v>57.894736842105267</v>
      </c>
      <c r="P245" s="53">
        <f>COUNTIFS('00 Encuesta'!$B$2:$B$511,"*a)*",'00 Encuesta'!$C$2:$C$511,"*b)*",'00 Encuesta'!$E$2:$E$511,"*a)*",'00 Encuesta'!$AF$2:$AF$511,"*b)*")</f>
        <v>9</v>
      </c>
      <c r="Q245" s="52">
        <f>P245/$Q$6*100</f>
        <v>69.230769230769226</v>
      </c>
      <c r="R245" s="53">
        <f>COUNTIFS('00 Encuesta'!$B$2:$B$511,"*a)*",'00 Encuesta'!$C$2:$C$511,"*b)*",'00 Encuesta'!$E$2:$E$511,"*b)*",'00 Encuesta'!$AF$2:$AF$511,"*b)*")</f>
        <v>13</v>
      </c>
      <c r="S245" s="52">
        <f>R245/$Q$7*100</f>
        <v>52</v>
      </c>
      <c r="T245" s="3"/>
      <c r="U245" s="51">
        <f>W245+Y245</f>
        <v>0</v>
      </c>
      <c r="V245" s="52" t="e">
        <f>U245/$X$5*100</f>
        <v>#DIV/0!</v>
      </c>
      <c r="W245" s="53">
        <f>COUNTIFS('00 Encuesta'!$B$2:$B$511,"*a)*",'00 Encuesta'!$C$2:$C$511,"*c)*",'00 Encuesta'!$E$2:$E$511,"*a)*",'00 Encuesta'!$AF$2:$AF$511,"*b)*")</f>
        <v>0</v>
      </c>
      <c r="X245" s="52" t="e">
        <f>W245/$X$6*100</f>
        <v>#DIV/0!</v>
      </c>
      <c r="Y245" s="53">
        <f>COUNTIFS('00 Encuesta'!$B$2:$B$511,"*a)*",'00 Encuesta'!$C$2:$C$511,"*c)*",'00 Encuesta'!$E$2:$E$511,"*b)*",'00 Encuesta'!$AF$2:$AF$511,"*b)*")</f>
        <v>0</v>
      </c>
      <c r="Z245" s="52" t="e">
        <f t="shared" si="279"/>
        <v>#DIV/0!</v>
      </c>
      <c r="AA245" s="3"/>
      <c r="AB245" s="62">
        <f t="shared" si="280"/>
        <v>44</v>
      </c>
      <c r="AC245" s="52">
        <f t="shared" si="281"/>
        <v>56.410256410256409</v>
      </c>
      <c r="AD245" s="3"/>
      <c r="AE245" s="3"/>
      <c r="AF245" s="9" t="str">
        <f t="shared" si="282"/>
        <v>b) Poco</v>
      </c>
      <c r="AG245" s="72">
        <f t="shared" si="283"/>
        <v>36.363636363636367</v>
      </c>
      <c r="AH245" s="72">
        <f t="shared" si="284"/>
        <v>77.777777777777786</v>
      </c>
      <c r="AI245" s="73">
        <f t="shared" si="285"/>
        <v>55.000000000000007</v>
      </c>
      <c r="AJ245" s="73"/>
      <c r="AK245" s="76">
        <f t="shared" si="286"/>
        <v>69.230769230769226</v>
      </c>
      <c r="AL245" s="76">
        <f t="shared" si="287"/>
        <v>52</v>
      </c>
      <c r="AM245" s="76">
        <f t="shared" si="288"/>
        <v>57.894736842105267</v>
      </c>
      <c r="AN245" s="76"/>
      <c r="AO245" s="81" t="e">
        <f t="shared" si="289"/>
        <v>#DIV/0!</v>
      </c>
      <c r="AP245" s="81" t="e">
        <f t="shared" si="290"/>
        <v>#DIV/0!</v>
      </c>
      <c r="AQ245" s="81" t="e">
        <f t="shared" si="291"/>
        <v>#DIV/0!</v>
      </c>
      <c r="AR245" s="3"/>
      <c r="AS245" s="76">
        <f t="shared" si="227"/>
        <v>56.410256410256409</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ht="15" x14ac:dyDescent="0.25">
      <c r="A246" s="8" t="s">
        <v>20</v>
      </c>
      <c r="B246" s="9" t="s">
        <v>179</v>
      </c>
      <c r="C246" s="7"/>
      <c r="D246" s="7"/>
      <c r="E246" s="7"/>
      <c r="F246" s="71">
        <v>66.66</v>
      </c>
      <c r="G246" s="51">
        <f t="shared" si="276"/>
        <v>8</v>
      </c>
      <c r="H246" s="52">
        <f t="shared" si="277"/>
        <v>20</v>
      </c>
      <c r="I246" s="53">
        <f>COUNTIFS('00 Encuesta'!$B$2:$B$511,"*a)*",'00 Encuesta'!$C$2:$C$511,"*a)*",'00 Encuesta'!$E$2:$E$511,"*a)*",'00 Encuesta'!$AF$2:$AF$511,"*c)*")</f>
        <v>7</v>
      </c>
      <c r="J246" s="52">
        <f t="shared" si="278"/>
        <v>31.818181818181817</v>
      </c>
      <c r="K246" s="53">
        <f>COUNTIFS('00 Encuesta'!$B$2:$B$511,"*a)*",'00 Encuesta'!$C$2:$C$511,"*a)*",'00 Encuesta'!$E$2:$E$511,"*b)*",'00 Encuesta'!$AF$2:$AF$511,"*c)*")</f>
        <v>1</v>
      </c>
      <c r="L246" s="52">
        <f>K246/$J$7*100</f>
        <v>5.5555555555555554</v>
      </c>
      <c r="M246" s="23"/>
      <c r="N246" s="51">
        <f>P246+R246</f>
        <v>9</v>
      </c>
      <c r="O246" s="52">
        <f>N246/$Q$5*100</f>
        <v>23.684210526315788</v>
      </c>
      <c r="P246" s="53">
        <f>COUNTIFS('00 Encuesta'!$B$2:$B$511,"*a)*",'00 Encuesta'!$C$2:$C$511,"*b)*",'00 Encuesta'!$E$2:$E$511,"*a)*",'00 Encuesta'!$AF$2:$AF$511,"*c)*")</f>
        <v>4</v>
      </c>
      <c r="Q246" s="52">
        <f>P246/$Q$6*100</f>
        <v>30.76923076923077</v>
      </c>
      <c r="R246" s="53">
        <f>COUNTIFS('00 Encuesta'!$B$2:$B$511,"*a)*",'00 Encuesta'!$C$2:$C$511,"*b)*",'00 Encuesta'!$E$2:$E$511,"*b)*",'00 Encuesta'!$AF$2:$AF$511,"*c)*")</f>
        <v>5</v>
      </c>
      <c r="S246" s="52">
        <f>R246/$Q$7*100</f>
        <v>20</v>
      </c>
      <c r="T246" s="3"/>
      <c r="U246" s="51">
        <f>W246+Y246</f>
        <v>0</v>
      </c>
      <c r="V246" s="52" t="e">
        <f>U246/$X$5*100</f>
        <v>#DIV/0!</v>
      </c>
      <c r="W246" s="53">
        <f>COUNTIFS('00 Encuesta'!$B$2:$B$511,"*a)*",'00 Encuesta'!$C$2:$C$511,"*c)*",'00 Encuesta'!$E$2:$E$511,"*a)*",'00 Encuesta'!$AF$2:$AF$511,"*c)*")</f>
        <v>0</v>
      </c>
      <c r="X246" s="52" t="e">
        <f>W246/$X$6*100</f>
        <v>#DIV/0!</v>
      </c>
      <c r="Y246" s="53">
        <f>COUNTIFS('00 Encuesta'!$B$2:$B$511,"*a)*",'00 Encuesta'!$C$2:$C$511,"*c)*",'00 Encuesta'!$E$2:$E$511,"*b)*",'00 Encuesta'!$AF$2:$AF$511,"*c)*")</f>
        <v>0</v>
      </c>
      <c r="Z246" s="52" t="e">
        <f t="shared" si="279"/>
        <v>#DIV/0!</v>
      </c>
      <c r="AA246" s="3"/>
      <c r="AB246" s="62">
        <f t="shared" si="280"/>
        <v>17</v>
      </c>
      <c r="AC246" s="52">
        <f t="shared" si="281"/>
        <v>21.794871794871796</v>
      </c>
      <c r="AD246" s="3"/>
      <c r="AE246" s="3"/>
      <c r="AF246" s="9" t="str">
        <f t="shared" si="282"/>
        <v>c) Bastante</v>
      </c>
      <c r="AG246" s="72">
        <f t="shared" si="283"/>
        <v>31.818181818181817</v>
      </c>
      <c r="AH246" s="72">
        <f t="shared" si="284"/>
        <v>5.5555555555555554</v>
      </c>
      <c r="AI246" s="73">
        <f t="shared" si="285"/>
        <v>20</v>
      </c>
      <c r="AJ246" s="73"/>
      <c r="AK246" s="76">
        <f t="shared" si="286"/>
        <v>30.76923076923077</v>
      </c>
      <c r="AL246" s="76">
        <f t="shared" si="287"/>
        <v>20</v>
      </c>
      <c r="AM246" s="76">
        <f t="shared" si="288"/>
        <v>23.684210526315788</v>
      </c>
      <c r="AN246" s="76"/>
      <c r="AO246" s="81" t="e">
        <f t="shared" si="289"/>
        <v>#DIV/0!</v>
      </c>
      <c r="AP246" s="81" t="e">
        <f t="shared" si="290"/>
        <v>#DIV/0!</v>
      </c>
      <c r="AQ246" s="81" t="e">
        <f t="shared" si="291"/>
        <v>#DIV/0!</v>
      </c>
      <c r="AR246" s="3"/>
      <c r="AS246" s="76">
        <f t="shared" si="227"/>
        <v>21.794871794871796</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1</v>
      </c>
      <c r="H247" s="52">
        <f t="shared" si="277"/>
        <v>2.5</v>
      </c>
      <c r="I247" s="53">
        <f>COUNTIFS('00 Encuesta'!$B$2:$B$511,"*a)*",'00 Encuesta'!$C$2:$C$511,"*a)*",'00 Encuesta'!$E$2:$E$511,"*a)*",'00 Encuesta'!$AF$2:$AF$511,"*d)*")</f>
        <v>1</v>
      </c>
      <c r="J247" s="52">
        <f t="shared" si="278"/>
        <v>4.5454545454545459</v>
      </c>
      <c r="K247" s="53">
        <f>COUNTIFS('00 Encuesta'!$B$2:$B$511,"*a)*",'00 Encuesta'!$C$2:$C$511,"*a)*",'00 Encuesta'!$E$2:$E$511,"*b)*",'00 Encuesta'!$AF$2:$AF$511,"*d)*")</f>
        <v>0</v>
      </c>
      <c r="L247" s="52">
        <f>K247/$J$7*100</f>
        <v>0</v>
      </c>
      <c r="M247" s="23"/>
      <c r="N247" s="51">
        <f>P247+R247</f>
        <v>0</v>
      </c>
      <c r="O247" s="52">
        <f>N247/$Q$5*100</f>
        <v>0</v>
      </c>
      <c r="P247" s="53">
        <f>COUNTIFS('00 Encuesta'!$B$2:$B$511,"*a)*",'00 Encuesta'!$C$2:$C$511,"*b)*",'00 Encuesta'!$E$2:$E$511,"*a)*",'00 Encuesta'!$AF$2:$AF$511,"*d)*")</f>
        <v>0</v>
      </c>
      <c r="Q247" s="52">
        <f>P247/$Q$6*100</f>
        <v>0</v>
      </c>
      <c r="R247" s="53">
        <f>COUNTIFS('00 Encuesta'!$B$2:$B$511,"*a)*",'00 Encuesta'!$C$2:$C$511,"*b)*",'00 Encuesta'!$E$2:$E$511,"*b)*",'00 Encuesta'!$AF$2:$AF$511,"*d)*")</f>
        <v>0</v>
      </c>
      <c r="S247" s="52">
        <f>R247/$Q$7*100</f>
        <v>0</v>
      </c>
      <c r="T247" s="3"/>
      <c r="U247" s="51">
        <f>W247+Y247</f>
        <v>0</v>
      </c>
      <c r="V247" s="52" t="e">
        <f>U247/$X$5*100</f>
        <v>#DIV/0!</v>
      </c>
      <c r="W247" s="53">
        <f>COUNTIFS('00 Encuesta'!$B$2:$B$511,"*a)*",'00 Encuesta'!$C$2:$C$511,"*c)*",'00 Encuesta'!$E$2:$E$511,"*a)*",'00 Encuesta'!$AF$2:$AF$511,"*d)*")</f>
        <v>0</v>
      </c>
      <c r="X247" s="52" t="e">
        <f>W247/$X$6*100</f>
        <v>#DIV/0!</v>
      </c>
      <c r="Y247" s="53">
        <f>COUNTIFS('00 Encuesta'!$B$2:$B$511,"*a)*",'00 Encuesta'!$C$2:$C$511,"*c)*",'00 Encuesta'!$E$2:$E$511,"*b)*",'00 Encuesta'!$AF$2:$AF$511,"*d)*")</f>
        <v>0</v>
      </c>
      <c r="Z247" s="52" t="e">
        <f t="shared" si="279"/>
        <v>#DIV/0!</v>
      </c>
      <c r="AA247" s="3"/>
      <c r="AB247" s="62">
        <f t="shared" si="280"/>
        <v>1</v>
      </c>
      <c r="AC247" s="52">
        <f t="shared" si="281"/>
        <v>1.2820512820512822</v>
      </c>
      <c r="AD247" s="3"/>
      <c r="AE247" s="3"/>
      <c r="AF247" s="9" t="str">
        <f t="shared" si="282"/>
        <v>d) Mucho o muchísimo</v>
      </c>
      <c r="AG247" s="72">
        <f t="shared" si="283"/>
        <v>4.5454545454545459</v>
      </c>
      <c r="AH247" s="72">
        <f t="shared" si="284"/>
        <v>0</v>
      </c>
      <c r="AI247" s="73">
        <f t="shared" si="285"/>
        <v>2.5</v>
      </c>
      <c r="AJ247" s="73"/>
      <c r="AK247" s="76">
        <f t="shared" si="286"/>
        <v>0</v>
      </c>
      <c r="AL247" s="76">
        <f t="shared" si="287"/>
        <v>0</v>
      </c>
      <c r="AM247" s="76">
        <f t="shared" si="288"/>
        <v>0</v>
      </c>
      <c r="AN247" s="76"/>
      <c r="AO247" s="81" t="e">
        <f t="shared" si="289"/>
        <v>#DIV/0!</v>
      </c>
      <c r="AP247" s="81" t="e">
        <f t="shared" si="290"/>
        <v>#DIV/0!</v>
      </c>
      <c r="AQ247" s="81" t="e">
        <f t="shared" si="291"/>
        <v>#DIV/0!</v>
      </c>
      <c r="AR247" s="3"/>
      <c r="AS247" s="76">
        <f t="shared" si="227"/>
        <v>1.2820512820512822</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2</v>
      </c>
      <c r="H248" s="52">
        <f t="shared" si="277"/>
        <v>5</v>
      </c>
      <c r="I248" s="53">
        <f>COUNTIFS('00 Encuesta'!$B$2:$B$511,"*a)*",'00 Encuesta'!$C$2:$C$511,"*a)*",'00 Encuesta'!$E$2:$E$511,"*a)*",'00 Encuesta'!$AF$2:$AF$511,"*e)*")</f>
        <v>1</v>
      </c>
      <c r="J248" s="52">
        <f t="shared" si="278"/>
        <v>4.5454545454545459</v>
      </c>
      <c r="K248" s="53">
        <f>COUNTIFS('00 Encuesta'!$B$2:$B$511,"*a)*",'00 Encuesta'!$C$2:$C$511,"*a)*",'00 Encuesta'!$E$2:$E$511,"*b)*",'00 Encuesta'!$AF$2:$AF$511,"*e)*")</f>
        <v>1</v>
      </c>
      <c r="L248" s="52">
        <f>K248/$J$7*100</f>
        <v>5.5555555555555554</v>
      </c>
      <c r="M248" s="23"/>
      <c r="N248" s="51">
        <f>P248+R248</f>
        <v>3</v>
      </c>
      <c r="O248" s="52">
        <f>N248/$Q$5*100</f>
        <v>7.8947368421052628</v>
      </c>
      <c r="P248" s="53">
        <f>COUNTIFS('00 Encuesta'!$B$2:$B$511,"*a)*",'00 Encuesta'!$C$2:$C$511,"*b)*",'00 Encuesta'!$E$2:$E$511,"*a)*",'00 Encuesta'!$AF$2:$AF$511,"*e)*")</f>
        <v>0</v>
      </c>
      <c r="Q248" s="52">
        <f>P248/$Q$6*100</f>
        <v>0</v>
      </c>
      <c r="R248" s="53">
        <f>COUNTIFS('00 Encuesta'!$B$2:$B$511,"*a)*",'00 Encuesta'!$C$2:$C$511,"*b)*",'00 Encuesta'!$E$2:$E$511,"*b)*",'00 Encuesta'!$AF$2:$AF$511,"*e)*")</f>
        <v>3</v>
      </c>
      <c r="S248" s="52">
        <f>R248/$Q$7*100</f>
        <v>12</v>
      </c>
      <c r="T248" s="3"/>
      <c r="U248" s="51">
        <f>W248+Y248</f>
        <v>0</v>
      </c>
      <c r="V248" s="52" t="e">
        <f>U248/$X$5*100</f>
        <v>#DIV/0!</v>
      </c>
      <c r="W248" s="53">
        <f>COUNTIFS('00 Encuesta'!$B$2:$B$511,"*a)*",'00 Encuesta'!$C$2:$C$511,"*c)*",'00 Encuesta'!$E$2:$E$511,"*a)*",'00 Encuesta'!$AF$2:$AF$511,"*e)*")</f>
        <v>0</v>
      </c>
      <c r="X248" s="52" t="e">
        <f>W248/$X$6*100</f>
        <v>#DIV/0!</v>
      </c>
      <c r="Y248" s="53">
        <f>COUNTIFS('00 Encuesta'!$B$2:$B$511,"*a)*",'00 Encuesta'!$C$2:$C$511,"*c)*",'00 Encuesta'!$E$2:$E$511,"*b)*",'00 Encuesta'!$AF$2:$AF$511,"*e)*")</f>
        <v>0</v>
      </c>
      <c r="Z248" s="52" t="e">
        <f t="shared" si="279"/>
        <v>#DIV/0!</v>
      </c>
      <c r="AA248" s="3"/>
      <c r="AB248" s="62">
        <f t="shared" si="280"/>
        <v>5</v>
      </c>
      <c r="AC248" s="52">
        <f t="shared" si="281"/>
        <v>6.4102564102564106</v>
      </c>
      <c r="AD248" s="3"/>
      <c r="AE248" s="3"/>
      <c r="AF248" s="9" t="str">
        <f t="shared" si="282"/>
        <v>e) No sé</v>
      </c>
      <c r="AG248" s="72">
        <f t="shared" si="283"/>
        <v>4.5454545454545459</v>
      </c>
      <c r="AH248" s="72">
        <f t="shared" si="284"/>
        <v>5.5555555555555554</v>
      </c>
      <c r="AI248" s="73">
        <f t="shared" si="285"/>
        <v>5</v>
      </c>
      <c r="AJ248" s="73"/>
      <c r="AK248" s="76">
        <f t="shared" si="286"/>
        <v>0</v>
      </c>
      <c r="AL248" s="76">
        <f t="shared" si="287"/>
        <v>12</v>
      </c>
      <c r="AM248" s="76">
        <f t="shared" si="288"/>
        <v>7.8947368421052628</v>
      </c>
      <c r="AN248" s="76"/>
      <c r="AO248" s="81" t="e">
        <f t="shared" si="289"/>
        <v>#DIV/0!</v>
      </c>
      <c r="AP248" s="81" t="e">
        <f t="shared" si="290"/>
        <v>#DIV/0!</v>
      </c>
      <c r="AQ248" s="81" t="e">
        <f t="shared" si="291"/>
        <v>#DIV/0!</v>
      </c>
      <c r="AR248" s="3"/>
      <c r="AS248" s="76">
        <f t="shared" si="227"/>
        <v>6.4102564102564106</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ht="15" x14ac:dyDescent="0.25">
      <c r="A249" s="8" t="s">
        <v>23</v>
      </c>
      <c r="B249" s="9" t="s">
        <v>24</v>
      </c>
      <c r="C249" s="7"/>
      <c r="D249" s="7"/>
      <c r="E249" s="7"/>
      <c r="F249" s="71"/>
      <c r="G249" s="51">
        <f t="shared" si="276"/>
        <v>0</v>
      </c>
      <c r="H249" s="52">
        <f t="shared" si="277"/>
        <v>0</v>
      </c>
      <c r="I249" s="53"/>
      <c r="J249" s="52">
        <f t="shared" si="278"/>
        <v>0</v>
      </c>
      <c r="K249" s="53"/>
      <c r="L249" s="52">
        <f t="shared" ref="L249" si="292">K249/$J$7*100</f>
        <v>0</v>
      </c>
      <c r="M249" s="23"/>
      <c r="N249" s="51">
        <f t="shared" ref="N249" si="293">P249+R249</f>
        <v>0</v>
      </c>
      <c r="O249" s="52">
        <f t="shared" ref="O249" si="294">N249/$Q$5*100</f>
        <v>0</v>
      </c>
      <c r="P249" s="53"/>
      <c r="Q249" s="52">
        <f t="shared" ref="Q249" si="295">P249/$Q$6*100</f>
        <v>0</v>
      </c>
      <c r="R249" s="53"/>
      <c r="S249" s="52">
        <f t="shared" ref="S249" si="296">R249/$Q$7*100</f>
        <v>0</v>
      </c>
      <c r="T249" s="3"/>
      <c r="U249" s="51">
        <f t="shared" ref="U249" si="297">W249+Y249</f>
        <v>0</v>
      </c>
      <c r="V249" s="52" t="e">
        <f t="shared" ref="V249" si="298">U249/$X$5*100</f>
        <v>#DIV/0!</v>
      </c>
      <c r="W249" s="53"/>
      <c r="X249" s="52" t="e">
        <f t="shared" ref="X249" si="299">W249/$X$6*100</f>
        <v>#DIV/0!</v>
      </c>
      <c r="Y249" s="53"/>
      <c r="Z249" s="52" t="e">
        <f t="shared" si="279"/>
        <v>#DIV/0!</v>
      </c>
      <c r="AA249" s="3"/>
      <c r="AB249" s="62">
        <f t="shared" si="280"/>
        <v>0</v>
      </c>
      <c r="AC249" s="52">
        <f t="shared" si="281"/>
        <v>0</v>
      </c>
      <c r="AD249" s="3"/>
      <c r="AE249" s="3"/>
      <c r="AF249" s="9" t="str">
        <f t="shared" si="282"/>
        <v>S/R Sin Respuesta</v>
      </c>
      <c r="AG249" s="72">
        <f t="shared" si="283"/>
        <v>0</v>
      </c>
      <c r="AH249" s="72">
        <f t="shared" si="284"/>
        <v>0</v>
      </c>
      <c r="AI249" s="73">
        <f t="shared" si="285"/>
        <v>0</v>
      </c>
      <c r="AJ249" s="73"/>
      <c r="AK249" s="76">
        <f t="shared" si="286"/>
        <v>0</v>
      </c>
      <c r="AL249" s="76">
        <f t="shared" si="287"/>
        <v>0</v>
      </c>
      <c r="AM249" s="76">
        <f t="shared" si="288"/>
        <v>0</v>
      </c>
      <c r="AN249" s="76"/>
      <c r="AO249" s="81" t="e">
        <f t="shared" si="289"/>
        <v>#DIV/0!</v>
      </c>
      <c r="AP249" s="81" t="e">
        <f t="shared" si="290"/>
        <v>#DIV/0!</v>
      </c>
      <c r="AQ249" s="81" t="e">
        <f t="shared" si="291"/>
        <v>#DIV/0!</v>
      </c>
      <c r="AR249" s="3"/>
      <c r="AS249" s="76">
        <f t="shared" si="227"/>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ht="15" x14ac:dyDescent="0.25">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41.662999999999997</v>
      </c>
      <c r="AH250" s="82">
        <f>($F245*K245+$F246*K246+$F247*K247+$F244*K244)/(+K245+K246+K247+K244)</f>
        <v>31.36941176470588</v>
      </c>
      <c r="AI250" s="82">
        <f>($F245*G245+$F246*G246+$F247*G247+$F244*G244)/(G245+G246+G247+G244)</f>
        <v>36.93351351351351</v>
      </c>
      <c r="AJ250" s="82"/>
      <c r="AK250" s="82">
        <f>($F245*P245+$F246*P246+$F247*P247+$F248*P248)/(P245+P246+P247+P248)</f>
        <v>43.585384615384605</v>
      </c>
      <c r="AL250" s="82">
        <f>($F245*R245+$F246*R246+$F247*R247+$F248*R248)/(R245+R246+R247+R248)</f>
        <v>36.504285714285707</v>
      </c>
      <c r="AM250" s="82">
        <f>($F245*N245+$F246*N246+$F247*N247+$F248*N248)/(N245+N246+N247+N248)</f>
        <v>39.211764705882345</v>
      </c>
      <c r="AN250" s="82"/>
      <c r="AO250" s="82" t="e">
        <f>($F245*W245+$F246*W246+$F247*W247+$F244*W244)/(W245+W246+W247+W244)</f>
        <v>#DIV/0!</v>
      </c>
      <c r="AP250" s="82" t="e">
        <f>($F245*Y245+$F246*Y246+$F247*Y247+$F244*Y244)/(Y245+Y246+Y247+Y244)</f>
        <v>#DIV/0!</v>
      </c>
      <c r="AQ250" s="82" t="e">
        <f>($F245*U245+$F246*U246+$F247*U247+$F244*U244)/(U245+U246+U247+U244)</f>
        <v>#DIV/0!</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ht="15" x14ac:dyDescent="0.25">
      <c r="A252" s="8" t="s">
        <v>17</v>
      </c>
      <c r="B252" s="9" t="s">
        <v>182</v>
      </c>
      <c r="C252" s="7"/>
      <c r="D252" s="7"/>
      <c r="E252" s="7"/>
      <c r="F252" s="71"/>
      <c r="G252" s="51">
        <f t="shared" ref="G252:G261" si="300">I252+K252</f>
        <v>23</v>
      </c>
      <c r="H252" s="52">
        <f t="shared" ref="H252:H261" si="301">G252/$J$5*100</f>
        <v>57.499999999999993</v>
      </c>
      <c r="I252" s="53">
        <f>COUNTIFS('00 Encuesta'!$B$2:$B$511,"*a)*",'00 Encuesta'!$C$2:$C$511,"*a)*",'00 Encuesta'!$E$2:$E$511,"*a)*",'00 Encuesta'!$AG$2:$AG$511,"*a)*")</f>
        <v>14</v>
      </c>
      <c r="J252" s="52">
        <f t="shared" ref="J252:J261" si="302">I252/$J$6*100</f>
        <v>63.636363636363633</v>
      </c>
      <c r="K252" s="53">
        <f>COUNTIFS('00 Encuesta'!$B$2:$B$511,"*a)*",'00 Encuesta'!$C$2:$C$511,"*a)*",'00 Encuesta'!$E$2:$E$511,"*b)*",'00 Encuesta'!$AG$2:$AG$511,"*a)*")</f>
        <v>9</v>
      </c>
      <c r="L252" s="52">
        <f t="shared" ref="L252:L261" si="303">K252/$J$7*100</f>
        <v>50</v>
      </c>
      <c r="M252" s="23"/>
      <c r="N252" s="51">
        <f t="shared" ref="N252:N261" si="304">P252+R252</f>
        <v>15</v>
      </c>
      <c r="O252" s="52">
        <f t="shared" ref="O252:O261" si="305">N252/$Q$5*100</f>
        <v>39.473684210526315</v>
      </c>
      <c r="P252" s="53">
        <f>COUNTIFS('00 Encuesta'!$B$2:$B$511,"*a)*",'00 Encuesta'!$C$2:$C$511,"*b)*",'00 Encuesta'!$E$2:$E$511,"*a)*",'00 Encuesta'!$AG$2:$AG$511,"*a)*")</f>
        <v>6</v>
      </c>
      <c r="Q252" s="52">
        <f t="shared" ref="Q252:Q261" si="306">P252/$Q$6*100</f>
        <v>46.153846153846153</v>
      </c>
      <c r="R252" s="53">
        <f>COUNTIFS('00 Encuesta'!$B$2:$B$511,"*a)*",'00 Encuesta'!$C$2:$C$511,"*b)*",'00 Encuesta'!$E$2:$E$511,"*b)*",'00 Encuesta'!$AG$2:$AG$511,"*a)*")</f>
        <v>9</v>
      </c>
      <c r="S252" s="52">
        <f t="shared" ref="S252:S261" si="307">R252/$Q$7*100</f>
        <v>36</v>
      </c>
      <c r="T252" s="3"/>
      <c r="U252" s="51">
        <f t="shared" ref="U252:U261" si="308">W252+Y252</f>
        <v>0</v>
      </c>
      <c r="V252" s="52" t="e">
        <f t="shared" ref="V252:V261" si="309">U252/$X$5*100</f>
        <v>#DIV/0!</v>
      </c>
      <c r="W252" s="53">
        <f>COUNTIFS('00 Encuesta'!$B$2:$B$511,"*a)*",'00 Encuesta'!$C$2:$C$511,"*c)*",'00 Encuesta'!$E$2:$E$511,"*a)*",'00 Encuesta'!$AG$2:$AG$511,"*a)*")</f>
        <v>0</v>
      </c>
      <c r="X252" s="52" t="e">
        <f t="shared" ref="X252:X261" si="310">W252/$X$6*100</f>
        <v>#DIV/0!</v>
      </c>
      <c r="Y252" s="53">
        <f>COUNTIFS('00 Encuesta'!$B$2:$B$511,"*a)*",'00 Encuesta'!$C$2:$C$511,"*c)*",'00 Encuesta'!$E$2:$E$511,"*b)*",'00 Encuesta'!$AG$2:$AG$511,"*a)*")</f>
        <v>0</v>
      </c>
      <c r="Z252" s="52" t="e">
        <f t="shared" ref="Z252:Z261" si="311">Y252/$X$7*100</f>
        <v>#DIV/0!</v>
      </c>
      <c r="AA252" s="3"/>
      <c r="AB252" s="62">
        <f t="shared" ref="AB252:AB261" si="312">G252+N252+U252</f>
        <v>38</v>
      </c>
      <c r="AC252" s="52">
        <f t="shared" ref="AC252:AC261" si="313">AB252*100/$AC$5</f>
        <v>48.717948717948715</v>
      </c>
      <c r="AD252" s="3"/>
      <c r="AE252" s="3"/>
      <c r="AF252" s="9" t="str">
        <f t="shared" ref="AF252:AF261" si="314">A252&amp;" "&amp;B252</f>
        <v>a) Los deportes y diversiones</v>
      </c>
      <c r="AG252" s="72">
        <f t="shared" ref="AG252:AG261" si="315">J252</f>
        <v>63.636363636363633</v>
      </c>
      <c r="AH252" s="72">
        <f t="shared" ref="AH252:AH261" si="316">L252</f>
        <v>50</v>
      </c>
      <c r="AI252" s="73">
        <f t="shared" ref="AI252:AI261" si="317">H252</f>
        <v>57.499999999999993</v>
      </c>
      <c r="AJ252" s="73"/>
      <c r="AK252" s="76">
        <f t="shared" ref="AK252:AK261" si="318">Q252</f>
        <v>46.153846153846153</v>
      </c>
      <c r="AL252" s="76">
        <f t="shared" ref="AL252:AL261" si="319">S252</f>
        <v>36</v>
      </c>
      <c r="AM252" s="76">
        <f t="shared" ref="AM252:AM261" si="320">O252</f>
        <v>39.473684210526315</v>
      </c>
      <c r="AN252" s="76"/>
      <c r="AO252" s="81" t="e">
        <f t="shared" ref="AO252:AO261" si="321">X252</f>
        <v>#DIV/0!</v>
      </c>
      <c r="AP252" s="81" t="e">
        <f t="shared" ref="AP252:AP261" si="322">Z252</f>
        <v>#DIV/0!</v>
      </c>
      <c r="AQ252" s="81" t="e">
        <f t="shared" ref="AQ252:AQ261" si="323">V252</f>
        <v>#DIV/0!</v>
      </c>
      <c r="AR252" s="3"/>
      <c r="AS252" s="76">
        <f t="shared" si="227"/>
        <v>48.717948717948715</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ht="15" x14ac:dyDescent="0.25">
      <c r="A253" s="8" t="s">
        <v>18</v>
      </c>
      <c r="B253" s="9" t="s">
        <v>183</v>
      </c>
      <c r="C253" s="7"/>
      <c r="D253" s="7"/>
      <c r="E253" s="7"/>
      <c r="F253" s="71"/>
      <c r="G253" s="51">
        <f t="shared" si="300"/>
        <v>16</v>
      </c>
      <c r="H253" s="52">
        <f t="shared" si="301"/>
        <v>40</v>
      </c>
      <c r="I253" s="53">
        <f>COUNTIFS('00 Encuesta'!$B$2:$B$511,"*a)*",'00 Encuesta'!$C$2:$C$511,"*a)*",'00 Encuesta'!$E$2:$E$511,"*a)*",'00 Encuesta'!$AG$2:$AG$511,"*b)*")</f>
        <v>6</v>
      </c>
      <c r="J253" s="52">
        <f t="shared" si="302"/>
        <v>27.27272727272727</v>
      </c>
      <c r="K253" s="53">
        <f>COUNTIFS('00 Encuesta'!$B$2:$B$511,"*a)*",'00 Encuesta'!$C$2:$C$511,"*a)*",'00 Encuesta'!$E$2:$E$511,"*b)*",'00 Encuesta'!$AG$2:$AG$511,"*b)*")</f>
        <v>10</v>
      </c>
      <c r="L253" s="52">
        <f t="shared" si="303"/>
        <v>55.555555555555557</v>
      </c>
      <c r="M253" s="23"/>
      <c r="N253" s="51">
        <f t="shared" si="304"/>
        <v>14</v>
      </c>
      <c r="O253" s="52">
        <f t="shared" si="305"/>
        <v>36.84210526315789</v>
      </c>
      <c r="P253" s="53">
        <f>COUNTIFS('00 Encuesta'!$B$2:$B$511,"*a)*",'00 Encuesta'!$C$2:$C$511,"*b)*",'00 Encuesta'!$E$2:$E$511,"*a)*",'00 Encuesta'!$AG$2:$AG$511,"*b)*")</f>
        <v>5</v>
      </c>
      <c r="Q253" s="52">
        <f t="shared" si="306"/>
        <v>38.461538461538467</v>
      </c>
      <c r="R253" s="53">
        <f>COUNTIFS('00 Encuesta'!$B$2:$B$511,"*a)*",'00 Encuesta'!$C$2:$C$511,"*b)*",'00 Encuesta'!$E$2:$E$511,"*b)*",'00 Encuesta'!$AG$2:$AG$511,"*b)*")</f>
        <v>9</v>
      </c>
      <c r="S253" s="52">
        <f t="shared" si="307"/>
        <v>36</v>
      </c>
      <c r="T253" s="3"/>
      <c r="U253" s="51">
        <f t="shared" si="308"/>
        <v>0</v>
      </c>
      <c r="V253" s="52" t="e">
        <f t="shared" si="309"/>
        <v>#DIV/0!</v>
      </c>
      <c r="W253" s="53">
        <f>COUNTIFS('00 Encuesta'!$B$2:$B$511,"*a)*",'00 Encuesta'!$C$2:$C$511,"*c)*",'00 Encuesta'!$E$2:$E$511,"*a)*",'00 Encuesta'!$AG$2:$AG$511,"*b)*")</f>
        <v>0</v>
      </c>
      <c r="X253" s="52" t="e">
        <f t="shared" si="310"/>
        <v>#DIV/0!</v>
      </c>
      <c r="Y253" s="53">
        <f>COUNTIFS('00 Encuesta'!$B$2:$B$511,"*a)*",'00 Encuesta'!$C$2:$C$511,"*c)*",'00 Encuesta'!$E$2:$E$511,"*b)*",'00 Encuesta'!$AG$2:$AG$511,"*b)*")</f>
        <v>0</v>
      </c>
      <c r="Z253" s="52" t="e">
        <f t="shared" si="311"/>
        <v>#DIV/0!</v>
      </c>
      <c r="AA253" s="3"/>
      <c r="AB253" s="62">
        <f t="shared" si="312"/>
        <v>30</v>
      </c>
      <c r="AC253" s="52">
        <f t="shared" si="313"/>
        <v>38.46153846153846</v>
      </c>
      <c r="AD253" s="3"/>
      <c r="AE253" s="3"/>
      <c r="AF253" s="9" t="str">
        <f t="shared" si="314"/>
        <v>b) El ambiente de estudio y de trabajo</v>
      </c>
      <c r="AG253" s="72">
        <f t="shared" si="315"/>
        <v>27.27272727272727</v>
      </c>
      <c r="AH253" s="72">
        <f t="shared" si="316"/>
        <v>55.555555555555557</v>
      </c>
      <c r="AI253" s="73">
        <f t="shared" si="317"/>
        <v>40</v>
      </c>
      <c r="AJ253" s="73"/>
      <c r="AK253" s="76">
        <f t="shared" si="318"/>
        <v>38.461538461538467</v>
      </c>
      <c r="AL253" s="76">
        <f t="shared" si="319"/>
        <v>36</v>
      </c>
      <c r="AM253" s="76">
        <f t="shared" si="320"/>
        <v>36.84210526315789</v>
      </c>
      <c r="AN253" s="76"/>
      <c r="AO253" s="81" t="e">
        <f t="shared" si="321"/>
        <v>#DIV/0!</v>
      </c>
      <c r="AP253" s="81" t="e">
        <f t="shared" si="322"/>
        <v>#DIV/0!</v>
      </c>
      <c r="AQ253" s="81" t="e">
        <f t="shared" si="323"/>
        <v>#DIV/0!</v>
      </c>
      <c r="AR253" s="3"/>
      <c r="AS253" s="76">
        <f t="shared" si="227"/>
        <v>38.46153846153846</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ht="15" x14ac:dyDescent="0.25">
      <c r="A254" s="8" t="s">
        <v>20</v>
      </c>
      <c r="B254" s="9" t="s">
        <v>184</v>
      </c>
      <c r="C254" s="7"/>
      <c r="D254" s="7"/>
      <c r="E254" s="7"/>
      <c r="F254" s="71"/>
      <c r="G254" s="51">
        <f t="shared" si="300"/>
        <v>13</v>
      </c>
      <c r="H254" s="52">
        <f t="shared" si="301"/>
        <v>32.5</v>
      </c>
      <c r="I254" s="53">
        <f>COUNTIFS('00 Encuesta'!$B$2:$B$511,"*a)*",'00 Encuesta'!$C$2:$C$511,"*a)*",'00 Encuesta'!$E$2:$E$511,"*a)*",'00 Encuesta'!$AG$2:$AG$511,"*c)*")</f>
        <v>6</v>
      </c>
      <c r="J254" s="52">
        <f t="shared" si="302"/>
        <v>27.27272727272727</v>
      </c>
      <c r="K254" s="53">
        <f>COUNTIFS('00 Encuesta'!$B$2:$B$511,"*a)*",'00 Encuesta'!$C$2:$C$511,"*a)*",'00 Encuesta'!$E$2:$E$511,"*b)*",'00 Encuesta'!$AG$2:$AG$511,"*c)*")</f>
        <v>7</v>
      </c>
      <c r="L254" s="52">
        <f t="shared" si="303"/>
        <v>38.888888888888893</v>
      </c>
      <c r="M254" s="23"/>
      <c r="N254" s="51">
        <f t="shared" si="304"/>
        <v>20</v>
      </c>
      <c r="O254" s="52">
        <f t="shared" si="305"/>
        <v>52.631578947368418</v>
      </c>
      <c r="P254" s="53">
        <f>COUNTIFS('00 Encuesta'!$B$2:$B$511,"*a)*",'00 Encuesta'!$C$2:$C$511,"*b)*",'00 Encuesta'!$E$2:$E$511,"*a)*",'00 Encuesta'!$AG$2:$AG$511,"*c)*")</f>
        <v>7</v>
      </c>
      <c r="Q254" s="52">
        <f t="shared" si="306"/>
        <v>53.846153846153847</v>
      </c>
      <c r="R254" s="53">
        <f>COUNTIFS('00 Encuesta'!$B$2:$B$511,"*a)*",'00 Encuesta'!$C$2:$C$511,"*b)*",'00 Encuesta'!$E$2:$E$511,"*b)*",'00 Encuesta'!$AG$2:$AG$511,"*c)*")</f>
        <v>13</v>
      </c>
      <c r="S254" s="52">
        <f t="shared" si="307"/>
        <v>52</v>
      </c>
      <c r="T254" s="3"/>
      <c r="U254" s="51">
        <f t="shared" si="308"/>
        <v>0</v>
      </c>
      <c r="V254" s="52" t="e">
        <f t="shared" si="309"/>
        <v>#DIV/0!</v>
      </c>
      <c r="W254" s="53">
        <f>COUNTIFS('00 Encuesta'!$B$2:$B$511,"*a)*",'00 Encuesta'!$C$2:$C$511,"*c)*",'00 Encuesta'!$E$2:$E$511,"*a)*",'00 Encuesta'!$AG$2:$AG$511,"*c)*")</f>
        <v>0</v>
      </c>
      <c r="X254" s="52" t="e">
        <f t="shared" si="310"/>
        <v>#DIV/0!</v>
      </c>
      <c r="Y254" s="53">
        <f>COUNTIFS('00 Encuesta'!$B$2:$B$511,"*a)*",'00 Encuesta'!$C$2:$C$511,"*c)*",'00 Encuesta'!$E$2:$E$511,"*b)*",'00 Encuesta'!$AG$2:$AG$511,"*c)*")</f>
        <v>0</v>
      </c>
      <c r="Z254" s="52" t="e">
        <f t="shared" si="311"/>
        <v>#DIV/0!</v>
      </c>
      <c r="AA254" s="3"/>
      <c r="AB254" s="62">
        <f t="shared" si="312"/>
        <v>33</v>
      </c>
      <c r="AC254" s="52">
        <f t="shared" si="313"/>
        <v>42.307692307692307</v>
      </c>
      <c r="AD254" s="3"/>
      <c r="AE254" s="3"/>
      <c r="AF254" s="9" t="str">
        <f t="shared" si="314"/>
        <v>c) Las instalaciones del colegio</v>
      </c>
      <c r="AG254" s="72">
        <f t="shared" si="315"/>
        <v>27.27272727272727</v>
      </c>
      <c r="AH254" s="72">
        <f t="shared" si="316"/>
        <v>38.888888888888893</v>
      </c>
      <c r="AI254" s="73">
        <f t="shared" si="317"/>
        <v>32.5</v>
      </c>
      <c r="AJ254" s="73"/>
      <c r="AK254" s="76">
        <f t="shared" si="318"/>
        <v>53.846153846153847</v>
      </c>
      <c r="AL254" s="76">
        <f t="shared" si="319"/>
        <v>52</v>
      </c>
      <c r="AM254" s="76">
        <f t="shared" si="320"/>
        <v>52.631578947368418</v>
      </c>
      <c r="AN254" s="76"/>
      <c r="AO254" s="81" t="e">
        <f t="shared" si="321"/>
        <v>#DIV/0!</v>
      </c>
      <c r="AP254" s="81" t="e">
        <f t="shared" si="322"/>
        <v>#DIV/0!</v>
      </c>
      <c r="AQ254" s="81" t="e">
        <f t="shared" si="323"/>
        <v>#DIV/0!</v>
      </c>
      <c r="AR254" s="3"/>
      <c r="AS254" s="76">
        <f t="shared" si="227"/>
        <v>42.307692307692307</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ht="15" x14ac:dyDescent="0.25">
      <c r="A255" s="8" t="s">
        <v>21</v>
      </c>
      <c r="B255" s="9" t="s">
        <v>185</v>
      </c>
      <c r="C255" s="7"/>
      <c r="D255" s="7"/>
      <c r="E255" s="7"/>
      <c r="F255" s="71"/>
      <c r="G255" s="51">
        <f t="shared" si="300"/>
        <v>4</v>
      </c>
      <c r="H255" s="52">
        <f t="shared" si="301"/>
        <v>10</v>
      </c>
      <c r="I255" s="53">
        <f>COUNTIFS('00 Encuesta'!$B$2:$B$511,"*a)*",'00 Encuesta'!$C$2:$C$511,"*a)*",'00 Encuesta'!$E$2:$E$511,"*a)*",'00 Encuesta'!$AG$2:$AG$511,"*d)*")</f>
        <v>3</v>
      </c>
      <c r="J255" s="52">
        <f t="shared" si="302"/>
        <v>13.636363636363635</v>
      </c>
      <c r="K255" s="53">
        <f>COUNTIFS('00 Encuesta'!$B$2:$B$511,"*a)*",'00 Encuesta'!$C$2:$C$511,"*a)*",'00 Encuesta'!$E$2:$E$511,"*b)*",'00 Encuesta'!$AG$2:$AG$511,"*d)*")</f>
        <v>1</v>
      </c>
      <c r="L255" s="52">
        <f t="shared" si="303"/>
        <v>5.5555555555555554</v>
      </c>
      <c r="M255" s="23"/>
      <c r="N255" s="51">
        <f t="shared" si="304"/>
        <v>1</v>
      </c>
      <c r="O255" s="52">
        <f t="shared" si="305"/>
        <v>2.6315789473684208</v>
      </c>
      <c r="P255" s="53">
        <f>COUNTIFS('00 Encuesta'!$B$2:$B$511,"*a)*",'00 Encuesta'!$C$2:$C$511,"*b)*",'00 Encuesta'!$E$2:$E$511,"*a)*",'00 Encuesta'!$AG$2:$AG$511,"*d)*")</f>
        <v>0</v>
      </c>
      <c r="Q255" s="52">
        <f t="shared" si="306"/>
        <v>0</v>
      </c>
      <c r="R255" s="53">
        <f>COUNTIFS('00 Encuesta'!$B$2:$B$511,"*a)*",'00 Encuesta'!$C$2:$C$511,"*b)*",'00 Encuesta'!$E$2:$E$511,"*b)*",'00 Encuesta'!$AG$2:$AG$511,"*d)*")</f>
        <v>1</v>
      </c>
      <c r="S255" s="52">
        <f t="shared" si="307"/>
        <v>4</v>
      </c>
      <c r="T255" s="3"/>
      <c r="U255" s="51">
        <f t="shared" si="308"/>
        <v>0</v>
      </c>
      <c r="V255" s="52" t="e">
        <f t="shared" si="309"/>
        <v>#DIV/0!</v>
      </c>
      <c r="W255" s="53">
        <f>COUNTIFS('00 Encuesta'!$B$2:$B$511,"*a)*",'00 Encuesta'!$C$2:$C$511,"*c)*",'00 Encuesta'!$E$2:$E$511,"*a)*",'00 Encuesta'!$AG$2:$AG$511,"*d)*")</f>
        <v>0</v>
      </c>
      <c r="X255" s="52" t="e">
        <f t="shared" si="310"/>
        <v>#DIV/0!</v>
      </c>
      <c r="Y255" s="53">
        <f>COUNTIFS('00 Encuesta'!$B$2:$B$511,"*a)*",'00 Encuesta'!$C$2:$C$511,"*c)*",'00 Encuesta'!$E$2:$E$511,"*b)*",'00 Encuesta'!$AG$2:$AG$511,"*d)*")</f>
        <v>0</v>
      </c>
      <c r="Z255" s="52" t="e">
        <f t="shared" si="311"/>
        <v>#DIV/0!</v>
      </c>
      <c r="AA255" s="3"/>
      <c r="AB255" s="62">
        <f t="shared" si="312"/>
        <v>5</v>
      </c>
      <c r="AC255" s="52">
        <f t="shared" si="313"/>
        <v>6.4102564102564106</v>
      </c>
      <c r="AD255" s="3"/>
      <c r="AE255" s="3"/>
      <c r="AF255" s="9" t="str">
        <f t="shared" si="314"/>
        <v>d) Los grupos juveniles cristianos</v>
      </c>
      <c r="AG255" s="72">
        <f t="shared" si="315"/>
        <v>13.636363636363635</v>
      </c>
      <c r="AH255" s="72">
        <f t="shared" si="316"/>
        <v>5.5555555555555554</v>
      </c>
      <c r="AI255" s="73">
        <f t="shared" si="317"/>
        <v>10</v>
      </c>
      <c r="AJ255" s="73"/>
      <c r="AK255" s="76">
        <f t="shared" si="318"/>
        <v>0</v>
      </c>
      <c r="AL255" s="76">
        <f t="shared" si="319"/>
        <v>4</v>
      </c>
      <c r="AM255" s="76">
        <f t="shared" si="320"/>
        <v>2.6315789473684208</v>
      </c>
      <c r="AN255" s="76"/>
      <c r="AO255" s="81" t="e">
        <f t="shared" si="321"/>
        <v>#DIV/0!</v>
      </c>
      <c r="AP255" s="81" t="e">
        <f t="shared" si="322"/>
        <v>#DIV/0!</v>
      </c>
      <c r="AQ255" s="81" t="e">
        <f t="shared" si="323"/>
        <v>#DIV/0!</v>
      </c>
      <c r="AR255" s="3"/>
      <c r="AS255" s="76">
        <f t="shared" si="227"/>
        <v>6.4102564102564106</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ht="15" x14ac:dyDescent="0.25">
      <c r="A256" s="8" t="s">
        <v>22</v>
      </c>
      <c r="B256" s="9" t="s">
        <v>186</v>
      </c>
      <c r="C256" s="7"/>
      <c r="D256" s="7"/>
      <c r="E256" s="7"/>
      <c r="F256" s="71"/>
      <c r="G256" s="51">
        <f t="shared" si="300"/>
        <v>2</v>
      </c>
      <c r="H256" s="52">
        <f t="shared" si="301"/>
        <v>5</v>
      </c>
      <c r="I256" s="53">
        <f>COUNTIFS('00 Encuesta'!$B$2:$B$511,"*a)*",'00 Encuesta'!$C$2:$C$511,"*a)*",'00 Encuesta'!$E$2:$E$511,"*a)*",'00 Encuesta'!$AG$2:$AG$511,"*e)*")</f>
        <v>2</v>
      </c>
      <c r="J256" s="52">
        <f t="shared" si="302"/>
        <v>9.0909090909090917</v>
      </c>
      <c r="K256" s="53">
        <f>COUNTIFS('00 Encuesta'!$B$2:$B$511,"*a)*",'00 Encuesta'!$C$2:$C$511,"*a)*",'00 Encuesta'!$E$2:$E$511,"*b)*",'00 Encuesta'!$AG$2:$AG$511,"*e)*")</f>
        <v>0</v>
      </c>
      <c r="L256" s="52">
        <f t="shared" si="303"/>
        <v>0</v>
      </c>
      <c r="M256" s="23"/>
      <c r="N256" s="51">
        <f t="shared" si="304"/>
        <v>1</v>
      </c>
      <c r="O256" s="52">
        <f t="shared" si="305"/>
        <v>2.6315789473684208</v>
      </c>
      <c r="P256" s="53">
        <f>COUNTIFS('00 Encuesta'!$B$2:$B$511,"*a)*",'00 Encuesta'!$C$2:$C$511,"*b)*",'00 Encuesta'!$E$2:$E$511,"*a)*",'00 Encuesta'!$AG$2:$AG$511,"*e)*")</f>
        <v>0</v>
      </c>
      <c r="Q256" s="52">
        <f t="shared" si="306"/>
        <v>0</v>
      </c>
      <c r="R256" s="53">
        <f>COUNTIFS('00 Encuesta'!$B$2:$B$511,"*a)*",'00 Encuesta'!$C$2:$C$511,"*b)*",'00 Encuesta'!$E$2:$E$511,"*b)*",'00 Encuesta'!$AG$2:$AG$511,"*e)*")</f>
        <v>1</v>
      </c>
      <c r="S256" s="52">
        <f t="shared" si="307"/>
        <v>4</v>
      </c>
      <c r="T256" s="3"/>
      <c r="U256" s="51">
        <f t="shared" si="308"/>
        <v>0</v>
      </c>
      <c r="V256" s="52" t="e">
        <f t="shared" si="309"/>
        <v>#DIV/0!</v>
      </c>
      <c r="W256" s="53">
        <f>COUNTIFS('00 Encuesta'!$B$2:$B$511,"*a)*",'00 Encuesta'!$C$2:$C$511,"*c)*",'00 Encuesta'!$E$2:$E$511,"*a)*",'00 Encuesta'!$AG$2:$AG$511,"*e)*")</f>
        <v>0</v>
      </c>
      <c r="X256" s="52" t="e">
        <f t="shared" si="310"/>
        <v>#DIV/0!</v>
      </c>
      <c r="Y256" s="53">
        <f>COUNTIFS('00 Encuesta'!$B$2:$B$511,"*a)*",'00 Encuesta'!$C$2:$C$511,"*c)*",'00 Encuesta'!$E$2:$E$511,"*b)*",'00 Encuesta'!$AG$2:$AG$511,"*e)*")</f>
        <v>0</v>
      </c>
      <c r="Z256" s="52" t="e">
        <f t="shared" si="311"/>
        <v>#DIV/0!</v>
      </c>
      <c r="AA256" s="3"/>
      <c r="AB256" s="62">
        <f t="shared" si="312"/>
        <v>3</v>
      </c>
      <c r="AC256" s="52">
        <f t="shared" si="313"/>
        <v>3.8461538461538463</v>
      </c>
      <c r="AD256" s="3"/>
      <c r="AE256" s="3"/>
      <c r="AF256" s="9" t="str">
        <f t="shared" si="314"/>
        <v>e) La mayor posibilidad de vivir mi fe</v>
      </c>
      <c r="AG256" s="72">
        <f t="shared" si="315"/>
        <v>9.0909090909090917</v>
      </c>
      <c r="AH256" s="72">
        <f t="shared" si="316"/>
        <v>0</v>
      </c>
      <c r="AI256" s="73">
        <f t="shared" si="317"/>
        <v>5</v>
      </c>
      <c r="AJ256" s="73"/>
      <c r="AK256" s="76">
        <f t="shared" si="318"/>
        <v>0</v>
      </c>
      <c r="AL256" s="76">
        <f t="shared" si="319"/>
        <v>4</v>
      </c>
      <c r="AM256" s="76">
        <f t="shared" si="320"/>
        <v>2.6315789473684208</v>
      </c>
      <c r="AN256" s="76"/>
      <c r="AO256" s="81" t="e">
        <f t="shared" si="321"/>
        <v>#DIV/0!</v>
      </c>
      <c r="AP256" s="81" t="e">
        <f t="shared" si="322"/>
        <v>#DIV/0!</v>
      </c>
      <c r="AQ256" s="81" t="e">
        <f t="shared" si="323"/>
        <v>#DIV/0!</v>
      </c>
      <c r="AR256" s="3"/>
      <c r="AS256" s="76">
        <f t="shared" si="227"/>
        <v>3.8461538461538463</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ht="15" x14ac:dyDescent="0.25">
      <c r="A257" s="8" t="s">
        <v>45</v>
      </c>
      <c r="B257" s="9" t="s">
        <v>187</v>
      </c>
      <c r="C257" s="7"/>
      <c r="D257" s="7"/>
      <c r="E257" s="7"/>
      <c r="F257" s="71"/>
      <c r="G257" s="51">
        <f t="shared" si="300"/>
        <v>1</v>
      </c>
      <c r="H257" s="52">
        <f t="shared" si="301"/>
        <v>2.5</v>
      </c>
      <c r="I257" s="53">
        <f>COUNTIFS('00 Encuesta'!$B$2:$B$511,"*a)*",'00 Encuesta'!$C$2:$C$511,"*a)*",'00 Encuesta'!$E$2:$E$511,"*a)*",'00 Encuesta'!$AG$2:$AG$511,"*f)*")</f>
        <v>0</v>
      </c>
      <c r="J257" s="52">
        <f t="shared" si="302"/>
        <v>0</v>
      </c>
      <c r="K257" s="53">
        <f>COUNTIFS('00 Encuesta'!$B$2:$B$511,"*a)*",'00 Encuesta'!$C$2:$C$511,"*a)*",'00 Encuesta'!$E$2:$E$511,"*b)*",'00 Encuesta'!$AG$2:$AG$511,"*f)*")</f>
        <v>1</v>
      </c>
      <c r="L257" s="52">
        <f t="shared" si="303"/>
        <v>5.5555555555555554</v>
      </c>
      <c r="M257" s="23"/>
      <c r="N257" s="51">
        <f t="shared" si="304"/>
        <v>0</v>
      </c>
      <c r="O257" s="52">
        <f t="shared" si="305"/>
        <v>0</v>
      </c>
      <c r="P257" s="53">
        <f>COUNTIFS('00 Encuesta'!$B$2:$B$511,"*a)*",'00 Encuesta'!$C$2:$C$511,"*b)*",'00 Encuesta'!$E$2:$E$511,"*a)*",'00 Encuesta'!$AG$2:$AG$511,"*f)*")</f>
        <v>0</v>
      </c>
      <c r="Q257" s="52">
        <f t="shared" si="306"/>
        <v>0</v>
      </c>
      <c r="R257" s="53">
        <f>COUNTIFS('00 Encuesta'!$B$2:$B$511,"*a)*",'00 Encuesta'!$C$2:$C$511,"*b)*",'00 Encuesta'!$E$2:$E$511,"*b)*",'00 Encuesta'!$AG$2:$AG$511,"*f)*")</f>
        <v>0</v>
      </c>
      <c r="S257" s="52">
        <f t="shared" si="307"/>
        <v>0</v>
      </c>
      <c r="T257" s="3"/>
      <c r="U257" s="51">
        <f t="shared" si="308"/>
        <v>0</v>
      </c>
      <c r="V257" s="52" t="e">
        <f t="shared" si="309"/>
        <v>#DIV/0!</v>
      </c>
      <c r="W257" s="53">
        <f>COUNTIFS('00 Encuesta'!$B$2:$B$511,"*a)*",'00 Encuesta'!$C$2:$C$511,"*c)*",'00 Encuesta'!$E$2:$E$511,"*a)*",'00 Encuesta'!$AG$2:$AG$511,"*f)*")</f>
        <v>0</v>
      </c>
      <c r="X257" s="52" t="e">
        <f t="shared" si="310"/>
        <v>#DIV/0!</v>
      </c>
      <c r="Y257" s="53">
        <f>COUNTIFS('00 Encuesta'!$B$2:$B$511,"*a)*",'00 Encuesta'!$C$2:$C$511,"*c)*",'00 Encuesta'!$E$2:$E$511,"*b)*",'00 Encuesta'!$AG$2:$AG$511,"*f)*")</f>
        <v>0</v>
      </c>
      <c r="Z257" s="52" t="e">
        <f t="shared" si="311"/>
        <v>#DIV/0!</v>
      </c>
      <c r="AA257" s="3"/>
      <c r="AB257" s="62">
        <f t="shared" si="312"/>
        <v>1</v>
      </c>
      <c r="AC257" s="52">
        <f t="shared" si="313"/>
        <v>1.2820512820512822</v>
      </c>
      <c r="AD257" s="3"/>
      <c r="AE257" s="3"/>
      <c r="AF257" s="9" t="str">
        <f t="shared" si="314"/>
        <v>f) La igualdad de trato que se da a todos</v>
      </c>
      <c r="AG257" s="72">
        <f t="shared" si="315"/>
        <v>0</v>
      </c>
      <c r="AH257" s="72">
        <f t="shared" si="316"/>
        <v>5.5555555555555554</v>
      </c>
      <c r="AI257" s="73">
        <f t="shared" si="317"/>
        <v>2.5</v>
      </c>
      <c r="AJ257" s="73"/>
      <c r="AK257" s="76">
        <f t="shared" si="318"/>
        <v>0</v>
      </c>
      <c r="AL257" s="76">
        <f t="shared" si="319"/>
        <v>0</v>
      </c>
      <c r="AM257" s="76">
        <f t="shared" si="320"/>
        <v>0</v>
      </c>
      <c r="AN257" s="76"/>
      <c r="AO257" s="81" t="e">
        <f t="shared" si="321"/>
        <v>#DIV/0!</v>
      </c>
      <c r="AP257" s="81" t="e">
        <f t="shared" si="322"/>
        <v>#DIV/0!</v>
      </c>
      <c r="AQ257" s="81" t="e">
        <f t="shared" si="323"/>
        <v>#DIV/0!</v>
      </c>
      <c r="AR257" s="3"/>
      <c r="AS257" s="76">
        <f t="shared" si="227"/>
        <v>1.2820512820512822</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4</v>
      </c>
      <c r="H258" s="52">
        <f t="shared" si="301"/>
        <v>10</v>
      </c>
      <c r="I258" s="53">
        <f>COUNTIFS('00 Encuesta'!$B$2:$B$511,"*a)*",'00 Encuesta'!$C$2:$C$511,"*a)*",'00 Encuesta'!$E$2:$E$511,"*a)*",'00 Encuesta'!$AG$2:$AG$511,"*g)*")</f>
        <v>3</v>
      </c>
      <c r="J258" s="52">
        <f t="shared" si="302"/>
        <v>13.636363636363635</v>
      </c>
      <c r="K258" s="53">
        <f>COUNTIFS('00 Encuesta'!$B$2:$B$511,"*a)*",'00 Encuesta'!$C$2:$C$511,"*a)*",'00 Encuesta'!$E$2:$E$511,"*b)*",'00 Encuesta'!$AG$2:$AG$511,"*g)*")</f>
        <v>1</v>
      </c>
      <c r="L258" s="52">
        <f t="shared" si="303"/>
        <v>5.5555555555555554</v>
      </c>
      <c r="M258" s="23"/>
      <c r="N258" s="51">
        <f t="shared" si="304"/>
        <v>4</v>
      </c>
      <c r="O258" s="52">
        <f t="shared" si="305"/>
        <v>10.526315789473683</v>
      </c>
      <c r="P258" s="53">
        <f>COUNTIFS('00 Encuesta'!$B$2:$B$511,"*a)*",'00 Encuesta'!$C$2:$C$511,"*b)*",'00 Encuesta'!$E$2:$E$511,"*a)*",'00 Encuesta'!$AG$2:$AG$511,"*g)*")</f>
        <v>3</v>
      </c>
      <c r="Q258" s="52">
        <f t="shared" si="306"/>
        <v>23.076923076923077</v>
      </c>
      <c r="R258" s="53">
        <f>COUNTIFS('00 Encuesta'!$B$2:$B$511,"*a)*",'00 Encuesta'!$C$2:$C$511,"*b)*",'00 Encuesta'!$E$2:$E$511,"*b)*",'00 Encuesta'!$AG$2:$AG$511,"*g)*")</f>
        <v>1</v>
      </c>
      <c r="S258" s="52">
        <f t="shared" si="307"/>
        <v>4</v>
      </c>
      <c r="T258" s="3"/>
      <c r="U258" s="51">
        <f t="shared" si="308"/>
        <v>0</v>
      </c>
      <c r="V258" s="52" t="e">
        <f t="shared" si="309"/>
        <v>#DIV/0!</v>
      </c>
      <c r="W258" s="53">
        <f>COUNTIFS('00 Encuesta'!$B$2:$B$511,"*a)*",'00 Encuesta'!$C$2:$C$511,"*c)*",'00 Encuesta'!$E$2:$E$511,"*a)*",'00 Encuesta'!$AG$2:$AG$511,"*g)*")</f>
        <v>0</v>
      </c>
      <c r="X258" s="52" t="e">
        <f t="shared" si="310"/>
        <v>#DIV/0!</v>
      </c>
      <c r="Y258" s="53">
        <f>COUNTIFS('00 Encuesta'!$B$2:$B$511,"*a)*",'00 Encuesta'!$C$2:$C$511,"*c)*",'00 Encuesta'!$E$2:$E$511,"*b)*",'00 Encuesta'!$AG$2:$AG$511,"*g)*")</f>
        <v>0</v>
      </c>
      <c r="Z258" s="52" t="e">
        <f t="shared" si="311"/>
        <v>#DIV/0!</v>
      </c>
      <c r="AA258" s="3"/>
      <c r="AB258" s="62">
        <f t="shared" si="312"/>
        <v>8</v>
      </c>
      <c r="AC258" s="52">
        <f t="shared" si="313"/>
        <v>10.256410256410257</v>
      </c>
      <c r="AD258" s="3"/>
      <c r="AE258" s="3"/>
      <c r="AF258" s="9" t="str">
        <f t="shared" si="314"/>
        <v>g) La relación con los docentes</v>
      </c>
      <c r="AG258" s="72">
        <f t="shared" si="315"/>
        <v>13.636363636363635</v>
      </c>
      <c r="AH258" s="72">
        <f t="shared" si="316"/>
        <v>5.5555555555555554</v>
      </c>
      <c r="AI258" s="73">
        <f t="shared" si="317"/>
        <v>10</v>
      </c>
      <c r="AJ258" s="73"/>
      <c r="AK258" s="76">
        <f t="shared" si="318"/>
        <v>23.076923076923077</v>
      </c>
      <c r="AL258" s="76">
        <f t="shared" si="319"/>
        <v>4</v>
      </c>
      <c r="AM258" s="76">
        <f t="shared" si="320"/>
        <v>10.526315789473683</v>
      </c>
      <c r="AN258" s="76"/>
      <c r="AO258" s="81" t="e">
        <f t="shared" si="321"/>
        <v>#DIV/0!</v>
      </c>
      <c r="AP258" s="81" t="e">
        <f t="shared" si="322"/>
        <v>#DIV/0!</v>
      </c>
      <c r="AQ258" s="81" t="e">
        <f t="shared" si="323"/>
        <v>#DIV/0!</v>
      </c>
      <c r="AR258" s="3"/>
      <c r="AS258" s="76">
        <f t="shared" si="227"/>
        <v>10.256410256410257</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ht="15" x14ac:dyDescent="0.25">
      <c r="A259" s="8" t="s">
        <v>63</v>
      </c>
      <c r="B259" s="9" t="s">
        <v>189</v>
      </c>
      <c r="C259" s="7"/>
      <c r="D259" s="7"/>
      <c r="E259" s="7"/>
      <c r="F259" s="71"/>
      <c r="G259" s="51">
        <f t="shared" si="300"/>
        <v>7</v>
      </c>
      <c r="H259" s="52">
        <f t="shared" si="301"/>
        <v>17.5</v>
      </c>
      <c r="I259" s="53">
        <f>COUNTIFS('00 Encuesta'!$B$2:$B$511,"*a)*",'00 Encuesta'!$C$2:$C$511,"*a)*",'00 Encuesta'!$E$2:$E$511,"*a)*",'00 Encuesta'!$AG$2:$AG$511,"*h)*")</f>
        <v>4</v>
      </c>
      <c r="J259" s="52">
        <f t="shared" si="302"/>
        <v>18.181818181818183</v>
      </c>
      <c r="K259" s="53">
        <f>COUNTIFS('00 Encuesta'!$B$2:$B$511,"*a)*",'00 Encuesta'!$C$2:$C$511,"*a)*",'00 Encuesta'!$E$2:$E$511,"*b)*",'00 Encuesta'!$AG$2:$AG$511,"*h)*")</f>
        <v>3</v>
      </c>
      <c r="L259" s="52">
        <f t="shared" si="303"/>
        <v>16.666666666666664</v>
      </c>
      <c r="M259" s="23"/>
      <c r="N259" s="51">
        <f t="shared" si="304"/>
        <v>3</v>
      </c>
      <c r="O259" s="52">
        <f t="shared" si="305"/>
        <v>7.8947368421052628</v>
      </c>
      <c r="P259" s="53">
        <f>COUNTIFS('00 Encuesta'!$B$2:$B$511,"*a)*",'00 Encuesta'!$C$2:$C$511,"*b)*",'00 Encuesta'!$E$2:$E$511,"*a)*",'00 Encuesta'!$AG$2:$AG$511,"*h)*")</f>
        <v>0</v>
      </c>
      <c r="Q259" s="52">
        <f t="shared" si="306"/>
        <v>0</v>
      </c>
      <c r="R259" s="53">
        <f>COUNTIFS('00 Encuesta'!$B$2:$B$511,"*a)*",'00 Encuesta'!$C$2:$C$511,"*b)*",'00 Encuesta'!$E$2:$E$511,"*b)*",'00 Encuesta'!$AG$2:$AG$511,"*h)*")</f>
        <v>3</v>
      </c>
      <c r="S259" s="52">
        <f t="shared" si="307"/>
        <v>12</v>
      </c>
      <c r="T259" s="3"/>
      <c r="U259" s="51">
        <f t="shared" si="308"/>
        <v>0</v>
      </c>
      <c r="V259" s="52" t="e">
        <f t="shared" si="309"/>
        <v>#DIV/0!</v>
      </c>
      <c r="W259" s="53">
        <f>COUNTIFS('00 Encuesta'!$B$2:$B$511,"*a)*",'00 Encuesta'!$C$2:$C$511,"*c)*",'00 Encuesta'!$E$2:$E$511,"*a)*",'00 Encuesta'!$AG$2:$AG$511,"*h)*")</f>
        <v>0</v>
      </c>
      <c r="X259" s="52" t="e">
        <f t="shared" si="310"/>
        <v>#DIV/0!</v>
      </c>
      <c r="Y259" s="53">
        <f>COUNTIFS('00 Encuesta'!$B$2:$B$511,"*a)*",'00 Encuesta'!$C$2:$C$511,"*c)*",'00 Encuesta'!$E$2:$E$511,"*b)*",'00 Encuesta'!$AG$2:$AG$511,"*h)*")</f>
        <v>0</v>
      </c>
      <c r="Z259" s="52" t="e">
        <f t="shared" si="311"/>
        <v>#DIV/0!</v>
      </c>
      <c r="AA259" s="3"/>
      <c r="AB259" s="62">
        <f t="shared" si="312"/>
        <v>10</v>
      </c>
      <c r="AC259" s="52">
        <f t="shared" si="313"/>
        <v>12.820512820512821</v>
      </c>
      <c r="AD259" s="3"/>
      <c r="AE259" s="3"/>
      <c r="AF259" s="9" t="str">
        <f t="shared" si="314"/>
        <v>h) Las actividades extraescolares</v>
      </c>
      <c r="AG259" s="72">
        <f t="shared" si="315"/>
        <v>18.181818181818183</v>
      </c>
      <c r="AH259" s="72">
        <f t="shared" si="316"/>
        <v>16.666666666666664</v>
      </c>
      <c r="AI259" s="73">
        <f t="shared" si="317"/>
        <v>17.5</v>
      </c>
      <c r="AJ259" s="73"/>
      <c r="AK259" s="76">
        <f t="shared" si="318"/>
        <v>0</v>
      </c>
      <c r="AL259" s="76">
        <f t="shared" si="319"/>
        <v>12</v>
      </c>
      <c r="AM259" s="76">
        <f t="shared" si="320"/>
        <v>7.8947368421052628</v>
      </c>
      <c r="AN259" s="76"/>
      <c r="AO259" s="81" t="e">
        <f t="shared" si="321"/>
        <v>#DIV/0!</v>
      </c>
      <c r="AP259" s="81" t="e">
        <f t="shared" si="322"/>
        <v>#DIV/0!</v>
      </c>
      <c r="AQ259" s="81" t="e">
        <f t="shared" si="323"/>
        <v>#DIV/0!</v>
      </c>
      <c r="AR259" s="3"/>
      <c r="AS259" s="76">
        <f t="shared" si="227"/>
        <v>12.820512820512821</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ht="15" x14ac:dyDescent="0.25">
      <c r="A260" s="8" t="s">
        <v>65</v>
      </c>
      <c r="B260" s="9" t="s">
        <v>190</v>
      </c>
      <c r="C260" s="7"/>
      <c r="D260" s="7"/>
      <c r="E260" s="7"/>
      <c r="F260" s="71"/>
      <c r="G260" s="51">
        <f t="shared" si="300"/>
        <v>1</v>
      </c>
      <c r="H260" s="52">
        <f t="shared" si="301"/>
        <v>2.5</v>
      </c>
      <c r="I260" s="53">
        <f>COUNTIFS('00 Encuesta'!$B$2:$B$511,"*a)*",'00 Encuesta'!$C$2:$C$511,"*a)*",'00 Encuesta'!$E$2:$E$511,"*a)*",'00 Encuesta'!$AG$2:$AG$511,"*i)*")</f>
        <v>0</v>
      </c>
      <c r="J260" s="52">
        <f t="shared" si="302"/>
        <v>0</v>
      </c>
      <c r="K260" s="53">
        <f>COUNTIFS('00 Encuesta'!$B$2:$B$511,"*a)*",'00 Encuesta'!$C$2:$C$511,"*a)*",'00 Encuesta'!$E$2:$E$511,"*b)*",'00 Encuesta'!$AG$2:$AG$511,"*i)*")</f>
        <v>1</v>
      </c>
      <c r="L260" s="52">
        <f t="shared" si="303"/>
        <v>5.5555555555555554</v>
      </c>
      <c r="M260" s="23"/>
      <c r="N260" s="51">
        <f t="shared" si="304"/>
        <v>3</v>
      </c>
      <c r="O260" s="52">
        <f t="shared" si="305"/>
        <v>7.8947368421052628</v>
      </c>
      <c r="P260" s="53">
        <f>COUNTIFS('00 Encuesta'!$B$2:$B$511,"*a)*",'00 Encuesta'!$C$2:$C$511,"*b)*",'00 Encuesta'!$E$2:$E$511,"*a)*",'00 Encuesta'!$AG$2:$AG$511,"*i)*")</f>
        <v>1</v>
      </c>
      <c r="Q260" s="52">
        <f t="shared" si="306"/>
        <v>7.6923076923076925</v>
      </c>
      <c r="R260" s="53">
        <f>COUNTIFS('00 Encuesta'!$B$2:$B$511,"*a)*",'00 Encuesta'!$C$2:$C$511,"*b)*",'00 Encuesta'!$E$2:$E$511,"*b)*",'00 Encuesta'!$AG$2:$AG$511,"*i)*")</f>
        <v>2</v>
      </c>
      <c r="S260" s="52">
        <f t="shared" si="307"/>
        <v>8</v>
      </c>
      <c r="T260" s="3"/>
      <c r="U260" s="51">
        <f t="shared" si="308"/>
        <v>0</v>
      </c>
      <c r="V260" s="52" t="e">
        <f t="shared" si="309"/>
        <v>#DIV/0!</v>
      </c>
      <c r="W260" s="53">
        <f>COUNTIFS('00 Encuesta'!$B$2:$B$511,"*a)*",'00 Encuesta'!$C$2:$C$511,"*c)*",'00 Encuesta'!$E$2:$E$511,"*a)*",'00 Encuesta'!$AG$2:$AG$511,"*i)*")</f>
        <v>0</v>
      </c>
      <c r="X260" s="52" t="e">
        <f t="shared" si="310"/>
        <v>#DIV/0!</v>
      </c>
      <c r="Y260" s="53">
        <f>COUNTIFS('00 Encuesta'!$B$2:$B$511,"*a)*",'00 Encuesta'!$C$2:$C$511,"*c)*",'00 Encuesta'!$E$2:$E$511,"*b)*",'00 Encuesta'!$AG$2:$AG$511,"*i)*")</f>
        <v>0</v>
      </c>
      <c r="Z260" s="52" t="e">
        <f t="shared" si="311"/>
        <v>#DIV/0!</v>
      </c>
      <c r="AA260" s="3"/>
      <c r="AB260" s="62">
        <f t="shared" si="312"/>
        <v>4</v>
      </c>
      <c r="AC260" s="52">
        <f t="shared" si="313"/>
        <v>5.1282051282051286</v>
      </c>
      <c r="AD260" s="3"/>
      <c r="AE260" s="3"/>
      <c r="AF260" s="9" t="str">
        <f t="shared" si="314"/>
        <v>i) No me gusta nada</v>
      </c>
      <c r="AG260" s="72">
        <f t="shared" si="315"/>
        <v>0</v>
      </c>
      <c r="AH260" s="72">
        <f t="shared" si="316"/>
        <v>5.5555555555555554</v>
      </c>
      <c r="AI260" s="73">
        <f t="shared" si="317"/>
        <v>2.5</v>
      </c>
      <c r="AJ260" s="73"/>
      <c r="AK260" s="76">
        <f t="shared" si="318"/>
        <v>7.6923076923076925</v>
      </c>
      <c r="AL260" s="76">
        <f t="shared" si="319"/>
        <v>8</v>
      </c>
      <c r="AM260" s="76">
        <f t="shared" si="320"/>
        <v>7.8947368421052628</v>
      </c>
      <c r="AN260" s="76"/>
      <c r="AO260" s="81" t="e">
        <f t="shared" si="321"/>
        <v>#DIV/0!</v>
      </c>
      <c r="AP260" s="81" t="e">
        <f t="shared" si="322"/>
        <v>#DIV/0!</v>
      </c>
      <c r="AQ260" s="81" t="e">
        <f t="shared" si="323"/>
        <v>#DIV/0!</v>
      </c>
      <c r="AR260" s="3"/>
      <c r="AS260" s="76">
        <f t="shared" si="227"/>
        <v>5.1282051282051286</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ht="15" x14ac:dyDescent="0.25">
      <c r="A261" s="8" t="s">
        <v>23</v>
      </c>
      <c r="B261" s="9" t="s">
        <v>24</v>
      </c>
      <c r="C261" s="7"/>
      <c r="D261" s="7"/>
      <c r="E261" s="7"/>
      <c r="F261" s="71"/>
      <c r="G261" s="51">
        <f t="shared" si="300"/>
        <v>0</v>
      </c>
      <c r="H261" s="52">
        <f t="shared" si="301"/>
        <v>0</v>
      </c>
      <c r="I261" s="53"/>
      <c r="J261" s="52">
        <f t="shared" si="302"/>
        <v>0</v>
      </c>
      <c r="K261" s="53"/>
      <c r="L261" s="52">
        <f t="shared" si="303"/>
        <v>0</v>
      </c>
      <c r="M261" s="23"/>
      <c r="N261" s="51">
        <f t="shared" si="304"/>
        <v>0</v>
      </c>
      <c r="O261" s="52">
        <f t="shared" si="305"/>
        <v>0</v>
      </c>
      <c r="P261" s="53"/>
      <c r="Q261" s="52">
        <f t="shared" si="306"/>
        <v>0</v>
      </c>
      <c r="R261" s="53"/>
      <c r="S261" s="52">
        <f t="shared" si="307"/>
        <v>0</v>
      </c>
      <c r="T261" s="3"/>
      <c r="U261" s="51">
        <f t="shared" si="308"/>
        <v>0</v>
      </c>
      <c r="V261" s="52" t="e">
        <f t="shared" si="309"/>
        <v>#DIV/0!</v>
      </c>
      <c r="W261" s="53"/>
      <c r="X261" s="52" t="e">
        <f t="shared" si="310"/>
        <v>#DIV/0!</v>
      </c>
      <c r="Y261" s="53"/>
      <c r="Z261" s="52" t="e">
        <f t="shared" si="311"/>
        <v>#DIV/0!</v>
      </c>
      <c r="AA261" s="3"/>
      <c r="AB261" s="62">
        <f t="shared" si="312"/>
        <v>0</v>
      </c>
      <c r="AC261" s="52">
        <f t="shared" si="313"/>
        <v>0</v>
      </c>
      <c r="AD261" s="3"/>
      <c r="AE261" s="3"/>
      <c r="AF261" s="9" t="str">
        <f t="shared" si="314"/>
        <v>S/R Sin Respuesta</v>
      </c>
      <c r="AG261" s="72">
        <f t="shared" si="315"/>
        <v>0</v>
      </c>
      <c r="AH261" s="72">
        <f t="shared" si="316"/>
        <v>0</v>
      </c>
      <c r="AI261" s="73">
        <f t="shared" si="317"/>
        <v>0</v>
      </c>
      <c r="AJ261" s="73"/>
      <c r="AK261" s="76">
        <f t="shared" si="318"/>
        <v>0</v>
      </c>
      <c r="AL261" s="76">
        <f t="shared" si="319"/>
        <v>0</v>
      </c>
      <c r="AM261" s="76">
        <f t="shared" si="320"/>
        <v>0</v>
      </c>
      <c r="AN261" s="76"/>
      <c r="AO261" s="81" t="e">
        <f t="shared" si="321"/>
        <v>#DIV/0!</v>
      </c>
      <c r="AP261" s="81" t="e">
        <f t="shared" si="322"/>
        <v>#DIV/0!</v>
      </c>
      <c r="AQ261" s="81" t="e">
        <f t="shared" si="323"/>
        <v>#DIV/0!</v>
      </c>
      <c r="AR261" s="3"/>
      <c r="AS261" s="76">
        <f t="shared" si="227"/>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ht="15" x14ac:dyDescent="0.25">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ht="15" x14ac:dyDescent="0.25">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ht="15" x14ac:dyDescent="0.25">
      <c r="A264" s="8" t="s">
        <v>17</v>
      </c>
      <c r="B264" s="9" t="s">
        <v>192</v>
      </c>
      <c r="C264" s="7"/>
      <c r="D264" s="7"/>
      <c r="E264" s="7"/>
      <c r="F264" s="71"/>
      <c r="G264" s="51">
        <f t="shared" ref="G264:G270" si="324">I264+K264</f>
        <v>8</v>
      </c>
      <c r="H264" s="52">
        <f t="shared" ref="H264:H270" si="325">G264/$J$5*100</f>
        <v>20</v>
      </c>
      <c r="I264" s="53">
        <f>COUNTIFS('00 Encuesta'!$B$2:$B$511,"*a)*",'00 Encuesta'!$C$2:$C$511,"*a)*",'00 Encuesta'!$E$2:$E$511,"*a)*",'00 Encuesta'!$AI$2:$AI$511,"*a)*")</f>
        <v>3</v>
      </c>
      <c r="J264" s="52">
        <f t="shared" ref="J264:J270" si="326">I264/$J$6*100</f>
        <v>13.636363636363635</v>
      </c>
      <c r="K264" s="53">
        <f>COUNTIFS('00 Encuesta'!$B$2:$B$511,"*a)*",'00 Encuesta'!$C$2:$C$511,"*a)*",'00 Encuesta'!$E$2:$E$511,"*b)*",'00 Encuesta'!$AI$2:$AI$511,"*a)*")</f>
        <v>5</v>
      </c>
      <c r="L264" s="52">
        <f t="shared" ref="L264:L270" si="327">K264/$J$7*100</f>
        <v>27.777777777777779</v>
      </c>
      <c r="M264" s="23"/>
      <c r="N264" s="51">
        <f t="shared" ref="N264:N270" si="328">P264+R264</f>
        <v>14</v>
      </c>
      <c r="O264" s="52">
        <f t="shared" ref="O264:O270" si="329">N264/$Q$5*100</f>
        <v>36.84210526315789</v>
      </c>
      <c r="P264" s="53">
        <f>COUNTIFS('00 Encuesta'!$B$2:$B$511,"*a)*",'00 Encuesta'!$C$2:$C$511,"*b)*",'00 Encuesta'!$E$2:$E$511,"*a)*",'00 Encuesta'!$AI$2:$AI$511,"*a)*")</f>
        <v>6</v>
      </c>
      <c r="Q264" s="52">
        <f t="shared" ref="Q264:Q270" si="330">P264/$Q$6*100</f>
        <v>46.153846153846153</v>
      </c>
      <c r="R264" s="53">
        <f>COUNTIFS('00 Encuesta'!$B$2:$B$511,"*a)*",'00 Encuesta'!$C$2:$C$511,"*b)*",'00 Encuesta'!$E$2:$E$511,"*b)*",'00 Encuesta'!$AI$2:$AI$511,"*a)*")</f>
        <v>8</v>
      </c>
      <c r="S264" s="52">
        <f t="shared" ref="S264:S270" si="331">R264/$Q$7*100</f>
        <v>32</v>
      </c>
      <c r="T264" s="3"/>
      <c r="U264" s="51">
        <f t="shared" ref="U264:U270" si="332">W264+Y264</f>
        <v>0</v>
      </c>
      <c r="V264" s="52" t="e">
        <f t="shared" ref="V264:V270" si="333">U264/$X$5*100</f>
        <v>#DIV/0!</v>
      </c>
      <c r="W264" s="53">
        <f>COUNTIFS('00 Encuesta'!$B$2:$B$511,"*a)*",'00 Encuesta'!$C$2:$C$511,"*c)*",'00 Encuesta'!$E$2:$E$511,"*a)*",'00 Encuesta'!$AI$2:$AI$511,"*a)*")</f>
        <v>0</v>
      </c>
      <c r="X264" s="52" t="e">
        <f t="shared" ref="X264:X270" si="334">W264/$X$6*100</f>
        <v>#DIV/0!</v>
      </c>
      <c r="Y264" s="53">
        <f>COUNTIFS('00 Encuesta'!$B$2:$B$511,"*a)*",'00 Encuesta'!$C$2:$C$511,"*c)*",'00 Encuesta'!$E$2:$E$511,"*b)*",'00 Encuesta'!$AI$2:$AI$511,"*a)*")</f>
        <v>0</v>
      </c>
      <c r="Z264" s="52" t="e">
        <f t="shared" ref="Z264:Z270" si="335">Y264/$X$7*100</f>
        <v>#DIV/0!</v>
      </c>
      <c r="AA264" s="3"/>
      <c r="AB264" s="62">
        <f t="shared" ref="AB264:AB270" si="336">G264+N264+U264</f>
        <v>22</v>
      </c>
      <c r="AC264" s="52">
        <f t="shared" ref="AC264:AC270" si="337">AB264*100/$AC$5</f>
        <v>28.205128205128204</v>
      </c>
      <c r="AD264" s="3"/>
      <c r="AE264" s="3"/>
      <c r="AF264" s="9" t="str">
        <f t="shared" ref="AF264:AF270" si="338">A264&amp;" "&amp;B264</f>
        <v>a) De 0 a 2 horas</v>
      </c>
      <c r="AG264" s="72">
        <f t="shared" ref="AG264:AG270" si="339">J264</f>
        <v>13.636363636363635</v>
      </c>
      <c r="AH264" s="72">
        <f t="shared" ref="AH264:AH270" si="340">L264</f>
        <v>27.777777777777779</v>
      </c>
      <c r="AI264" s="73">
        <f t="shared" ref="AI264:AI270" si="341">H264</f>
        <v>20</v>
      </c>
      <c r="AJ264" s="73"/>
      <c r="AK264" s="76">
        <f t="shared" ref="AK264:AK270" si="342">Q264</f>
        <v>46.153846153846153</v>
      </c>
      <c r="AL264" s="76">
        <f t="shared" ref="AL264:AL270" si="343">S264</f>
        <v>32</v>
      </c>
      <c r="AM264" s="76">
        <f t="shared" ref="AM264:AM270" si="344">O264</f>
        <v>36.84210526315789</v>
      </c>
      <c r="AN264" s="76"/>
      <c r="AO264" s="81" t="e">
        <f t="shared" ref="AO264:AO270" si="345">X264</f>
        <v>#DIV/0!</v>
      </c>
      <c r="AP264" s="81" t="e">
        <f t="shared" ref="AP264:AP270" si="346">Z264</f>
        <v>#DIV/0!</v>
      </c>
      <c r="AQ264" s="81" t="e">
        <f t="shared" ref="AQ264:AQ270" si="347">V264</f>
        <v>#DIV/0!</v>
      </c>
      <c r="AR264" s="3"/>
      <c r="AS264" s="76">
        <f t="shared" si="227"/>
        <v>28.205128205128204</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ht="15" x14ac:dyDescent="0.25">
      <c r="A265" s="8" t="s">
        <v>18</v>
      </c>
      <c r="B265" s="9" t="s">
        <v>193</v>
      </c>
      <c r="C265" s="7"/>
      <c r="D265" s="7"/>
      <c r="E265" s="7"/>
      <c r="F265" s="71"/>
      <c r="G265" s="51">
        <f t="shared" si="324"/>
        <v>13</v>
      </c>
      <c r="H265" s="52">
        <f t="shared" si="325"/>
        <v>32.5</v>
      </c>
      <c r="I265" s="53">
        <f>COUNTIFS('00 Encuesta'!$B$2:$B$511,"*a)*",'00 Encuesta'!$C$2:$C$511,"*a)*",'00 Encuesta'!$E$2:$E$511,"*a)*",'00 Encuesta'!$AI$2:$AI$511,"*b)*")</f>
        <v>8</v>
      </c>
      <c r="J265" s="52">
        <f t="shared" si="326"/>
        <v>36.363636363636367</v>
      </c>
      <c r="K265" s="53">
        <f>COUNTIFS('00 Encuesta'!$B$2:$B$511,"*a)*",'00 Encuesta'!$C$2:$C$511,"*a)*",'00 Encuesta'!$E$2:$E$511,"*b)*",'00 Encuesta'!$AI$2:$AI$511,"*b)*")</f>
        <v>5</v>
      </c>
      <c r="L265" s="52">
        <f t="shared" si="327"/>
        <v>27.777777777777779</v>
      </c>
      <c r="M265" s="23"/>
      <c r="N265" s="51">
        <f t="shared" si="328"/>
        <v>8</v>
      </c>
      <c r="O265" s="52">
        <f t="shared" si="329"/>
        <v>21.052631578947366</v>
      </c>
      <c r="P265" s="53">
        <f>COUNTIFS('00 Encuesta'!$B$2:$B$511,"*a)*",'00 Encuesta'!$C$2:$C$511,"*b)*",'00 Encuesta'!$E$2:$E$511,"*a)*",'00 Encuesta'!$AI$2:$AI$511,"*b)*")</f>
        <v>2</v>
      </c>
      <c r="Q265" s="52">
        <f t="shared" si="330"/>
        <v>15.384615384615385</v>
      </c>
      <c r="R265" s="53">
        <f>COUNTIFS('00 Encuesta'!$B$2:$B$511,"*a)*",'00 Encuesta'!$C$2:$C$511,"*b)*",'00 Encuesta'!$E$2:$E$511,"*b)*",'00 Encuesta'!$AI$2:$AI$511,"*b)*")</f>
        <v>6</v>
      </c>
      <c r="S265" s="52">
        <f t="shared" si="331"/>
        <v>24</v>
      </c>
      <c r="T265" s="3"/>
      <c r="U265" s="51">
        <f t="shared" si="332"/>
        <v>0</v>
      </c>
      <c r="V265" s="52" t="e">
        <f t="shared" si="333"/>
        <v>#DIV/0!</v>
      </c>
      <c r="W265" s="53">
        <f>COUNTIFS('00 Encuesta'!$B$2:$B$511,"*a)*",'00 Encuesta'!$C$2:$C$511,"*c)*",'00 Encuesta'!$E$2:$E$511,"*a)*",'00 Encuesta'!$AI$2:$AI$511,"*b)*")</f>
        <v>0</v>
      </c>
      <c r="X265" s="52" t="e">
        <f t="shared" si="334"/>
        <v>#DIV/0!</v>
      </c>
      <c r="Y265" s="53">
        <f>COUNTIFS('00 Encuesta'!$B$2:$B$511,"*a)*",'00 Encuesta'!$C$2:$C$511,"*c)*",'00 Encuesta'!$E$2:$E$511,"*b)*",'00 Encuesta'!$AI$2:$AI$511,"*b)*")</f>
        <v>0</v>
      </c>
      <c r="Z265" s="52" t="e">
        <f t="shared" si="335"/>
        <v>#DIV/0!</v>
      </c>
      <c r="AA265" s="3"/>
      <c r="AB265" s="62">
        <f t="shared" si="336"/>
        <v>21</v>
      </c>
      <c r="AC265" s="52">
        <f t="shared" si="337"/>
        <v>26.923076923076923</v>
      </c>
      <c r="AD265" s="3"/>
      <c r="AE265" s="3"/>
      <c r="AF265" s="9" t="str">
        <f t="shared" si="338"/>
        <v>b) De 3 a 4 horas</v>
      </c>
      <c r="AG265" s="72">
        <f t="shared" si="339"/>
        <v>36.363636363636367</v>
      </c>
      <c r="AH265" s="72">
        <f t="shared" si="340"/>
        <v>27.777777777777779</v>
      </c>
      <c r="AI265" s="73">
        <f t="shared" si="341"/>
        <v>32.5</v>
      </c>
      <c r="AJ265" s="73"/>
      <c r="AK265" s="76">
        <f t="shared" si="342"/>
        <v>15.384615384615385</v>
      </c>
      <c r="AL265" s="76">
        <f t="shared" si="343"/>
        <v>24</v>
      </c>
      <c r="AM265" s="76">
        <f t="shared" si="344"/>
        <v>21.052631578947366</v>
      </c>
      <c r="AN265" s="76"/>
      <c r="AO265" s="81" t="e">
        <f t="shared" si="345"/>
        <v>#DIV/0!</v>
      </c>
      <c r="AP265" s="81" t="e">
        <f t="shared" si="346"/>
        <v>#DIV/0!</v>
      </c>
      <c r="AQ265" s="81" t="e">
        <f t="shared" si="347"/>
        <v>#DIV/0!</v>
      </c>
      <c r="AR265" s="3"/>
      <c r="AS265" s="76">
        <f t="shared" si="227"/>
        <v>26.923076923076923</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ht="15" x14ac:dyDescent="0.25">
      <c r="A266" s="8" t="s">
        <v>20</v>
      </c>
      <c r="B266" s="9" t="s">
        <v>194</v>
      </c>
      <c r="C266" s="7"/>
      <c r="D266" s="7"/>
      <c r="E266" s="7"/>
      <c r="F266" s="71"/>
      <c r="G266" s="51">
        <f t="shared" si="324"/>
        <v>10</v>
      </c>
      <c r="H266" s="52">
        <f t="shared" si="325"/>
        <v>25</v>
      </c>
      <c r="I266" s="53">
        <f>COUNTIFS('00 Encuesta'!$B$2:$B$511,"*a)*",'00 Encuesta'!$C$2:$C$511,"*a)*",'00 Encuesta'!$E$2:$E$511,"*a)*",'00 Encuesta'!$AI$2:$AI$511,"*c)*")</f>
        <v>5</v>
      </c>
      <c r="J266" s="52">
        <f t="shared" si="326"/>
        <v>22.727272727272727</v>
      </c>
      <c r="K266" s="53">
        <f>COUNTIFS('00 Encuesta'!$B$2:$B$511,"*a)*",'00 Encuesta'!$C$2:$C$511,"*a)*",'00 Encuesta'!$E$2:$E$511,"*b)*",'00 Encuesta'!$AI$2:$AI$511,"*c)*")</f>
        <v>5</v>
      </c>
      <c r="L266" s="52">
        <f t="shared" si="327"/>
        <v>27.777777777777779</v>
      </c>
      <c r="M266" s="23"/>
      <c r="N266" s="51">
        <f t="shared" si="328"/>
        <v>5</v>
      </c>
      <c r="O266" s="52">
        <f t="shared" si="329"/>
        <v>13.157894736842104</v>
      </c>
      <c r="P266" s="53">
        <f>COUNTIFS('00 Encuesta'!$B$2:$B$511,"*a)*",'00 Encuesta'!$C$2:$C$511,"*b)*",'00 Encuesta'!$E$2:$E$511,"*a)*",'00 Encuesta'!$AI$2:$AI$511,"*c)*")</f>
        <v>3</v>
      </c>
      <c r="Q266" s="52">
        <f t="shared" si="330"/>
        <v>23.076923076923077</v>
      </c>
      <c r="R266" s="53">
        <f>COUNTIFS('00 Encuesta'!$B$2:$B$511,"*a)*",'00 Encuesta'!$C$2:$C$511,"*b)*",'00 Encuesta'!$E$2:$E$511,"*b)*",'00 Encuesta'!$AI$2:$AI$511,"*c)*")</f>
        <v>2</v>
      </c>
      <c r="S266" s="52">
        <f t="shared" si="331"/>
        <v>8</v>
      </c>
      <c r="T266" s="3"/>
      <c r="U266" s="51">
        <f t="shared" si="332"/>
        <v>0</v>
      </c>
      <c r="V266" s="52" t="e">
        <f t="shared" si="333"/>
        <v>#DIV/0!</v>
      </c>
      <c r="W266" s="53">
        <f>COUNTIFS('00 Encuesta'!$B$2:$B$511,"*a)*",'00 Encuesta'!$C$2:$C$511,"*c)*",'00 Encuesta'!$E$2:$E$511,"*a)*",'00 Encuesta'!$AI$2:$AI$511,"*c)*")</f>
        <v>0</v>
      </c>
      <c r="X266" s="52" t="e">
        <f t="shared" si="334"/>
        <v>#DIV/0!</v>
      </c>
      <c r="Y266" s="53">
        <f>COUNTIFS('00 Encuesta'!$B$2:$B$511,"*a)*",'00 Encuesta'!$C$2:$C$511,"*c)*",'00 Encuesta'!$E$2:$E$511,"*b)*",'00 Encuesta'!$AI$2:$AI$511,"*c)*")</f>
        <v>0</v>
      </c>
      <c r="Z266" s="52" t="e">
        <f t="shared" si="335"/>
        <v>#DIV/0!</v>
      </c>
      <c r="AA266" s="3"/>
      <c r="AB266" s="62">
        <f t="shared" si="336"/>
        <v>15</v>
      </c>
      <c r="AC266" s="52">
        <f t="shared" si="337"/>
        <v>19.23076923076923</v>
      </c>
      <c r="AD266" s="3"/>
      <c r="AE266" s="3"/>
      <c r="AF266" s="9" t="str">
        <f t="shared" si="338"/>
        <v>c) De 5 a 6 horas</v>
      </c>
      <c r="AG266" s="72">
        <f t="shared" si="339"/>
        <v>22.727272727272727</v>
      </c>
      <c r="AH266" s="72">
        <f t="shared" si="340"/>
        <v>27.777777777777779</v>
      </c>
      <c r="AI266" s="73">
        <f t="shared" si="341"/>
        <v>25</v>
      </c>
      <c r="AJ266" s="73"/>
      <c r="AK266" s="76">
        <f t="shared" si="342"/>
        <v>23.076923076923077</v>
      </c>
      <c r="AL266" s="76">
        <f t="shared" si="343"/>
        <v>8</v>
      </c>
      <c r="AM266" s="76">
        <f t="shared" si="344"/>
        <v>13.157894736842104</v>
      </c>
      <c r="AN266" s="76"/>
      <c r="AO266" s="81" t="e">
        <f t="shared" si="345"/>
        <v>#DIV/0!</v>
      </c>
      <c r="AP266" s="81" t="e">
        <f t="shared" si="346"/>
        <v>#DIV/0!</v>
      </c>
      <c r="AQ266" s="81" t="e">
        <f t="shared" si="347"/>
        <v>#DIV/0!</v>
      </c>
      <c r="AR266" s="3"/>
      <c r="AS266" s="76">
        <f t="shared" si="227"/>
        <v>19.23076923076923</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ht="15" x14ac:dyDescent="0.25">
      <c r="A267" s="8" t="s">
        <v>21</v>
      </c>
      <c r="B267" s="9" t="s">
        <v>195</v>
      </c>
      <c r="C267" s="7"/>
      <c r="D267" s="7"/>
      <c r="E267" s="7"/>
      <c r="F267" s="71"/>
      <c r="G267" s="51">
        <f t="shared" si="324"/>
        <v>5</v>
      </c>
      <c r="H267" s="52">
        <f t="shared" si="325"/>
        <v>12.5</v>
      </c>
      <c r="I267" s="53">
        <f>COUNTIFS('00 Encuesta'!$B$2:$B$511,"*a)*",'00 Encuesta'!$C$2:$C$511,"*a)*",'00 Encuesta'!$E$2:$E$511,"*a)*",'00 Encuesta'!$AI$2:$AI$511,"*d)*")</f>
        <v>2</v>
      </c>
      <c r="J267" s="52">
        <f t="shared" si="326"/>
        <v>9.0909090909090917</v>
      </c>
      <c r="K267" s="53">
        <f>COUNTIFS('00 Encuesta'!$B$2:$B$511,"*a)*",'00 Encuesta'!$C$2:$C$511,"*a)*",'00 Encuesta'!$E$2:$E$511,"*b)*",'00 Encuesta'!$AI$2:$AI$511,"*d)*")</f>
        <v>3</v>
      </c>
      <c r="L267" s="52">
        <f t="shared" si="327"/>
        <v>16.666666666666664</v>
      </c>
      <c r="M267" s="23"/>
      <c r="N267" s="51">
        <f t="shared" si="328"/>
        <v>4</v>
      </c>
      <c r="O267" s="52">
        <f t="shared" si="329"/>
        <v>10.526315789473683</v>
      </c>
      <c r="P267" s="53">
        <f>COUNTIFS('00 Encuesta'!$B$2:$B$511,"*a)*",'00 Encuesta'!$C$2:$C$511,"*b)*",'00 Encuesta'!$E$2:$E$511,"*a)*",'00 Encuesta'!$AI$2:$AI$511,"*d)*")</f>
        <v>0</v>
      </c>
      <c r="Q267" s="52">
        <f t="shared" si="330"/>
        <v>0</v>
      </c>
      <c r="R267" s="53">
        <f>COUNTIFS('00 Encuesta'!$B$2:$B$511,"*a)*",'00 Encuesta'!$C$2:$C$511,"*b)*",'00 Encuesta'!$E$2:$E$511,"*b)*",'00 Encuesta'!$AI$2:$AI$511,"*d)*")</f>
        <v>4</v>
      </c>
      <c r="S267" s="52">
        <f t="shared" si="331"/>
        <v>16</v>
      </c>
      <c r="T267" s="3"/>
      <c r="U267" s="51">
        <f t="shared" si="332"/>
        <v>0</v>
      </c>
      <c r="V267" s="52" t="e">
        <f t="shared" si="333"/>
        <v>#DIV/0!</v>
      </c>
      <c r="W267" s="53">
        <f>COUNTIFS('00 Encuesta'!$B$2:$B$511,"*a)*",'00 Encuesta'!$C$2:$C$511,"*c)*",'00 Encuesta'!$E$2:$E$511,"*a)*",'00 Encuesta'!$AI$2:$AI$511,"*d)*")</f>
        <v>0</v>
      </c>
      <c r="X267" s="52" t="e">
        <f t="shared" si="334"/>
        <v>#DIV/0!</v>
      </c>
      <c r="Y267" s="53">
        <f>COUNTIFS('00 Encuesta'!$B$2:$B$511,"*a)*",'00 Encuesta'!$C$2:$C$511,"*c)*",'00 Encuesta'!$E$2:$E$511,"*b)*",'00 Encuesta'!$AI$2:$AI$511,"*d)*")</f>
        <v>0</v>
      </c>
      <c r="Z267" s="52" t="e">
        <f t="shared" si="335"/>
        <v>#DIV/0!</v>
      </c>
      <c r="AA267" s="3"/>
      <c r="AB267" s="62">
        <f t="shared" si="336"/>
        <v>9</v>
      </c>
      <c r="AC267" s="52">
        <f t="shared" si="337"/>
        <v>11.538461538461538</v>
      </c>
      <c r="AD267" s="3"/>
      <c r="AE267" s="3"/>
      <c r="AF267" s="9" t="str">
        <f t="shared" si="338"/>
        <v>d) De 7 a 8 horas</v>
      </c>
      <c r="AG267" s="72">
        <f t="shared" si="339"/>
        <v>9.0909090909090917</v>
      </c>
      <c r="AH267" s="72">
        <f t="shared" si="340"/>
        <v>16.666666666666664</v>
      </c>
      <c r="AI267" s="73">
        <f t="shared" si="341"/>
        <v>12.5</v>
      </c>
      <c r="AJ267" s="73"/>
      <c r="AK267" s="76">
        <f t="shared" si="342"/>
        <v>0</v>
      </c>
      <c r="AL267" s="76">
        <f t="shared" si="343"/>
        <v>16</v>
      </c>
      <c r="AM267" s="76">
        <f t="shared" si="344"/>
        <v>10.526315789473683</v>
      </c>
      <c r="AN267" s="76"/>
      <c r="AO267" s="81" t="e">
        <f t="shared" si="345"/>
        <v>#DIV/0!</v>
      </c>
      <c r="AP267" s="81" t="e">
        <f t="shared" si="346"/>
        <v>#DIV/0!</v>
      </c>
      <c r="AQ267" s="81" t="e">
        <f t="shared" si="347"/>
        <v>#DIV/0!</v>
      </c>
      <c r="AR267" s="3"/>
      <c r="AS267" s="76">
        <f t="shared" si="227"/>
        <v>11.538461538461538</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ht="15" x14ac:dyDescent="0.25">
      <c r="A268" s="8" t="s">
        <v>22</v>
      </c>
      <c r="B268" s="9" t="s">
        <v>196</v>
      </c>
      <c r="C268" s="7"/>
      <c r="D268" s="7"/>
      <c r="E268" s="7"/>
      <c r="F268" s="71"/>
      <c r="G268" s="51">
        <f t="shared" si="324"/>
        <v>0</v>
      </c>
      <c r="H268" s="52">
        <f t="shared" si="325"/>
        <v>0</v>
      </c>
      <c r="I268" s="53">
        <f>COUNTIFS('00 Encuesta'!$B$2:$B$511,"*a)*",'00 Encuesta'!$C$2:$C$511,"*a)*",'00 Encuesta'!$E$2:$E$511,"*a)*",'00 Encuesta'!$AI$2:$AI$511,"*e)*")</f>
        <v>0</v>
      </c>
      <c r="J268" s="52">
        <f t="shared" si="326"/>
        <v>0</v>
      </c>
      <c r="K268" s="53">
        <f>COUNTIFS('00 Encuesta'!$B$2:$B$511,"*a)*",'00 Encuesta'!$C$2:$C$511,"*a)*",'00 Encuesta'!$E$2:$E$511,"*b)*",'00 Encuesta'!$AI$2:$AI$511,"*e)*")</f>
        <v>0</v>
      </c>
      <c r="L268" s="52">
        <f t="shared" si="327"/>
        <v>0</v>
      </c>
      <c r="M268" s="23"/>
      <c r="N268" s="51">
        <f t="shared" si="328"/>
        <v>4</v>
      </c>
      <c r="O268" s="52">
        <f t="shared" si="329"/>
        <v>10.526315789473683</v>
      </c>
      <c r="P268" s="53">
        <f>COUNTIFS('00 Encuesta'!$B$2:$B$511,"*a)*",'00 Encuesta'!$C$2:$C$511,"*b)*",'00 Encuesta'!$E$2:$E$511,"*a)*",'00 Encuesta'!$AI$2:$AI$511,"*e)*")</f>
        <v>2</v>
      </c>
      <c r="Q268" s="52">
        <f t="shared" si="330"/>
        <v>15.384615384615385</v>
      </c>
      <c r="R268" s="53">
        <f>COUNTIFS('00 Encuesta'!$B$2:$B$511,"*a)*",'00 Encuesta'!$C$2:$C$511,"*b)*",'00 Encuesta'!$E$2:$E$511,"*b)*",'00 Encuesta'!$AI$2:$AI$511,"*e)*")</f>
        <v>2</v>
      </c>
      <c r="S268" s="52">
        <f t="shared" si="331"/>
        <v>8</v>
      </c>
      <c r="T268" s="3"/>
      <c r="U268" s="51">
        <f t="shared" si="332"/>
        <v>0</v>
      </c>
      <c r="V268" s="52" t="e">
        <f t="shared" si="333"/>
        <v>#DIV/0!</v>
      </c>
      <c r="W268" s="53">
        <f>COUNTIFS('00 Encuesta'!$B$2:$B$511,"*a)*",'00 Encuesta'!$C$2:$C$511,"*c)*",'00 Encuesta'!$E$2:$E$511,"*a)*",'00 Encuesta'!$AI$2:$AI$511,"*e)*")</f>
        <v>0</v>
      </c>
      <c r="X268" s="52" t="e">
        <f t="shared" si="334"/>
        <v>#DIV/0!</v>
      </c>
      <c r="Y268" s="53">
        <f>COUNTIFS('00 Encuesta'!$B$2:$B$511,"*a)*",'00 Encuesta'!$C$2:$C$511,"*c)*",'00 Encuesta'!$E$2:$E$511,"*b)*",'00 Encuesta'!$AI$2:$AI$511,"*e)*")</f>
        <v>0</v>
      </c>
      <c r="Z268" s="52" t="e">
        <f t="shared" si="335"/>
        <v>#DIV/0!</v>
      </c>
      <c r="AA268" s="3"/>
      <c r="AB268" s="62">
        <f t="shared" si="336"/>
        <v>4</v>
      </c>
      <c r="AC268" s="52">
        <f t="shared" si="337"/>
        <v>5.1282051282051286</v>
      </c>
      <c r="AD268" s="3"/>
      <c r="AE268" s="3"/>
      <c r="AF268" s="9" t="str">
        <f t="shared" si="338"/>
        <v>e) De 9 a 10 horas</v>
      </c>
      <c r="AG268" s="72">
        <f t="shared" si="339"/>
        <v>0</v>
      </c>
      <c r="AH268" s="72">
        <f t="shared" si="340"/>
        <v>0</v>
      </c>
      <c r="AI268" s="73">
        <f t="shared" si="341"/>
        <v>0</v>
      </c>
      <c r="AJ268" s="73"/>
      <c r="AK268" s="76">
        <f t="shared" si="342"/>
        <v>15.384615384615385</v>
      </c>
      <c r="AL268" s="76">
        <f t="shared" si="343"/>
        <v>8</v>
      </c>
      <c r="AM268" s="76">
        <f t="shared" si="344"/>
        <v>10.526315789473683</v>
      </c>
      <c r="AN268" s="76"/>
      <c r="AO268" s="81" t="e">
        <f t="shared" si="345"/>
        <v>#DIV/0!</v>
      </c>
      <c r="AP268" s="81" t="e">
        <f t="shared" si="346"/>
        <v>#DIV/0!</v>
      </c>
      <c r="AQ268" s="81" t="e">
        <f t="shared" si="347"/>
        <v>#DIV/0!</v>
      </c>
      <c r="AR268" s="3"/>
      <c r="AS268" s="76">
        <f t="shared" si="227"/>
        <v>5.1282051282051286</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ht="15" x14ac:dyDescent="0.25">
      <c r="A269" s="8" t="s">
        <v>45</v>
      </c>
      <c r="B269" s="9" t="s">
        <v>197</v>
      </c>
      <c r="C269" s="7"/>
      <c r="D269" s="7"/>
      <c r="E269" s="7"/>
      <c r="F269" s="71"/>
      <c r="G269" s="51">
        <f t="shared" si="324"/>
        <v>3</v>
      </c>
      <c r="H269" s="52">
        <f t="shared" si="325"/>
        <v>7.5</v>
      </c>
      <c r="I269" s="53">
        <f>COUNTIFS('00 Encuesta'!$B$2:$B$511,"*a)*",'00 Encuesta'!$C$2:$C$511,"*a)*",'00 Encuesta'!$E$2:$E$511,"*a)*",'00 Encuesta'!$AI$2:$AI$511,"*f)*")</f>
        <v>3</v>
      </c>
      <c r="J269" s="52">
        <f t="shared" si="326"/>
        <v>13.636363636363635</v>
      </c>
      <c r="K269" s="53">
        <f>COUNTIFS('00 Encuesta'!$B$2:$B$511,"*a)*",'00 Encuesta'!$C$2:$C$511,"*a)*",'00 Encuesta'!$E$2:$E$511,"*b)*",'00 Encuesta'!$AI$2:$AI$511,"*f)*")</f>
        <v>0</v>
      </c>
      <c r="L269" s="52">
        <f t="shared" si="327"/>
        <v>0</v>
      </c>
      <c r="M269" s="23"/>
      <c r="N269" s="51">
        <f t="shared" si="328"/>
        <v>1</v>
      </c>
      <c r="O269" s="52">
        <f t="shared" si="329"/>
        <v>2.6315789473684208</v>
      </c>
      <c r="P269" s="53">
        <f>COUNTIFS('00 Encuesta'!$B$2:$B$511,"*a)*",'00 Encuesta'!$C$2:$C$511,"*b)*",'00 Encuesta'!$E$2:$E$511,"*a)*",'00 Encuesta'!$AI$2:$AI$511,"*f)*")</f>
        <v>0</v>
      </c>
      <c r="Q269" s="52">
        <f t="shared" si="330"/>
        <v>0</v>
      </c>
      <c r="R269" s="53">
        <f>COUNTIFS('00 Encuesta'!$B$2:$B$511,"*a)*",'00 Encuesta'!$C$2:$C$511,"*b)*",'00 Encuesta'!$E$2:$E$511,"*b)*",'00 Encuesta'!$AI$2:$AI$511,"*f)*")</f>
        <v>1</v>
      </c>
      <c r="S269" s="52">
        <f t="shared" si="331"/>
        <v>4</v>
      </c>
      <c r="T269" s="3"/>
      <c r="U269" s="51">
        <f t="shared" si="332"/>
        <v>0</v>
      </c>
      <c r="V269" s="52" t="e">
        <f t="shared" si="333"/>
        <v>#DIV/0!</v>
      </c>
      <c r="W269" s="53">
        <f>COUNTIFS('00 Encuesta'!$B$2:$B$511,"*a)*",'00 Encuesta'!$C$2:$C$511,"*c)*",'00 Encuesta'!$E$2:$E$511,"*a)*",'00 Encuesta'!$AI$2:$AI$511,"*f)*")</f>
        <v>0</v>
      </c>
      <c r="X269" s="52" t="e">
        <f t="shared" si="334"/>
        <v>#DIV/0!</v>
      </c>
      <c r="Y269" s="53">
        <f>COUNTIFS('00 Encuesta'!$B$2:$B$511,"*a)*",'00 Encuesta'!$C$2:$C$511,"*c)*",'00 Encuesta'!$E$2:$E$511,"*b)*",'00 Encuesta'!$AI$2:$AI$511,"*f)*")</f>
        <v>0</v>
      </c>
      <c r="Z269" s="52" t="e">
        <f t="shared" si="335"/>
        <v>#DIV/0!</v>
      </c>
      <c r="AA269" s="3"/>
      <c r="AB269" s="62">
        <f t="shared" si="336"/>
        <v>4</v>
      </c>
      <c r="AC269" s="52">
        <f t="shared" si="337"/>
        <v>5.1282051282051286</v>
      </c>
      <c r="AD269" s="3"/>
      <c r="AE269" s="3"/>
      <c r="AF269" s="9" t="str">
        <f t="shared" si="338"/>
        <v>f) Mas de 11 horas</v>
      </c>
      <c r="AG269" s="72">
        <f t="shared" si="339"/>
        <v>13.636363636363635</v>
      </c>
      <c r="AH269" s="72">
        <f t="shared" si="340"/>
        <v>0</v>
      </c>
      <c r="AI269" s="73">
        <f t="shared" si="341"/>
        <v>7.5</v>
      </c>
      <c r="AJ269" s="73"/>
      <c r="AK269" s="76">
        <f t="shared" si="342"/>
        <v>0</v>
      </c>
      <c r="AL269" s="76">
        <f t="shared" si="343"/>
        <v>4</v>
      </c>
      <c r="AM269" s="76">
        <f t="shared" si="344"/>
        <v>2.6315789473684208</v>
      </c>
      <c r="AN269" s="76"/>
      <c r="AO269" s="81" t="e">
        <f t="shared" si="345"/>
        <v>#DIV/0!</v>
      </c>
      <c r="AP269" s="81" t="e">
        <f t="shared" si="346"/>
        <v>#DIV/0!</v>
      </c>
      <c r="AQ269" s="81" t="e">
        <f t="shared" si="347"/>
        <v>#DIV/0!</v>
      </c>
      <c r="AR269" s="3"/>
      <c r="AS269" s="76">
        <f t="shared" si="227"/>
        <v>5.1282051282051286</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ht="15" x14ac:dyDescent="0.25">
      <c r="A270" s="8" t="s">
        <v>23</v>
      </c>
      <c r="B270" s="9" t="s">
        <v>24</v>
      </c>
      <c r="C270" s="7"/>
      <c r="D270" s="7"/>
      <c r="E270" s="7"/>
      <c r="F270" s="71"/>
      <c r="G270" s="51">
        <f t="shared" si="324"/>
        <v>0</v>
      </c>
      <c r="H270" s="52">
        <f t="shared" si="325"/>
        <v>0</v>
      </c>
      <c r="I270" s="53"/>
      <c r="J270" s="52">
        <f t="shared" si="326"/>
        <v>0</v>
      </c>
      <c r="K270" s="53"/>
      <c r="L270" s="52">
        <f t="shared" si="327"/>
        <v>0</v>
      </c>
      <c r="M270" s="23"/>
      <c r="N270" s="51">
        <f t="shared" si="328"/>
        <v>0</v>
      </c>
      <c r="O270" s="52">
        <f t="shared" si="329"/>
        <v>0</v>
      </c>
      <c r="P270" s="53"/>
      <c r="Q270" s="52">
        <f t="shared" si="330"/>
        <v>0</v>
      </c>
      <c r="R270" s="53"/>
      <c r="S270" s="52">
        <f t="shared" si="331"/>
        <v>0</v>
      </c>
      <c r="T270" s="3"/>
      <c r="U270" s="51">
        <f t="shared" si="332"/>
        <v>0</v>
      </c>
      <c r="V270" s="52" t="e">
        <f t="shared" si="333"/>
        <v>#DIV/0!</v>
      </c>
      <c r="W270" s="53"/>
      <c r="X270" s="52" t="e">
        <f t="shared" si="334"/>
        <v>#DIV/0!</v>
      </c>
      <c r="Y270" s="53"/>
      <c r="Z270" s="52" t="e">
        <f t="shared" si="335"/>
        <v>#DIV/0!</v>
      </c>
      <c r="AA270" s="3"/>
      <c r="AB270" s="62">
        <f t="shared" si="336"/>
        <v>0</v>
      </c>
      <c r="AC270" s="52">
        <f t="shared" si="337"/>
        <v>0</v>
      </c>
      <c r="AD270" s="3"/>
      <c r="AE270" s="3"/>
      <c r="AF270" s="9" t="str">
        <f t="shared" si="338"/>
        <v>S/R Sin Respuesta</v>
      </c>
      <c r="AG270" s="72">
        <f t="shared" si="339"/>
        <v>0</v>
      </c>
      <c r="AH270" s="72">
        <f t="shared" si="340"/>
        <v>0</v>
      </c>
      <c r="AI270" s="73">
        <f t="shared" si="341"/>
        <v>0</v>
      </c>
      <c r="AJ270" s="73"/>
      <c r="AK270" s="76">
        <f t="shared" si="342"/>
        <v>0</v>
      </c>
      <c r="AL270" s="76">
        <f t="shared" si="343"/>
        <v>0</v>
      </c>
      <c r="AM270" s="76">
        <f t="shared" si="344"/>
        <v>0</v>
      </c>
      <c r="AN270" s="76"/>
      <c r="AO270" s="81" t="e">
        <f t="shared" si="345"/>
        <v>#DIV/0!</v>
      </c>
      <c r="AP270" s="81" t="e">
        <f t="shared" si="346"/>
        <v>#DIV/0!</v>
      </c>
      <c r="AQ270" s="81" t="e">
        <f t="shared" si="347"/>
        <v>#DIV/0!</v>
      </c>
      <c r="AR270" s="3"/>
      <c r="AS270" s="76">
        <f t="shared" si="227"/>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ht="15" x14ac:dyDescent="0.25">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ht="15" x14ac:dyDescent="0.25">
      <c r="A273" s="8" t="s">
        <v>17</v>
      </c>
      <c r="B273" s="85" t="s">
        <v>199</v>
      </c>
      <c r="C273" s="7"/>
      <c r="D273" s="7"/>
      <c r="E273" s="7"/>
      <c r="F273" s="71"/>
      <c r="G273" s="51">
        <f t="shared" ref="G273:G286" si="348">I273+K273</f>
        <v>11</v>
      </c>
      <c r="H273" s="52">
        <f t="shared" ref="H273:H286" si="349">G273/$J$5*100</f>
        <v>27.500000000000004</v>
      </c>
      <c r="I273" s="53">
        <f>COUNTIFS('00 Encuesta'!$B$2:$B$511,"*a)*",'00 Encuesta'!$C$2:$C$511,"*a)*",'00 Encuesta'!$E$2:$E$511,"*a)*",'00 Encuesta'!$AJ$2:$AJ$511,"*a)*")</f>
        <v>10</v>
      </c>
      <c r="J273" s="52">
        <f t="shared" ref="J273:J286" si="350">I273/$J$6*100</f>
        <v>45.454545454545453</v>
      </c>
      <c r="K273" s="53">
        <f>COUNTIFS('00 Encuesta'!$B$2:$B$511,"*a)*",'00 Encuesta'!$C$2:$C$511,"*a)*",'00 Encuesta'!$E$2:$E$511,"*b)*",'00 Encuesta'!$AJ$2:$AJ$511,"*a)*")</f>
        <v>1</v>
      </c>
      <c r="L273" s="52">
        <f t="shared" ref="L273:L286" si="351">K273/$J$7*100</f>
        <v>5.5555555555555554</v>
      </c>
      <c r="M273" s="23"/>
      <c r="N273" s="51">
        <f t="shared" ref="N273:N286" si="352">P273+R273</f>
        <v>6</v>
      </c>
      <c r="O273" s="52">
        <f t="shared" ref="O273:O286" si="353">N273/$Q$5*100</f>
        <v>15.789473684210526</v>
      </c>
      <c r="P273" s="53">
        <f>COUNTIFS('00 Encuesta'!$B$2:$B$511,"*a)*",'00 Encuesta'!$C$2:$C$511,"*b)*",'00 Encuesta'!$E$2:$E$511,"*a)*",'00 Encuesta'!$AJ$2:$AJ$511,"*a)*")</f>
        <v>4</v>
      </c>
      <c r="Q273" s="52">
        <f t="shared" ref="Q273:Q286" si="354">P273/$Q$6*100</f>
        <v>30.76923076923077</v>
      </c>
      <c r="R273" s="53">
        <f>COUNTIFS('00 Encuesta'!$B$2:$B$511,"*a)*",'00 Encuesta'!$C$2:$C$511,"*b)*",'00 Encuesta'!$E$2:$E$511,"*b)*",'00 Encuesta'!$AJ$2:$AJ$511,"*a)*")</f>
        <v>2</v>
      </c>
      <c r="S273" s="52">
        <f t="shared" ref="S273:S286" si="355">R273/$Q$7*100</f>
        <v>8</v>
      </c>
      <c r="T273" s="3"/>
      <c r="U273" s="51">
        <f t="shared" ref="U273:U286" si="356">W273+Y273</f>
        <v>0</v>
      </c>
      <c r="V273" s="52" t="e">
        <f t="shared" ref="V273:V286" si="357">U273/$X$5*100</f>
        <v>#DIV/0!</v>
      </c>
      <c r="W273" s="53">
        <f>COUNTIFS('00 Encuesta'!$B$2:$B$511,"*a)*",'00 Encuesta'!$C$2:$C$511,"*c)*",'00 Encuesta'!$E$2:$E$511,"*a)*",'00 Encuesta'!$AJ$2:$AJ$511,"*a)*")</f>
        <v>0</v>
      </c>
      <c r="X273" s="52" t="e">
        <f t="shared" ref="X273:X286" si="358">W273/$X$6*100</f>
        <v>#DIV/0!</v>
      </c>
      <c r="Y273" s="53">
        <f>COUNTIFS('00 Encuesta'!$B$2:$B$511,"*a)*",'00 Encuesta'!$C$2:$C$511,"*c)*",'00 Encuesta'!$E$2:$E$511,"*b)*",'00 Encuesta'!$AJ$2:$AJ$511,"*a)*")</f>
        <v>0</v>
      </c>
      <c r="Z273" s="52" t="e">
        <f t="shared" ref="Z273:Z286" si="359">Y273/$X$7*100</f>
        <v>#DIV/0!</v>
      </c>
      <c r="AA273" s="3"/>
      <c r="AB273" s="62">
        <f t="shared" ref="AB273:AB286" si="360">G273+N273+U273</f>
        <v>17</v>
      </c>
      <c r="AC273" s="52">
        <f t="shared" ref="AC273:AC286" si="361">AB273*100/$AC$5</f>
        <v>21.794871794871796</v>
      </c>
      <c r="AD273" s="3"/>
      <c r="AE273" s="3"/>
      <c r="AF273" s="9" t="str">
        <f t="shared" ref="AF273:AF287" si="362">A273&amp;" "&amp;B273</f>
        <v>a) Me divierto con juegos para computadoras</v>
      </c>
      <c r="AG273" s="72">
        <f>J273</f>
        <v>45.454545454545453</v>
      </c>
      <c r="AH273" s="72">
        <f>L273</f>
        <v>5.5555555555555554</v>
      </c>
      <c r="AI273" s="73">
        <f>H273</f>
        <v>27.500000000000004</v>
      </c>
      <c r="AJ273" s="73"/>
      <c r="AK273" s="76">
        <f t="shared" ref="AK273:AK287" si="363">Q273</f>
        <v>30.76923076923077</v>
      </c>
      <c r="AL273" s="76">
        <f t="shared" ref="AL273:AL287" si="364">S273</f>
        <v>8</v>
      </c>
      <c r="AM273" s="76">
        <f t="shared" ref="AM273:AM287" si="365">O273</f>
        <v>15.789473684210526</v>
      </c>
      <c r="AN273" s="76"/>
      <c r="AO273" s="81" t="e">
        <f t="shared" ref="AO273:AO287" si="366">X273</f>
        <v>#DIV/0!</v>
      </c>
      <c r="AP273" s="81" t="e">
        <f t="shared" ref="AP273:AP287" si="367">Z273</f>
        <v>#DIV/0!</v>
      </c>
      <c r="AQ273" s="81" t="e">
        <f t="shared" ref="AQ273:AQ287" si="368">V273</f>
        <v>#DIV/0!</v>
      </c>
      <c r="AR273" s="3"/>
      <c r="AS273" s="76">
        <f t="shared" ref="AS273:AS342" si="369">AC273</f>
        <v>21.794871794871796</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ht="15" x14ac:dyDescent="0.25">
      <c r="A274" s="8" t="s">
        <v>18</v>
      </c>
      <c r="B274" s="85" t="s">
        <v>200</v>
      </c>
      <c r="C274" s="7"/>
      <c r="D274" s="7"/>
      <c r="E274" s="7"/>
      <c r="F274" s="71"/>
      <c r="G274" s="51">
        <f t="shared" si="348"/>
        <v>15</v>
      </c>
      <c r="H274" s="52">
        <f t="shared" si="349"/>
        <v>37.5</v>
      </c>
      <c r="I274" s="53">
        <f>COUNTIFS('00 Encuesta'!$B$2:$B$511,"*a)*",'00 Encuesta'!$C$2:$C$511,"*a)*",'00 Encuesta'!$E$2:$E$511,"*a)*",'00 Encuesta'!$AJ$2:$AJ$511,"*b)*")</f>
        <v>6</v>
      </c>
      <c r="J274" s="52">
        <f t="shared" si="350"/>
        <v>27.27272727272727</v>
      </c>
      <c r="K274" s="53">
        <f>COUNTIFS('00 Encuesta'!$B$2:$B$511,"*a)*",'00 Encuesta'!$C$2:$C$511,"*a)*",'00 Encuesta'!$E$2:$E$511,"*b)*",'00 Encuesta'!$AJ$2:$AJ$511,"*b)*")</f>
        <v>9</v>
      </c>
      <c r="L274" s="52">
        <f t="shared" si="351"/>
        <v>50</v>
      </c>
      <c r="M274" s="23"/>
      <c r="N274" s="51">
        <f t="shared" si="352"/>
        <v>14</v>
      </c>
      <c r="O274" s="52">
        <f t="shared" si="353"/>
        <v>36.84210526315789</v>
      </c>
      <c r="P274" s="53">
        <f>COUNTIFS('00 Encuesta'!$B$2:$B$511,"*a)*",'00 Encuesta'!$C$2:$C$511,"*b)*",'00 Encuesta'!$E$2:$E$511,"*a)*",'00 Encuesta'!$AJ$2:$AJ$511,"*b)*")</f>
        <v>6</v>
      </c>
      <c r="Q274" s="52">
        <f t="shared" si="354"/>
        <v>46.153846153846153</v>
      </c>
      <c r="R274" s="53">
        <f>COUNTIFS('00 Encuesta'!$B$2:$B$511,"*a)*",'00 Encuesta'!$C$2:$C$511,"*b)*",'00 Encuesta'!$E$2:$E$511,"*b)*",'00 Encuesta'!$AJ$2:$AJ$511,"*b)*")</f>
        <v>8</v>
      </c>
      <c r="S274" s="52">
        <f t="shared" si="355"/>
        <v>32</v>
      </c>
      <c r="T274" s="3"/>
      <c r="U274" s="51">
        <f t="shared" si="356"/>
        <v>0</v>
      </c>
      <c r="V274" s="52" t="e">
        <f t="shared" si="357"/>
        <v>#DIV/0!</v>
      </c>
      <c r="W274" s="53">
        <f>COUNTIFS('00 Encuesta'!$B$2:$B$511,"*a)*",'00 Encuesta'!$C$2:$C$511,"*c)*",'00 Encuesta'!$E$2:$E$511,"*a)*",'00 Encuesta'!$AJ$2:$AJ$511,"*b)*")</f>
        <v>0</v>
      </c>
      <c r="X274" s="52" t="e">
        <f t="shared" si="358"/>
        <v>#DIV/0!</v>
      </c>
      <c r="Y274" s="53">
        <f>COUNTIFS('00 Encuesta'!$B$2:$B$511,"*a)*",'00 Encuesta'!$C$2:$C$511,"*c)*",'00 Encuesta'!$E$2:$E$511,"*b)*",'00 Encuesta'!$AJ$2:$AJ$511,"*b)*")</f>
        <v>0</v>
      </c>
      <c r="Z274" s="52" t="e">
        <f t="shared" si="359"/>
        <v>#DIV/0!</v>
      </c>
      <c r="AA274" s="3"/>
      <c r="AB274" s="62">
        <f t="shared" si="360"/>
        <v>29</v>
      </c>
      <c r="AC274" s="52">
        <f t="shared" si="361"/>
        <v>37.179487179487182</v>
      </c>
      <c r="AD274" s="3"/>
      <c r="AE274" s="3"/>
      <c r="AF274" s="9" t="str">
        <f t="shared" si="362"/>
        <v>b) Navego en Internet</v>
      </c>
      <c r="AG274" s="72">
        <f t="shared" ref="AG274:AG287" si="370">J274</f>
        <v>27.27272727272727</v>
      </c>
      <c r="AH274" s="72">
        <f t="shared" ref="AH274:AH287" si="371">L274</f>
        <v>50</v>
      </c>
      <c r="AI274" s="73">
        <f t="shared" ref="AI274:AI287" si="372">H274</f>
        <v>37.5</v>
      </c>
      <c r="AJ274" s="73"/>
      <c r="AK274" s="76">
        <f t="shared" si="363"/>
        <v>46.153846153846153</v>
      </c>
      <c r="AL274" s="76">
        <f t="shared" si="364"/>
        <v>32</v>
      </c>
      <c r="AM274" s="76">
        <f t="shared" si="365"/>
        <v>36.84210526315789</v>
      </c>
      <c r="AN274" s="76"/>
      <c r="AO274" s="81" t="e">
        <f t="shared" si="366"/>
        <v>#DIV/0!</v>
      </c>
      <c r="AP274" s="81" t="e">
        <f t="shared" si="367"/>
        <v>#DIV/0!</v>
      </c>
      <c r="AQ274" s="81" t="e">
        <f t="shared" si="368"/>
        <v>#DIV/0!</v>
      </c>
      <c r="AR274" s="3"/>
      <c r="AS274" s="76">
        <f t="shared" si="369"/>
        <v>37.179487179487182</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1</v>
      </c>
      <c r="H275" s="52">
        <f t="shared" si="349"/>
        <v>2.5</v>
      </c>
      <c r="I275" s="53">
        <f>COUNTIFS('00 Encuesta'!$B$2:$B$511,"*a)*",'00 Encuesta'!$C$2:$C$511,"*a)*",'00 Encuesta'!$E$2:$E$511,"*a)*",'00 Encuesta'!$AJ$2:$AJ$511,"*c)*")</f>
        <v>1</v>
      </c>
      <c r="J275" s="52">
        <f t="shared" si="350"/>
        <v>4.5454545454545459</v>
      </c>
      <c r="K275" s="53">
        <f>COUNTIFS('00 Encuesta'!$B$2:$B$511,"*a)*",'00 Encuesta'!$C$2:$C$511,"*a)*",'00 Encuesta'!$E$2:$E$511,"*b)*",'00 Encuesta'!$AJ$2:$AJ$511,"*c)*")</f>
        <v>0</v>
      </c>
      <c r="L275" s="52">
        <f t="shared" si="351"/>
        <v>0</v>
      </c>
      <c r="M275" s="23"/>
      <c r="N275" s="51">
        <f t="shared" si="352"/>
        <v>0</v>
      </c>
      <c r="O275" s="52">
        <f t="shared" si="353"/>
        <v>0</v>
      </c>
      <c r="P275" s="53">
        <f>COUNTIFS('00 Encuesta'!$B$2:$B$511,"*a)*",'00 Encuesta'!$C$2:$C$511,"*b)*",'00 Encuesta'!$E$2:$E$511,"*a)*",'00 Encuesta'!$AJ$2:$AJ$511,"*c)*")</f>
        <v>0</v>
      </c>
      <c r="Q275" s="52">
        <f t="shared" si="354"/>
        <v>0</v>
      </c>
      <c r="R275" s="53">
        <f>COUNTIFS('00 Encuesta'!$B$2:$B$511,"*a)*",'00 Encuesta'!$C$2:$C$511,"*b)*",'00 Encuesta'!$E$2:$E$511,"*b)*",'00 Encuesta'!$AJ$2:$AJ$511,"*c)*")</f>
        <v>0</v>
      </c>
      <c r="S275" s="52">
        <f t="shared" si="355"/>
        <v>0</v>
      </c>
      <c r="T275" s="3"/>
      <c r="U275" s="51">
        <f t="shared" si="356"/>
        <v>0</v>
      </c>
      <c r="V275" s="52" t="e">
        <f t="shared" si="357"/>
        <v>#DIV/0!</v>
      </c>
      <c r="W275" s="53">
        <f>COUNTIFS('00 Encuesta'!$B$2:$B$511,"*a)*",'00 Encuesta'!$C$2:$C$511,"*c)*",'00 Encuesta'!$E$2:$E$511,"*a)*",'00 Encuesta'!$AJ$2:$AJ$511,"*c)*")</f>
        <v>0</v>
      </c>
      <c r="X275" s="52" t="e">
        <f t="shared" si="358"/>
        <v>#DIV/0!</v>
      </c>
      <c r="Y275" s="53">
        <f>COUNTIFS('00 Encuesta'!$B$2:$B$511,"*a)*",'00 Encuesta'!$C$2:$C$511,"*c)*",'00 Encuesta'!$E$2:$E$511,"*b)*",'00 Encuesta'!$AJ$2:$AJ$511,"*c)*")</f>
        <v>0</v>
      </c>
      <c r="Z275" s="52" t="e">
        <f t="shared" si="359"/>
        <v>#DIV/0!</v>
      </c>
      <c r="AA275" s="3"/>
      <c r="AB275" s="62">
        <f t="shared" si="360"/>
        <v>1</v>
      </c>
      <c r="AC275" s="52">
        <f t="shared" si="361"/>
        <v>1.2820512820512822</v>
      </c>
      <c r="AD275" s="3"/>
      <c r="AE275" s="3"/>
      <c r="AF275" s="9" t="str">
        <f t="shared" si="362"/>
        <v>c) Suelo ir a centros de video (máquinas de juegos)</v>
      </c>
      <c r="AG275" s="72">
        <f t="shared" si="370"/>
        <v>4.5454545454545459</v>
      </c>
      <c r="AH275" s="72">
        <f t="shared" si="371"/>
        <v>0</v>
      </c>
      <c r="AI275" s="73">
        <f t="shared" si="372"/>
        <v>2.5</v>
      </c>
      <c r="AJ275" s="73"/>
      <c r="AK275" s="76">
        <f t="shared" si="363"/>
        <v>0</v>
      </c>
      <c r="AL275" s="76">
        <f t="shared" si="364"/>
        <v>0</v>
      </c>
      <c r="AM275" s="76">
        <f t="shared" si="365"/>
        <v>0</v>
      </c>
      <c r="AN275" s="76"/>
      <c r="AO275" s="81" t="e">
        <f t="shared" si="366"/>
        <v>#DIV/0!</v>
      </c>
      <c r="AP275" s="81" t="e">
        <f t="shared" si="367"/>
        <v>#DIV/0!</v>
      </c>
      <c r="AQ275" s="81" t="e">
        <f t="shared" si="368"/>
        <v>#DIV/0!</v>
      </c>
      <c r="AR275" s="3"/>
      <c r="AS275" s="76">
        <f t="shared" si="369"/>
        <v>1.2820512820512822</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ht="15" x14ac:dyDescent="0.25">
      <c r="A276" s="8" t="s">
        <v>21</v>
      </c>
      <c r="B276" s="85" t="s">
        <v>202</v>
      </c>
      <c r="C276" s="7"/>
      <c r="D276" s="7"/>
      <c r="E276" s="7"/>
      <c r="F276" s="71"/>
      <c r="G276" s="51">
        <f t="shared" si="348"/>
        <v>9</v>
      </c>
      <c r="H276" s="52">
        <f t="shared" si="349"/>
        <v>22.5</v>
      </c>
      <c r="I276" s="53">
        <f>COUNTIFS('00 Encuesta'!$B$2:$B$511,"*a)*",'00 Encuesta'!$C$2:$C$511,"*a)*",'00 Encuesta'!$E$2:$E$511,"*a)*",'00 Encuesta'!$AJ$2:$AJ$511,"*d)*")</f>
        <v>4</v>
      </c>
      <c r="J276" s="52">
        <f t="shared" si="350"/>
        <v>18.181818181818183</v>
      </c>
      <c r="K276" s="53">
        <f>COUNTIFS('00 Encuesta'!$B$2:$B$511,"*a)*",'00 Encuesta'!$C$2:$C$511,"*a)*",'00 Encuesta'!$E$2:$E$511,"*b)*",'00 Encuesta'!$AJ$2:$AJ$511,"*d)*")</f>
        <v>5</v>
      </c>
      <c r="L276" s="52">
        <f t="shared" si="351"/>
        <v>27.777777777777779</v>
      </c>
      <c r="M276" s="23"/>
      <c r="N276" s="51">
        <f t="shared" si="352"/>
        <v>8</v>
      </c>
      <c r="O276" s="52">
        <f t="shared" si="353"/>
        <v>21.052631578947366</v>
      </c>
      <c r="P276" s="53">
        <f>COUNTIFS('00 Encuesta'!$B$2:$B$511,"*a)*",'00 Encuesta'!$C$2:$C$511,"*b)*",'00 Encuesta'!$E$2:$E$511,"*a)*",'00 Encuesta'!$AJ$2:$AJ$511,"*d)*")</f>
        <v>3</v>
      </c>
      <c r="Q276" s="52">
        <f t="shared" si="354"/>
        <v>23.076923076923077</v>
      </c>
      <c r="R276" s="53">
        <f>COUNTIFS('00 Encuesta'!$B$2:$B$511,"*a)*",'00 Encuesta'!$C$2:$C$511,"*b)*",'00 Encuesta'!$E$2:$E$511,"*b)*",'00 Encuesta'!$AJ$2:$AJ$511,"*d)*")</f>
        <v>5</v>
      </c>
      <c r="S276" s="52">
        <f t="shared" si="355"/>
        <v>20</v>
      </c>
      <c r="T276" s="3"/>
      <c r="U276" s="51">
        <f t="shared" si="356"/>
        <v>0</v>
      </c>
      <c r="V276" s="52" t="e">
        <f t="shared" si="357"/>
        <v>#DIV/0!</v>
      </c>
      <c r="W276" s="53">
        <f>COUNTIFS('00 Encuesta'!$B$2:$B$511,"*a)*",'00 Encuesta'!$C$2:$C$511,"*c)*",'00 Encuesta'!$E$2:$E$511,"*a)*",'00 Encuesta'!$AJ$2:$AJ$511,"*d)*")</f>
        <v>0</v>
      </c>
      <c r="X276" s="52" t="e">
        <f t="shared" si="358"/>
        <v>#DIV/0!</v>
      </c>
      <c r="Y276" s="53">
        <f>COUNTIFS('00 Encuesta'!$B$2:$B$511,"*a)*",'00 Encuesta'!$C$2:$C$511,"*c)*",'00 Encuesta'!$E$2:$E$511,"*b)*",'00 Encuesta'!$AJ$2:$AJ$511,"*d)*")</f>
        <v>0</v>
      </c>
      <c r="Z276" s="52" t="e">
        <f t="shared" si="359"/>
        <v>#DIV/0!</v>
      </c>
      <c r="AA276" s="3"/>
      <c r="AB276" s="62">
        <f t="shared" si="360"/>
        <v>17</v>
      </c>
      <c r="AC276" s="52">
        <f t="shared" si="361"/>
        <v>21.794871794871796</v>
      </c>
      <c r="AD276" s="3"/>
      <c r="AE276" s="3"/>
      <c r="AF276" s="9" t="str">
        <f t="shared" si="362"/>
        <v>d) Estoy la mayor parte del tiempo en la casa sin hacer nada</v>
      </c>
      <c r="AG276" s="72">
        <f t="shared" si="370"/>
        <v>18.181818181818183</v>
      </c>
      <c r="AH276" s="72">
        <f t="shared" si="371"/>
        <v>27.777777777777779</v>
      </c>
      <c r="AI276" s="73">
        <f t="shared" si="372"/>
        <v>22.5</v>
      </c>
      <c r="AJ276" s="73"/>
      <c r="AK276" s="76">
        <f t="shared" si="363"/>
        <v>23.076923076923077</v>
      </c>
      <c r="AL276" s="76">
        <f t="shared" si="364"/>
        <v>20</v>
      </c>
      <c r="AM276" s="76">
        <f t="shared" si="365"/>
        <v>21.052631578947366</v>
      </c>
      <c r="AN276" s="76"/>
      <c r="AO276" s="81" t="e">
        <f t="shared" si="366"/>
        <v>#DIV/0!</v>
      </c>
      <c r="AP276" s="81" t="e">
        <f t="shared" si="367"/>
        <v>#DIV/0!</v>
      </c>
      <c r="AQ276" s="81" t="e">
        <f t="shared" si="368"/>
        <v>#DIV/0!</v>
      </c>
      <c r="AR276" s="3"/>
      <c r="AS276" s="76">
        <f t="shared" si="369"/>
        <v>21.794871794871796</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6</v>
      </c>
      <c r="H277" s="52">
        <f t="shared" si="349"/>
        <v>15</v>
      </c>
      <c r="I277" s="53">
        <f>COUNTIFS('00 Encuesta'!$B$2:$B$511,"*a)*",'00 Encuesta'!$C$2:$C$511,"*a)*",'00 Encuesta'!$E$2:$E$511,"*a)*",'00 Encuesta'!$AJ$2:$AJ$511,"*e)*")</f>
        <v>2</v>
      </c>
      <c r="J277" s="52">
        <f t="shared" si="350"/>
        <v>9.0909090909090917</v>
      </c>
      <c r="K277" s="53">
        <f>COUNTIFS('00 Encuesta'!$B$2:$B$511,"*a)*",'00 Encuesta'!$C$2:$C$511,"*a)*",'00 Encuesta'!$E$2:$E$511,"*b)*",'00 Encuesta'!$AJ$2:$AJ$511,"*e)*")</f>
        <v>4</v>
      </c>
      <c r="L277" s="52">
        <f t="shared" si="351"/>
        <v>22.222222222222221</v>
      </c>
      <c r="M277" s="23"/>
      <c r="N277" s="51">
        <f t="shared" si="352"/>
        <v>0</v>
      </c>
      <c r="O277" s="52">
        <f t="shared" si="353"/>
        <v>0</v>
      </c>
      <c r="P277" s="53">
        <f>COUNTIFS('00 Encuesta'!$B$2:$B$511,"*a)*",'00 Encuesta'!$C$2:$C$511,"*b)*",'00 Encuesta'!$E$2:$E$511,"*a)*",'00 Encuesta'!$AJ$2:$AJ$511,"*e)*")</f>
        <v>0</v>
      </c>
      <c r="Q277" s="52">
        <f t="shared" si="354"/>
        <v>0</v>
      </c>
      <c r="R277" s="53">
        <f>COUNTIFS('00 Encuesta'!$B$2:$B$511,"*a)*",'00 Encuesta'!$C$2:$C$511,"*b)*",'00 Encuesta'!$E$2:$E$511,"*b)*",'00 Encuesta'!$AJ$2:$AJ$511,"*e)*")</f>
        <v>0</v>
      </c>
      <c r="S277" s="52">
        <f t="shared" si="355"/>
        <v>0</v>
      </c>
      <c r="T277" s="3"/>
      <c r="U277" s="51">
        <f t="shared" si="356"/>
        <v>0</v>
      </c>
      <c r="V277" s="52" t="e">
        <f t="shared" si="357"/>
        <v>#DIV/0!</v>
      </c>
      <c r="W277" s="53">
        <f>COUNTIFS('00 Encuesta'!$B$2:$B$511,"*a)*",'00 Encuesta'!$C$2:$C$511,"*c)*",'00 Encuesta'!$E$2:$E$511,"*a)*",'00 Encuesta'!$AJ$2:$AJ$511,"*e)*")</f>
        <v>0</v>
      </c>
      <c r="X277" s="52" t="e">
        <f t="shared" si="358"/>
        <v>#DIV/0!</v>
      </c>
      <c r="Y277" s="53">
        <f>COUNTIFS('00 Encuesta'!$B$2:$B$511,"*a)*",'00 Encuesta'!$C$2:$C$511,"*c)*",'00 Encuesta'!$E$2:$E$511,"*b)*",'00 Encuesta'!$AJ$2:$AJ$511,"*e)*")</f>
        <v>0</v>
      </c>
      <c r="Z277" s="52" t="e">
        <f t="shared" si="359"/>
        <v>#DIV/0!</v>
      </c>
      <c r="AA277" s="3"/>
      <c r="AB277" s="62">
        <f t="shared" si="360"/>
        <v>6</v>
      </c>
      <c r="AC277" s="52">
        <f t="shared" si="361"/>
        <v>7.6923076923076925</v>
      </c>
      <c r="AD277" s="3"/>
      <c r="AE277" s="3"/>
      <c r="AF277" s="9" t="str">
        <f t="shared" si="362"/>
        <v>e) Suelo ir a algún parque</v>
      </c>
      <c r="AG277" s="72">
        <f t="shared" si="370"/>
        <v>9.0909090909090917</v>
      </c>
      <c r="AH277" s="72">
        <f t="shared" si="371"/>
        <v>22.222222222222221</v>
      </c>
      <c r="AI277" s="73">
        <f t="shared" si="372"/>
        <v>15</v>
      </c>
      <c r="AJ277" s="73"/>
      <c r="AK277" s="76">
        <f t="shared" si="363"/>
        <v>0</v>
      </c>
      <c r="AL277" s="76">
        <f t="shared" si="364"/>
        <v>0</v>
      </c>
      <c r="AM277" s="76">
        <f t="shared" si="365"/>
        <v>0</v>
      </c>
      <c r="AN277" s="76"/>
      <c r="AO277" s="81" t="e">
        <f t="shared" si="366"/>
        <v>#DIV/0!</v>
      </c>
      <c r="AP277" s="81" t="e">
        <f t="shared" si="367"/>
        <v>#DIV/0!</v>
      </c>
      <c r="AQ277" s="81" t="e">
        <f t="shared" si="368"/>
        <v>#DIV/0!</v>
      </c>
      <c r="AR277" s="3"/>
      <c r="AS277" s="76">
        <f t="shared" si="369"/>
        <v>7.6923076923076925</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ht="15" x14ac:dyDescent="0.25">
      <c r="A278" s="8" t="s">
        <v>45</v>
      </c>
      <c r="B278" s="85" t="s">
        <v>204</v>
      </c>
      <c r="C278" s="7"/>
      <c r="D278" s="7"/>
      <c r="E278" s="7"/>
      <c r="F278" s="71"/>
      <c r="G278" s="51">
        <f t="shared" si="348"/>
        <v>3</v>
      </c>
      <c r="H278" s="52">
        <f t="shared" si="349"/>
        <v>7.5</v>
      </c>
      <c r="I278" s="53">
        <f>COUNTIFS('00 Encuesta'!$B$2:$B$511,"*a)*",'00 Encuesta'!$C$2:$C$511,"*a)*",'00 Encuesta'!$E$2:$E$511,"*a)*",'00 Encuesta'!$AJ$2:$AJ$511,"*f)*")</f>
        <v>0</v>
      </c>
      <c r="J278" s="52">
        <f t="shared" si="350"/>
        <v>0</v>
      </c>
      <c r="K278" s="53">
        <f>COUNTIFS('00 Encuesta'!$B$2:$B$511,"*a)*",'00 Encuesta'!$C$2:$C$511,"*a)*",'00 Encuesta'!$E$2:$E$511,"*b)*",'00 Encuesta'!$AJ$2:$AJ$511,"*f)*")</f>
        <v>3</v>
      </c>
      <c r="L278" s="52">
        <f t="shared" si="351"/>
        <v>16.666666666666664</v>
      </c>
      <c r="M278" s="23"/>
      <c r="N278" s="51">
        <f t="shared" si="352"/>
        <v>5</v>
      </c>
      <c r="O278" s="52">
        <f t="shared" si="353"/>
        <v>13.157894736842104</v>
      </c>
      <c r="P278" s="53">
        <f>COUNTIFS('00 Encuesta'!$B$2:$B$511,"*a)*",'00 Encuesta'!$C$2:$C$511,"*b)*",'00 Encuesta'!$E$2:$E$511,"*a)*",'00 Encuesta'!$AJ$2:$AJ$511,"*f)*")</f>
        <v>3</v>
      </c>
      <c r="Q278" s="52">
        <f t="shared" si="354"/>
        <v>23.076923076923077</v>
      </c>
      <c r="R278" s="53">
        <f>COUNTIFS('00 Encuesta'!$B$2:$B$511,"*a)*",'00 Encuesta'!$C$2:$C$511,"*b)*",'00 Encuesta'!$E$2:$E$511,"*b)*",'00 Encuesta'!$AJ$2:$AJ$511,"*f)*")</f>
        <v>2</v>
      </c>
      <c r="S278" s="52">
        <f t="shared" si="355"/>
        <v>8</v>
      </c>
      <c r="T278" s="3"/>
      <c r="U278" s="51">
        <f t="shared" si="356"/>
        <v>0</v>
      </c>
      <c r="V278" s="52" t="e">
        <f t="shared" si="357"/>
        <v>#DIV/0!</v>
      </c>
      <c r="W278" s="53">
        <f>COUNTIFS('00 Encuesta'!$B$2:$B$511,"*a)*",'00 Encuesta'!$C$2:$C$511,"*c)*",'00 Encuesta'!$E$2:$E$511,"*a)*",'00 Encuesta'!$AJ$2:$AJ$511,"*f)*")</f>
        <v>0</v>
      </c>
      <c r="X278" s="52" t="e">
        <f t="shared" si="358"/>
        <v>#DIV/0!</v>
      </c>
      <c r="Y278" s="53">
        <f>COUNTIFS('00 Encuesta'!$B$2:$B$511,"*a)*",'00 Encuesta'!$C$2:$C$511,"*c)*",'00 Encuesta'!$E$2:$E$511,"*b)*",'00 Encuesta'!$AJ$2:$AJ$511,"*f)*")</f>
        <v>0</v>
      </c>
      <c r="Z278" s="52" t="e">
        <f t="shared" si="359"/>
        <v>#DIV/0!</v>
      </c>
      <c r="AA278" s="3"/>
      <c r="AB278" s="62">
        <f t="shared" si="360"/>
        <v>8</v>
      </c>
      <c r="AC278" s="52">
        <f t="shared" si="361"/>
        <v>10.256410256410257</v>
      </c>
      <c r="AD278" s="3"/>
      <c r="AE278" s="3"/>
      <c r="AF278" s="9" t="str">
        <f t="shared" si="362"/>
        <v>f) Toco un instrumento musical</v>
      </c>
      <c r="AG278" s="72">
        <f t="shared" si="370"/>
        <v>0</v>
      </c>
      <c r="AH278" s="72">
        <f t="shared" si="371"/>
        <v>16.666666666666664</v>
      </c>
      <c r="AI278" s="73">
        <f t="shared" si="372"/>
        <v>7.5</v>
      </c>
      <c r="AJ278" s="73"/>
      <c r="AK278" s="76">
        <f t="shared" si="363"/>
        <v>23.076923076923077</v>
      </c>
      <c r="AL278" s="76">
        <f t="shared" si="364"/>
        <v>8</v>
      </c>
      <c r="AM278" s="76">
        <f t="shared" si="365"/>
        <v>13.157894736842104</v>
      </c>
      <c r="AN278" s="76"/>
      <c r="AO278" s="81" t="e">
        <f t="shared" si="366"/>
        <v>#DIV/0!</v>
      </c>
      <c r="AP278" s="81" t="e">
        <f t="shared" si="367"/>
        <v>#DIV/0!</v>
      </c>
      <c r="AQ278" s="81" t="e">
        <f t="shared" si="368"/>
        <v>#DIV/0!</v>
      </c>
      <c r="AR278" s="3"/>
      <c r="AS278" s="76">
        <f t="shared" si="369"/>
        <v>10.256410256410257</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ht="15.75" x14ac:dyDescent="0.3">
      <c r="A279" s="1" t="s">
        <v>61</v>
      </c>
      <c r="B279" s="2" t="s">
        <v>205</v>
      </c>
      <c r="C279" s="3"/>
      <c r="D279" s="7"/>
      <c r="E279" s="7"/>
      <c r="F279" s="71"/>
      <c r="G279" s="51">
        <f t="shared" si="348"/>
        <v>3</v>
      </c>
      <c r="H279" s="52">
        <f t="shared" si="349"/>
        <v>7.5</v>
      </c>
      <c r="I279" s="53">
        <f>COUNTIFS('00 Encuesta'!$B$2:$B$511,"*a)*",'00 Encuesta'!$C$2:$C$511,"*a)*",'00 Encuesta'!$E$2:$E$511,"*a)*",'00 Encuesta'!$AJ$2:$AJ$511,"*g)*")</f>
        <v>2</v>
      </c>
      <c r="J279" s="52">
        <f t="shared" si="350"/>
        <v>9.0909090909090917</v>
      </c>
      <c r="K279" s="53">
        <f>COUNTIFS('00 Encuesta'!$B$2:$B$511,"*a)*",'00 Encuesta'!$C$2:$C$511,"*a)*",'00 Encuesta'!$E$2:$E$511,"*b)*",'00 Encuesta'!$AJ$2:$AJ$511,"*g)*")</f>
        <v>1</v>
      </c>
      <c r="L279" s="52">
        <f t="shared" si="351"/>
        <v>5.5555555555555554</v>
      </c>
      <c r="M279" s="23"/>
      <c r="N279" s="51">
        <f t="shared" si="352"/>
        <v>2</v>
      </c>
      <c r="O279" s="52">
        <f t="shared" si="353"/>
        <v>5.2631578947368416</v>
      </c>
      <c r="P279" s="53">
        <f>COUNTIFS('00 Encuesta'!$B$2:$B$511,"*a)*",'00 Encuesta'!$C$2:$C$511,"*b)*",'00 Encuesta'!$E$2:$E$511,"*a)*",'00 Encuesta'!$AJ$2:$AJ$511,"*g)*")</f>
        <v>1</v>
      </c>
      <c r="Q279" s="52">
        <f t="shared" si="354"/>
        <v>7.6923076923076925</v>
      </c>
      <c r="R279" s="53">
        <f>COUNTIFS('00 Encuesta'!$B$2:$B$511,"*a)*",'00 Encuesta'!$C$2:$C$511,"*b)*",'00 Encuesta'!$E$2:$E$511,"*b)*",'00 Encuesta'!$AJ$2:$AJ$511,"*g)*")</f>
        <v>1</v>
      </c>
      <c r="S279" s="52">
        <f t="shared" si="355"/>
        <v>4</v>
      </c>
      <c r="T279" s="3"/>
      <c r="U279" s="51">
        <f t="shared" si="356"/>
        <v>0</v>
      </c>
      <c r="V279" s="52" t="e">
        <f t="shared" si="357"/>
        <v>#DIV/0!</v>
      </c>
      <c r="W279" s="53">
        <f>COUNTIFS('00 Encuesta'!$B$2:$B$511,"*a)*",'00 Encuesta'!$C$2:$C$511,"*c)*",'00 Encuesta'!$E$2:$E$511,"*a)*",'00 Encuesta'!$AJ$2:$AJ$511,"*g)*")</f>
        <v>0</v>
      </c>
      <c r="X279" s="52" t="e">
        <f t="shared" si="358"/>
        <v>#DIV/0!</v>
      </c>
      <c r="Y279" s="53">
        <f>COUNTIFS('00 Encuesta'!$B$2:$B$511,"*a)*",'00 Encuesta'!$C$2:$C$511,"*c)*",'00 Encuesta'!$E$2:$E$511,"*b)*",'00 Encuesta'!$AJ$2:$AJ$511,"*g)*")</f>
        <v>0</v>
      </c>
      <c r="Z279" s="52" t="e">
        <f t="shared" si="359"/>
        <v>#DIV/0!</v>
      </c>
      <c r="AA279" s="3"/>
      <c r="AB279" s="62">
        <f t="shared" si="360"/>
        <v>5</v>
      </c>
      <c r="AC279" s="52">
        <f t="shared" si="361"/>
        <v>6.4102564102564106</v>
      </c>
      <c r="AD279" s="3"/>
      <c r="AE279" s="3"/>
      <c r="AF279" s="9" t="str">
        <f t="shared" si="362"/>
        <v>g) Suelo ir a discotecas o fiestas</v>
      </c>
      <c r="AG279" s="72">
        <f t="shared" si="370"/>
        <v>9.0909090909090917</v>
      </c>
      <c r="AH279" s="72">
        <f t="shared" si="371"/>
        <v>5.5555555555555554</v>
      </c>
      <c r="AI279" s="73">
        <f t="shared" si="372"/>
        <v>7.5</v>
      </c>
      <c r="AJ279" s="73"/>
      <c r="AK279" s="76">
        <f t="shared" si="363"/>
        <v>7.6923076923076925</v>
      </c>
      <c r="AL279" s="76">
        <f t="shared" si="364"/>
        <v>4</v>
      </c>
      <c r="AM279" s="76">
        <f t="shared" si="365"/>
        <v>5.2631578947368416</v>
      </c>
      <c r="AN279" s="76"/>
      <c r="AO279" s="81" t="e">
        <f t="shared" si="366"/>
        <v>#DIV/0!</v>
      </c>
      <c r="AP279" s="81" t="e">
        <f t="shared" si="367"/>
        <v>#DIV/0!</v>
      </c>
      <c r="AQ279" s="81" t="e">
        <f t="shared" si="368"/>
        <v>#DIV/0!</v>
      </c>
      <c r="AR279" s="3"/>
      <c r="AS279" s="76">
        <f t="shared" si="369"/>
        <v>6.4102564102564106</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ht="15.75" x14ac:dyDescent="0.3">
      <c r="A280" s="1" t="s">
        <v>63</v>
      </c>
      <c r="B280" s="2" t="s">
        <v>206</v>
      </c>
      <c r="C280" s="3"/>
      <c r="D280" s="7"/>
      <c r="E280" s="7"/>
      <c r="F280" s="71"/>
      <c r="G280" s="51">
        <f t="shared" si="348"/>
        <v>4</v>
      </c>
      <c r="H280" s="52">
        <f t="shared" si="349"/>
        <v>10</v>
      </c>
      <c r="I280" s="53">
        <f>COUNTIFS('00 Encuesta'!$B$2:$B$511,"*a)*",'00 Encuesta'!$C$2:$C$511,"*a)*",'00 Encuesta'!$E$2:$E$511,"*a)*",'00 Encuesta'!$AJ$2:$AJ$511,"*h)*")</f>
        <v>1</v>
      </c>
      <c r="J280" s="52">
        <f t="shared" si="350"/>
        <v>4.5454545454545459</v>
      </c>
      <c r="K280" s="53">
        <f>COUNTIFS('00 Encuesta'!$B$2:$B$511,"*a)*",'00 Encuesta'!$C$2:$C$511,"*a)*",'00 Encuesta'!$E$2:$E$511,"*b)*",'00 Encuesta'!$AJ$2:$AJ$511,"*h)*")</f>
        <v>3</v>
      </c>
      <c r="L280" s="52">
        <f t="shared" si="351"/>
        <v>16.666666666666664</v>
      </c>
      <c r="M280" s="23"/>
      <c r="N280" s="51">
        <f t="shared" si="352"/>
        <v>4</v>
      </c>
      <c r="O280" s="52">
        <f t="shared" si="353"/>
        <v>10.526315789473683</v>
      </c>
      <c r="P280" s="53">
        <f>COUNTIFS('00 Encuesta'!$B$2:$B$511,"*a)*",'00 Encuesta'!$C$2:$C$511,"*b)*",'00 Encuesta'!$E$2:$E$511,"*a)*",'00 Encuesta'!$AJ$2:$AJ$511,"*h)*")</f>
        <v>1</v>
      </c>
      <c r="Q280" s="52">
        <f t="shared" si="354"/>
        <v>7.6923076923076925</v>
      </c>
      <c r="R280" s="53">
        <f>COUNTIFS('00 Encuesta'!$B$2:$B$511,"*a)*",'00 Encuesta'!$C$2:$C$511,"*b)*",'00 Encuesta'!$E$2:$E$511,"*b)*",'00 Encuesta'!$AJ$2:$AJ$511,"*h)*")</f>
        <v>3</v>
      </c>
      <c r="S280" s="52">
        <f t="shared" si="355"/>
        <v>12</v>
      </c>
      <c r="T280" s="3"/>
      <c r="U280" s="51">
        <f t="shared" si="356"/>
        <v>0</v>
      </c>
      <c r="V280" s="52" t="e">
        <f t="shared" si="357"/>
        <v>#DIV/0!</v>
      </c>
      <c r="W280" s="53">
        <f>COUNTIFS('00 Encuesta'!$B$2:$B$511,"*a)*",'00 Encuesta'!$C$2:$C$511,"*c)*",'00 Encuesta'!$E$2:$E$511,"*a)*",'00 Encuesta'!$AJ$2:$AJ$511,"*h)*")</f>
        <v>0</v>
      </c>
      <c r="X280" s="52" t="e">
        <f t="shared" si="358"/>
        <v>#DIV/0!</v>
      </c>
      <c r="Y280" s="53">
        <f>COUNTIFS('00 Encuesta'!$B$2:$B$511,"*a)*",'00 Encuesta'!$C$2:$C$511,"*c)*",'00 Encuesta'!$E$2:$E$511,"*b)*",'00 Encuesta'!$AJ$2:$AJ$511,"*h)*")</f>
        <v>0</v>
      </c>
      <c r="Z280" s="52" t="e">
        <f t="shared" si="359"/>
        <v>#DIV/0!</v>
      </c>
      <c r="AA280" s="3"/>
      <c r="AB280" s="62">
        <f t="shared" si="360"/>
        <v>8</v>
      </c>
      <c r="AC280" s="52">
        <f t="shared" si="361"/>
        <v>10.256410256410257</v>
      </c>
      <c r="AD280" s="3"/>
      <c r="AE280" s="3"/>
      <c r="AF280" s="9" t="str">
        <f t="shared" si="362"/>
        <v>h) Suelo ir al cine</v>
      </c>
      <c r="AG280" s="72">
        <f t="shared" si="370"/>
        <v>4.5454545454545459</v>
      </c>
      <c r="AH280" s="72">
        <f t="shared" si="371"/>
        <v>16.666666666666664</v>
      </c>
      <c r="AI280" s="73">
        <f t="shared" si="372"/>
        <v>10</v>
      </c>
      <c r="AJ280" s="73"/>
      <c r="AK280" s="76">
        <f t="shared" si="363"/>
        <v>7.6923076923076925</v>
      </c>
      <c r="AL280" s="76">
        <f t="shared" si="364"/>
        <v>12</v>
      </c>
      <c r="AM280" s="76">
        <f t="shared" si="365"/>
        <v>10.526315789473683</v>
      </c>
      <c r="AN280" s="76"/>
      <c r="AO280" s="81" t="e">
        <f t="shared" si="366"/>
        <v>#DIV/0!</v>
      </c>
      <c r="AP280" s="81" t="e">
        <f t="shared" si="367"/>
        <v>#DIV/0!</v>
      </c>
      <c r="AQ280" s="81" t="e">
        <f t="shared" si="368"/>
        <v>#DIV/0!</v>
      </c>
      <c r="AR280" s="3"/>
      <c r="AS280" s="76">
        <f t="shared" si="369"/>
        <v>10.256410256410257</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ht="15" x14ac:dyDescent="0.25">
      <c r="A281" s="8" t="s">
        <v>65</v>
      </c>
      <c r="B281" s="9" t="s">
        <v>207</v>
      </c>
      <c r="C281" s="7"/>
      <c r="D281" s="7"/>
      <c r="E281" s="7"/>
      <c r="F281" s="71"/>
      <c r="G281" s="51">
        <f t="shared" si="348"/>
        <v>6</v>
      </c>
      <c r="H281" s="52">
        <f t="shared" si="349"/>
        <v>15</v>
      </c>
      <c r="I281" s="53">
        <f>COUNTIFS('00 Encuesta'!$B$2:$B$511,"*a)*",'00 Encuesta'!$C$2:$C$511,"*a)*",'00 Encuesta'!$E$2:$E$511,"*a)*",'00 Encuesta'!$AJ$2:$AJ$511,"*i)*")</f>
        <v>2</v>
      </c>
      <c r="J281" s="52">
        <f t="shared" si="350"/>
        <v>9.0909090909090917</v>
      </c>
      <c r="K281" s="53">
        <f>COUNTIFS('00 Encuesta'!$B$2:$B$511,"*a)*",'00 Encuesta'!$C$2:$C$511,"*a)*",'00 Encuesta'!$E$2:$E$511,"*b)*",'00 Encuesta'!$AJ$2:$AJ$511,"*i)*")</f>
        <v>4</v>
      </c>
      <c r="L281" s="52">
        <f t="shared" si="351"/>
        <v>22.222222222222221</v>
      </c>
      <c r="M281" s="23"/>
      <c r="N281" s="51">
        <f t="shared" si="352"/>
        <v>5</v>
      </c>
      <c r="O281" s="52">
        <f t="shared" si="353"/>
        <v>13.157894736842104</v>
      </c>
      <c r="P281" s="53">
        <f>COUNTIFS('00 Encuesta'!$B$2:$B$511,"*a)*",'00 Encuesta'!$C$2:$C$511,"*b)*",'00 Encuesta'!$E$2:$E$511,"*a)*",'00 Encuesta'!$AJ$2:$AJ$511,"*i)*")</f>
        <v>0</v>
      </c>
      <c r="Q281" s="52">
        <f t="shared" si="354"/>
        <v>0</v>
      </c>
      <c r="R281" s="53">
        <f>COUNTIFS('00 Encuesta'!$B$2:$B$511,"*a)*",'00 Encuesta'!$C$2:$C$511,"*b)*",'00 Encuesta'!$E$2:$E$511,"*b)*",'00 Encuesta'!$AJ$2:$AJ$511,"*i)*")</f>
        <v>5</v>
      </c>
      <c r="S281" s="52">
        <f t="shared" si="355"/>
        <v>20</v>
      </c>
      <c r="T281" s="3"/>
      <c r="U281" s="51">
        <f t="shared" si="356"/>
        <v>0</v>
      </c>
      <c r="V281" s="52" t="e">
        <f t="shared" si="357"/>
        <v>#DIV/0!</v>
      </c>
      <c r="W281" s="53">
        <f>COUNTIFS('00 Encuesta'!$B$2:$B$511,"*a)*",'00 Encuesta'!$C$2:$C$511,"*c)*",'00 Encuesta'!$E$2:$E$511,"*a)*",'00 Encuesta'!$AJ$2:$AJ$511,"*i)*")</f>
        <v>0</v>
      </c>
      <c r="X281" s="52" t="e">
        <f t="shared" si="358"/>
        <v>#DIV/0!</v>
      </c>
      <c r="Y281" s="53">
        <f>COUNTIFS('00 Encuesta'!$B$2:$B$511,"*a)*",'00 Encuesta'!$C$2:$C$511,"*c)*",'00 Encuesta'!$E$2:$E$511,"*b)*",'00 Encuesta'!$AJ$2:$AJ$511,"*i)*")</f>
        <v>0</v>
      </c>
      <c r="Z281" s="52" t="e">
        <f t="shared" si="359"/>
        <v>#DIV/0!</v>
      </c>
      <c r="AA281" s="3"/>
      <c r="AB281" s="62">
        <f t="shared" si="360"/>
        <v>11</v>
      </c>
      <c r="AC281" s="52">
        <f t="shared" si="361"/>
        <v>14.102564102564102</v>
      </c>
      <c r="AD281" s="3"/>
      <c r="AE281" s="3"/>
      <c r="AF281" s="9" t="str">
        <f t="shared" si="362"/>
        <v>i) Leo revistas o libros</v>
      </c>
      <c r="AG281" s="72">
        <f t="shared" si="370"/>
        <v>9.0909090909090917</v>
      </c>
      <c r="AH281" s="72">
        <f t="shared" si="371"/>
        <v>22.222222222222221</v>
      </c>
      <c r="AI281" s="73">
        <f t="shared" si="372"/>
        <v>15</v>
      </c>
      <c r="AJ281" s="73"/>
      <c r="AK281" s="76">
        <f t="shared" si="363"/>
        <v>0</v>
      </c>
      <c r="AL281" s="76">
        <f t="shared" si="364"/>
        <v>20</v>
      </c>
      <c r="AM281" s="76">
        <f t="shared" si="365"/>
        <v>13.157894736842104</v>
      </c>
      <c r="AN281" s="76"/>
      <c r="AO281" s="81" t="e">
        <f t="shared" si="366"/>
        <v>#DIV/0!</v>
      </c>
      <c r="AP281" s="81" t="e">
        <f t="shared" si="367"/>
        <v>#DIV/0!</v>
      </c>
      <c r="AQ281" s="81" t="e">
        <f t="shared" si="368"/>
        <v>#DIV/0!</v>
      </c>
      <c r="AR281" s="3"/>
      <c r="AS281" s="76">
        <f t="shared" si="369"/>
        <v>14.102564102564102</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2</v>
      </c>
      <c r="H282" s="52">
        <f t="shared" si="349"/>
        <v>5</v>
      </c>
      <c r="I282" s="53">
        <f>COUNTIFS('00 Encuesta'!$B$2:$B$511,"*a)*",'00 Encuesta'!$C$2:$C$511,"*a)*",'00 Encuesta'!$E$2:$E$511,"*a)*",'00 Encuesta'!$AJ$2:$AJ$511,"*j)*")</f>
        <v>2</v>
      </c>
      <c r="J282" s="52">
        <f t="shared" si="350"/>
        <v>9.0909090909090917</v>
      </c>
      <c r="K282" s="53">
        <f>COUNTIFS('00 Encuesta'!$B$2:$B$511,"*a)*",'00 Encuesta'!$C$2:$C$511,"*a)*",'00 Encuesta'!$E$2:$E$511,"*b)*",'00 Encuesta'!$AJ$2:$AJ$511,"*j)*")</f>
        <v>0</v>
      </c>
      <c r="L282" s="52">
        <f t="shared" si="351"/>
        <v>0</v>
      </c>
      <c r="M282" s="23"/>
      <c r="N282" s="51">
        <f t="shared" si="352"/>
        <v>0</v>
      </c>
      <c r="O282" s="52">
        <f t="shared" si="353"/>
        <v>0</v>
      </c>
      <c r="P282" s="53">
        <f>COUNTIFS('00 Encuesta'!$B$2:$B$511,"*a)*",'00 Encuesta'!$C$2:$C$511,"*b)*",'00 Encuesta'!$E$2:$E$511,"*a)*",'00 Encuesta'!$AJ$2:$AJ$511,"*j)*")</f>
        <v>0</v>
      </c>
      <c r="Q282" s="52">
        <f t="shared" si="354"/>
        <v>0</v>
      </c>
      <c r="R282" s="53">
        <f>COUNTIFS('00 Encuesta'!$B$2:$B$511,"*a)*",'00 Encuesta'!$C$2:$C$511,"*b)*",'00 Encuesta'!$E$2:$E$511,"*b)*",'00 Encuesta'!$AJ$2:$AJ$511,"*j)*")</f>
        <v>0</v>
      </c>
      <c r="S282" s="52">
        <f t="shared" si="355"/>
        <v>0</v>
      </c>
      <c r="T282" s="3"/>
      <c r="U282" s="51">
        <f t="shared" si="356"/>
        <v>0</v>
      </c>
      <c r="V282" s="52" t="e">
        <f t="shared" si="357"/>
        <v>#DIV/0!</v>
      </c>
      <c r="W282" s="53">
        <f>COUNTIFS('00 Encuesta'!$B$2:$B$511,"*a)*",'00 Encuesta'!$C$2:$C$511,"*c)*",'00 Encuesta'!$E$2:$E$511,"*a)*",'00 Encuesta'!$AJ$2:$AJ$511,"*j)*")</f>
        <v>0</v>
      </c>
      <c r="X282" s="52" t="e">
        <f t="shared" si="358"/>
        <v>#DIV/0!</v>
      </c>
      <c r="Y282" s="53">
        <f>COUNTIFS('00 Encuesta'!$B$2:$B$511,"*a)*",'00 Encuesta'!$C$2:$C$511,"*c)*",'00 Encuesta'!$E$2:$E$511,"*b)*",'00 Encuesta'!$AJ$2:$AJ$511,"*j)*")</f>
        <v>0</v>
      </c>
      <c r="Z282" s="52" t="e">
        <f t="shared" si="359"/>
        <v>#DIV/0!</v>
      </c>
      <c r="AA282" s="3"/>
      <c r="AB282" s="62">
        <f t="shared" si="360"/>
        <v>2</v>
      </c>
      <c r="AC282" s="52">
        <f t="shared" si="361"/>
        <v>2.5641025641025643</v>
      </c>
      <c r="AD282" s="3"/>
      <c r="AE282" s="3"/>
      <c r="AF282" s="9" t="str">
        <f t="shared" si="362"/>
        <v>j) Estoy en algún grupo juvenil</v>
      </c>
      <c r="AG282" s="72">
        <f t="shared" si="370"/>
        <v>9.0909090909090917</v>
      </c>
      <c r="AH282" s="72">
        <f t="shared" si="371"/>
        <v>0</v>
      </c>
      <c r="AI282" s="73">
        <f t="shared" si="372"/>
        <v>5</v>
      </c>
      <c r="AJ282" s="73"/>
      <c r="AK282" s="76">
        <f t="shared" si="363"/>
        <v>0</v>
      </c>
      <c r="AL282" s="76">
        <f t="shared" si="364"/>
        <v>0</v>
      </c>
      <c r="AM282" s="76">
        <f t="shared" si="365"/>
        <v>0</v>
      </c>
      <c r="AN282" s="76"/>
      <c r="AO282" s="81" t="e">
        <f t="shared" si="366"/>
        <v>#DIV/0!</v>
      </c>
      <c r="AP282" s="81" t="e">
        <f t="shared" si="367"/>
        <v>#DIV/0!</v>
      </c>
      <c r="AQ282" s="81" t="e">
        <f t="shared" si="368"/>
        <v>#DIV/0!</v>
      </c>
      <c r="AR282" s="3"/>
      <c r="AS282" s="76">
        <f t="shared" si="369"/>
        <v>2.5641025641025643</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15</v>
      </c>
      <c r="H283" s="52">
        <f t="shared" si="349"/>
        <v>37.5</v>
      </c>
      <c r="I283" s="53">
        <f>COUNTIFS('00 Encuesta'!$B$2:$B$511,"*a)*",'00 Encuesta'!$C$2:$C$511,"*a)*",'00 Encuesta'!$E$2:$E$511,"*a)*",'00 Encuesta'!$AJ$2:$AJ$511,"*k)*")</f>
        <v>12</v>
      </c>
      <c r="J283" s="52">
        <f t="shared" si="350"/>
        <v>54.54545454545454</v>
      </c>
      <c r="K283" s="53">
        <f>COUNTIFS('00 Encuesta'!$B$2:$B$511,"*a)*",'00 Encuesta'!$C$2:$C$511,"*a)*",'00 Encuesta'!$E$2:$E$511,"*b)*",'00 Encuesta'!$AJ$2:$AJ$511,"*k)*")</f>
        <v>3</v>
      </c>
      <c r="L283" s="52">
        <f t="shared" si="351"/>
        <v>16.666666666666664</v>
      </c>
      <c r="M283" s="23"/>
      <c r="N283" s="51">
        <f t="shared" si="352"/>
        <v>7</v>
      </c>
      <c r="O283" s="52">
        <f t="shared" si="353"/>
        <v>18.421052631578945</v>
      </c>
      <c r="P283" s="53">
        <f>COUNTIFS('00 Encuesta'!$B$2:$B$511,"*a)*",'00 Encuesta'!$C$2:$C$511,"*b)*",'00 Encuesta'!$E$2:$E$511,"*a)*",'00 Encuesta'!$AJ$2:$AJ$511,"*k)*")</f>
        <v>2</v>
      </c>
      <c r="Q283" s="52">
        <f t="shared" si="354"/>
        <v>15.384615384615385</v>
      </c>
      <c r="R283" s="53">
        <f>COUNTIFS('00 Encuesta'!$B$2:$B$511,"*a)*",'00 Encuesta'!$C$2:$C$511,"*b)*",'00 Encuesta'!$E$2:$E$511,"*b)*",'00 Encuesta'!$AJ$2:$AJ$511,"*k)*")</f>
        <v>5</v>
      </c>
      <c r="S283" s="52">
        <f t="shared" si="355"/>
        <v>20</v>
      </c>
      <c r="T283" s="3"/>
      <c r="U283" s="51">
        <f t="shared" si="356"/>
        <v>0</v>
      </c>
      <c r="V283" s="52" t="e">
        <f t="shared" si="357"/>
        <v>#DIV/0!</v>
      </c>
      <c r="W283" s="53">
        <f>COUNTIFS('00 Encuesta'!$B$2:$B$511,"*a)*",'00 Encuesta'!$C$2:$C$511,"*c)*",'00 Encuesta'!$E$2:$E$511,"*a)*",'00 Encuesta'!$AJ$2:$AJ$511,"*k)*")</f>
        <v>0</v>
      </c>
      <c r="X283" s="52" t="e">
        <f t="shared" si="358"/>
        <v>#DIV/0!</v>
      </c>
      <c r="Y283" s="53">
        <f>COUNTIFS('00 Encuesta'!$B$2:$B$511,"*a)*",'00 Encuesta'!$C$2:$C$511,"*c)*",'00 Encuesta'!$E$2:$E$511,"*b)*",'00 Encuesta'!$AJ$2:$AJ$511,"*k)*")</f>
        <v>0</v>
      </c>
      <c r="Z283" s="52" t="e">
        <f t="shared" si="359"/>
        <v>#DIV/0!</v>
      </c>
      <c r="AA283" s="3"/>
      <c r="AB283" s="62">
        <f t="shared" si="360"/>
        <v>22</v>
      </c>
      <c r="AC283" s="52">
        <f t="shared" si="361"/>
        <v>28.205128205128204</v>
      </c>
      <c r="AD283" s="3"/>
      <c r="AE283" s="3"/>
      <c r="AF283" s="9" t="str">
        <f t="shared" si="362"/>
        <v>k) Practico algún deporte</v>
      </c>
      <c r="AG283" s="72">
        <f t="shared" si="370"/>
        <v>54.54545454545454</v>
      </c>
      <c r="AH283" s="72">
        <f t="shared" si="371"/>
        <v>16.666666666666664</v>
      </c>
      <c r="AI283" s="73">
        <f t="shared" si="372"/>
        <v>37.5</v>
      </c>
      <c r="AJ283" s="73"/>
      <c r="AK283" s="76">
        <f t="shared" si="363"/>
        <v>15.384615384615385</v>
      </c>
      <c r="AL283" s="76">
        <f t="shared" si="364"/>
        <v>20</v>
      </c>
      <c r="AM283" s="76">
        <f t="shared" si="365"/>
        <v>18.421052631578945</v>
      </c>
      <c r="AN283" s="76"/>
      <c r="AO283" s="81" t="e">
        <f t="shared" si="366"/>
        <v>#DIV/0!</v>
      </c>
      <c r="AP283" s="81" t="e">
        <f t="shared" si="367"/>
        <v>#DIV/0!</v>
      </c>
      <c r="AQ283" s="81" t="e">
        <f t="shared" si="368"/>
        <v>#DIV/0!</v>
      </c>
      <c r="AR283" s="3"/>
      <c r="AS283" s="76">
        <f t="shared" si="369"/>
        <v>28.205128205128204</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9</v>
      </c>
      <c r="H284" s="52">
        <f t="shared" si="349"/>
        <v>22.5</v>
      </c>
      <c r="I284" s="53">
        <f>COUNTIFS('00 Encuesta'!$B$2:$B$511,"*a)*",'00 Encuesta'!$C$2:$C$511,"*a)*",'00 Encuesta'!$E$2:$E$511,"*a)*",'00 Encuesta'!$AJ$2:$AJ$511,"*l)*")</f>
        <v>4</v>
      </c>
      <c r="J284" s="52">
        <f t="shared" si="350"/>
        <v>18.181818181818183</v>
      </c>
      <c r="K284" s="53">
        <f>COUNTIFS('00 Encuesta'!$B$2:$B$511,"*a)*",'00 Encuesta'!$C$2:$C$511,"*a)*",'00 Encuesta'!$E$2:$E$511,"*b)*",'00 Encuesta'!$AJ$2:$AJ$511,"*l)*")</f>
        <v>5</v>
      </c>
      <c r="L284" s="52">
        <f t="shared" si="351"/>
        <v>27.777777777777779</v>
      </c>
      <c r="M284" s="23"/>
      <c r="N284" s="51">
        <f t="shared" si="352"/>
        <v>12</v>
      </c>
      <c r="O284" s="52">
        <f t="shared" si="353"/>
        <v>31.578947368421051</v>
      </c>
      <c r="P284" s="53">
        <f>COUNTIFS('00 Encuesta'!$B$2:$B$511,"*a)*",'00 Encuesta'!$C$2:$C$511,"*b)*",'00 Encuesta'!$E$2:$E$511,"*a)*",'00 Encuesta'!$AJ$2:$AJ$511,"*l)*")</f>
        <v>5</v>
      </c>
      <c r="Q284" s="52">
        <f t="shared" si="354"/>
        <v>38.461538461538467</v>
      </c>
      <c r="R284" s="53">
        <f>COUNTIFS('00 Encuesta'!$B$2:$B$511,"*a)*",'00 Encuesta'!$C$2:$C$511,"*b)*",'00 Encuesta'!$E$2:$E$511,"*b)*",'00 Encuesta'!$AJ$2:$AJ$511,"*l)*")</f>
        <v>7</v>
      </c>
      <c r="S284" s="52">
        <f t="shared" si="355"/>
        <v>28.000000000000004</v>
      </c>
      <c r="T284" s="3"/>
      <c r="U284" s="51">
        <f t="shared" si="356"/>
        <v>0</v>
      </c>
      <c r="V284" s="52" t="e">
        <f t="shared" si="357"/>
        <v>#DIV/0!</v>
      </c>
      <c r="W284" s="53">
        <f>COUNTIFS('00 Encuesta'!$B$2:$B$511,"*a)*",'00 Encuesta'!$C$2:$C$511,"*c)*",'00 Encuesta'!$E$2:$E$511,"*a)*",'00 Encuesta'!$AJ$2:$AJ$511,"*l)*")</f>
        <v>0</v>
      </c>
      <c r="X284" s="52" t="e">
        <f t="shared" si="358"/>
        <v>#DIV/0!</v>
      </c>
      <c r="Y284" s="53">
        <f>COUNTIFS('00 Encuesta'!$B$2:$B$511,"*a)*",'00 Encuesta'!$C$2:$C$511,"*c)*",'00 Encuesta'!$E$2:$E$511,"*b)*",'00 Encuesta'!$AJ$2:$AJ$511,"*l)*")</f>
        <v>0</v>
      </c>
      <c r="Z284" s="52" t="e">
        <f t="shared" si="359"/>
        <v>#DIV/0!</v>
      </c>
      <c r="AA284" s="3"/>
      <c r="AB284" s="62">
        <f t="shared" si="360"/>
        <v>21</v>
      </c>
      <c r="AC284" s="52">
        <f t="shared" si="361"/>
        <v>26.923076923076923</v>
      </c>
      <c r="AD284" s="3"/>
      <c r="AE284" s="3"/>
      <c r="AF284" s="9" t="str">
        <f t="shared" si="362"/>
        <v>l) Escuho música y/o veo videos musicales</v>
      </c>
      <c r="AG284" s="72">
        <f t="shared" si="370"/>
        <v>18.181818181818183</v>
      </c>
      <c r="AH284" s="72">
        <f t="shared" si="371"/>
        <v>27.777777777777779</v>
      </c>
      <c r="AI284" s="73">
        <f t="shared" si="372"/>
        <v>22.5</v>
      </c>
      <c r="AJ284" s="73"/>
      <c r="AK284" s="76">
        <f t="shared" si="363"/>
        <v>38.461538461538467</v>
      </c>
      <c r="AL284" s="76">
        <f t="shared" si="364"/>
        <v>28.000000000000004</v>
      </c>
      <c r="AM284" s="76">
        <f t="shared" si="365"/>
        <v>31.578947368421051</v>
      </c>
      <c r="AN284" s="76"/>
      <c r="AO284" s="81" t="e">
        <f t="shared" si="366"/>
        <v>#DIV/0!</v>
      </c>
      <c r="AP284" s="81" t="e">
        <f t="shared" si="367"/>
        <v>#DIV/0!</v>
      </c>
      <c r="AQ284" s="81" t="e">
        <f t="shared" si="368"/>
        <v>#DIV/0!</v>
      </c>
      <c r="AR284" s="3"/>
      <c r="AS284" s="76">
        <f t="shared" si="369"/>
        <v>26.923076923076923</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13</v>
      </c>
      <c r="H285" s="52">
        <f t="shared" si="349"/>
        <v>32.5</v>
      </c>
      <c r="I285" s="53">
        <f>COUNTIFS('00 Encuesta'!$B$2:$B$511,"*a)*",'00 Encuesta'!$C$2:$C$511,"*a)*",'00 Encuesta'!$E$2:$E$511,"*a)*",'00 Encuesta'!$AJ$2:$AJ$511,"*m)*")</f>
        <v>7</v>
      </c>
      <c r="J285" s="52">
        <f t="shared" si="350"/>
        <v>31.818181818181817</v>
      </c>
      <c r="K285" s="53">
        <f>COUNTIFS('00 Encuesta'!$B$2:$B$511,"*a)*",'00 Encuesta'!$C$2:$C$511,"*a)*",'00 Encuesta'!$E$2:$E$511,"*b)*",'00 Encuesta'!$AJ$2:$AJ$511,"*m)*")</f>
        <v>6</v>
      </c>
      <c r="L285" s="52">
        <f t="shared" si="351"/>
        <v>33.333333333333329</v>
      </c>
      <c r="M285" s="23"/>
      <c r="N285" s="51">
        <f t="shared" si="352"/>
        <v>8</v>
      </c>
      <c r="O285" s="52">
        <f t="shared" si="353"/>
        <v>21.052631578947366</v>
      </c>
      <c r="P285" s="53">
        <f>COUNTIFS('00 Encuesta'!$B$2:$B$511,"*a)*",'00 Encuesta'!$C$2:$C$511,"*b)*",'00 Encuesta'!$E$2:$E$511,"*a)*",'00 Encuesta'!$AJ$2:$AJ$511,"*m)*")</f>
        <v>3</v>
      </c>
      <c r="Q285" s="52">
        <f t="shared" si="354"/>
        <v>23.076923076923077</v>
      </c>
      <c r="R285" s="53">
        <f>COUNTIFS('00 Encuesta'!$B$2:$B$511,"*a)*",'00 Encuesta'!$C$2:$C$511,"*b)*",'00 Encuesta'!$E$2:$E$511,"*b)*",'00 Encuesta'!$AJ$2:$AJ$511,"*m)*")</f>
        <v>5</v>
      </c>
      <c r="S285" s="52">
        <f t="shared" si="355"/>
        <v>20</v>
      </c>
      <c r="T285" s="3"/>
      <c r="U285" s="51">
        <f t="shared" si="356"/>
        <v>0</v>
      </c>
      <c r="V285" s="52" t="e">
        <f t="shared" si="357"/>
        <v>#DIV/0!</v>
      </c>
      <c r="W285" s="53">
        <f>COUNTIFS('00 Encuesta'!$B$2:$B$511,"*a)*",'00 Encuesta'!$C$2:$C$511,"*c)*",'00 Encuesta'!$E$2:$E$511,"*a)*",'00 Encuesta'!$AJ$2:$AJ$511,"*m)*")</f>
        <v>0</v>
      </c>
      <c r="X285" s="52" t="e">
        <f t="shared" si="358"/>
        <v>#DIV/0!</v>
      </c>
      <c r="Y285" s="53">
        <f>COUNTIFS('00 Encuesta'!$B$2:$B$511,"*a)*",'00 Encuesta'!$C$2:$C$511,"*c)*",'00 Encuesta'!$E$2:$E$511,"*b)*",'00 Encuesta'!$AJ$2:$AJ$511,"*m)*")</f>
        <v>0</v>
      </c>
      <c r="Z285" s="52" t="e">
        <f t="shared" si="359"/>
        <v>#DIV/0!</v>
      </c>
      <c r="AA285" s="3"/>
      <c r="AB285" s="62">
        <f t="shared" si="360"/>
        <v>21</v>
      </c>
      <c r="AC285" s="52">
        <f t="shared" si="361"/>
        <v>26.923076923076923</v>
      </c>
      <c r="AD285" s="3"/>
      <c r="AE285" s="3"/>
      <c r="AF285" s="9" t="str">
        <f t="shared" si="362"/>
        <v>m) Veo televisión y/o películas</v>
      </c>
      <c r="AG285" s="72">
        <f t="shared" si="370"/>
        <v>31.818181818181817</v>
      </c>
      <c r="AH285" s="72">
        <f t="shared" si="371"/>
        <v>33.333333333333329</v>
      </c>
      <c r="AI285" s="73">
        <f t="shared" si="372"/>
        <v>32.5</v>
      </c>
      <c r="AJ285" s="73"/>
      <c r="AK285" s="76">
        <f t="shared" si="363"/>
        <v>23.076923076923077</v>
      </c>
      <c r="AL285" s="76">
        <f t="shared" si="364"/>
        <v>20</v>
      </c>
      <c r="AM285" s="76">
        <f t="shared" si="365"/>
        <v>21.052631578947366</v>
      </c>
      <c r="AN285" s="76"/>
      <c r="AO285" s="81" t="e">
        <f t="shared" si="366"/>
        <v>#DIV/0!</v>
      </c>
      <c r="AP285" s="81" t="e">
        <f t="shared" si="367"/>
        <v>#DIV/0!</v>
      </c>
      <c r="AQ285" s="81" t="e">
        <f t="shared" si="368"/>
        <v>#DIV/0!</v>
      </c>
      <c r="AR285" s="3"/>
      <c r="AS285" s="76">
        <f t="shared" si="369"/>
        <v>26.923076923076923</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ht="15" x14ac:dyDescent="0.25">
      <c r="A286" s="8" t="s">
        <v>213</v>
      </c>
      <c r="B286" s="9" t="s">
        <v>214</v>
      </c>
      <c r="C286" s="7"/>
      <c r="D286" s="7"/>
      <c r="E286" s="7"/>
      <c r="F286" s="71"/>
      <c r="G286" s="51">
        <f t="shared" si="348"/>
        <v>6</v>
      </c>
      <c r="H286" s="52">
        <f t="shared" si="349"/>
        <v>15</v>
      </c>
      <c r="I286" s="53">
        <f>COUNTIFS('00 Encuesta'!$B$2:$B$511,"*a)*",'00 Encuesta'!$C$2:$C$511,"*a)*",'00 Encuesta'!$E$2:$E$511,"*a)*",'00 Encuesta'!$AJ$2:$AJ$511,"*n)*")</f>
        <v>4</v>
      </c>
      <c r="J286" s="52">
        <f t="shared" si="350"/>
        <v>18.181818181818183</v>
      </c>
      <c r="K286" s="53">
        <f>COUNTIFS('00 Encuesta'!$B$2:$B$511,"*a)*",'00 Encuesta'!$C$2:$C$511,"*a)*",'00 Encuesta'!$E$2:$E$511,"*b)*",'00 Encuesta'!$AJ$2:$AJ$511,"*n)*")</f>
        <v>2</v>
      </c>
      <c r="L286" s="52">
        <f t="shared" si="351"/>
        <v>11.111111111111111</v>
      </c>
      <c r="M286" s="23"/>
      <c r="N286" s="51">
        <f t="shared" si="352"/>
        <v>9</v>
      </c>
      <c r="O286" s="52">
        <f t="shared" si="353"/>
        <v>23.684210526315788</v>
      </c>
      <c r="P286" s="53">
        <f>COUNTIFS('00 Encuesta'!$B$2:$B$511,"*a)*",'00 Encuesta'!$C$2:$C$511,"*b)*",'00 Encuesta'!$E$2:$E$511,"*a)*",'00 Encuesta'!$AJ$2:$AJ$511,"*n)*")</f>
        <v>3</v>
      </c>
      <c r="Q286" s="52">
        <f t="shared" si="354"/>
        <v>23.076923076923077</v>
      </c>
      <c r="R286" s="53">
        <f>COUNTIFS('00 Encuesta'!$B$2:$B$511,"*a)*",'00 Encuesta'!$C$2:$C$511,"*b)*",'00 Encuesta'!$E$2:$E$511,"*b)*",'00 Encuesta'!$AJ$2:$AJ$511,"*n)*")</f>
        <v>6</v>
      </c>
      <c r="S286" s="52">
        <f t="shared" si="355"/>
        <v>24</v>
      </c>
      <c r="T286" s="3"/>
      <c r="U286" s="51">
        <f t="shared" si="356"/>
        <v>0</v>
      </c>
      <c r="V286" s="52" t="e">
        <f t="shared" si="357"/>
        <v>#DIV/0!</v>
      </c>
      <c r="W286" s="53">
        <f>COUNTIFS('00 Encuesta'!$B$2:$B$511,"*a)*",'00 Encuesta'!$C$2:$C$511,"*c)*",'00 Encuesta'!$E$2:$E$511,"*a)*",'00 Encuesta'!$AJ$2:$AJ$511,"*n)*")</f>
        <v>0</v>
      </c>
      <c r="X286" s="52" t="e">
        <f t="shared" si="358"/>
        <v>#DIV/0!</v>
      </c>
      <c r="Y286" s="53">
        <f>COUNTIFS('00 Encuesta'!$B$2:$B$511,"*a)*",'00 Encuesta'!$C$2:$C$511,"*c)*",'00 Encuesta'!$E$2:$E$511,"*b)*",'00 Encuesta'!$AJ$2:$AJ$511,"*n)*")</f>
        <v>0</v>
      </c>
      <c r="Z286" s="52" t="e">
        <f t="shared" si="359"/>
        <v>#DIV/0!</v>
      </c>
      <c r="AA286" s="3"/>
      <c r="AB286" s="62">
        <f t="shared" si="360"/>
        <v>15</v>
      </c>
      <c r="AC286" s="52">
        <f t="shared" si="361"/>
        <v>19.23076923076923</v>
      </c>
      <c r="AD286" s="3"/>
      <c r="AE286" s="3"/>
      <c r="AF286" s="9" t="str">
        <f t="shared" si="362"/>
        <v>n) Estoy conversando con los amigos/as</v>
      </c>
      <c r="AG286" s="72">
        <f t="shared" si="370"/>
        <v>18.181818181818183</v>
      </c>
      <c r="AH286" s="72">
        <f t="shared" si="371"/>
        <v>11.111111111111111</v>
      </c>
      <c r="AI286" s="73">
        <f t="shared" si="372"/>
        <v>15</v>
      </c>
      <c r="AJ286" s="73"/>
      <c r="AK286" s="76">
        <f t="shared" si="363"/>
        <v>23.076923076923077</v>
      </c>
      <c r="AL286" s="76">
        <f t="shared" si="364"/>
        <v>24</v>
      </c>
      <c r="AM286" s="76">
        <f t="shared" si="365"/>
        <v>23.684210526315788</v>
      </c>
      <c r="AN286" s="76"/>
      <c r="AO286" s="81" t="e">
        <f t="shared" si="366"/>
        <v>#DIV/0!</v>
      </c>
      <c r="AP286" s="81" t="e">
        <f t="shared" si="367"/>
        <v>#DIV/0!</v>
      </c>
      <c r="AQ286" s="81" t="e">
        <f t="shared" si="368"/>
        <v>#DIV/0!</v>
      </c>
      <c r="AR286" s="3"/>
      <c r="AS286" s="76">
        <f t="shared" si="369"/>
        <v>19.23076923076923</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ht="15" x14ac:dyDescent="0.25">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ht="15" x14ac:dyDescent="0.25">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ht="15" x14ac:dyDescent="0.25">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ht="15" x14ac:dyDescent="0.25">
      <c r="A290" s="8" t="s">
        <v>17</v>
      </c>
      <c r="B290" s="9" t="s">
        <v>216</v>
      </c>
      <c r="C290" s="7"/>
      <c r="D290" s="7"/>
      <c r="E290" s="7"/>
      <c r="F290" s="71">
        <v>100</v>
      </c>
      <c r="G290" s="51">
        <f t="shared" ref="G290:G295" si="373">I290+K290</f>
        <v>8</v>
      </c>
      <c r="H290" s="52">
        <f t="shared" ref="H290:H295" si="374">G290/$J$5*100</f>
        <v>20</v>
      </c>
      <c r="I290" s="53">
        <f>COUNTIFS('00 Encuesta'!$B$2:$B$511,"*a)*",'00 Encuesta'!$C$2:$C$511,"*a)*",'00 Encuesta'!$E$2:$E$511,"*a)*",'00 Encuesta'!$AL$2:$AL$511,"*a)*")</f>
        <v>7</v>
      </c>
      <c r="J290" s="52">
        <f t="shared" ref="J290:J295" si="375">I290/$J$6*100</f>
        <v>31.818181818181817</v>
      </c>
      <c r="K290" s="53">
        <f>COUNTIFS('00 Encuesta'!$B$2:$B$511,"*a)*",'00 Encuesta'!$C$2:$C$511,"*a)*",'00 Encuesta'!$E$2:$E$511,"*b)*",'00 Encuesta'!$AL$2:$AL$511,"*a)*")</f>
        <v>1</v>
      </c>
      <c r="L290" s="52">
        <f>K290/$J$7*100</f>
        <v>5.5555555555555554</v>
      </c>
      <c r="M290" s="23"/>
      <c r="N290" s="51">
        <f>P290+R290</f>
        <v>3</v>
      </c>
      <c r="O290" s="52">
        <f>N290/$Q$5*100</f>
        <v>7.8947368421052628</v>
      </c>
      <c r="P290" s="53">
        <f>COUNTIFS('00 Encuesta'!$B$2:$B$511,"*a)*",'00 Encuesta'!$C$2:$C$511,"*b)*",'00 Encuesta'!$E$2:$E$511,"*a)*",'00 Encuesta'!$AL$2:$AL$511,"*a)*")</f>
        <v>1</v>
      </c>
      <c r="Q290" s="52">
        <f>P290/$Q$6*100</f>
        <v>7.6923076923076925</v>
      </c>
      <c r="R290" s="53">
        <f>COUNTIFS('00 Encuesta'!$B$2:$B$511,"*a)*",'00 Encuesta'!$C$2:$C$511,"*b)*",'00 Encuesta'!$E$2:$E$511,"*b)*",'00 Encuesta'!$AL$2:$AL$511,"*a)*")</f>
        <v>2</v>
      </c>
      <c r="S290" s="52">
        <f>R290/$Q$7*100</f>
        <v>8</v>
      </c>
      <c r="T290" s="3"/>
      <c r="U290" s="51">
        <f>W290+Y290</f>
        <v>0</v>
      </c>
      <c r="V290" s="52" t="e">
        <f>U290/$X$5*100</f>
        <v>#DIV/0!</v>
      </c>
      <c r="W290" s="53">
        <f>COUNTIFS('00 Encuesta'!$B$2:$B$511,"*a)*",'00 Encuesta'!$C$2:$C$511,"*c)*",'00 Encuesta'!$E$2:$E$511,"*a)*",'00 Encuesta'!$AL$2:$AL$511,"*a)*")</f>
        <v>0</v>
      </c>
      <c r="X290" s="52" t="e">
        <f>W290/$X$6*100</f>
        <v>#DIV/0!</v>
      </c>
      <c r="Y290" s="53">
        <f>COUNTIFS('00 Encuesta'!$B$2:$B$511,"*a)*",'00 Encuesta'!$C$2:$C$511,"*c)*",'00 Encuesta'!$E$2:$E$511,"*b)*",'00 Encuesta'!$AL$2:$AL$511,"*a)*")</f>
        <v>0</v>
      </c>
      <c r="Z290" s="52" t="e">
        <f t="shared" ref="Z290:Z295" si="376">Y290/$X$7*100</f>
        <v>#DIV/0!</v>
      </c>
      <c r="AA290" s="3"/>
      <c r="AB290" s="62">
        <f t="shared" ref="AB290:AB295" si="377">G290+N290+U290</f>
        <v>11</v>
      </c>
      <c r="AC290" s="52">
        <f t="shared" ref="AC290:AC295" si="378">AB290*100/$AC$5</f>
        <v>14.102564102564102</v>
      </c>
      <c r="AD290" s="3"/>
      <c r="AE290" s="3"/>
      <c r="AF290" s="9" t="str">
        <f t="shared" ref="AF290:AF295" si="379">A290&amp;" "&amp;B290</f>
        <v>a) Muy bueno</v>
      </c>
      <c r="AG290" s="72">
        <f t="shared" ref="AG290:AG295" si="380">J290</f>
        <v>31.818181818181817</v>
      </c>
      <c r="AH290" s="72">
        <f t="shared" ref="AH290:AH295" si="381">L290</f>
        <v>5.5555555555555554</v>
      </c>
      <c r="AI290" s="73">
        <f t="shared" ref="AI290:AI295" si="382">H290</f>
        <v>20</v>
      </c>
      <c r="AJ290" s="73"/>
      <c r="AK290" s="76">
        <f t="shared" ref="AK290:AK295" si="383">Q290</f>
        <v>7.6923076923076925</v>
      </c>
      <c r="AL290" s="76">
        <f t="shared" ref="AL290:AL295" si="384">S290</f>
        <v>8</v>
      </c>
      <c r="AM290" s="76">
        <f t="shared" ref="AM290:AM295" si="385">O290</f>
        <v>7.8947368421052628</v>
      </c>
      <c r="AN290" s="76"/>
      <c r="AO290" s="81" t="e">
        <f t="shared" ref="AO290:AO295" si="386">X290</f>
        <v>#DIV/0!</v>
      </c>
      <c r="AP290" s="81" t="e">
        <f t="shared" ref="AP290:AP295" si="387">Z290</f>
        <v>#DIV/0!</v>
      </c>
      <c r="AQ290" s="81" t="e">
        <f t="shared" ref="AQ290:AQ295" si="388">V290</f>
        <v>#DIV/0!</v>
      </c>
      <c r="AR290" s="3"/>
      <c r="AS290" s="76">
        <f t="shared" si="369"/>
        <v>14.102564102564102</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ht="15" x14ac:dyDescent="0.25">
      <c r="A291" s="8" t="s">
        <v>18</v>
      </c>
      <c r="B291" s="9" t="s">
        <v>217</v>
      </c>
      <c r="C291" s="7"/>
      <c r="D291" s="7"/>
      <c r="E291" s="7"/>
      <c r="F291" s="71">
        <v>75</v>
      </c>
      <c r="G291" s="51">
        <f t="shared" si="373"/>
        <v>17</v>
      </c>
      <c r="H291" s="52">
        <f t="shared" si="374"/>
        <v>42.5</v>
      </c>
      <c r="I291" s="53">
        <f>COUNTIFS('00 Encuesta'!$B$2:$B$511,"*a)*",'00 Encuesta'!$C$2:$C$511,"*a)*",'00 Encuesta'!$E$2:$E$511,"*a)*",'00 Encuesta'!$AL$2:$AL$511,"*b)*")</f>
        <v>9</v>
      </c>
      <c r="J291" s="52">
        <f t="shared" si="375"/>
        <v>40.909090909090914</v>
      </c>
      <c r="K291" s="53">
        <f>COUNTIFS('00 Encuesta'!$B$2:$B$511,"*a)*",'00 Encuesta'!$C$2:$C$511,"*a)*",'00 Encuesta'!$E$2:$E$511,"*b)*",'00 Encuesta'!$AL$2:$AL$511,"*b)*")</f>
        <v>8</v>
      </c>
      <c r="L291" s="52">
        <f>K291/$J$7*100</f>
        <v>44.444444444444443</v>
      </c>
      <c r="M291" s="23"/>
      <c r="N291" s="51">
        <f>P291+R291</f>
        <v>19</v>
      </c>
      <c r="O291" s="52">
        <f>N291/$Q$5*100</f>
        <v>50</v>
      </c>
      <c r="P291" s="53">
        <f>COUNTIFS('00 Encuesta'!$B$2:$B$511,"*a)*",'00 Encuesta'!$C$2:$C$511,"*b)*",'00 Encuesta'!$E$2:$E$511,"*a)*",'00 Encuesta'!$AL$2:$AL$511,"*b)*")</f>
        <v>6</v>
      </c>
      <c r="Q291" s="52">
        <f>P291/$Q$6*100</f>
        <v>46.153846153846153</v>
      </c>
      <c r="R291" s="53">
        <f>COUNTIFS('00 Encuesta'!$B$2:$B$511,"*a)*",'00 Encuesta'!$C$2:$C$511,"*b)*",'00 Encuesta'!$E$2:$E$511,"*b)*",'00 Encuesta'!$AL$2:$AL$511,"*b)*")</f>
        <v>13</v>
      </c>
      <c r="S291" s="52">
        <f>R291/$Q$7*100</f>
        <v>52</v>
      </c>
      <c r="T291" s="3"/>
      <c r="U291" s="51">
        <f>W291+Y291</f>
        <v>0</v>
      </c>
      <c r="V291" s="52" t="e">
        <f>U291/$X$5*100</f>
        <v>#DIV/0!</v>
      </c>
      <c r="W291" s="53">
        <f>COUNTIFS('00 Encuesta'!$B$2:$B$511,"*a)*",'00 Encuesta'!$C$2:$C$511,"*c)*",'00 Encuesta'!$E$2:$E$511,"*a)*",'00 Encuesta'!$AL$2:$AL$511,"*b)*")</f>
        <v>0</v>
      </c>
      <c r="X291" s="52" t="e">
        <f>W291/$X$6*100</f>
        <v>#DIV/0!</v>
      </c>
      <c r="Y291" s="53">
        <f>COUNTIFS('00 Encuesta'!$B$2:$B$511,"*a)*",'00 Encuesta'!$C$2:$C$511,"*c)*",'00 Encuesta'!$E$2:$E$511,"*b)*",'00 Encuesta'!$AL$2:$AL$511,"*b)*")</f>
        <v>0</v>
      </c>
      <c r="Z291" s="52" t="e">
        <f t="shared" si="376"/>
        <v>#DIV/0!</v>
      </c>
      <c r="AA291" s="3"/>
      <c r="AB291" s="62">
        <f t="shared" si="377"/>
        <v>36</v>
      </c>
      <c r="AC291" s="52">
        <f t="shared" si="378"/>
        <v>46.153846153846153</v>
      </c>
      <c r="AD291" s="3"/>
      <c r="AE291" s="3"/>
      <c r="AF291" s="9" t="str">
        <f t="shared" si="379"/>
        <v>b) Bueno</v>
      </c>
      <c r="AG291" s="72">
        <f t="shared" si="380"/>
        <v>40.909090909090914</v>
      </c>
      <c r="AH291" s="72">
        <f t="shared" si="381"/>
        <v>44.444444444444443</v>
      </c>
      <c r="AI291" s="73">
        <f t="shared" si="382"/>
        <v>42.5</v>
      </c>
      <c r="AJ291" s="73"/>
      <c r="AK291" s="76">
        <f t="shared" si="383"/>
        <v>46.153846153846153</v>
      </c>
      <c r="AL291" s="76">
        <f t="shared" si="384"/>
        <v>52</v>
      </c>
      <c r="AM291" s="76">
        <f t="shared" si="385"/>
        <v>50</v>
      </c>
      <c r="AN291" s="76"/>
      <c r="AO291" s="81" t="e">
        <f t="shared" si="386"/>
        <v>#DIV/0!</v>
      </c>
      <c r="AP291" s="81" t="e">
        <f t="shared" si="387"/>
        <v>#DIV/0!</v>
      </c>
      <c r="AQ291" s="81" t="e">
        <f t="shared" si="388"/>
        <v>#DIV/0!</v>
      </c>
      <c r="AR291" s="3"/>
      <c r="AS291" s="76">
        <f t="shared" si="369"/>
        <v>46.153846153846153</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ht="15" x14ac:dyDescent="0.25">
      <c r="A292" s="8" t="s">
        <v>20</v>
      </c>
      <c r="B292" s="9" t="s">
        <v>218</v>
      </c>
      <c r="C292" s="7"/>
      <c r="D292" s="7"/>
      <c r="E292" s="7"/>
      <c r="F292" s="71">
        <v>50</v>
      </c>
      <c r="G292" s="51">
        <f t="shared" si="373"/>
        <v>11</v>
      </c>
      <c r="H292" s="52">
        <f t="shared" si="374"/>
        <v>27.500000000000004</v>
      </c>
      <c r="I292" s="53">
        <f>COUNTIFS('00 Encuesta'!$B$2:$B$511,"*a)*",'00 Encuesta'!$C$2:$C$511,"*a)*",'00 Encuesta'!$E$2:$E$511,"*a)*",'00 Encuesta'!$AL$2:$AL$511,"*c)*")</f>
        <v>3</v>
      </c>
      <c r="J292" s="52">
        <f t="shared" si="375"/>
        <v>13.636363636363635</v>
      </c>
      <c r="K292" s="53">
        <f>COUNTIFS('00 Encuesta'!$B$2:$B$511,"*a)*",'00 Encuesta'!$C$2:$C$511,"*a)*",'00 Encuesta'!$E$2:$E$511,"*b)*",'00 Encuesta'!$AL$2:$AL$511,"*c)*")</f>
        <v>8</v>
      </c>
      <c r="L292" s="52">
        <f>K292/$J$7*100</f>
        <v>44.444444444444443</v>
      </c>
      <c r="M292" s="23"/>
      <c r="N292" s="51">
        <f>P292+R292</f>
        <v>12</v>
      </c>
      <c r="O292" s="52">
        <f>N292/$Q$5*100</f>
        <v>31.578947368421051</v>
      </c>
      <c r="P292" s="53">
        <f>COUNTIFS('00 Encuesta'!$B$2:$B$511,"*a)*",'00 Encuesta'!$C$2:$C$511,"*b)*",'00 Encuesta'!$E$2:$E$511,"*a)*",'00 Encuesta'!$AL$2:$AL$511,"*c)*")</f>
        <v>5</v>
      </c>
      <c r="Q292" s="52">
        <f>P292/$Q$6*100</f>
        <v>38.461538461538467</v>
      </c>
      <c r="R292" s="53">
        <f>COUNTIFS('00 Encuesta'!$B$2:$B$511,"*a)*",'00 Encuesta'!$C$2:$C$511,"*b)*",'00 Encuesta'!$E$2:$E$511,"*b)*",'00 Encuesta'!$AL$2:$AL$511,"*c)*")</f>
        <v>7</v>
      </c>
      <c r="S292" s="52">
        <f>R292/$Q$7*100</f>
        <v>28.000000000000004</v>
      </c>
      <c r="T292" s="3"/>
      <c r="U292" s="51">
        <f>W292+Y292</f>
        <v>0</v>
      </c>
      <c r="V292" s="52" t="e">
        <f>U292/$X$5*100</f>
        <v>#DIV/0!</v>
      </c>
      <c r="W292" s="53">
        <f>COUNTIFS('00 Encuesta'!$B$2:$B$511,"*a)*",'00 Encuesta'!$C$2:$C$511,"*c)*",'00 Encuesta'!$E$2:$E$511,"*a)*",'00 Encuesta'!$AL$2:$AL$511,"*c)*")</f>
        <v>0</v>
      </c>
      <c r="X292" s="52" t="e">
        <f>W292/$X$6*100</f>
        <v>#DIV/0!</v>
      </c>
      <c r="Y292" s="53">
        <f>COUNTIFS('00 Encuesta'!$B$2:$B$511,"*a)*",'00 Encuesta'!$C$2:$C$511,"*c)*",'00 Encuesta'!$E$2:$E$511,"*b)*",'00 Encuesta'!$AL$2:$AL$511,"*c)*")</f>
        <v>0</v>
      </c>
      <c r="Z292" s="52" t="e">
        <f t="shared" si="376"/>
        <v>#DIV/0!</v>
      </c>
      <c r="AA292" s="3"/>
      <c r="AB292" s="62">
        <f t="shared" si="377"/>
        <v>23</v>
      </c>
      <c r="AC292" s="52">
        <f t="shared" si="378"/>
        <v>29.487179487179485</v>
      </c>
      <c r="AD292" s="3"/>
      <c r="AE292" s="3"/>
      <c r="AF292" s="9" t="str">
        <f t="shared" si="379"/>
        <v>c) Regular</v>
      </c>
      <c r="AG292" s="72">
        <f t="shared" si="380"/>
        <v>13.636363636363635</v>
      </c>
      <c r="AH292" s="72">
        <f t="shared" si="381"/>
        <v>44.444444444444443</v>
      </c>
      <c r="AI292" s="73">
        <f t="shared" si="382"/>
        <v>27.500000000000004</v>
      </c>
      <c r="AJ292" s="73"/>
      <c r="AK292" s="76">
        <f t="shared" si="383"/>
        <v>38.461538461538467</v>
      </c>
      <c r="AL292" s="76">
        <f t="shared" si="384"/>
        <v>28.000000000000004</v>
      </c>
      <c r="AM292" s="76">
        <f t="shared" si="385"/>
        <v>31.578947368421051</v>
      </c>
      <c r="AN292" s="76"/>
      <c r="AO292" s="81" t="e">
        <f t="shared" si="386"/>
        <v>#DIV/0!</v>
      </c>
      <c r="AP292" s="81" t="e">
        <f t="shared" si="387"/>
        <v>#DIV/0!</v>
      </c>
      <c r="AQ292" s="81" t="e">
        <f t="shared" si="388"/>
        <v>#DIV/0!</v>
      </c>
      <c r="AR292" s="3"/>
      <c r="AS292" s="76">
        <f t="shared" si="369"/>
        <v>29.487179487179485</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ht="15" x14ac:dyDescent="0.25">
      <c r="A293" s="8" t="s">
        <v>21</v>
      </c>
      <c r="B293" s="9" t="s">
        <v>219</v>
      </c>
      <c r="C293" s="7"/>
      <c r="D293" s="7"/>
      <c r="E293" s="7"/>
      <c r="F293" s="71">
        <v>25</v>
      </c>
      <c r="G293" s="51">
        <f t="shared" si="373"/>
        <v>3</v>
      </c>
      <c r="H293" s="52">
        <f t="shared" si="374"/>
        <v>7.5</v>
      </c>
      <c r="I293" s="53">
        <f>COUNTIFS('00 Encuesta'!$B$2:$B$511,"*a)*",'00 Encuesta'!$C$2:$C$511,"*a)*",'00 Encuesta'!$E$2:$E$511,"*a)*",'00 Encuesta'!$AL$2:$AL$511,"*d)*")</f>
        <v>2</v>
      </c>
      <c r="J293" s="52">
        <f t="shared" si="375"/>
        <v>9.0909090909090917</v>
      </c>
      <c r="K293" s="53">
        <f>COUNTIFS('00 Encuesta'!$B$2:$B$511,"*a)*",'00 Encuesta'!$C$2:$C$511,"*a)*",'00 Encuesta'!$E$2:$E$511,"*b)*",'00 Encuesta'!$AL$2:$AL$511,"*d)*")</f>
        <v>1</v>
      </c>
      <c r="L293" s="52">
        <f>K293/$J$7*100</f>
        <v>5.5555555555555554</v>
      </c>
      <c r="M293" s="23"/>
      <c r="N293" s="51">
        <f>P293+R293</f>
        <v>1</v>
      </c>
      <c r="O293" s="52">
        <f>N293/$Q$5*100</f>
        <v>2.6315789473684208</v>
      </c>
      <c r="P293" s="53">
        <f>COUNTIFS('00 Encuesta'!$B$2:$B$511,"*a)*",'00 Encuesta'!$C$2:$C$511,"*b)*",'00 Encuesta'!$E$2:$E$511,"*a)*",'00 Encuesta'!$AL$2:$AL$511,"*d)*")</f>
        <v>0</v>
      </c>
      <c r="Q293" s="52">
        <f>P293/$Q$6*100</f>
        <v>0</v>
      </c>
      <c r="R293" s="53">
        <f>COUNTIFS('00 Encuesta'!$B$2:$B$511,"*a)*",'00 Encuesta'!$C$2:$C$511,"*b)*",'00 Encuesta'!$E$2:$E$511,"*b)*",'00 Encuesta'!$AL$2:$AL$511,"*d)*")</f>
        <v>1</v>
      </c>
      <c r="S293" s="52">
        <f>R293/$Q$7*100</f>
        <v>4</v>
      </c>
      <c r="T293" s="3"/>
      <c r="U293" s="51">
        <f>W293+Y293</f>
        <v>0</v>
      </c>
      <c r="V293" s="52" t="e">
        <f>U293/$X$5*100</f>
        <v>#DIV/0!</v>
      </c>
      <c r="W293" s="53">
        <f>COUNTIFS('00 Encuesta'!$B$2:$B$511,"*a)*",'00 Encuesta'!$C$2:$C$511,"*c)*",'00 Encuesta'!$E$2:$E$511,"*a)*",'00 Encuesta'!$AL$2:$AL$511,"*d)*")</f>
        <v>0</v>
      </c>
      <c r="X293" s="52" t="e">
        <f>W293/$X$6*100</f>
        <v>#DIV/0!</v>
      </c>
      <c r="Y293" s="53">
        <f>COUNTIFS('00 Encuesta'!$B$2:$B$511,"*a)*",'00 Encuesta'!$C$2:$C$511,"*c)*",'00 Encuesta'!$E$2:$E$511,"*b)*",'00 Encuesta'!$AL$2:$AL$511,"*d)*")</f>
        <v>0</v>
      </c>
      <c r="Z293" s="52" t="e">
        <f t="shared" si="376"/>
        <v>#DIV/0!</v>
      </c>
      <c r="AA293" s="3"/>
      <c r="AB293" s="62">
        <f t="shared" si="377"/>
        <v>4</v>
      </c>
      <c r="AC293" s="52">
        <f t="shared" si="378"/>
        <v>5.1282051282051286</v>
      </c>
      <c r="AD293" s="3"/>
      <c r="AE293" s="3"/>
      <c r="AF293" s="9" t="str">
        <f t="shared" si="379"/>
        <v>d) Deficiente</v>
      </c>
      <c r="AG293" s="72">
        <f t="shared" si="380"/>
        <v>9.0909090909090917</v>
      </c>
      <c r="AH293" s="72">
        <f t="shared" si="381"/>
        <v>5.5555555555555554</v>
      </c>
      <c r="AI293" s="73">
        <f t="shared" si="382"/>
        <v>7.5</v>
      </c>
      <c r="AJ293" s="73"/>
      <c r="AK293" s="76">
        <f t="shared" si="383"/>
        <v>0</v>
      </c>
      <c r="AL293" s="76">
        <f t="shared" si="384"/>
        <v>4</v>
      </c>
      <c r="AM293" s="76">
        <f t="shared" si="385"/>
        <v>2.6315789473684208</v>
      </c>
      <c r="AN293" s="76"/>
      <c r="AO293" s="81" t="e">
        <f t="shared" si="386"/>
        <v>#DIV/0!</v>
      </c>
      <c r="AP293" s="81" t="e">
        <f t="shared" si="387"/>
        <v>#DIV/0!</v>
      </c>
      <c r="AQ293" s="81" t="e">
        <f t="shared" si="388"/>
        <v>#DIV/0!</v>
      </c>
      <c r="AR293" s="3"/>
      <c r="AS293" s="76">
        <f t="shared" si="369"/>
        <v>5.1282051282051286</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ht="15" x14ac:dyDescent="0.25">
      <c r="A294" s="8" t="s">
        <v>22</v>
      </c>
      <c r="B294" s="9" t="s">
        <v>220</v>
      </c>
      <c r="C294" s="7"/>
      <c r="D294" s="7"/>
      <c r="E294" s="7"/>
      <c r="F294" s="71">
        <v>0</v>
      </c>
      <c r="G294" s="51">
        <f t="shared" si="373"/>
        <v>0</v>
      </c>
      <c r="H294" s="52">
        <f t="shared" si="374"/>
        <v>0</v>
      </c>
      <c r="I294" s="53">
        <f>COUNTIFS('00 Encuesta'!$B$2:$B$511,"*a)*",'00 Encuesta'!$C$2:$C$511,"*a)*",'00 Encuesta'!$E$2:$E$511,"*a)*",'00 Encuesta'!$AL$2:$AL$511,"*e)*")</f>
        <v>0</v>
      </c>
      <c r="J294" s="52">
        <f t="shared" si="375"/>
        <v>0</v>
      </c>
      <c r="K294" s="53">
        <f>COUNTIFS('00 Encuesta'!$B$2:$B$511,"*a)*",'00 Encuesta'!$C$2:$C$511,"*a)*",'00 Encuesta'!$E$2:$E$511,"*b)*",'00 Encuesta'!$AL$2:$AL$511,"*e)*")</f>
        <v>0</v>
      </c>
      <c r="L294" s="52">
        <f>K294/$J$7*100</f>
        <v>0</v>
      </c>
      <c r="M294" s="23"/>
      <c r="N294" s="51">
        <f>P294+R294</f>
        <v>1</v>
      </c>
      <c r="O294" s="52">
        <f>N294/$Q$5*100</f>
        <v>2.6315789473684208</v>
      </c>
      <c r="P294" s="53">
        <f>COUNTIFS('00 Encuesta'!$B$2:$B$511,"*a)*",'00 Encuesta'!$C$2:$C$511,"*b)*",'00 Encuesta'!$E$2:$E$511,"*a)*",'00 Encuesta'!$AL$2:$AL$511,"*e)*")</f>
        <v>1</v>
      </c>
      <c r="Q294" s="52">
        <f>P294/$Q$6*100</f>
        <v>7.6923076923076925</v>
      </c>
      <c r="R294" s="53">
        <f>COUNTIFS('00 Encuesta'!$B$2:$B$511,"*a)*",'00 Encuesta'!$C$2:$C$511,"*b)*",'00 Encuesta'!$E$2:$E$511,"*b)*",'00 Encuesta'!$AL$2:$AL$511,"*e)*")</f>
        <v>0</v>
      </c>
      <c r="S294" s="52">
        <f>R294/$Q$7*100</f>
        <v>0</v>
      </c>
      <c r="T294" s="3"/>
      <c r="U294" s="51">
        <f>W294+Y294</f>
        <v>0</v>
      </c>
      <c r="V294" s="52" t="e">
        <f>U294/$X$5*100</f>
        <v>#DIV/0!</v>
      </c>
      <c r="W294" s="53">
        <f>COUNTIFS('00 Encuesta'!$B$2:$B$511,"*a)*",'00 Encuesta'!$C$2:$C$511,"*c)*",'00 Encuesta'!$E$2:$E$511,"*a)*",'00 Encuesta'!$AL$2:$AL$511,"*e)*")</f>
        <v>0</v>
      </c>
      <c r="X294" s="52" t="e">
        <f>W294/$X$6*100</f>
        <v>#DIV/0!</v>
      </c>
      <c r="Y294" s="53">
        <f>COUNTIFS('00 Encuesta'!$B$2:$B$511,"*a)*",'00 Encuesta'!$C$2:$C$511,"*c)*",'00 Encuesta'!$E$2:$E$511,"*b)*",'00 Encuesta'!$AL$2:$AL$511,"*e)*")</f>
        <v>0</v>
      </c>
      <c r="Z294" s="52" t="e">
        <f t="shared" si="376"/>
        <v>#DIV/0!</v>
      </c>
      <c r="AA294" s="3"/>
      <c r="AB294" s="62">
        <f t="shared" si="377"/>
        <v>1</v>
      </c>
      <c r="AC294" s="52">
        <f t="shared" si="378"/>
        <v>1.2820512820512822</v>
      </c>
      <c r="AD294" s="3"/>
      <c r="AE294" s="3"/>
      <c r="AF294" s="9" t="str">
        <f t="shared" si="379"/>
        <v>e) Muy deficiente</v>
      </c>
      <c r="AG294" s="72">
        <f t="shared" si="380"/>
        <v>0</v>
      </c>
      <c r="AH294" s="72">
        <f t="shared" si="381"/>
        <v>0</v>
      </c>
      <c r="AI294" s="73">
        <f t="shared" si="382"/>
        <v>0</v>
      </c>
      <c r="AJ294" s="73"/>
      <c r="AK294" s="76">
        <f t="shared" si="383"/>
        <v>7.6923076923076925</v>
      </c>
      <c r="AL294" s="76">
        <f t="shared" si="384"/>
        <v>0</v>
      </c>
      <c r="AM294" s="76">
        <f t="shared" si="385"/>
        <v>2.6315789473684208</v>
      </c>
      <c r="AN294" s="76"/>
      <c r="AO294" s="81" t="e">
        <f t="shared" si="386"/>
        <v>#DIV/0!</v>
      </c>
      <c r="AP294" s="81" t="e">
        <f t="shared" si="387"/>
        <v>#DIV/0!</v>
      </c>
      <c r="AQ294" s="81" t="e">
        <f t="shared" si="388"/>
        <v>#DIV/0!</v>
      </c>
      <c r="AR294" s="3"/>
      <c r="AS294" s="76">
        <f t="shared" si="369"/>
        <v>1.2820512820512822</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ht="15" x14ac:dyDescent="0.25">
      <c r="A295" s="8" t="s">
        <v>23</v>
      </c>
      <c r="B295" s="9" t="s">
        <v>24</v>
      </c>
      <c r="C295" s="7"/>
      <c r="D295" s="7"/>
      <c r="E295" s="7"/>
      <c r="F295" s="71"/>
      <c r="G295" s="51">
        <f t="shared" si="373"/>
        <v>0</v>
      </c>
      <c r="H295" s="52">
        <f t="shared" si="374"/>
        <v>0</v>
      </c>
      <c r="I295" s="53"/>
      <c r="J295" s="52">
        <f t="shared" si="375"/>
        <v>0</v>
      </c>
      <c r="K295" s="53"/>
      <c r="L295" s="52">
        <f t="shared" ref="L295" si="389">K295/$J$7*100</f>
        <v>0</v>
      </c>
      <c r="M295" s="23"/>
      <c r="N295" s="51">
        <f t="shared" ref="N295" si="390">P295+R295</f>
        <v>0</v>
      </c>
      <c r="O295" s="52">
        <f t="shared" ref="O295" si="391">N295/$Q$5*100</f>
        <v>0</v>
      </c>
      <c r="P295" s="53"/>
      <c r="Q295" s="52">
        <f t="shared" ref="Q295" si="392">P295/$Q$6*100</f>
        <v>0</v>
      </c>
      <c r="R295" s="53"/>
      <c r="S295" s="52">
        <f t="shared" ref="S295" si="393">R295/$Q$7*100</f>
        <v>0</v>
      </c>
      <c r="T295" s="3"/>
      <c r="U295" s="51">
        <f t="shared" ref="U295" si="394">W295+Y295</f>
        <v>0</v>
      </c>
      <c r="V295" s="52" t="e">
        <f t="shared" ref="V295" si="395">U295/$X$5*100</f>
        <v>#DIV/0!</v>
      </c>
      <c r="W295" s="53"/>
      <c r="X295" s="52" t="e">
        <f t="shared" ref="X295" si="396">W295/$X$6*100</f>
        <v>#DIV/0!</v>
      </c>
      <c r="Y295" s="53"/>
      <c r="Z295" s="52" t="e">
        <f t="shared" si="376"/>
        <v>#DIV/0!</v>
      </c>
      <c r="AA295" s="3"/>
      <c r="AB295" s="62">
        <f t="shared" si="377"/>
        <v>0</v>
      </c>
      <c r="AC295" s="52">
        <f t="shared" si="378"/>
        <v>0</v>
      </c>
      <c r="AD295" s="3"/>
      <c r="AE295" s="3"/>
      <c r="AF295" s="9" t="str">
        <f t="shared" si="379"/>
        <v>S/R Sin Respuesta</v>
      </c>
      <c r="AG295" s="72">
        <f t="shared" si="380"/>
        <v>0</v>
      </c>
      <c r="AH295" s="72">
        <f t="shared" si="381"/>
        <v>0</v>
      </c>
      <c r="AI295" s="73">
        <f t="shared" si="382"/>
        <v>0</v>
      </c>
      <c r="AJ295" s="73"/>
      <c r="AK295" s="76">
        <f t="shared" si="383"/>
        <v>0</v>
      </c>
      <c r="AL295" s="76">
        <f t="shared" si="384"/>
        <v>0</v>
      </c>
      <c r="AM295" s="76">
        <f t="shared" si="385"/>
        <v>0</v>
      </c>
      <c r="AN295" s="76"/>
      <c r="AO295" s="81" t="e">
        <f t="shared" si="386"/>
        <v>#DIV/0!</v>
      </c>
      <c r="AP295" s="81" t="e">
        <f t="shared" si="387"/>
        <v>#DIV/0!</v>
      </c>
      <c r="AQ295" s="81" t="e">
        <f t="shared" si="388"/>
        <v>#DIV/0!</v>
      </c>
      <c r="AR295" s="3"/>
      <c r="AS295" s="76">
        <f t="shared" si="369"/>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ht="15" x14ac:dyDescent="0.25">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75</v>
      </c>
      <c r="AH296" s="82">
        <f>($F290*K290+$F291*K291+$F292*K292+$F293*K293+$F294*K294)/(K290+K291+K292+K293+K294)</f>
        <v>62.5</v>
      </c>
      <c r="AI296" s="82">
        <f>($F290*G290+$F291*G291+$F292*G292+$F293*G293+$F294*G294)/(G290+G291+G292+G293+G294)</f>
        <v>69.230769230769226</v>
      </c>
      <c r="AJ296" s="82"/>
      <c r="AK296" s="82">
        <f>($F290*Q290+$F291*Q291+$F292*Q292+$F293*Q293+$F294*Q294)/(Q290+Q291+Q292+Q293+Q294)</f>
        <v>61.538461538461533</v>
      </c>
      <c r="AL296" s="82">
        <f>($F290*S290+$F291*S291+$F292*S292+$F293*S293+$F294*S294)/(S290+S291+S292+S293+S294)</f>
        <v>67.391304347826093</v>
      </c>
      <c r="AM296" s="82">
        <f>($F290*O290+$F291*O291+$F292*O292+$F293*O293+$F294*O294)/(O290+O291+O292+O293+O294)</f>
        <v>65.277777777777786</v>
      </c>
      <c r="AN296" s="82"/>
      <c r="AO296" s="82" t="e">
        <f>($F290*W290+$F291*W291+$F292*W292+$F293*W293+$F294*W294)/(W290+W291+W292+W293+W294)</f>
        <v>#DIV/0!</v>
      </c>
      <c r="AP296" s="82" t="e">
        <f>($F290*Y290+$F291*Y291+$F292*Y292+$F293*Y293+$F294*Y294)/(Y290+Y291+Y292+Y293+Y294)</f>
        <v>#DIV/0!</v>
      </c>
      <c r="AQ296" s="82" t="e">
        <f>($F290*U290+$F291*U291+$F292*U292+$F293*U293+$F294*U294)/(U290+U291+U292+U293+U294)</f>
        <v>#DIV/0!</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ht="15" x14ac:dyDescent="0.25">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ht="15" x14ac:dyDescent="0.25">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ht="15" x14ac:dyDescent="0.25">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ht="15" x14ac:dyDescent="0.25">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ht="15" x14ac:dyDescent="0.25">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ht="15" x14ac:dyDescent="0.25">
      <c r="A305" s="8" t="s">
        <v>17</v>
      </c>
      <c r="B305" s="9" t="s">
        <v>229</v>
      </c>
      <c r="C305" s="7"/>
      <c r="D305" s="7"/>
      <c r="E305" s="7"/>
      <c r="F305" s="71">
        <v>100</v>
      </c>
      <c r="G305" s="51">
        <f t="shared" ref="G305:G310" si="397">I305+K305</f>
        <v>5</v>
      </c>
      <c r="H305" s="52">
        <f t="shared" ref="H305:H310" si="398">G305/$J$5*100</f>
        <v>12.5</v>
      </c>
      <c r="I305" s="53">
        <f>COUNTIFS('00 Encuesta'!$B$2:$B$511,"*a)*",'00 Encuesta'!$C$2:$C$511,"*a)*",'00 Encuesta'!$E$2:$E$511,"*a)*",'00 Encuesta'!$AM$2:$AM$511,"*a)*")</f>
        <v>3</v>
      </c>
      <c r="J305" s="52">
        <f t="shared" ref="J305:J310" si="399">I305/$J$6*100</f>
        <v>13.636363636363635</v>
      </c>
      <c r="K305" s="53">
        <f>COUNTIFS('00 Encuesta'!$B$2:$B$511,"*a)*",'00 Encuesta'!$C$2:$C$511,"*a)*",'00 Encuesta'!$E$2:$E$511,"*b)*",'00 Encuesta'!$AM$2:$AM$511,"*a)*")</f>
        <v>2</v>
      </c>
      <c r="L305" s="52">
        <f t="shared" ref="L305:L310" si="400">K305/$J$7*100</f>
        <v>11.111111111111111</v>
      </c>
      <c r="M305" s="23"/>
      <c r="N305" s="51">
        <f t="shared" ref="N305:N310" si="401">P305+R305</f>
        <v>5</v>
      </c>
      <c r="O305" s="52">
        <f t="shared" ref="O305:O310" si="402">N305/$Q$5*100</f>
        <v>13.157894736842104</v>
      </c>
      <c r="P305" s="53">
        <f>COUNTIFS('00 Encuesta'!$B$2:$B$511,"*a)*",'00 Encuesta'!$C$2:$C$511,"*b)*",'00 Encuesta'!$E$2:$E$511,"*a)*",'00 Encuesta'!$AM$2:$AM$511,"*a)*")</f>
        <v>1</v>
      </c>
      <c r="Q305" s="52">
        <f t="shared" ref="Q305:Q310" si="403">P305/$Q$6*100</f>
        <v>7.6923076923076925</v>
      </c>
      <c r="R305" s="53">
        <f>COUNTIFS('00 Encuesta'!$B$2:$B$511,"*a)*",'00 Encuesta'!$C$2:$C$511,"*b)*",'00 Encuesta'!$E$2:$E$511,"*b)*",'00 Encuesta'!$AM$2:$AM$511,"*a)*")</f>
        <v>4</v>
      </c>
      <c r="S305" s="52">
        <f t="shared" ref="S305:S310" si="404">R305/$Q$7*100</f>
        <v>16</v>
      </c>
      <c r="T305" s="3"/>
      <c r="U305" s="51">
        <f t="shared" ref="U305:U310" si="405">W305+Y305</f>
        <v>0</v>
      </c>
      <c r="V305" s="52" t="e">
        <f t="shared" ref="V305:V310" si="406">U305/$X$5*100</f>
        <v>#DIV/0!</v>
      </c>
      <c r="W305" s="53">
        <f>COUNTIFS('00 Encuesta'!$B$2:$B$511,"*a)*",'00 Encuesta'!$C$2:$C$511,"*c)*",'00 Encuesta'!$E$2:$E$511,"*a)*",'00 Encuesta'!$AM$2:$AM$511,"*a)*")</f>
        <v>0</v>
      </c>
      <c r="X305" s="52" t="e">
        <f t="shared" ref="X305:X310" si="407">W305/$X$6*100</f>
        <v>#DIV/0!</v>
      </c>
      <c r="Y305" s="53">
        <f>COUNTIFS('00 Encuesta'!$B$2:$B$511,"*a)*",'00 Encuesta'!$C$2:$C$511,"*c)*",'00 Encuesta'!$E$2:$E$511,"*b)*",'00 Encuesta'!$AM$2:$AM$511,"*a)*")</f>
        <v>0</v>
      </c>
      <c r="Z305" s="52" t="e">
        <f t="shared" ref="Z305:Z310" si="408">Y305/$X$7*100</f>
        <v>#DIV/0!</v>
      </c>
      <c r="AA305" s="3"/>
      <c r="AB305" s="62">
        <f t="shared" ref="AB305:AB310" si="409">G305+N305+U305</f>
        <v>10</v>
      </c>
      <c r="AC305" s="52">
        <f t="shared" ref="AC305:AC310" si="410">AB305*100/$AC$5</f>
        <v>12.820512820512821</v>
      </c>
      <c r="AD305" s="3"/>
      <c r="AE305" s="3"/>
      <c r="AF305" s="9" t="str">
        <f t="shared" ref="AF305:AF310" si="411">A305&amp;" "&amp;B305</f>
        <v>a) Muy buena</v>
      </c>
      <c r="AG305" s="72">
        <f t="shared" ref="AG305:AG310" si="412">J305</f>
        <v>13.636363636363635</v>
      </c>
      <c r="AH305" s="72">
        <f t="shared" ref="AH305:AH310" si="413">L305</f>
        <v>11.111111111111111</v>
      </c>
      <c r="AI305" s="73">
        <f t="shared" ref="AI305:AI310" si="414">H305</f>
        <v>12.5</v>
      </c>
      <c r="AJ305" s="73"/>
      <c r="AK305" s="76">
        <f t="shared" ref="AK305:AK310" si="415">Q305</f>
        <v>7.6923076923076925</v>
      </c>
      <c r="AL305" s="76">
        <f t="shared" ref="AL305:AL310" si="416">S305</f>
        <v>16</v>
      </c>
      <c r="AM305" s="76">
        <f t="shared" ref="AM305:AM310" si="417">O305</f>
        <v>13.157894736842104</v>
      </c>
      <c r="AN305" s="76"/>
      <c r="AO305" s="81" t="e">
        <f t="shared" ref="AO305:AO310" si="418">X305</f>
        <v>#DIV/0!</v>
      </c>
      <c r="AP305" s="81" t="e">
        <f t="shared" ref="AP305:AP310" si="419">Z305</f>
        <v>#DIV/0!</v>
      </c>
      <c r="AQ305" s="81" t="e">
        <f t="shared" ref="AQ305:AQ310" si="420">V305</f>
        <v>#DIV/0!</v>
      </c>
      <c r="AR305" s="3"/>
      <c r="AS305" s="76">
        <f t="shared" si="369"/>
        <v>12.820512820512821</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ht="15" x14ac:dyDescent="0.25">
      <c r="A306" s="8" t="s">
        <v>18</v>
      </c>
      <c r="B306" s="9" t="s">
        <v>230</v>
      </c>
      <c r="C306" s="7"/>
      <c r="D306" s="7"/>
      <c r="E306" s="7"/>
      <c r="F306" s="71">
        <v>75</v>
      </c>
      <c r="G306" s="51">
        <f t="shared" si="397"/>
        <v>15</v>
      </c>
      <c r="H306" s="52">
        <f t="shared" si="398"/>
        <v>37.5</v>
      </c>
      <c r="I306" s="53">
        <f>COUNTIFS('00 Encuesta'!$B$2:$B$511,"*a)*",'00 Encuesta'!$C$2:$C$511,"*a)*",'00 Encuesta'!$E$2:$E$511,"*a)*",'00 Encuesta'!$AM$2:$AM$511,"*b)*")</f>
        <v>9</v>
      </c>
      <c r="J306" s="52">
        <f t="shared" si="399"/>
        <v>40.909090909090914</v>
      </c>
      <c r="K306" s="53">
        <f>COUNTIFS('00 Encuesta'!$B$2:$B$511,"*a)*",'00 Encuesta'!$C$2:$C$511,"*a)*",'00 Encuesta'!$E$2:$E$511,"*b)*",'00 Encuesta'!$AM$2:$AM$511,"*b)*")</f>
        <v>6</v>
      </c>
      <c r="L306" s="52">
        <f t="shared" si="400"/>
        <v>33.333333333333329</v>
      </c>
      <c r="M306" s="23"/>
      <c r="N306" s="51">
        <f t="shared" si="401"/>
        <v>19</v>
      </c>
      <c r="O306" s="52">
        <f t="shared" si="402"/>
        <v>50</v>
      </c>
      <c r="P306" s="53">
        <f>COUNTIFS('00 Encuesta'!$B$2:$B$511,"*a)*",'00 Encuesta'!$C$2:$C$511,"*b)*",'00 Encuesta'!$E$2:$E$511,"*a)*",'00 Encuesta'!$AM$2:$AM$511,"*b)*")</f>
        <v>7</v>
      </c>
      <c r="Q306" s="52">
        <f t="shared" si="403"/>
        <v>53.846153846153847</v>
      </c>
      <c r="R306" s="53">
        <f>COUNTIFS('00 Encuesta'!$B$2:$B$511,"*a)*",'00 Encuesta'!$C$2:$C$511,"*b)*",'00 Encuesta'!$E$2:$E$511,"*b)*",'00 Encuesta'!$AM$2:$AM$511,"*b)*")</f>
        <v>12</v>
      </c>
      <c r="S306" s="52">
        <f t="shared" si="404"/>
        <v>48</v>
      </c>
      <c r="T306" s="3"/>
      <c r="U306" s="51">
        <f t="shared" si="405"/>
        <v>0</v>
      </c>
      <c r="V306" s="52" t="e">
        <f t="shared" si="406"/>
        <v>#DIV/0!</v>
      </c>
      <c r="W306" s="53">
        <f>COUNTIFS('00 Encuesta'!$B$2:$B$511,"*a)*",'00 Encuesta'!$C$2:$C$511,"*c)*",'00 Encuesta'!$E$2:$E$511,"*a)*",'00 Encuesta'!$AM$2:$AM$511,"*b)*")</f>
        <v>0</v>
      </c>
      <c r="X306" s="52" t="e">
        <f t="shared" si="407"/>
        <v>#DIV/0!</v>
      </c>
      <c r="Y306" s="53">
        <f>COUNTIFS('00 Encuesta'!$B$2:$B$511,"*a)*",'00 Encuesta'!$C$2:$C$511,"*c)*",'00 Encuesta'!$E$2:$E$511,"*b)*",'00 Encuesta'!$AM$2:$AM$511,"*b)*")</f>
        <v>0</v>
      </c>
      <c r="Z306" s="52" t="e">
        <f t="shared" si="408"/>
        <v>#DIV/0!</v>
      </c>
      <c r="AA306" s="3"/>
      <c r="AB306" s="62">
        <f t="shared" si="409"/>
        <v>34</v>
      </c>
      <c r="AC306" s="52">
        <f t="shared" si="410"/>
        <v>43.589743589743591</v>
      </c>
      <c r="AD306" s="3"/>
      <c r="AE306" s="3"/>
      <c r="AF306" s="9" t="str">
        <f t="shared" si="411"/>
        <v>b) Buena</v>
      </c>
      <c r="AG306" s="72">
        <f t="shared" si="412"/>
        <v>40.909090909090914</v>
      </c>
      <c r="AH306" s="72">
        <f t="shared" si="413"/>
        <v>33.333333333333329</v>
      </c>
      <c r="AI306" s="73">
        <f t="shared" si="414"/>
        <v>37.5</v>
      </c>
      <c r="AJ306" s="73"/>
      <c r="AK306" s="76">
        <f t="shared" si="415"/>
        <v>53.846153846153847</v>
      </c>
      <c r="AL306" s="76">
        <f t="shared" si="416"/>
        <v>48</v>
      </c>
      <c r="AM306" s="76">
        <f t="shared" si="417"/>
        <v>50</v>
      </c>
      <c r="AN306" s="76"/>
      <c r="AO306" s="81" t="e">
        <f t="shared" si="418"/>
        <v>#DIV/0!</v>
      </c>
      <c r="AP306" s="81" t="e">
        <f t="shared" si="419"/>
        <v>#DIV/0!</v>
      </c>
      <c r="AQ306" s="81" t="e">
        <f t="shared" si="420"/>
        <v>#DIV/0!</v>
      </c>
      <c r="AR306" s="3"/>
      <c r="AS306" s="76">
        <f t="shared" si="369"/>
        <v>43.589743589743591</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ht="15" x14ac:dyDescent="0.25">
      <c r="A307" s="8" t="s">
        <v>20</v>
      </c>
      <c r="B307" s="9" t="s">
        <v>218</v>
      </c>
      <c r="C307" s="7"/>
      <c r="D307" s="7"/>
      <c r="E307" s="7"/>
      <c r="F307" s="71">
        <v>50</v>
      </c>
      <c r="G307" s="51">
        <f t="shared" si="397"/>
        <v>11</v>
      </c>
      <c r="H307" s="52">
        <f t="shared" si="398"/>
        <v>27.500000000000004</v>
      </c>
      <c r="I307" s="53">
        <f>COUNTIFS('00 Encuesta'!$B$2:$B$511,"*a)*",'00 Encuesta'!$C$2:$C$511,"*a)*",'00 Encuesta'!$E$2:$E$511,"*a)*",'00 Encuesta'!$AM$2:$AM$511,"*c)*")</f>
        <v>8</v>
      </c>
      <c r="J307" s="52">
        <f t="shared" si="399"/>
        <v>36.363636363636367</v>
      </c>
      <c r="K307" s="53">
        <f>COUNTIFS('00 Encuesta'!$B$2:$B$511,"*a)*",'00 Encuesta'!$C$2:$C$511,"*a)*",'00 Encuesta'!$E$2:$E$511,"*b)*",'00 Encuesta'!$AM$2:$AM$511,"*c)*")</f>
        <v>3</v>
      </c>
      <c r="L307" s="52">
        <f t="shared" si="400"/>
        <v>16.666666666666664</v>
      </c>
      <c r="M307" s="23"/>
      <c r="N307" s="51">
        <f t="shared" si="401"/>
        <v>7</v>
      </c>
      <c r="O307" s="52">
        <f t="shared" si="402"/>
        <v>18.421052631578945</v>
      </c>
      <c r="P307" s="53">
        <f>COUNTIFS('00 Encuesta'!$B$2:$B$511,"*a)*",'00 Encuesta'!$C$2:$C$511,"*b)*",'00 Encuesta'!$E$2:$E$511,"*a)*",'00 Encuesta'!$AM$2:$AM$511,"*c)*")</f>
        <v>1</v>
      </c>
      <c r="Q307" s="52">
        <f t="shared" si="403"/>
        <v>7.6923076923076925</v>
      </c>
      <c r="R307" s="53">
        <f>COUNTIFS('00 Encuesta'!$B$2:$B$511,"*a)*",'00 Encuesta'!$C$2:$C$511,"*b)*",'00 Encuesta'!$E$2:$E$511,"*b)*",'00 Encuesta'!$AM$2:$AM$511,"*c)*")</f>
        <v>6</v>
      </c>
      <c r="S307" s="52">
        <f t="shared" si="404"/>
        <v>24</v>
      </c>
      <c r="T307" s="3"/>
      <c r="U307" s="51">
        <f t="shared" si="405"/>
        <v>0</v>
      </c>
      <c r="V307" s="52" t="e">
        <f t="shared" si="406"/>
        <v>#DIV/0!</v>
      </c>
      <c r="W307" s="53">
        <f>COUNTIFS('00 Encuesta'!$B$2:$B$511,"*a)*",'00 Encuesta'!$C$2:$C$511,"*c)*",'00 Encuesta'!$E$2:$E$511,"*a)*",'00 Encuesta'!$AM$2:$AM$511,"*c)*")</f>
        <v>0</v>
      </c>
      <c r="X307" s="52" t="e">
        <f t="shared" si="407"/>
        <v>#DIV/0!</v>
      </c>
      <c r="Y307" s="53">
        <f>COUNTIFS('00 Encuesta'!$B$2:$B$511,"*a)*",'00 Encuesta'!$C$2:$C$511,"*c)*",'00 Encuesta'!$E$2:$E$511,"*b)*",'00 Encuesta'!$AM$2:$AM$511,"*c)*")</f>
        <v>0</v>
      </c>
      <c r="Z307" s="52" t="e">
        <f t="shared" si="408"/>
        <v>#DIV/0!</v>
      </c>
      <c r="AA307" s="3"/>
      <c r="AB307" s="62">
        <f t="shared" si="409"/>
        <v>18</v>
      </c>
      <c r="AC307" s="52">
        <f t="shared" si="410"/>
        <v>23.076923076923077</v>
      </c>
      <c r="AD307" s="3"/>
      <c r="AE307" s="3"/>
      <c r="AF307" s="9" t="str">
        <f t="shared" si="411"/>
        <v>c) Regular</v>
      </c>
      <c r="AG307" s="72">
        <f t="shared" si="412"/>
        <v>36.363636363636367</v>
      </c>
      <c r="AH307" s="72">
        <f t="shared" si="413"/>
        <v>16.666666666666664</v>
      </c>
      <c r="AI307" s="73">
        <f t="shared" si="414"/>
        <v>27.500000000000004</v>
      </c>
      <c r="AJ307" s="73"/>
      <c r="AK307" s="76">
        <f t="shared" si="415"/>
        <v>7.6923076923076925</v>
      </c>
      <c r="AL307" s="76">
        <f t="shared" si="416"/>
        <v>24</v>
      </c>
      <c r="AM307" s="76">
        <f t="shared" si="417"/>
        <v>18.421052631578945</v>
      </c>
      <c r="AN307" s="76"/>
      <c r="AO307" s="81" t="e">
        <f t="shared" si="418"/>
        <v>#DIV/0!</v>
      </c>
      <c r="AP307" s="81" t="e">
        <f t="shared" si="419"/>
        <v>#DIV/0!</v>
      </c>
      <c r="AQ307" s="81" t="e">
        <f t="shared" si="420"/>
        <v>#DIV/0!</v>
      </c>
      <c r="AR307" s="3"/>
      <c r="AS307" s="76">
        <f t="shared" si="369"/>
        <v>23.076923076923077</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ht="15" x14ac:dyDescent="0.25">
      <c r="A308" s="8" t="s">
        <v>21</v>
      </c>
      <c r="B308" s="9" t="s">
        <v>231</v>
      </c>
      <c r="C308" s="7"/>
      <c r="D308" s="7"/>
      <c r="E308" s="7"/>
      <c r="F308" s="71">
        <v>25</v>
      </c>
      <c r="G308" s="51">
        <f t="shared" si="397"/>
        <v>0</v>
      </c>
      <c r="H308" s="52">
        <f t="shared" si="398"/>
        <v>0</v>
      </c>
      <c r="I308" s="53">
        <f>COUNTIFS('00 Encuesta'!$B$2:$B$511,"*a)*",'00 Encuesta'!$C$2:$C$511,"*a)*",'00 Encuesta'!$E$2:$E$511,"*a)*",'00 Encuesta'!$AM$2:$AM$511,"*d)*")</f>
        <v>0</v>
      </c>
      <c r="J308" s="52">
        <f t="shared" si="399"/>
        <v>0</v>
      </c>
      <c r="K308" s="53">
        <f>COUNTIFS('00 Encuesta'!$B$2:$B$511,"*a)*",'00 Encuesta'!$C$2:$C$511,"*a)*",'00 Encuesta'!$E$2:$E$511,"*b)*",'00 Encuesta'!$AM$2:$AM$511,"*d)*")</f>
        <v>0</v>
      </c>
      <c r="L308" s="52">
        <f t="shared" si="400"/>
        <v>0</v>
      </c>
      <c r="M308" s="23"/>
      <c r="N308" s="51">
        <f t="shared" si="401"/>
        <v>0</v>
      </c>
      <c r="O308" s="52">
        <f t="shared" si="402"/>
        <v>0</v>
      </c>
      <c r="P308" s="53">
        <f>COUNTIFS('00 Encuesta'!$B$2:$B$511,"*a)*",'00 Encuesta'!$C$2:$C$511,"*b)*",'00 Encuesta'!$E$2:$E$511,"*a)*",'00 Encuesta'!$AM$2:$AM$511,"*d)*")</f>
        <v>0</v>
      </c>
      <c r="Q308" s="52">
        <f t="shared" si="403"/>
        <v>0</v>
      </c>
      <c r="R308" s="53">
        <f>COUNTIFS('00 Encuesta'!$B$2:$B$511,"*a)*",'00 Encuesta'!$C$2:$C$511,"*b)*",'00 Encuesta'!$E$2:$E$511,"*b)*",'00 Encuesta'!$AM$2:$AM$511,"*d)*")</f>
        <v>0</v>
      </c>
      <c r="S308" s="52">
        <f t="shared" si="404"/>
        <v>0</v>
      </c>
      <c r="T308" s="3"/>
      <c r="U308" s="51">
        <f t="shared" si="405"/>
        <v>0</v>
      </c>
      <c r="V308" s="52" t="e">
        <f t="shared" si="406"/>
        <v>#DIV/0!</v>
      </c>
      <c r="W308" s="53">
        <f>COUNTIFS('00 Encuesta'!$B$2:$B$511,"*a)*",'00 Encuesta'!$C$2:$C$511,"*c)*",'00 Encuesta'!$E$2:$E$511,"*a)*",'00 Encuesta'!$AM$2:$AM$511,"*d)*")</f>
        <v>0</v>
      </c>
      <c r="X308" s="52" t="e">
        <f t="shared" si="407"/>
        <v>#DIV/0!</v>
      </c>
      <c r="Y308" s="53">
        <f>COUNTIFS('00 Encuesta'!$B$2:$B$511,"*a)*",'00 Encuesta'!$C$2:$C$511,"*c)*",'00 Encuesta'!$E$2:$E$511,"*b)*",'00 Encuesta'!$AM$2:$AM$511,"*d)*")</f>
        <v>0</v>
      </c>
      <c r="Z308" s="52" t="e">
        <f t="shared" si="408"/>
        <v>#DIV/0!</v>
      </c>
      <c r="AA308" s="3"/>
      <c r="AB308" s="62">
        <f t="shared" si="409"/>
        <v>0</v>
      </c>
      <c r="AC308" s="52">
        <f t="shared" si="410"/>
        <v>0</v>
      </c>
      <c r="AD308" s="3"/>
      <c r="AE308" s="3"/>
      <c r="AF308" s="9" t="str">
        <f t="shared" si="411"/>
        <v>d) Mala</v>
      </c>
      <c r="AG308" s="72">
        <f t="shared" si="412"/>
        <v>0</v>
      </c>
      <c r="AH308" s="72">
        <f t="shared" si="413"/>
        <v>0</v>
      </c>
      <c r="AI308" s="73">
        <f t="shared" si="414"/>
        <v>0</v>
      </c>
      <c r="AJ308" s="73"/>
      <c r="AK308" s="76">
        <f t="shared" si="415"/>
        <v>0</v>
      </c>
      <c r="AL308" s="76">
        <f t="shared" si="416"/>
        <v>0</v>
      </c>
      <c r="AM308" s="76">
        <f t="shared" si="417"/>
        <v>0</v>
      </c>
      <c r="AN308" s="76"/>
      <c r="AO308" s="81" t="e">
        <f t="shared" si="418"/>
        <v>#DIV/0!</v>
      </c>
      <c r="AP308" s="81" t="e">
        <f t="shared" si="419"/>
        <v>#DIV/0!</v>
      </c>
      <c r="AQ308" s="81" t="e">
        <f t="shared" si="420"/>
        <v>#DIV/0!</v>
      </c>
      <c r="AR308" s="3"/>
      <c r="AS308" s="76">
        <f t="shared" si="369"/>
        <v>0</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ht="15" x14ac:dyDescent="0.25">
      <c r="A309" s="8" t="s">
        <v>22</v>
      </c>
      <c r="B309" s="9" t="s">
        <v>232</v>
      </c>
      <c r="C309" s="7"/>
      <c r="D309" s="7"/>
      <c r="E309" s="7"/>
      <c r="F309" s="71">
        <v>0</v>
      </c>
      <c r="G309" s="51">
        <f t="shared" si="397"/>
        <v>0</v>
      </c>
      <c r="H309" s="52">
        <f t="shared" si="398"/>
        <v>0</v>
      </c>
      <c r="I309" s="53">
        <f>COUNTIFS('00 Encuesta'!$B$2:$B$511,"*a)*",'00 Encuesta'!$C$2:$C$511,"*a)*",'00 Encuesta'!$E$2:$E$511,"*a)*",'00 Encuesta'!$AM$2:$AM$511,"*e)*")</f>
        <v>0</v>
      </c>
      <c r="J309" s="52">
        <f t="shared" si="399"/>
        <v>0</v>
      </c>
      <c r="K309" s="53">
        <f>COUNTIFS('00 Encuesta'!$B$2:$B$511,"*a)*",'00 Encuesta'!$C$2:$C$511,"*a)*",'00 Encuesta'!$E$2:$E$511,"*b)*",'00 Encuesta'!$AM$2:$AM$511,"*e)*")</f>
        <v>0</v>
      </c>
      <c r="L309" s="52">
        <f t="shared" si="400"/>
        <v>0</v>
      </c>
      <c r="M309" s="23"/>
      <c r="N309" s="51">
        <f t="shared" si="401"/>
        <v>0</v>
      </c>
      <c r="O309" s="52">
        <f t="shared" si="402"/>
        <v>0</v>
      </c>
      <c r="P309" s="53">
        <f>COUNTIFS('00 Encuesta'!$B$2:$B$511,"*a)*",'00 Encuesta'!$C$2:$C$511,"*b)*",'00 Encuesta'!$E$2:$E$511,"*a)*",'00 Encuesta'!$AM$2:$AM$511,"*e)*")</f>
        <v>0</v>
      </c>
      <c r="Q309" s="52">
        <f t="shared" si="403"/>
        <v>0</v>
      </c>
      <c r="R309" s="53">
        <f>COUNTIFS('00 Encuesta'!$B$2:$B$511,"*a)*",'00 Encuesta'!$C$2:$C$511,"*b)*",'00 Encuesta'!$E$2:$E$511,"*b)*",'00 Encuesta'!$AM$2:$AM$511,"*e)*")</f>
        <v>0</v>
      </c>
      <c r="S309" s="52">
        <f t="shared" si="404"/>
        <v>0</v>
      </c>
      <c r="T309" s="3"/>
      <c r="U309" s="51">
        <f t="shared" si="405"/>
        <v>0</v>
      </c>
      <c r="V309" s="52" t="e">
        <f t="shared" si="406"/>
        <v>#DIV/0!</v>
      </c>
      <c r="W309" s="53">
        <f>COUNTIFS('00 Encuesta'!$B$2:$B$511,"*a)*",'00 Encuesta'!$C$2:$C$511,"*c)*",'00 Encuesta'!$E$2:$E$511,"*a)*",'00 Encuesta'!$AM$2:$AM$511,"*e)*")</f>
        <v>0</v>
      </c>
      <c r="X309" s="52" t="e">
        <f t="shared" si="407"/>
        <v>#DIV/0!</v>
      </c>
      <c r="Y309" s="53">
        <f>COUNTIFS('00 Encuesta'!$B$2:$B$511,"*a)*",'00 Encuesta'!$C$2:$C$511,"*c)*",'00 Encuesta'!$E$2:$E$511,"*b)*",'00 Encuesta'!$AM$2:$AM$511,"*e)*")</f>
        <v>0</v>
      </c>
      <c r="Z309" s="52" t="e">
        <f t="shared" si="408"/>
        <v>#DIV/0!</v>
      </c>
      <c r="AA309" s="3"/>
      <c r="AB309" s="62">
        <f t="shared" si="409"/>
        <v>0</v>
      </c>
      <c r="AC309" s="52">
        <f t="shared" si="410"/>
        <v>0</v>
      </c>
      <c r="AD309" s="3"/>
      <c r="AE309" s="3"/>
      <c r="AF309" s="9" t="str">
        <f t="shared" si="411"/>
        <v>e) Muy mala</v>
      </c>
      <c r="AG309" s="72">
        <f t="shared" si="412"/>
        <v>0</v>
      </c>
      <c r="AH309" s="72">
        <f t="shared" si="413"/>
        <v>0</v>
      </c>
      <c r="AI309" s="73">
        <f t="shared" si="414"/>
        <v>0</v>
      </c>
      <c r="AJ309" s="73"/>
      <c r="AK309" s="76">
        <f t="shared" si="415"/>
        <v>0</v>
      </c>
      <c r="AL309" s="76">
        <f t="shared" si="416"/>
        <v>0</v>
      </c>
      <c r="AM309" s="76">
        <f t="shared" si="417"/>
        <v>0</v>
      </c>
      <c r="AN309" s="76"/>
      <c r="AO309" s="81" t="e">
        <f t="shared" si="418"/>
        <v>#DIV/0!</v>
      </c>
      <c r="AP309" s="81" t="e">
        <f t="shared" si="419"/>
        <v>#DIV/0!</v>
      </c>
      <c r="AQ309" s="81" t="e">
        <f t="shared" si="420"/>
        <v>#DIV/0!</v>
      </c>
      <c r="AR309" s="3"/>
      <c r="AS309" s="76">
        <f t="shared" si="369"/>
        <v>0</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ht="15" x14ac:dyDescent="0.25">
      <c r="A310" s="8" t="s">
        <v>45</v>
      </c>
      <c r="B310" s="9" t="s">
        <v>233</v>
      </c>
      <c r="C310" s="7"/>
      <c r="D310" s="7"/>
      <c r="E310" s="7"/>
      <c r="F310" s="71"/>
      <c r="G310" s="51">
        <f t="shared" si="397"/>
        <v>6</v>
      </c>
      <c r="H310" s="52">
        <f t="shared" si="398"/>
        <v>15</v>
      </c>
      <c r="I310" s="53">
        <f>COUNTIFS('00 Encuesta'!$B$2:$B$511,"*a)*",'00 Encuesta'!$C$2:$C$511,"*a)*",'00 Encuesta'!$E$2:$E$511,"*a)*",'00 Encuesta'!$AM$2:$AM$511,"*f)*")</f>
        <v>1</v>
      </c>
      <c r="J310" s="52">
        <f t="shared" si="399"/>
        <v>4.5454545454545459</v>
      </c>
      <c r="K310" s="53">
        <f>COUNTIFS('00 Encuesta'!$B$2:$B$511,"*a)*",'00 Encuesta'!$C$2:$C$511,"*a)*",'00 Encuesta'!$E$2:$E$511,"*b)*",'00 Encuesta'!$AM$2:$AM$511,"*f)*")</f>
        <v>5</v>
      </c>
      <c r="L310" s="52">
        <f t="shared" si="400"/>
        <v>27.777777777777779</v>
      </c>
      <c r="M310" s="23"/>
      <c r="N310" s="51">
        <f t="shared" si="401"/>
        <v>3</v>
      </c>
      <c r="O310" s="52">
        <f t="shared" si="402"/>
        <v>7.8947368421052628</v>
      </c>
      <c r="P310" s="53">
        <f>COUNTIFS('00 Encuesta'!$B$2:$B$511,"*a)*",'00 Encuesta'!$C$2:$C$511,"*b)*",'00 Encuesta'!$E$2:$E$511,"*a)*",'00 Encuesta'!$AM$2:$AM$511,"*f)*")</f>
        <v>2</v>
      </c>
      <c r="Q310" s="52">
        <f t="shared" si="403"/>
        <v>15.384615384615385</v>
      </c>
      <c r="R310" s="53">
        <f>COUNTIFS('00 Encuesta'!$B$2:$B$511,"*a)*",'00 Encuesta'!$C$2:$C$511,"*b)*",'00 Encuesta'!$E$2:$E$511,"*b)*",'00 Encuesta'!$AM$2:$AM$511,"*f)*")</f>
        <v>1</v>
      </c>
      <c r="S310" s="52">
        <f t="shared" si="404"/>
        <v>4</v>
      </c>
      <c r="T310" s="3"/>
      <c r="U310" s="51">
        <f t="shared" si="405"/>
        <v>0</v>
      </c>
      <c r="V310" s="52" t="e">
        <f t="shared" si="406"/>
        <v>#DIV/0!</v>
      </c>
      <c r="W310" s="53">
        <f>COUNTIFS('00 Encuesta'!$B$2:$B$511,"*a)*",'00 Encuesta'!$C$2:$C$511,"*c)*",'00 Encuesta'!$E$2:$E$511,"*a)*",'00 Encuesta'!$AM$2:$AM$511,"*f)*")</f>
        <v>0</v>
      </c>
      <c r="X310" s="52" t="e">
        <f t="shared" si="407"/>
        <v>#DIV/0!</v>
      </c>
      <c r="Y310" s="53">
        <f>COUNTIFS('00 Encuesta'!$B$2:$B$511,"*a)*",'00 Encuesta'!$C$2:$C$511,"*c)*",'00 Encuesta'!$E$2:$E$511,"*b)*",'00 Encuesta'!$AM$2:$AM$511,"*f)*")</f>
        <v>0</v>
      </c>
      <c r="Z310" s="52" t="e">
        <f t="shared" si="408"/>
        <v>#DIV/0!</v>
      </c>
      <c r="AA310" s="3"/>
      <c r="AB310" s="62">
        <f t="shared" si="409"/>
        <v>9</v>
      </c>
      <c r="AC310" s="52">
        <f t="shared" si="410"/>
        <v>11.538461538461538</v>
      </c>
      <c r="AD310" s="3"/>
      <c r="AE310" s="3"/>
      <c r="AF310" s="9" t="str">
        <f t="shared" si="411"/>
        <v>f) No aplica</v>
      </c>
      <c r="AG310" s="72">
        <f t="shared" si="412"/>
        <v>4.5454545454545459</v>
      </c>
      <c r="AH310" s="72">
        <f t="shared" si="413"/>
        <v>27.777777777777779</v>
      </c>
      <c r="AI310" s="73">
        <f t="shared" si="414"/>
        <v>15</v>
      </c>
      <c r="AJ310" s="73"/>
      <c r="AK310" s="76">
        <f t="shared" si="415"/>
        <v>15.384615384615385</v>
      </c>
      <c r="AL310" s="76">
        <f t="shared" si="416"/>
        <v>4</v>
      </c>
      <c r="AM310" s="76">
        <f t="shared" si="417"/>
        <v>7.8947368421052628</v>
      </c>
      <c r="AN310" s="76"/>
      <c r="AO310" s="81" t="e">
        <f t="shared" si="418"/>
        <v>#DIV/0!</v>
      </c>
      <c r="AP310" s="81" t="e">
        <f t="shared" si="419"/>
        <v>#DIV/0!</v>
      </c>
      <c r="AQ310" s="81" t="e">
        <f t="shared" si="420"/>
        <v>#DIV/0!</v>
      </c>
      <c r="AR310" s="3"/>
      <c r="AS310" s="76">
        <f t="shared" si="369"/>
        <v>11.538461538461538</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ht="15" x14ac:dyDescent="0.25">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68.75</v>
      </c>
      <c r="AH311" s="82">
        <f>($F305*K305+$F306*K306+$F307*K307+$F308*K308+$F309*K309)/(K305+K306+K307+K308+K309)</f>
        <v>72.727272727272734</v>
      </c>
      <c r="AI311" s="82">
        <f>($F305*G305+$F306*G306+$F307*G307+$F308*G308+$F309*G309)/(G305+G306+G307+G308+G309)</f>
        <v>70.161290322580641</v>
      </c>
      <c r="AJ311" s="82"/>
      <c r="AK311" s="82">
        <f>($F305*Q305+$F306*Q306+$F307*Q307+$F308*Q308+$F309*Q309)/(Q305+Q306+Q307+Q308+Q309)</f>
        <v>75</v>
      </c>
      <c r="AL311" s="82">
        <f>($F305*S305+$F306*S306+$F307*S307+$F308*S308+$F309*S309)/(S305+S306+S307+S308+S309)</f>
        <v>72.727272727272734</v>
      </c>
      <c r="AM311" s="82">
        <f>($F305*O305+$F306*O306+$F307*O307+$F308*O308+$F309*O309)/(O305+O306+O307+O308+O309)</f>
        <v>73.387096774193552</v>
      </c>
      <c r="AN311" s="82"/>
      <c r="AO311" s="82" t="e">
        <f>($F305*W305+$F306*W306+$F307*W307+$F308*W308+$F309*W309)/(W305+W306+W307+W308+W309)</f>
        <v>#DIV/0!</v>
      </c>
      <c r="AP311" s="82" t="e">
        <f>($F305*Y305+$F306*Y306+$F307*Y307+$F308*Y308+$F309*Y309)/(Y305+Y306+Y307+Y308+Y309)</f>
        <v>#DIV/0!</v>
      </c>
      <c r="AQ311" s="82" t="e">
        <f>($F305*U305+$F306*U306+$F307*U307+$F308*U308+$F309*U309)/(U305+U306+U307+U308+U309)</f>
        <v>#DIV/0!</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ht="15" x14ac:dyDescent="0.25">
      <c r="A313" s="8" t="s">
        <v>17</v>
      </c>
      <c r="B313" s="9" t="s">
        <v>229</v>
      </c>
      <c r="C313" s="7"/>
      <c r="D313" s="7"/>
      <c r="E313" s="7"/>
      <c r="F313" s="71">
        <v>100</v>
      </c>
      <c r="G313" s="51">
        <f t="shared" ref="G313:G318" si="421">I313+K313</f>
        <v>1</v>
      </c>
      <c r="H313" s="52">
        <f t="shared" ref="H313:H318" si="422">G313/$J$5*100</f>
        <v>2.5</v>
      </c>
      <c r="I313" s="53">
        <f>COUNTIFS('00 Encuesta'!$B$2:$B$511,"*a)*",'00 Encuesta'!$C$2:$C$511,"*a)*",'00 Encuesta'!$E$2:$E$511,"*a)*",'00 Encuesta'!$AN$2:$AN$511,"*a)*")</f>
        <v>0</v>
      </c>
      <c r="J313" s="52">
        <f t="shared" ref="J313:J318" si="423">I313/$J$6*100</f>
        <v>0</v>
      </c>
      <c r="K313" s="53">
        <f>COUNTIFS('00 Encuesta'!$B$2:$B$511,"*a)*",'00 Encuesta'!$C$2:$C$511,"*a)*",'00 Encuesta'!$E$2:$E$511,"*b)*",'00 Encuesta'!$AN$2:$AN$511,"*a)*")</f>
        <v>1</v>
      </c>
      <c r="L313" s="52">
        <f t="shared" ref="L313:L318" si="424">K313/$J$7*100</f>
        <v>5.5555555555555554</v>
      </c>
      <c r="M313" s="23"/>
      <c r="N313" s="51">
        <f t="shared" ref="N313:N318" si="425">P313+R313</f>
        <v>2</v>
      </c>
      <c r="O313" s="52">
        <f t="shared" ref="O313:O318" si="426">N313/$Q$5*100</f>
        <v>5.2631578947368416</v>
      </c>
      <c r="P313" s="53">
        <f>COUNTIFS('00 Encuesta'!$B$2:$B$511,"*a)*",'00 Encuesta'!$C$2:$C$511,"*b)*",'00 Encuesta'!$E$2:$E$511,"*a)*",'00 Encuesta'!$AN$2:$AN$511,"*a)*")</f>
        <v>1</v>
      </c>
      <c r="Q313" s="52">
        <f t="shared" ref="Q313:Q318" si="427">P313/$Q$6*100</f>
        <v>7.6923076923076925</v>
      </c>
      <c r="R313" s="53">
        <f>COUNTIFS('00 Encuesta'!$B$2:$B$511,"*a)*",'00 Encuesta'!$C$2:$C$511,"*b)*",'00 Encuesta'!$E$2:$E$511,"*b)*",'00 Encuesta'!$AN$2:$AN$511,"*a)*")</f>
        <v>1</v>
      </c>
      <c r="S313" s="52">
        <f t="shared" ref="S313:S318" si="428">R313/$Q$7*100</f>
        <v>4</v>
      </c>
      <c r="T313" s="3"/>
      <c r="U313" s="51">
        <f t="shared" ref="U313:U318" si="429">W313+Y313</f>
        <v>0</v>
      </c>
      <c r="V313" s="52" t="e">
        <f t="shared" ref="V313:V318" si="430">U313/$X$5*100</f>
        <v>#DIV/0!</v>
      </c>
      <c r="W313" s="53">
        <f>COUNTIFS('00 Encuesta'!$B$2:$B$511,"*a)*",'00 Encuesta'!$C$2:$C$511,"*c)*",'00 Encuesta'!$E$2:$E$511,"*a)*",'00 Encuesta'!$AN$2:$AN$511,"*a)*")</f>
        <v>0</v>
      </c>
      <c r="X313" s="52" t="e">
        <f t="shared" ref="X313:X318" si="431">W313/$X$6*100</f>
        <v>#DIV/0!</v>
      </c>
      <c r="Y313" s="53">
        <f>COUNTIFS('00 Encuesta'!$B$2:$B$511,"*a)*",'00 Encuesta'!$C$2:$C$511,"*c)*",'00 Encuesta'!$E$2:$E$511,"*b)*",'00 Encuesta'!$AN$2:$AN$511,"*a)*")</f>
        <v>0</v>
      </c>
      <c r="Z313" s="52" t="e">
        <f t="shared" ref="Z313:Z318" si="432">Y313/$X$7*100</f>
        <v>#DIV/0!</v>
      </c>
      <c r="AA313" s="3"/>
      <c r="AB313" s="62">
        <f t="shared" ref="AB313:AB318" si="433">G313+N313+U313</f>
        <v>3</v>
      </c>
      <c r="AC313" s="52">
        <f t="shared" ref="AC313:AC318" si="434">AB313*100/$AC$5</f>
        <v>3.8461538461538463</v>
      </c>
      <c r="AD313" s="3"/>
      <c r="AE313" s="3"/>
      <c r="AF313" s="9" t="str">
        <f t="shared" ref="AF313:AF318" si="435">A313&amp;" "&amp;B313</f>
        <v>a) Muy buena</v>
      </c>
      <c r="AG313" s="72">
        <f t="shared" ref="AG313:AG318" si="436">J313</f>
        <v>0</v>
      </c>
      <c r="AH313" s="72">
        <f t="shared" ref="AH313:AH318" si="437">L313</f>
        <v>5.5555555555555554</v>
      </c>
      <c r="AI313" s="73">
        <f t="shared" ref="AI313:AI318" si="438">H313</f>
        <v>2.5</v>
      </c>
      <c r="AJ313" s="73"/>
      <c r="AK313" s="76">
        <f t="shared" ref="AK313:AK318" si="439">Q313</f>
        <v>7.6923076923076925</v>
      </c>
      <c r="AL313" s="76">
        <f t="shared" ref="AL313:AL318" si="440">S313</f>
        <v>4</v>
      </c>
      <c r="AM313" s="76">
        <f t="shared" ref="AM313:AM318" si="441">O313</f>
        <v>5.2631578947368416</v>
      </c>
      <c r="AN313" s="76"/>
      <c r="AO313" s="81" t="e">
        <f t="shared" ref="AO313:AO318" si="442">X313</f>
        <v>#DIV/0!</v>
      </c>
      <c r="AP313" s="81" t="e">
        <f t="shared" ref="AP313:AP318" si="443">Z313</f>
        <v>#DIV/0!</v>
      </c>
      <c r="AQ313" s="81" t="e">
        <f t="shared" ref="AQ313:AQ318" si="444">V313</f>
        <v>#DIV/0!</v>
      </c>
      <c r="AR313" s="3"/>
      <c r="AS313" s="76">
        <f t="shared" ref="AS313:AS318" si="445">AC313</f>
        <v>3.8461538461538463</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ht="15" x14ac:dyDescent="0.25">
      <c r="A314" s="8" t="s">
        <v>18</v>
      </c>
      <c r="B314" s="9" t="s">
        <v>230</v>
      </c>
      <c r="C314" s="7"/>
      <c r="D314" s="7"/>
      <c r="E314" s="7"/>
      <c r="F314" s="71">
        <v>75</v>
      </c>
      <c r="G314" s="51">
        <f t="shared" si="421"/>
        <v>7</v>
      </c>
      <c r="H314" s="52">
        <f t="shared" si="422"/>
        <v>17.5</v>
      </c>
      <c r="I314" s="53">
        <f>COUNTIFS('00 Encuesta'!$B$2:$B$511,"*a)*",'00 Encuesta'!$C$2:$C$511,"*a)*",'00 Encuesta'!$E$2:$E$511,"*a)*",'00 Encuesta'!$AN$2:$AN$511,"*b)*")</f>
        <v>4</v>
      </c>
      <c r="J314" s="52">
        <f t="shared" si="423"/>
        <v>18.181818181818183</v>
      </c>
      <c r="K314" s="53">
        <f>COUNTIFS('00 Encuesta'!$B$2:$B$511,"*a)*",'00 Encuesta'!$C$2:$C$511,"*a)*",'00 Encuesta'!$E$2:$E$511,"*b)*",'00 Encuesta'!$AN$2:$AN$511,"*b)*")</f>
        <v>3</v>
      </c>
      <c r="L314" s="52">
        <f t="shared" si="424"/>
        <v>16.666666666666664</v>
      </c>
      <c r="M314" s="23"/>
      <c r="N314" s="51">
        <f t="shared" si="425"/>
        <v>6</v>
      </c>
      <c r="O314" s="52">
        <f t="shared" si="426"/>
        <v>15.789473684210526</v>
      </c>
      <c r="P314" s="53">
        <f>COUNTIFS('00 Encuesta'!$B$2:$B$511,"*a)*",'00 Encuesta'!$C$2:$C$511,"*b)*",'00 Encuesta'!$E$2:$E$511,"*a)*",'00 Encuesta'!$AN$2:$AN$511,"*b)*")</f>
        <v>3</v>
      </c>
      <c r="Q314" s="52">
        <f t="shared" si="427"/>
        <v>23.076923076923077</v>
      </c>
      <c r="R314" s="53">
        <f>COUNTIFS('00 Encuesta'!$B$2:$B$511,"*a)*",'00 Encuesta'!$C$2:$C$511,"*b)*",'00 Encuesta'!$E$2:$E$511,"*b)*",'00 Encuesta'!$AN$2:$AN$511,"*b)*")</f>
        <v>3</v>
      </c>
      <c r="S314" s="52">
        <f t="shared" si="428"/>
        <v>12</v>
      </c>
      <c r="T314" s="3"/>
      <c r="U314" s="51">
        <f t="shared" si="429"/>
        <v>0</v>
      </c>
      <c r="V314" s="52" t="e">
        <f t="shared" si="430"/>
        <v>#DIV/0!</v>
      </c>
      <c r="W314" s="53">
        <f>COUNTIFS('00 Encuesta'!$B$2:$B$511,"*a)*",'00 Encuesta'!$C$2:$C$511,"*c)*",'00 Encuesta'!$E$2:$E$511,"*a)*",'00 Encuesta'!$AN$2:$AN$511,"*b)*")</f>
        <v>0</v>
      </c>
      <c r="X314" s="52" t="e">
        <f t="shared" si="431"/>
        <v>#DIV/0!</v>
      </c>
      <c r="Y314" s="53">
        <f>COUNTIFS('00 Encuesta'!$B$2:$B$511,"*a)*",'00 Encuesta'!$C$2:$C$511,"*c)*",'00 Encuesta'!$E$2:$E$511,"*b)*",'00 Encuesta'!$AN$2:$AN$511,"*b)*")</f>
        <v>0</v>
      </c>
      <c r="Z314" s="52" t="e">
        <f t="shared" si="432"/>
        <v>#DIV/0!</v>
      </c>
      <c r="AA314" s="3"/>
      <c r="AB314" s="62">
        <f t="shared" si="433"/>
        <v>13</v>
      </c>
      <c r="AC314" s="52">
        <f t="shared" si="434"/>
        <v>16.666666666666668</v>
      </c>
      <c r="AD314" s="3"/>
      <c r="AE314" s="3"/>
      <c r="AF314" s="9" t="str">
        <f t="shared" si="435"/>
        <v>b) Buena</v>
      </c>
      <c r="AG314" s="72">
        <f t="shared" si="436"/>
        <v>18.181818181818183</v>
      </c>
      <c r="AH314" s="72">
        <f t="shared" si="437"/>
        <v>16.666666666666664</v>
      </c>
      <c r="AI314" s="73">
        <f t="shared" si="438"/>
        <v>17.5</v>
      </c>
      <c r="AJ314" s="73"/>
      <c r="AK314" s="76">
        <f t="shared" si="439"/>
        <v>23.076923076923077</v>
      </c>
      <c r="AL314" s="76">
        <f t="shared" si="440"/>
        <v>12</v>
      </c>
      <c r="AM314" s="76">
        <f t="shared" si="441"/>
        <v>15.789473684210526</v>
      </c>
      <c r="AN314" s="76"/>
      <c r="AO314" s="81" t="e">
        <f t="shared" si="442"/>
        <v>#DIV/0!</v>
      </c>
      <c r="AP314" s="81" t="e">
        <f t="shared" si="443"/>
        <v>#DIV/0!</v>
      </c>
      <c r="AQ314" s="81" t="e">
        <f t="shared" si="444"/>
        <v>#DIV/0!</v>
      </c>
      <c r="AR314" s="3"/>
      <c r="AS314" s="76">
        <f t="shared" si="445"/>
        <v>16.666666666666668</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ht="15" x14ac:dyDescent="0.25">
      <c r="A315" s="8" t="s">
        <v>20</v>
      </c>
      <c r="B315" s="9" t="s">
        <v>218</v>
      </c>
      <c r="C315" s="7"/>
      <c r="D315" s="7"/>
      <c r="E315" s="7"/>
      <c r="F315" s="71">
        <v>50</v>
      </c>
      <c r="G315" s="51">
        <f t="shared" si="421"/>
        <v>3</v>
      </c>
      <c r="H315" s="52">
        <f t="shared" si="422"/>
        <v>7.5</v>
      </c>
      <c r="I315" s="53">
        <f>COUNTIFS('00 Encuesta'!$B$2:$B$511,"*a)*",'00 Encuesta'!$C$2:$C$511,"*a)*",'00 Encuesta'!$E$2:$E$511,"*a)*",'00 Encuesta'!$AN$2:$AN$511,"*c)*")</f>
        <v>2</v>
      </c>
      <c r="J315" s="52">
        <f t="shared" si="423"/>
        <v>9.0909090909090917</v>
      </c>
      <c r="K315" s="53">
        <f>COUNTIFS('00 Encuesta'!$B$2:$B$511,"*a)*",'00 Encuesta'!$C$2:$C$511,"*a)*",'00 Encuesta'!$E$2:$E$511,"*b)*",'00 Encuesta'!$AN$2:$AN$511,"*c)*")</f>
        <v>1</v>
      </c>
      <c r="L315" s="52">
        <f t="shared" si="424"/>
        <v>5.5555555555555554</v>
      </c>
      <c r="M315" s="23"/>
      <c r="N315" s="51">
        <f t="shared" si="425"/>
        <v>3</v>
      </c>
      <c r="O315" s="52">
        <f t="shared" si="426"/>
        <v>7.8947368421052628</v>
      </c>
      <c r="P315" s="53">
        <f>COUNTIFS('00 Encuesta'!$B$2:$B$511,"*a)*",'00 Encuesta'!$C$2:$C$511,"*b)*",'00 Encuesta'!$E$2:$E$511,"*a)*",'00 Encuesta'!$AN$2:$AN$511,"*c)*")</f>
        <v>2</v>
      </c>
      <c r="Q315" s="52">
        <f t="shared" si="427"/>
        <v>15.384615384615385</v>
      </c>
      <c r="R315" s="53">
        <f>COUNTIFS('00 Encuesta'!$B$2:$B$511,"*a)*",'00 Encuesta'!$C$2:$C$511,"*b)*",'00 Encuesta'!$E$2:$E$511,"*b)*",'00 Encuesta'!$AN$2:$AN$511,"*c)*")</f>
        <v>1</v>
      </c>
      <c r="S315" s="52">
        <f t="shared" si="428"/>
        <v>4</v>
      </c>
      <c r="T315" s="3"/>
      <c r="U315" s="51">
        <f t="shared" si="429"/>
        <v>0</v>
      </c>
      <c r="V315" s="52" t="e">
        <f t="shared" si="430"/>
        <v>#DIV/0!</v>
      </c>
      <c r="W315" s="53">
        <f>COUNTIFS('00 Encuesta'!$B$2:$B$511,"*a)*",'00 Encuesta'!$C$2:$C$511,"*c)*",'00 Encuesta'!$E$2:$E$511,"*a)*",'00 Encuesta'!$AN$2:$AN$511,"*c)*")</f>
        <v>0</v>
      </c>
      <c r="X315" s="52" t="e">
        <f t="shared" si="431"/>
        <v>#DIV/0!</v>
      </c>
      <c r="Y315" s="53">
        <f>COUNTIFS('00 Encuesta'!$B$2:$B$511,"*a)*",'00 Encuesta'!$C$2:$C$511,"*c)*",'00 Encuesta'!$E$2:$E$511,"*b)*",'00 Encuesta'!$AN$2:$AN$511,"*c)*")</f>
        <v>0</v>
      </c>
      <c r="Z315" s="52" t="e">
        <f t="shared" si="432"/>
        <v>#DIV/0!</v>
      </c>
      <c r="AA315" s="3"/>
      <c r="AB315" s="62">
        <f t="shared" si="433"/>
        <v>6</v>
      </c>
      <c r="AC315" s="52">
        <f t="shared" si="434"/>
        <v>7.6923076923076925</v>
      </c>
      <c r="AD315" s="3"/>
      <c r="AE315" s="3"/>
      <c r="AF315" s="9" t="str">
        <f t="shared" si="435"/>
        <v>c) Regular</v>
      </c>
      <c r="AG315" s="72">
        <f t="shared" si="436"/>
        <v>9.0909090909090917</v>
      </c>
      <c r="AH315" s="72">
        <f t="shared" si="437"/>
        <v>5.5555555555555554</v>
      </c>
      <c r="AI315" s="73">
        <f t="shared" si="438"/>
        <v>7.5</v>
      </c>
      <c r="AJ315" s="73"/>
      <c r="AK315" s="76">
        <f t="shared" si="439"/>
        <v>15.384615384615385</v>
      </c>
      <c r="AL315" s="76">
        <f t="shared" si="440"/>
        <v>4</v>
      </c>
      <c r="AM315" s="76">
        <f t="shared" si="441"/>
        <v>7.8947368421052628</v>
      </c>
      <c r="AN315" s="76"/>
      <c r="AO315" s="81" t="e">
        <f t="shared" si="442"/>
        <v>#DIV/0!</v>
      </c>
      <c r="AP315" s="81" t="e">
        <f t="shared" si="443"/>
        <v>#DIV/0!</v>
      </c>
      <c r="AQ315" s="81" t="e">
        <f t="shared" si="444"/>
        <v>#DIV/0!</v>
      </c>
      <c r="AR315" s="3"/>
      <c r="AS315" s="76">
        <f t="shared" si="445"/>
        <v>7.6923076923076925</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ht="15" x14ac:dyDescent="0.25">
      <c r="A316" s="8" t="s">
        <v>21</v>
      </c>
      <c r="B316" s="9" t="s">
        <v>231</v>
      </c>
      <c r="C316" s="7"/>
      <c r="D316" s="7"/>
      <c r="E316" s="7"/>
      <c r="F316" s="71">
        <v>25</v>
      </c>
      <c r="G316" s="51">
        <f t="shared" si="421"/>
        <v>0</v>
      </c>
      <c r="H316" s="52">
        <f t="shared" si="422"/>
        <v>0</v>
      </c>
      <c r="I316" s="53">
        <f>COUNTIFS('00 Encuesta'!$B$2:$B$511,"*a)*",'00 Encuesta'!$C$2:$C$511,"*a)*",'00 Encuesta'!$E$2:$E$511,"*a)*",'00 Encuesta'!$AN$2:$AN$511,"*d)*")</f>
        <v>0</v>
      </c>
      <c r="J316" s="52">
        <f t="shared" si="423"/>
        <v>0</v>
      </c>
      <c r="K316" s="53">
        <f>COUNTIFS('00 Encuesta'!$B$2:$B$511,"*a)*",'00 Encuesta'!$C$2:$C$511,"*a)*",'00 Encuesta'!$E$2:$E$511,"*b)*",'00 Encuesta'!$AN$2:$AN$511,"*d)*")</f>
        <v>0</v>
      </c>
      <c r="L316" s="52">
        <f t="shared" si="424"/>
        <v>0</v>
      </c>
      <c r="M316" s="23"/>
      <c r="N316" s="51">
        <f t="shared" si="425"/>
        <v>0</v>
      </c>
      <c r="O316" s="52">
        <f t="shared" si="426"/>
        <v>0</v>
      </c>
      <c r="P316" s="53">
        <f>COUNTIFS('00 Encuesta'!$B$2:$B$511,"*a)*",'00 Encuesta'!$C$2:$C$511,"*b)*",'00 Encuesta'!$E$2:$E$511,"*a)*",'00 Encuesta'!$AN$2:$AN$511,"*d)*")</f>
        <v>0</v>
      </c>
      <c r="Q316" s="52">
        <f t="shared" si="427"/>
        <v>0</v>
      </c>
      <c r="R316" s="53">
        <f>COUNTIFS('00 Encuesta'!$B$2:$B$511,"*a)*",'00 Encuesta'!$C$2:$C$511,"*b)*",'00 Encuesta'!$E$2:$E$511,"*b)*",'00 Encuesta'!$AN$2:$AN$511,"*d)*")</f>
        <v>0</v>
      </c>
      <c r="S316" s="52">
        <f t="shared" si="428"/>
        <v>0</v>
      </c>
      <c r="T316" s="3"/>
      <c r="U316" s="51">
        <f t="shared" si="429"/>
        <v>0</v>
      </c>
      <c r="V316" s="52" t="e">
        <f t="shared" si="430"/>
        <v>#DIV/0!</v>
      </c>
      <c r="W316" s="53">
        <f>COUNTIFS('00 Encuesta'!$B$2:$B$511,"*a)*",'00 Encuesta'!$C$2:$C$511,"*c)*",'00 Encuesta'!$E$2:$E$511,"*a)*",'00 Encuesta'!$AN$2:$AN$511,"*d)*")</f>
        <v>0</v>
      </c>
      <c r="X316" s="52" t="e">
        <f t="shared" si="431"/>
        <v>#DIV/0!</v>
      </c>
      <c r="Y316" s="53">
        <f>COUNTIFS('00 Encuesta'!$B$2:$B$511,"*a)*",'00 Encuesta'!$C$2:$C$511,"*c)*",'00 Encuesta'!$E$2:$E$511,"*b)*",'00 Encuesta'!$AN$2:$AN$511,"*d)*")</f>
        <v>0</v>
      </c>
      <c r="Z316" s="52" t="e">
        <f t="shared" si="432"/>
        <v>#DIV/0!</v>
      </c>
      <c r="AA316" s="3"/>
      <c r="AB316" s="62">
        <f t="shared" si="433"/>
        <v>0</v>
      </c>
      <c r="AC316" s="52">
        <f t="shared" si="434"/>
        <v>0</v>
      </c>
      <c r="AD316" s="3"/>
      <c r="AE316" s="3"/>
      <c r="AF316" s="9" t="str">
        <f t="shared" si="435"/>
        <v>d) Mala</v>
      </c>
      <c r="AG316" s="72">
        <f t="shared" si="436"/>
        <v>0</v>
      </c>
      <c r="AH316" s="72">
        <f t="shared" si="437"/>
        <v>0</v>
      </c>
      <c r="AI316" s="73">
        <f t="shared" si="438"/>
        <v>0</v>
      </c>
      <c r="AJ316" s="73"/>
      <c r="AK316" s="76">
        <f t="shared" si="439"/>
        <v>0</v>
      </c>
      <c r="AL316" s="76">
        <f t="shared" si="440"/>
        <v>0</v>
      </c>
      <c r="AM316" s="76">
        <f t="shared" si="441"/>
        <v>0</v>
      </c>
      <c r="AN316" s="76"/>
      <c r="AO316" s="81" t="e">
        <f t="shared" si="442"/>
        <v>#DIV/0!</v>
      </c>
      <c r="AP316" s="81" t="e">
        <f t="shared" si="443"/>
        <v>#DIV/0!</v>
      </c>
      <c r="AQ316" s="81" t="e">
        <f t="shared" si="444"/>
        <v>#DIV/0!</v>
      </c>
      <c r="AR316" s="3"/>
      <c r="AS316" s="76">
        <f t="shared" si="445"/>
        <v>0</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ht="15" x14ac:dyDescent="0.25">
      <c r="A317" s="8" t="s">
        <v>22</v>
      </c>
      <c r="B317" s="9" t="s">
        <v>232</v>
      </c>
      <c r="C317" s="7"/>
      <c r="D317" s="7"/>
      <c r="E317" s="7"/>
      <c r="F317" s="71">
        <v>0</v>
      </c>
      <c r="G317" s="51">
        <f t="shared" si="421"/>
        <v>0</v>
      </c>
      <c r="H317" s="52">
        <f t="shared" si="422"/>
        <v>0</v>
      </c>
      <c r="I317" s="53">
        <f>COUNTIFS('00 Encuesta'!$B$2:$B$511,"*a)*",'00 Encuesta'!$C$2:$C$511,"*a)*",'00 Encuesta'!$E$2:$E$511,"*a)*",'00 Encuesta'!$AN$2:$AN$511,"*e)*")</f>
        <v>0</v>
      </c>
      <c r="J317" s="52">
        <f t="shared" si="423"/>
        <v>0</v>
      </c>
      <c r="K317" s="53">
        <f>COUNTIFS('00 Encuesta'!$B$2:$B$511,"*a)*",'00 Encuesta'!$C$2:$C$511,"*a)*",'00 Encuesta'!$E$2:$E$511,"*b)*",'00 Encuesta'!$AN$2:$AN$511,"*e)*")</f>
        <v>0</v>
      </c>
      <c r="L317" s="52">
        <f t="shared" si="424"/>
        <v>0</v>
      </c>
      <c r="M317" s="23"/>
      <c r="N317" s="51">
        <f t="shared" si="425"/>
        <v>0</v>
      </c>
      <c r="O317" s="52">
        <f t="shared" si="426"/>
        <v>0</v>
      </c>
      <c r="P317" s="53">
        <f>COUNTIFS('00 Encuesta'!$B$2:$B$511,"*a)*",'00 Encuesta'!$C$2:$C$511,"*b)*",'00 Encuesta'!$E$2:$E$511,"*a)*",'00 Encuesta'!$AN$2:$AN$511,"*e)*")</f>
        <v>0</v>
      </c>
      <c r="Q317" s="52">
        <f t="shared" si="427"/>
        <v>0</v>
      </c>
      <c r="R317" s="53">
        <f>COUNTIFS('00 Encuesta'!$B$2:$B$511,"*a)*",'00 Encuesta'!$C$2:$C$511,"*b)*",'00 Encuesta'!$E$2:$E$511,"*b)*",'00 Encuesta'!$AN$2:$AN$511,"*e)*")</f>
        <v>0</v>
      </c>
      <c r="S317" s="52">
        <f t="shared" si="428"/>
        <v>0</v>
      </c>
      <c r="T317" s="3"/>
      <c r="U317" s="51">
        <f t="shared" si="429"/>
        <v>0</v>
      </c>
      <c r="V317" s="52" t="e">
        <f t="shared" si="430"/>
        <v>#DIV/0!</v>
      </c>
      <c r="W317" s="53">
        <f>COUNTIFS('00 Encuesta'!$B$2:$B$511,"*a)*",'00 Encuesta'!$C$2:$C$511,"*c)*",'00 Encuesta'!$E$2:$E$511,"*a)*",'00 Encuesta'!$AN$2:$AN$511,"*e)*")</f>
        <v>0</v>
      </c>
      <c r="X317" s="52" t="e">
        <f t="shared" si="431"/>
        <v>#DIV/0!</v>
      </c>
      <c r="Y317" s="53">
        <f>COUNTIFS('00 Encuesta'!$B$2:$B$511,"*a)*",'00 Encuesta'!$C$2:$C$511,"*c)*",'00 Encuesta'!$E$2:$E$511,"*b)*",'00 Encuesta'!$AN$2:$AN$511,"*e)*")</f>
        <v>0</v>
      </c>
      <c r="Z317" s="52" t="e">
        <f t="shared" si="432"/>
        <v>#DIV/0!</v>
      </c>
      <c r="AA317" s="3"/>
      <c r="AB317" s="62">
        <f t="shared" si="433"/>
        <v>0</v>
      </c>
      <c r="AC317" s="52">
        <f t="shared" si="434"/>
        <v>0</v>
      </c>
      <c r="AD317" s="3"/>
      <c r="AE317" s="3"/>
      <c r="AF317" s="9" t="str">
        <f t="shared" si="435"/>
        <v>e) Muy mala</v>
      </c>
      <c r="AG317" s="72">
        <f t="shared" si="436"/>
        <v>0</v>
      </c>
      <c r="AH317" s="72">
        <f t="shared" si="437"/>
        <v>0</v>
      </c>
      <c r="AI317" s="73">
        <f t="shared" si="438"/>
        <v>0</v>
      </c>
      <c r="AJ317" s="73"/>
      <c r="AK317" s="76">
        <f t="shared" si="439"/>
        <v>0</v>
      </c>
      <c r="AL317" s="76">
        <f t="shared" si="440"/>
        <v>0</v>
      </c>
      <c r="AM317" s="76">
        <f t="shared" si="441"/>
        <v>0</v>
      </c>
      <c r="AN317" s="76"/>
      <c r="AO317" s="81" t="e">
        <f t="shared" si="442"/>
        <v>#DIV/0!</v>
      </c>
      <c r="AP317" s="81" t="e">
        <f t="shared" si="443"/>
        <v>#DIV/0!</v>
      </c>
      <c r="AQ317" s="81" t="e">
        <f t="shared" si="444"/>
        <v>#DIV/0!</v>
      </c>
      <c r="AR317" s="3"/>
      <c r="AS317" s="76">
        <f t="shared" si="445"/>
        <v>0</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ht="15" x14ac:dyDescent="0.25">
      <c r="A318" s="8" t="s">
        <v>45</v>
      </c>
      <c r="B318" s="9" t="s">
        <v>233</v>
      </c>
      <c r="C318" s="7"/>
      <c r="D318" s="7"/>
      <c r="E318" s="7"/>
      <c r="F318" s="71"/>
      <c r="G318" s="51">
        <f t="shared" si="421"/>
        <v>17</v>
      </c>
      <c r="H318" s="52">
        <f t="shared" si="422"/>
        <v>42.5</v>
      </c>
      <c r="I318" s="53">
        <f>COUNTIFS('00 Encuesta'!$B$2:$B$511,"*a)*",'00 Encuesta'!$C$2:$C$511,"*a)*",'00 Encuesta'!$E$2:$E$511,"*a)*",'00 Encuesta'!$AN$2:$AN$511,"*f)*")</f>
        <v>9</v>
      </c>
      <c r="J318" s="52">
        <f t="shared" si="423"/>
        <v>40.909090909090914</v>
      </c>
      <c r="K318" s="53">
        <f>COUNTIFS('00 Encuesta'!$B$2:$B$511,"*a)*",'00 Encuesta'!$C$2:$C$511,"*a)*",'00 Encuesta'!$E$2:$E$511,"*b)*",'00 Encuesta'!$AN$2:$AN$511,"*f)*")</f>
        <v>8</v>
      </c>
      <c r="L318" s="52">
        <f t="shared" si="424"/>
        <v>44.444444444444443</v>
      </c>
      <c r="M318" s="23"/>
      <c r="N318" s="51">
        <f t="shared" si="425"/>
        <v>19</v>
      </c>
      <c r="O318" s="52">
        <f t="shared" si="426"/>
        <v>50</v>
      </c>
      <c r="P318" s="53">
        <f>COUNTIFS('00 Encuesta'!$B$2:$B$511,"*a)*",'00 Encuesta'!$C$2:$C$511,"*b)*",'00 Encuesta'!$E$2:$E$511,"*a)*",'00 Encuesta'!$AN$2:$AN$511,"*f)*")</f>
        <v>3</v>
      </c>
      <c r="Q318" s="52">
        <f t="shared" si="427"/>
        <v>23.076923076923077</v>
      </c>
      <c r="R318" s="53">
        <f>COUNTIFS('00 Encuesta'!$B$2:$B$511,"*a)*",'00 Encuesta'!$C$2:$C$511,"*b)*",'00 Encuesta'!$E$2:$E$511,"*b)*",'00 Encuesta'!$AN$2:$AN$511,"*f)*")</f>
        <v>16</v>
      </c>
      <c r="S318" s="52">
        <f t="shared" si="428"/>
        <v>64</v>
      </c>
      <c r="T318" s="3"/>
      <c r="U318" s="51">
        <f t="shared" si="429"/>
        <v>0</v>
      </c>
      <c r="V318" s="52" t="e">
        <f t="shared" si="430"/>
        <v>#DIV/0!</v>
      </c>
      <c r="W318" s="53">
        <f>COUNTIFS('00 Encuesta'!$B$2:$B$511,"*a)*",'00 Encuesta'!$C$2:$C$511,"*c)*",'00 Encuesta'!$E$2:$E$511,"*a)*",'00 Encuesta'!$AN$2:$AN$511,"*f)*")</f>
        <v>0</v>
      </c>
      <c r="X318" s="52" t="e">
        <f t="shared" si="431"/>
        <v>#DIV/0!</v>
      </c>
      <c r="Y318" s="53">
        <f>COUNTIFS('00 Encuesta'!$B$2:$B$511,"*a)*",'00 Encuesta'!$C$2:$C$511,"*c)*",'00 Encuesta'!$E$2:$E$511,"*b)*",'00 Encuesta'!$AN$2:$AN$511,"*f)*")</f>
        <v>0</v>
      </c>
      <c r="Z318" s="52" t="e">
        <f t="shared" si="432"/>
        <v>#DIV/0!</v>
      </c>
      <c r="AA318" s="3"/>
      <c r="AB318" s="62">
        <f t="shared" si="433"/>
        <v>36</v>
      </c>
      <c r="AC318" s="52">
        <f t="shared" si="434"/>
        <v>46.153846153846153</v>
      </c>
      <c r="AD318" s="3"/>
      <c r="AE318" s="3"/>
      <c r="AF318" s="9" t="str">
        <f t="shared" si="435"/>
        <v>f) No aplica</v>
      </c>
      <c r="AG318" s="72">
        <f t="shared" si="436"/>
        <v>40.909090909090914</v>
      </c>
      <c r="AH318" s="72">
        <f t="shared" si="437"/>
        <v>44.444444444444443</v>
      </c>
      <c r="AI318" s="73">
        <f t="shared" si="438"/>
        <v>42.5</v>
      </c>
      <c r="AJ318" s="73"/>
      <c r="AK318" s="76">
        <f t="shared" si="439"/>
        <v>23.076923076923077</v>
      </c>
      <c r="AL318" s="76">
        <f t="shared" si="440"/>
        <v>64</v>
      </c>
      <c r="AM318" s="76">
        <f t="shared" si="441"/>
        <v>50</v>
      </c>
      <c r="AN318" s="76"/>
      <c r="AO318" s="81" t="e">
        <f t="shared" si="442"/>
        <v>#DIV/0!</v>
      </c>
      <c r="AP318" s="81" t="e">
        <f t="shared" si="443"/>
        <v>#DIV/0!</v>
      </c>
      <c r="AQ318" s="81" t="e">
        <f t="shared" si="444"/>
        <v>#DIV/0!</v>
      </c>
      <c r="AR318" s="3"/>
      <c r="AS318" s="76">
        <f t="shared" si="445"/>
        <v>46.153846153846153</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ht="15" x14ac:dyDescent="0.25">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66.666666666666671</v>
      </c>
      <c r="AH319" s="82">
        <f>($F313*K313+$F314*K314+$F315*K315+$F316*K316+$F317*K317)/(K313+K314+K315+K316+K317)</f>
        <v>75</v>
      </c>
      <c r="AI319" s="82">
        <f>($F313*G313+$F314*G314+$F315*G315+$F316*G316+$F317*G317)/(G313+G314+G315+G316+G317)</f>
        <v>70.454545454545453</v>
      </c>
      <c r="AJ319" s="82"/>
      <c r="AK319" s="82">
        <f>($F313*Q313+$F314*Q314+$F315*Q315+$F316*Q316+$F317*Q317)/(Q313+Q314+Q315+Q316+Q317)</f>
        <v>70.833333333333343</v>
      </c>
      <c r="AL319" s="82">
        <f>($F313*S313+$F314*S314+$F315*S315+$F316*S316+$F317*S317)/(S313+S314+S315+S316+S317)</f>
        <v>75</v>
      </c>
      <c r="AM319" s="82">
        <f>($F313*O313+$F314*O314+$F315*O315+$F316*O316+$F317*O317)/(O313+O314+O315+O316+O317)</f>
        <v>72.72727272727272</v>
      </c>
      <c r="AN319" s="82"/>
      <c r="AO319" s="82" t="e">
        <f>($F313*W313+$F314*W314+$F315*W315+$F316*W316+$F317*W317)/(W313+W314+W315+W316+W317)</f>
        <v>#DIV/0!</v>
      </c>
      <c r="AP319" s="82" t="e">
        <f>($F313*Y313+$F314*Y314+$F315*Y315+$F316*Y316+$F317*Y317)/(Y313+Y314+Y315+Y316+Y317)</f>
        <v>#DIV/0!</v>
      </c>
      <c r="AQ319" s="82" t="e">
        <f>($F313*U313+$F314*U314+$F315*U315+$F316*U316+$F317*U317)/(U313+U314+U315+U316+U317)</f>
        <v>#DIV/0!</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ht="15" x14ac:dyDescent="0.25">
      <c r="A321" s="8" t="s">
        <v>17</v>
      </c>
      <c r="B321" s="9" t="s">
        <v>229</v>
      </c>
      <c r="C321" s="7"/>
      <c r="D321" s="7"/>
      <c r="E321" s="7"/>
      <c r="F321" s="71">
        <v>100</v>
      </c>
      <c r="G321" s="51">
        <f t="shared" ref="G321:G326" si="446">I321+K321</f>
        <v>6</v>
      </c>
      <c r="H321" s="52">
        <f t="shared" ref="H321:H326" si="447">G321/$J$5*100</f>
        <v>15</v>
      </c>
      <c r="I321" s="53">
        <f>COUNTIFS('00 Encuesta'!$B$2:$B$511,"*a)*",'00 Encuesta'!$C$2:$C$511,"*a)*",'00 Encuesta'!$E$2:$E$511,"*a)*",'00 Encuesta'!$AO$2:$AO$511,"*a)*")</f>
        <v>5</v>
      </c>
      <c r="J321" s="52">
        <f t="shared" ref="J321:J326" si="448">I321/$J$6*100</f>
        <v>22.727272727272727</v>
      </c>
      <c r="K321" s="53">
        <f>COUNTIFS('00 Encuesta'!$B$2:$B$511,"*a)*",'00 Encuesta'!$C$2:$C$511,"*a)*",'00 Encuesta'!$E$2:$E$511,"*b)*",'00 Encuesta'!$AO$2:$AO$511,"*a)*")</f>
        <v>1</v>
      </c>
      <c r="L321" s="52">
        <f t="shared" ref="L321:L326" si="449">K321/$J$7*100</f>
        <v>5.5555555555555554</v>
      </c>
      <c r="M321" s="23"/>
      <c r="N321" s="51">
        <f t="shared" ref="N321:N326" si="450">P321+R321</f>
        <v>6</v>
      </c>
      <c r="O321" s="52">
        <f t="shared" ref="O321:O326" si="451">N321/$Q$5*100</f>
        <v>15.789473684210526</v>
      </c>
      <c r="P321" s="53">
        <f>COUNTIFS('00 Encuesta'!$B$2:$B$511,"*a)*",'00 Encuesta'!$C$2:$C$511,"*b)*",'00 Encuesta'!$E$2:$E$511,"*a)*",'00 Encuesta'!$AO$2:$AO$511,"*a)*")</f>
        <v>3</v>
      </c>
      <c r="Q321" s="52">
        <f t="shared" ref="Q321:Q326" si="452">P321/$Q$6*100</f>
        <v>23.076923076923077</v>
      </c>
      <c r="R321" s="53">
        <f>COUNTIFS('00 Encuesta'!$B$2:$B$511,"*a)*",'00 Encuesta'!$C$2:$C$511,"*b)*",'00 Encuesta'!$E$2:$E$511,"*b)*",'00 Encuesta'!$AO$2:$AO$511,"*a)*")</f>
        <v>3</v>
      </c>
      <c r="S321" s="52">
        <f t="shared" ref="S321:S326" si="453">R321/$Q$7*100</f>
        <v>12</v>
      </c>
      <c r="T321" s="3"/>
      <c r="U321" s="51">
        <f t="shared" ref="U321:U326" si="454">W321+Y321</f>
        <v>0</v>
      </c>
      <c r="V321" s="52" t="e">
        <f t="shared" ref="V321:V326" si="455">U321/$X$5*100</f>
        <v>#DIV/0!</v>
      </c>
      <c r="W321" s="53">
        <f>COUNTIFS('00 Encuesta'!$B$2:$B$511,"*a)*",'00 Encuesta'!$C$2:$C$511,"*c)*",'00 Encuesta'!$E$2:$E$511,"*a)*",'00 Encuesta'!$AO$2:$AO$511,"*a)*")</f>
        <v>0</v>
      </c>
      <c r="X321" s="52" t="e">
        <f t="shared" ref="X321:X326" si="456">W321/$X$6*100</f>
        <v>#DIV/0!</v>
      </c>
      <c r="Y321" s="53">
        <f>COUNTIFS('00 Encuesta'!$B$2:$B$511,"*a)*",'00 Encuesta'!$C$2:$C$511,"*c)*",'00 Encuesta'!$E$2:$E$511,"*b)*",'00 Encuesta'!$AO$2:$AO$511,"*a)*")</f>
        <v>0</v>
      </c>
      <c r="Z321" s="52" t="e">
        <f t="shared" ref="Z321:Z326" si="457">Y321/$X$7*100</f>
        <v>#DIV/0!</v>
      </c>
      <c r="AA321" s="3"/>
      <c r="AB321" s="62">
        <f t="shared" ref="AB321:AB326" si="458">G321+N321+U321</f>
        <v>12</v>
      </c>
      <c r="AC321" s="52">
        <f t="shared" ref="AC321:AC326" si="459">AB321*100/$AC$5</f>
        <v>15.384615384615385</v>
      </c>
      <c r="AD321" s="3"/>
      <c r="AE321" s="3"/>
      <c r="AF321" s="9" t="str">
        <f t="shared" ref="AF321:AF326" si="460">A321&amp;" "&amp;B321</f>
        <v>a) Muy buena</v>
      </c>
      <c r="AG321" s="72">
        <f t="shared" ref="AG321:AG326" si="461">J321</f>
        <v>22.727272727272727</v>
      </c>
      <c r="AH321" s="72">
        <f t="shared" ref="AH321:AH326" si="462">L321</f>
        <v>5.5555555555555554</v>
      </c>
      <c r="AI321" s="73">
        <f t="shared" ref="AI321:AI326" si="463">H321</f>
        <v>15</v>
      </c>
      <c r="AJ321" s="73"/>
      <c r="AK321" s="76">
        <f t="shared" ref="AK321:AK326" si="464">Q321</f>
        <v>23.076923076923077</v>
      </c>
      <c r="AL321" s="76">
        <f t="shared" ref="AL321:AL326" si="465">S321</f>
        <v>12</v>
      </c>
      <c r="AM321" s="76">
        <f t="shared" ref="AM321:AM326" si="466">O321</f>
        <v>15.789473684210526</v>
      </c>
      <c r="AN321" s="76"/>
      <c r="AO321" s="81" t="e">
        <f t="shared" ref="AO321:AO326" si="467">X321</f>
        <v>#DIV/0!</v>
      </c>
      <c r="AP321" s="81" t="e">
        <f t="shared" ref="AP321:AP326" si="468">Z321</f>
        <v>#DIV/0!</v>
      </c>
      <c r="AQ321" s="81" t="e">
        <f t="shared" ref="AQ321:AQ326" si="469">V321</f>
        <v>#DIV/0!</v>
      </c>
      <c r="AR321" s="3"/>
      <c r="AS321" s="76">
        <f t="shared" si="369"/>
        <v>15.384615384615385</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ht="15" x14ac:dyDescent="0.25">
      <c r="A322" s="8" t="s">
        <v>18</v>
      </c>
      <c r="B322" s="9" t="s">
        <v>230</v>
      </c>
      <c r="C322" s="7"/>
      <c r="D322" s="7"/>
      <c r="E322" s="7"/>
      <c r="F322" s="71">
        <v>75</v>
      </c>
      <c r="G322" s="51">
        <f t="shared" si="446"/>
        <v>25</v>
      </c>
      <c r="H322" s="52">
        <f t="shared" si="447"/>
        <v>62.5</v>
      </c>
      <c r="I322" s="53">
        <f>COUNTIFS('00 Encuesta'!$B$2:$B$511,"*a)*",'00 Encuesta'!$C$2:$C$511,"*a)*",'00 Encuesta'!$E$2:$E$511,"*a)*",'00 Encuesta'!$AO$2:$AO$511,"*b)*")</f>
        <v>11</v>
      </c>
      <c r="J322" s="52">
        <f t="shared" si="448"/>
        <v>50</v>
      </c>
      <c r="K322" s="53">
        <f>COUNTIFS('00 Encuesta'!$B$2:$B$511,"*a)*",'00 Encuesta'!$C$2:$C$511,"*a)*",'00 Encuesta'!$E$2:$E$511,"*b)*",'00 Encuesta'!$AO$2:$AO$511,"*b)*")</f>
        <v>14</v>
      </c>
      <c r="L322" s="52">
        <f t="shared" si="449"/>
        <v>77.777777777777786</v>
      </c>
      <c r="M322" s="23"/>
      <c r="N322" s="51">
        <f t="shared" si="450"/>
        <v>17</v>
      </c>
      <c r="O322" s="52">
        <f t="shared" si="451"/>
        <v>44.736842105263158</v>
      </c>
      <c r="P322" s="53">
        <f>COUNTIFS('00 Encuesta'!$B$2:$B$511,"*a)*",'00 Encuesta'!$C$2:$C$511,"*b)*",'00 Encuesta'!$E$2:$E$511,"*a)*",'00 Encuesta'!$AO$2:$AO$511,"*b)*")</f>
        <v>5</v>
      </c>
      <c r="Q322" s="52">
        <f t="shared" si="452"/>
        <v>38.461538461538467</v>
      </c>
      <c r="R322" s="53">
        <f>COUNTIFS('00 Encuesta'!$B$2:$B$511,"*a)*",'00 Encuesta'!$C$2:$C$511,"*b)*",'00 Encuesta'!$E$2:$E$511,"*b)*",'00 Encuesta'!$AO$2:$AO$511,"*b)*")</f>
        <v>12</v>
      </c>
      <c r="S322" s="52">
        <f t="shared" si="453"/>
        <v>48</v>
      </c>
      <c r="T322" s="3"/>
      <c r="U322" s="51">
        <f t="shared" si="454"/>
        <v>0</v>
      </c>
      <c r="V322" s="52" t="e">
        <f t="shared" si="455"/>
        <v>#DIV/0!</v>
      </c>
      <c r="W322" s="53">
        <f>COUNTIFS('00 Encuesta'!$B$2:$B$511,"*a)*",'00 Encuesta'!$C$2:$C$511,"*c)*",'00 Encuesta'!$E$2:$E$511,"*a)*",'00 Encuesta'!$AO$2:$AO$511,"*b)*")</f>
        <v>0</v>
      </c>
      <c r="X322" s="52" t="e">
        <f t="shared" si="456"/>
        <v>#DIV/0!</v>
      </c>
      <c r="Y322" s="53">
        <f>COUNTIFS('00 Encuesta'!$B$2:$B$511,"*a)*",'00 Encuesta'!$C$2:$C$511,"*c)*",'00 Encuesta'!$E$2:$E$511,"*b)*",'00 Encuesta'!$AO$2:$AO$511,"*b)*")</f>
        <v>0</v>
      </c>
      <c r="Z322" s="52" t="e">
        <f t="shared" si="457"/>
        <v>#DIV/0!</v>
      </c>
      <c r="AA322" s="3"/>
      <c r="AB322" s="62">
        <f t="shared" si="458"/>
        <v>42</v>
      </c>
      <c r="AC322" s="52">
        <f t="shared" si="459"/>
        <v>53.846153846153847</v>
      </c>
      <c r="AD322" s="3"/>
      <c r="AE322" s="3"/>
      <c r="AF322" s="9" t="str">
        <f t="shared" si="460"/>
        <v>b) Buena</v>
      </c>
      <c r="AG322" s="72">
        <f t="shared" si="461"/>
        <v>50</v>
      </c>
      <c r="AH322" s="72">
        <f t="shared" si="462"/>
        <v>77.777777777777786</v>
      </c>
      <c r="AI322" s="73">
        <f t="shared" si="463"/>
        <v>62.5</v>
      </c>
      <c r="AJ322" s="73"/>
      <c r="AK322" s="76">
        <f t="shared" si="464"/>
        <v>38.461538461538467</v>
      </c>
      <c r="AL322" s="76">
        <f t="shared" si="465"/>
        <v>48</v>
      </c>
      <c r="AM322" s="76">
        <f t="shared" si="466"/>
        <v>44.736842105263158</v>
      </c>
      <c r="AN322" s="76"/>
      <c r="AO322" s="81" t="e">
        <f t="shared" si="467"/>
        <v>#DIV/0!</v>
      </c>
      <c r="AP322" s="81" t="e">
        <f t="shared" si="468"/>
        <v>#DIV/0!</v>
      </c>
      <c r="AQ322" s="81" t="e">
        <f t="shared" si="469"/>
        <v>#DIV/0!</v>
      </c>
      <c r="AR322" s="3"/>
      <c r="AS322" s="76">
        <f t="shared" si="369"/>
        <v>53.846153846153847</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ht="15" x14ac:dyDescent="0.25">
      <c r="A323" s="8" t="s">
        <v>20</v>
      </c>
      <c r="B323" s="9" t="s">
        <v>218</v>
      </c>
      <c r="C323" s="7"/>
      <c r="D323" s="7"/>
      <c r="E323" s="7"/>
      <c r="F323" s="71">
        <v>50</v>
      </c>
      <c r="G323" s="51">
        <f t="shared" si="446"/>
        <v>5</v>
      </c>
      <c r="H323" s="52">
        <f t="shared" si="447"/>
        <v>12.5</v>
      </c>
      <c r="I323" s="53">
        <f>COUNTIFS('00 Encuesta'!$B$2:$B$511,"*a)*",'00 Encuesta'!$C$2:$C$511,"*a)*",'00 Encuesta'!$E$2:$E$511,"*a)*",'00 Encuesta'!$AO$2:$AO$511,"*c)*")</f>
        <v>3</v>
      </c>
      <c r="J323" s="52">
        <f t="shared" si="448"/>
        <v>13.636363636363635</v>
      </c>
      <c r="K323" s="53">
        <f>COUNTIFS('00 Encuesta'!$B$2:$B$511,"*a)*",'00 Encuesta'!$C$2:$C$511,"*a)*",'00 Encuesta'!$E$2:$E$511,"*b)*",'00 Encuesta'!$AO$2:$AO$511,"*c)*")</f>
        <v>2</v>
      </c>
      <c r="L323" s="52">
        <f t="shared" si="449"/>
        <v>11.111111111111111</v>
      </c>
      <c r="M323" s="23"/>
      <c r="N323" s="51">
        <f t="shared" si="450"/>
        <v>11</v>
      </c>
      <c r="O323" s="52">
        <f t="shared" si="451"/>
        <v>28.947368421052634</v>
      </c>
      <c r="P323" s="53">
        <f>COUNTIFS('00 Encuesta'!$B$2:$B$511,"*a)*",'00 Encuesta'!$C$2:$C$511,"*b)*",'00 Encuesta'!$E$2:$E$511,"*a)*",'00 Encuesta'!$AO$2:$AO$511,"*c)*")</f>
        <v>5</v>
      </c>
      <c r="Q323" s="52">
        <f t="shared" si="452"/>
        <v>38.461538461538467</v>
      </c>
      <c r="R323" s="53">
        <f>COUNTIFS('00 Encuesta'!$B$2:$B$511,"*a)*",'00 Encuesta'!$C$2:$C$511,"*b)*",'00 Encuesta'!$E$2:$E$511,"*b)*",'00 Encuesta'!$AO$2:$AO$511,"*c)*")</f>
        <v>6</v>
      </c>
      <c r="S323" s="52">
        <f t="shared" si="453"/>
        <v>24</v>
      </c>
      <c r="T323" s="3"/>
      <c r="U323" s="51">
        <f t="shared" si="454"/>
        <v>0</v>
      </c>
      <c r="V323" s="52" t="e">
        <f t="shared" si="455"/>
        <v>#DIV/0!</v>
      </c>
      <c r="W323" s="53">
        <f>COUNTIFS('00 Encuesta'!$B$2:$B$511,"*a)*",'00 Encuesta'!$C$2:$C$511,"*c)*",'00 Encuesta'!$E$2:$E$511,"*a)*",'00 Encuesta'!$AO$2:$AO$511,"*c)*")</f>
        <v>0</v>
      </c>
      <c r="X323" s="52" t="e">
        <f t="shared" si="456"/>
        <v>#DIV/0!</v>
      </c>
      <c r="Y323" s="53">
        <f>COUNTIFS('00 Encuesta'!$B$2:$B$511,"*a)*",'00 Encuesta'!$C$2:$C$511,"*c)*",'00 Encuesta'!$E$2:$E$511,"*b)*",'00 Encuesta'!$AO$2:$AO$511,"*c)*")</f>
        <v>0</v>
      </c>
      <c r="Z323" s="52" t="e">
        <f t="shared" si="457"/>
        <v>#DIV/0!</v>
      </c>
      <c r="AA323" s="3"/>
      <c r="AB323" s="62">
        <f t="shared" si="458"/>
        <v>16</v>
      </c>
      <c r="AC323" s="52">
        <f t="shared" si="459"/>
        <v>20.512820512820515</v>
      </c>
      <c r="AD323" s="3"/>
      <c r="AE323" s="3"/>
      <c r="AF323" s="9" t="str">
        <f t="shared" si="460"/>
        <v>c) Regular</v>
      </c>
      <c r="AG323" s="72">
        <f t="shared" si="461"/>
        <v>13.636363636363635</v>
      </c>
      <c r="AH323" s="72">
        <f t="shared" si="462"/>
        <v>11.111111111111111</v>
      </c>
      <c r="AI323" s="73">
        <f t="shared" si="463"/>
        <v>12.5</v>
      </c>
      <c r="AJ323" s="73"/>
      <c r="AK323" s="76">
        <f t="shared" si="464"/>
        <v>38.461538461538467</v>
      </c>
      <c r="AL323" s="76">
        <f t="shared" si="465"/>
        <v>24</v>
      </c>
      <c r="AM323" s="76">
        <f t="shared" si="466"/>
        <v>28.947368421052634</v>
      </c>
      <c r="AN323" s="76"/>
      <c r="AO323" s="81" t="e">
        <f t="shared" si="467"/>
        <v>#DIV/0!</v>
      </c>
      <c r="AP323" s="81" t="e">
        <f t="shared" si="468"/>
        <v>#DIV/0!</v>
      </c>
      <c r="AQ323" s="81" t="e">
        <f t="shared" si="469"/>
        <v>#DIV/0!</v>
      </c>
      <c r="AR323" s="3"/>
      <c r="AS323" s="76">
        <f t="shared" si="369"/>
        <v>20.512820512820515</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ht="15" x14ac:dyDescent="0.25">
      <c r="A324" s="8" t="s">
        <v>21</v>
      </c>
      <c r="B324" s="9" t="s">
        <v>231</v>
      </c>
      <c r="C324" s="7"/>
      <c r="D324" s="7"/>
      <c r="E324" s="7"/>
      <c r="F324" s="71">
        <v>25</v>
      </c>
      <c r="G324" s="51">
        <f t="shared" si="446"/>
        <v>2</v>
      </c>
      <c r="H324" s="52">
        <f t="shared" si="447"/>
        <v>5</v>
      </c>
      <c r="I324" s="53">
        <f>COUNTIFS('00 Encuesta'!$B$2:$B$511,"*a)*",'00 Encuesta'!$C$2:$C$511,"*a)*",'00 Encuesta'!$E$2:$E$511,"*a)*",'00 Encuesta'!$AO$2:$AO$511,"*d)*")</f>
        <v>1</v>
      </c>
      <c r="J324" s="52">
        <f t="shared" si="448"/>
        <v>4.5454545454545459</v>
      </c>
      <c r="K324" s="53">
        <f>COUNTIFS('00 Encuesta'!$B$2:$B$511,"*a)*",'00 Encuesta'!$C$2:$C$511,"*a)*",'00 Encuesta'!$E$2:$E$511,"*b)*",'00 Encuesta'!$AO$2:$AO$511,"*d)*")</f>
        <v>1</v>
      </c>
      <c r="L324" s="52">
        <f t="shared" si="449"/>
        <v>5.5555555555555554</v>
      </c>
      <c r="M324" s="23"/>
      <c r="N324" s="51">
        <f t="shared" si="450"/>
        <v>1</v>
      </c>
      <c r="O324" s="52">
        <f t="shared" si="451"/>
        <v>2.6315789473684208</v>
      </c>
      <c r="P324" s="53">
        <f>COUNTIFS('00 Encuesta'!$B$2:$B$511,"*a)*",'00 Encuesta'!$C$2:$C$511,"*b)*",'00 Encuesta'!$E$2:$E$511,"*a)*",'00 Encuesta'!$AO$2:$AO$511,"*d)*")</f>
        <v>0</v>
      </c>
      <c r="Q324" s="52">
        <f t="shared" si="452"/>
        <v>0</v>
      </c>
      <c r="R324" s="53">
        <f>COUNTIFS('00 Encuesta'!$B$2:$B$511,"*a)*",'00 Encuesta'!$C$2:$C$511,"*b)*",'00 Encuesta'!$E$2:$E$511,"*b)*",'00 Encuesta'!$AO$2:$AO$511,"*d)*")</f>
        <v>1</v>
      </c>
      <c r="S324" s="52">
        <f t="shared" si="453"/>
        <v>4</v>
      </c>
      <c r="T324" s="3"/>
      <c r="U324" s="51">
        <f t="shared" si="454"/>
        <v>0</v>
      </c>
      <c r="V324" s="52" t="e">
        <f t="shared" si="455"/>
        <v>#DIV/0!</v>
      </c>
      <c r="W324" s="53">
        <f>COUNTIFS('00 Encuesta'!$B$2:$B$511,"*a)*",'00 Encuesta'!$C$2:$C$511,"*c)*",'00 Encuesta'!$E$2:$E$511,"*a)*",'00 Encuesta'!$AO$2:$AO$511,"*d)*")</f>
        <v>0</v>
      </c>
      <c r="X324" s="52" t="e">
        <f t="shared" si="456"/>
        <v>#DIV/0!</v>
      </c>
      <c r="Y324" s="53">
        <f>COUNTIFS('00 Encuesta'!$B$2:$B$511,"*a)*",'00 Encuesta'!$C$2:$C$511,"*c)*",'00 Encuesta'!$E$2:$E$511,"*b)*",'00 Encuesta'!$AO$2:$AO$511,"*d)*")</f>
        <v>0</v>
      </c>
      <c r="Z324" s="52" t="e">
        <f t="shared" si="457"/>
        <v>#DIV/0!</v>
      </c>
      <c r="AA324" s="3"/>
      <c r="AB324" s="62">
        <f t="shared" si="458"/>
        <v>3</v>
      </c>
      <c r="AC324" s="52">
        <f t="shared" si="459"/>
        <v>3.8461538461538463</v>
      </c>
      <c r="AD324" s="3"/>
      <c r="AE324" s="3"/>
      <c r="AF324" s="9" t="str">
        <f t="shared" si="460"/>
        <v>d) Mala</v>
      </c>
      <c r="AG324" s="72">
        <f t="shared" si="461"/>
        <v>4.5454545454545459</v>
      </c>
      <c r="AH324" s="72">
        <f t="shared" si="462"/>
        <v>5.5555555555555554</v>
      </c>
      <c r="AI324" s="73">
        <f t="shared" si="463"/>
        <v>5</v>
      </c>
      <c r="AJ324" s="73"/>
      <c r="AK324" s="76">
        <f t="shared" si="464"/>
        <v>0</v>
      </c>
      <c r="AL324" s="76">
        <f t="shared" si="465"/>
        <v>4</v>
      </c>
      <c r="AM324" s="76">
        <f t="shared" si="466"/>
        <v>2.6315789473684208</v>
      </c>
      <c r="AN324" s="76"/>
      <c r="AO324" s="81" t="e">
        <f t="shared" si="467"/>
        <v>#DIV/0!</v>
      </c>
      <c r="AP324" s="81" t="e">
        <f t="shared" si="468"/>
        <v>#DIV/0!</v>
      </c>
      <c r="AQ324" s="81" t="e">
        <f t="shared" si="469"/>
        <v>#DIV/0!</v>
      </c>
      <c r="AR324" s="3"/>
      <c r="AS324" s="76">
        <f t="shared" si="369"/>
        <v>3.8461538461538463</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ht="15" x14ac:dyDescent="0.25">
      <c r="A325" s="8" t="s">
        <v>22</v>
      </c>
      <c r="B325" s="9" t="s">
        <v>232</v>
      </c>
      <c r="C325" s="7"/>
      <c r="D325" s="7"/>
      <c r="E325" s="7"/>
      <c r="F325" s="71">
        <v>0</v>
      </c>
      <c r="G325" s="51">
        <f t="shared" si="446"/>
        <v>0</v>
      </c>
      <c r="H325" s="52">
        <f t="shared" si="447"/>
        <v>0</v>
      </c>
      <c r="I325" s="53">
        <f>COUNTIFS('00 Encuesta'!$B$2:$B$511,"*a)*",'00 Encuesta'!$C$2:$C$511,"*a)*",'00 Encuesta'!$E$2:$E$511,"*a)*",'00 Encuesta'!$AO$2:$AO$511,"*e)*")</f>
        <v>0</v>
      </c>
      <c r="J325" s="52">
        <f t="shared" si="448"/>
        <v>0</v>
      </c>
      <c r="K325" s="53">
        <f>COUNTIFS('00 Encuesta'!$B$2:$B$511,"*a)*",'00 Encuesta'!$C$2:$C$511,"*a)*",'00 Encuesta'!$E$2:$E$511,"*b)*",'00 Encuesta'!$AO$2:$AO$511,"*e)*")</f>
        <v>0</v>
      </c>
      <c r="L325" s="52">
        <f t="shared" si="449"/>
        <v>0</v>
      </c>
      <c r="M325" s="23"/>
      <c r="N325" s="51">
        <f t="shared" si="450"/>
        <v>0</v>
      </c>
      <c r="O325" s="52">
        <f t="shared" si="451"/>
        <v>0</v>
      </c>
      <c r="P325" s="53">
        <f>COUNTIFS('00 Encuesta'!$B$2:$B$511,"*a)*",'00 Encuesta'!$C$2:$C$511,"*b)*",'00 Encuesta'!$E$2:$E$511,"*a)*",'00 Encuesta'!$AO$2:$AO$511,"*e)*")</f>
        <v>0</v>
      </c>
      <c r="Q325" s="52">
        <f t="shared" si="452"/>
        <v>0</v>
      </c>
      <c r="R325" s="53">
        <f>COUNTIFS('00 Encuesta'!$B$2:$B$511,"*a)*",'00 Encuesta'!$C$2:$C$511,"*b)*",'00 Encuesta'!$E$2:$E$511,"*b)*",'00 Encuesta'!$AO$2:$AO$511,"*e)*")</f>
        <v>0</v>
      </c>
      <c r="S325" s="52">
        <f t="shared" si="453"/>
        <v>0</v>
      </c>
      <c r="T325" s="3"/>
      <c r="U325" s="51">
        <f t="shared" si="454"/>
        <v>0</v>
      </c>
      <c r="V325" s="52" t="e">
        <f t="shared" si="455"/>
        <v>#DIV/0!</v>
      </c>
      <c r="W325" s="53">
        <f>COUNTIFS('00 Encuesta'!$B$2:$B$511,"*a)*",'00 Encuesta'!$C$2:$C$511,"*c)*",'00 Encuesta'!$E$2:$E$511,"*a)*",'00 Encuesta'!$AO$2:$AO$511,"*e)*")</f>
        <v>0</v>
      </c>
      <c r="X325" s="52" t="e">
        <f t="shared" si="456"/>
        <v>#DIV/0!</v>
      </c>
      <c r="Y325" s="53">
        <f>COUNTIFS('00 Encuesta'!$B$2:$B$511,"*a)*",'00 Encuesta'!$C$2:$C$511,"*c)*",'00 Encuesta'!$E$2:$E$511,"*b)*",'00 Encuesta'!$AO$2:$AO$511,"*e)*")</f>
        <v>0</v>
      </c>
      <c r="Z325" s="52" t="e">
        <f t="shared" si="457"/>
        <v>#DIV/0!</v>
      </c>
      <c r="AA325" s="3"/>
      <c r="AB325" s="62">
        <f t="shared" si="458"/>
        <v>0</v>
      </c>
      <c r="AC325" s="52">
        <f t="shared" si="459"/>
        <v>0</v>
      </c>
      <c r="AD325" s="3"/>
      <c r="AE325" s="3"/>
      <c r="AF325" s="9" t="str">
        <f t="shared" si="460"/>
        <v>e) Muy mala</v>
      </c>
      <c r="AG325" s="72">
        <f t="shared" si="461"/>
        <v>0</v>
      </c>
      <c r="AH325" s="72">
        <f t="shared" si="462"/>
        <v>0</v>
      </c>
      <c r="AI325" s="73">
        <f t="shared" si="463"/>
        <v>0</v>
      </c>
      <c r="AJ325" s="73"/>
      <c r="AK325" s="76">
        <f t="shared" si="464"/>
        <v>0</v>
      </c>
      <c r="AL325" s="76">
        <f t="shared" si="465"/>
        <v>0</v>
      </c>
      <c r="AM325" s="76">
        <f t="shared" si="466"/>
        <v>0</v>
      </c>
      <c r="AN325" s="76"/>
      <c r="AO325" s="81" t="e">
        <f t="shared" si="467"/>
        <v>#DIV/0!</v>
      </c>
      <c r="AP325" s="81" t="e">
        <f t="shared" si="468"/>
        <v>#DIV/0!</v>
      </c>
      <c r="AQ325" s="81" t="e">
        <f t="shared" si="469"/>
        <v>#DIV/0!</v>
      </c>
      <c r="AR325" s="3"/>
      <c r="AS325" s="76">
        <f t="shared" si="369"/>
        <v>0</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ht="15" x14ac:dyDescent="0.25">
      <c r="A326" s="8" t="s">
        <v>45</v>
      </c>
      <c r="B326" s="9" t="s">
        <v>233</v>
      </c>
      <c r="C326" s="7"/>
      <c r="D326" s="7"/>
      <c r="E326" s="7"/>
      <c r="F326" s="71"/>
      <c r="G326" s="51">
        <f t="shared" si="446"/>
        <v>0</v>
      </c>
      <c r="H326" s="52">
        <f t="shared" si="447"/>
        <v>0</v>
      </c>
      <c r="I326" s="53">
        <f>COUNTIFS('00 Encuesta'!$B$2:$B$511,"*a)*",'00 Encuesta'!$C$2:$C$511,"*a)*",'00 Encuesta'!$E$2:$E$511,"*a)*",'00 Encuesta'!$AO$2:$AO$511,"*f)*")</f>
        <v>0</v>
      </c>
      <c r="J326" s="52">
        <f t="shared" si="448"/>
        <v>0</v>
      </c>
      <c r="K326" s="53">
        <f>COUNTIFS('00 Encuesta'!$B$2:$B$511,"*a)*",'00 Encuesta'!$C$2:$C$511,"*a)*",'00 Encuesta'!$E$2:$E$511,"*b)*",'00 Encuesta'!$AO$2:$AO$511,"*f)*")</f>
        <v>0</v>
      </c>
      <c r="L326" s="52">
        <f t="shared" si="449"/>
        <v>0</v>
      </c>
      <c r="M326" s="23"/>
      <c r="N326" s="51">
        <f t="shared" si="450"/>
        <v>0</v>
      </c>
      <c r="O326" s="52">
        <f t="shared" si="451"/>
        <v>0</v>
      </c>
      <c r="P326" s="53">
        <f>COUNTIFS('00 Encuesta'!$B$2:$B$511,"*a)*",'00 Encuesta'!$C$2:$C$511,"*b)*",'00 Encuesta'!$E$2:$E$511,"*a)*",'00 Encuesta'!$AO$2:$AO$511,"*f)*")</f>
        <v>0</v>
      </c>
      <c r="Q326" s="52">
        <f t="shared" si="452"/>
        <v>0</v>
      </c>
      <c r="R326" s="53">
        <f>COUNTIFS('00 Encuesta'!$B$2:$B$511,"*a)*",'00 Encuesta'!$C$2:$C$511,"*b)*",'00 Encuesta'!$E$2:$E$511,"*b)*",'00 Encuesta'!$AO$2:$AO$511,"*f)*")</f>
        <v>0</v>
      </c>
      <c r="S326" s="52">
        <f t="shared" si="453"/>
        <v>0</v>
      </c>
      <c r="T326" s="3"/>
      <c r="U326" s="51">
        <f t="shared" si="454"/>
        <v>0</v>
      </c>
      <c r="V326" s="52" t="e">
        <f t="shared" si="455"/>
        <v>#DIV/0!</v>
      </c>
      <c r="W326" s="53">
        <f>COUNTIFS('00 Encuesta'!$B$2:$B$511,"*a)*",'00 Encuesta'!$C$2:$C$511,"*c)*",'00 Encuesta'!$E$2:$E$511,"*a)*",'00 Encuesta'!$AO$2:$AO$511,"*f)*")</f>
        <v>0</v>
      </c>
      <c r="X326" s="52" t="e">
        <f t="shared" si="456"/>
        <v>#DIV/0!</v>
      </c>
      <c r="Y326" s="53">
        <f>COUNTIFS('00 Encuesta'!$B$2:$B$511,"*a)*",'00 Encuesta'!$C$2:$C$511,"*c)*",'00 Encuesta'!$E$2:$E$511,"*b)*",'00 Encuesta'!$AO$2:$AO$511,"*f)*")</f>
        <v>0</v>
      </c>
      <c r="Z326" s="52" t="e">
        <f t="shared" si="457"/>
        <v>#DIV/0!</v>
      </c>
      <c r="AA326" s="3"/>
      <c r="AB326" s="62">
        <f t="shared" si="458"/>
        <v>0</v>
      </c>
      <c r="AC326" s="52">
        <f t="shared" si="459"/>
        <v>0</v>
      </c>
      <c r="AD326" s="3"/>
      <c r="AE326" s="3"/>
      <c r="AF326" s="9" t="str">
        <f t="shared" si="460"/>
        <v>f) No aplica</v>
      </c>
      <c r="AG326" s="72">
        <f t="shared" si="461"/>
        <v>0</v>
      </c>
      <c r="AH326" s="72">
        <f t="shared" si="462"/>
        <v>0</v>
      </c>
      <c r="AI326" s="73">
        <f t="shared" si="463"/>
        <v>0</v>
      </c>
      <c r="AJ326" s="73"/>
      <c r="AK326" s="76">
        <f t="shared" si="464"/>
        <v>0</v>
      </c>
      <c r="AL326" s="76">
        <f t="shared" si="465"/>
        <v>0</v>
      </c>
      <c r="AM326" s="76">
        <f t="shared" si="466"/>
        <v>0</v>
      </c>
      <c r="AN326" s="76"/>
      <c r="AO326" s="81" t="e">
        <f t="shared" si="467"/>
        <v>#DIV/0!</v>
      </c>
      <c r="AP326" s="81" t="e">
        <f t="shared" si="468"/>
        <v>#DIV/0!</v>
      </c>
      <c r="AQ326" s="81" t="e">
        <f t="shared" si="469"/>
        <v>#DIV/0!</v>
      </c>
      <c r="AR326" s="3"/>
      <c r="AS326" s="76">
        <f t="shared" si="369"/>
        <v>0</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ht="15" x14ac:dyDescent="0.25">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75</v>
      </c>
      <c r="AH327" s="82">
        <f>($F321*K321+$F322*K322+$F323*K323+$F324*K324+$F325*K325)/(K321+K322+K323+K324+K325)</f>
        <v>70.833333333333329</v>
      </c>
      <c r="AI327" s="82">
        <f>($F321*G321+$F322*G322+$F323*G323+$F324*G324+$F325*G325)/(G321+G322+G323+G324+G325)</f>
        <v>73.026315789473685</v>
      </c>
      <c r="AJ327" s="82"/>
      <c r="AK327" s="82">
        <f>($F321*Q321+$F322*Q322+$F323*Q323+$F324*Q324+$F325*Q325)/(Q321+Q322+Q323+Q324+Q325)</f>
        <v>71.15384615384616</v>
      </c>
      <c r="AL327" s="82">
        <f>($F321*S321+$F322*S322+$F323*S323+$F324*S324+$F325*S325)/(S321+S322+S323+S324+S325)</f>
        <v>69.318181818181813</v>
      </c>
      <c r="AM327" s="82">
        <f>($F321*O321+$F322*O322+$F323*O323+$F324*O324+$F325*O325)/(O321+O322+O323+O324+O325)</f>
        <v>70</v>
      </c>
      <c r="AN327" s="82"/>
      <c r="AO327" s="82" t="e">
        <f>($F321*W321+$F322*W322+$F323*W323+$F324*W324+$F325*W325)/(W321+W322+W323+W324+W325)</f>
        <v>#DIV/0!</v>
      </c>
      <c r="AP327" s="82" t="e">
        <f>($F321*Y321+$F322*Y322+$F323*Y323+$F324*Y324+$F325*Y325)/(Y321+Y322+Y323+Y324+Y325)</f>
        <v>#DIV/0!</v>
      </c>
      <c r="AQ327" s="82" t="e">
        <f>($F321*U321+$F322*U322+$F323*U323+$F324*U324+$F325*U325)/(U321+U322+U323+U324+U325)</f>
        <v>#DIV/0!</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ht="15" x14ac:dyDescent="0.25">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ht="15" x14ac:dyDescent="0.25">
      <c r="A329" s="8" t="s">
        <v>17</v>
      </c>
      <c r="B329" s="9" t="s">
        <v>229</v>
      </c>
      <c r="C329" s="7"/>
      <c r="D329" s="7"/>
      <c r="E329" s="7"/>
      <c r="F329" s="71">
        <v>100</v>
      </c>
      <c r="G329" s="51">
        <f t="shared" ref="G329:G334" si="470">I329+K329</f>
        <v>13</v>
      </c>
      <c r="H329" s="52">
        <f t="shared" ref="H329:H334" si="471">G329/$J$5*100</f>
        <v>32.5</v>
      </c>
      <c r="I329" s="53">
        <f>COUNTIFS('00 Encuesta'!$B$2:$B$511,"*a)*",'00 Encuesta'!$C$2:$C$511,"*a)*",'00 Encuesta'!$E$2:$E$511,"*a)*",'00 Encuesta'!$AP$2:$AP$511,"*a)*")</f>
        <v>9</v>
      </c>
      <c r="J329" s="52">
        <f t="shared" ref="J329:J334" si="472">I329/$J$6*100</f>
        <v>40.909090909090914</v>
      </c>
      <c r="K329" s="53">
        <f>COUNTIFS('00 Encuesta'!$B$2:$B$511,"*a)*",'00 Encuesta'!$C$2:$C$511,"*a)*",'00 Encuesta'!$E$2:$E$511,"*b)*",'00 Encuesta'!$AP$2:$AP$511,"*a)*")</f>
        <v>4</v>
      </c>
      <c r="L329" s="52">
        <f t="shared" ref="L329:L334" si="473">K329/$J$7*100</f>
        <v>22.222222222222221</v>
      </c>
      <c r="M329" s="23"/>
      <c r="N329" s="51">
        <f t="shared" ref="N329:N334" si="474">P329+R329</f>
        <v>9</v>
      </c>
      <c r="O329" s="52">
        <f t="shared" ref="O329:O334" si="475">N329/$Q$5*100</f>
        <v>23.684210526315788</v>
      </c>
      <c r="P329" s="53">
        <f>COUNTIFS('00 Encuesta'!$B$2:$B$511,"*a)*",'00 Encuesta'!$C$2:$C$511,"*b)*",'00 Encuesta'!$E$2:$E$511,"*a)*",'00 Encuesta'!$AP$2:$AP$511,"*a)*")</f>
        <v>3</v>
      </c>
      <c r="Q329" s="52">
        <f t="shared" ref="Q329:Q334" si="476">P329/$Q$6*100</f>
        <v>23.076923076923077</v>
      </c>
      <c r="R329" s="53">
        <f>COUNTIFS('00 Encuesta'!$B$2:$B$511,"*a)*",'00 Encuesta'!$C$2:$C$511,"*b)*",'00 Encuesta'!$E$2:$E$511,"*b)*",'00 Encuesta'!$AP$2:$AP$511,"*a)*")</f>
        <v>6</v>
      </c>
      <c r="S329" s="52">
        <f t="shared" ref="S329:S334" si="477">R329/$Q$7*100</f>
        <v>24</v>
      </c>
      <c r="T329" s="3"/>
      <c r="U329" s="51">
        <f t="shared" ref="U329:U334" si="478">W329+Y329</f>
        <v>0</v>
      </c>
      <c r="V329" s="52" t="e">
        <f t="shared" ref="V329:V334" si="479">U329/$X$5*100</f>
        <v>#DIV/0!</v>
      </c>
      <c r="W329" s="53">
        <f>COUNTIFS('00 Encuesta'!$B$2:$B$511,"*a)*",'00 Encuesta'!$C$2:$C$511,"*c)*",'00 Encuesta'!$E$2:$E$511,"*a)*",'00 Encuesta'!$AP$2:$AP$511,"*a)*")</f>
        <v>0</v>
      </c>
      <c r="X329" s="52" t="e">
        <f t="shared" ref="X329:X334" si="480">W329/$X$6*100</f>
        <v>#DIV/0!</v>
      </c>
      <c r="Y329" s="53">
        <f>COUNTIFS('00 Encuesta'!$B$2:$B$511,"*a)*",'00 Encuesta'!$C$2:$C$511,"*c)*",'00 Encuesta'!$E$2:$E$511,"*b)*",'00 Encuesta'!$AP$2:$AP$511,"*a)*")</f>
        <v>0</v>
      </c>
      <c r="Z329" s="52" t="e">
        <f t="shared" ref="Z329:Z334" si="481">Y329/$X$7*100</f>
        <v>#DIV/0!</v>
      </c>
      <c r="AA329" s="3"/>
      <c r="AB329" s="62">
        <f t="shared" ref="AB329:AB334" si="482">G329+N329+U329</f>
        <v>22</v>
      </c>
      <c r="AC329" s="52">
        <f t="shared" ref="AC329:AC334" si="483">AB329*100/$AC$5</f>
        <v>28.205128205128204</v>
      </c>
      <c r="AD329" s="3"/>
      <c r="AE329" s="3"/>
      <c r="AF329" s="9" t="str">
        <f t="shared" ref="AF329:AF334" si="484">A329&amp;" "&amp;B329</f>
        <v>a) Muy buena</v>
      </c>
      <c r="AG329" s="72">
        <f t="shared" ref="AG329:AG334" si="485">J329</f>
        <v>40.909090909090914</v>
      </c>
      <c r="AH329" s="72">
        <f t="shared" ref="AH329:AH334" si="486">L329</f>
        <v>22.222222222222221</v>
      </c>
      <c r="AI329" s="73">
        <f t="shared" ref="AI329:AI334" si="487">H329</f>
        <v>32.5</v>
      </c>
      <c r="AJ329" s="73"/>
      <c r="AK329" s="76">
        <f t="shared" ref="AK329:AK334" si="488">Q329</f>
        <v>23.076923076923077</v>
      </c>
      <c r="AL329" s="76">
        <f t="shared" ref="AL329:AL334" si="489">S329</f>
        <v>24</v>
      </c>
      <c r="AM329" s="76">
        <f t="shared" ref="AM329:AM334" si="490">O329</f>
        <v>23.684210526315788</v>
      </c>
      <c r="AN329" s="76"/>
      <c r="AO329" s="81" t="e">
        <f t="shared" ref="AO329:AO334" si="491">X329</f>
        <v>#DIV/0!</v>
      </c>
      <c r="AP329" s="81" t="e">
        <f t="shared" ref="AP329:AP334" si="492">Z329</f>
        <v>#DIV/0!</v>
      </c>
      <c r="AQ329" s="81" t="e">
        <f t="shared" ref="AQ329:AQ334" si="493">V329</f>
        <v>#DIV/0!</v>
      </c>
      <c r="AR329" s="3"/>
      <c r="AS329" s="76">
        <f t="shared" si="369"/>
        <v>28.205128205128204</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ht="15" x14ac:dyDescent="0.25">
      <c r="A330" s="8" t="s">
        <v>18</v>
      </c>
      <c r="B330" s="9" t="s">
        <v>230</v>
      </c>
      <c r="C330" s="7"/>
      <c r="D330" s="7"/>
      <c r="E330" s="7"/>
      <c r="F330" s="71">
        <v>75</v>
      </c>
      <c r="G330" s="51">
        <f t="shared" si="470"/>
        <v>18</v>
      </c>
      <c r="H330" s="52">
        <f t="shared" si="471"/>
        <v>45</v>
      </c>
      <c r="I330" s="53">
        <f>COUNTIFS('00 Encuesta'!$B$2:$B$511,"*a)*",'00 Encuesta'!$C$2:$C$511,"*a)*",'00 Encuesta'!$E$2:$E$511,"*a)*",'00 Encuesta'!$AP$2:$AP$511,"*b)*")</f>
        <v>10</v>
      </c>
      <c r="J330" s="52">
        <f t="shared" si="472"/>
        <v>45.454545454545453</v>
      </c>
      <c r="K330" s="53">
        <f>COUNTIFS('00 Encuesta'!$B$2:$B$511,"*a)*",'00 Encuesta'!$C$2:$C$511,"*a)*",'00 Encuesta'!$E$2:$E$511,"*b)*",'00 Encuesta'!$AP$2:$AP$511,"*b)*")</f>
        <v>8</v>
      </c>
      <c r="L330" s="52">
        <f t="shared" si="473"/>
        <v>44.444444444444443</v>
      </c>
      <c r="M330" s="23"/>
      <c r="N330" s="51">
        <f t="shared" si="474"/>
        <v>14</v>
      </c>
      <c r="O330" s="52">
        <f t="shared" si="475"/>
        <v>36.84210526315789</v>
      </c>
      <c r="P330" s="53">
        <f>COUNTIFS('00 Encuesta'!$B$2:$B$511,"*a)*",'00 Encuesta'!$C$2:$C$511,"*b)*",'00 Encuesta'!$E$2:$E$511,"*a)*",'00 Encuesta'!$AP$2:$AP$511,"*b)*")</f>
        <v>5</v>
      </c>
      <c r="Q330" s="52">
        <f t="shared" si="476"/>
        <v>38.461538461538467</v>
      </c>
      <c r="R330" s="53">
        <f>COUNTIFS('00 Encuesta'!$B$2:$B$511,"*a)*",'00 Encuesta'!$C$2:$C$511,"*b)*",'00 Encuesta'!$E$2:$E$511,"*b)*",'00 Encuesta'!$AP$2:$AP$511,"*b)*")</f>
        <v>9</v>
      </c>
      <c r="S330" s="52">
        <f t="shared" si="477"/>
        <v>36</v>
      </c>
      <c r="T330" s="3"/>
      <c r="U330" s="51">
        <f t="shared" si="478"/>
        <v>0</v>
      </c>
      <c r="V330" s="52" t="e">
        <f t="shared" si="479"/>
        <v>#DIV/0!</v>
      </c>
      <c r="W330" s="53">
        <f>COUNTIFS('00 Encuesta'!$B$2:$B$511,"*a)*",'00 Encuesta'!$C$2:$C$511,"*c)*",'00 Encuesta'!$E$2:$E$511,"*a)*",'00 Encuesta'!$AP$2:$AP$511,"*b)*")</f>
        <v>0</v>
      </c>
      <c r="X330" s="52" t="e">
        <f t="shared" si="480"/>
        <v>#DIV/0!</v>
      </c>
      <c r="Y330" s="53">
        <f>COUNTIFS('00 Encuesta'!$B$2:$B$511,"*a)*",'00 Encuesta'!$C$2:$C$511,"*c)*",'00 Encuesta'!$E$2:$E$511,"*b)*",'00 Encuesta'!$AP$2:$AP$511,"*b)*")</f>
        <v>0</v>
      </c>
      <c r="Z330" s="52" t="e">
        <f t="shared" si="481"/>
        <v>#DIV/0!</v>
      </c>
      <c r="AA330" s="3"/>
      <c r="AB330" s="62">
        <f t="shared" si="482"/>
        <v>32</v>
      </c>
      <c r="AC330" s="52">
        <f t="shared" si="483"/>
        <v>41.025641025641029</v>
      </c>
      <c r="AD330" s="3"/>
      <c r="AE330" s="3"/>
      <c r="AF330" s="9" t="str">
        <f t="shared" si="484"/>
        <v>b) Buena</v>
      </c>
      <c r="AG330" s="72">
        <f t="shared" si="485"/>
        <v>45.454545454545453</v>
      </c>
      <c r="AH330" s="72">
        <f t="shared" si="486"/>
        <v>44.444444444444443</v>
      </c>
      <c r="AI330" s="73">
        <f t="shared" si="487"/>
        <v>45</v>
      </c>
      <c r="AJ330" s="73"/>
      <c r="AK330" s="76">
        <f t="shared" si="488"/>
        <v>38.461538461538467</v>
      </c>
      <c r="AL330" s="76">
        <f t="shared" si="489"/>
        <v>36</v>
      </c>
      <c r="AM330" s="76">
        <f t="shared" si="490"/>
        <v>36.84210526315789</v>
      </c>
      <c r="AN330" s="76"/>
      <c r="AO330" s="81" t="e">
        <f t="shared" si="491"/>
        <v>#DIV/0!</v>
      </c>
      <c r="AP330" s="81" t="e">
        <f t="shared" si="492"/>
        <v>#DIV/0!</v>
      </c>
      <c r="AQ330" s="81" t="e">
        <f t="shared" si="493"/>
        <v>#DIV/0!</v>
      </c>
      <c r="AR330" s="3"/>
      <c r="AS330" s="76">
        <f t="shared" si="369"/>
        <v>41.025641025641029</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ht="15" x14ac:dyDescent="0.25">
      <c r="A331" s="8" t="s">
        <v>20</v>
      </c>
      <c r="B331" s="9" t="s">
        <v>218</v>
      </c>
      <c r="C331" s="7"/>
      <c r="D331" s="7"/>
      <c r="E331" s="7"/>
      <c r="F331" s="71">
        <v>50</v>
      </c>
      <c r="G331" s="51">
        <f t="shared" si="470"/>
        <v>6</v>
      </c>
      <c r="H331" s="52">
        <f t="shared" si="471"/>
        <v>15</v>
      </c>
      <c r="I331" s="53">
        <f>COUNTIFS('00 Encuesta'!$B$2:$B$511,"*a)*",'00 Encuesta'!$C$2:$C$511,"*a)*",'00 Encuesta'!$E$2:$E$511,"*a)*",'00 Encuesta'!$AP$2:$AP$511,"*c)*")</f>
        <v>0</v>
      </c>
      <c r="J331" s="52">
        <f t="shared" si="472"/>
        <v>0</v>
      </c>
      <c r="K331" s="53">
        <f>COUNTIFS('00 Encuesta'!$B$2:$B$511,"*a)*",'00 Encuesta'!$C$2:$C$511,"*a)*",'00 Encuesta'!$E$2:$E$511,"*b)*",'00 Encuesta'!$AP$2:$AP$511,"*c)*")</f>
        <v>6</v>
      </c>
      <c r="L331" s="52">
        <f t="shared" si="473"/>
        <v>33.333333333333329</v>
      </c>
      <c r="M331" s="23"/>
      <c r="N331" s="51">
        <f t="shared" si="474"/>
        <v>12</v>
      </c>
      <c r="O331" s="52">
        <f t="shared" si="475"/>
        <v>31.578947368421051</v>
      </c>
      <c r="P331" s="53">
        <f>COUNTIFS('00 Encuesta'!$B$2:$B$511,"*a)*",'00 Encuesta'!$C$2:$C$511,"*b)*",'00 Encuesta'!$E$2:$E$511,"*a)*",'00 Encuesta'!$AP$2:$AP$511,"*c)*")</f>
        <v>4</v>
      </c>
      <c r="Q331" s="52">
        <f t="shared" si="476"/>
        <v>30.76923076923077</v>
      </c>
      <c r="R331" s="53">
        <f>COUNTIFS('00 Encuesta'!$B$2:$B$511,"*a)*",'00 Encuesta'!$C$2:$C$511,"*b)*",'00 Encuesta'!$E$2:$E$511,"*b)*",'00 Encuesta'!$AP$2:$AP$511,"*c)*")</f>
        <v>8</v>
      </c>
      <c r="S331" s="52">
        <f t="shared" si="477"/>
        <v>32</v>
      </c>
      <c r="T331" s="3"/>
      <c r="U331" s="51">
        <f t="shared" si="478"/>
        <v>0</v>
      </c>
      <c r="V331" s="52" t="e">
        <f t="shared" si="479"/>
        <v>#DIV/0!</v>
      </c>
      <c r="W331" s="53">
        <f>COUNTIFS('00 Encuesta'!$B$2:$B$511,"*a)*",'00 Encuesta'!$C$2:$C$511,"*c)*",'00 Encuesta'!$E$2:$E$511,"*a)*",'00 Encuesta'!$AP$2:$AP$511,"*c)*")</f>
        <v>0</v>
      </c>
      <c r="X331" s="52" t="e">
        <f t="shared" si="480"/>
        <v>#DIV/0!</v>
      </c>
      <c r="Y331" s="53">
        <f>COUNTIFS('00 Encuesta'!$B$2:$B$511,"*a)*",'00 Encuesta'!$C$2:$C$511,"*c)*",'00 Encuesta'!$E$2:$E$511,"*b)*",'00 Encuesta'!$AP$2:$AP$511,"*c)*")</f>
        <v>0</v>
      </c>
      <c r="Z331" s="52" t="e">
        <f t="shared" si="481"/>
        <v>#DIV/0!</v>
      </c>
      <c r="AA331" s="3"/>
      <c r="AB331" s="62">
        <f t="shared" si="482"/>
        <v>18</v>
      </c>
      <c r="AC331" s="52">
        <f t="shared" si="483"/>
        <v>23.076923076923077</v>
      </c>
      <c r="AD331" s="3"/>
      <c r="AE331" s="3"/>
      <c r="AF331" s="9" t="str">
        <f t="shared" si="484"/>
        <v>c) Regular</v>
      </c>
      <c r="AG331" s="72">
        <f t="shared" si="485"/>
        <v>0</v>
      </c>
      <c r="AH331" s="72">
        <f t="shared" si="486"/>
        <v>33.333333333333329</v>
      </c>
      <c r="AI331" s="73">
        <f t="shared" si="487"/>
        <v>15</v>
      </c>
      <c r="AJ331" s="73"/>
      <c r="AK331" s="76">
        <f t="shared" si="488"/>
        <v>30.76923076923077</v>
      </c>
      <c r="AL331" s="76">
        <f t="shared" si="489"/>
        <v>32</v>
      </c>
      <c r="AM331" s="76">
        <f t="shared" si="490"/>
        <v>31.578947368421051</v>
      </c>
      <c r="AN331" s="76"/>
      <c r="AO331" s="81" t="e">
        <f t="shared" si="491"/>
        <v>#DIV/0!</v>
      </c>
      <c r="AP331" s="81" t="e">
        <f t="shared" si="492"/>
        <v>#DIV/0!</v>
      </c>
      <c r="AQ331" s="81" t="e">
        <f t="shared" si="493"/>
        <v>#DIV/0!</v>
      </c>
      <c r="AR331" s="3"/>
      <c r="AS331" s="76">
        <f t="shared" si="369"/>
        <v>23.076923076923077</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ht="15" x14ac:dyDescent="0.25">
      <c r="A332" s="8" t="s">
        <v>21</v>
      </c>
      <c r="B332" s="9" t="s">
        <v>231</v>
      </c>
      <c r="C332" s="7"/>
      <c r="D332" s="7"/>
      <c r="E332" s="7"/>
      <c r="F332" s="71">
        <v>25</v>
      </c>
      <c r="G332" s="51">
        <f t="shared" si="470"/>
        <v>2</v>
      </c>
      <c r="H332" s="52">
        <f t="shared" si="471"/>
        <v>5</v>
      </c>
      <c r="I332" s="53">
        <f>COUNTIFS('00 Encuesta'!$B$2:$B$511,"*a)*",'00 Encuesta'!$C$2:$C$511,"*a)*",'00 Encuesta'!$E$2:$E$511,"*a)*",'00 Encuesta'!$AP$2:$AP$511,"*d)*")</f>
        <v>2</v>
      </c>
      <c r="J332" s="52">
        <f t="shared" si="472"/>
        <v>9.0909090909090917</v>
      </c>
      <c r="K332" s="53">
        <f>COUNTIFS('00 Encuesta'!$B$2:$B$511,"*a)*",'00 Encuesta'!$C$2:$C$511,"*a)*",'00 Encuesta'!$E$2:$E$511,"*b)*",'00 Encuesta'!$AP$2:$AP$511,"*d)*")</f>
        <v>0</v>
      </c>
      <c r="L332" s="52">
        <f t="shared" si="473"/>
        <v>0</v>
      </c>
      <c r="M332" s="23"/>
      <c r="N332" s="51">
        <f t="shared" si="474"/>
        <v>0</v>
      </c>
      <c r="O332" s="52">
        <f t="shared" si="475"/>
        <v>0</v>
      </c>
      <c r="P332" s="53">
        <f>COUNTIFS('00 Encuesta'!$B$2:$B$511,"*a)*",'00 Encuesta'!$C$2:$C$511,"*b)*",'00 Encuesta'!$E$2:$E$511,"*a)*",'00 Encuesta'!$AP$2:$AP$511,"*d)*")</f>
        <v>0</v>
      </c>
      <c r="Q332" s="52">
        <f t="shared" si="476"/>
        <v>0</v>
      </c>
      <c r="R332" s="53">
        <f>COUNTIFS('00 Encuesta'!$B$2:$B$511,"*a)*",'00 Encuesta'!$C$2:$C$511,"*b)*",'00 Encuesta'!$E$2:$E$511,"*b)*",'00 Encuesta'!$AP$2:$AP$511,"*d)*")</f>
        <v>0</v>
      </c>
      <c r="S332" s="52">
        <f t="shared" si="477"/>
        <v>0</v>
      </c>
      <c r="T332" s="3"/>
      <c r="U332" s="51">
        <f t="shared" si="478"/>
        <v>0</v>
      </c>
      <c r="V332" s="52" t="e">
        <f t="shared" si="479"/>
        <v>#DIV/0!</v>
      </c>
      <c r="W332" s="53">
        <f>COUNTIFS('00 Encuesta'!$B$2:$B$511,"*a)*",'00 Encuesta'!$C$2:$C$511,"*c)*",'00 Encuesta'!$E$2:$E$511,"*a)*",'00 Encuesta'!$AP$2:$AP$511,"*d)*")</f>
        <v>0</v>
      </c>
      <c r="X332" s="52" t="e">
        <f t="shared" si="480"/>
        <v>#DIV/0!</v>
      </c>
      <c r="Y332" s="53">
        <f>COUNTIFS('00 Encuesta'!$B$2:$B$511,"*a)*",'00 Encuesta'!$C$2:$C$511,"*c)*",'00 Encuesta'!$E$2:$E$511,"*b)*",'00 Encuesta'!$AP$2:$AP$511,"*d)*")</f>
        <v>0</v>
      </c>
      <c r="Z332" s="52" t="e">
        <f t="shared" si="481"/>
        <v>#DIV/0!</v>
      </c>
      <c r="AA332" s="3"/>
      <c r="AB332" s="62">
        <f t="shared" si="482"/>
        <v>2</v>
      </c>
      <c r="AC332" s="52">
        <f t="shared" si="483"/>
        <v>2.5641025641025643</v>
      </c>
      <c r="AD332" s="3"/>
      <c r="AE332" s="3"/>
      <c r="AF332" s="9" t="str">
        <f t="shared" si="484"/>
        <v>d) Mala</v>
      </c>
      <c r="AG332" s="72">
        <f t="shared" si="485"/>
        <v>9.0909090909090917</v>
      </c>
      <c r="AH332" s="72">
        <f t="shared" si="486"/>
        <v>0</v>
      </c>
      <c r="AI332" s="73">
        <f t="shared" si="487"/>
        <v>5</v>
      </c>
      <c r="AJ332" s="73"/>
      <c r="AK332" s="76">
        <f t="shared" si="488"/>
        <v>0</v>
      </c>
      <c r="AL332" s="76">
        <f t="shared" si="489"/>
        <v>0</v>
      </c>
      <c r="AM332" s="76">
        <f t="shared" si="490"/>
        <v>0</v>
      </c>
      <c r="AN332" s="76"/>
      <c r="AO332" s="81" t="e">
        <f t="shared" si="491"/>
        <v>#DIV/0!</v>
      </c>
      <c r="AP332" s="81" t="e">
        <f t="shared" si="492"/>
        <v>#DIV/0!</v>
      </c>
      <c r="AQ332" s="81" t="e">
        <f t="shared" si="493"/>
        <v>#DIV/0!</v>
      </c>
      <c r="AR332" s="3"/>
      <c r="AS332" s="76">
        <f t="shared" si="369"/>
        <v>2.5641025641025643</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ht="15" x14ac:dyDescent="0.25">
      <c r="A333" s="8" t="s">
        <v>22</v>
      </c>
      <c r="B333" s="9" t="s">
        <v>232</v>
      </c>
      <c r="C333" s="7"/>
      <c r="D333" s="7"/>
      <c r="E333" s="7"/>
      <c r="F333" s="71">
        <v>0</v>
      </c>
      <c r="G333" s="51">
        <f t="shared" si="470"/>
        <v>0</v>
      </c>
      <c r="H333" s="52">
        <f t="shared" si="471"/>
        <v>0</v>
      </c>
      <c r="I333" s="53">
        <f>COUNTIFS('00 Encuesta'!$B$2:$B$511,"*a)*",'00 Encuesta'!$C$2:$C$511,"*a)*",'00 Encuesta'!$E$2:$E$511,"*a)*",'00 Encuesta'!$AP$2:$AP$511,"*e)*")</f>
        <v>0</v>
      </c>
      <c r="J333" s="52">
        <f t="shared" si="472"/>
        <v>0</v>
      </c>
      <c r="K333" s="53">
        <f>COUNTIFS('00 Encuesta'!$B$2:$B$511,"*a)*",'00 Encuesta'!$C$2:$C$511,"*a)*",'00 Encuesta'!$E$2:$E$511,"*b)*",'00 Encuesta'!$AP$2:$AP$511,"*e)*")</f>
        <v>0</v>
      </c>
      <c r="L333" s="52">
        <f t="shared" si="473"/>
        <v>0</v>
      </c>
      <c r="M333" s="23"/>
      <c r="N333" s="51">
        <f t="shared" si="474"/>
        <v>1</v>
      </c>
      <c r="O333" s="52">
        <f t="shared" si="475"/>
        <v>2.6315789473684208</v>
      </c>
      <c r="P333" s="53">
        <f>COUNTIFS('00 Encuesta'!$B$2:$B$511,"*a)*",'00 Encuesta'!$C$2:$C$511,"*b)*",'00 Encuesta'!$E$2:$E$511,"*a)*",'00 Encuesta'!$AP$2:$AP$511,"*e)*")</f>
        <v>1</v>
      </c>
      <c r="Q333" s="52">
        <f t="shared" si="476"/>
        <v>7.6923076923076925</v>
      </c>
      <c r="R333" s="53">
        <f>COUNTIFS('00 Encuesta'!$B$2:$B$511,"*a)*",'00 Encuesta'!$C$2:$C$511,"*b)*",'00 Encuesta'!$E$2:$E$511,"*b)*",'00 Encuesta'!$AP$2:$AP$511,"*e)*")</f>
        <v>0</v>
      </c>
      <c r="S333" s="52">
        <f t="shared" si="477"/>
        <v>0</v>
      </c>
      <c r="T333" s="3"/>
      <c r="U333" s="51">
        <f t="shared" si="478"/>
        <v>0</v>
      </c>
      <c r="V333" s="52" t="e">
        <f t="shared" si="479"/>
        <v>#DIV/0!</v>
      </c>
      <c r="W333" s="53">
        <f>COUNTIFS('00 Encuesta'!$B$2:$B$511,"*a)*",'00 Encuesta'!$C$2:$C$511,"*c)*",'00 Encuesta'!$E$2:$E$511,"*a)*",'00 Encuesta'!$AP$2:$AP$511,"*e)*")</f>
        <v>0</v>
      </c>
      <c r="X333" s="52" t="e">
        <f t="shared" si="480"/>
        <v>#DIV/0!</v>
      </c>
      <c r="Y333" s="53">
        <f>COUNTIFS('00 Encuesta'!$B$2:$B$511,"*a)*",'00 Encuesta'!$C$2:$C$511,"*c)*",'00 Encuesta'!$E$2:$E$511,"*b)*",'00 Encuesta'!$AP$2:$AP$511,"*e)*")</f>
        <v>0</v>
      </c>
      <c r="Z333" s="52" t="e">
        <f t="shared" si="481"/>
        <v>#DIV/0!</v>
      </c>
      <c r="AA333" s="3"/>
      <c r="AB333" s="62">
        <f t="shared" si="482"/>
        <v>1</v>
      </c>
      <c r="AC333" s="52">
        <f t="shared" si="483"/>
        <v>1.2820512820512822</v>
      </c>
      <c r="AD333" s="3"/>
      <c r="AE333" s="3"/>
      <c r="AF333" s="9" t="str">
        <f t="shared" si="484"/>
        <v>e) Muy mala</v>
      </c>
      <c r="AG333" s="72">
        <f t="shared" si="485"/>
        <v>0</v>
      </c>
      <c r="AH333" s="72">
        <f t="shared" si="486"/>
        <v>0</v>
      </c>
      <c r="AI333" s="73">
        <f t="shared" si="487"/>
        <v>0</v>
      </c>
      <c r="AJ333" s="73"/>
      <c r="AK333" s="76">
        <f t="shared" si="488"/>
        <v>7.6923076923076925</v>
      </c>
      <c r="AL333" s="76">
        <f t="shared" si="489"/>
        <v>0</v>
      </c>
      <c r="AM333" s="76">
        <f t="shared" si="490"/>
        <v>2.6315789473684208</v>
      </c>
      <c r="AN333" s="76"/>
      <c r="AO333" s="81" t="e">
        <f t="shared" si="491"/>
        <v>#DIV/0!</v>
      </c>
      <c r="AP333" s="81" t="e">
        <f t="shared" si="492"/>
        <v>#DIV/0!</v>
      </c>
      <c r="AQ333" s="81" t="e">
        <f t="shared" si="493"/>
        <v>#DIV/0!</v>
      </c>
      <c r="AR333" s="3"/>
      <c r="AS333" s="76">
        <f t="shared" si="369"/>
        <v>1.2820512820512822</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ht="15" x14ac:dyDescent="0.25">
      <c r="A334" s="8" t="s">
        <v>45</v>
      </c>
      <c r="B334" s="9" t="s">
        <v>233</v>
      </c>
      <c r="C334" s="7"/>
      <c r="D334" s="7"/>
      <c r="E334" s="7"/>
      <c r="F334" s="71"/>
      <c r="G334" s="51">
        <f t="shared" si="470"/>
        <v>0</v>
      </c>
      <c r="H334" s="52">
        <f t="shared" si="471"/>
        <v>0</v>
      </c>
      <c r="I334" s="53">
        <f>COUNTIFS('00 Encuesta'!$B$2:$B$511,"*a)*",'00 Encuesta'!$C$2:$C$511,"*a)*",'00 Encuesta'!$E$2:$E$511,"*a)*",'00 Encuesta'!$AP$2:$AP$511,"*f)*")</f>
        <v>0</v>
      </c>
      <c r="J334" s="52">
        <f t="shared" si="472"/>
        <v>0</v>
      </c>
      <c r="K334" s="53">
        <f>COUNTIFS('00 Encuesta'!$B$2:$B$511,"*a)*",'00 Encuesta'!$C$2:$C$511,"*a)*",'00 Encuesta'!$E$2:$E$511,"*b)*",'00 Encuesta'!$AP$2:$AP$511,"*f)*")</f>
        <v>0</v>
      </c>
      <c r="L334" s="52">
        <f t="shared" si="473"/>
        <v>0</v>
      </c>
      <c r="M334" s="23"/>
      <c r="N334" s="51">
        <f t="shared" si="474"/>
        <v>0</v>
      </c>
      <c r="O334" s="52">
        <f t="shared" si="475"/>
        <v>0</v>
      </c>
      <c r="P334" s="53">
        <f>COUNTIFS('00 Encuesta'!$B$2:$B$511,"*a)*",'00 Encuesta'!$C$2:$C$511,"*b)*",'00 Encuesta'!$E$2:$E$511,"*a)*",'00 Encuesta'!$AP$2:$AP$511,"*f)*")</f>
        <v>0</v>
      </c>
      <c r="Q334" s="52">
        <f t="shared" si="476"/>
        <v>0</v>
      </c>
      <c r="R334" s="53">
        <f>COUNTIFS('00 Encuesta'!$B$2:$B$511,"*a)*",'00 Encuesta'!$C$2:$C$511,"*b)*",'00 Encuesta'!$E$2:$E$511,"*b)*",'00 Encuesta'!$AP$2:$AP$511,"*f)*")</f>
        <v>0</v>
      </c>
      <c r="S334" s="52">
        <f t="shared" si="477"/>
        <v>0</v>
      </c>
      <c r="T334" s="3"/>
      <c r="U334" s="51">
        <f t="shared" si="478"/>
        <v>0</v>
      </c>
      <c r="V334" s="52" t="e">
        <f t="shared" si="479"/>
        <v>#DIV/0!</v>
      </c>
      <c r="W334" s="53">
        <f>COUNTIFS('00 Encuesta'!$B$2:$B$511,"*a)*",'00 Encuesta'!$C$2:$C$511,"*c)*",'00 Encuesta'!$E$2:$E$511,"*a)*",'00 Encuesta'!$AP$2:$AP$511,"*f)*")</f>
        <v>0</v>
      </c>
      <c r="X334" s="52" t="e">
        <f t="shared" si="480"/>
        <v>#DIV/0!</v>
      </c>
      <c r="Y334" s="53">
        <f>COUNTIFS('00 Encuesta'!$B$2:$B$511,"*a)*",'00 Encuesta'!$C$2:$C$511,"*c)*",'00 Encuesta'!$E$2:$E$511,"*b)*",'00 Encuesta'!$AP$2:$AP$511,"*f)*")</f>
        <v>0</v>
      </c>
      <c r="Z334" s="52" t="e">
        <f t="shared" si="481"/>
        <v>#DIV/0!</v>
      </c>
      <c r="AA334" s="3"/>
      <c r="AB334" s="62">
        <f t="shared" si="482"/>
        <v>0</v>
      </c>
      <c r="AC334" s="52">
        <f t="shared" si="483"/>
        <v>0</v>
      </c>
      <c r="AD334" s="3"/>
      <c r="AE334" s="3"/>
      <c r="AF334" s="9" t="str">
        <f t="shared" si="484"/>
        <v>f) No aplica</v>
      </c>
      <c r="AG334" s="72">
        <f t="shared" si="485"/>
        <v>0</v>
      </c>
      <c r="AH334" s="72">
        <f t="shared" si="486"/>
        <v>0</v>
      </c>
      <c r="AI334" s="73">
        <f t="shared" si="487"/>
        <v>0</v>
      </c>
      <c r="AJ334" s="73"/>
      <c r="AK334" s="76">
        <f t="shared" si="488"/>
        <v>0</v>
      </c>
      <c r="AL334" s="76">
        <f t="shared" si="489"/>
        <v>0</v>
      </c>
      <c r="AM334" s="76">
        <f t="shared" si="490"/>
        <v>0</v>
      </c>
      <c r="AN334" s="76"/>
      <c r="AO334" s="81" t="e">
        <f t="shared" si="491"/>
        <v>#DIV/0!</v>
      </c>
      <c r="AP334" s="81" t="e">
        <f t="shared" si="492"/>
        <v>#DIV/0!</v>
      </c>
      <c r="AQ334" s="81" t="e">
        <f t="shared" si="493"/>
        <v>#DIV/0!</v>
      </c>
      <c r="AR334" s="3"/>
      <c r="AS334" s="76">
        <f t="shared" si="369"/>
        <v>0</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ht="15" x14ac:dyDescent="0.25">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80.952380952380949</v>
      </c>
      <c r="AH335" s="82">
        <f>($F329*K329+$F330*K330+$F331*K331+$F332*K332+$F333*K333)/(K329+K330+K331+K332+K333)</f>
        <v>72.222222222222229</v>
      </c>
      <c r="AI335" s="82">
        <f>($F329*G329+$F330*G330+$F331*G331+$F332*G332+$F333*G333)/(G329+G330+G331+G332+G333)</f>
        <v>76.92307692307692</v>
      </c>
      <c r="AJ335" s="82"/>
      <c r="AK335" s="82">
        <f>($F329*Q329+$F330*Q330+$F331*Q331+$F332*Q332+$F333*Q333)/(Q329+Q330+Q331+Q332+Q333)</f>
        <v>67.307692307692307</v>
      </c>
      <c r="AL335" s="82">
        <f>($F329*S329+$F330*S330+$F331*S331+$F332*S332+$F333*S333)/(S329+S330+S331+S332+S333)</f>
        <v>72.826086956521735</v>
      </c>
      <c r="AM335" s="82">
        <f>($F329*O329+$F330*O330+$F331*O331+$F332*O332+$F333*O333)/(O329+O330+O331+O332+O333)</f>
        <v>70.833333333333329</v>
      </c>
      <c r="AN335" s="82"/>
      <c r="AO335" s="82" t="e">
        <f>($F329*W329+$F330*W330+$F331*W331+$F332*W332+$F333*W333)/(W329+W330+W331+W332+W333)</f>
        <v>#DIV/0!</v>
      </c>
      <c r="AP335" s="82" t="e">
        <f>($F329*Y329+$F330*Y330+$F331*Y331+$F332*Y332+$F333*Y333)/(Y329+Y330+Y331+Y332+Y333)</f>
        <v>#DIV/0!</v>
      </c>
      <c r="AQ335" s="82" t="e">
        <f>($F329*U329+$F330*U330+$F331*U331+$F332*U332+$F333*U333)/(U329+U330+U331+U332+U333)</f>
        <v>#DIV/0!</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ht="15" x14ac:dyDescent="0.25">
      <c r="A337" s="8" t="s">
        <v>17</v>
      </c>
      <c r="B337" s="9" t="s">
        <v>229</v>
      </c>
      <c r="C337" s="7"/>
      <c r="D337" s="7"/>
      <c r="E337" s="7"/>
      <c r="F337" s="71">
        <v>100</v>
      </c>
      <c r="G337" s="51">
        <f t="shared" ref="G337:G342" si="494">I337+K337</f>
        <v>13</v>
      </c>
      <c r="H337" s="52">
        <f t="shared" ref="H337:H342" si="495">G337/$J$5*100</f>
        <v>32.5</v>
      </c>
      <c r="I337" s="53">
        <f>COUNTIFS('00 Encuesta'!$B$2:$B$511,"*a)*",'00 Encuesta'!$C$2:$C$511,"*a)*",'00 Encuesta'!$E$2:$E$511,"*a)*",'00 Encuesta'!$AQ$2:$AQ$511,"*a)*")</f>
        <v>7</v>
      </c>
      <c r="J337" s="52">
        <f t="shared" ref="J337:J342" si="496">I337/$J$6*100</f>
        <v>31.818181818181817</v>
      </c>
      <c r="K337" s="53">
        <f>COUNTIFS('00 Encuesta'!$B$2:$B$511,"*a)*",'00 Encuesta'!$C$2:$C$511,"*a)*",'00 Encuesta'!$E$2:$E$511,"*b)*",'00 Encuesta'!$AQ$2:$AQ$511,"*a)*")</f>
        <v>6</v>
      </c>
      <c r="L337" s="52">
        <f t="shared" ref="L337:L342" si="497">K337/$J$7*100</f>
        <v>33.333333333333329</v>
      </c>
      <c r="M337" s="23"/>
      <c r="N337" s="51">
        <f t="shared" ref="N337:N342" si="498">P337+R337</f>
        <v>9</v>
      </c>
      <c r="O337" s="52">
        <f t="shared" ref="O337:O342" si="499">N337/$Q$5*100</f>
        <v>23.684210526315788</v>
      </c>
      <c r="P337" s="53">
        <f>COUNTIFS('00 Encuesta'!$B$2:$B$511,"*a)*",'00 Encuesta'!$C$2:$C$511,"*b)*",'00 Encuesta'!$E$2:$E$511,"*a)*",'00 Encuesta'!$AQ$2:$AQ$511,"*a)*")</f>
        <v>4</v>
      </c>
      <c r="Q337" s="52">
        <f t="shared" ref="Q337:Q342" si="500">P337/$Q$6*100</f>
        <v>30.76923076923077</v>
      </c>
      <c r="R337" s="53">
        <f>COUNTIFS('00 Encuesta'!$B$2:$B$511,"*a)*",'00 Encuesta'!$C$2:$C$511,"*b)*",'00 Encuesta'!$E$2:$E$511,"*b)*",'00 Encuesta'!$AQ$2:$AQ$511,"*a)*")</f>
        <v>5</v>
      </c>
      <c r="S337" s="52">
        <f t="shared" ref="S337:S342" si="501">R337/$Q$7*100</f>
        <v>20</v>
      </c>
      <c r="T337" s="3"/>
      <c r="U337" s="51">
        <f t="shared" ref="U337:U342" si="502">W337+Y337</f>
        <v>0</v>
      </c>
      <c r="V337" s="52" t="e">
        <f t="shared" ref="V337:V342" si="503">U337/$X$5*100</f>
        <v>#DIV/0!</v>
      </c>
      <c r="W337" s="53">
        <f>COUNTIFS('00 Encuesta'!$B$2:$B$511,"*a)*",'00 Encuesta'!$C$2:$C$511,"*c)*",'00 Encuesta'!$E$2:$E$511,"*a)*",'00 Encuesta'!$AQ$2:$AQ$511,"*a)*")</f>
        <v>0</v>
      </c>
      <c r="X337" s="52" t="e">
        <f t="shared" ref="X337:X342" si="504">W337/$X$6*100</f>
        <v>#DIV/0!</v>
      </c>
      <c r="Y337" s="53">
        <f>COUNTIFS('00 Encuesta'!$B$2:$B$511,"*a)*",'00 Encuesta'!$C$2:$C$511,"*c)*",'00 Encuesta'!$E$2:$E$511,"*b)*",'00 Encuesta'!$AQ$2:$AQ$511,"*a)*")</f>
        <v>0</v>
      </c>
      <c r="Z337" s="52" t="e">
        <f t="shared" ref="Z337:Z342" si="505">Y337/$X$7*100</f>
        <v>#DIV/0!</v>
      </c>
      <c r="AA337" s="3"/>
      <c r="AB337" s="62">
        <f t="shared" ref="AB337:AB342" si="506">G337+N337+U337</f>
        <v>22</v>
      </c>
      <c r="AC337" s="52">
        <f t="shared" ref="AC337:AC342" si="507">AB337*100/$AC$5</f>
        <v>28.205128205128204</v>
      </c>
      <c r="AD337" s="3"/>
      <c r="AE337" s="3"/>
      <c r="AF337" s="9" t="str">
        <f t="shared" ref="AF337:AF342" si="508">A337&amp;" "&amp;B337</f>
        <v>a) Muy buena</v>
      </c>
      <c r="AG337" s="72">
        <f t="shared" ref="AG337:AG342" si="509">J337</f>
        <v>31.818181818181817</v>
      </c>
      <c r="AH337" s="72">
        <f t="shared" ref="AH337:AH342" si="510">L337</f>
        <v>33.333333333333329</v>
      </c>
      <c r="AI337" s="73">
        <f t="shared" ref="AI337:AI342" si="511">H337</f>
        <v>32.5</v>
      </c>
      <c r="AJ337" s="73"/>
      <c r="AK337" s="76">
        <f t="shared" ref="AK337:AK342" si="512">Q337</f>
        <v>30.76923076923077</v>
      </c>
      <c r="AL337" s="76">
        <f t="shared" ref="AL337:AL342" si="513">S337</f>
        <v>20</v>
      </c>
      <c r="AM337" s="76">
        <f t="shared" ref="AM337:AM342" si="514">O337</f>
        <v>23.684210526315788</v>
      </c>
      <c r="AN337" s="76"/>
      <c r="AO337" s="81" t="e">
        <f t="shared" ref="AO337:AO342" si="515">X337</f>
        <v>#DIV/0!</v>
      </c>
      <c r="AP337" s="81" t="e">
        <f t="shared" ref="AP337:AP342" si="516">Z337</f>
        <v>#DIV/0!</v>
      </c>
      <c r="AQ337" s="81" t="e">
        <f t="shared" ref="AQ337:AQ342" si="517">V337</f>
        <v>#DIV/0!</v>
      </c>
      <c r="AR337" s="3"/>
      <c r="AS337" s="76">
        <f t="shared" si="369"/>
        <v>28.205128205128204</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ht="15" x14ac:dyDescent="0.25">
      <c r="A338" s="8" t="s">
        <v>18</v>
      </c>
      <c r="B338" s="9" t="s">
        <v>230</v>
      </c>
      <c r="C338" s="7"/>
      <c r="D338" s="7"/>
      <c r="E338" s="7"/>
      <c r="F338" s="71">
        <v>75</v>
      </c>
      <c r="G338" s="51">
        <f t="shared" si="494"/>
        <v>14</v>
      </c>
      <c r="H338" s="52">
        <f t="shared" si="495"/>
        <v>35</v>
      </c>
      <c r="I338" s="53">
        <f>COUNTIFS('00 Encuesta'!$B$2:$B$511,"*a)*",'00 Encuesta'!$C$2:$C$511,"*a)*",'00 Encuesta'!$E$2:$E$511,"*a)*",'00 Encuesta'!$AQ$2:$AQ$511,"*b)*")</f>
        <v>10</v>
      </c>
      <c r="J338" s="52">
        <f t="shared" si="496"/>
        <v>45.454545454545453</v>
      </c>
      <c r="K338" s="53">
        <f>COUNTIFS('00 Encuesta'!$B$2:$B$511,"*a)*",'00 Encuesta'!$C$2:$C$511,"*a)*",'00 Encuesta'!$E$2:$E$511,"*b)*",'00 Encuesta'!$AQ$2:$AQ$511,"*b)*")</f>
        <v>4</v>
      </c>
      <c r="L338" s="52">
        <f t="shared" si="497"/>
        <v>22.222222222222221</v>
      </c>
      <c r="M338" s="23"/>
      <c r="N338" s="51">
        <f t="shared" si="498"/>
        <v>18</v>
      </c>
      <c r="O338" s="52">
        <f t="shared" si="499"/>
        <v>47.368421052631575</v>
      </c>
      <c r="P338" s="53">
        <f>COUNTIFS('00 Encuesta'!$B$2:$B$511,"*a)*",'00 Encuesta'!$C$2:$C$511,"*b)*",'00 Encuesta'!$E$2:$E$511,"*a)*",'00 Encuesta'!$AQ$2:$AQ$511,"*b)*")</f>
        <v>6</v>
      </c>
      <c r="Q338" s="52">
        <f t="shared" si="500"/>
        <v>46.153846153846153</v>
      </c>
      <c r="R338" s="53">
        <f>COUNTIFS('00 Encuesta'!$B$2:$B$511,"*a)*",'00 Encuesta'!$C$2:$C$511,"*b)*",'00 Encuesta'!$E$2:$E$511,"*b)*",'00 Encuesta'!$AQ$2:$AQ$511,"*b)*")</f>
        <v>12</v>
      </c>
      <c r="S338" s="52">
        <f t="shared" si="501"/>
        <v>48</v>
      </c>
      <c r="T338" s="3"/>
      <c r="U338" s="51">
        <f t="shared" si="502"/>
        <v>0</v>
      </c>
      <c r="V338" s="52" t="e">
        <f t="shared" si="503"/>
        <v>#DIV/0!</v>
      </c>
      <c r="W338" s="53">
        <f>COUNTIFS('00 Encuesta'!$B$2:$B$511,"*a)*",'00 Encuesta'!$C$2:$C$511,"*c)*",'00 Encuesta'!$E$2:$E$511,"*a)*",'00 Encuesta'!$AQ$2:$AQ$511,"*b)*")</f>
        <v>0</v>
      </c>
      <c r="X338" s="52" t="e">
        <f t="shared" si="504"/>
        <v>#DIV/0!</v>
      </c>
      <c r="Y338" s="53">
        <f>COUNTIFS('00 Encuesta'!$B$2:$B$511,"*a)*",'00 Encuesta'!$C$2:$C$511,"*c)*",'00 Encuesta'!$E$2:$E$511,"*b)*",'00 Encuesta'!$AQ$2:$AQ$511,"*b)*")</f>
        <v>0</v>
      </c>
      <c r="Z338" s="52" t="e">
        <f t="shared" si="505"/>
        <v>#DIV/0!</v>
      </c>
      <c r="AA338" s="3"/>
      <c r="AB338" s="62">
        <f t="shared" si="506"/>
        <v>32</v>
      </c>
      <c r="AC338" s="52">
        <f t="shared" si="507"/>
        <v>41.025641025641029</v>
      </c>
      <c r="AD338" s="3"/>
      <c r="AE338" s="3"/>
      <c r="AF338" s="9" t="str">
        <f t="shared" si="508"/>
        <v>b) Buena</v>
      </c>
      <c r="AG338" s="72">
        <f t="shared" si="509"/>
        <v>45.454545454545453</v>
      </c>
      <c r="AH338" s="72">
        <f t="shared" si="510"/>
        <v>22.222222222222221</v>
      </c>
      <c r="AI338" s="73">
        <f t="shared" si="511"/>
        <v>35</v>
      </c>
      <c r="AJ338" s="73"/>
      <c r="AK338" s="76">
        <f t="shared" si="512"/>
        <v>46.153846153846153</v>
      </c>
      <c r="AL338" s="76">
        <f t="shared" si="513"/>
        <v>48</v>
      </c>
      <c r="AM338" s="76">
        <f t="shared" si="514"/>
        <v>47.368421052631575</v>
      </c>
      <c r="AN338" s="76"/>
      <c r="AO338" s="81" t="e">
        <f t="shared" si="515"/>
        <v>#DIV/0!</v>
      </c>
      <c r="AP338" s="81" t="e">
        <f t="shared" si="516"/>
        <v>#DIV/0!</v>
      </c>
      <c r="AQ338" s="81" t="e">
        <f t="shared" si="517"/>
        <v>#DIV/0!</v>
      </c>
      <c r="AR338" s="3"/>
      <c r="AS338" s="76">
        <f t="shared" si="369"/>
        <v>41.025641025641029</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ht="15" x14ac:dyDescent="0.25">
      <c r="A339" s="8" t="s">
        <v>20</v>
      </c>
      <c r="B339" s="9" t="s">
        <v>218</v>
      </c>
      <c r="C339" s="7"/>
      <c r="D339" s="7"/>
      <c r="E339" s="7"/>
      <c r="F339" s="71">
        <v>50</v>
      </c>
      <c r="G339" s="51">
        <f t="shared" si="494"/>
        <v>10</v>
      </c>
      <c r="H339" s="52">
        <f t="shared" si="495"/>
        <v>25</v>
      </c>
      <c r="I339" s="53">
        <f>COUNTIFS('00 Encuesta'!$B$2:$B$511,"*a)*",'00 Encuesta'!$C$2:$C$511,"*a)*",'00 Encuesta'!$E$2:$E$511,"*a)*",'00 Encuesta'!$AQ$2:$AQ$511,"*c)*")</f>
        <v>3</v>
      </c>
      <c r="J339" s="52">
        <f t="shared" si="496"/>
        <v>13.636363636363635</v>
      </c>
      <c r="K339" s="53">
        <f>COUNTIFS('00 Encuesta'!$B$2:$B$511,"*a)*",'00 Encuesta'!$C$2:$C$511,"*a)*",'00 Encuesta'!$E$2:$E$511,"*b)*",'00 Encuesta'!$AQ$2:$AQ$511,"*c)*")</f>
        <v>7</v>
      </c>
      <c r="L339" s="52">
        <f t="shared" si="497"/>
        <v>38.888888888888893</v>
      </c>
      <c r="M339" s="23"/>
      <c r="N339" s="51">
        <f t="shared" si="498"/>
        <v>6</v>
      </c>
      <c r="O339" s="52">
        <f t="shared" si="499"/>
        <v>15.789473684210526</v>
      </c>
      <c r="P339" s="53">
        <f>COUNTIFS('00 Encuesta'!$B$2:$B$511,"*a)*",'00 Encuesta'!$C$2:$C$511,"*b)*",'00 Encuesta'!$E$2:$E$511,"*a)*",'00 Encuesta'!$AQ$2:$AQ$511,"*c)*")</f>
        <v>1</v>
      </c>
      <c r="Q339" s="52">
        <f t="shared" si="500"/>
        <v>7.6923076923076925</v>
      </c>
      <c r="R339" s="53">
        <f>COUNTIFS('00 Encuesta'!$B$2:$B$511,"*a)*",'00 Encuesta'!$C$2:$C$511,"*b)*",'00 Encuesta'!$E$2:$E$511,"*b)*",'00 Encuesta'!$AQ$2:$AQ$511,"*c)*")</f>
        <v>5</v>
      </c>
      <c r="S339" s="52">
        <f t="shared" si="501"/>
        <v>20</v>
      </c>
      <c r="T339" s="3"/>
      <c r="U339" s="51">
        <f t="shared" si="502"/>
        <v>0</v>
      </c>
      <c r="V339" s="52" t="e">
        <f t="shared" si="503"/>
        <v>#DIV/0!</v>
      </c>
      <c r="W339" s="53">
        <f>COUNTIFS('00 Encuesta'!$B$2:$B$511,"*a)*",'00 Encuesta'!$C$2:$C$511,"*c)*",'00 Encuesta'!$E$2:$E$511,"*a)*",'00 Encuesta'!$AQ$2:$AQ$511,"*c)*")</f>
        <v>0</v>
      </c>
      <c r="X339" s="52" t="e">
        <f t="shared" si="504"/>
        <v>#DIV/0!</v>
      </c>
      <c r="Y339" s="53">
        <f>COUNTIFS('00 Encuesta'!$B$2:$B$511,"*a)*",'00 Encuesta'!$C$2:$C$511,"*c)*",'00 Encuesta'!$E$2:$E$511,"*b)*",'00 Encuesta'!$AQ$2:$AQ$511,"*c)*")</f>
        <v>0</v>
      </c>
      <c r="Z339" s="52" t="e">
        <f t="shared" si="505"/>
        <v>#DIV/0!</v>
      </c>
      <c r="AA339" s="3"/>
      <c r="AB339" s="62">
        <f t="shared" si="506"/>
        <v>16</v>
      </c>
      <c r="AC339" s="52">
        <f t="shared" si="507"/>
        <v>20.512820512820515</v>
      </c>
      <c r="AD339" s="3"/>
      <c r="AE339" s="3"/>
      <c r="AF339" s="9" t="str">
        <f t="shared" si="508"/>
        <v>c) Regular</v>
      </c>
      <c r="AG339" s="72">
        <f t="shared" si="509"/>
        <v>13.636363636363635</v>
      </c>
      <c r="AH339" s="72">
        <f t="shared" si="510"/>
        <v>38.888888888888893</v>
      </c>
      <c r="AI339" s="73">
        <f t="shared" si="511"/>
        <v>25</v>
      </c>
      <c r="AJ339" s="73"/>
      <c r="AK339" s="76">
        <f t="shared" si="512"/>
        <v>7.6923076923076925</v>
      </c>
      <c r="AL339" s="76">
        <f t="shared" si="513"/>
        <v>20</v>
      </c>
      <c r="AM339" s="76">
        <f t="shared" si="514"/>
        <v>15.789473684210526</v>
      </c>
      <c r="AN339" s="76"/>
      <c r="AO339" s="81" t="e">
        <f t="shared" si="515"/>
        <v>#DIV/0!</v>
      </c>
      <c r="AP339" s="81" t="e">
        <f t="shared" si="516"/>
        <v>#DIV/0!</v>
      </c>
      <c r="AQ339" s="81" t="e">
        <f t="shared" si="517"/>
        <v>#DIV/0!</v>
      </c>
      <c r="AR339" s="3"/>
      <c r="AS339" s="76">
        <f t="shared" si="369"/>
        <v>20.512820512820515</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ht="15" x14ac:dyDescent="0.25">
      <c r="A340" s="8" t="s">
        <v>21</v>
      </c>
      <c r="B340" s="9" t="s">
        <v>231</v>
      </c>
      <c r="C340" s="7"/>
      <c r="D340" s="7"/>
      <c r="E340" s="7"/>
      <c r="F340" s="71">
        <v>25</v>
      </c>
      <c r="G340" s="51">
        <f t="shared" si="494"/>
        <v>1</v>
      </c>
      <c r="H340" s="52">
        <f t="shared" si="495"/>
        <v>2.5</v>
      </c>
      <c r="I340" s="53">
        <f>COUNTIFS('00 Encuesta'!$B$2:$B$511,"*a)*",'00 Encuesta'!$C$2:$C$511,"*a)*",'00 Encuesta'!$E$2:$E$511,"*a)*",'00 Encuesta'!$AQ$2:$AQ$511,"*d)*")</f>
        <v>0</v>
      </c>
      <c r="J340" s="52">
        <f t="shared" si="496"/>
        <v>0</v>
      </c>
      <c r="K340" s="53">
        <f>COUNTIFS('00 Encuesta'!$B$2:$B$511,"*a)*",'00 Encuesta'!$C$2:$C$511,"*a)*",'00 Encuesta'!$E$2:$E$511,"*b)*",'00 Encuesta'!$AQ$2:$AQ$511,"*d)*")</f>
        <v>1</v>
      </c>
      <c r="L340" s="52">
        <f t="shared" si="497"/>
        <v>5.5555555555555554</v>
      </c>
      <c r="M340" s="23"/>
      <c r="N340" s="51">
        <f t="shared" si="498"/>
        <v>0</v>
      </c>
      <c r="O340" s="52">
        <f t="shared" si="499"/>
        <v>0</v>
      </c>
      <c r="P340" s="53">
        <f>COUNTIFS('00 Encuesta'!$B$2:$B$511,"*a)*",'00 Encuesta'!$C$2:$C$511,"*b)*",'00 Encuesta'!$E$2:$E$511,"*a)*",'00 Encuesta'!$AQ$2:$AQ$511,"*d)*")</f>
        <v>0</v>
      </c>
      <c r="Q340" s="52">
        <f t="shared" si="500"/>
        <v>0</v>
      </c>
      <c r="R340" s="53">
        <f>COUNTIFS('00 Encuesta'!$B$2:$B$511,"*a)*",'00 Encuesta'!$C$2:$C$511,"*b)*",'00 Encuesta'!$E$2:$E$511,"*b)*",'00 Encuesta'!$AQ$2:$AQ$511,"*d)*")</f>
        <v>0</v>
      </c>
      <c r="S340" s="52">
        <f t="shared" si="501"/>
        <v>0</v>
      </c>
      <c r="T340" s="3"/>
      <c r="U340" s="51">
        <f t="shared" si="502"/>
        <v>0</v>
      </c>
      <c r="V340" s="52" t="e">
        <f t="shared" si="503"/>
        <v>#DIV/0!</v>
      </c>
      <c r="W340" s="53">
        <f>COUNTIFS('00 Encuesta'!$B$2:$B$511,"*a)*",'00 Encuesta'!$C$2:$C$511,"*c)*",'00 Encuesta'!$E$2:$E$511,"*a)*",'00 Encuesta'!$AQ$2:$AQ$511,"*d)*")</f>
        <v>0</v>
      </c>
      <c r="X340" s="52" t="e">
        <f t="shared" si="504"/>
        <v>#DIV/0!</v>
      </c>
      <c r="Y340" s="53">
        <f>COUNTIFS('00 Encuesta'!$B$2:$B$511,"*a)*",'00 Encuesta'!$C$2:$C$511,"*c)*",'00 Encuesta'!$E$2:$E$511,"*b)*",'00 Encuesta'!$AQ$2:$AQ$511,"*d)*")</f>
        <v>0</v>
      </c>
      <c r="Z340" s="52" t="e">
        <f t="shared" si="505"/>
        <v>#DIV/0!</v>
      </c>
      <c r="AA340" s="3"/>
      <c r="AB340" s="62">
        <f t="shared" si="506"/>
        <v>1</v>
      </c>
      <c r="AC340" s="52">
        <f t="shared" si="507"/>
        <v>1.2820512820512822</v>
      </c>
      <c r="AD340" s="3"/>
      <c r="AE340" s="3"/>
      <c r="AF340" s="9" t="str">
        <f t="shared" si="508"/>
        <v>d) Mala</v>
      </c>
      <c r="AG340" s="72">
        <f t="shared" si="509"/>
        <v>0</v>
      </c>
      <c r="AH340" s="72">
        <f t="shared" si="510"/>
        <v>5.5555555555555554</v>
      </c>
      <c r="AI340" s="73">
        <f t="shared" si="511"/>
        <v>2.5</v>
      </c>
      <c r="AJ340" s="73"/>
      <c r="AK340" s="76">
        <f t="shared" si="512"/>
        <v>0</v>
      </c>
      <c r="AL340" s="76">
        <f t="shared" si="513"/>
        <v>0</v>
      </c>
      <c r="AM340" s="76">
        <f t="shared" si="514"/>
        <v>0</v>
      </c>
      <c r="AN340" s="76"/>
      <c r="AO340" s="81" t="e">
        <f t="shared" si="515"/>
        <v>#DIV/0!</v>
      </c>
      <c r="AP340" s="81" t="e">
        <f t="shared" si="516"/>
        <v>#DIV/0!</v>
      </c>
      <c r="AQ340" s="81" t="e">
        <f t="shared" si="517"/>
        <v>#DIV/0!</v>
      </c>
      <c r="AR340" s="3"/>
      <c r="AS340" s="76">
        <f t="shared" si="369"/>
        <v>1.2820512820512822</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ht="15" x14ac:dyDescent="0.25">
      <c r="A341" s="8" t="s">
        <v>22</v>
      </c>
      <c r="B341" s="9" t="s">
        <v>232</v>
      </c>
      <c r="C341" s="7"/>
      <c r="D341" s="7"/>
      <c r="E341" s="7"/>
      <c r="F341" s="71">
        <v>0</v>
      </c>
      <c r="G341" s="51">
        <f t="shared" si="494"/>
        <v>0</v>
      </c>
      <c r="H341" s="52">
        <f t="shared" si="495"/>
        <v>0</v>
      </c>
      <c r="I341" s="53">
        <f>COUNTIFS('00 Encuesta'!$B$2:$B$511,"*a)*",'00 Encuesta'!$C$2:$C$511,"*a)*",'00 Encuesta'!$E$2:$E$511,"*a)*",'00 Encuesta'!$AQ$2:$AQ$511,"*e)*")</f>
        <v>0</v>
      </c>
      <c r="J341" s="52">
        <f t="shared" si="496"/>
        <v>0</v>
      </c>
      <c r="K341" s="53">
        <f>COUNTIFS('00 Encuesta'!$B$2:$B$511,"*a)*",'00 Encuesta'!$C$2:$C$511,"*a)*",'00 Encuesta'!$E$2:$E$511,"*b)*",'00 Encuesta'!$AQ$2:$AQ$511,"*e)*")</f>
        <v>0</v>
      </c>
      <c r="L341" s="52">
        <f t="shared" si="497"/>
        <v>0</v>
      </c>
      <c r="M341" s="23"/>
      <c r="N341" s="51">
        <f t="shared" si="498"/>
        <v>1</v>
      </c>
      <c r="O341" s="52">
        <f t="shared" si="499"/>
        <v>2.6315789473684208</v>
      </c>
      <c r="P341" s="53">
        <f>COUNTIFS('00 Encuesta'!$B$2:$B$511,"*a)*",'00 Encuesta'!$C$2:$C$511,"*b)*",'00 Encuesta'!$E$2:$E$511,"*a)*",'00 Encuesta'!$AQ$2:$AQ$511,"*e)*")</f>
        <v>1</v>
      </c>
      <c r="Q341" s="52">
        <f t="shared" si="500"/>
        <v>7.6923076923076925</v>
      </c>
      <c r="R341" s="53">
        <f>COUNTIFS('00 Encuesta'!$B$2:$B$511,"*a)*",'00 Encuesta'!$C$2:$C$511,"*b)*",'00 Encuesta'!$E$2:$E$511,"*b)*",'00 Encuesta'!$AQ$2:$AQ$511,"*e)*")</f>
        <v>0</v>
      </c>
      <c r="S341" s="52">
        <f t="shared" si="501"/>
        <v>0</v>
      </c>
      <c r="T341" s="3"/>
      <c r="U341" s="51">
        <f t="shared" si="502"/>
        <v>0</v>
      </c>
      <c r="V341" s="52" t="e">
        <f t="shared" si="503"/>
        <v>#DIV/0!</v>
      </c>
      <c r="W341" s="53">
        <f>COUNTIFS('00 Encuesta'!$B$2:$B$511,"*a)*",'00 Encuesta'!$C$2:$C$511,"*c)*",'00 Encuesta'!$E$2:$E$511,"*a)*",'00 Encuesta'!$AQ$2:$AQ$511,"*e)*")</f>
        <v>0</v>
      </c>
      <c r="X341" s="52" t="e">
        <f t="shared" si="504"/>
        <v>#DIV/0!</v>
      </c>
      <c r="Y341" s="53">
        <f>COUNTIFS('00 Encuesta'!$B$2:$B$511,"*a)*",'00 Encuesta'!$C$2:$C$511,"*c)*",'00 Encuesta'!$E$2:$E$511,"*b)*",'00 Encuesta'!$AQ$2:$AQ$511,"*e)*")</f>
        <v>0</v>
      </c>
      <c r="Z341" s="52" t="e">
        <f t="shared" si="505"/>
        <v>#DIV/0!</v>
      </c>
      <c r="AA341" s="3"/>
      <c r="AB341" s="62">
        <f t="shared" si="506"/>
        <v>1</v>
      </c>
      <c r="AC341" s="52">
        <f t="shared" si="507"/>
        <v>1.2820512820512822</v>
      </c>
      <c r="AD341" s="3"/>
      <c r="AE341" s="3"/>
      <c r="AF341" s="9" t="str">
        <f t="shared" si="508"/>
        <v>e) Muy mala</v>
      </c>
      <c r="AG341" s="72">
        <f t="shared" si="509"/>
        <v>0</v>
      </c>
      <c r="AH341" s="72">
        <f t="shared" si="510"/>
        <v>0</v>
      </c>
      <c r="AI341" s="73">
        <f t="shared" si="511"/>
        <v>0</v>
      </c>
      <c r="AJ341" s="73"/>
      <c r="AK341" s="76">
        <f t="shared" si="512"/>
        <v>7.6923076923076925</v>
      </c>
      <c r="AL341" s="76">
        <f t="shared" si="513"/>
        <v>0</v>
      </c>
      <c r="AM341" s="76">
        <f t="shared" si="514"/>
        <v>2.6315789473684208</v>
      </c>
      <c r="AN341" s="76"/>
      <c r="AO341" s="81" t="e">
        <f t="shared" si="515"/>
        <v>#DIV/0!</v>
      </c>
      <c r="AP341" s="81" t="e">
        <f t="shared" si="516"/>
        <v>#DIV/0!</v>
      </c>
      <c r="AQ341" s="81" t="e">
        <f t="shared" si="517"/>
        <v>#DIV/0!</v>
      </c>
      <c r="AR341" s="3"/>
      <c r="AS341" s="76">
        <f t="shared" si="369"/>
        <v>1.2820512820512822</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ht="15" x14ac:dyDescent="0.25">
      <c r="A342" s="8" t="s">
        <v>45</v>
      </c>
      <c r="B342" s="9" t="s">
        <v>233</v>
      </c>
      <c r="C342" s="7"/>
      <c r="D342" s="7"/>
      <c r="E342" s="7"/>
      <c r="F342" s="71"/>
      <c r="G342" s="51">
        <f t="shared" si="494"/>
        <v>1</v>
      </c>
      <c r="H342" s="52">
        <f t="shared" si="495"/>
        <v>2.5</v>
      </c>
      <c r="I342" s="53">
        <f>COUNTIFS('00 Encuesta'!$B$2:$B$511,"*a)*",'00 Encuesta'!$C$2:$C$511,"*a)*",'00 Encuesta'!$E$2:$E$511,"*a)*",'00 Encuesta'!$AQ$2:$AQ$511,"*f)*")</f>
        <v>1</v>
      </c>
      <c r="J342" s="52">
        <f t="shared" si="496"/>
        <v>4.5454545454545459</v>
      </c>
      <c r="K342" s="53">
        <f>COUNTIFS('00 Encuesta'!$B$2:$B$511,"*a)*",'00 Encuesta'!$C$2:$C$511,"*a)*",'00 Encuesta'!$E$2:$E$511,"*b)*",'00 Encuesta'!$AQ$2:$AQ$511,"*f)*")</f>
        <v>0</v>
      </c>
      <c r="L342" s="52">
        <f t="shared" si="497"/>
        <v>0</v>
      </c>
      <c r="M342" s="23"/>
      <c r="N342" s="51">
        <f t="shared" si="498"/>
        <v>0</v>
      </c>
      <c r="O342" s="52">
        <f t="shared" si="499"/>
        <v>0</v>
      </c>
      <c r="P342" s="53">
        <f>COUNTIFS('00 Encuesta'!$B$2:$B$511,"*a)*",'00 Encuesta'!$C$2:$C$511,"*b)*",'00 Encuesta'!$E$2:$E$511,"*a)*",'00 Encuesta'!$AQ$2:$AQ$511,"*f)*")</f>
        <v>0</v>
      </c>
      <c r="Q342" s="52">
        <f t="shared" si="500"/>
        <v>0</v>
      </c>
      <c r="R342" s="53">
        <f>COUNTIFS('00 Encuesta'!$B$2:$B$511,"*a)*",'00 Encuesta'!$C$2:$C$511,"*b)*",'00 Encuesta'!$E$2:$E$511,"*b)*",'00 Encuesta'!$AQ$2:$AQ$511,"*f)*")</f>
        <v>0</v>
      </c>
      <c r="S342" s="52">
        <f t="shared" si="501"/>
        <v>0</v>
      </c>
      <c r="T342" s="3"/>
      <c r="U342" s="51">
        <f t="shared" si="502"/>
        <v>0</v>
      </c>
      <c r="V342" s="52" t="e">
        <f t="shared" si="503"/>
        <v>#DIV/0!</v>
      </c>
      <c r="W342" s="53">
        <f>COUNTIFS('00 Encuesta'!$B$2:$B$511,"*a)*",'00 Encuesta'!$C$2:$C$511,"*c)*",'00 Encuesta'!$E$2:$E$511,"*a)*",'00 Encuesta'!$AQ$2:$AQ$511,"*f)*")</f>
        <v>0</v>
      </c>
      <c r="X342" s="52" t="e">
        <f t="shared" si="504"/>
        <v>#DIV/0!</v>
      </c>
      <c r="Y342" s="53">
        <f>COUNTIFS('00 Encuesta'!$B$2:$B$511,"*a)*",'00 Encuesta'!$C$2:$C$511,"*c)*",'00 Encuesta'!$E$2:$E$511,"*b)*",'00 Encuesta'!$AQ$2:$AQ$511,"*f)*")</f>
        <v>0</v>
      </c>
      <c r="Z342" s="52" t="e">
        <f t="shared" si="505"/>
        <v>#DIV/0!</v>
      </c>
      <c r="AA342" s="3"/>
      <c r="AB342" s="62">
        <f t="shared" si="506"/>
        <v>1</v>
      </c>
      <c r="AC342" s="52">
        <f t="shared" si="507"/>
        <v>1.2820512820512822</v>
      </c>
      <c r="AD342" s="3"/>
      <c r="AE342" s="3"/>
      <c r="AF342" s="9" t="str">
        <f t="shared" si="508"/>
        <v>f) No aplica</v>
      </c>
      <c r="AG342" s="72">
        <f t="shared" si="509"/>
        <v>4.5454545454545459</v>
      </c>
      <c r="AH342" s="72">
        <f t="shared" si="510"/>
        <v>0</v>
      </c>
      <c r="AI342" s="73">
        <f t="shared" si="511"/>
        <v>2.5</v>
      </c>
      <c r="AJ342" s="73"/>
      <c r="AK342" s="76">
        <f t="shared" si="512"/>
        <v>0</v>
      </c>
      <c r="AL342" s="76">
        <f t="shared" si="513"/>
        <v>0</v>
      </c>
      <c r="AM342" s="76">
        <f t="shared" si="514"/>
        <v>0</v>
      </c>
      <c r="AN342" s="76"/>
      <c r="AO342" s="81" t="e">
        <f t="shared" si="515"/>
        <v>#DIV/0!</v>
      </c>
      <c r="AP342" s="81" t="e">
        <f t="shared" si="516"/>
        <v>#DIV/0!</v>
      </c>
      <c r="AQ342" s="81" t="e">
        <f t="shared" si="517"/>
        <v>#DIV/0!</v>
      </c>
      <c r="AR342" s="3"/>
      <c r="AS342" s="76">
        <f t="shared" si="369"/>
        <v>1.2820512820512822</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ht="15" x14ac:dyDescent="0.25">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80</v>
      </c>
      <c r="AH343" s="82">
        <f>($F337*K337+$F338*K338+$F339*K339+$F340*K340+$F341*K341)/(K337+K338+K339+K340+K341)</f>
        <v>70.833333333333329</v>
      </c>
      <c r="AI343" s="82">
        <f>($F337*G337+$F338*G338+$F339*G339+$F340*G340+$F341*G341)/(G337+G338+G339+G340+G341)</f>
        <v>75.65789473684211</v>
      </c>
      <c r="AJ343" s="82"/>
      <c r="AK343" s="82">
        <f>($F337*Q337+$F338*Q338+$F339*Q339+$F340*Q340+$F341*Q341)/(Q337+Q338+Q339+Q340+Q341)</f>
        <v>75.000000000000014</v>
      </c>
      <c r="AL343" s="82">
        <f>($F337*S337+$F338*S338+$F339*S339+$F340*S340+$F341*S341)/(S337+S338+S339+S340+S341)</f>
        <v>75</v>
      </c>
      <c r="AM343" s="82">
        <f>($F337*O337+$F338*O338+$F339*O339+$F340*O340+$F341*O341)/(O337+O338+O339+O340+O341)</f>
        <v>75</v>
      </c>
      <c r="AN343" s="82"/>
      <c r="AO343" s="82" t="e">
        <f>($F337*W337+$F338*W338+$F339*W339+$F340*W340+$F341*W341)/(W337+W338+W339+W340+W341)</f>
        <v>#DIV/0!</v>
      </c>
      <c r="AP343" s="82" t="e">
        <f>($F337*Y337+$F338*Y338+$F339*Y339+$F340*Y340+$F341*Y341)/(Y337+Y338+Y339+Y340+Y341)</f>
        <v>#DIV/0!</v>
      </c>
      <c r="AQ343" s="82" t="e">
        <f>($F337*U337+$F338*U338+$F339*U339+$F340*U340+$F341*U341)/(U337+U338+U339+U340+U341)</f>
        <v>#DIV/0!</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ht="15" x14ac:dyDescent="0.25">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ht="15" x14ac:dyDescent="0.25">
      <c r="A345" s="8" t="s">
        <v>17</v>
      </c>
      <c r="B345" s="9" t="s">
        <v>229</v>
      </c>
      <c r="C345" s="7"/>
      <c r="D345" s="7"/>
      <c r="E345" s="7"/>
      <c r="F345" s="71">
        <v>100</v>
      </c>
      <c r="G345" s="51">
        <f t="shared" ref="G345:G350" si="518">I345+K345</f>
        <v>13</v>
      </c>
      <c r="H345" s="52">
        <f t="shared" ref="H345:H350" si="519">G345/$J$5*100</f>
        <v>32.5</v>
      </c>
      <c r="I345" s="53">
        <f>COUNTIFS('00 Encuesta'!$B$2:$B$511,"*a)*",'00 Encuesta'!$C$2:$C$511,"*a)*",'00 Encuesta'!$E$2:$E$511,"*a)*",'00 Encuesta'!$AR$2:$AR$511,"*a)*")</f>
        <v>9</v>
      </c>
      <c r="J345" s="52">
        <f t="shared" ref="J345:J350" si="520">I345/$J$6*100</f>
        <v>40.909090909090914</v>
      </c>
      <c r="K345" s="53">
        <f>COUNTIFS('00 Encuesta'!$B$2:$B$511,"*a)*",'00 Encuesta'!$C$2:$C$511,"*a)*",'00 Encuesta'!$E$2:$E$511,"*b)*",'00 Encuesta'!$AR$2:$AR$511,"*a)*")</f>
        <v>4</v>
      </c>
      <c r="L345" s="52">
        <f t="shared" ref="L345:L350" si="521">K345/$J$7*100</f>
        <v>22.222222222222221</v>
      </c>
      <c r="M345" s="23"/>
      <c r="N345" s="51">
        <f t="shared" ref="N345:N350" si="522">P345+R345</f>
        <v>7</v>
      </c>
      <c r="O345" s="52">
        <f t="shared" ref="O345:O350" si="523">N345/$Q$5*100</f>
        <v>18.421052631578945</v>
      </c>
      <c r="P345" s="53">
        <f>COUNTIFS('00 Encuesta'!$B$2:$B$511,"*a)*",'00 Encuesta'!$C$2:$C$511,"*b)*",'00 Encuesta'!$E$2:$E$511,"*a)*",'00 Encuesta'!$AR$2:$AR$511,"*a)*")</f>
        <v>4</v>
      </c>
      <c r="Q345" s="52">
        <f t="shared" ref="Q345:Q350" si="524">P345/$Q$6*100</f>
        <v>30.76923076923077</v>
      </c>
      <c r="R345" s="53">
        <f>COUNTIFS('00 Encuesta'!$B$2:$B$511,"*a)*",'00 Encuesta'!$C$2:$C$511,"*b)*",'00 Encuesta'!$E$2:$E$511,"*b)*",'00 Encuesta'!$AR$2:$AR$511,"*a)*")</f>
        <v>3</v>
      </c>
      <c r="S345" s="52">
        <f t="shared" ref="S345:S350" si="525">R345/$Q$7*100</f>
        <v>12</v>
      </c>
      <c r="T345" s="3"/>
      <c r="U345" s="51">
        <f t="shared" ref="U345:U350" si="526">W345+Y345</f>
        <v>0</v>
      </c>
      <c r="V345" s="52" t="e">
        <f t="shared" ref="V345:V350" si="527">U345/$X$5*100</f>
        <v>#DIV/0!</v>
      </c>
      <c r="W345" s="53">
        <f>COUNTIFS('00 Encuesta'!$B$2:$B$511,"*a)*",'00 Encuesta'!$C$2:$C$511,"*c)*",'00 Encuesta'!$E$2:$E$511,"*a)*",'00 Encuesta'!$AR$2:$AR$511,"*a)*")</f>
        <v>0</v>
      </c>
      <c r="X345" s="52" t="e">
        <f t="shared" ref="X345:X350" si="528">W345/$X$6*100</f>
        <v>#DIV/0!</v>
      </c>
      <c r="Y345" s="53">
        <f>COUNTIFS('00 Encuesta'!$B$2:$B$511,"*a)*",'00 Encuesta'!$C$2:$C$511,"*c)*",'00 Encuesta'!$E$2:$E$511,"*b)*",'00 Encuesta'!$AR$2:$AR$511,"*a)*")</f>
        <v>0</v>
      </c>
      <c r="Z345" s="52" t="e">
        <f t="shared" ref="Z345:Z350" si="529">Y345/$X$7*100</f>
        <v>#DIV/0!</v>
      </c>
      <c r="AA345" s="3"/>
      <c r="AB345" s="62">
        <f t="shared" ref="AB345:AB350" si="530">G345+N345+U345</f>
        <v>20</v>
      </c>
      <c r="AC345" s="52">
        <f t="shared" ref="AC345:AC350" si="531">AB345*100/$AC$5</f>
        <v>25.641025641025642</v>
      </c>
      <c r="AD345" s="3"/>
      <c r="AE345" s="3"/>
      <c r="AF345" s="9" t="str">
        <f t="shared" ref="AF345:AF351" si="532">A345&amp;" "&amp;B345</f>
        <v>a) Muy buena</v>
      </c>
      <c r="AG345" s="72">
        <f t="shared" ref="AG345:AG350" si="533">J345</f>
        <v>40.909090909090914</v>
      </c>
      <c r="AH345" s="72">
        <f t="shared" ref="AH345:AH350" si="534">L345</f>
        <v>22.222222222222221</v>
      </c>
      <c r="AI345" s="73">
        <f t="shared" ref="AI345:AI350" si="535">H345</f>
        <v>32.5</v>
      </c>
      <c r="AJ345" s="73"/>
      <c r="AK345" s="76">
        <f t="shared" ref="AK345:AK350" si="536">Q345</f>
        <v>30.76923076923077</v>
      </c>
      <c r="AL345" s="76">
        <f t="shared" ref="AL345:AL350" si="537">S345</f>
        <v>12</v>
      </c>
      <c r="AM345" s="76">
        <f t="shared" ref="AM345:AM350" si="538">O345</f>
        <v>18.421052631578945</v>
      </c>
      <c r="AN345" s="76"/>
      <c r="AO345" s="81" t="e">
        <f t="shared" ref="AO345:AO350" si="539">X345</f>
        <v>#DIV/0!</v>
      </c>
      <c r="AP345" s="81" t="e">
        <f t="shared" ref="AP345:AP350" si="540">Z345</f>
        <v>#DIV/0!</v>
      </c>
      <c r="AQ345" s="81" t="e">
        <f t="shared" ref="AQ345:AQ350" si="541">V345</f>
        <v>#DIV/0!</v>
      </c>
      <c r="AR345" s="3"/>
      <c r="AS345" s="76">
        <f t="shared" ref="AS345:AS408" si="542">AC345</f>
        <v>25.641025641025642</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ht="15" x14ac:dyDescent="0.25">
      <c r="A346" s="8" t="s">
        <v>18</v>
      </c>
      <c r="B346" s="9" t="s">
        <v>230</v>
      </c>
      <c r="C346" s="7"/>
      <c r="D346" s="7"/>
      <c r="E346" s="7"/>
      <c r="F346" s="71">
        <v>75</v>
      </c>
      <c r="G346" s="51">
        <f t="shared" si="518"/>
        <v>12</v>
      </c>
      <c r="H346" s="52">
        <f t="shared" si="519"/>
        <v>30</v>
      </c>
      <c r="I346" s="53">
        <f>COUNTIFS('00 Encuesta'!$B$2:$B$511,"*a)*",'00 Encuesta'!$C$2:$C$511,"*a)*",'00 Encuesta'!$E$2:$E$511,"*a)*",'00 Encuesta'!$AR$2:$AR$511,"*b)*")</f>
        <v>4</v>
      </c>
      <c r="J346" s="52">
        <f t="shared" si="520"/>
        <v>18.181818181818183</v>
      </c>
      <c r="K346" s="53">
        <f>COUNTIFS('00 Encuesta'!$B$2:$B$511,"*a)*",'00 Encuesta'!$C$2:$C$511,"*a)*",'00 Encuesta'!$E$2:$E$511,"*b)*",'00 Encuesta'!$AR$2:$AR$511,"*b)*")</f>
        <v>8</v>
      </c>
      <c r="L346" s="52">
        <f t="shared" si="521"/>
        <v>44.444444444444443</v>
      </c>
      <c r="M346" s="23"/>
      <c r="N346" s="51">
        <f t="shared" si="522"/>
        <v>17</v>
      </c>
      <c r="O346" s="52">
        <f t="shared" si="523"/>
        <v>44.736842105263158</v>
      </c>
      <c r="P346" s="53">
        <f>COUNTIFS('00 Encuesta'!$B$2:$B$511,"*a)*",'00 Encuesta'!$C$2:$C$511,"*b)*",'00 Encuesta'!$E$2:$E$511,"*a)*",'00 Encuesta'!$AR$2:$AR$511,"*b)*")</f>
        <v>5</v>
      </c>
      <c r="Q346" s="52">
        <f t="shared" si="524"/>
        <v>38.461538461538467</v>
      </c>
      <c r="R346" s="53">
        <f>COUNTIFS('00 Encuesta'!$B$2:$B$511,"*a)*",'00 Encuesta'!$C$2:$C$511,"*b)*",'00 Encuesta'!$E$2:$E$511,"*b)*",'00 Encuesta'!$AR$2:$AR$511,"*b)*")</f>
        <v>12</v>
      </c>
      <c r="S346" s="52">
        <f t="shared" si="525"/>
        <v>48</v>
      </c>
      <c r="T346" s="3"/>
      <c r="U346" s="51">
        <f t="shared" si="526"/>
        <v>0</v>
      </c>
      <c r="V346" s="52" t="e">
        <f t="shared" si="527"/>
        <v>#DIV/0!</v>
      </c>
      <c r="W346" s="53">
        <f>COUNTIFS('00 Encuesta'!$B$2:$B$511,"*a)*",'00 Encuesta'!$C$2:$C$511,"*c)*",'00 Encuesta'!$E$2:$E$511,"*a)*",'00 Encuesta'!$AR$2:$AR$511,"*b)*")</f>
        <v>0</v>
      </c>
      <c r="X346" s="52" t="e">
        <f t="shared" si="528"/>
        <v>#DIV/0!</v>
      </c>
      <c r="Y346" s="53">
        <f>COUNTIFS('00 Encuesta'!$B$2:$B$511,"*a)*",'00 Encuesta'!$C$2:$C$511,"*c)*",'00 Encuesta'!$E$2:$E$511,"*b)*",'00 Encuesta'!$AR$2:$AR$511,"*b)*")</f>
        <v>0</v>
      </c>
      <c r="Z346" s="52" t="e">
        <f t="shared" si="529"/>
        <v>#DIV/0!</v>
      </c>
      <c r="AA346" s="3"/>
      <c r="AB346" s="62">
        <f t="shared" si="530"/>
        <v>29</v>
      </c>
      <c r="AC346" s="52">
        <f t="shared" si="531"/>
        <v>37.179487179487182</v>
      </c>
      <c r="AD346" s="3"/>
      <c r="AE346" s="3"/>
      <c r="AF346" s="9" t="str">
        <f t="shared" si="532"/>
        <v>b) Buena</v>
      </c>
      <c r="AG346" s="72">
        <f t="shared" si="533"/>
        <v>18.181818181818183</v>
      </c>
      <c r="AH346" s="72">
        <f t="shared" si="534"/>
        <v>44.444444444444443</v>
      </c>
      <c r="AI346" s="73">
        <f t="shared" si="535"/>
        <v>30</v>
      </c>
      <c r="AJ346" s="73"/>
      <c r="AK346" s="76">
        <f t="shared" si="536"/>
        <v>38.461538461538467</v>
      </c>
      <c r="AL346" s="76">
        <f t="shared" si="537"/>
        <v>48</v>
      </c>
      <c r="AM346" s="76">
        <f t="shared" si="538"/>
        <v>44.736842105263158</v>
      </c>
      <c r="AN346" s="76"/>
      <c r="AO346" s="81" t="e">
        <f t="shared" si="539"/>
        <v>#DIV/0!</v>
      </c>
      <c r="AP346" s="81" t="e">
        <f t="shared" si="540"/>
        <v>#DIV/0!</v>
      </c>
      <c r="AQ346" s="81" t="e">
        <f t="shared" si="541"/>
        <v>#DIV/0!</v>
      </c>
      <c r="AR346" s="3"/>
      <c r="AS346" s="76">
        <f t="shared" si="542"/>
        <v>37.179487179487182</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ht="15" x14ac:dyDescent="0.25">
      <c r="A347" s="8" t="s">
        <v>20</v>
      </c>
      <c r="B347" s="9" t="s">
        <v>218</v>
      </c>
      <c r="C347" s="7"/>
      <c r="D347" s="7"/>
      <c r="E347" s="7"/>
      <c r="F347" s="71">
        <v>50</v>
      </c>
      <c r="G347" s="51">
        <f t="shared" si="518"/>
        <v>9</v>
      </c>
      <c r="H347" s="52">
        <f t="shared" si="519"/>
        <v>22.5</v>
      </c>
      <c r="I347" s="53">
        <f>COUNTIFS('00 Encuesta'!$B$2:$B$511,"*a)*",'00 Encuesta'!$C$2:$C$511,"*a)*",'00 Encuesta'!$E$2:$E$511,"*a)*",'00 Encuesta'!$AR$2:$AR$511,"*c)*")</f>
        <v>5</v>
      </c>
      <c r="J347" s="52">
        <f t="shared" si="520"/>
        <v>22.727272727272727</v>
      </c>
      <c r="K347" s="53">
        <f>COUNTIFS('00 Encuesta'!$B$2:$B$511,"*a)*",'00 Encuesta'!$C$2:$C$511,"*a)*",'00 Encuesta'!$E$2:$E$511,"*b)*",'00 Encuesta'!$AR$2:$AR$511,"*c)*")</f>
        <v>4</v>
      </c>
      <c r="L347" s="52">
        <f t="shared" si="521"/>
        <v>22.222222222222221</v>
      </c>
      <c r="M347" s="23"/>
      <c r="N347" s="51">
        <f t="shared" si="522"/>
        <v>6</v>
      </c>
      <c r="O347" s="52">
        <f t="shared" si="523"/>
        <v>15.789473684210526</v>
      </c>
      <c r="P347" s="53">
        <f>COUNTIFS('00 Encuesta'!$B$2:$B$511,"*a)*",'00 Encuesta'!$C$2:$C$511,"*b)*",'00 Encuesta'!$E$2:$E$511,"*a)*",'00 Encuesta'!$AR$2:$AR$511,"*c)*")</f>
        <v>3</v>
      </c>
      <c r="Q347" s="52">
        <f t="shared" si="524"/>
        <v>23.076923076923077</v>
      </c>
      <c r="R347" s="53">
        <f>COUNTIFS('00 Encuesta'!$B$2:$B$511,"*a)*",'00 Encuesta'!$C$2:$C$511,"*b)*",'00 Encuesta'!$E$2:$E$511,"*b)*",'00 Encuesta'!$AR$2:$AR$511,"*c)*")</f>
        <v>3</v>
      </c>
      <c r="S347" s="52">
        <f t="shared" si="525"/>
        <v>12</v>
      </c>
      <c r="T347" s="3"/>
      <c r="U347" s="51">
        <f t="shared" si="526"/>
        <v>0</v>
      </c>
      <c r="V347" s="52" t="e">
        <f t="shared" si="527"/>
        <v>#DIV/0!</v>
      </c>
      <c r="W347" s="53">
        <f>COUNTIFS('00 Encuesta'!$B$2:$B$511,"*a)*",'00 Encuesta'!$C$2:$C$511,"*c)*",'00 Encuesta'!$E$2:$E$511,"*a)*",'00 Encuesta'!$AR$2:$AR$511,"*c)*")</f>
        <v>0</v>
      </c>
      <c r="X347" s="52" t="e">
        <f t="shared" si="528"/>
        <v>#DIV/0!</v>
      </c>
      <c r="Y347" s="53">
        <f>COUNTIFS('00 Encuesta'!$B$2:$B$511,"*a)*",'00 Encuesta'!$C$2:$C$511,"*c)*",'00 Encuesta'!$E$2:$E$511,"*b)*",'00 Encuesta'!$AR$2:$AR$511,"*c)*")</f>
        <v>0</v>
      </c>
      <c r="Z347" s="52" t="e">
        <f t="shared" si="529"/>
        <v>#DIV/0!</v>
      </c>
      <c r="AA347" s="3"/>
      <c r="AB347" s="62">
        <f t="shared" si="530"/>
        <v>15</v>
      </c>
      <c r="AC347" s="52">
        <f t="shared" si="531"/>
        <v>19.23076923076923</v>
      </c>
      <c r="AD347" s="3"/>
      <c r="AE347" s="3"/>
      <c r="AF347" s="9" t="str">
        <f t="shared" si="532"/>
        <v>c) Regular</v>
      </c>
      <c r="AG347" s="72">
        <f t="shared" si="533"/>
        <v>22.727272727272727</v>
      </c>
      <c r="AH347" s="72">
        <f t="shared" si="534"/>
        <v>22.222222222222221</v>
      </c>
      <c r="AI347" s="73">
        <f t="shared" si="535"/>
        <v>22.5</v>
      </c>
      <c r="AJ347" s="73"/>
      <c r="AK347" s="76">
        <f t="shared" si="536"/>
        <v>23.076923076923077</v>
      </c>
      <c r="AL347" s="76">
        <f t="shared" si="537"/>
        <v>12</v>
      </c>
      <c r="AM347" s="76">
        <f t="shared" si="538"/>
        <v>15.789473684210526</v>
      </c>
      <c r="AN347" s="76"/>
      <c r="AO347" s="81" t="e">
        <f t="shared" si="539"/>
        <v>#DIV/0!</v>
      </c>
      <c r="AP347" s="81" t="e">
        <f t="shared" si="540"/>
        <v>#DIV/0!</v>
      </c>
      <c r="AQ347" s="81" t="e">
        <f t="shared" si="541"/>
        <v>#DIV/0!</v>
      </c>
      <c r="AR347" s="3"/>
      <c r="AS347" s="76">
        <f t="shared" si="542"/>
        <v>19.23076923076923</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ht="15" x14ac:dyDescent="0.25">
      <c r="A348" s="8" t="s">
        <v>21</v>
      </c>
      <c r="B348" s="9" t="s">
        <v>231</v>
      </c>
      <c r="C348" s="7"/>
      <c r="D348" s="7"/>
      <c r="E348" s="7"/>
      <c r="F348" s="71">
        <v>25</v>
      </c>
      <c r="G348" s="51">
        <f t="shared" si="518"/>
        <v>2</v>
      </c>
      <c r="H348" s="52">
        <f t="shared" si="519"/>
        <v>5</v>
      </c>
      <c r="I348" s="53">
        <f>COUNTIFS('00 Encuesta'!$B$2:$B$511,"*a)*",'00 Encuesta'!$C$2:$C$511,"*a)*",'00 Encuesta'!$E$2:$E$511,"*a)*",'00 Encuesta'!$AR$2:$AR$511,"*d)*")</f>
        <v>1</v>
      </c>
      <c r="J348" s="52">
        <f t="shared" si="520"/>
        <v>4.5454545454545459</v>
      </c>
      <c r="K348" s="53">
        <f>COUNTIFS('00 Encuesta'!$B$2:$B$511,"*a)*",'00 Encuesta'!$C$2:$C$511,"*a)*",'00 Encuesta'!$E$2:$E$511,"*b)*",'00 Encuesta'!$AR$2:$AR$511,"*d)*")</f>
        <v>1</v>
      </c>
      <c r="L348" s="52">
        <f t="shared" si="521"/>
        <v>5.5555555555555554</v>
      </c>
      <c r="M348" s="23"/>
      <c r="N348" s="51">
        <f t="shared" si="522"/>
        <v>4</v>
      </c>
      <c r="O348" s="52">
        <f t="shared" si="523"/>
        <v>10.526315789473683</v>
      </c>
      <c r="P348" s="53">
        <f>COUNTIFS('00 Encuesta'!$B$2:$B$511,"*a)*",'00 Encuesta'!$C$2:$C$511,"*b)*",'00 Encuesta'!$E$2:$E$511,"*a)*",'00 Encuesta'!$AR$2:$AR$511,"*d)*")</f>
        <v>0</v>
      </c>
      <c r="Q348" s="52">
        <f t="shared" si="524"/>
        <v>0</v>
      </c>
      <c r="R348" s="53">
        <f>COUNTIFS('00 Encuesta'!$B$2:$B$511,"*a)*",'00 Encuesta'!$C$2:$C$511,"*b)*",'00 Encuesta'!$E$2:$E$511,"*b)*",'00 Encuesta'!$AR$2:$AR$511,"*d)*")</f>
        <v>4</v>
      </c>
      <c r="S348" s="52">
        <f t="shared" si="525"/>
        <v>16</v>
      </c>
      <c r="T348" s="3"/>
      <c r="U348" s="51">
        <f t="shared" si="526"/>
        <v>0</v>
      </c>
      <c r="V348" s="52" t="e">
        <f t="shared" si="527"/>
        <v>#DIV/0!</v>
      </c>
      <c r="W348" s="53">
        <f>COUNTIFS('00 Encuesta'!$B$2:$B$511,"*a)*",'00 Encuesta'!$C$2:$C$511,"*c)*",'00 Encuesta'!$E$2:$E$511,"*a)*",'00 Encuesta'!$AR$2:$AR$511,"*d)*")</f>
        <v>0</v>
      </c>
      <c r="X348" s="52" t="e">
        <f t="shared" si="528"/>
        <v>#DIV/0!</v>
      </c>
      <c r="Y348" s="53">
        <f>COUNTIFS('00 Encuesta'!$B$2:$B$511,"*a)*",'00 Encuesta'!$C$2:$C$511,"*c)*",'00 Encuesta'!$E$2:$E$511,"*b)*",'00 Encuesta'!$AR$2:$AR$511,"*d)*")</f>
        <v>0</v>
      </c>
      <c r="Z348" s="52" t="e">
        <f t="shared" si="529"/>
        <v>#DIV/0!</v>
      </c>
      <c r="AA348" s="3"/>
      <c r="AB348" s="62">
        <f t="shared" si="530"/>
        <v>6</v>
      </c>
      <c r="AC348" s="52">
        <f t="shared" si="531"/>
        <v>7.6923076923076925</v>
      </c>
      <c r="AD348" s="3"/>
      <c r="AE348" s="3"/>
      <c r="AF348" s="9" t="str">
        <f t="shared" si="532"/>
        <v>d) Mala</v>
      </c>
      <c r="AG348" s="72">
        <f t="shared" si="533"/>
        <v>4.5454545454545459</v>
      </c>
      <c r="AH348" s="72">
        <f t="shared" si="534"/>
        <v>5.5555555555555554</v>
      </c>
      <c r="AI348" s="73">
        <f t="shared" si="535"/>
        <v>5</v>
      </c>
      <c r="AJ348" s="73"/>
      <c r="AK348" s="76">
        <f t="shared" si="536"/>
        <v>0</v>
      </c>
      <c r="AL348" s="76">
        <f t="shared" si="537"/>
        <v>16</v>
      </c>
      <c r="AM348" s="76">
        <f t="shared" si="538"/>
        <v>10.526315789473683</v>
      </c>
      <c r="AN348" s="76"/>
      <c r="AO348" s="81" t="e">
        <f t="shared" si="539"/>
        <v>#DIV/0!</v>
      </c>
      <c r="AP348" s="81" t="e">
        <f t="shared" si="540"/>
        <v>#DIV/0!</v>
      </c>
      <c r="AQ348" s="81" t="e">
        <f t="shared" si="541"/>
        <v>#DIV/0!</v>
      </c>
      <c r="AR348" s="3"/>
      <c r="AS348" s="76">
        <f t="shared" si="542"/>
        <v>7.6923076923076925</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ht="15" x14ac:dyDescent="0.25">
      <c r="A349" s="8" t="s">
        <v>22</v>
      </c>
      <c r="B349" s="9" t="s">
        <v>232</v>
      </c>
      <c r="C349" s="7"/>
      <c r="D349" s="7"/>
      <c r="E349" s="7"/>
      <c r="F349" s="71">
        <v>0</v>
      </c>
      <c r="G349" s="51">
        <f t="shared" si="518"/>
        <v>1</v>
      </c>
      <c r="H349" s="52">
        <f t="shared" si="519"/>
        <v>2.5</v>
      </c>
      <c r="I349" s="53">
        <f>COUNTIFS('00 Encuesta'!$B$2:$B$511,"*a)*",'00 Encuesta'!$C$2:$C$511,"*a)*",'00 Encuesta'!$E$2:$E$511,"*a)*",'00 Encuesta'!$AR$2:$AR$511,"*e)*")</f>
        <v>1</v>
      </c>
      <c r="J349" s="52">
        <f t="shared" si="520"/>
        <v>4.5454545454545459</v>
      </c>
      <c r="K349" s="53">
        <f>COUNTIFS('00 Encuesta'!$B$2:$B$511,"*a)*",'00 Encuesta'!$C$2:$C$511,"*a)*",'00 Encuesta'!$E$2:$E$511,"*b)*",'00 Encuesta'!$AR$2:$AR$511,"*e)*")</f>
        <v>0</v>
      </c>
      <c r="L349" s="52">
        <f t="shared" si="521"/>
        <v>0</v>
      </c>
      <c r="M349" s="23"/>
      <c r="N349" s="51">
        <f t="shared" si="522"/>
        <v>2</v>
      </c>
      <c r="O349" s="52">
        <f t="shared" si="523"/>
        <v>5.2631578947368416</v>
      </c>
      <c r="P349" s="53">
        <f>COUNTIFS('00 Encuesta'!$B$2:$B$511,"*a)*",'00 Encuesta'!$C$2:$C$511,"*b)*",'00 Encuesta'!$E$2:$E$511,"*a)*",'00 Encuesta'!$AR$2:$AR$511,"*e)*")</f>
        <v>1</v>
      </c>
      <c r="Q349" s="52">
        <f t="shared" si="524"/>
        <v>7.6923076923076925</v>
      </c>
      <c r="R349" s="53">
        <f>COUNTIFS('00 Encuesta'!$B$2:$B$511,"*a)*",'00 Encuesta'!$C$2:$C$511,"*b)*",'00 Encuesta'!$E$2:$E$511,"*b)*",'00 Encuesta'!$AR$2:$AR$511,"*e)*")</f>
        <v>1</v>
      </c>
      <c r="S349" s="52">
        <f t="shared" si="525"/>
        <v>4</v>
      </c>
      <c r="T349" s="3"/>
      <c r="U349" s="51">
        <f t="shared" si="526"/>
        <v>0</v>
      </c>
      <c r="V349" s="52" t="e">
        <f t="shared" si="527"/>
        <v>#DIV/0!</v>
      </c>
      <c r="W349" s="53">
        <f>COUNTIFS('00 Encuesta'!$B$2:$B$511,"*a)*",'00 Encuesta'!$C$2:$C$511,"*c)*",'00 Encuesta'!$E$2:$E$511,"*a)*",'00 Encuesta'!$AR$2:$AR$511,"*e)*")</f>
        <v>0</v>
      </c>
      <c r="X349" s="52" t="e">
        <f t="shared" si="528"/>
        <v>#DIV/0!</v>
      </c>
      <c r="Y349" s="53">
        <f>COUNTIFS('00 Encuesta'!$B$2:$B$511,"*a)*",'00 Encuesta'!$C$2:$C$511,"*c)*",'00 Encuesta'!$E$2:$E$511,"*b)*",'00 Encuesta'!$AR$2:$AR$511,"*e)*")</f>
        <v>0</v>
      </c>
      <c r="Z349" s="52" t="e">
        <f t="shared" si="529"/>
        <v>#DIV/0!</v>
      </c>
      <c r="AA349" s="3"/>
      <c r="AB349" s="62">
        <f t="shared" si="530"/>
        <v>3</v>
      </c>
      <c r="AC349" s="52">
        <f t="shared" si="531"/>
        <v>3.8461538461538463</v>
      </c>
      <c r="AD349" s="3"/>
      <c r="AE349" s="3"/>
      <c r="AF349" s="9" t="str">
        <f t="shared" si="532"/>
        <v>e) Muy mala</v>
      </c>
      <c r="AG349" s="72">
        <f t="shared" si="533"/>
        <v>4.5454545454545459</v>
      </c>
      <c r="AH349" s="72">
        <f t="shared" si="534"/>
        <v>0</v>
      </c>
      <c r="AI349" s="73">
        <f t="shared" si="535"/>
        <v>2.5</v>
      </c>
      <c r="AJ349" s="73"/>
      <c r="AK349" s="76">
        <f t="shared" si="536"/>
        <v>7.6923076923076925</v>
      </c>
      <c r="AL349" s="76">
        <f t="shared" si="537"/>
        <v>4</v>
      </c>
      <c r="AM349" s="76">
        <f t="shared" si="538"/>
        <v>5.2631578947368416</v>
      </c>
      <c r="AN349" s="76"/>
      <c r="AO349" s="81" t="e">
        <f t="shared" si="539"/>
        <v>#DIV/0!</v>
      </c>
      <c r="AP349" s="81" t="e">
        <f t="shared" si="540"/>
        <v>#DIV/0!</v>
      </c>
      <c r="AQ349" s="81" t="e">
        <f t="shared" si="541"/>
        <v>#DIV/0!</v>
      </c>
      <c r="AR349" s="3"/>
      <c r="AS349" s="76">
        <f t="shared" si="542"/>
        <v>3.8461538461538463</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ht="15" x14ac:dyDescent="0.25">
      <c r="A350" s="8" t="s">
        <v>45</v>
      </c>
      <c r="B350" s="9" t="s">
        <v>233</v>
      </c>
      <c r="C350" s="7"/>
      <c r="D350" s="7"/>
      <c r="E350" s="7"/>
      <c r="F350" s="71"/>
      <c r="G350" s="51">
        <f t="shared" si="518"/>
        <v>1</v>
      </c>
      <c r="H350" s="52">
        <f t="shared" si="519"/>
        <v>2.5</v>
      </c>
      <c r="I350" s="53">
        <f>COUNTIFS('00 Encuesta'!$B$2:$B$511,"*a)*",'00 Encuesta'!$C$2:$C$511,"*a)*",'00 Encuesta'!$E$2:$E$511,"*a)*",'00 Encuesta'!$AR$2:$AR$511,"*f)*")</f>
        <v>0</v>
      </c>
      <c r="J350" s="52">
        <f t="shared" si="520"/>
        <v>0</v>
      </c>
      <c r="K350" s="53">
        <f>COUNTIFS('00 Encuesta'!$B$2:$B$511,"*a)*",'00 Encuesta'!$C$2:$C$511,"*a)*",'00 Encuesta'!$E$2:$E$511,"*b)*",'00 Encuesta'!$AR$2:$AR$511,"*f)*")</f>
        <v>1</v>
      </c>
      <c r="L350" s="52">
        <f t="shared" si="521"/>
        <v>5.5555555555555554</v>
      </c>
      <c r="M350" s="23"/>
      <c r="N350" s="51">
        <f t="shared" si="522"/>
        <v>0</v>
      </c>
      <c r="O350" s="52">
        <f t="shared" si="523"/>
        <v>0</v>
      </c>
      <c r="P350" s="53">
        <f>COUNTIFS('00 Encuesta'!$B$2:$B$511,"*a)*",'00 Encuesta'!$C$2:$C$511,"*b)*",'00 Encuesta'!$E$2:$E$511,"*a)*",'00 Encuesta'!$AR$2:$AR$511,"*f)*")</f>
        <v>0</v>
      </c>
      <c r="Q350" s="52">
        <f t="shared" si="524"/>
        <v>0</v>
      </c>
      <c r="R350" s="53">
        <f>COUNTIFS('00 Encuesta'!$B$2:$B$511,"*a)*",'00 Encuesta'!$C$2:$C$511,"*b)*",'00 Encuesta'!$E$2:$E$511,"*b)*",'00 Encuesta'!$AR$2:$AR$511,"*f)*")</f>
        <v>0</v>
      </c>
      <c r="S350" s="52">
        <f t="shared" si="525"/>
        <v>0</v>
      </c>
      <c r="T350" s="3"/>
      <c r="U350" s="51">
        <f t="shared" si="526"/>
        <v>0</v>
      </c>
      <c r="V350" s="52" t="e">
        <f t="shared" si="527"/>
        <v>#DIV/0!</v>
      </c>
      <c r="W350" s="53">
        <f>COUNTIFS('00 Encuesta'!$B$2:$B$511,"*a)*",'00 Encuesta'!$C$2:$C$511,"*c)*",'00 Encuesta'!$E$2:$E$511,"*a)*",'00 Encuesta'!$AR$2:$AR$511,"*f)*")</f>
        <v>0</v>
      </c>
      <c r="X350" s="52" t="e">
        <f t="shared" si="528"/>
        <v>#DIV/0!</v>
      </c>
      <c r="Y350" s="53">
        <f>COUNTIFS('00 Encuesta'!$B$2:$B$511,"*a)*",'00 Encuesta'!$C$2:$C$511,"*c)*",'00 Encuesta'!$E$2:$E$511,"*b)*",'00 Encuesta'!$AR$2:$AR$511,"*f)*")</f>
        <v>0</v>
      </c>
      <c r="Z350" s="52" t="e">
        <f t="shared" si="529"/>
        <v>#DIV/0!</v>
      </c>
      <c r="AA350" s="3"/>
      <c r="AB350" s="62">
        <f t="shared" si="530"/>
        <v>1</v>
      </c>
      <c r="AC350" s="52">
        <f t="shared" si="531"/>
        <v>1.2820512820512822</v>
      </c>
      <c r="AD350" s="3"/>
      <c r="AE350" s="3"/>
      <c r="AF350" s="9" t="str">
        <f t="shared" si="532"/>
        <v>f) No aplica</v>
      </c>
      <c r="AG350" s="72">
        <f t="shared" si="533"/>
        <v>0</v>
      </c>
      <c r="AH350" s="72">
        <f t="shared" si="534"/>
        <v>5.5555555555555554</v>
      </c>
      <c r="AI350" s="73">
        <f t="shared" si="535"/>
        <v>2.5</v>
      </c>
      <c r="AJ350" s="73"/>
      <c r="AK350" s="76">
        <f t="shared" si="536"/>
        <v>0</v>
      </c>
      <c r="AL350" s="76">
        <f t="shared" si="537"/>
        <v>0</v>
      </c>
      <c r="AM350" s="76">
        <f t="shared" si="538"/>
        <v>0</v>
      </c>
      <c r="AN350" s="76"/>
      <c r="AO350" s="81" t="e">
        <f t="shared" si="539"/>
        <v>#DIV/0!</v>
      </c>
      <c r="AP350" s="81" t="e">
        <f t="shared" si="540"/>
        <v>#DIV/0!</v>
      </c>
      <c r="AQ350" s="81" t="e">
        <f t="shared" si="541"/>
        <v>#DIV/0!</v>
      </c>
      <c r="AR350" s="3"/>
      <c r="AS350" s="76">
        <f t="shared" si="542"/>
        <v>1.2820512820512822</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ht="15" x14ac:dyDescent="0.25">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f>($F345*I345+$F346*I346+$F347*I347+$F348*I348+$F349*I349)/(I345+I346+I347+I348+I349)</f>
        <v>73.75</v>
      </c>
      <c r="AH351" s="82">
        <f>($F345*K345+$F346*K346+$F347*K347+$F348*K348+$F349*K349)/(K345+K346+K347+K348+K349)</f>
        <v>72.058823529411768</v>
      </c>
      <c r="AI351" s="82">
        <f>($F345*G345+$F346*G346+$F347*G347+$F348*G348+$F349*G349)/(G345+G346+G347+G348+G349)</f>
        <v>72.972972972972968</v>
      </c>
      <c r="AJ351" s="82"/>
      <c r="AK351" s="82">
        <f>($F345*Q345+$F346*Q346+$F347*Q347+$F348*Q348+$F349*Q349)/(Q345+Q346+Q347+Q348+Q349)</f>
        <v>71.15384615384616</v>
      </c>
      <c r="AL351" s="82">
        <f>($F345*S345+$F346*S346+$F347*S347+$F348*S348+$F349*S349)/(S345+S346+S347+S348+S349)</f>
        <v>63.043478260869563</v>
      </c>
      <c r="AM351" s="82">
        <f>($F345*O345+$F346*O346+$F347*O347+$F348*O348+$F349*O349)/(O345+O346+O347+O348+O349)</f>
        <v>65.972222222222229</v>
      </c>
      <c r="AN351" s="82"/>
      <c r="AO351" s="82" t="e">
        <f>($F345*W345+$F346*W346+$F347*W347+$F348*W348+$F349*W349)/(W345+W346+W347+W348+W349)</f>
        <v>#DIV/0!</v>
      </c>
      <c r="AP351" s="82" t="e">
        <f>($F345*Y345+$F346*Y346+$F347*Y347+$F348*Y348+$F349*Y349)/(Y345+Y346+Y347+Y348+Y349)</f>
        <v>#DIV/0!</v>
      </c>
      <c r="AQ351" s="82" t="e">
        <f>($F345*U345+$F346*U346+$F347*U347+$F348*U348+$F349*U349)/(U345+U346+U347+U348+U349)</f>
        <v>#DIV/0!</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ht="15" x14ac:dyDescent="0.25">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ht="15" x14ac:dyDescent="0.25">
      <c r="A353" s="8" t="s">
        <v>17</v>
      </c>
      <c r="B353" s="9" t="s">
        <v>229</v>
      </c>
      <c r="C353" s="7"/>
      <c r="D353" s="7"/>
      <c r="E353" s="7"/>
      <c r="F353" s="71">
        <v>100</v>
      </c>
      <c r="G353" s="51">
        <f t="shared" ref="G353:G358" si="543">I353+K353</f>
        <v>5</v>
      </c>
      <c r="H353" s="52">
        <f t="shared" ref="H353:H358" si="544">G353/$J$5*100</f>
        <v>12.5</v>
      </c>
      <c r="I353" s="53">
        <f>COUNTIFS('00 Encuesta'!$B$2:$B$511,"*a)*",'00 Encuesta'!$C$2:$C$511,"*a)*",'00 Encuesta'!$E$2:$E$511,"*a)*",'00 Encuesta'!$AS$2:$AS$511,"*a)*")</f>
        <v>3</v>
      </c>
      <c r="J353" s="52">
        <f t="shared" ref="J353:J358" si="545">I353/$J$6*100</f>
        <v>13.636363636363635</v>
      </c>
      <c r="K353" s="53">
        <f>COUNTIFS('00 Encuesta'!$B$2:$B$511,"*a)*",'00 Encuesta'!$C$2:$C$511,"*a)*",'00 Encuesta'!$E$2:$E$511,"*b)*",'00 Encuesta'!$AS$2:$AS$511,"*a)*")</f>
        <v>2</v>
      </c>
      <c r="L353" s="52">
        <f t="shared" ref="L353:L358" si="546">K353/$J$7*100</f>
        <v>11.111111111111111</v>
      </c>
      <c r="M353" s="23"/>
      <c r="N353" s="51">
        <f t="shared" ref="N353:N358" si="547">P353+R353</f>
        <v>5</v>
      </c>
      <c r="O353" s="52">
        <f t="shared" ref="O353:O358" si="548">N353/$Q$5*100</f>
        <v>13.157894736842104</v>
      </c>
      <c r="P353" s="53">
        <f>COUNTIFS('00 Encuesta'!$B$2:$B$511,"*a)*",'00 Encuesta'!$C$2:$C$511,"*b)*",'00 Encuesta'!$E$2:$E$511,"*a)*",'00 Encuesta'!$AS$2:$AS$511,"*a)*")</f>
        <v>4</v>
      </c>
      <c r="Q353" s="52">
        <f>P353/$Q$6*100</f>
        <v>30.76923076923077</v>
      </c>
      <c r="R353" s="53">
        <f>COUNTIFS('00 Encuesta'!$B$2:$B$511,"*a)*",'00 Encuesta'!$C$2:$C$511,"*b)*",'00 Encuesta'!$E$2:$E$511,"*b)*",'00 Encuesta'!$AS$2:$AS$511,"*a)*")</f>
        <v>1</v>
      </c>
      <c r="S353" s="52">
        <f t="shared" ref="S353:S358" si="549">R353/$Q$7*100</f>
        <v>4</v>
      </c>
      <c r="T353" s="3"/>
      <c r="U353" s="51">
        <f t="shared" ref="U353:U358" si="550">W353+Y353</f>
        <v>0</v>
      </c>
      <c r="V353" s="52" t="e">
        <f t="shared" ref="V353:V358" si="551">U353/$X$5*100</f>
        <v>#DIV/0!</v>
      </c>
      <c r="W353" s="53">
        <f>COUNTIFS('00 Encuesta'!$B$2:$B$511,"*a)*",'00 Encuesta'!$C$2:$C$511,"*c)*",'00 Encuesta'!$E$2:$E$511,"*a)*",'00 Encuesta'!$AS$2:$AS$511,"*a)*")</f>
        <v>0</v>
      </c>
      <c r="X353" s="52" t="e">
        <f t="shared" ref="X353:X358" si="552">W353/$X$6*100</f>
        <v>#DIV/0!</v>
      </c>
      <c r="Y353" s="53">
        <f>COUNTIFS('00 Encuesta'!$B$2:$B$511,"*a)*",'00 Encuesta'!$C$2:$C$511,"*c)*",'00 Encuesta'!$E$2:$E$511,"*b)*",'00 Encuesta'!$AS$2:$AS$511,"*a)*")</f>
        <v>0</v>
      </c>
      <c r="Z353" s="52" t="e">
        <f t="shared" ref="Z353:Z358" si="553">Y353/$X$7*100</f>
        <v>#DIV/0!</v>
      </c>
      <c r="AA353" s="3"/>
      <c r="AB353" s="62">
        <f t="shared" ref="AB353:AB358" si="554">G353+N353+U353</f>
        <v>10</v>
      </c>
      <c r="AC353" s="52">
        <f t="shared" ref="AC353:AC358" si="555">AB353*100/$AC$5</f>
        <v>12.820512820512821</v>
      </c>
      <c r="AD353" s="3"/>
      <c r="AE353" s="3"/>
      <c r="AF353" s="9" t="str">
        <f t="shared" ref="AF353:AF358" si="556">A353&amp;" "&amp;B353</f>
        <v>a) Muy buena</v>
      </c>
      <c r="AG353" s="72">
        <f t="shared" ref="AG353:AG358" si="557">J353</f>
        <v>13.636363636363635</v>
      </c>
      <c r="AH353" s="72">
        <f t="shared" ref="AH353:AH358" si="558">L353</f>
        <v>11.111111111111111</v>
      </c>
      <c r="AI353" s="73">
        <f t="shared" ref="AI353:AI358" si="559">H353</f>
        <v>12.5</v>
      </c>
      <c r="AJ353" s="73"/>
      <c r="AK353" s="76">
        <f>Q353</f>
        <v>30.76923076923077</v>
      </c>
      <c r="AL353" s="76">
        <f t="shared" ref="AL353:AL358" si="560">S353</f>
        <v>4</v>
      </c>
      <c r="AM353" s="76">
        <f t="shared" ref="AM353:AM358" si="561">O353</f>
        <v>13.157894736842104</v>
      </c>
      <c r="AN353" s="76"/>
      <c r="AO353" s="81" t="e">
        <f t="shared" ref="AO353:AO358" si="562">X353</f>
        <v>#DIV/0!</v>
      </c>
      <c r="AP353" s="81" t="e">
        <f t="shared" ref="AP353:AP358" si="563">Z353</f>
        <v>#DIV/0!</v>
      </c>
      <c r="AQ353" s="81" t="e">
        <f t="shared" ref="AQ353:AQ358" si="564">V353</f>
        <v>#DIV/0!</v>
      </c>
      <c r="AR353" s="3"/>
      <c r="AS353" s="76">
        <f t="shared" si="542"/>
        <v>12.820512820512821</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ht="15" x14ac:dyDescent="0.25">
      <c r="A354" s="8" t="s">
        <v>18</v>
      </c>
      <c r="B354" s="9" t="s">
        <v>230</v>
      </c>
      <c r="C354" s="7"/>
      <c r="D354" s="7"/>
      <c r="E354" s="7"/>
      <c r="F354" s="71">
        <v>75</v>
      </c>
      <c r="G354" s="51">
        <f t="shared" si="543"/>
        <v>19</v>
      </c>
      <c r="H354" s="52">
        <f t="shared" si="544"/>
        <v>47.5</v>
      </c>
      <c r="I354" s="53">
        <f>COUNTIFS('00 Encuesta'!$B$2:$B$511,"*a)*",'00 Encuesta'!$C$2:$C$511,"*a)*",'00 Encuesta'!$E$2:$E$511,"*a)*",'00 Encuesta'!$AS$2:$AS$511,"*b)*")</f>
        <v>12</v>
      </c>
      <c r="J354" s="52">
        <f t="shared" si="545"/>
        <v>54.54545454545454</v>
      </c>
      <c r="K354" s="53">
        <f>COUNTIFS('00 Encuesta'!$B$2:$B$511,"*a)*",'00 Encuesta'!$C$2:$C$511,"*a)*",'00 Encuesta'!$E$2:$E$511,"*b)*",'00 Encuesta'!$AS$2:$AS$511,"*b)*")</f>
        <v>7</v>
      </c>
      <c r="L354" s="52">
        <f t="shared" si="546"/>
        <v>38.888888888888893</v>
      </c>
      <c r="M354" s="23"/>
      <c r="N354" s="51">
        <f t="shared" si="547"/>
        <v>19</v>
      </c>
      <c r="O354" s="52">
        <f t="shared" si="548"/>
        <v>50</v>
      </c>
      <c r="P354" s="53">
        <f>COUNTIFS('00 Encuesta'!$B$2:$B$511,"*a)*",'00 Encuesta'!$C$2:$C$511,"*b)*",'00 Encuesta'!$E$2:$E$511,"*a)*",'00 Encuesta'!$AS$2:$AS$511,"*b)*")</f>
        <v>5</v>
      </c>
      <c r="Q354" s="52">
        <f t="shared" ref="Q354:Q358" si="565">P354/$Q$6*100</f>
        <v>38.461538461538467</v>
      </c>
      <c r="R354" s="53">
        <f>COUNTIFS('00 Encuesta'!$B$2:$B$511,"*a)*",'00 Encuesta'!$C$2:$C$511,"*b)*",'00 Encuesta'!$E$2:$E$511,"*b)*",'00 Encuesta'!$AS$2:$AS$511,"*b)*")</f>
        <v>14</v>
      </c>
      <c r="S354" s="52">
        <f t="shared" si="549"/>
        <v>56.000000000000007</v>
      </c>
      <c r="T354" s="3"/>
      <c r="U354" s="51">
        <f t="shared" si="550"/>
        <v>0</v>
      </c>
      <c r="V354" s="52" t="e">
        <f t="shared" si="551"/>
        <v>#DIV/0!</v>
      </c>
      <c r="W354" s="53">
        <f>COUNTIFS('00 Encuesta'!$B$2:$B$511,"*a)*",'00 Encuesta'!$C$2:$C$511,"*c)*",'00 Encuesta'!$E$2:$E$511,"*a)*",'00 Encuesta'!$AS$2:$AS$511,"*b)*")</f>
        <v>0</v>
      </c>
      <c r="X354" s="52" t="e">
        <f t="shared" si="552"/>
        <v>#DIV/0!</v>
      </c>
      <c r="Y354" s="53">
        <f>COUNTIFS('00 Encuesta'!$B$2:$B$511,"*a)*",'00 Encuesta'!$C$2:$C$511,"*c)*",'00 Encuesta'!$E$2:$E$511,"*b)*",'00 Encuesta'!$AS$2:$AS$511,"*b)*")</f>
        <v>0</v>
      </c>
      <c r="Z354" s="52" t="e">
        <f t="shared" si="553"/>
        <v>#DIV/0!</v>
      </c>
      <c r="AA354" s="3"/>
      <c r="AB354" s="62">
        <f t="shared" si="554"/>
        <v>38</v>
      </c>
      <c r="AC354" s="52">
        <f t="shared" si="555"/>
        <v>48.717948717948715</v>
      </c>
      <c r="AD354" s="3"/>
      <c r="AE354" s="3"/>
      <c r="AF354" s="9" t="str">
        <f t="shared" si="556"/>
        <v>b) Buena</v>
      </c>
      <c r="AG354" s="72">
        <f t="shared" si="557"/>
        <v>54.54545454545454</v>
      </c>
      <c r="AH354" s="72">
        <f t="shared" si="558"/>
        <v>38.888888888888893</v>
      </c>
      <c r="AI354" s="73">
        <f t="shared" si="559"/>
        <v>47.5</v>
      </c>
      <c r="AJ354" s="73"/>
      <c r="AK354" s="76">
        <f t="shared" ref="AK354:AK358" si="566">Q354</f>
        <v>38.461538461538467</v>
      </c>
      <c r="AL354" s="76">
        <f t="shared" si="560"/>
        <v>56.000000000000007</v>
      </c>
      <c r="AM354" s="76">
        <f t="shared" si="561"/>
        <v>50</v>
      </c>
      <c r="AN354" s="76"/>
      <c r="AO354" s="81" t="e">
        <f t="shared" si="562"/>
        <v>#DIV/0!</v>
      </c>
      <c r="AP354" s="81" t="e">
        <f t="shared" si="563"/>
        <v>#DIV/0!</v>
      </c>
      <c r="AQ354" s="81" t="e">
        <f t="shared" si="564"/>
        <v>#DIV/0!</v>
      </c>
      <c r="AR354" s="3"/>
      <c r="AS354" s="76">
        <f t="shared" si="542"/>
        <v>48.717948717948715</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ht="15" x14ac:dyDescent="0.25">
      <c r="A355" s="8" t="s">
        <v>20</v>
      </c>
      <c r="B355" s="9" t="s">
        <v>218</v>
      </c>
      <c r="C355" s="7"/>
      <c r="D355" s="7"/>
      <c r="E355" s="7"/>
      <c r="F355" s="71">
        <v>50</v>
      </c>
      <c r="G355" s="51">
        <f t="shared" si="543"/>
        <v>10</v>
      </c>
      <c r="H355" s="52">
        <f t="shared" si="544"/>
        <v>25</v>
      </c>
      <c r="I355" s="53">
        <f>COUNTIFS('00 Encuesta'!$B$2:$B$511,"*a)*",'00 Encuesta'!$C$2:$C$511,"*a)*",'00 Encuesta'!$E$2:$E$511,"*a)*",'00 Encuesta'!$AS$2:$AS$511,"*c)*")</f>
        <v>5</v>
      </c>
      <c r="J355" s="52">
        <f t="shared" si="545"/>
        <v>22.727272727272727</v>
      </c>
      <c r="K355" s="53">
        <f>COUNTIFS('00 Encuesta'!$B$2:$B$511,"*a)*",'00 Encuesta'!$C$2:$C$511,"*a)*",'00 Encuesta'!$E$2:$E$511,"*b)*",'00 Encuesta'!$AS$2:$AS$511,"*c)*")</f>
        <v>5</v>
      </c>
      <c r="L355" s="52">
        <f t="shared" si="546"/>
        <v>27.777777777777779</v>
      </c>
      <c r="M355" s="23"/>
      <c r="N355" s="51">
        <f t="shared" si="547"/>
        <v>8</v>
      </c>
      <c r="O355" s="52">
        <f t="shared" si="548"/>
        <v>21.052631578947366</v>
      </c>
      <c r="P355" s="53">
        <f>COUNTIFS('00 Encuesta'!$B$2:$B$511,"*a)*",'00 Encuesta'!$C$2:$C$511,"*b)*",'00 Encuesta'!$E$2:$E$511,"*a)*",'00 Encuesta'!$AS$2:$AS$511,"*c)*")</f>
        <v>3</v>
      </c>
      <c r="Q355" s="52">
        <f t="shared" si="565"/>
        <v>23.076923076923077</v>
      </c>
      <c r="R355" s="53">
        <f>COUNTIFS('00 Encuesta'!$B$2:$B$511,"*a)*",'00 Encuesta'!$C$2:$C$511,"*b)*",'00 Encuesta'!$E$2:$E$511,"*b)*",'00 Encuesta'!$AS$2:$AS$511,"*c)*")</f>
        <v>5</v>
      </c>
      <c r="S355" s="52">
        <f t="shared" si="549"/>
        <v>20</v>
      </c>
      <c r="T355" s="3"/>
      <c r="U355" s="51">
        <f t="shared" si="550"/>
        <v>0</v>
      </c>
      <c r="V355" s="52" t="e">
        <f t="shared" si="551"/>
        <v>#DIV/0!</v>
      </c>
      <c r="W355" s="53">
        <f>COUNTIFS('00 Encuesta'!$B$2:$B$511,"*a)*",'00 Encuesta'!$C$2:$C$511,"*c)*",'00 Encuesta'!$E$2:$E$511,"*a)*",'00 Encuesta'!$AS$2:$AS$511,"*c)*")</f>
        <v>0</v>
      </c>
      <c r="X355" s="52" t="e">
        <f t="shared" si="552"/>
        <v>#DIV/0!</v>
      </c>
      <c r="Y355" s="53">
        <f>COUNTIFS('00 Encuesta'!$B$2:$B$511,"*a)*",'00 Encuesta'!$C$2:$C$511,"*c)*",'00 Encuesta'!$E$2:$E$511,"*b)*",'00 Encuesta'!$AS$2:$AS$511,"*c)*")</f>
        <v>0</v>
      </c>
      <c r="Z355" s="52" t="e">
        <f t="shared" si="553"/>
        <v>#DIV/0!</v>
      </c>
      <c r="AA355" s="3"/>
      <c r="AB355" s="62">
        <f t="shared" si="554"/>
        <v>18</v>
      </c>
      <c r="AC355" s="52">
        <f t="shared" si="555"/>
        <v>23.076923076923077</v>
      </c>
      <c r="AD355" s="3"/>
      <c r="AE355" s="3"/>
      <c r="AF355" s="9" t="str">
        <f t="shared" si="556"/>
        <v>c) Regular</v>
      </c>
      <c r="AG355" s="72">
        <f t="shared" si="557"/>
        <v>22.727272727272727</v>
      </c>
      <c r="AH355" s="72">
        <f t="shared" si="558"/>
        <v>27.777777777777779</v>
      </c>
      <c r="AI355" s="73">
        <f t="shared" si="559"/>
        <v>25</v>
      </c>
      <c r="AJ355" s="73"/>
      <c r="AK355" s="76">
        <f t="shared" si="566"/>
        <v>23.076923076923077</v>
      </c>
      <c r="AL355" s="76">
        <f t="shared" si="560"/>
        <v>20</v>
      </c>
      <c r="AM355" s="76">
        <f t="shared" si="561"/>
        <v>21.052631578947366</v>
      </c>
      <c r="AN355" s="76"/>
      <c r="AO355" s="81" t="e">
        <f t="shared" si="562"/>
        <v>#DIV/0!</v>
      </c>
      <c r="AP355" s="81" t="e">
        <f t="shared" si="563"/>
        <v>#DIV/0!</v>
      </c>
      <c r="AQ355" s="81" t="e">
        <f t="shared" si="564"/>
        <v>#DIV/0!</v>
      </c>
      <c r="AR355" s="3"/>
      <c r="AS355" s="76">
        <f t="shared" si="542"/>
        <v>23.076923076923077</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ht="15" x14ac:dyDescent="0.25">
      <c r="A356" s="8" t="s">
        <v>21</v>
      </c>
      <c r="B356" s="9" t="s">
        <v>231</v>
      </c>
      <c r="C356" s="7"/>
      <c r="D356" s="7"/>
      <c r="E356" s="7"/>
      <c r="F356" s="71">
        <v>25</v>
      </c>
      <c r="G356" s="51">
        <f t="shared" si="543"/>
        <v>2</v>
      </c>
      <c r="H356" s="52">
        <f t="shared" si="544"/>
        <v>5</v>
      </c>
      <c r="I356" s="53">
        <f>COUNTIFS('00 Encuesta'!$B$2:$B$511,"*a)*",'00 Encuesta'!$C$2:$C$511,"*a)*",'00 Encuesta'!$E$2:$E$511,"*a)*",'00 Encuesta'!$AS$2:$AS$511,"*d)*")</f>
        <v>0</v>
      </c>
      <c r="J356" s="52">
        <f t="shared" si="545"/>
        <v>0</v>
      </c>
      <c r="K356" s="53">
        <f>COUNTIFS('00 Encuesta'!$B$2:$B$511,"*a)*",'00 Encuesta'!$C$2:$C$511,"*a)*",'00 Encuesta'!$E$2:$E$511,"*b)*",'00 Encuesta'!$AS$2:$AS$511,"*d)*")</f>
        <v>2</v>
      </c>
      <c r="L356" s="52">
        <f t="shared" si="546"/>
        <v>11.111111111111111</v>
      </c>
      <c r="M356" s="23"/>
      <c r="N356" s="51">
        <f t="shared" si="547"/>
        <v>1</v>
      </c>
      <c r="O356" s="52">
        <f t="shared" si="548"/>
        <v>2.6315789473684208</v>
      </c>
      <c r="P356" s="53">
        <f>COUNTIFS('00 Encuesta'!$B$2:$B$511,"*a)*",'00 Encuesta'!$C$2:$C$511,"*b)*",'00 Encuesta'!$E$2:$E$511,"*a)*",'00 Encuesta'!$AS$2:$AS$511,"*d)*")</f>
        <v>0</v>
      </c>
      <c r="Q356" s="52">
        <f t="shared" si="565"/>
        <v>0</v>
      </c>
      <c r="R356" s="53">
        <f>COUNTIFS('00 Encuesta'!$B$2:$B$511,"*a)*",'00 Encuesta'!$C$2:$C$511,"*b)*",'00 Encuesta'!$E$2:$E$511,"*b)*",'00 Encuesta'!$AS$2:$AS$511,"*d)*")</f>
        <v>1</v>
      </c>
      <c r="S356" s="52">
        <f t="shared" si="549"/>
        <v>4</v>
      </c>
      <c r="T356" s="3"/>
      <c r="U356" s="51">
        <f t="shared" si="550"/>
        <v>0</v>
      </c>
      <c r="V356" s="52" t="e">
        <f t="shared" si="551"/>
        <v>#DIV/0!</v>
      </c>
      <c r="W356" s="53">
        <f>COUNTIFS('00 Encuesta'!$B$2:$B$511,"*a)*",'00 Encuesta'!$C$2:$C$511,"*c)*",'00 Encuesta'!$E$2:$E$511,"*a)*",'00 Encuesta'!$AS$2:$AS$511,"*d)*")</f>
        <v>0</v>
      </c>
      <c r="X356" s="52" t="e">
        <f t="shared" si="552"/>
        <v>#DIV/0!</v>
      </c>
      <c r="Y356" s="53">
        <f>COUNTIFS('00 Encuesta'!$B$2:$B$511,"*a)*",'00 Encuesta'!$C$2:$C$511,"*c)*",'00 Encuesta'!$E$2:$E$511,"*b)*",'00 Encuesta'!$AS$2:$AS$511,"*d)*")</f>
        <v>0</v>
      </c>
      <c r="Z356" s="52" t="e">
        <f t="shared" si="553"/>
        <v>#DIV/0!</v>
      </c>
      <c r="AA356" s="3"/>
      <c r="AB356" s="62">
        <f t="shared" si="554"/>
        <v>3</v>
      </c>
      <c r="AC356" s="52">
        <f t="shared" si="555"/>
        <v>3.8461538461538463</v>
      </c>
      <c r="AD356" s="3"/>
      <c r="AE356" s="3"/>
      <c r="AF356" s="9" t="str">
        <f t="shared" si="556"/>
        <v>d) Mala</v>
      </c>
      <c r="AG356" s="72">
        <f t="shared" si="557"/>
        <v>0</v>
      </c>
      <c r="AH356" s="72">
        <f t="shared" si="558"/>
        <v>11.111111111111111</v>
      </c>
      <c r="AI356" s="73">
        <f t="shared" si="559"/>
        <v>5</v>
      </c>
      <c r="AJ356" s="73"/>
      <c r="AK356" s="76">
        <f t="shared" si="566"/>
        <v>0</v>
      </c>
      <c r="AL356" s="76">
        <f t="shared" si="560"/>
        <v>4</v>
      </c>
      <c r="AM356" s="76">
        <f t="shared" si="561"/>
        <v>2.6315789473684208</v>
      </c>
      <c r="AN356" s="76"/>
      <c r="AO356" s="81" t="e">
        <f t="shared" si="562"/>
        <v>#DIV/0!</v>
      </c>
      <c r="AP356" s="81" t="e">
        <f t="shared" si="563"/>
        <v>#DIV/0!</v>
      </c>
      <c r="AQ356" s="81" t="e">
        <f t="shared" si="564"/>
        <v>#DIV/0!</v>
      </c>
      <c r="AR356" s="3"/>
      <c r="AS356" s="76">
        <f t="shared" si="542"/>
        <v>3.8461538461538463</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ht="15" x14ac:dyDescent="0.25">
      <c r="A357" s="8" t="s">
        <v>22</v>
      </c>
      <c r="B357" s="9" t="s">
        <v>232</v>
      </c>
      <c r="C357" s="7"/>
      <c r="D357" s="7"/>
      <c r="E357" s="7"/>
      <c r="F357" s="71">
        <v>0</v>
      </c>
      <c r="G357" s="51">
        <f t="shared" si="543"/>
        <v>1</v>
      </c>
      <c r="H357" s="52">
        <f t="shared" si="544"/>
        <v>2.5</v>
      </c>
      <c r="I357" s="53">
        <f>COUNTIFS('00 Encuesta'!$B$2:$B$511,"*a)*",'00 Encuesta'!$C$2:$C$511,"*a)*",'00 Encuesta'!$E$2:$E$511,"*a)*",'00 Encuesta'!$AS$2:$AS$511,"*e)*")</f>
        <v>0</v>
      </c>
      <c r="J357" s="52">
        <f t="shared" si="545"/>
        <v>0</v>
      </c>
      <c r="K357" s="53">
        <f>COUNTIFS('00 Encuesta'!$B$2:$B$511,"*a)*",'00 Encuesta'!$C$2:$C$511,"*a)*",'00 Encuesta'!$E$2:$E$511,"*b)*",'00 Encuesta'!$AS$2:$AS$511,"*e)*")</f>
        <v>1</v>
      </c>
      <c r="L357" s="52">
        <f t="shared" si="546"/>
        <v>5.5555555555555554</v>
      </c>
      <c r="M357" s="23"/>
      <c r="N357" s="51">
        <f t="shared" si="547"/>
        <v>1</v>
      </c>
      <c r="O357" s="52">
        <f t="shared" si="548"/>
        <v>2.6315789473684208</v>
      </c>
      <c r="P357" s="53">
        <f>COUNTIFS('00 Encuesta'!$B$2:$B$511,"*a)*",'00 Encuesta'!$C$2:$C$511,"*b)*",'00 Encuesta'!$E$2:$E$511,"*a)*",'00 Encuesta'!$AS$2:$AS$511,"*e)*")</f>
        <v>1</v>
      </c>
      <c r="Q357" s="52">
        <f t="shared" si="565"/>
        <v>7.6923076923076925</v>
      </c>
      <c r="R357" s="53">
        <f>COUNTIFS('00 Encuesta'!$B$2:$B$511,"*a)*",'00 Encuesta'!$C$2:$C$511,"*b)*",'00 Encuesta'!$E$2:$E$511,"*b)*",'00 Encuesta'!$AS$2:$AS$511,"*e)*")</f>
        <v>0</v>
      </c>
      <c r="S357" s="52">
        <f t="shared" si="549"/>
        <v>0</v>
      </c>
      <c r="T357" s="3"/>
      <c r="U357" s="51">
        <f t="shared" si="550"/>
        <v>0</v>
      </c>
      <c r="V357" s="52" t="e">
        <f t="shared" si="551"/>
        <v>#DIV/0!</v>
      </c>
      <c r="W357" s="53">
        <f>COUNTIFS('00 Encuesta'!$B$2:$B$511,"*a)*",'00 Encuesta'!$C$2:$C$511,"*c)*",'00 Encuesta'!$E$2:$E$511,"*a)*",'00 Encuesta'!$AS$2:$AS$511,"*e)*")</f>
        <v>0</v>
      </c>
      <c r="X357" s="52" t="e">
        <f t="shared" si="552"/>
        <v>#DIV/0!</v>
      </c>
      <c r="Y357" s="53">
        <f>COUNTIFS('00 Encuesta'!$B$2:$B$511,"*a)*",'00 Encuesta'!$C$2:$C$511,"*c)*",'00 Encuesta'!$E$2:$E$511,"*b)*",'00 Encuesta'!$AS$2:$AS$511,"*e)*")</f>
        <v>0</v>
      </c>
      <c r="Z357" s="52" t="e">
        <f t="shared" si="553"/>
        <v>#DIV/0!</v>
      </c>
      <c r="AA357" s="3"/>
      <c r="AB357" s="62">
        <f t="shared" si="554"/>
        <v>2</v>
      </c>
      <c r="AC357" s="52">
        <f t="shared" si="555"/>
        <v>2.5641025641025643</v>
      </c>
      <c r="AD357" s="3"/>
      <c r="AE357" s="3"/>
      <c r="AF357" s="9" t="str">
        <f t="shared" si="556"/>
        <v>e) Muy mala</v>
      </c>
      <c r="AG357" s="72">
        <f t="shared" si="557"/>
        <v>0</v>
      </c>
      <c r="AH357" s="72">
        <f t="shared" si="558"/>
        <v>5.5555555555555554</v>
      </c>
      <c r="AI357" s="73">
        <f t="shared" si="559"/>
        <v>2.5</v>
      </c>
      <c r="AJ357" s="73"/>
      <c r="AK357" s="76">
        <f t="shared" si="566"/>
        <v>7.6923076923076925</v>
      </c>
      <c r="AL357" s="76">
        <f t="shared" si="560"/>
        <v>0</v>
      </c>
      <c r="AM357" s="76">
        <f t="shared" si="561"/>
        <v>2.6315789473684208</v>
      </c>
      <c r="AN357" s="76"/>
      <c r="AO357" s="81" t="e">
        <f t="shared" si="562"/>
        <v>#DIV/0!</v>
      </c>
      <c r="AP357" s="81" t="e">
        <f t="shared" si="563"/>
        <v>#DIV/0!</v>
      </c>
      <c r="AQ357" s="81" t="e">
        <f t="shared" si="564"/>
        <v>#DIV/0!</v>
      </c>
      <c r="AR357" s="3"/>
      <c r="AS357" s="76">
        <f t="shared" si="542"/>
        <v>2.5641025641025643</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ht="15" x14ac:dyDescent="0.25">
      <c r="A358" s="8" t="s">
        <v>45</v>
      </c>
      <c r="B358" s="9" t="s">
        <v>233</v>
      </c>
      <c r="C358" s="7"/>
      <c r="D358" s="7"/>
      <c r="E358" s="7"/>
      <c r="F358" s="71"/>
      <c r="G358" s="51">
        <f t="shared" si="543"/>
        <v>2</v>
      </c>
      <c r="H358" s="52">
        <f t="shared" si="544"/>
        <v>5</v>
      </c>
      <c r="I358" s="53">
        <f>COUNTIFS('00 Encuesta'!$B$2:$B$511,"*a)*",'00 Encuesta'!$C$2:$C$511,"*a)*",'00 Encuesta'!$E$2:$E$511,"*a)*",'00 Encuesta'!$AS$2:$AS$511,"*f)*")</f>
        <v>1</v>
      </c>
      <c r="J358" s="52">
        <f t="shared" si="545"/>
        <v>4.5454545454545459</v>
      </c>
      <c r="K358" s="53">
        <f>COUNTIFS('00 Encuesta'!$B$2:$B$511,"*a)*",'00 Encuesta'!$C$2:$C$511,"*a)*",'00 Encuesta'!$E$2:$E$511,"*b)*",'00 Encuesta'!$AS$2:$AS$511,"*f)*")</f>
        <v>1</v>
      </c>
      <c r="L358" s="52">
        <f t="shared" si="546"/>
        <v>5.5555555555555554</v>
      </c>
      <c r="M358" s="23"/>
      <c r="N358" s="51">
        <f t="shared" si="547"/>
        <v>2</v>
      </c>
      <c r="O358" s="52">
        <f t="shared" si="548"/>
        <v>5.2631578947368416</v>
      </c>
      <c r="P358" s="53">
        <f>COUNTIFS('00 Encuesta'!$B$2:$B$511,"*a)*",'00 Encuesta'!$C$2:$C$511,"*b)*",'00 Encuesta'!$E$2:$E$511,"*a)*",'00 Encuesta'!$AS$2:$AS$511,"*f)*")</f>
        <v>0</v>
      </c>
      <c r="Q358" s="52">
        <f t="shared" si="565"/>
        <v>0</v>
      </c>
      <c r="R358" s="53">
        <f>COUNTIFS('00 Encuesta'!$B$2:$B$511,"*a)*",'00 Encuesta'!$C$2:$C$511,"*b)*",'00 Encuesta'!$E$2:$E$511,"*b)*",'00 Encuesta'!$AS$2:$AS$511,"*f)*")</f>
        <v>2</v>
      </c>
      <c r="S358" s="52">
        <f t="shared" si="549"/>
        <v>8</v>
      </c>
      <c r="T358" s="3"/>
      <c r="U358" s="51">
        <f t="shared" si="550"/>
        <v>0</v>
      </c>
      <c r="V358" s="52" t="e">
        <f t="shared" si="551"/>
        <v>#DIV/0!</v>
      </c>
      <c r="W358" s="53">
        <f>COUNTIFS('00 Encuesta'!$B$2:$B$511,"*a)*",'00 Encuesta'!$C$2:$C$511,"*c)*",'00 Encuesta'!$E$2:$E$511,"*a)*",'00 Encuesta'!$AS$2:$AS$511,"*f)*")</f>
        <v>0</v>
      </c>
      <c r="X358" s="52" t="e">
        <f t="shared" si="552"/>
        <v>#DIV/0!</v>
      </c>
      <c r="Y358" s="53">
        <f>COUNTIFS('00 Encuesta'!$B$2:$B$511,"*a)*",'00 Encuesta'!$C$2:$C$511,"*c)*",'00 Encuesta'!$E$2:$E$511,"*b)*",'00 Encuesta'!$AS$2:$AS$511,"*f)*")</f>
        <v>0</v>
      </c>
      <c r="Z358" s="52" t="e">
        <f t="shared" si="553"/>
        <v>#DIV/0!</v>
      </c>
      <c r="AA358" s="3"/>
      <c r="AB358" s="62">
        <f t="shared" si="554"/>
        <v>4</v>
      </c>
      <c r="AC358" s="52">
        <f t="shared" si="555"/>
        <v>5.1282051282051286</v>
      </c>
      <c r="AD358" s="3"/>
      <c r="AE358" s="3"/>
      <c r="AF358" s="9" t="str">
        <f t="shared" si="556"/>
        <v>f) No aplica</v>
      </c>
      <c r="AG358" s="72">
        <f t="shared" si="557"/>
        <v>4.5454545454545459</v>
      </c>
      <c r="AH358" s="72">
        <f t="shared" si="558"/>
        <v>5.5555555555555554</v>
      </c>
      <c r="AI358" s="73">
        <f t="shared" si="559"/>
        <v>5</v>
      </c>
      <c r="AJ358" s="73"/>
      <c r="AK358" s="76">
        <f t="shared" si="566"/>
        <v>0</v>
      </c>
      <c r="AL358" s="76">
        <f t="shared" si="560"/>
        <v>8</v>
      </c>
      <c r="AM358" s="76">
        <f t="shared" si="561"/>
        <v>5.2631578947368416</v>
      </c>
      <c r="AN358" s="76"/>
      <c r="AO358" s="81" t="e">
        <f t="shared" si="562"/>
        <v>#DIV/0!</v>
      </c>
      <c r="AP358" s="81" t="e">
        <f t="shared" si="563"/>
        <v>#DIV/0!</v>
      </c>
      <c r="AQ358" s="81" t="e">
        <f t="shared" si="564"/>
        <v>#DIV/0!</v>
      </c>
      <c r="AR358" s="3"/>
      <c r="AS358" s="76">
        <f t="shared" si="542"/>
        <v>5.1282051282051286</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ht="15" x14ac:dyDescent="0.25">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72.5</v>
      </c>
      <c r="AH359" s="82">
        <f>($F353*K353+$F354*K354+$F355*K355+$F356*K356+$F357*K357)/(K353+K354+K355+K356+K357)</f>
        <v>60.294117647058826</v>
      </c>
      <c r="AI359" s="82">
        <f>($F353*G353+$F354*G354+$F355*G355+$F356*G356+$F357*G357)/(G353+G354+G355+G356+G357)</f>
        <v>66.891891891891888</v>
      </c>
      <c r="AJ359" s="82"/>
      <c r="AK359" s="82">
        <f>($F353*Q353+$F354*Q354+$F355*Q355+$F356*Q356+$F357*Q357)/(Q353+Q354+Q355+Q356+Q357)</f>
        <v>71.15384615384616</v>
      </c>
      <c r="AL359" s="82">
        <f>($F353*S353+$F354*S354+$F355*S355+$F356*S356+$F357*S357)/(S353+S354+S355+S356+S357)</f>
        <v>67.857142857142861</v>
      </c>
      <c r="AM359" s="82">
        <f>($F353*O353+$F354*O354+$F355*O355+$F356*O356+$F357*O357)/(O353+O354+O355+O356+O357)</f>
        <v>69.117647058823522</v>
      </c>
      <c r="AN359" s="82"/>
      <c r="AO359" s="82" t="e">
        <f>($F353*W353+$F354*W354+$F355*W355+$F356*W356+$F357*W357)/(W353+W354+W355+W356+W357)</f>
        <v>#DIV/0!</v>
      </c>
      <c r="AP359" s="82" t="e">
        <f>($F353*Y353+$F354*Y354+$F355*Y355+$F356*Y356+$F357*Y357)/(Y353+Y354+Y355+Y356+Y357)</f>
        <v>#DIV/0!</v>
      </c>
      <c r="AQ359" s="82" t="e">
        <f>($F353*U353+$F354*U354+$F355*U355+$F356*U356+$F357*U357)/(U353+U354+U355+U356+U357)</f>
        <v>#DIV/0!</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75" x14ac:dyDescent="0.3">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ht="15" x14ac:dyDescent="0.25">
      <c r="A361" s="8" t="s">
        <v>17</v>
      </c>
      <c r="B361" s="9" t="s">
        <v>229</v>
      </c>
      <c r="C361" s="3"/>
      <c r="D361" s="3"/>
      <c r="E361" s="3"/>
      <c r="F361" s="71">
        <v>100</v>
      </c>
      <c r="G361" s="51">
        <f t="shared" ref="G361:G366" si="567">I361+K361</f>
        <v>11</v>
      </c>
      <c r="H361" s="52">
        <f t="shared" ref="H361:H366" si="568">G361/$J$5*100</f>
        <v>27.500000000000004</v>
      </c>
      <c r="I361" s="53">
        <f>COUNTIFS('00 Encuesta'!$B$2:$B$511,"*a)*",'00 Encuesta'!$C$2:$C$511,"*a)*",'00 Encuesta'!$E$2:$E$511,"*a)*",'00 Encuesta'!$AT$2:$AT$511,"*a)*")</f>
        <v>8</v>
      </c>
      <c r="J361" s="52">
        <f t="shared" ref="J361:J366" si="569">I361/$J$6*100</f>
        <v>36.363636363636367</v>
      </c>
      <c r="K361" s="53">
        <f>COUNTIFS('00 Encuesta'!$B$2:$B$511,"*a)*",'00 Encuesta'!$C$2:$C$511,"*a)*",'00 Encuesta'!$E$2:$E$511,"*b)*",'00 Encuesta'!$AT$2:$AT$511,"*a)*")</f>
        <v>3</v>
      </c>
      <c r="L361" s="52">
        <f t="shared" ref="L361:L366" si="570">K361/$J$7*100</f>
        <v>16.666666666666664</v>
      </c>
      <c r="M361" s="23"/>
      <c r="N361" s="51">
        <f t="shared" ref="N361:N366" si="571">P361+R361</f>
        <v>6</v>
      </c>
      <c r="O361" s="52">
        <f t="shared" ref="O361:O366" si="572">N361/$Q$5*100</f>
        <v>15.789473684210526</v>
      </c>
      <c r="P361" s="53">
        <f>COUNTIFS('00 Encuesta'!$B$2:$B$511,"*a)*",'00 Encuesta'!$C$2:$C$511,"*b)*",'00 Encuesta'!$E$2:$E$511,"*a)*",'00 Encuesta'!$AT$2:$AT$511,"*a)*")</f>
        <v>3</v>
      </c>
      <c r="Q361" s="52">
        <f t="shared" ref="Q361:Q366" si="573">P361/$Q$6*100</f>
        <v>23.076923076923077</v>
      </c>
      <c r="R361" s="53">
        <f>COUNTIFS('00 Encuesta'!$B$2:$B$511,"*a)*",'00 Encuesta'!$C$2:$C$511,"*b)*",'00 Encuesta'!$E$2:$E$511,"*b)*",'00 Encuesta'!$AT$2:$AT$511,"*a)*")</f>
        <v>3</v>
      </c>
      <c r="S361" s="52">
        <f t="shared" ref="S361:S366" si="574">R361/$Q$7*100</f>
        <v>12</v>
      </c>
      <c r="T361" s="3"/>
      <c r="U361" s="51">
        <f t="shared" ref="U361:U366" si="575">W361+Y361</f>
        <v>0</v>
      </c>
      <c r="V361" s="52" t="e">
        <f t="shared" ref="V361:V366" si="576">U361/$X$5*100</f>
        <v>#DIV/0!</v>
      </c>
      <c r="W361" s="53">
        <f>COUNTIFS('00 Encuesta'!$B$2:$B$511,"*a)*",'00 Encuesta'!$C$2:$C$511,"*c)*",'00 Encuesta'!$E$2:$E$511,"*a)*",'00 Encuesta'!$AT$2:$AT$511,"*a)*")</f>
        <v>0</v>
      </c>
      <c r="X361" s="52" t="e">
        <f t="shared" ref="X361:X366" si="577">W361/$X$6*100</f>
        <v>#DIV/0!</v>
      </c>
      <c r="Y361" s="53">
        <f>COUNTIFS('00 Encuesta'!$B$2:$B$511,"*a)*",'00 Encuesta'!$C$2:$C$511,"*c)*",'00 Encuesta'!$E$2:$E$511,"*b)*",'00 Encuesta'!$AT$2:$AT$511,"*a)*")</f>
        <v>0</v>
      </c>
      <c r="Z361" s="52" t="e">
        <f t="shared" ref="Z361:Z366" si="578">Y361/$X$7*100</f>
        <v>#DIV/0!</v>
      </c>
      <c r="AA361" s="3"/>
      <c r="AB361" s="62">
        <f t="shared" ref="AB361:AB366" si="579">G361+N361+U361</f>
        <v>17</v>
      </c>
      <c r="AC361" s="52">
        <f t="shared" ref="AC361:AC366" si="580">AB361*100/$AC$5</f>
        <v>21.794871794871796</v>
      </c>
      <c r="AD361" s="3"/>
      <c r="AE361" s="3"/>
      <c r="AF361" s="9" t="str">
        <f t="shared" ref="AF361:AF366" si="581">A361&amp;" "&amp;B361</f>
        <v>a) Muy buena</v>
      </c>
      <c r="AG361" s="72">
        <f t="shared" ref="AG361:AG366" si="582">J361</f>
        <v>36.363636363636367</v>
      </c>
      <c r="AH361" s="72">
        <f t="shared" ref="AH361:AH366" si="583">L361</f>
        <v>16.666666666666664</v>
      </c>
      <c r="AI361" s="73">
        <f t="shared" ref="AI361:AI366" si="584">H361</f>
        <v>27.500000000000004</v>
      </c>
      <c r="AJ361" s="73"/>
      <c r="AK361" s="76">
        <f t="shared" ref="AK361:AK366" si="585">Q361</f>
        <v>23.076923076923077</v>
      </c>
      <c r="AL361" s="76">
        <f t="shared" ref="AL361:AL366" si="586">S361</f>
        <v>12</v>
      </c>
      <c r="AM361" s="76">
        <f t="shared" ref="AM361:AM366" si="587">O361</f>
        <v>15.789473684210526</v>
      </c>
      <c r="AN361" s="76"/>
      <c r="AO361" s="81" t="e">
        <f t="shared" ref="AO361:AO366" si="588">X361</f>
        <v>#DIV/0!</v>
      </c>
      <c r="AP361" s="81" t="e">
        <f t="shared" ref="AP361:AP366" si="589">Z361</f>
        <v>#DIV/0!</v>
      </c>
      <c r="AQ361" s="81" t="e">
        <f t="shared" ref="AQ361:AQ366" si="590">V361</f>
        <v>#DIV/0!</v>
      </c>
      <c r="AR361" s="3"/>
      <c r="AS361" s="76">
        <f t="shared" si="542"/>
        <v>21.794871794871796</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ht="15" x14ac:dyDescent="0.25">
      <c r="A362" s="8" t="s">
        <v>18</v>
      </c>
      <c r="B362" s="9" t="s">
        <v>230</v>
      </c>
      <c r="C362" s="3"/>
      <c r="D362" s="3"/>
      <c r="E362" s="3"/>
      <c r="F362" s="71">
        <v>75</v>
      </c>
      <c r="G362" s="51">
        <f t="shared" si="567"/>
        <v>17</v>
      </c>
      <c r="H362" s="52">
        <f t="shared" si="568"/>
        <v>42.5</v>
      </c>
      <c r="I362" s="53">
        <f>COUNTIFS('00 Encuesta'!$B$2:$B$511,"*a)*",'00 Encuesta'!$C$2:$C$511,"*a)*",'00 Encuesta'!$E$2:$E$511,"*a)*",'00 Encuesta'!$AT$2:$AT$511,"*b)*")</f>
        <v>10</v>
      </c>
      <c r="J362" s="52">
        <f t="shared" si="569"/>
        <v>45.454545454545453</v>
      </c>
      <c r="K362" s="53">
        <f>COUNTIFS('00 Encuesta'!$B$2:$B$511,"*a)*",'00 Encuesta'!$C$2:$C$511,"*a)*",'00 Encuesta'!$E$2:$E$511,"*b)*",'00 Encuesta'!$AT$2:$AT$511,"*b)*")</f>
        <v>7</v>
      </c>
      <c r="L362" s="52">
        <f t="shared" si="570"/>
        <v>38.888888888888893</v>
      </c>
      <c r="M362" s="23"/>
      <c r="N362" s="51">
        <f t="shared" si="571"/>
        <v>12</v>
      </c>
      <c r="O362" s="52">
        <f t="shared" si="572"/>
        <v>31.578947368421051</v>
      </c>
      <c r="P362" s="53">
        <f>COUNTIFS('00 Encuesta'!$B$2:$B$511,"*a)*",'00 Encuesta'!$C$2:$C$511,"*b)*",'00 Encuesta'!$E$2:$E$511,"*a)*",'00 Encuesta'!$AT$2:$AT$511,"*b)*")</f>
        <v>4</v>
      </c>
      <c r="Q362" s="52">
        <f t="shared" si="573"/>
        <v>30.76923076923077</v>
      </c>
      <c r="R362" s="53">
        <f>COUNTIFS('00 Encuesta'!$B$2:$B$511,"*a)*",'00 Encuesta'!$C$2:$C$511,"*b)*",'00 Encuesta'!$E$2:$E$511,"*b)*",'00 Encuesta'!$AT$2:$AT$511,"*b)*")</f>
        <v>8</v>
      </c>
      <c r="S362" s="52">
        <f t="shared" si="574"/>
        <v>32</v>
      </c>
      <c r="T362" s="3"/>
      <c r="U362" s="51">
        <f t="shared" si="575"/>
        <v>0</v>
      </c>
      <c r="V362" s="52" t="e">
        <f t="shared" si="576"/>
        <v>#DIV/0!</v>
      </c>
      <c r="W362" s="53">
        <f>COUNTIFS('00 Encuesta'!$B$2:$B$511,"*a)*",'00 Encuesta'!$C$2:$C$511,"*c)*",'00 Encuesta'!$E$2:$E$511,"*a)*",'00 Encuesta'!$AT$2:$AT$511,"*b)*")</f>
        <v>0</v>
      </c>
      <c r="X362" s="52" t="e">
        <f t="shared" si="577"/>
        <v>#DIV/0!</v>
      </c>
      <c r="Y362" s="53">
        <f>COUNTIFS('00 Encuesta'!$B$2:$B$511,"*a)*",'00 Encuesta'!$C$2:$C$511,"*c)*",'00 Encuesta'!$E$2:$E$511,"*b)*",'00 Encuesta'!$AT$2:$AT$511,"*b)*")</f>
        <v>0</v>
      </c>
      <c r="Z362" s="52" t="e">
        <f t="shared" si="578"/>
        <v>#DIV/0!</v>
      </c>
      <c r="AA362" s="3"/>
      <c r="AB362" s="62">
        <f t="shared" si="579"/>
        <v>29</v>
      </c>
      <c r="AC362" s="52">
        <f t="shared" si="580"/>
        <v>37.179487179487182</v>
      </c>
      <c r="AD362" s="3"/>
      <c r="AE362" s="3"/>
      <c r="AF362" s="9" t="str">
        <f t="shared" si="581"/>
        <v>b) Buena</v>
      </c>
      <c r="AG362" s="72">
        <f t="shared" si="582"/>
        <v>45.454545454545453</v>
      </c>
      <c r="AH362" s="72">
        <f t="shared" si="583"/>
        <v>38.888888888888893</v>
      </c>
      <c r="AI362" s="73">
        <f t="shared" si="584"/>
        <v>42.5</v>
      </c>
      <c r="AJ362" s="73"/>
      <c r="AK362" s="76">
        <f t="shared" si="585"/>
        <v>30.76923076923077</v>
      </c>
      <c r="AL362" s="76">
        <f t="shared" si="586"/>
        <v>32</v>
      </c>
      <c r="AM362" s="76">
        <f t="shared" si="587"/>
        <v>31.578947368421051</v>
      </c>
      <c r="AN362" s="76"/>
      <c r="AO362" s="81" t="e">
        <f t="shared" si="588"/>
        <v>#DIV/0!</v>
      </c>
      <c r="AP362" s="81" t="e">
        <f t="shared" si="589"/>
        <v>#DIV/0!</v>
      </c>
      <c r="AQ362" s="81" t="e">
        <f t="shared" si="590"/>
        <v>#DIV/0!</v>
      </c>
      <c r="AR362" s="3"/>
      <c r="AS362" s="76">
        <f t="shared" si="542"/>
        <v>37.179487179487182</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ht="15" x14ac:dyDescent="0.25">
      <c r="A363" s="8" t="s">
        <v>20</v>
      </c>
      <c r="B363" s="9" t="s">
        <v>218</v>
      </c>
      <c r="C363" s="3"/>
      <c r="D363" s="3"/>
      <c r="E363" s="3"/>
      <c r="F363" s="71">
        <v>50</v>
      </c>
      <c r="G363" s="51">
        <f t="shared" si="567"/>
        <v>5</v>
      </c>
      <c r="H363" s="52">
        <f t="shared" si="568"/>
        <v>12.5</v>
      </c>
      <c r="I363" s="53">
        <f>COUNTIFS('00 Encuesta'!$B$2:$B$511,"*a)*",'00 Encuesta'!$C$2:$C$511,"*a)*",'00 Encuesta'!$E$2:$E$511,"*a)*",'00 Encuesta'!$AT$2:$AT$511,"*c)*")</f>
        <v>1</v>
      </c>
      <c r="J363" s="52">
        <f t="shared" si="569"/>
        <v>4.5454545454545459</v>
      </c>
      <c r="K363" s="53">
        <f>COUNTIFS('00 Encuesta'!$B$2:$B$511,"*a)*",'00 Encuesta'!$C$2:$C$511,"*a)*",'00 Encuesta'!$E$2:$E$511,"*b)*",'00 Encuesta'!$AT$2:$AT$511,"*c)*")</f>
        <v>4</v>
      </c>
      <c r="L363" s="52">
        <f t="shared" si="570"/>
        <v>22.222222222222221</v>
      </c>
      <c r="M363" s="23"/>
      <c r="N363" s="51">
        <f t="shared" si="571"/>
        <v>11</v>
      </c>
      <c r="O363" s="52">
        <f t="shared" si="572"/>
        <v>28.947368421052634</v>
      </c>
      <c r="P363" s="53">
        <f>COUNTIFS('00 Encuesta'!$B$2:$B$511,"*a)*",'00 Encuesta'!$C$2:$C$511,"*b)*",'00 Encuesta'!$E$2:$E$511,"*a)*",'00 Encuesta'!$AT$2:$AT$511,"*c)*")</f>
        <v>4</v>
      </c>
      <c r="Q363" s="52">
        <f t="shared" si="573"/>
        <v>30.76923076923077</v>
      </c>
      <c r="R363" s="53">
        <f>COUNTIFS('00 Encuesta'!$B$2:$B$511,"*a)*",'00 Encuesta'!$C$2:$C$511,"*b)*",'00 Encuesta'!$E$2:$E$511,"*b)*",'00 Encuesta'!$AT$2:$AT$511,"*c)*")</f>
        <v>7</v>
      </c>
      <c r="S363" s="52">
        <f t="shared" si="574"/>
        <v>28.000000000000004</v>
      </c>
      <c r="T363" s="3"/>
      <c r="U363" s="51">
        <f t="shared" si="575"/>
        <v>0</v>
      </c>
      <c r="V363" s="52" t="e">
        <f t="shared" si="576"/>
        <v>#DIV/0!</v>
      </c>
      <c r="W363" s="53">
        <f>COUNTIFS('00 Encuesta'!$B$2:$B$511,"*a)*",'00 Encuesta'!$C$2:$C$511,"*c)*",'00 Encuesta'!$E$2:$E$511,"*a)*",'00 Encuesta'!$AT$2:$AT$511,"*c)*")</f>
        <v>0</v>
      </c>
      <c r="X363" s="52" t="e">
        <f t="shared" si="577"/>
        <v>#DIV/0!</v>
      </c>
      <c r="Y363" s="53">
        <f>COUNTIFS('00 Encuesta'!$B$2:$B$511,"*a)*",'00 Encuesta'!$C$2:$C$511,"*c)*",'00 Encuesta'!$E$2:$E$511,"*b)*",'00 Encuesta'!$AT$2:$AT$511,"*c)*")</f>
        <v>0</v>
      </c>
      <c r="Z363" s="52" t="e">
        <f t="shared" si="578"/>
        <v>#DIV/0!</v>
      </c>
      <c r="AA363" s="3"/>
      <c r="AB363" s="62">
        <f t="shared" si="579"/>
        <v>16</v>
      </c>
      <c r="AC363" s="52">
        <f t="shared" si="580"/>
        <v>20.512820512820515</v>
      </c>
      <c r="AD363" s="3"/>
      <c r="AE363" s="3"/>
      <c r="AF363" s="9" t="str">
        <f t="shared" si="581"/>
        <v>c) Regular</v>
      </c>
      <c r="AG363" s="72">
        <f t="shared" si="582"/>
        <v>4.5454545454545459</v>
      </c>
      <c r="AH363" s="72">
        <f t="shared" si="583"/>
        <v>22.222222222222221</v>
      </c>
      <c r="AI363" s="73">
        <f t="shared" si="584"/>
        <v>12.5</v>
      </c>
      <c r="AJ363" s="73"/>
      <c r="AK363" s="76">
        <f t="shared" si="585"/>
        <v>30.76923076923077</v>
      </c>
      <c r="AL363" s="76">
        <f t="shared" si="586"/>
        <v>28.000000000000004</v>
      </c>
      <c r="AM363" s="76">
        <f t="shared" si="587"/>
        <v>28.947368421052634</v>
      </c>
      <c r="AN363" s="76"/>
      <c r="AO363" s="81" t="e">
        <f t="shared" si="588"/>
        <v>#DIV/0!</v>
      </c>
      <c r="AP363" s="81" t="e">
        <f t="shared" si="589"/>
        <v>#DIV/0!</v>
      </c>
      <c r="AQ363" s="81" t="e">
        <f t="shared" si="590"/>
        <v>#DIV/0!</v>
      </c>
      <c r="AR363" s="3"/>
      <c r="AS363" s="76">
        <f t="shared" si="542"/>
        <v>20.512820512820515</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ht="15" x14ac:dyDescent="0.25">
      <c r="A364" s="8" t="s">
        <v>21</v>
      </c>
      <c r="B364" s="9" t="s">
        <v>231</v>
      </c>
      <c r="C364" s="3"/>
      <c r="D364" s="3"/>
      <c r="E364" s="3"/>
      <c r="F364" s="71">
        <v>25</v>
      </c>
      <c r="G364" s="51">
        <f t="shared" si="567"/>
        <v>6</v>
      </c>
      <c r="H364" s="52">
        <f t="shared" si="568"/>
        <v>15</v>
      </c>
      <c r="I364" s="53">
        <f>COUNTIFS('00 Encuesta'!$B$2:$B$511,"*a)*",'00 Encuesta'!$C$2:$C$511,"*a)*",'00 Encuesta'!$E$2:$E$511,"*a)*",'00 Encuesta'!$AT$2:$AT$511,"*d)*")</f>
        <v>2</v>
      </c>
      <c r="J364" s="52">
        <f t="shared" si="569"/>
        <v>9.0909090909090917</v>
      </c>
      <c r="K364" s="53">
        <f>COUNTIFS('00 Encuesta'!$B$2:$B$511,"*a)*",'00 Encuesta'!$C$2:$C$511,"*a)*",'00 Encuesta'!$E$2:$E$511,"*b)*",'00 Encuesta'!$AT$2:$AT$511,"*d)*")</f>
        <v>4</v>
      </c>
      <c r="L364" s="52">
        <f t="shared" si="570"/>
        <v>22.222222222222221</v>
      </c>
      <c r="M364" s="23"/>
      <c r="N364" s="51">
        <f t="shared" si="571"/>
        <v>2</v>
      </c>
      <c r="O364" s="52">
        <f t="shared" si="572"/>
        <v>5.2631578947368416</v>
      </c>
      <c r="P364" s="53">
        <f>COUNTIFS('00 Encuesta'!$B$2:$B$511,"*a)*",'00 Encuesta'!$C$2:$C$511,"*b)*",'00 Encuesta'!$E$2:$E$511,"*a)*",'00 Encuesta'!$AT$2:$AT$511,"*d)*")</f>
        <v>0</v>
      </c>
      <c r="Q364" s="52">
        <f t="shared" si="573"/>
        <v>0</v>
      </c>
      <c r="R364" s="53">
        <f>COUNTIFS('00 Encuesta'!$B$2:$B$511,"*a)*",'00 Encuesta'!$C$2:$C$511,"*b)*",'00 Encuesta'!$E$2:$E$511,"*b)*",'00 Encuesta'!$AT$2:$AT$511,"*d)*")</f>
        <v>2</v>
      </c>
      <c r="S364" s="52">
        <f t="shared" si="574"/>
        <v>8</v>
      </c>
      <c r="T364" s="3"/>
      <c r="U364" s="51">
        <f t="shared" si="575"/>
        <v>0</v>
      </c>
      <c r="V364" s="52" t="e">
        <f t="shared" si="576"/>
        <v>#DIV/0!</v>
      </c>
      <c r="W364" s="53">
        <f>COUNTIFS('00 Encuesta'!$B$2:$B$511,"*a)*",'00 Encuesta'!$C$2:$C$511,"*c)*",'00 Encuesta'!$E$2:$E$511,"*a)*",'00 Encuesta'!$AT$2:$AT$511,"*d)*")</f>
        <v>0</v>
      </c>
      <c r="X364" s="52" t="e">
        <f t="shared" si="577"/>
        <v>#DIV/0!</v>
      </c>
      <c r="Y364" s="53">
        <f>COUNTIFS('00 Encuesta'!$B$2:$B$511,"*a)*",'00 Encuesta'!$C$2:$C$511,"*c)*",'00 Encuesta'!$E$2:$E$511,"*b)*",'00 Encuesta'!$AT$2:$AT$511,"*d)*")</f>
        <v>0</v>
      </c>
      <c r="Z364" s="52" t="e">
        <f t="shared" si="578"/>
        <v>#DIV/0!</v>
      </c>
      <c r="AA364" s="3"/>
      <c r="AB364" s="62">
        <f t="shared" si="579"/>
        <v>8</v>
      </c>
      <c r="AC364" s="52">
        <f t="shared" si="580"/>
        <v>10.256410256410257</v>
      </c>
      <c r="AD364" s="3"/>
      <c r="AE364" s="3"/>
      <c r="AF364" s="9" t="str">
        <f t="shared" si="581"/>
        <v>d) Mala</v>
      </c>
      <c r="AG364" s="72">
        <f t="shared" si="582"/>
        <v>9.0909090909090917</v>
      </c>
      <c r="AH364" s="72">
        <f t="shared" si="583"/>
        <v>22.222222222222221</v>
      </c>
      <c r="AI364" s="73">
        <f t="shared" si="584"/>
        <v>15</v>
      </c>
      <c r="AJ364" s="73"/>
      <c r="AK364" s="76">
        <f t="shared" si="585"/>
        <v>0</v>
      </c>
      <c r="AL364" s="76">
        <f t="shared" si="586"/>
        <v>8</v>
      </c>
      <c r="AM364" s="76">
        <f t="shared" si="587"/>
        <v>5.2631578947368416</v>
      </c>
      <c r="AN364" s="76"/>
      <c r="AO364" s="81" t="e">
        <f t="shared" si="588"/>
        <v>#DIV/0!</v>
      </c>
      <c r="AP364" s="81" t="e">
        <f t="shared" si="589"/>
        <v>#DIV/0!</v>
      </c>
      <c r="AQ364" s="81" t="e">
        <f t="shared" si="590"/>
        <v>#DIV/0!</v>
      </c>
      <c r="AR364" s="3"/>
      <c r="AS364" s="76">
        <f t="shared" si="542"/>
        <v>10.256410256410257</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ht="15" x14ac:dyDescent="0.25">
      <c r="A365" s="8" t="s">
        <v>22</v>
      </c>
      <c r="B365" s="9" t="s">
        <v>232</v>
      </c>
      <c r="C365" s="3"/>
      <c r="D365" s="3"/>
      <c r="E365" s="3"/>
      <c r="F365" s="71">
        <v>0</v>
      </c>
      <c r="G365" s="51">
        <f t="shared" si="567"/>
        <v>0</v>
      </c>
      <c r="H365" s="52">
        <f t="shared" si="568"/>
        <v>0</v>
      </c>
      <c r="I365" s="53">
        <f>COUNTIFS('00 Encuesta'!$B$2:$B$511,"*a)*",'00 Encuesta'!$C$2:$C$511,"*a)*",'00 Encuesta'!$E$2:$E$511,"*a)*",'00 Encuesta'!$AT$2:$AT$511,"*e)*")</f>
        <v>0</v>
      </c>
      <c r="J365" s="52">
        <f t="shared" si="569"/>
        <v>0</v>
      </c>
      <c r="K365" s="53">
        <f>COUNTIFS('00 Encuesta'!$B$2:$B$511,"*a)*",'00 Encuesta'!$C$2:$C$511,"*a)*",'00 Encuesta'!$E$2:$E$511,"*b)*",'00 Encuesta'!$AT$2:$AT$511,"*e)*")</f>
        <v>0</v>
      </c>
      <c r="L365" s="52">
        <f t="shared" si="570"/>
        <v>0</v>
      </c>
      <c r="M365" s="23"/>
      <c r="N365" s="51">
        <f t="shared" si="571"/>
        <v>2</v>
      </c>
      <c r="O365" s="52">
        <f t="shared" si="572"/>
        <v>5.2631578947368416</v>
      </c>
      <c r="P365" s="53">
        <f>COUNTIFS('00 Encuesta'!$B$2:$B$511,"*a)*",'00 Encuesta'!$C$2:$C$511,"*b)*",'00 Encuesta'!$E$2:$E$511,"*a)*",'00 Encuesta'!$AT$2:$AT$511,"*e)*")</f>
        <v>2</v>
      </c>
      <c r="Q365" s="52">
        <f t="shared" si="573"/>
        <v>15.384615384615385</v>
      </c>
      <c r="R365" s="53">
        <f>COUNTIFS('00 Encuesta'!$B$2:$B$511,"*a)*",'00 Encuesta'!$C$2:$C$511,"*b)*",'00 Encuesta'!$E$2:$E$511,"*b)*",'00 Encuesta'!$AT$2:$AT$511,"*e)*")</f>
        <v>0</v>
      </c>
      <c r="S365" s="52">
        <f t="shared" si="574"/>
        <v>0</v>
      </c>
      <c r="T365" s="3"/>
      <c r="U365" s="51">
        <f t="shared" si="575"/>
        <v>0</v>
      </c>
      <c r="V365" s="52" t="e">
        <f t="shared" si="576"/>
        <v>#DIV/0!</v>
      </c>
      <c r="W365" s="53">
        <f>COUNTIFS('00 Encuesta'!$B$2:$B$511,"*a)*",'00 Encuesta'!$C$2:$C$511,"*c)*",'00 Encuesta'!$E$2:$E$511,"*a)*",'00 Encuesta'!$AT$2:$AT$511,"*e)*")</f>
        <v>0</v>
      </c>
      <c r="X365" s="52" t="e">
        <f t="shared" si="577"/>
        <v>#DIV/0!</v>
      </c>
      <c r="Y365" s="53">
        <f>COUNTIFS('00 Encuesta'!$B$2:$B$511,"*a)*",'00 Encuesta'!$C$2:$C$511,"*c)*",'00 Encuesta'!$E$2:$E$511,"*b)*",'00 Encuesta'!$AT$2:$AT$511,"*e)*")</f>
        <v>0</v>
      </c>
      <c r="Z365" s="52" t="e">
        <f t="shared" si="578"/>
        <v>#DIV/0!</v>
      </c>
      <c r="AA365" s="3"/>
      <c r="AB365" s="62">
        <f t="shared" si="579"/>
        <v>2</v>
      </c>
      <c r="AC365" s="52">
        <f t="shared" si="580"/>
        <v>2.5641025641025643</v>
      </c>
      <c r="AD365" s="3"/>
      <c r="AE365" s="3"/>
      <c r="AF365" s="9" t="str">
        <f t="shared" si="581"/>
        <v>e) Muy mala</v>
      </c>
      <c r="AG365" s="72">
        <f t="shared" si="582"/>
        <v>0</v>
      </c>
      <c r="AH365" s="72">
        <f t="shared" si="583"/>
        <v>0</v>
      </c>
      <c r="AI365" s="73">
        <f t="shared" si="584"/>
        <v>0</v>
      </c>
      <c r="AJ365" s="73"/>
      <c r="AK365" s="76">
        <f t="shared" si="585"/>
        <v>15.384615384615385</v>
      </c>
      <c r="AL365" s="76">
        <f t="shared" si="586"/>
        <v>0</v>
      </c>
      <c r="AM365" s="76">
        <f t="shared" si="587"/>
        <v>5.2631578947368416</v>
      </c>
      <c r="AN365" s="76"/>
      <c r="AO365" s="81" t="e">
        <f t="shared" si="588"/>
        <v>#DIV/0!</v>
      </c>
      <c r="AP365" s="81" t="e">
        <f t="shared" si="589"/>
        <v>#DIV/0!</v>
      </c>
      <c r="AQ365" s="81" t="e">
        <f t="shared" si="590"/>
        <v>#DIV/0!</v>
      </c>
      <c r="AR365" s="3"/>
      <c r="AS365" s="76">
        <f t="shared" si="542"/>
        <v>2.5641025641025643</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ht="15" x14ac:dyDescent="0.25">
      <c r="A366" s="8" t="s">
        <v>45</v>
      </c>
      <c r="B366" s="9" t="s">
        <v>233</v>
      </c>
      <c r="C366" s="7"/>
      <c r="D366" s="7"/>
      <c r="E366" s="7"/>
      <c r="F366" s="71"/>
      <c r="G366" s="51">
        <f t="shared" si="567"/>
        <v>0</v>
      </c>
      <c r="H366" s="52">
        <f t="shared" si="568"/>
        <v>0</v>
      </c>
      <c r="I366" s="53">
        <f>COUNTIFS('00 Encuesta'!$B$2:$B$511,"*a)*",'00 Encuesta'!$C$2:$C$511,"*a)*",'00 Encuesta'!$E$2:$E$511,"*a)*",'00 Encuesta'!$AT$2:$AT$511,"*f)*")</f>
        <v>0</v>
      </c>
      <c r="J366" s="52">
        <f t="shared" si="569"/>
        <v>0</v>
      </c>
      <c r="K366" s="53">
        <f>COUNTIFS('00 Encuesta'!$B$2:$B$511,"*a)*",'00 Encuesta'!$C$2:$C$511,"*a)*",'00 Encuesta'!$E$2:$E$511,"*b)*",'00 Encuesta'!$AT$2:$AT$511,"*f)*")</f>
        <v>0</v>
      </c>
      <c r="L366" s="52">
        <f t="shared" si="570"/>
        <v>0</v>
      </c>
      <c r="M366" s="23"/>
      <c r="N366" s="51">
        <f t="shared" si="571"/>
        <v>3</v>
      </c>
      <c r="O366" s="52">
        <f t="shared" si="572"/>
        <v>7.8947368421052628</v>
      </c>
      <c r="P366" s="53">
        <f>COUNTIFS('00 Encuesta'!$B$2:$B$511,"*a)*",'00 Encuesta'!$C$2:$C$511,"*b)*",'00 Encuesta'!$E$2:$E$511,"*a)*",'00 Encuesta'!$AT$2:$AT$511,"*f)*")</f>
        <v>0</v>
      </c>
      <c r="Q366" s="52">
        <f t="shared" si="573"/>
        <v>0</v>
      </c>
      <c r="R366" s="53">
        <f>COUNTIFS('00 Encuesta'!$B$2:$B$511,"*a)*",'00 Encuesta'!$C$2:$C$511,"*b)*",'00 Encuesta'!$E$2:$E$511,"*b)*",'00 Encuesta'!$AT$2:$AT$511,"*f)*")</f>
        <v>3</v>
      </c>
      <c r="S366" s="52">
        <f t="shared" si="574"/>
        <v>12</v>
      </c>
      <c r="T366" s="3"/>
      <c r="U366" s="51">
        <f t="shared" si="575"/>
        <v>0</v>
      </c>
      <c r="V366" s="52" t="e">
        <f t="shared" si="576"/>
        <v>#DIV/0!</v>
      </c>
      <c r="W366" s="53">
        <f>COUNTIFS('00 Encuesta'!$B$2:$B$511,"*a)*",'00 Encuesta'!$C$2:$C$511,"*c)*",'00 Encuesta'!$E$2:$E$511,"*a)*",'00 Encuesta'!$AT$2:$AT$511,"*f)*")</f>
        <v>0</v>
      </c>
      <c r="X366" s="52" t="e">
        <f t="shared" si="577"/>
        <v>#DIV/0!</v>
      </c>
      <c r="Y366" s="53">
        <f>COUNTIFS('00 Encuesta'!$B$2:$B$511,"*a)*",'00 Encuesta'!$C$2:$C$511,"*c)*",'00 Encuesta'!$E$2:$E$511,"*b)*",'00 Encuesta'!$AT$2:$AT$511,"*f)*")</f>
        <v>0</v>
      </c>
      <c r="Z366" s="52" t="e">
        <f t="shared" si="578"/>
        <v>#DIV/0!</v>
      </c>
      <c r="AA366" s="3"/>
      <c r="AB366" s="62">
        <f t="shared" si="579"/>
        <v>3</v>
      </c>
      <c r="AC366" s="52">
        <f t="shared" si="580"/>
        <v>3.8461538461538463</v>
      </c>
      <c r="AD366" s="3"/>
      <c r="AE366" s="3"/>
      <c r="AF366" s="9" t="str">
        <f t="shared" si="581"/>
        <v>f) No aplica</v>
      </c>
      <c r="AG366" s="72">
        <f t="shared" si="582"/>
        <v>0</v>
      </c>
      <c r="AH366" s="72">
        <f t="shared" si="583"/>
        <v>0</v>
      </c>
      <c r="AI366" s="73">
        <f t="shared" si="584"/>
        <v>0</v>
      </c>
      <c r="AJ366" s="73"/>
      <c r="AK366" s="76">
        <f t="shared" si="585"/>
        <v>0</v>
      </c>
      <c r="AL366" s="76">
        <f t="shared" si="586"/>
        <v>12</v>
      </c>
      <c r="AM366" s="76">
        <f t="shared" si="587"/>
        <v>7.8947368421052628</v>
      </c>
      <c r="AN366" s="76"/>
      <c r="AO366" s="81" t="e">
        <f t="shared" si="588"/>
        <v>#DIV/0!</v>
      </c>
      <c r="AP366" s="81" t="e">
        <f t="shared" si="589"/>
        <v>#DIV/0!</v>
      </c>
      <c r="AQ366" s="81" t="e">
        <f t="shared" si="590"/>
        <v>#DIV/0!</v>
      </c>
      <c r="AR366" s="3"/>
      <c r="AS366" s="76">
        <f t="shared" si="542"/>
        <v>3.8461538461538463</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ht="15.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78.571428571428569</v>
      </c>
      <c r="AH367" s="82">
        <f>($F361*K361+$F362*K362+$F363*K363+$F364*K364+$F365*K365)/(K361+K362+K363+K364+K365)</f>
        <v>62.5</v>
      </c>
      <c r="AI367" s="82">
        <f>($F361*G361+$F362*G362+$F363*G363+$F364*G364+$F365*G365)/(G361+G362+G363+G364+G365)</f>
        <v>71.15384615384616</v>
      </c>
      <c r="AJ367" s="82"/>
      <c r="AK367" s="82">
        <f>($F361*Q361+$F362*Q362+$F363*Q363+$F364*Q364+$F365*Q365)/(Q361+Q362+Q363+Q364+Q365)</f>
        <v>61.53846153846154</v>
      </c>
      <c r="AL367" s="82">
        <f>($F361*S361+$F362*S362+$F363*S363+$F364*S364+$F365*S365)/(S361+S362+S363+S364+S365)</f>
        <v>65</v>
      </c>
      <c r="AM367" s="82">
        <f>($F361*O361+$F362*O362+$F363*O363+$F364*O364+$F365*O365)/(O361+O362+O363+O364+O365)</f>
        <v>63.636363636363647</v>
      </c>
      <c r="AN367" s="82"/>
      <c r="AO367" s="82" t="e">
        <f>($F361*W361+$F362*W362+$F363*W363+$F364*W364+$F365*W365)/(W361+W362+W363+W364+W365)</f>
        <v>#DIV/0!</v>
      </c>
      <c r="AP367" s="82" t="e">
        <f>($F361*Y361+$F362*Y362+$F363*Y363+$F364*Y364+$F365*Y365)/(Y361+Y362+Y363+Y364+Y365)</f>
        <v>#DIV/0!</v>
      </c>
      <c r="AQ367" s="82" t="e">
        <f>($F361*U361+$F362*U362+$F363*U363+$F364*U364+$F365*U365)/(U361+U362+U363+U364+U365)</f>
        <v>#DIV/0!</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75" x14ac:dyDescent="0.3">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ht="15" x14ac:dyDescent="0.25">
      <c r="A369" s="8" t="s">
        <v>17</v>
      </c>
      <c r="B369" s="9" t="s">
        <v>229</v>
      </c>
      <c r="C369" s="3"/>
      <c r="D369" s="3"/>
      <c r="E369" s="3"/>
      <c r="F369" s="71">
        <v>100</v>
      </c>
      <c r="G369" s="51">
        <f t="shared" ref="G369:G374" si="591">I369+K369</f>
        <v>12</v>
      </c>
      <c r="H369" s="52">
        <f t="shared" ref="H369:H374" si="592">G369/$J$5*100</f>
        <v>30</v>
      </c>
      <c r="I369" s="53">
        <f>COUNTIFS('00 Encuesta'!$B$2:$B$511,"*a)*",'00 Encuesta'!$C$2:$C$511,"*a)*",'00 Encuesta'!$E$2:$E$511,"*a)*",'00 Encuesta'!$AU$2:$AU$511,"*a)*")</f>
        <v>10</v>
      </c>
      <c r="J369" s="52">
        <f t="shared" ref="J369:J374" si="593">I369/$J$6*100</f>
        <v>45.454545454545453</v>
      </c>
      <c r="K369" s="53">
        <f>COUNTIFS('00 Encuesta'!$B$2:$B$511,"*a)*",'00 Encuesta'!$C$2:$C$511,"*a)*",'00 Encuesta'!$E$2:$E$511,"*b)*",'00 Encuesta'!$AU$2:$AU$511,"*a)*")</f>
        <v>2</v>
      </c>
      <c r="L369" s="52">
        <f t="shared" ref="L369:L374" si="594">K369/$J$7*100</f>
        <v>11.111111111111111</v>
      </c>
      <c r="M369" s="23"/>
      <c r="N369" s="51">
        <f t="shared" ref="N369:N374" si="595">P369+R369</f>
        <v>5</v>
      </c>
      <c r="O369" s="52">
        <f t="shared" ref="O369:O374" si="596">N369/$Q$5*100</f>
        <v>13.157894736842104</v>
      </c>
      <c r="P369" s="53">
        <f>COUNTIFS('00 Encuesta'!$B$2:$B$511,"*a)*",'00 Encuesta'!$C$2:$C$511,"*b)*",'00 Encuesta'!$E$2:$E$511,"*a)*",'00 Encuesta'!$AU$2:$AU$511,"*a)*")</f>
        <v>2</v>
      </c>
      <c r="Q369" s="52">
        <f t="shared" ref="Q369:Q374" si="597">P369/$Q$6*100</f>
        <v>15.384615384615385</v>
      </c>
      <c r="R369" s="53">
        <f>COUNTIFS('00 Encuesta'!$B$2:$B$511,"*a)*",'00 Encuesta'!$C$2:$C$511,"*b)*",'00 Encuesta'!$E$2:$E$511,"*b)*",'00 Encuesta'!$AU$2:$AU$511,"*a)*")</f>
        <v>3</v>
      </c>
      <c r="S369" s="52">
        <f t="shared" ref="S369:S374" si="598">R369/$Q$7*100</f>
        <v>12</v>
      </c>
      <c r="T369" s="3"/>
      <c r="U369" s="51">
        <f t="shared" ref="U369:U374" si="599">W369+Y369</f>
        <v>0</v>
      </c>
      <c r="V369" s="52" t="e">
        <f t="shared" ref="V369:V374" si="600">U369/$X$5*100</f>
        <v>#DIV/0!</v>
      </c>
      <c r="W369" s="53">
        <f>COUNTIFS('00 Encuesta'!$B$2:$B$511,"*a)*",'00 Encuesta'!$C$2:$C$511,"*c)*",'00 Encuesta'!$E$2:$E$511,"*a)*",'00 Encuesta'!$AU$2:$AU$511,"*a)*")</f>
        <v>0</v>
      </c>
      <c r="X369" s="52" t="e">
        <f t="shared" ref="X369:X374" si="601">W369/$X$6*100</f>
        <v>#DIV/0!</v>
      </c>
      <c r="Y369" s="53">
        <f>COUNTIFS('00 Encuesta'!$B$2:$B$511,"*a)*",'00 Encuesta'!$C$2:$C$511,"*c)*",'00 Encuesta'!$E$2:$E$511,"*b)*",'00 Encuesta'!$AU$2:$AU$511,"*a)*")</f>
        <v>0</v>
      </c>
      <c r="Z369" s="52" t="e">
        <f t="shared" ref="Z369:Z374" si="602">Y369/$X$7*100</f>
        <v>#DIV/0!</v>
      </c>
      <c r="AA369" s="3"/>
      <c r="AB369" s="62">
        <f t="shared" ref="AB369:AB374" si="603">G369+N369+U369</f>
        <v>17</v>
      </c>
      <c r="AC369" s="52">
        <f t="shared" ref="AC369:AC374" si="604">AB369*100/$AC$5</f>
        <v>21.794871794871796</v>
      </c>
      <c r="AD369" s="3"/>
      <c r="AE369" s="3"/>
      <c r="AF369" s="9" t="str">
        <f t="shared" ref="AF369:AF374" si="605">A369&amp;" "&amp;B369</f>
        <v>a) Muy buena</v>
      </c>
      <c r="AG369" s="72">
        <f t="shared" ref="AG369:AG374" si="606">J369</f>
        <v>45.454545454545453</v>
      </c>
      <c r="AH369" s="72">
        <f t="shared" ref="AH369:AH374" si="607">L369</f>
        <v>11.111111111111111</v>
      </c>
      <c r="AI369" s="73">
        <f t="shared" ref="AI369:AI374" si="608">H369</f>
        <v>30</v>
      </c>
      <c r="AJ369" s="73"/>
      <c r="AK369" s="76">
        <f t="shared" ref="AK369:AK374" si="609">Q369</f>
        <v>15.384615384615385</v>
      </c>
      <c r="AL369" s="76">
        <f t="shared" ref="AL369:AL374" si="610">S369</f>
        <v>12</v>
      </c>
      <c r="AM369" s="76">
        <f t="shared" ref="AM369:AM374" si="611">O369</f>
        <v>13.157894736842104</v>
      </c>
      <c r="AN369" s="76"/>
      <c r="AO369" s="81" t="e">
        <f t="shared" ref="AO369:AO374" si="612">X369</f>
        <v>#DIV/0!</v>
      </c>
      <c r="AP369" s="81" t="e">
        <f t="shared" ref="AP369:AP374" si="613">Z369</f>
        <v>#DIV/0!</v>
      </c>
      <c r="AQ369" s="81" t="e">
        <f t="shared" ref="AQ369:AQ374" si="614">V369</f>
        <v>#DIV/0!</v>
      </c>
      <c r="AR369" s="3"/>
      <c r="AS369" s="76">
        <f t="shared" si="542"/>
        <v>21.794871794871796</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ht="15" x14ac:dyDescent="0.25">
      <c r="A370" s="8" t="s">
        <v>18</v>
      </c>
      <c r="B370" s="9" t="s">
        <v>230</v>
      </c>
      <c r="C370" s="3"/>
      <c r="D370" s="3"/>
      <c r="E370" s="3"/>
      <c r="F370" s="71">
        <v>75</v>
      </c>
      <c r="G370" s="51">
        <f t="shared" si="591"/>
        <v>12</v>
      </c>
      <c r="H370" s="52">
        <f t="shared" si="592"/>
        <v>30</v>
      </c>
      <c r="I370" s="53">
        <f>COUNTIFS('00 Encuesta'!$B$2:$B$511,"*a)*",'00 Encuesta'!$C$2:$C$511,"*a)*",'00 Encuesta'!$E$2:$E$511,"*a)*",'00 Encuesta'!$AU$2:$AU$511,"*b)*")</f>
        <v>6</v>
      </c>
      <c r="J370" s="52">
        <f t="shared" si="593"/>
        <v>27.27272727272727</v>
      </c>
      <c r="K370" s="53">
        <f>COUNTIFS('00 Encuesta'!$B$2:$B$511,"*a)*",'00 Encuesta'!$C$2:$C$511,"*a)*",'00 Encuesta'!$E$2:$E$511,"*b)*",'00 Encuesta'!$AU$2:$AU$511,"*b)*")</f>
        <v>6</v>
      </c>
      <c r="L370" s="52">
        <f t="shared" si="594"/>
        <v>33.333333333333329</v>
      </c>
      <c r="M370" s="23"/>
      <c r="N370" s="51">
        <f t="shared" si="595"/>
        <v>16</v>
      </c>
      <c r="O370" s="52">
        <f t="shared" si="596"/>
        <v>42.105263157894733</v>
      </c>
      <c r="P370" s="53">
        <f>COUNTIFS('00 Encuesta'!$B$2:$B$511,"*a)*",'00 Encuesta'!$C$2:$C$511,"*b)*",'00 Encuesta'!$E$2:$E$511,"*a)*",'00 Encuesta'!$AU$2:$AU$511,"*b)*")</f>
        <v>6</v>
      </c>
      <c r="Q370" s="52">
        <f t="shared" si="597"/>
        <v>46.153846153846153</v>
      </c>
      <c r="R370" s="53">
        <f>COUNTIFS('00 Encuesta'!$B$2:$B$511,"*a)*",'00 Encuesta'!$C$2:$C$511,"*b)*",'00 Encuesta'!$E$2:$E$511,"*b)*",'00 Encuesta'!$AU$2:$AU$511,"*b)*")</f>
        <v>10</v>
      </c>
      <c r="S370" s="52">
        <f t="shared" si="598"/>
        <v>40</v>
      </c>
      <c r="T370" s="3"/>
      <c r="U370" s="51">
        <f t="shared" si="599"/>
        <v>0</v>
      </c>
      <c r="V370" s="52" t="e">
        <f t="shared" si="600"/>
        <v>#DIV/0!</v>
      </c>
      <c r="W370" s="53">
        <f>COUNTIFS('00 Encuesta'!$B$2:$B$511,"*a)*",'00 Encuesta'!$C$2:$C$511,"*c)*",'00 Encuesta'!$E$2:$E$511,"*a)*",'00 Encuesta'!$AU$2:$AU$511,"*b)*")</f>
        <v>0</v>
      </c>
      <c r="X370" s="52" t="e">
        <f t="shared" si="601"/>
        <v>#DIV/0!</v>
      </c>
      <c r="Y370" s="53">
        <f>COUNTIFS('00 Encuesta'!$B$2:$B$511,"*a)*",'00 Encuesta'!$C$2:$C$511,"*c)*",'00 Encuesta'!$E$2:$E$511,"*b)*",'00 Encuesta'!$AU$2:$AU$511,"*b)*")</f>
        <v>0</v>
      </c>
      <c r="Z370" s="52" t="e">
        <f t="shared" si="602"/>
        <v>#DIV/0!</v>
      </c>
      <c r="AA370" s="3"/>
      <c r="AB370" s="62">
        <f t="shared" si="603"/>
        <v>28</v>
      </c>
      <c r="AC370" s="52">
        <f t="shared" si="604"/>
        <v>35.897435897435898</v>
      </c>
      <c r="AD370" s="3"/>
      <c r="AE370" s="3"/>
      <c r="AF370" s="9" t="str">
        <f t="shared" si="605"/>
        <v>b) Buena</v>
      </c>
      <c r="AG370" s="72">
        <f t="shared" si="606"/>
        <v>27.27272727272727</v>
      </c>
      <c r="AH370" s="72">
        <f t="shared" si="607"/>
        <v>33.333333333333329</v>
      </c>
      <c r="AI370" s="73">
        <f t="shared" si="608"/>
        <v>30</v>
      </c>
      <c r="AJ370" s="73"/>
      <c r="AK370" s="76">
        <f t="shared" si="609"/>
        <v>46.153846153846153</v>
      </c>
      <c r="AL370" s="76">
        <f t="shared" si="610"/>
        <v>40</v>
      </c>
      <c r="AM370" s="76">
        <f t="shared" si="611"/>
        <v>42.105263157894733</v>
      </c>
      <c r="AN370" s="76"/>
      <c r="AO370" s="81" t="e">
        <f t="shared" si="612"/>
        <v>#DIV/0!</v>
      </c>
      <c r="AP370" s="81" t="e">
        <f t="shared" si="613"/>
        <v>#DIV/0!</v>
      </c>
      <c r="AQ370" s="81" t="e">
        <f t="shared" si="614"/>
        <v>#DIV/0!</v>
      </c>
      <c r="AR370" s="3"/>
      <c r="AS370" s="76">
        <f t="shared" si="542"/>
        <v>35.897435897435898</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ht="15" x14ac:dyDescent="0.25">
      <c r="A371" s="8" t="s">
        <v>20</v>
      </c>
      <c r="B371" s="9" t="s">
        <v>218</v>
      </c>
      <c r="C371" s="3"/>
      <c r="D371" s="3"/>
      <c r="E371" s="3"/>
      <c r="F371" s="71">
        <v>50</v>
      </c>
      <c r="G371" s="51">
        <f t="shared" si="591"/>
        <v>10</v>
      </c>
      <c r="H371" s="52">
        <f t="shared" si="592"/>
        <v>25</v>
      </c>
      <c r="I371" s="53">
        <f>COUNTIFS('00 Encuesta'!$B$2:$B$511,"*a)*",'00 Encuesta'!$C$2:$C$511,"*a)*",'00 Encuesta'!$E$2:$E$511,"*a)*",'00 Encuesta'!$AU$2:$AU$511,"*c)*")</f>
        <v>3</v>
      </c>
      <c r="J371" s="52">
        <f t="shared" si="593"/>
        <v>13.636363636363635</v>
      </c>
      <c r="K371" s="53">
        <f>COUNTIFS('00 Encuesta'!$B$2:$B$511,"*a)*",'00 Encuesta'!$C$2:$C$511,"*a)*",'00 Encuesta'!$E$2:$E$511,"*b)*",'00 Encuesta'!$AU$2:$AU$511,"*c)*")</f>
        <v>7</v>
      </c>
      <c r="L371" s="52">
        <f t="shared" si="594"/>
        <v>38.888888888888893</v>
      </c>
      <c r="M371" s="23"/>
      <c r="N371" s="51">
        <f t="shared" si="595"/>
        <v>10</v>
      </c>
      <c r="O371" s="52">
        <f t="shared" si="596"/>
        <v>26.315789473684209</v>
      </c>
      <c r="P371" s="53">
        <f>COUNTIFS('00 Encuesta'!$B$2:$B$511,"*a)*",'00 Encuesta'!$C$2:$C$511,"*b)*",'00 Encuesta'!$E$2:$E$511,"*a)*",'00 Encuesta'!$AU$2:$AU$511,"*c)*")</f>
        <v>4</v>
      </c>
      <c r="Q371" s="52">
        <f t="shared" si="597"/>
        <v>30.76923076923077</v>
      </c>
      <c r="R371" s="53">
        <f>COUNTIFS('00 Encuesta'!$B$2:$B$511,"*a)*",'00 Encuesta'!$C$2:$C$511,"*b)*",'00 Encuesta'!$E$2:$E$511,"*b)*",'00 Encuesta'!$AU$2:$AU$511,"*c)*")</f>
        <v>6</v>
      </c>
      <c r="S371" s="52">
        <f t="shared" si="598"/>
        <v>24</v>
      </c>
      <c r="T371" s="3"/>
      <c r="U371" s="51">
        <f t="shared" si="599"/>
        <v>0</v>
      </c>
      <c r="V371" s="52" t="e">
        <f t="shared" si="600"/>
        <v>#DIV/0!</v>
      </c>
      <c r="W371" s="53">
        <f>COUNTIFS('00 Encuesta'!$B$2:$B$511,"*a)*",'00 Encuesta'!$C$2:$C$511,"*c)*",'00 Encuesta'!$E$2:$E$511,"*a)*",'00 Encuesta'!$AU$2:$AU$511,"*c)*")</f>
        <v>0</v>
      </c>
      <c r="X371" s="52" t="e">
        <f t="shared" si="601"/>
        <v>#DIV/0!</v>
      </c>
      <c r="Y371" s="53">
        <f>COUNTIFS('00 Encuesta'!$B$2:$B$511,"*a)*",'00 Encuesta'!$C$2:$C$511,"*c)*",'00 Encuesta'!$E$2:$E$511,"*b)*",'00 Encuesta'!$AU$2:$AU$511,"*c)*")</f>
        <v>0</v>
      </c>
      <c r="Z371" s="52" t="e">
        <f t="shared" si="602"/>
        <v>#DIV/0!</v>
      </c>
      <c r="AA371" s="3"/>
      <c r="AB371" s="62">
        <f t="shared" si="603"/>
        <v>20</v>
      </c>
      <c r="AC371" s="52">
        <f t="shared" si="604"/>
        <v>25.641025641025642</v>
      </c>
      <c r="AD371" s="3"/>
      <c r="AE371" s="3"/>
      <c r="AF371" s="9" t="str">
        <f t="shared" si="605"/>
        <v>c) Regular</v>
      </c>
      <c r="AG371" s="72">
        <f t="shared" si="606"/>
        <v>13.636363636363635</v>
      </c>
      <c r="AH371" s="72">
        <f t="shared" si="607"/>
        <v>38.888888888888893</v>
      </c>
      <c r="AI371" s="73">
        <f t="shared" si="608"/>
        <v>25</v>
      </c>
      <c r="AJ371" s="73"/>
      <c r="AK371" s="76">
        <f t="shared" si="609"/>
        <v>30.76923076923077</v>
      </c>
      <c r="AL371" s="76">
        <f t="shared" si="610"/>
        <v>24</v>
      </c>
      <c r="AM371" s="76">
        <f t="shared" si="611"/>
        <v>26.315789473684209</v>
      </c>
      <c r="AN371" s="76"/>
      <c r="AO371" s="81" t="e">
        <f t="shared" si="612"/>
        <v>#DIV/0!</v>
      </c>
      <c r="AP371" s="81" t="e">
        <f t="shared" si="613"/>
        <v>#DIV/0!</v>
      </c>
      <c r="AQ371" s="81" t="e">
        <f t="shared" si="614"/>
        <v>#DIV/0!</v>
      </c>
      <c r="AR371" s="3"/>
      <c r="AS371" s="76">
        <f t="shared" si="542"/>
        <v>25.641025641025642</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ht="15" x14ac:dyDescent="0.25">
      <c r="A372" s="8" t="s">
        <v>21</v>
      </c>
      <c r="B372" s="9" t="s">
        <v>231</v>
      </c>
      <c r="C372" s="3"/>
      <c r="D372" s="3"/>
      <c r="E372" s="3"/>
      <c r="F372" s="71">
        <v>25</v>
      </c>
      <c r="G372" s="51">
        <f t="shared" si="591"/>
        <v>3</v>
      </c>
      <c r="H372" s="52">
        <f t="shared" si="592"/>
        <v>7.5</v>
      </c>
      <c r="I372" s="53">
        <f>COUNTIFS('00 Encuesta'!$B$2:$B$511,"*a)*",'00 Encuesta'!$C$2:$C$511,"*a)*",'00 Encuesta'!$E$2:$E$511,"*a)*",'00 Encuesta'!$AU$2:$AU$511,"*d)*")</f>
        <v>2</v>
      </c>
      <c r="J372" s="52">
        <f t="shared" si="593"/>
        <v>9.0909090909090917</v>
      </c>
      <c r="K372" s="53">
        <f>COUNTIFS('00 Encuesta'!$B$2:$B$511,"*a)*",'00 Encuesta'!$C$2:$C$511,"*a)*",'00 Encuesta'!$E$2:$E$511,"*b)*",'00 Encuesta'!$AU$2:$AU$511,"*d)*")</f>
        <v>1</v>
      </c>
      <c r="L372" s="52">
        <f t="shared" si="594"/>
        <v>5.5555555555555554</v>
      </c>
      <c r="M372" s="23"/>
      <c r="N372" s="51">
        <f t="shared" si="595"/>
        <v>1</v>
      </c>
      <c r="O372" s="52">
        <f t="shared" si="596"/>
        <v>2.6315789473684208</v>
      </c>
      <c r="P372" s="53">
        <f>COUNTIFS('00 Encuesta'!$B$2:$B$511,"*a)*",'00 Encuesta'!$C$2:$C$511,"*b)*",'00 Encuesta'!$E$2:$E$511,"*a)*",'00 Encuesta'!$AU$2:$AU$511,"*d)*")</f>
        <v>0</v>
      </c>
      <c r="Q372" s="52">
        <f t="shared" si="597"/>
        <v>0</v>
      </c>
      <c r="R372" s="53">
        <f>COUNTIFS('00 Encuesta'!$B$2:$B$511,"*a)*",'00 Encuesta'!$C$2:$C$511,"*b)*",'00 Encuesta'!$E$2:$E$511,"*b)*",'00 Encuesta'!$AU$2:$AU$511,"*d)*")</f>
        <v>1</v>
      </c>
      <c r="S372" s="52">
        <f t="shared" si="598"/>
        <v>4</v>
      </c>
      <c r="T372" s="3"/>
      <c r="U372" s="51">
        <f t="shared" si="599"/>
        <v>0</v>
      </c>
      <c r="V372" s="52" t="e">
        <f t="shared" si="600"/>
        <v>#DIV/0!</v>
      </c>
      <c r="W372" s="53">
        <f>COUNTIFS('00 Encuesta'!$B$2:$B$511,"*a)*",'00 Encuesta'!$C$2:$C$511,"*c)*",'00 Encuesta'!$E$2:$E$511,"*a)*",'00 Encuesta'!$AU$2:$AU$511,"*d)*")</f>
        <v>0</v>
      </c>
      <c r="X372" s="52" t="e">
        <f t="shared" si="601"/>
        <v>#DIV/0!</v>
      </c>
      <c r="Y372" s="53">
        <f>COUNTIFS('00 Encuesta'!$B$2:$B$511,"*a)*",'00 Encuesta'!$C$2:$C$511,"*c)*",'00 Encuesta'!$E$2:$E$511,"*b)*",'00 Encuesta'!$AU$2:$AU$511,"*d)*")</f>
        <v>0</v>
      </c>
      <c r="Z372" s="52" t="e">
        <f t="shared" si="602"/>
        <v>#DIV/0!</v>
      </c>
      <c r="AA372" s="3"/>
      <c r="AB372" s="62">
        <f t="shared" si="603"/>
        <v>4</v>
      </c>
      <c r="AC372" s="52">
        <f t="shared" si="604"/>
        <v>5.1282051282051286</v>
      </c>
      <c r="AD372" s="3"/>
      <c r="AE372" s="3"/>
      <c r="AF372" s="9" t="str">
        <f t="shared" si="605"/>
        <v>d) Mala</v>
      </c>
      <c r="AG372" s="72">
        <f t="shared" si="606"/>
        <v>9.0909090909090917</v>
      </c>
      <c r="AH372" s="72">
        <f t="shared" si="607"/>
        <v>5.5555555555555554</v>
      </c>
      <c r="AI372" s="73">
        <f t="shared" si="608"/>
        <v>7.5</v>
      </c>
      <c r="AJ372" s="73"/>
      <c r="AK372" s="76">
        <f t="shared" si="609"/>
        <v>0</v>
      </c>
      <c r="AL372" s="76">
        <f t="shared" si="610"/>
        <v>4</v>
      </c>
      <c r="AM372" s="76">
        <f t="shared" si="611"/>
        <v>2.6315789473684208</v>
      </c>
      <c r="AN372" s="76"/>
      <c r="AO372" s="81" t="e">
        <f t="shared" si="612"/>
        <v>#DIV/0!</v>
      </c>
      <c r="AP372" s="81" t="e">
        <f t="shared" si="613"/>
        <v>#DIV/0!</v>
      </c>
      <c r="AQ372" s="81" t="e">
        <f t="shared" si="614"/>
        <v>#DIV/0!</v>
      </c>
      <c r="AR372" s="3"/>
      <c r="AS372" s="76">
        <f t="shared" si="542"/>
        <v>5.1282051282051286</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ht="15" x14ac:dyDescent="0.25">
      <c r="A373" s="8" t="s">
        <v>22</v>
      </c>
      <c r="B373" s="9" t="s">
        <v>232</v>
      </c>
      <c r="C373" s="3"/>
      <c r="D373" s="3"/>
      <c r="E373" s="3"/>
      <c r="F373" s="71">
        <v>0</v>
      </c>
      <c r="G373" s="51">
        <f t="shared" si="591"/>
        <v>0</v>
      </c>
      <c r="H373" s="52">
        <f t="shared" si="592"/>
        <v>0</v>
      </c>
      <c r="I373" s="53">
        <f>COUNTIFS('00 Encuesta'!$B$2:$B$511,"*a)*",'00 Encuesta'!$C$2:$C$511,"*a)*",'00 Encuesta'!$E$2:$E$511,"*a)*",'00 Encuesta'!$AU$2:$AU$511,"*e)*")</f>
        <v>0</v>
      </c>
      <c r="J373" s="52">
        <f t="shared" si="593"/>
        <v>0</v>
      </c>
      <c r="K373" s="53">
        <f>COUNTIFS('00 Encuesta'!$B$2:$B$511,"*a)*",'00 Encuesta'!$C$2:$C$511,"*a)*",'00 Encuesta'!$E$2:$E$511,"*b)*",'00 Encuesta'!$AU$2:$AU$511,"*e)*")</f>
        <v>0</v>
      </c>
      <c r="L373" s="52">
        <f t="shared" si="594"/>
        <v>0</v>
      </c>
      <c r="M373" s="23"/>
      <c r="N373" s="51">
        <f t="shared" si="595"/>
        <v>1</v>
      </c>
      <c r="O373" s="52">
        <f t="shared" si="596"/>
        <v>2.6315789473684208</v>
      </c>
      <c r="P373" s="53">
        <f>COUNTIFS('00 Encuesta'!$B$2:$B$511,"*a)*",'00 Encuesta'!$C$2:$C$511,"*b)*",'00 Encuesta'!$E$2:$E$511,"*a)*",'00 Encuesta'!$AU$2:$AU$511,"*e)*")</f>
        <v>1</v>
      </c>
      <c r="Q373" s="52">
        <f t="shared" si="597"/>
        <v>7.6923076923076925</v>
      </c>
      <c r="R373" s="53">
        <f>COUNTIFS('00 Encuesta'!$B$2:$B$511,"*a)*",'00 Encuesta'!$C$2:$C$511,"*b)*",'00 Encuesta'!$E$2:$E$511,"*b)*",'00 Encuesta'!$AU$2:$AU$511,"*e)*")</f>
        <v>0</v>
      </c>
      <c r="S373" s="52">
        <f t="shared" si="598"/>
        <v>0</v>
      </c>
      <c r="T373" s="3"/>
      <c r="U373" s="51">
        <f t="shared" si="599"/>
        <v>0</v>
      </c>
      <c r="V373" s="52" t="e">
        <f t="shared" si="600"/>
        <v>#DIV/0!</v>
      </c>
      <c r="W373" s="53">
        <f>COUNTIFS('00 Encuesta'!$B$2:$B$511,"*a)*",'00 Encuesta'!$C$2:$C$511,"*c)*",'00 Encuesta'!$E$2:$E$511,"*a)*",'00 Encuesta'!$AU$2:$AU$511,"*e)*")</f>
        <v>0</v>
      </c>
      <c r="X373" s="52" t="e">
        <f t="shared" si="601"/>
        <v>#DIV/0!</v>
      </c>
      <c r="Y373" s="53">
        <f>COUNTIFS('00 Encuesta'!$B$2:$B$511,"*a)*",'00 Encuesta'!$C$2:$C$511,"*c)*",'00 Encuesta'!$E$2:$E$511,"*b)*",'00 Encuesta'!$AU$2:$AU$511,"*e)*")</f>
        <v>0</v>
      </c>
      <c r="Z373" s="52" t="e">
        <f t="shared" si="602"/>
        <v>#DIV/0!</v>
      </c>
      <c r="AA373" s="3"/>
      <c r="AB373" s="62">
        <f t="shared" si="603"/>
        <v>1</v>
      </c>
      <c r="AC373" s="52">
        <f t="shared" si="604"/>
        <v>1.2820512820512822</v>
      </c>
      <c r="AD373" s="3"/>
      <c r="AE373" s="3"/>
      <c r="AF373" s="9" t="str">
        <f t="shared" si="605"/>
        <v>e) Muy mala</v>
      </c>
      <c r="AG373" s="72">
        <f t="shared" si="606"/>
        <v>0</v>
      </c>
      <c r="AH373" s="72">
        <f t="shared" si="607"/>
        <v>0</v>
      </c>
      <c r="AI373" s="73">
        <f t="shared" si="608"/>
        <v>0</v>
      </c>
      <c r="AJ373" s="73"/>
      <c r="AK373" s="76">
        <f t="shared" si="609"/>
        <v>7.6923076923076925</v>
      </c>
      <c r="AL373" s="76">
        <f t="shared" si="610"/>
        <v>0</v>
      </c>
      <c r="AM373" s="76">
        <f t="shared" si="611"/>
        <v>2.6315789473684208</v>
      </c>
      <c r="AN373" s="76"/>
      <c r="AO373" s="81" t="e">
        <f t="shared" si="612"/>
        <v>#DIV/0!</v>
      </c>
      <c r="AP373" s="81" t="e">
        <f t="shared" si="613"/>
        <v>#DIV/0!</v>
      </c>
      <c r="AQ373" s="81" t="e">
        <f t="shared" si="614"/>
        <v>#DIV/0!</v>
      </c>
      <c r="AR373" s="3"/>
      <c r="AS373" s="76">
        <f t="shared" si="542"/>
        <v>1.2820512820512822</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ht="15" x14ac:dyDescent="0.25">
      <c r="A374" s="8" t="s">
        <v>45</v>
      </c>
      <c r="B374" s="9" t="s">
        <v>233</v>
      </c>
      <c r="C374" s="7"/>
      <c r="D374" s="7"/>
      <c r="E374" s="7"/>
      <c r="F374" s="71"/>
      <c r="G374" s="51">
        <f t="shared" si="591"/>
        <v>2</v>
      </c>
      <c r="H374" s="52">
        <f t="shared" si="592"/>
        <v>5</v>
      </c>
      <c r="I374" s="53">
        <f>COUNTIFS('00 Encuesta'!$B$2:$B$511,"*a)*",'00 Encuesta'!$C$2:$C$511,"*a)*",'00 Encuesta'!$E$2:$E$511,"*a)*",'00 Encuesta'!$AU$2:$AU$511,"*f)*")</f>
        <v>0</v>
      </c>
      <c r="J374" s="52">
        <f t="shared" si="593"/>
        <v>0</v>
      </c>
      <c r="K374" s="53">
        <f>COUNTIFS('00 Encuesta'!$B$2:$B$511,"*a)*",'00 Encuesta'!$C$2:$C$511,"*a)*",'00 Encuesta'!$E$2:$E$511,"*b)*",'00 Encuesta'!$AU$2:$AU$511,"*f)*")</f>
        <v>2</v>
      </c>
      <c r="L374" s="52">
        <f t="shared" si="594"/>
        <v>11.111111111111111</v>
      </c>
      <c r="M374" s="23"/>
      <c r="N374" s="51">
        <f t="shared" si="595"/>
        <v>3</v>
      </c>
      <c r="O374" s="52">
        <f t="shared" si="596"/>
        <v>7.8947368421052628</v>
      </c>
      <c r="P374" s="53">
        <f>COUNTIFS('00 Encuesta'!$B$2:$B$511,"*a)*",'00 Encuesta'!$C$2:$C$511,"*b)*",'00 Encuesta'!$E$2:$E$511,"*a)*",'00 Encuesta'!$AU$2:$AU$511,"*f)*")</f>
        <v>0</v>
      </c>
      <c r="Q374" s="52">
        <f t="shared" si="597"/>
        <v>0</v>
      </c>
      <c r="R374" s="53">
        <f>COUNTIFS('00 Encuesta'!$B$2:$B$511,"*a)*",'00 Encuesta'!$C$2:$C$511,"*b)*",'00 Encuesta'!$E$2:$E$511,"*b)*",'00 Encuesta'!$AU$2:$AU$511,"*f)*")</f>
        <v>3</v>
      </c>
      <c r="S374" s="52">
        <f t="shared" si="598"/>
        <v>12</v>
      </c>
      <c r="T374" s="3"/>
      <c r="U374" s="51">
        <f t="shared" si="599"/>
        <v>0</v>
      </c>
      <c r="V374" s="52" t="e">
        <f t="shared" si="600"/>
        <v>#DIV/0!</v>
      </c>
      <c r="W374" s="53">
        <f>COUNTIFS('00 Encuesta'!$B$2:$B$511,"*a)*",'00 Encuesta'!$C$2:$C$511,"*c)*",'00 Encuesta'!$E$2:$E$511,"*a)*",'00 Encuesta'!$AU$2:$AU$511,"*f)*")</f>
        <v>0</v>
      </c>
      <c r="X374" s="52" t="e">
        <f t="shared" si="601"/>
        <v>#DIV/0!</v>
      </c>
      <c r="Y374" s="53">
        <f>COUNTIFS('00 Encuesta'!$B$2:$B$511,"*a)*",'00 Encuesta'!$C$2:$C$511,"*c)*",'00 Encuesta'!$E$2:$E$511,"*b)*",'00 Encuesta'!$AU$2:$AU$511,"*f)*")</f>
        <v>0</v>
      </c>
      <c r="Z374" s="52" t="e">
        <f t="shared" si="602"/>
        <v>#DIV/0!</v>
      </c>
      <c r="AA374" s="3"/>
      <c r="AB374" s="62">
        <f t="shared" si="603"/>
        <v>5</v>
      </c>
      <c r="AC374" s="52">
        <f t="shared" si="604"/>
        <v>6.4102564102564106</v>
      </c>
      <c r="AD374" s="3"/>
      <c r="AE374" s="3"/>
      <c r="AF374" s="9" t="str">
        <f t="shared" si="605"/>
        <v>f) No aplica</v>
      </c>
      <c r="AG374" s="72">
        <f t="shared" si="606"/>
        <v>0</v>
      </c>
      <c r="AH374" s="72">
        <f t="shared" si="607"/>
        <v>11.111111111111111</v>
      </c>
      <c r="AI374" s="73">
        <f t="shared" si="608"/>
        <v>5</v>
      </c>
      <c r="AJ374" s="73"/>
      <c r="AK374" s="76">
        <f t="shared" si="609"/>
        <v>0</v>
      </c>
      <c r="AL374" s="76">
        <f t="shared" si="610"/>
        <v>12</v>
      </c>
      <c r="AM374" s="76">
        <f t="shared" si="611"/>
        <v>7.8947368421052628</v>
      </c>
      <c r="AN374" s="76"/>
      <c r="AO374" s="81" t="e">
        <f t="shared" si="612"/>
        <v>#DIV/0!</v>
      </c>
      <c r="AP374" s="81" t="e">
        <f t="shared" si="613"/>
        <v>#DIV/0!</v>
      </c>
      <c r="AQ374" s="81" t="e">
        <f t="shared" si="614"/>
        <v>#DIV/0!</v>
      </c>
      <c r="AR374" s="3"/>
      <c r="AS374" s="76">
        <f t="shared" si="542"/>
        <v>6.4102564102564106</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ht="15" x14ac:dyDescent="0.25">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78.571428571428569</v>
      </c>
      <c r="AH375" s="82">
        <f>($F369*K369+$F370*K370+$F371*K371+$F372*K372+$F373*K373)/(K369+K370+K371+K372+K373)</f>
        <v>64.0625</v>
      </c>
      <c r="AI375" s="82">
        <f>($F369*G369+$F370*G370+$F371*G371+$F372*G372+$F373*G373)/(G369+G370+G371+G372+G373)</f>
        <v>72.297297297297291</v>
      </c>
      <c r="AJ375" s="82"/>
      <c r="AK375" s="82">
        <f>($F369*Q369+$F370*Q370+$F371*Q371+$F372*Q372+$F373*Q373)/(Q369+Q370+Q371+Q372+Q373)</f>
        <v>65.384615384615387</v>
      </c>
      <c r="AL375" s="82">
        <f>($F369*S369+$F370*S370+$F371*S371+$F372*S372+$F373*S373)/(S369+S370+S371+S372+S373)</f>
        <v>68.75</v>
      </c>
      <c r="AM375" s="82">
        <f>($F369*O369+$F370*O370+$F371*O371+$F372*O372+$F373*O373)/(O369+O370+O371+O372+O373)</f>
        <v>67.424242424242422</v>
      </c>
      <c r="AN375" s="82"/>
      <c r="AO375" s="82" t="e">
        <f>($F369*W369+$F370*W370+$F371*W371+$F372*W372+$F373*W373)/(W369+W370+W371+W372+W373)</f>
        <v>#DIV/0!</v>
      </c>
      <c r="AP375" s="82" t="e">
        <f>($F369*Y369+$F370*Y370+$F371*Y371+$F372*Y372+$F373*Y373)/(Y369+Y370+Y371+Y372+Y373)</f>
        <v>#DIV/0!</v>
      </c>
      <c r="AQ375" s="82" t="e">
        <f>($F369*U369+$F370*U370+$F371*U371+$F372*U372+$F373*U373)/(U369+U370+U371+U372+U373)</f>
        <v>#DIV/0!</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ht="15" x14ac:dyDescent="0.25">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ht="15" x14ac:dyDescent="0.25">
      <c r="A377" s="8" t="s">
        <v>17</v>
      </c>
      <c r="B377" s="9" t="s">
        <v>229</v>
      </c>
      <c r="C377" s="3"/>
      <c r="D377" s="3"/>
      <c r="E377" s="3"/>
      <c r="F377" s="71">
        <v>100</v>
      </c>
      <c r="G377" s="51">
        <f t="shared" ref="G377:G382" si="615">I377+K377</f>
        <v>10</v>
      </c>
      <c r="H377" s="52">
        <f t="shared" ref="H377:H382" si="616">G377/$J$5*100</f>
        <v>25</v>
      </c>
      <c r="I377" s="53">
        <f>COUNTIFS('00 Encuesta'!$B$2:$B$511,"*a)*",'00 Encuesta'!$C$2:$C$511,"*a)*",'00 Encuesta'!$E$2:$E$511,"*a)*",'00 Encuesta'!$AV$2:$AV$511,"*a)*")</f>
        <v>7</v>
      </c>
      <c r="J377" s="52">
        <f t="shared" ref="J377:J382" si="617">I377/$J$6*100</f>
        <v>31.818181818181817</v>
      </c>
      <c r="K377" s="53">
        <f>COUNTIFS('00 Encuesta'!$B$2:$B$511,"*a)*",'00 Encuesta'!$C$2:$C$511,"*a)*",'00 Encuesta'!$E$2:$E$511,"*b)*",'00 Encuesta'!$AV$2:$AV$511,"*a)*")</f>
        <v>3</v>
      </c>
      <c r="L377" s="52">
        <f t="shared" ref="L377:L382" si="618">K377/$J$7*100</f>
        <v>16.666666666666664</v>
      </c>
      <c r="M377" s="23"/>
      <c r="N377" s="51">
        <f t="shared" ref="N377:N382" si="619">P377+R377</f>
        <v>7</v>
      </c>
      <c r="O377" s="52">
        <f t="shared" ref="O377:O382" si="620">N377/$Q$5*100</f>
        <v>18.421052631578945</v>
      </c>
      <c r="P377" s="53">
        <f>COUNTIFS('00 Encuesta'!$B$2:$B$511,"*a)*",'00 Encuesta'!$C$2:$C$511,"*b)*",'00 Encuesta'!$E$2:$E$511,"*a)*",'00 Encuesta'!$AV$2:$AV$511,"*a)*")</f>
        <v>3</v>
      </c>
      <c r="Q377" s="52">
        <f t="shared" ref="Q377:Q382" si="621">P377/$Q$6*100</f>
        <v>23.076923076923077</v>
      </c>
      <c r="R377" s="53">
        <f>COUNTIFS('00 Encuesta'!$B$2:$B$511,"*a)*",'00 Encuesta'!$C$2:$C$511,"*b)*",'00 Encuesta'!$E$2:$E$511,"*b)*",'00 Encuesta'!$AV$2:$AV$511,"*a)*")</f>
        <v>4</v>
      </c>
      <c r="S377" s="52">
        <f t="shared" ref="S377:S382" si="622">R377/$Q$7*100</f>
        <v>16</v>
      </c>
      <c r="T377" s="3"/>
      <c r="U377" s="51">
        <f t="shared" ref="U377:U382" si="623">W377+Y377</f>
        <v>0</v>
      </c>
      <c r="V377" s="52" t="e">
        <f t="shared" ref="V377:V382" si="624">U377/$X$5*100</f>
        <v>#DIV/0!</v>
      </c>
      <c r="W377" s="53">
        <f>COUNTIFS('00 Encuesta'!$B$2:$B$511,"*a)*",'00 Encuesta'!$C$2:$C$511,"*c)*",'00 Encuesta'!$E$2:$E$511,"*a)*",'00 Encuesta'!$AV$2:$AV$511,"*a)*")</f>
        <v>0</v>
      </c>
      <c r="X377" s="52" t="e">
        <f t="shared" ref="X377:X382" si="625">W377/$X$6*100</f>
        <v>#DIV/0!</v>
      </c>
      <c r="Y377" s="53">
        <f>COUNTIFS('00 Encuesta'!$B$2:$B$511,"*a)*",'00 Encuesta'!$C$2:$C$511,"*c)*",'00 Encuesta'!$E$2:$E$511,"*b)*",'00 Encuesta'!$AV$2:$AV$511,"*a)*")</f>
        <v>0</v>
      </c>
      <c r="Z377" s="52" t="e">
        <f t="shared" ref="Z377:Z382" si="626">Y377/$X$7*100</f>
        <v>#DIV/0!</v>
      </c>
      <c r="AA377" s="3"/>
      <c r="AB377" s="62">
        <f t="shared" ref="AB377:AB383" si="627">G377+N377+U377</f>
        <v>17</v>
      </c>
      <c r="AC377" s="52">
        <f t="shared" ref="AC377:AC383" si="628">AB377*100/$AC$5</f>
        <v>21.794871794871796</v>
      </c>
      <c r="AD377" s="3"/>
      <c r="AE377" s="3"/>
      <c r="AF377" s="9" t="str">
        <f t="shared" ref="AF377:AF382" si="629">A377&amp;" "&amp;B377</f>
        <v>a) Muy buena</v>
      </c>
      <c r="AG377" s="72">
        <f t="shared" ref="AG377:AG382" si="630">J377</f>
        <v>31.818181818181817</v>
      </c>
      <c r="AH377" s="72">
        <f t="shared" ref="AH377:AH382" si="631">L377</f>
        <v>16.666666666666664</v>
      </c>
      <c r="AI377" s="73">
        <f t="shared" ref="AI377:AI382" si="632">H377</f>
        <v>25</v>
      </c>
      <c r="AJ377" s="73"/>
      <c r="AK377" s="76">
        <f t="shared" ref="AK377:AK382" si="633">Q377</f>
        <v>23.076923076923077</v>
      </c>
      <c r="AL377" s="76">
        <f t="shared" ref="AL377:AL382" si="634">S377</f>
        <v>16</v>
      </c>
      <c r="AM377" s="76">
        <f t="shared" ref="AM377:AM382" si="635">O377</f>
        <v>18.421052631578945</v>
      </c>
      <c r="AN377" s="76"/>
      <c r="AO377" s="81" t="e">
        <f t="shared" ref="AO377:AO382" si="636">X377</f>
        <v>#DIV/0!</v>
      </c>
      <c r="AP377" s="81" t="e">
        <f t="shared" ref="AP377:AP382" si="637">Z377</f>
        <v>#DIV/0!</v>
      </c>
      <c r="AQ377" s="81" t="e">
        <f t="shared" ref="AQ377:AQ382" si="638">V377</f>
        <v>#DIV/0!</v>
      </c>
      <c r="AR377" s="3"/>
      <c r="AS377" s="76">
        <f t="shared" si="542"/>
        <v>21.794871794871796</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ht="15" x14ac:dyDescent="0.25">
      <c r="A378" s="8" t="s">
        <v>18</v>
      </c>
      <c r="B378" s="9" t="s">
        <v>230</v>
      </c>
      <c r="C378" s="3"/>
      <c r="D378" s="3"/>
      <c r="E378" s="3"/>
      <c r="F378" s="71">
        <v>75</v>
      </c>
      <c r="G378" s="51">
        <f t="shared" si="615"/>
        <v>19</v>
      </c>
      <c r="H378" s="52">
        <f t="shared" si="616"/>
        <v>47.5</v>
      </c>
      <c r="I378" s="53">
        <f>COUNTIFS('00 Encuesta'!$B$2:$B$511,"*a)*",'00 Encuesta'!$C$2:$C$511,"*a)*",'00 Encuesta'!$E$2:$E$511,"*a)*",'00 Encuesta'!$AV$2:$AV$511,"*b)*")</f>
        <v>10</v>
      </c>
      <c r="J378" s="52">
        <f t="shared" si="617"/>
        <v>45.454545454545453</v>
      </c>
      <c r="K378" s="53">
        <f>COUNTIFS('00 Encuesta'!$B$2:$B$511,"*a)*",'00 Encuesta'!$C$2:$C$511,"*a)*",'00 Encuesta'!$E$2:$E$511,"*b)*",'00 Encuesta'!$AV$2:$AV$511,"*b)*")</f>
        <v>9</v>
      </c>
      <c r="L378" s="52">
        <f t="shared" si="618"/>
        <v>50</v>
      </c>
      <c r="M378" s="23"/>
      <c r="N378" s="51">
        <f t="shared" si="619"/>
        <v>18</v>
      </c>
      <c r="O378" s="52">
        <f t="shared" si="620"/>
        <v>47.368421052631575</v>
      </c>
      <c r="P378" s="53">
        <f>COUNTIFS('00 Encuesta'!$B$2:$B$511,"*a)*",'00 Encuesta'!$C$2:$C$511,"*b)*",'00 Encuesta'!$E$2:$E$511,"*a)*",'00 Encuesta'!$AV$2:$AV$511,"*b)*")</f>
        <v>6</v>
      </c>
      <c r="Q378" s="52">
        <f t="shared" si="621"/>
        <v>46.153846153846153</v>
      </c>
      <c r="R378" s="53">
        <f>COUNTIFS('00 Encuesta'!$B$2:$B$511,"*a)*",'00 Encuesta'!$C$2:$C$511,"*b)*",'00 Encuesta'!$E$2:$E$511,"*b)*",'00 Encuesta'!$AV$2:$AV$511,"*b)*")</f>
        <v>12</v>
      </c>
      <c r="S378" s="52">
        <f t="shared" si="622"/>
        <v>48</v>
      </c>
      <c r="T378" s="3"/>
      <c r="U378" s="51">
        <f t="shared" si="623"/>
        <v>0</v>
      </c>
      <c r="V378" s="52" t="e">
        <f t="shared" si="624"/>
        <v>#DIV/0!</v>
      </c>
      <c r="W378" s="53">
        <f>COUNTIFS('00 Encuesta'!$B$2:$B$511,"*a)*",'00 Encuesta'!$C$2:$C$511,"*c)*",'00 Encuesta'!$E$2:$E$511,"*a)*",'00 Encuesta'!$AV$2:$AV$511,"*b)*")</f>
        <v>0</v>
      </c>
      <c r="X378" s="52" t="e">
        <f t="shared" si="625"/>
        <v>#DIV/0!</v>
      </c>
      <c r="Y378" s="53">
        <f>COUNTIFS('00 Encuesta'!$B$2:$B$511,"*a)*",'00 Encuesta'!$C$2:$C$511,"*c)*",'00 Encuesta'!$E$2:$E$511,"*b)*",'00 Encuesta'!$AV$2:$AV$511,"*b)*")</f>
        <v>0</v>
      </c>
      <c r="Z378" s="52" t="e">
        <f t="shared" si="626"/>
        <v>#DIV/0!</v>
      </c>
      <c r="AA378" s="3"/>
      <c r="AB378" s="62">
        <f t="shared" si="627"/>
        <v>37</v>
      </c>
      <c r="AC378" s="52">
        <f t="shared" si="628"/>
        <v>47.435897435897438</v>
      </c>
      <c r="AD378" s="3"/>
      <c r="AE378" s="3"/>
      <c r="AF378" s="9" t="str">
        <f t="shared" si="629"/>
        <v>b) Buena</v>
      </c>
      <c r="AG378" s="72">
        <f t="shared" si="630"/>
        <v>45.454545454545453</v>
      </c>
      <c r="AH378" s="72">
        <f t="shared" si="631"/>
        <v>50</v>
      </c>
      <c r="AI378" s="73">
        <f t="shared" si="632"/>
        <v>47.5</v>
      </c>
      <c r="AJ378" s="73"/>
      <c r="AK378" s="76">
        <f t="shared" si="633"/>
        <v>46.153846153846153</v>
      </c>
      <c r="AL378" s="76">
        <f t="shared" si="634"/>
        <v>48</v>
      </c>
      <c r="AM378" s="76">
        <f t="shared" si="635"/>
        <v>47.368421052631575</v>
      </c>
      <c r="AN378" s="76"/>
      <c r="AO378" s="81" t="e">
        <f t="shared" si="636"/>
        <v>#DIV/0!</v>
      </c>
      <c r="AP378" s="81" t="e">
        <f t="shared" si="637"/>
        <v>#DIV/0!</v>
      </c>
      <c r="AQ378" s="81" t="e">
        <f t="shared" si="638"/>
        <v>#DIV/0!</v>
      </c>
      <c r="AR378" s="3"/>
      <c r="AS378" s="76">
        <f t="shared" si="542"/>
        <v>47.435897435897438</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ht="15" x14ac:dyDescent="0.25">
      <c r="A379" s="8" t="s">
        <v>20</v>
      </c>
      <c r="B379" s="9" t="s">
        <v>218</v>
      </c>
      <c r="C379" s="3"/>
      <c r="D379" s="3"/>
      <c r="E379" s="3"/>
      <c r="F379" s="71">
        <v>50</v>
      </c>
      <c r="G379" s="51">
        <f t="shared" si="615"/>
        <v>8</v>
      </c>
      <c r="H379" s="52">
        <f t="shared" si="616"/>
        <v>20</v>
      </c>
      <c r="I379" s="53">
        <f>COUNTIFS('00 Encuesta'!$B$2:$B$511,"*a)*",'00 Encuesta'!$C$2:$C$511,"*a)*",'00 Encuesta'!$E$2:$E$511,"*a)*",'00 Encuesta'!$AV$2:$AV$511,"*c)*")</f>
        <v>2</v>
      </c>
      <c r="J379" s="52">
        <f t="shared" si="617"/>
        <v>9.0909090909090917</v>
      </c>
      <c r="K379" s="53">
        <f>COUNTIFS('00 Encuesta'!$B$2:$B$511,"*a)*",'00 Encuesta'!$C$2:$C$511,"*a)*",'00 Encuesta'!$E$2:$E$511,"*b)*",'00 Encuesta'!$AV$2:$AV$511,"*c)*")</f>
        <v>6</v>
      </c>
      <c r="L379" s="52">
        <f t="shared" si="618"/>
        <v>33.333333333333329</v>
      </c>
      <c r="M379" s="23"/>
      <c r="N379" s="51">
        <f t="shared" si="619"/>
        <v>10</v>
      </c>
      <c r="O379" s="52">
        <f t="shared" si="620"/>
        <v>26.315789473684209</v>
      </c>
      <c r="P379" s="53">
        <f>COUNTIFS('00 Encuesta'!$B$2:$B$511,"*a)*",'00 Encuesta'!$C$2:$C$511,"*b)*",'00 Encuesta'!$E$2:$E$511,"*a)*",'00 Encuesta'!$AV$2:$AV$511,"*c)*")</f>
        <v>3</v>
      </c>
      <c r="Q379" s="52">
        <f t="shared" si="621"/>
        <v>23.076923076923077</v>
      </c>
      <c r="R379" s="53">
        <f>COUNTIFS('00 Encuesta'!$B$2:$B$511,"*a)*",'00 Encuesta'!$C$2:$C$511,"*b)*",'00 Encuesta'!$E$2:$E$511,"*b)*",'00 Encuesta'!$AV$2:$AV$511,"*c)*")</f>
        <v>7</v>
      </c>
      <c r="S379" s="52">
        <f t="shared" si="622"/>
        <v>28.000000000000004</v>
      </c>
      <c r="T379" s="3"/>
      <c r="U379" s="51">
        <f t="shared" si="623"/>
        <v>0</v>
      </c>
      <c r="V379" s="52" t="e">
        <f t="shared" si="624"/>
        <v>#DIV/0!</v>
      </c>
      <c r="W379" s="53">
        <f>COUNTIFS('00 Encuesta'!$B$2:$B$511,"*a)*",'00 Encuesta'!$C$2:$C$511,"*c)*",'00 Encuesta'!$E$2:$E$511,"*a)*",'00 Encuesta'!$AV$2:$AV$511,"*c)*")</f>
        <v>0</v>
      </c>
      <c r="X379" s="52" t="e">
        <f t="shared" si="625"/>
        <v>#DIV/0!</v>
      </c>
      <c r="Y379" s="53">
        <f>COUNTIFS('00 Encuesta'!$B$2:$B$511,"*a)*",'00 Encuesta'!$C$2:$C$511,"*c)*",'00 Encuesta'!$E$2:$E$511,"*b)*",'00 Encuesta'!$AV$2:$AV$511,"*c)*")</f>
        <v>0</v>
      </c>
      <c r="Z379" s="52" t="e">
        <f t="shared" si="626"/>
        <v>#DIV/0!</v>
      </c>
      <c r="AA379" s="3"/>
      <c r="AB379" s="62">
        <f t="shared" si="627"/>
        <v>18</v>
      </c>
      <c r="AC379" s="52">
        <f t="shared" si="628"/>
        <v>23.076923076923077</v>
      </c>
      <c r="AD379" s="3"/>
      <c r="AE379" s="3"/>
      <c r="AF379" s="9" t="str">
        <f t="shared" si="629"/>
        <v>c) Regular</v>
      </c>
      <c r="AG379" s="72">
        <f t="shared" si="630"/>
        <v>9.0909090909090917</v>
      </c>
      <c r="AH379" s="72">
        <f t="shared" si="631"/>
        <v>33.333333333333329</v>
      </c>
      <c r="AI379" s="73">
        <f t="shared" si="632"/>
        <v>20</v>
      </c>
      <c r="AJ379" s="73"/>
      <c r="AK379" s="76">
        <f t="shared" si="633"/>
        <v>23.076923076923077</v>
      </c>
      <c r="AL379" s="76">
        <f t="shared" si="634"/>
        <v>28.000000000000004</v>
      </c>
      <c r="AM379" s="76">
        <f t="shared" si="635"/>
        <v>26.315789473684209</v>
      </c>
      <c r="AN379" s="76"/>
      <c r="AO379" s="81" t="e">
        <f t="shared" si="636"/>
        <v>#DIV/0!</v>
      </c>
      <c r="AP379" s="81" t="e">
        <f t="shared" si="637"/>
        <v>#DIV/0!</v>
      </c>
      <c r="AQ379" s="81" t="e">
        <f t="shared" si="638"/>
        <v>#DIV/0!</v>
      </c>
      <c r="AR379" s="3"/>
      <c r="AS379" s="76">
        <f t="shared" si="542"/>
        <v>23.076923076923077</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ht="15" x14ac:dyDescent="0.25">
      <c r="A380" s="8" t="s">
        <v>21</v>
      </c>
      <c r="B380" s="9" t="s">
        <v>231</v>
      </c>
      <c r="C380" s="3"/>
      <c r="D380" s="3"/>
      <c r="E380" s="3"/>
      <c r="F380" s="71">
        <v>25</v>
      </c>
      <c r="G380" s="51">
        <f t="shared" si="615"/>
        <v>1</v>
      </c>
      <c r="H380" s="52">
        <f t="shared" si="616"/>
        <v>2.5</v>
      </c>
      <c r="I380" s="53">
        <f>COUNTIFS('00 Encuesta'!$B$2:$B$511,"*a)*",'00 Encuesta'!$C$2:$C$511,"*a)*",'00 Encuesta'!$E$2:$E$511,"*a)*",'00 Encuesta'!$AV$2:$AV$511,"*d)*")</f>
        <v>1</v>
      </c>
      <c r="J380" s="52">
        <f t="shared" si="617"/>
        <v>4.5454545454545459</v>
      </c>
      <c r="K380" s="53">
        <f>COUNTIFS('00 Encuesta'!$B$2:$B$511,"*a)*",'00 Encuesta'!$C$2:$C$511,"*a)*",'00 Encuesta'!$E$2:$E$511,"*b)*",'00 Encuesta'!$AV$2:$AV$511,"*d)*")</f>
        <v>0</v>
      </c>
      <c r="L380" s="52">
        <f t="shared" si="618"/>
        <v>0</v>
      </c>
      <c r="M380" s="23"/>
      <c r="N380" s="51">
        <f t="shared" si="619"/>
        <v>1</v>
      </c>
      <c r="O380" s="52">
        <f t="shared" si="620"/>
        <v>2.6315789473684208</v>
      </c>
      <c r="P380" s="53">
        <f>COUNTIFS('00 Encuesta'!$B$2:$B$511,"*a)*",'00 Encuesta'!$C$2:$C$511,"*b)*",'00 Encuesta'!$E$2:$E$511,"*a)*",'00 Encuesta'!$AV$2:$AV$511,"*d)*")</f>
        <v>1</v>
      </c>
      <c r="Q380" s="52">
        <f t="shared" si="621"/>
        <v>7.6923076923076925</v>
      </c>
      <c r="R380" s="53">
        <f>COUNTIFS('00 Encuesta'!$B$2:$B$511,"*a)*",'00 Encuesta'!$C$2:$C$511,"*b)*",'00 Encuesta'!$E$2:$E$511,"*b)*",'00 Encuesta'!$AV$2:$AV$511,"*d)*")</f>
        <v>0</v>
      </c>
      <c r="S380" s="52">
        <f t="shared" si="622"/>
        <v>0</v>
      </c>
      <c r="T380" s="3"/>
      <c r="U380" s="51">
        <f t="shared" si="623"/>
        <v>0</v>
      </c>
      <c r="V380" s="52" t="e">
        <f t="shared" si="624"/>
        <v>#DIV/0!</v>
      </c>
      <c r="W380" s="53">
        <f>COUNTIFS('00 Encuesta'!$B$2:$B$511,"*a)*",'00 Encuesta'!$C$2:$C$511,"*c)*",'00 Encuesta'!$E$2:$E$511,"*a)*",'00 Encuesta'!$AV$2:$AV$511,"*d)*")</f>
        <v>0</v>
      </c>
      <c r="X380" s="52" t="e">
        <f t="shared" si="625"/>
        <v>#DIV/0!</v>
      </c>
      <c r="Y380" s="53">
        <f>COUNTIFS('00 Encuesta'!$B$2:$B$511,"*a)*",'00 Encuesta'!$C$2:$C$511,"*c)*",'00 Encuesta'!$E$2:$E$511,"*b)*",'00 Encuesta'!$AV$2:$AV$511,"*d)*")</f>
        <v>0</v>
      </c>
      <c r="Z380" s="52" t="e">
        <f t="shared" si="626"/>
        <v>#DIV/0!</v>
      </c>
      <c r="AA380" s="3"/>
      <c r="AB380" s="62">
        <f t="shared" si="627"/>
        <v>2</v>
      </c>
      <c r="AC380" s="52">
        <f t="shared" si="628"/>
        <v>2.5641025641025643</v>
      </c>
      <c r="AD380" s="3"/>
      <c r="AE380" s="3"/>
      <c r="AF380" s="9" t="str">
        <f t="shared" si="629"/>
        <v>d) Mala</v>
      </c>
      <c r="AG380" s="72">
        <f t="shared" si="630"/>
        <v>4.5454545454545459</v>
      </c>
      <c r="AH380" s="72">
        <f t="shared" si="631"/>
        <v>0</v>
      </c>
      <c r="AI380" s="73">
        <f t="shared" si="632"/>
        <v>2.5</v>
      </c>
      <c r="AJ380" s="73"/>
      <c r="AK380" s="76">
        <f t="shared" si="633"/>
        <v>7.6923076923076925</v>
      </c>
      <c r="AL380" s="76">
        <f t="shared" si="634"/>
        <v>0</v>
      </c>
      <c r="AM380" s="76">
        <f t="shared" si="635"/>
        <v>2.6315789473684208</v>
      </c>
      <c r="AN380" s="76"/>
      <c r="AO380" s="81" t="e">
        <f t="shared" si="636"/>
        <v>#DIV/0!</v>
      </c>
      <c r="AP380" s="81" t="e">
        <f t="shared" si="637"/>
        <v>#DIV/0!</v>
      </c>
      <c r="AQ380" s="81" t="e">
        <f t="shared" si="638"/>
        <v>#DIV/0!</v>
      </c>
      <c r="AR380" s="3"/>
      <c r="AS380" s="76">
        <f t="shared" si="542"/>
        <v>2.5641025641025643</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ht="15" x14ac:dyDescent="0.25">
      <c r="A381" s="8" t="s">
        <v>22</v>
      </c>
      <c r="B381" s="9" t="s">
        <v>232</v>
      </c>
      <c r="C381" s="3"/>
      <c r="D381" s="3"/>
      <c r="E381" s="3"/>
      <c r="F381" s="71">
        <v>0</v>
      </c>
      <c r="G381" s="51">
        <f t="shared" si="615"/>
        <v>1</v>
      </c>
      <c r="H381" s="52">
        <f t="shared" si="616"/>
        <v>2.5</v>
      </c>
      <c r="I381" s="53">
        <f>COUNTIFS('00 Encuesta'!$B$2:$B$511,"*a)*",'00 Encuesta'!$C$2:$C$511,"*a)*",'00 Encuesta'!$E$2:$E$511,"*a)*",'00 Encuesta'!$AV$2:$AV$511,"*e)*")</f>
        <v>1</v>
      </c>
      <c r="J381" s="52">
        <f t="shared" si="617"/>
        <v>4.5454545454545459</v>
      </c>
      <c r="K381" s="53">
        <f>COUNTIFS('00 Encuesta'!$B$2:$B$511,"*a)*",'00 Encuesta'!$C$2:$C$511,"*a)*",'00 Encuesta'!$E$2:$E$511,"*b)*",'00 Encuesta'!$AV$2:$AV$511,"*e)*")</f>
        <v>0</v>
      </c>
      <c r="L381" s="52">
        <f t="shared" si="618"/>
        <v>0</v>
      </c>
      <c r="M381" s="23"/>
      <c r="N381" s="51">
        <f t="shared" si="619"/>
        <v>0</v>
      </c>
      <c r="O381" s="52">
        <f t="shared" si="620"/>
        <v>0</v>
      </c>
      <c r="P381" s="53">
        <f>COUNTIFS('00 Encuesta'!$B$2:$B$511,"*a)*",'00 Encuesta'!$C$2:$C$511,"*b)*",'00 Encuesta'!$E$2:$E$511,"*a)*",'00 Encuesta'!$AV$2:$AV$511,"*e)*")</f>
        <v>0</v>
      </c>
      <c r="Q381" s="52">
        <f t="shared" si="621"/>
        <v>0</v>
      </c>
      <c r="R381" s="53">
        <f>COUNTIFS('00 Encuesta'!$B$2:$B$511,"*a)*",'00 Encuesta'!$C$2:$C$511,"*b)*",'00 Encuesta'!$E$2:$E$511,"*b)*",'00 Encuesta'!$AV$2:$AV$511,"*e)*")</f>
        <v>0</v>
      </c>
      <c r="S381" s="52">
        <f t="shared" si="622"/>
        <v>0</v>
      </c>
      <c r="T381" s="3"/>
      <c r="U381" s="51">
        <f t="shared" si="623"/>
        <v>0</v>
      </c>
      <c r="V381" s="52" t="e">
        <f t="shared" si="624"/>
        <v>#DIV/0!</v>
      </c>
      <c r="W381" s="53">
        <f>COUNTIFS('00 Encuesta'!$B$2:$B$511,"*a)*",'00 Encuesta'!$C$2:$C$511,"*c)*",'00 Encuesta'!$E$2:$E$511,"*a)*",'00 Encuesta'!$AV$2:$AV$511,"*e)*")</f>
        <v>0</v>
      </c>
      <c r="X381" s="52" t="e">
        <f t="shared" si="625"/>
        <v>#DIV/0!</v>
      </c>
      <c r="Y381" s="53">
        <f>COUNTIFS('00 Encuesta'!$B$2:$B$511,"*a)*",'00 Encuesta'!$C$2:$C$511,"*c)*",'00 Encuesta'!$E$2:$E$511,"*b)*",'00 Encuesta'!$AV$2:$AV$511,"*e)*")</f>
        <v>0</v>
      </c>
      <c r="Z381" s="52" t="e">
        <f t="shared" si="626"/>
        <v>#DIV/0!</v>
      </c>
      <c r="AA381" s="3"/>
      <c r="AB381" s="62">
        <f t="shared" si="627"/>
        <v>1</v>
      </c>
      <c r="AC381" s="52">
        <f t="shared" si="628"/>
        <v>1.2820512820512822</v>
      </c>
      <c r="AD381" s="3"/>
      <c r="AE381" s="3"/>
      <c r="AF381" s="9" t="str">
        <f t="shared" si="629"/>
        <v>e) Muy mala</v>
      </c>
      <c r="AG381" s="72">
        <f t="shared" si="630"/>
        <v>4.5454545454545459</v>
      </c>
      <c r="AH381" s="72">
        <f t="shared" si="631"/>
        <v>0</v>
      </c>
      <c r="AI381" s="73">
        <f t="shared" si="632"/>
        <v>2.5</v>
      </c>
      <c r="AJ381" s="73"/>
      <c r="AK381" s="76">
        <f t="shared" si="633"/>
        <v>0</v>
      </c>
      <c r="AL381" s="76">
        <f t="shared" si="634"/>
        <v>0</v>
      </c>
      <c r="AM381" s="76">
        <f t="shared" si="635"/>
        <v>0</v>
      </c>
      <c r="AN381" s="76"/>
      <c r="AO381" s="81" t="e">
        <f t="shared" si="636"/>
        <v>#DIV/0!</v>
      </c>
      <c r="AP381" s="81" t="e">
        <f t="shared" si="637"/>
        <v>#DIV/0!</v>
      </c>
      <c r="AQ381" s="81" t="e">
        <f t="shared" si="638"/>
        <v>#DIV/0!</v>
      </c>
      <c r="AR381" s="3"/>
      <c r="AS381" s="76">
        <f t="shared" si="542"/>
        <v>1.2820512820512822</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ht="15" x14ac:dyDescent="0.25">
      <c r="A382" s="8" t="s">
        <v>45</v>
      </c>
      <c r="B382" s="9" t="s">
        <v>233</v>
      </c>
      <c r="C382" s="7"/>
      <c r="D382" s="7"/>
      <c r="E382" s="7"/>
      <c r="F382" s="71"/>
      <c r="G382" s="51">
        <f t="shared" si="615"/>
        <v>0</v>
      </c>
      <c r="H382" s="52">
        <f t="shared" si="616"/>
        <v>0</v>
      </c>
      <c r="I382" s="53">
        <f>COUNTIFS('00 Encuesta'!$B$2:$B$511,"*a)*",'00 Encuesta'!$C$2:$C$511,"*a)*",'00 Encuesta'!$E$2:$E$511,"*a)*",'00 Encuesta'!$AV$2:$AV$511,"*f)*")</f>
        <v>0</v>
      </c>
      <c r="J382" s="52">
        <f t="shared" si="617"/>
        <v>0</v>
      </c>
      <c r="K382" s="53">
        <f>COUNTIFS('00 Encuesta'!$B$2:$B$511,"*a)*",'00 Encuesta'!$C$2:$C$511,"*a)*",'00 Encuesta'!$E$2:$E$511,"*b)*",'00 Encuesta'!$AV$2:$AV$511,"*f)*")</f>
        <v>0</v>
      </c>
      <c r="L382" s="52">
        <f t="shared" si="618"/>
        <v>0</v>
      </c>
      <c r="M382" s="23"/>
      <c r="N382" s="51">
        <f t="shared" si="619"/>
        <v>0</v>
      </c>
      <c r="O382" s="52">
        <f t="shared" si="620"/>
        <v>0</v>
      </c>
      <c r="P382" s="53">
        <f>COUNTIFS('00 Encuesta'!$B$2:$B$511,"*a)*",'00 Encuesta'!$C$2:$C$511,"*b)*",'00 Encuesta'!$E$2:$E$511,"*a)*",'00 Encuesta'!$AV$2:$AV$511,"*f)*")</f>
        <v>0</v>
      </c>
      <c r="Q382" s="52">
        <f t="shared" si="621"/>
        <v>0</v>
      </c>
      <c r="R382" s="53">
        <f>COUNTIFS('00 Encuesta'!$B$2:$B$511,"*a)*",'00 Encuesta'!$C$2:$C$511,"*b)*",'00 Encuesta'!$E$2:$E$511,"*b)*",'00 Encuesta'!$AV$2:$AV$511,"*f)*")</f>
        <v>0</v>
      </c>
      <c r="S382" s="52">
        <f t="shared" si="622"/>
        <v>0</v>
      </c>
      <c r="T382" s="3"/>
      <c r="U382" s="51">
        <f t="shared" si="623"/>
        <v>0</v>
      </c>
      <c r="V382" s="52" t="e">
        <f t="shared" si="624"/>
        <v>#DIV/0!</v>
      </c>
      <c r="W382" s="53">
        <f>COUNTIFS('00 Encuesta'!$B$2:$B$511,"*a)*",'00 Encuesta'!$C$2:$C$511,"*c)*",'00 Encuesta'!$E$2:$E$511,"*a)*",'00 Encuesta'!$AV$2:$AV$511,"*f)*")</f>
        <v>0</v>
      </c>
      <c r="X382" s="52" t="e">
        <f t="shared" si="625"/>
        <v>#DIV/0!</v>
      </c>
      <c r="Y382" s="53">
        <f>COUNTIFS('00 Encuesta'!$B$2:$B$511,"*a)*",'00 Encuesta'!$C$2:$C$511,"*c)*",'00 Encuesta'!$E$2:$E$511,"*b)*",'00 Encuesta'!$AV$2:$AV$511,"*f)*")</f>
        <v>0</v>
      </c>
      <c r="Z382" s="52" t="e">
        <f t="shared" si="626"/>
        <v>#DIV/0!</v>
      </c>
      <c r="AA382" s="3"/>
      <c r="AB382" s="62">
        <f t="shared" si="627"/>
        <v>0</v>
      </c>
      <c r="AC382" s="52">
        <f t="shared" si="628"/>
        <v>0</v>
      </c>
      <c r="AD382" s="3"/>
      <c r="AE382" s="3"/>
      <c r="AF382" s="9" t="str">
        <f t="shared" si="629"/>
        <v>f) No aplica</v>
      </c>
      <c r="AG382" s="72">
        <f t="shared" si="630"/>
        <v>0</v>
      </c>
      <c r="AH382" s="72">
        <f t="shared" si="631"/>
        <v>0</v>
      </c>
      <c r="AI382" s="73">
        <f t="shared" si="632"/>
        <v>0</v>
      </c>
      <c r="AJ382" s="73"/>
      <c r="AK382" s="76">
        <f t="shared" si="633"/>
        <v>0</v>
      </c>
      <c r="AL382" s="76">
        <f t="shared" si="634"/>
        <v>0</v>
      </c>
      <c r="AM382" s="76">
        <f t="shared" si="635"/>
        <v>0</v>
      </c>
      <c r="AN382" s="76"/>
      <c r="AO382" s="81" t="e">
        <f t="shared" si="636"/>
        <v>#DIV/0!</v>
      </c>
      <c r="AP382" s="81" t="e">
        <f t="shared" si="637"/>
        <v>#DIV/0!</v>
      </c>
      <c r="AQ382" s="81" t="e">
        <f t="shared" si="638"/>
        <v>#DIV/0!</v>
      </c>
      <c r="AR382" s="3"/>
      <c r="AS382" s="76">
        <f t="shared" si="542"/>
        <v>0</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ht="15" x14ac:dyDescent="0.25">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f t="shared" si="628"/>
        <v>0</v>
      </c>
      <c r="AD383" s="3"/>
      <c r="AE383" s="3"/>
      <c r="AF383" s="3"/>
      <c r="AG383" s="82">
        <f>($F377*I377+$F378*I378+$F379*I379+$F380*I380+$F381*I381)/(I377+I378+I379+I380+I381)</f>
        <v>75</v>
      </c>
      <c r="AH383" s="82">
        <f>($F377*K377+$F378*K378+$F379*K379+$F380*K380+$F381*K381)/(K377+K378+K379+K380+K381)</f>
        <v>70.833333333333329</v>
      </c>
      <c r="AI383" s="82">
        <f>($F377*G377+$F378*G378+$F379*G379+$F380*G380+$F381*G381)/(G377+G378+G379+G380+G381)</f>
        <v>73.07692307692308</v>
      </c>
      <c r="AJ383" s="82"/>
      <c r="AK383" s="82">
        <f>($F377*Q377+$F378*Q378+$F379*Q379+$F380*Q380+$F381*Q381)/(Q377+Q378+Q379+Q380+Q381)</f>
        <v>71.15384615384616</v>
      </c>
      <c r="AL383" s="82">
        <f>($F377*S377+$F378*S378+$F379*S379+$F380*S380+$F381*S381)/(S377+S378+S379+S380+S381)</f>
        <v>71.739130434782609</v>
      </c>
      <c r="AM383" s="82">
        <f>($F377*O377+$F378*O378+$F379*O379+$F380*O380+$F381*O381)/(O377+O378+O379+O380+O381)</f>
        <v>71.527777777777786</v>
      </c>
      <c r="AN383" s="82"/>
      <c r="AO383" s="82" t="e">
        <f>($F377*W377+$F378*W378+$F379*W379+$F380*W380+$F381*W381)/(W377+W378+W379+W380+W381)</f>
        <v>#DIV/0!</v>
      </c>
      <c r="AP383" s="82" t="e">
        <f>($F377*Y377+$F378*Y378+$F379*Y379+$F380*Y380+$F381*Y381)/(Y377+Y378+Y379+Y380+Y381)</f>
        <v>#DIV/0!</v>
      </c>
      <c r="AQ383" s="82" t="e">
        <f>($F377*U377+$F378*U378+$F379*U379+$F380*U380+$F381*U381)/(U377+U378+U379+U380+U381)</f>
        <v>#DIV/0!</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ht="15.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6</v>
      </c>
      <c r="H386" s="52">
        <f t="shared" ref="H386:H394" si="640">G386/$J$5*100</f>
        <v>15</v>
      </c>
      <c r="I386" s="53">
        <f>COUNTIFS('00 Encuesta'!$B$2:$B$511,"*a)*",'00 Encuesta'!$C$2:$C$511,"*a)*",'00 Encuesta'!$E$2:$E$511,"*a)*",'00 Encuesta'!$AW$2:$AW$511,"*a)*")</f>
        <v>4</v>
      </c>
      <c r="J386" s="52">
        <f t="shared" ref="J386:J394" si="641">I386/$J$6*100</f>
        <v>18.181818181818183</v>
      </c>
      <c r="K386" s="53">
        <f>COUNTIFS('00 Encuesta'!$B$2:$B$511,"*a)*",'00 Encuesta'!$C$2:$C$511,"*a)*",'00 Encuesta'!$E$2:$E$511,"*b)*",'00 Encuesta'!$AW$2:$AW$511,"*a)*")</f>
        <v>2</v>
      </c>
      <c r="L386" s="52">
        <f t="shared" ref="L386:L394" si="642">K386/$J$7*100</f>
        <v>11.111111111111111</v>
      </c>
      <c r="M386" s="23"/>
      <c r="N386" s="51">
        <f t="shared" ref="N386:N394" si="643">P386+R386</f>
        <v>11</v>
      </c>
      <c r="O386" s="52">
        <f t="shared" ref="O386:O394" si="644">N386/$Q$5*100</f>
        <v>28.947368421052634</v>
      </c>
      <c r="P386" s="53">
        <f>COUNTIFS('00 Encuesta'!$B$2:$B$511,"*a)*",'00 Encuesta'!$C$2:$C$511,"*b)*",'00 Encuesta'!$E$2:$E$511,"*a)*",'00 Encuesta'!$AW$2:$AW$511,"*a)*")</f>
        <v>5</v>
      </c>
      <c r="Q386" s="52">
        <f t="shared" ref="Q386:Q394" si="645">P386/$Q$6*100</f>
        <v>38.461538461538467</v>
      </c>
      <c r="R386" s="53">
        <f>COUNTIFS('00 Encuesta'!$B$2:$B$511,"*a)*",'00 Encuesta'!$C$2:$C$511,"*b)*",'00 Encuesta'!$E$2:$E$511,"*b)*",'00 Encuesta'!$AW$2:$AW$511,"*a)*")</f>
        <v>6</v>
      </c>
      <c r="S386" s="52">
        <f t="shared" ref="S386:S394" si="646">R386/$Q$7*100</f>
        <v>24</v>
      </c>
      <c r="T386" s="3"/>
      <c r="U386" s="51">
        <f t="shared" ref="U386:U394" si="647">W386+Y386</f>
        <v>0</v>
      </c>
      <c r="V386" s="52" t="e">
        <f t="shared" ref="V386:V394" si="648">U386/$X$5*100</f>
        <v>#DIV/0!</v>
      </c>
      <c r="W386" s="53">
        <f>COUNTIFS('00 Encuesta'!$B$2:$B$511,"*a)*",'00 Encuesta'!$C$2:$C$511,"*c)*",'00 Encuesta'!$E$2:$E$511,"*a)*",'00 Encuesta'!$AW$2:$AW$511,"*a)*")</f>
        <v>0</v>
      </c>
      <c r="X386" s="52" t="e">
        <f t="shared" ref="X386:X394" si="649">W386/$X$6*100</f>
        <v>#DIV/0!</v>
      </c>
      <c r="Y386" s="53">
        <f>COUNTIFS('00 Encuesta'!$B$2:$B$511,"*a)*",'00 Encuesta'!$C$2:$C$511,"*c)*",'00 Encuesta'!$E$2:$E$511,"*b)*",'00 Encuesta'!$AW$2:$AW$511,"*a)*")</f>
        <v>0</v>
      </c>
      <c r="Z386" s="52" t="e">
        <f t="shared" ref="Z386:Z394" si="650">Y386/$X$7*100</f>
        <v>#DIV/0!</v>
      </c>
      <c r="AA386" s="3"/>
      <c r="AB386" s="62">
        <f t="shared" ref="AB386:AB394" si="651">G386+N386+U386</f>
        <v>17</v>
      </c>
      <c r="AC386" s="52">
        <f t="shared" ref="AC386:AC394" si="652">AB386*100/$AC$5</f>
        <v>21.794871794871796</v>
      </c>
      <c r="AD386" s="3"/>
      <c r="AE386" s="3"/>
      <c r="AF386" s="9" t="str">
        <f t="shared" ref="AF386:AF394" si="653">A386&amp;" "&amp;B386</f>
        <v>a) El compañerismo</v>
      </c>
      <c r="AG386" s="72">
        <f>J386</f>
        <v>18.181818181818183</v>
      </c>
      <c r="AH386" s="72">
        <f>L386</f>
        <v>11.111111111111111</v>
      </c>
      <c r="AI386" s="73">
        <f>H386</f>
        <v>15</v>
      </c>
      <c r="AJ386" s="73"/>
      <c r="AK386" s="76">
        <f t="shared" ref="AK386:AK394" si="654">Q386</f>
        <v>38.461538461538467</v>
      </c>
      <c r="AL386" s="76">
        <f t="shared" ref="AL386:AL394" si="655">S386</f>
        <v>24</v>
      </c>
      <c r="AM386" s="76">
        <f t="shared" ref="AM386:AM394" si="656">O386</f>
        <v>28.947368421052634</v>
      </c>
      <c r="AN386" s="76"/>
      <c r="AO386" s="81" t="e">
        <f t="shared" ref="AO386:AO394" si="657">X386</f>
        <v>#DIV/0!</v>
      </c>
      <c r="AP386" s="81" t="e">
        <f t="shared" ref="AP386:AP394" si="658">Z386</f>
        <v>#DIV/0!</v>
      </c>
      <c r="AQ386" s="81" t="e">
        <f t="shared" ref="AQ386:AQ394" si="659">V386</f>
        <v>#DIV/0!</v>
      </c>
      <c r="AR386" s="3"/>
      <c r="AS386" s="76">
        <f t="shared" si="542"/>
        <v>21.794871794871796</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6</v>
      </c>
      <c r="H387" s="52">
        <f t="shared" si="640"/>
        <v>15</v>
      </c>
      <c r="I387" s="53">
        <f>COUNTIFS('00 Encuesta'!$B$2:$B$511,"*a)*",'00 Encuesta'!$C$2:$C$511,"*a)*",'00 Encuesta'!$E$2:$E$511,"*a)*",'00 Encuesta'!$AW$2:$AW$511,"*b)*")</f>
        <v>2</v>
      </c>
      <c r="J387" s="52">
        <f t="shared" si="641"/>
        <v>9.0909090909090917</v>
      </c>
      <c r="K387" s="53">
        <f>COUNTIFS('00 Encuesta'!$B$2:$B$511,"*a)*",'00 Encuesta'!$C$2:$C$511,"*a)*",'00 Encuesta'!$E$2:$E$511,"*b)*",'00 Encuesta'!$AW$2:$AW$511,"*b)*")</f>
        <v>4</v>
      </c>
      <c r="L387" s="52">
        <f t="shared" si="642"/>
        <v>22.222222222222221</v>
      </c>
      <c r="M387" s="23"/>
      <c r="N387" s="51">
        <f t="shared" si="643"/>
        <v>6</v>
      </c>
      <c r="O387" s="52">
        <f t="shared" si="644"/>
        <v>15.789473684210526</v>
      </c>
      <c r="P387" s="53">
        <f>COUNTIFS('00 Encuesta'!$B$2:$B$511,"*a)*",'00 Encuesta'!$C$2:$C$511,"*b)*",'00 Encuesta'!$E$2:$E$511,"*a)*",'00 Encuesta'!$AW$2:$AW$511,"*b)*")</f>
        <v>3</v>
      </c>
      <c r="Q387" s="52">
        <f t="shared" si="645"/>
        <v>23.076923076923077</v>
      </c>
      <c r="R387" s="53">
        <f>COUNTIFS('00 Encuesta'!$B$2:$B$511,"*a)*",'00 Encuesta'!$C$2:$C$511,"*b)*",'00 Encuesta'!$E$2:$E$511,"*b)*",'00 Encuesta'!$AW$2:$AW$511,"*b)*")</f>
        <v>3</v>
      </c>
      <c r="S387" s="52">
        <f t="shared" si="646"/>
        <v>12</v>
      </c>
      <c r="T387" s="3"/>
      <c r="U387" s="51">
        <f t="shared" si="647"/>
        <v>0</v>
      </c>
      <c r="V387" s="52" t="e">
        <f t="shared" si="648"/>
        <v>#DIV/0!</v>
      </c>
      <c r="W387" s="53">
        <f>COUNTIFS('00 Encuesta'!$B$2:$B$511,"*a)*",'00 Encuesta'!$C$2:$C$511,"*c)*",'00 Encuesta'!$E$2:$E$511,"*a)*",'00 Encuesta'!$AW$2:$AW$511,"*b)*")</f>
        <v>0</v>
      </c>
      <c r="X387" s="52" t="e">
        <f t="shared" si="649"/>
        <v>#DIV/0!</v>
      </c>
      <c r="Y387" s="53">
        <f>COUNTIFS('00 Encuesta'!$B$2:$B$511,"*a)*",'00 Encuesta'!$C$2:$C$511,"*c)*",'00 Encuesta'!$E$2:$E$511,"*b)*",'00 Encuesta'!$AW$2:$AW$511,"*b)*")</f>
        <v>0</v>
      </c>
      <c r="Z387" s="52" t="e">
        <f t="shared" si="650"/>
        <v>#DIV/0!</v>
      </c>
      <c r="AA387" s="3"/>
      <c r="AB387" s="62">
        <f t="shared" si="651"/>
        <v>12</v>
      </c>
      <c r="AC387" s="52">
        <f t="shared" si="652"/>
        <v>15.384615384615385</v>
      </c>
      <c r="AD387" s="3"/>
      <c r="AE387" s="3"/>
      <c r="AF387" s="9" t="str">
        <f t="shared" si="653"/>
        <v>b) La orientación cristiana</v>
      </c>
      <c r="AG387" s="72">
        <f t="shared" ref="AG387:AG394" si="660">J387</f>
        <v>9.0909090909090917</v>
      </c>
      <c r="AH387" s="72">
        <f t="shared" ref="AH387:AH394" si="661">L387</f>
        <v>22.222222222222221</v>
      </c>
      <c r="AI387" s="73">
        <f t="shared" ref="AI387:AI394" si="662">H387</f>
        <v>15</v>
      </c>
      <c r="AJ387" s="73"/>
      <c r="AK387" s="76">
        <f t="shared" si="654"/>
        <v>23.076923076923077</v>
      </c>
      <c r="AL387" s="76">
        <f t="shared" si="655"/>
        <v>12</v>
      </c>
      <c r="AM387" s="76">
        <f t="shared" si="656"/>
        <v>15.789473684210526</v>
      </c>
      <c r="AN387" s="76"/>
      <c r="AO387" s="81" t="e">
        <f t="shared" si="657"/>
        <v>#DIV/0!</v>
      </c>
      <c r="AP387" s="81" t="e">
        <f t="shared" si="658"/>
        <v>#DIV/0!</v>
      </c>
      <c r="AQ387" s="81" t="e">
        <f t="shared" si="659"/>
        <v>#DIV/0!</v>
      </c>
      <c r="AR387" s="3"/>
      <c r="AS387" s="76">
        <f t="shared" si="542"/>
        <v>15.384615384615385</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ht="15.75" x14ac:dyDescent="0.3">
      <c r="A388" s="1" t="s">
        <v>20</v>
      </c>
      <c r="B388" s="2" t="s">
        <v>243</v>
      </c>
      <c r="C388" s="3"/>
      <c r="D388" s="3"/>
      <c r="E388" s="3"/>
      <c r="F388" s="4"/>
      <c r="G388" s="51">
        <f t="shared" si="639"/>
        <v>10</v>
      </c>
      <c r="H388" s="52">
        <f t="shared" si="640"/>
        <v>25</v>
      </c>
      <c r="I388" s="53">
        <f>COUNTIFS('00 Encuesta'!$B$2:$B$511,"*a)*",'00 Encuesta'!$C$2:$C$511,"*a)*",'00 Encuesta'!$E$2:$E$511,"*a)*",'00 Encuesta'!$AW$2:$AW$511,"*c)*")</f>
        <v>6</v>
      </c>
      <c r="J388" s="52">
        <f t="shared" si="641"/>
        <v>27.27272727272727</v>
      </c>
      <c r="K388" s="53">
        <f>COUNTIFS('00 Encuesta'!$B$2:$B$511,"*a)*",'00 Encuesta'!$C$2:$C$511,"*a)*",'00 Encuesta'!$E$2:$E$511,"*b)*",'00 Encuesta'!$AW$2:$AW$511,"*c)*")</f>
        <v>4</v>
      </c>
      <c r="L388" s="52">
        <f t="shared" si="642"/>
        <v>22.222222222222221</v>
      </c>
      <c r="M388" s="23"/>
      <c r="N388" s="51">
        <f t="shared" si="643"/>
        <v>5</v>
      </c>
      <c r="O388" s="52">
        <f t="shared" si="644"/>
        <v>13.157894736842104</v>
      </c>
      <c r="P388" s="53">
        <f>COUNTIFS('00 Encuesta'!$B$2:$B$511,"*a)*",'00 Encuesta'!$C$2:$C$511,"*b)*",'00 Encuesta'!$E$2:$E$511,"*a)*",'00 Encuesta'!$AW$2:$AW$511,"*c)*")</f>
        <v>2</v>
      </c>
      <c r="Q388" s="52">
        <f t="shared" si="645"/>
        <v>15.384615384615385</v>
      </c>
      <c r="R388" s="53">
        <f>COUNTIFS('00 Encuesta'!$B$2:$B$511,"*a)*",'00 Encuesta'!$C$2:$C$511,"*b)*",'00 Encuesta'!$E$2:$E$511,"*b)*",'00 Encuesta'!$AW$2:$AW$511,"*c)*")</f>
        <v>3</v>
      </c>
      <c r="S388" s="52">
        <f t="shared" si="646"/>
        <v>12</v>
      </c>
      <c r="T388" s="3"/>
      <c r="U388" s="51">
        <f t="shared" si="647"/>
        <v>0</v>
      </c>
      <c r="V388" s="52" t="e">
        <f t="shared" si="648"/>
        <v>#DIV/0!</v>
      </c>
      <c r="W388" s="53">
        <f>COUNTIFS('00 Encuesta'!$B$2:$B$511,"*a)*",'00 Encuesta'!$C$2:$C$511,"*c)*",'00 Encuesta'!$E$2:$E$511,"*a)*",'00 Encuesta'!$AW$2:$AW$511,"*c)*")</f>
        <v>0</v>
      </c>
      <c r="X388" s="52" t="e">
        <f t="shared" si="649"/>
        <v>#DIV/0!</v>
      </c>
      <c r="Y388" s="53">
        <f>COUNTIFS('00 Encuesta'!$B$2:$B$511,"*a)*",'00 Encuesta'!$C$2:$C$511,"*c)*",'00 Encuesta'!$E$2:$E$511,"*b)*",'00 Encuesta'!$AW$2:$AW$511,"*c)*")</f>
        <v>0</v>
      </c>
      <c r="Z388" s="52" t="e">
        <f t="shared" si="650"/>
        <v>#DIV/0!</v>
      </c>
      <c r="AA388" s="3"/>
      <c r="AB388" s="62">
        <f t="shared" si="651"/>
        <v>15</v>
      </c>
      <c r="AC388" s="52">
        <f t="shared" si="652"/>
        <v>19.23076923076923</v>
      </c>
      <c r="AD388" s="3"/>
      <c r="AE388" s="3"/>
      <c r="AF388" s="9" t="str">
        <f t="shared" si="653"/>
        <v>c) El estudio</v>
      </c>
      <c r="AG388" s="72">
        <f t="shared" si="660"/>
        <v>27.27272727272727</v>
      </c>
      <c r="AH388" s="72">
        <f t="shared" si="661"/>
        <v>22.222222222222221</v>
      </c>
      <c r="AI388" s="73">
        <f t="shared" si="662"/>
        <v>25</v>
      </c>
      <c r="AJ388" s="73"/>
      <c r="AK388" s="76">
        <f t="shared" si="654"/>
        <v>15.384615384615385</v>
      </c>
      <c r="AL388" s="76">
        <f t="shared" si="655"/>
        <v>12</v>
      </c>
      <c r="AM388" s="76">
        <f t="shared" si="656"/>
        <v>13.157894736842104</v>
      </c>
      <c r="AN388" s="76"/>
      <c r="AO388" s="81" t="e">
        <f t="shared" si="657"/>
        <v>#DIV/0!</v>
      </c>
      <c r="AP388" s="81" t="e">
        <f t="shared" si="658"/>
        <v>#DIV/0!</v>
      </c>
      <c r="AQ388" s="81" t="e">
        <f t="shared" si="659"/>
        <v>#DIV/0!</v>
      </c>
      <c r="AR388" s="3"/>
      <c r="AS388" s="76">
        <f t="shared" si="542"/>
        <v>19.23076923076923</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0</v>
      </c>
      <c r="H389" s="52">
        <f t="shared" si="640"/>
        <v>0</v>
      </c>
      <c r="I389" s="53">
        <f>COUNTIFS('00 Encuesta'!$B$2:$B$511,"*a)*",'00 Encuesta'!$C$2:$C$511,"*a)*",'00 Encuesta'!$E$2:$E$511,"*a)*",'00 Encuesta'!$AW$2:$AW$511,"*d)*")</f>
        <v>0</v>
      </c>
      <c r="J389" s="52">
        <f t="shared" si="641"/>
        <v>0</v>
      </c>
      <c r="K389" s="53">
        <f>COUNTIFS('00 Encuesta'!$B$2:$B$511,"*a)*",'00 Encuesta'!$C$2:$C$511,"*a)*",'00 Encuesta'!$E$2:$E$511,"*b)*",'00 Encuesta'!$AW$2:$AW$511,"*d)*")</f>
        <v>0</v>
      </c>
      <c r="L389" s="52">
        <f t="shared" si="642"/>
        <v>0</v>
      </c>
      <c r="M389" s="23"/>
      <c r="N389" s="51">
        <f t="shared" si="643"/>
        <v>0</v>
      </c>
      <c r="O389" s="52">
        <f t="shared" si="644"/>
        <v>0</v>
      </c>
      <c r="P389" s="53">
        <f>COUNTIFS('00 Encuesta'!$B$2:$B$511,"*a)*",'00 Encuesta'!$C$2:$C$511,"*b)*",'00 Encuesta'!$E$2:$E$511,"*a)*",'00 Encuesta'!$AW$2:$AW$511,"*d)*")</f>
        <v>0</v>
      </c>
      <c r="Q389" s="52">
        <f t="shared" si="645"/>
        <v>0</v>
      </c>
      <c r="R389" s="53">
        <f>COUNTIFS('00 Encuesta'!$B$2:$B$511,"*a)*",'00 Encuesta'!$C$2:$C$511,"*b)*",'00 Encuesta'!$E$2:$E$511,"*b)*",'00 Encuesta'!$AW$2:$AW$511,"*d)*")</f>
        <v>0</v>
      </c>
      <c r="S389" s="52">
        <f t="shared" si="646"/>
        <v>0</v>
      </c>
      <c r="T389" s="3"/>
      <c r="U389" s="51">
        <f t="shared" si="647"/>
        <v>0</v>
      </c>
      <c r="V389" s="52" t="e">
        <f t="shared" si="648"/>
        <v>#DIV/0!</v>
      </c>
      <c r="W389" s="53">
        <f>COUNTIFS('00 Encuesta'!$B$2:$B$511,"*a)*",'00 Encuesta'!$C$2:$C$511,"*c)*",'00 Encuesta'!$E$2:$E$511,"*a)*",'00 Encuesta'!$AW$2:$AW$511,"*d)*")</f>
        <v>0</v>
      </c>
      <c r="X389" s="52" t="e">
        <f t="shared" si="649"/>
        <v>#DIV/0!</v>
      </c>
      <c r="Y389" s="53">
        <f>COUNTIFS('00 Encuesta'!$B$2:$B$511,"*a)*",'00 Encuesta'!$C$2:$C$511,"*c)*",'00 Encuesta'!$E$2:$E$511,"*b)*",'00 Encuesta'!$AW$2:$AW$511,"*d)*")</f>
        <v>0</v>
      </c>
      <c r="Z389" s="52" t="e">
        <f t="shared" si="650"/>
        <v>#DIV/0!</v>
      </c>
      <c r="AA389" s="3"/>
      <c r="AB389" s="62">
        <f t="shared" si="651"/>
        <v>0</v>
      </c>
      <c r="AC389" s="52">
        <f t="shared" si="652"/>
        <v>0</v>
      </c>
      <c r="AD389" s="3"/>
      <c r="AE389" s="3"/>
      <c r="AF389" s="9" t="str">
        <f t="shared" si="653"/>
        <v>d) La formacion del carácter</v>
      </c>
      <c r="AG389" s="72">
        <f t="shared" si="660"/>
        <v>0</v>
      </c>
      <c r="AH389" s="72">
        <f t="shared" si="661"/>
        <v>0</v>
      </c>
      <c r="AI389" s="73">
        <f t="shared" si="662"/>
        <v>0</v>
      </c>
      <c r="AJ389" s="73"/>
      <c r="AK389" s="76">
        <f t="shared" si="654"/>
        <v>0</v>
      </c>
      <c r="AL389" s="76">
        <f t="shared" si="655"/>
        <v>0</v>
      </c>
      <c r="AM389" s="76">
        <f t="shared" si="656"/>
        <v>0</v>
      </c>
      <c r="AN389" s="76"/>
      <c r="AO389" s="81" t="e">
        <f t="shared" si="657"/>
        <v>#DIV/0!</v>
      </c>
      <c r="AP389" s="81" t="e">
        <f t="shared" si="658"/>
        <v>#DIV/0!</v>
      </c>
      <c r="AQ389" s="81" t="e">
        <f t="shared" si="659"/>
        <v>#DIV/0!</v>
      </c>
      <c r="AR389" s="3"/>
      <c r="AS389" s="76">
        <f t="shared" si="542"/>
        <v>0</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ht="15.75" x14ac:dyDescent="0.3">
      <c r="A390" s="1" t="s">
        <v>22</v>
      </c>
      <c r="B390" s="2" t="s">
        <v>245</v>
      </c>
      <c r="C390" s="3"/>
      <c r="D390" s="3"/>
      <c r="E390" s="3"/>
      <c r="F390" s="4"/>
      <c r="G390" s="51">
        <f t="shared" si="639"/>
        <v>3</v>
      </c>
      <c r="H390" s="52">
        <f t="shared" si="640"/>
        <v>7.5</v>
      </c>
      <c r="I390" s="53">
        <f>COUNTIFS('00 Encuesta'!$B$2:$B$511,"*a)*",'00 Encuesta'!$C$2:$C$511,"*a)*",'00 Encuesta'!$E$2:$E$511,"*a)*",'00 Encuesta'!$AW$2:$AW$511,"*e)*")</f>
        <v>2</v>
      </c>
      <c r="J390" s="52">
        <f t="shared" si="641"/>
        <v>9.0909090909090917</v>
      </c>
      <c r="K390" s="53">
        <f>COUNTIFS('00 Encuesta'!$B$2:$B$511,"*a)*",'00 Encuesta'!$C$2:$C$511,"*a)*",'00 Encuesta'!$E$2:$E$511,"*b)*",'00 Encuesta'!$AW$2:$AW$511,"*e)*")</f>
        <v>1</v>
      </c>
      <c r="L390" s="52">
        <f t="shared" si="642"/>
        <v>5.5555555555555554</v>
      </c>
      <c r="M390" s="23"/>
      <c r="N390" s="51">
        <f t="shared" si="643"/>
        <v>0</v>
      </c>
      <c r="O390" s="52">
        <f t="shared" si="644"/>
        <v>0</v>
      </c>
      <c r="P390" s="53">
        <f>COUNTIFS('00 Encuesta'!$B$2:$B$511,"*a)*",'00 Encuesta'!$C$2:$C$511,"*b)*",'00 Encuesta'!$E$2:$E$511,"*a)*",'00 Encuesta'!$AW$2:$AW$511,"*e)*")</f>
        <v>0</v>
      </c>
      <c r="Q390" s="52">
        <f t="shared" si="645"/>
        <v>0</v>
      </c>
      <c r="R390" s="53">
        <f>COUNTIFS('00 Encuesta'!$B$2:$B$511,"*a)*",'00 Encuesta'!$C$2:$C$511,"*b)*",'00 Encuesta'!$E$2:$E$511,"*b)*",'00 Encuesta'!$AW$2:$AW$511,"*e)*")</f>
        <v>0</v>
      </c>
      <c r="S390" s="52">
        <f t="shared" si="646"/>
        <v>0</v>
      </c>
      <c r="T390" s="3"/>
      <c r="U390" s="51">
        <f t="shared" si="647"/>
        <v>0</v>
      </c>
      <c r="V390" s="52" t="e">
        <f t="shared" si="648"/>
        <v>#DIV/0!</v>
      </c>
      <c r="W390" s="53">
        <f>COUNTIFS('00 Encuesta'!$B$2:$B$511,"*a)*",'00 Encuesta'!$C$2:$C$511,"*c)*",'00 Encuesta'!$E$2:$E$511,"*a)*",'00 Encuesta'!$AW$2:$AW$511,"*e)*")</f>
        <v>0</v>
      </c>
      <c r="X390" s="52" t="e">
        <f t="shared" si="649"/>
        <v>#DIV/0!</v>
      </c>
      <c r="Y390" s="53">
        <f>COUNTIFS('00 Encuesta'!$B$2:$B$511,"*a)*",'00 Encuesta'!$C$2:$C$511,"*c)*",'00 Encuesta'!$E$2:$E$511,"*b)*",'00 Encuesta'!$AW$2:$AW$511,"*e)*")</f>
        <v>0</v>
      </c>
      <c r="Z390" s="52" t="e">
        <f t="shared" si="650"/>
        <v>#DIV/0!</v>
      </c>
      <c r="AA390" s="3"/>
      <c r="AB390" s="62">
        <f t="shared" si="651"/>
        <v>3</v>
      </c>
      <c r="AC390" s="52">
        <f t="shared" si="652"/>
        <v>3.8461538461538463</v>
      </c>
      <c r="AD390" s="3"/>
      <c r="AE390" s="3"/>
      <c r="AF390" s="9" t="str">
        <f t="shared" si="653"/>
        <v>e) La disciplina y el orden</v>
      </c>
      <c r="AG390" s="72">
        <f t="shared" si="660"/>
        <v>9.0909090909090917</v>
      </c>
      <c r="AH390" s="72">
        <f t="shared" si="661"/>
        <v>5.5555555555555554</v>
      </c>
      <c r="AI390" s="73">
        <f t="shared" si="662"/>
        <v>7.5</v>
      </c>
      <c r="AJ390" s="73"/>
      <c r="AK390" s="76">
        <f t="shared" si="654"/>
        <v>0</v>
      </c>
      <c r="AL390" s="76">
        <f t="shared" si="655"/>
        <v>0</v>
      </c>
      <c r="AM390" s="76">
        <f t="shared" si="656"/>
        <v>0</v>
      </c>
      <c r="AN390" s="76"/>
      <c r="AO390" s="81" t="e">
        <f t="shared" si="657"/>
        <v>#DIV/0!</v>
      </c>
      <c r="AP390" s="81" t="e">
        <f t="shared" si="658"/>
        <v>#DIV/0!</v>
      </c>
      <c r="AQ390" s="81" t="e">
        <f t="shared" si="659"/>
        <v>#DIV/0!</v>
      </c>
      <c r="AR390" s="3"/>
      <c r="AS390" s="76">
        <f t="shared" si="542"/>
        <v>3.8461538461538463</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4</v>
      </c>
      <c r="H391" s="52">
        <f t="shared" si="640"/>
        <v>10</v>
      </c>
      <c r="I391" s="53">
        <f>COUNTIFS('00 Encuesta'!$B$2:$B$511,"*a)*",'00 Encuesta'!$C$2:$C$511,"*a)*",'00 Encuesta'!$E$2:$E$511,"*a)*",'00 Encuesta'!$AW$2:$AW$511,"*f)*")</f>
        <v>3</v>
      </c>
      <c r="J391" s="52">
        <f t="shared" si="641"/>
        <v>13.636363636363635</v>
      </c>
      <c r="K391" s="53">
        <f>COUNTIFS('00 Encuesta'!$B$2:$B$511,"*a)*",'00 Encuesta'!$C$2:$C$511,"*a)*",'00 Encuesta'!$E$2:$E$511,"*b)*",'00 Encuesta'!$AW$2:$AW$511,"*f)*")</f>
        <v>1</v>
      </c>
      <c r="L391" s="52">
        <f t="shared" si="642"/>
        <v>5.5555555555555554</v>
      </c>
      <c r="M391" s="23"/>
      <c r="N391" s="51">
        <f t="shared" si="643"/>
        <v>1</v>
      </c>
      <c r="O391" s="52">
        <f t="shared" si="644"/>
        <v>2.6315789473684208</v>
      </c>
      <c r="P391" s="53">
        <f>COUNTIFS('00 Encuesta'!$B$2:$B$511,"*a)*",'00 Encuesta'!$C$2:$C$511,"*b)*",'00 Encuesta'!$E$2:$E$511,"*a)*",'00 Encuesta'!$AW$2:$AW$511,"*f)*")</f>
        <v>1</v>
      </c>
      <c r="Q391" s="52">
        <f t="shared" si="645"/>
        <v>7.6923076923076925</v>
      </c>
      <c r="R391" s="53">
        <f>COUNTIFS('00 Encuesta'!$B$2:$B$511,"*a)*",'00 Encuesta'!$C$2:$C$511,"*b)*",'00 Encuesta'!$E$2:$E$511,"*b)*",'00 Encuesta'!$AW$2:$AW$511,"*f)*")</f>
        <v>0</v>
      </c>
      <c r="S391" s="52">
        <f t="shared" si="646"/>
        <v>0</v>
      </c>
      <c r="T391" s="3"/>
      <c r="U391" s="51">
        <f t="shared" si="647"/>
        <v>0</v>
      </c>
      <c r="V391" s="52" t="e">
        <f t="shared" si="648"/>
        <v>#DIV/0!</v>
      </c>
      <c r="W391" s="53">
        <f>COUNTIFS('00 Encuesta'!$B$2:$B$511,"*a)*",'00 Encuesta'!$C$2:$C$511,"*c)*",'00 Encuesta'!$E$2:$E$511,"*a)*",'00 Encuesta'!$AW$2:$AW$511,"*f)*")</f>
        <v>0</v>
      </c>
      <c r="X391" s="52" t="e">
        <f t="shared" si="649"/>
        <v>#DIV/0!</v>
      </c>
      <c r="Y391" s="53">
        <f>COUNTIFS('00 Encuesta'!$B$2:$B$511,"*a)*",'00 Encuesta'!$C$2:$C$511,"*c)*",'00 Encuesta'!$E$2:$E$511,"*b)*",'00 Encuesta'!$AW$2:$AW$511,"*f)*")</f>
        <v>0</v>
      </c>
      <c r="Z391" s="52" t="e">
        <f t="shared" si="650"/>
        <v>#DIV/0!</v>
      </c>
      <c r="AA391" s="3"/>
      <c r="AB391" s="62">
        <f t="shared" si="651"/>
        <v>5</v>
      </c>
      <c r="AC391" s="52">
        <f t="shared" si="652"/>
        <v>6.4102564102564106</v>
      </c>
      <c r="AD391" s="3"/>
      <c r="AE391" s="3"/>
      <c r="AF391" s="9" t="str">
        <f t="shared" si="653"/>
        <v>f) La pràctica religiosa</v>
      </c>
      <c r="AG391" s="72">
        <f t="shared" si="660"/>
        <v>13.636363636363635</v>
      </c>
      <c r="AH391" s="72">
        <f t="shared" si="661"/>
        <v>5.5555555555555554</v>
      </c>
      <c r="AI391" s="73">
        <f t="shared" si="662"/>
        <v>10</v>
      </c>
      <c r="AJ391" s="73"/>
      <c r="AK391" s="76">
        <f t="shared" si="654"/>
        <v>7.6923076923076925</v>
      </c>
      <c r="AL391" s="76">
        <f t="shared" si="655"/>
        <v>0</v>
      </c>
      <c r="AM391" s="76">
        <f t="shared" si="656"/>
        <v>2.6315789473684208</v>
      </c>
      <c r="AN391" s="76"/>
      <c r="AO391" s="81" t="e">
        <f t="shared" si="657"/>
        <v>#DIV/0!</v>
      </c>
      <c r="AP391" s="81" t="e">
        <f t="shared" si="658"/>
        <v>#DIV/0!</v>
      </c>
      <c r="AQ391" s="81" t="e">
        <f t="shared" si="659"/>
        <v>#DIV/0!</v>
      </c>
      <c r="AR391" s="3"/>
      <c r="AS391" s="76">
        <f t="shared" si="542"/>
        <v>6.4102564102564106</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1</v>
      </c>
      <c r="H392" s="52">
        <f t="shared" si="640"/>
        <v>2.5</v>
      </c>
      <c r="I392" s="53">
        <f>COUNTIFS('00 Encuesta'!$B$2:$B$511,"*a)*",'00 Encuesta'!$C$2:$C$511,"*a)*",'00 Encuesta'!$E$2:$E$511,"*a)*",'00 Encuesta'!$AW$2:$AW$511,"*g)*")</f>
        <v>1</v>
      </c>
      <c r="J392" s="52">
        <f t="shared" si="641"/>
        <v>4.5454545454545459</v>
      </c>
      <c r="K392" s="53">
        <f>COUNTIFS('00 Encuesta'!$B$2:$B$511,"*a)*",'00 Encuesta'!$C$2:$C$511,"*a)*",'00 Encuesta'!$E$2:$E$511,"*b)*",'00 Encuesta'!$AW$2:$AW$511,"*g)*")</f>
        <v>0</v>
      </c>
      <c r="L392" s="52">
        <f t="shared" si="642"/>
        <v>0</v>
      </c>
      <c r="M392" s="23"/>
      <c r="N392" s="51">
        <f t="shared" si="643"/>
        <v>6</v>
      </c>
      <c r="O392" s="52">
        <f t="shared" si="644"/>
        <v>15.789473684210526</v>
      </c>
      <c r="P392" s="53">
        <f>COUNTIFS('00 Encuesta'!$B$2:$B$511,"*a)*",'00 Encuesta'!$C$2:$C$511,"*b)*",'00 Encuesta'!$E$2:$E$511,"*a)*",'00 Encuesta'!$AW$2:$AW$511,"*g)*")</f>
        <v>1</v>
      </c>
      <c r="Q392" s="52">
        <f t="shared" si="645"/>
        <v>7.6923076923076925</v>
      </c>
      <c r="R392" s="53">
        <f>COUNTIFS('00 Encuesta'!$B$2:$B$511,"*a)*",'00 Encuesta'!$C$2:$C$511,"*b)*",'00 Encuesta'!$E$2:$E$511,"*b)*",'00 Encuesta'!$AW$2:$AW$511,"*g)*")</f>
        <v>5</v>
      </c>
      <c r="S392" s="52">
        <f t="shared" si="646"/>
        <v>20</v>
      </c>
      <c r="T392" s="3"/>
      <c r="U392" s="51">
        <f t="shared" si="647"/>
        <v>0</v>
      </c>
      <c r="V392" s="52" t="e">
        <f t="shared" si="648"/>
        <v>#DIV/0!</v>
      </c>
      <c r="W392" s="53">
        <f>COUNTIFS('00 Encuesta'!$B$2:$B$511,"*a)*",'00 Encuesta'!$C$2:$C$511,"*c)*",'00 Encuesta'!$E$2:$E$511,"*a)*",'00 Encuesta'!$AW$2:$AW$511,"*g)*")</f>
        <v>0</v>
      </c>
      <c r="X392" s="52" t="e">
        <f t="shared" si="649"/>
        <v>#DIV/0!</v>
      </c>
      <c r="Y392" s="53">
        <f>COUNTIFS('00 Encuesta'!$B$2:$B$511,"*a)*",'00 Encuesta'!$C$2:$C$511,"*c)*",'00 Encuesta'!$E$2:$E$511,"*b)*",'00 Encuesta'!$AW$2:$AW$511,"*g)*")</f>
        <v>0</v>
      </c>
      <c r="Z392" s="52" t="e">
        <f t="shared" si="650"/>
        <v>#DIV/0!</v>
      </c>
      <c r="AA392" s="3"/>
      <c r="AB392" s="62">
        <f t="shared" si="651"/>
        <v>7</v>
      </c>
      <c r="AC392" s="52">
        <f t="shared" si="652"/>
        <v>8.9743589743589745</v>
      </c>
      <c r="AD392" s="3"/>
      <c r="AE392" s="3"/>
      <c r="AF392" s="9" t="str">
        <f t="shared" si="653"/>
        <v>g) La Orientación profesional futura</v>
      </c>
      <c r="AG392" s="72">
        <f t="shared" si="660"/>
        <v>4.5454545454545459</v>
      </c>
      <c r="AH392" s="72">
        <f t="shared" si="661"/>
        <v>0</v>
      </c>
      <c r="AI392" s="73">
        <f t="shared" si="662"/>
        <v>2.5</v>
      </c>
      <c r="AJ392" s="73"/>
      <c r="AK392" s="76">
        <f t="shared" si="654"/>
        <v>7.6923076923076925</v>
      </c>
      <c r="AL392" s="76">
        <f t="shared" si="655"/>
        <v>20</v>
      </c>
      <c r="AM392" s="76">
        <f t="shared" si="656"/>
        <v>15.789473684210526</v>
      </c>
      <c r="AN392" s="76"/>
      <c r="AO392" s="81" t="e">
        <f t="shared" si="657"/>
        <v>#DIV/0!</v>
      </c>
      <c r="AP392" s="81" t="e">
        <f t="shared" si="658"/>
        <v>#DIV/0!</v>
      </c>
      <c r="AQ392" s="81" t="e">
        <f t="shared" si="659"/>
        <v>#DIV/0!</v>
      </c>
      <c r="AR392" s="3"/>
      <c r="AS392" s="76">
        <f t="shared" si="542"/>
        <v>8.9743589743589745</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8</v>
      </c>
      <c r="H393" s="52">
        <f t="shared" si="640"/>
        <v>20</v>
      </c>
      <c r="I393" s="53">
        <f>COUNTIFS('00 Encuesta'!$B$2:$B$511,"*a)*",'00 Encuesta'!$C$2:$C$511,"*a)*",'00 Encuesta'!$E$2:$E$511,"*a)*",'00 Encuesta'!$AW$2:$AW$511,"*h)*")</f>
        <v>2</v>
      </c>
      <c r="J393" s="52">
        <f t="shared" si="641"/>
        <v>9.0909090909090917</v>
      </c>
      <c r="K393" s="53">
        <f>COUNTIFS('00 Encuesta'!$B$2:$B$511,"*a)*",'00 Encuesta'!$C$2:$C$511,"*a)*",'00 Encuesta'!$E$2:$E$511,"*b)*",'00 Encuesta'!$AW$2:$AW$511,"*h)*")</f>
        <v>6</v>
      </c>
      <c r="L393" s="52">
        <f t="shared" si="642"/>
        <v>33.333333333333329</v>
      </c>
      <c r="M393" s="23"/>
      <c r="N393" s="51">
        <f t="shared" si="643"/>
        <v>3</v>
      </c>
      <c r="O393" s="52">
        <f t="shared" si="644"/>
        <v>7.8947368421052628</v>
      </c>
      <c r="P393" s="53">
        <f>COUNTIFS('00 Encuesta'!$B$2:$B$511,"*a)*",'00 Encuesta'!$C$2:$C$511,"*b)*",'00 Encuesta'!$E$2:$E$511,"*a)*",'00 Encuesta'!$AW$2:$AW$511,"*h)*")</f>
        <v>0</v>
      </c>
      <c r="Q393" s="52">
        <f t="shared" si="645"/>
        <v>0</v>
      </c>
      <c r="R393" s="53">
        <f>COUNTIFS('00 Encuesta'!$B$2:$B$511,"*a)*",'00 Encuesta'!$C$2:$C$511,"*b)*",'00 Encuesta'!$E$2:$E$511,"*b)*",'00 Encuesta'!$AW$2:$AW$511,"*h)*")</f>
        <v>3</v>
      </c>
      <c r="S393" s="52">
        <f t="shared" si="646"/>
        <v>12</v>
      </c>
      <c r="T393" s="3"/>
      <c r="U393" s="51">
        <f t="shared" si="647"/>
        <v>0</v>
      </c>
      <c r="V393" s="52" t="e">
        <f t="shared" si="648"/>
        <v>#DIV/0!</v>
      </c>
      <c r="W393" s="53">
        <f>COUNTIFS('00 Encuesta'!$B$2:$B$511,"*a)*",'00 Encuesta'!$C$2:$C$511,"*c)*",'00 Encuesta'!$E$2:$E$511,"*a)*",'00 Encuesta'!$AW$2:$AW$511,"*h)*")</f>
        <v>0</v>
      </c>
      <c r="X393" s="52" t="e">
        <f t="shared" si="649"/>
        <v>#DIV/0!</v>
      </c>
      <c r="Y393" s="53">
        <f>COUNTIFS('00 Encuesta'!$B$2:$B$511,"*a)*",'00 Encuesta'!$C$2:$C$511,"*c)*",'00 Encuesta'!$E$2:$E$511,"*b)*",'00 Encuesta'!$AW$2:$AW$511,"*h)*")</f>
        <v>0</v>
      </c>
      <c r="Z393" s="52" t="e">
        <f t="shared" si="650"/>
        <v>#DIV/0!</v>
      </c>
      <c r="AA393" s="3"/>
      <c r="AB393" s="62">
        <f t="shared" si="651"/>
        <v>11</v>
      </c>
      <c r="AC393" s="52">
        <f t="shared" si="652"/>
        <v>14.102564102564102</v>
      </c>
      <c r="AD393" s="3"/>
      <c r="AE393" s="3"/>
      <c r="AF393" s="9" t="str">
        <f t="shared" si="653"/>
        <v>h) La responsabilidad social y servicio a los demás</v>
      </c>
      <c r="AG393" s="72">
        <f t="shared" si="660"/>
        <v>9.0909090909090917</v>
      </c>
      <c r="AH393" s="72">
        <f t="shared" si="661"/>
        <v>33.333333333333329</v>
      </c>
      <c r="AI393" s="73">
        <f t="shared" si="662"/>
        <v>20</v>
      </c>
      <c r="AJ393" s="73"/>
      <c r="AK393" s="76">
        <f t="shared" si="654"/>
        <v>0</v>
      </c>
      <c r="AL393" s="76">
        <f t="shared" si="655"/>
        <v>12</v>
      </c>
      <c r="AM393" s="76">
        <f t="shared" si="656"/>
        <v>7.8947368421052628</v>
      </c>
      <c r="AN393" s="76"/>
      <c r="AO393" s="81" t="e">
        <f t="shared" si="657"/>
        <v>#DIV/0!</v>
      </c>
      <c r="AP393" s="81" t="e">
        <f t="shared" si="658"/>
        <v>#DIV/0!</v>
      </c>
      <c r="AQ393" s="81" t="e">
        <f t="shared" si="659"/>
        <v>#DIV/0!</v>
      </c>
      <c r="AR393" s="3"/>
      <c r="AS393" s="76">
        <f t="shared" si="542"/>
        <v>14.102564102564102</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ht="15.75" x14ac:dyDescent="0.3">
      <c r="A394" s="1" t="s">
        <v>65</v>
      </c>
      <c r="B394" s="2" t="s">
        <v>247</v>
      </c>
      <c r="C394" s="3"/>
      <c r="D394" s="3"/>
      <c r="E394" s="3"/>
      <c r="F394" s="4"/>
      <c r="G394" s="51">
        <f t="shared" si="639"/>
        <v>1</v>
      </c>
      <c r="H394" s="52">
        <f t="shared" si="640"/>
        <v>2.5</v>
      </c>
      <c r="I394" s="53">
        <f>COUNTIFS('00 Encuesta'!$B$2:$B$511,"*a)*",'00 Encuesta'!$C$2:$C$511,"*a)*",'00 Encuesta'!$E$2:$E$511,"*a)*",'00 Encuesta'!$AW$2:$AW$511,"*i)*")</f>
        <v>1</v>
      </c>
      <c r="J394" s="52">
        <f t="shared" si="641"/>
        <v>4.5454545454545459</v>
      </c>
      <c r="K394" s="53">
        <f>COUNTIFS('00 Encuesta'!$B$2:$B$511,"*a)*",'00 Encuesta'!$C$2:$C$511,"*a)*",'00 Encuesta'!$E$2:$E$511,"*b)*",'00 Encuesta'!$AW$2:$AW$511,"*i)*")</f>
        <v>0</v>
      </c>
      <c r="L394" s="52">
        <f t="shared" si="642"/>
        <v>0</v>
      </c>
      <c r="M394" s="23"/>
      <c r="N394" s="51">
        <f t="shared" si="643"/>
        <v>4</v>
      </c>
      <c r="O394" s="52">
        <f t="shared" si="644"/>
        <v>10.526315789473683</v>
      </c>
      <c r="P394" s="53">
        <f>COUNTIFS('00 Encuesta'!$B$2:$B$511,"*a)*",'00 Encuesta'!$C$2:$C$511,"*b)*",'00 Encuesta'!$E$2:$E$511,"*a)*",'00 Encuesta'!$AW$2:$AW$511,"*i)*")</f>
        <v>1</v>
      </c>
      <c r="Q394" s="52">
        <f t="shared" si="645"/>
        <v>7.6923076923076925</v>
      </c>
      <c r="R394" s="53">
        <f>COUNTIFS('00 Encuesta'!$B$2:$B$511,"*a)*",'00 Encuesta'!$C$2:$C$511,"*b)*",'00 Encuesta'!$E$2:$E$511,"*b)*",'00 Encuesta'!$AW$2:$AW$511,"*i)*")</f>
        <v>3</v>
      </c>
      <c r="S394" s="52">
        <f t="shared" si="646"/>
        <v>12</v>
      </c>
      <c r="T394" s="3"/>
      <c r="U394" s="51">
        <f t="shared" si="647"/>
        <v>0</v>
      </c>
      <c r="V394" s="52" t="e">
        <f t="shared" si="648"/>
        <v>#DIV/0!</v>
      </c>
      <c r="W394" s="53">
        <f>COUNTIFS('00 Encuesta'!$B$2:$B$511,"*a)*",'00 Encuesta'!$C$2:$C$511,"*c)*",'00 Encuesta'!$E$2:$E$511,"*a)*",'00 Encuesta'!$AW$2:$AW$511,"*i)*")</f>
        <v>0</v>
      </c>
      <c r="X394" s="52" t="e">
        <f t="shared" si="649"/>
        <v>#DIV/0!</v>
      </c>
      <c r="Y394" s="53">
        <f>COUNTIFS('00 Encuesta'!$B$2:$B$511,"*a)*",'00 Encuesta'!$C$2:$C$511,"*c)*",'00 Encuesta'!$E$2:$E$511,"*b)*",'00 Encuesta'!$AW$2:$AW$511,"*i)*")</f>
        <v>0</v>
      </c>
      <c r="Z394" s="52" t="e">
        <f t="shared" si="650"/>
        <v>#DIV/0!</v>
      </c>
      <c r="AA394" s="3"/>
      <c r="AB394" s="62">
        <f t="shared" si="651"/>
        <v>5</v>
      </c>
      <c r="AC394" s="52">
        <f t="shared" si="652"/>
        <v>6.4102564102564106</v>
      </c>
      <c r="AD394" s="3"/>
      <c r="AE394" s="3"/>
      <c r="AF394" s="9" t="str">
        <f t="shared" si="653"/>
        <v>i) En nada</v>
      </c>
      <c r="AG394" s="72">
        <f t="shared" si="660"/>
        <v>4.5454545454545459</v>
      </c>
      <c r="AH394" s="72">
        <f t="shared" si="661"/>
        <v>0</v>
      </c>
      <c r="AI394" s="73">
        <f t="shared" si="662"/>
        <v>2.5</v>
      </c>
      <c r="AJ394" s="73"/>
      <c r="AK394" s="76">
        <f t="shared" si="654"/>
        <v>7.6923076923076925</v>
      </c>
      <c r="AL394" s="76">
        <f t="shared" si="655"/>
        <v>12</v>
      </c>
      <c r="AM394" s="76">
        <f t="shared" si="656"/>
        <v>10.526315789473683</v>
      </c>
      <c r="AN394" s="76"/>
      <c r="AO394" s="81" t="e">
        <f t="shared" si="657"/>
        <v>#DIV/0!</v>
      </c>
      <c r="AP394" s="81" t="e">
        <f t="shared" si="658"/>
        <v>#DIV/0!</v>
      </c>
      <c r="AQ394" s="81" t="e">
        <f t="shared" si="659"/>
        <v>#DIV/0!</v>
      </c>
      <c r="AR394" s="3"/>
      <c r="AS394" s="76">
        <f t="shared" si="542"/>
        <v>6.4102564102564106</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ht="15.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ht="15.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ht="15.75" x14ac:dyDescent="0.3">
      <c r="A397" s="1" t="s">
        <v>17</v>
      </c>
      <c r="B397" s="2" t="s">
        <v>249</v>
      </c>
      <c r="C397" s="3"/>
      <c r="D397" s="3"/>
      <c r="E397" s="3"/>
      <c r="F397" s="4"/>
      <c r="G397" s="51">
        <f t="shared" ref="G397:G404" si="663">I397+K397</f>
        <v>16</v>
      </c>
      <c r="H397" s="52">
        <f t="shared" ref="H397:H404" si="664">G397/$J$5*100</f>
        <v>40</v>
      </c>
      <c r="I397" s="53">
        <f>COUNTIFS('00 Encuesta'!$B$2:$B$511,"*a)*",'00 Encuesta'!$C$2:$C$511,"*a)*",'00 Encuesta'!$E$2:$E$511,"*a)*",'00 Encuesta'!$AX$2:$AX$511,"*a)*")</f>
        <v>10</v>
      </c>
      <c r="J397" s="52">
        <f t="shared" ref="J397:J404" si="665">I397/$J$6*100</f>
        <v>45.454545454545453</v>
      </c>
      <c r="K397" s="53">
        <f>COUNTIFS('00 Encuesta'!$B$2:$B$511,"*a)*",'00 Encuesta'!$C$2:$C$511,"*a)*",'00 Encuesta'!$E$2:$E$511,"*b)*",'00 Encuesta'!$AX$2:$AX$511,"*a)*")</f>
        <v>6</v>
      </c>
      <c r="L397" s="52">
        <f t="shared" ref="L397:L404" si="666">K397/$J$7*100</f>
        <v>33.333333333333329</v>
      </c>
      <c r="M397" s="23"/>
      <c r="N397" s="51">
        <f t="shared" ref="N397:N404" si="667">P397+R397</f>
        <v>14</v>
      </c>
      <c r="O397" s="52">
        <f t="shared" ref="O397:O404" si="668">N397/$Q$5*100</f>
        <v>36.84210526315789</v>
      </c>
      <c r="P397" s="53">
        <f>COUNTIFS('00 Encuesta'!$B$2:$B$511,"*a)*",'00 Encuesta'!$C$2:$C$511,"*b)*",'00 Encuesta'!$E$2:$E$511,"*a)*",'00 Encuesta'!$AX$2:$AX$511,"*a)*")</f>
        <v>6</v>
      </c>
      <c r="Q397" s="52">
        <f t="shared" ref="Q397:Q404" si="669">P397/$Q$6*100</f>
        <v>46.153846153846153</v>
      </c>
      <c r="R397" s="53">
        <f>COUNTIFS('00 Encuesta'!$B$2:$B$511,"*a)*",'00 Encuesta'!$C$2:$C$511,"*b)*",'00 Encuesta'!$E$2:$E$511,"*b)*",'00 Encuesta'!$AX$2:$AX$511,"*a)*")</f>
        <v>8</v>
      </c>
      <c r="S397" s="52">
        <f t="shared" ref="S397:S404" si="670">R397/$Q$7*100</f>
        <v>32</v>
      </c>
      <c r="T397" s="3"/>
      <c r="U397" s="51">
        <f t="shared" ref="U397:U404" si="671">W397+Y397</f>
        <v>0</v>
      </c>
      <c r="V397" s="52" t="e">
        <f t="shared" ref="V397:V404" si="672">U397/$X$5*100</f>
        <v>#DIV/0!</v>
      </c>
      <c r="W397" s="53">
        <f>COUNTIFS('00 Encuesta'!$B$2:$B$511,"*a)*",'00 Encuesta'!$C$2:$C$511,"*c)*",'00 Encuesta'!$E$2:$E$511,"*a)*",'00 Encuesta'!$AX$2:$AX$511,"*a)*")</f>
        <v>0</v>
      </c>
      <c r="X397" s="52" t="e">
        <f t="shared" ref="X397:X404" si="673">W397/$X$6*100</f>
        <v>#DIV/0!</v>
      </c>
      <c r="Y397" s="53">
        <f>COUNTIFS('00 Encuesta'!$B$2:$B$511,"*a)*",'00 Encuesta'!$C$2:$C$511,"*c)*",'00 Encuesta'!$E$2:$E$511,"*b)*",'00 Encuesta'!$AX$2:$AX$511,"*a)*")</f>
        <v>0</v>
      </c>
      <c r="Z397" s="52" t="e">
        <f t="shared" ref="Z397:Z404" si="674">Y397/$X$7*100</f>
        <v>#DIV/0!</v>
      </c>
      <c r="AA397" s="3"/>
      <c r="AB397" s="62">
        <f t="shared" ref="AB397:AB404" si="675">G397+N397+U397</f>
        <v>30</v>
      </c>
      <c r="AC397" s="52">
        <f t="shared" ref="AC397:AC404" si="676">AB397*100/$AC$5</f>
        <v>38.46153846153846</v>
      </c>
      <c r="AD397" s="3"/>
      <c r="AE397" s="3"/>
      <c r="AF397" s="9" t="str">
        <f t="shared" ref="AF397:AF404" si="677">A397&amp;" "&amp;B397</f>
        <v>a) Que sea un buen profesional</v>
      </c>
      <c r="AG397" s="72">
        <f t="shared" ref="AG397:AG404" si="678">J397</f>
        <v>45.454545454545453</v>
      </c>
      <c r="AH397" s="72">
        <f t="shared" ref="AH397:AH404" si="679">L397</f>
        <v>33.333333333333329</v>
      </c>
      <c r="AI397" s="73">
        <f t="shared" ref="AI397:AI404" si="680">H397</f>
        <v>40</v>
      </c>
      <c r="AJ397" s="73"/>
      <c r="AK397" s="76">
        <f t="shared" ref="AK397:AK404" si="681">Q397</f>
        <v>46.153846153846153</v>
      </c>
      <c r="AL397" s="76">
        <f t="shared" ref="AL397:AL404" si="682">S397</f>
        <v>32</v>
      </c>
      <c r="AM397" s="76">
        <f t="shared" ref="AM397:AM404" si="683">O397</f>
        <v>36.84210526315789</v>
      </c>
      <c r="AN397" s="76"/>
      <c r="AO397" s="81" t="e">
        <f t="shared" ref="AO397:AO404" si="684">X397</f>
        <v>#DIV/0!</v>
      </c>
      <c r="AP397" s="81" t="e">
        <f t="shared" ref="AP397:AP404" si="685">Z397</f>
        <v>#DIV/0!</v>
      </c>
      <c r="AQ397" s="81" t="e">
        <f t="shared" ref="AQ397:AQ404" si="686">V397</f>
        <v>#DIV/0!</v>
      </c>
      <c r="AR397" s="3"/>
      <c r="AS397" s="76">
        <f t="shared" si="542"/>
        <v>38.46153846153846</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15</v>
      </c>
      <c r="H398" s="52">
        <f t="shared" si="664"/>
        <v>37.5</v>
      </c>
      <c r="I398" s="53">
        <f>COUNTIFS('00 Encuesta'!$B$2:$B$511,"*a)*",'00 Encuesta'!$C$2:$C$511,"*a)*",'00 Encuesta'!$E$2:$E$511,"*a)*",'00 Encuesta'!$AX$2:$AX$511,"*b)*")</f>
        <v>6</v>
      </c>
      <c r="J398" s="52">
        <f t="shared" si="665"/>
        <v>27.27272727272727</v>
      </c>
      <c r="K398" s="53">
        <f>COUNTIFS('00 Encuesta'!$B$2:$B$511,"*a)*",'00 Encuesta'!$C$2:$C$511,"*a)*",'00 Encuesta'!$E$2:$E$511,"*b)*",'00 Encuesta'!$AX$2:$AX$511,"*b)*")</f>
        <v>9</v>
      </c>
      <c r="L398" s="52">
        <f t="shared" si="666"/>
        <v>50</v>
      </c>
      <c r="M398" s="23"/>
      <c r="N398" s="51">
        <f t="shared" si="667"/>
        <v>10</v>
      </c>
      <c r="O398" s="52">
        <f t="shared" si="668"/>
        <v>26.315789473684209</v>
      </c>
      <c r="P398" s="53">
        <f>COUNTIFS('00 Encuesta'!$B$2:$B$511,"*a)*",'00 Encuesta'!$C$2:$C$511,"*b)*",'00 Encuesta'!$E$2:$E$511,"*a)*",'00 Encuesta'!$AX$2:$AX$511,"*b)*")</f>
        <v>2</v>
      </c>
      <c r="Q398" s="52">
        <f t="shared" si="669"/>
        <v>15.384615384615385</v>
      </c>
      <c r="R398" s="53">
        <f>COUNTIFS('00 Encuesta'!$B$2:$B$511,"*a)*",'00 Encuesta'!$C$2:$C$511,"*b)*",'00 Encuesta'!$E$2:$E$511,"*b)*",'00 Encuesta'!$AX$2:$AX$511,"*b)*")</f>
        <v>8</v>
      </c>
      <c r="S398" s="52">
        <f t="shared" si="670"/>
        <v>32</v>
      </c>
      <c r="T398" s="3"/>
      <c r="U398" s="51">
        <f t="shared" si="671"/>
        <v>0</v>
      </c>
      <c r="V398" s="52" t="e">
        <f t="shared" si="672"/>
        <v>#DIV/0!</v>
      </c>
      <c r="W398" s="53">
        <f>COUNTIFS('00 Encuesta'!$B$2:$B$511,"*a)*",'00 Encuesta'!$C$2:$C$511,"*c)*",'00 Encuesta'!$E$2:$E$511,"*a)*",'00 Encuesta'!$AX$2:$AX$511,"*b)*")</f>
        <v>0</v>
      </c>
      <c r="X398" s="52" t="e">
        <f t="shared" si="673"/>
        <v>#DIV/0!</v>
      </c>
      <c r="Y398" s="53">
        <f>COUNTIFS('00 Encuesta'!$B$2:$B$511,"*a)*",'00 Encuesta'!$C$2:$C$511,"*c)*",'00 Encuesta'!$E$2:$E$511,"*b)*",'00 Encuesta'!$AX$2:$AX$511,"*b)*")</f>
        <v>0</v>
      </c>
      <c r="Z398" s="52" t="e">
        <f t="shared" si="674"/>
        <v>#DIV/0!</v>
      </c>
      <c r="AA398" s="3"/>
      <c r="AB398" s="62">
        <f t="shared" si="675"/>
        <v>25</v>
      </c>
      <c r="AC398" s="52">
        <f t="shared" si="676"/>
        <v>32.051282051282051</v>
      </c>
      <c r="AD398" s="3"/>
      <c r="AE398" s="3"/>
      <c r="AF398" s="9" t="str">
        <f t="shared" si="677"/>
        <v>b) Darme una buena ocupaciòn</v>
      </c>
      <c r="AG398" s="72">
        <f t="shared" si="678"/>
        <v>27.27272727272727</v>
      </c>
      <c r="AH398" s="72">
        <f t="shared" si="679"/>
        <v>50</v>
      </c>
      <c r="AI398" s="73">
        <f t="shared" si="680"/>
        <v>37.5</v>
      </c>
      <c r="AJ398" s="73"/>
      <c r="AK398" s="76">
        <f t="shared" si="681"/>
        <v>15.384615384615385</v>
      </c>
      <c r="AL398" s="76">
        <f t="shared" si="682"/>
        <v>32</v>
      </c>
      <c r="AM398" s="76">
        <f t="shared" si="683"/>
        <v>26.315789473684209</v>
      </c>
      <c r="AN398" s="76"/>
      <c r="AO398" s="81" t="e">
        <f t="shared" si="684"/>
        <v>#DIV/0!</v>
      </c>
      <c r="AP398" s="81" t="e">
        <f t="shared" si="685"/>
        <v>#DIV/0!</v>
      </c>
      <c r="AQ398" s="81" t="e">
        <f t="shared" si="686"/>
        <v>#DIV/0!</v>
      </c>
      <c r="AR398" s="3"/>
      <c r="AS398" s="76">
        <f t="shared" si="542"/>
        <v>32.051282051282051</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3</v>
      </c>
      <c r="H399" s="52">
        <f t="shared" si="664"/>
        <v>7.5</v>
      </c>
      <c r="I399" s="53">
        <f>COUNTIFS('00 Encuesta'!$B$2:$B$511,"*a)*",'00 Encuesta'!$C$2:$C$511,"*a)*",'00 Encuesta'!$E$2:$E$511,"*a)*",'00 Encuesta'!$AX$2:$AX$511,"*c)*")</f>
        <v>3</v>
      </c>
      <c r="J399" s="52">
        <f t="shared" si="665"/>
        <v>13.636363636363635</v>
      </c>
      <c r="K399" s="53">
        <f>COUNTIFS('00 Encuesta'!$B$2:$B$511,"*a)*",'00 Encuesta'!$C$2:$C$511,"*a)*",'00 Encuesta'!$E$2:$E$511,"*b)*",'00 Encuesta'!$AX$2:$AX$511,"*c)*")</f>
        <v>0</v>
      </c>
      <c r="L399" s="52">
        <f t="shared" si="666"/>
        <v>0</v>
      </c>
      <c r="M399" s="23"/>
      <c r="N399" s="51">
        <f t="shared" si="667"/>
        <v>2</v>
      </c>
      <c r="O399" s="52">
        <f t="shared" si="668"/>
        <v>5.2631578947368416</v>
      </c>
      <c r="P399" s="53">
        <f>COUNTIFS('00 Encuesta'!$B$2:$B$511,"*a)*",'00 Encuesta'!$C$2:$C$511,"*b)*",'00 Encuesta'!$E$2:$E$511,"*a)*",'00 Encuesta'!$AX$2:$AX$511,"*c)*")</f>
        <v>1</v>
      </c>
      <c r="Q399" s="52">
        <f t="shared" si="669"/>
        <v>7.6923076923076925</v>
      </c>
      <c r="R399" s="53">
        <f>COUNTIFS('00 Encuesta'!$B$2:$B$511,"*a)*",'00 Encuesta'!$C$2:$C$511,"*b)*",'00 Encuesta'!$E$2:$E$511,"*b)*",'00 Encuesta'!$AX$2:$AX$511,"*c)*")</f>
        <v>1</v>
      </c>
      <c r="S399" s="52">
        <f t="shared" si="670"/>
        <v>4</v>
      </c>
      <c r="T399" s="3"/>
      <c r="U399" s="51">
        <f t="shared" si="671"/>
        <v>0</v>
      </c>
      <c r="V399" s="52" t="e">
        <f t="shared" si="672"/>
        <v>#DIV/0!</v>
      </c>
      <c r="W399" s="53">
        <f>COUNTIFS('00 Encuesta'!$B$2:$B$511,"*a)*",'00 Encuesta'!$C$2:$C$511,"*c)*",'00 Encuesta'!$E$2:$E$511,"*a)*",'00 Encuesta'!$AX$2:$AX$511,"*c)*")</f>
        <v>0</v>
      </c>
      <c r="X399" s="52" t="e">
        <f t="shared" si="673"/>
        <v>#DIV/0!</v>
      </c>
      <c r="Y399" s="53">
        <f>COUNTIFS('00 Encuesta'!$B$2:$B$511,"*a)*",'00 Encuesta'!$C$2:$C$511,"*c)*",'00 Encuesta'!$E$2:$E$511,"*b)*",'00 Encuesta'!$AX$2:$AX$511,"*c)*")</f>
        <v>0</v>
      </c>
      <c r="Z399" s="52" t="e">
        <f t="shared" si="674"/>
        <v>#DIV/0!</v>
      </c>
      <c r="AA399" s="3"/>
      <c r="AB399" s="62">
        <f>G399+N399+U399</f>
        <v>5</v>
      </c>
      <c r="AC399" s="52">
        <f t="shared" si="676"/>
        <v>6.4102564102564106</v>
      </c>
      <c r="AD399" s="3"/>
      <c r="AE399" s="3"/>
      <c r="AF399" s="9" t="str">
        <f t="shared" si="677"/>
        <v>c) Que me preocupe de los demàs</v>
      </c>
      <c r="AG399" s="72">
        <f t="shared" si="678"/>
        <v>13.636363636363635</v>
      </c>
      <c r="AH399" s="72">
        <f t="shared" si="679"/>
        <v>0</v>
      </c>
      <c r="AI399" s="73">
        <f t="shared" si="680"/>
        <v>7.5</v>
      </c>
      <c r="AJ399" s="73"/>
      <c r="AK399" s="76">
        <f t="shared" si="681"/>
        <v>7.6923076923076925</v>
      </c>
      <c r="AL399" s="76">
        <f t="shared" si="682"/>
        <v>4</v>
      </c>
      <c r="AM399" s="76">
        <f t="shared" si="683"/>
        <v>5.2631578947368416</v>
      </c>
      <c r="AN399" s="76"/>
      <c r="AO399" s="81" t="e">
        <f t="shared" si="684"/>
        <v>#DIV/0!</v>
      </c>
      <c r="AP399" s="81" t="e">
        <f t="shared" si="685"/>
        <v>#DIV/0!</v>
      </c>
      <c r="AQ399" s="81" t="e">
        <f t="shared" si="686"/>
        <v>#DIV/0!</v>
      </c>
      <c r="AR399" s="3"/>
      <c r="AS399" s="76">
        <f t="shared" si="542"/>
        <v>6.4102564102564106</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1</v>
      </c>
      <c r="H400" s="52">
        <f t="shared" si="664"/>
        <v>2.5</v>
      </c>
      <c r="I400" s="53">
        <f>COUNTIFS('00 Encuesta'!$B$2:$B$511,"*a)*",'00 Encuesta'!$C$2:$C$511,"*a)*",'00 Encuesta'!$E$2:$E$511,"*a)*",'00 Encuesta'!$AX$2:$AX$511,"*d)*")</f>
        <v>1</v>
      </c>
      <c r="J400" s="52">
        <f t="shared" si="665"/>
        <v>4.5454545454545459</v>
      </c>
      <c r="K400" s="53">
        <f>COUNTIFS('00 Encuesta'!$B$2:$B$511,"*a)*",'00 Encuesta'!$C$2:$C$511,"*a)*",'00 Encuesta'!$E$2:$E$511,"*b)*",'00 Encuesta'!$AX$2:$AX$511,"*d)*")</f>
        <v>0</v>
      </c>
      <c r="L400" s="52">
        <f t="shared" si="666"/>
        <v>0</v>
      </c>
      <c r="M400" s="23"/>
      <c r="N400" s="51">
        <f t="shared" si="667"/>
        <v>0</v>
      </c>
      <c r="O400" s="52">
        <f t="shared" si="668"/>
        <v>0</v>
      </c>
      <c r="P400" s="53">
        <f>COUNTIFS('00 Encuesta'!$B$2:$B$511,"*a)*",'00 Encuesta'!$C$2:$C$511,"*b)*",'00 Encuesta'!$E$2:$E$511,"*a)*",'00 Encuesta'!$AX$2:$AX$511,"*d)*")</f>
        <v>0</v>
      </c>
      <c r="Q400" s="52">
        <f t="shared" si="669"/>
        <v>0</v>
      </c>
      <c r="R400" s="53">
        <f>COUNTIFS('00 Encuesta'!$B$2:$B$511,"*a)*",'00 Encuesta'!$C$2:$C$511,"*b)*",'00 Encuesta'!$E$2:$E$511,"*b)*",'00 Encuesta'!$AX$2:$AX$511,"*d)*")</f>
        <v>0</v>
      </c>
      <c r="S400" s="52">
        <f t="shared" si="670"/>
        <v>0</v>
      </c>
      <c r="T400" s="3"/>
      <c r="U400" s="51">
        <f t="shared" si="671"/>
        <v>0</v>
      </c>
      <c r="V400" s="52" t="e">
        <f t="shared" si="672"/>
        <v>#DIV/0!</v>
      </c>
      <c r="W400" s="53">
        <f>COUNTIFS('00 Encuesta'!$B$2:$B$511,"*a)*",'00 Encuesta'!$C$2:$C$511,"*c)*",'00 Encuesta'!$E$2:$E$511,"*a)*",'00 Encuesta'!$AX$2:$AX$511,"*d)*")</f>
        <v>0</v>
      </c>
      <c r="X400" s="52" t="e">
        <f t="shared" si="673"/>
        <v>#DIV/0!</v>
      </c>
      <c r="Y400" s="53">
        <f>COUNTIFS('00 Encuesta'!$B$2:$B$511,"*a)*",'00 Encuesta'!$C$2:$C$511,"*c)*",'00 Encuesta'!$E$2:$E$511,"*b)*",'00 Encuesta'!$AX$2:$AX$511,"*d)*")</f>
        <v>0</v>
      </c>
      <c r="Z400" s="52" t="e">
        <f t="shared" si="674"/>
        <v>#DIV/0!</v>
      </c>
      <c r="AA400" s="3"/>
      <c r="AB400" s="62">
        <f t="shared" si="675"/>
        <v>1</v>
      </c>
      <c r="AC400" s="52">
        <f t="shared" si="676"/>
        <v>1.2820512820512822</v>
      </c>
      <c r="AD400" s="3"/>
      <c r="AE400" s="3"/>
      <c r="AF400" s="9" t="str">
        <f t="shared" si="677"/>
        <v>d) Que ayude econòmicamente a la familia</v>
      </c>
      <c r="AG400" s="72">
        <f t="shared" si="678"/>
        <v>4.5454545454545459</v>
      </c>
      <c r="AH400" s="72">
        <f t="shared" si="679"/>
        <v>0</v>
      </c>
      <c r="AI400" s="73">
        <f t="shared" si="680"/>
        <v>2.5</v>
      </c>
      <c r="AJ400" s="73"/>
      <c r="AK400" s="76">
        <f t="shared" si="681"/>
        <v>0</v>
      </c>
      <c r="AL400" s="76">
        <f t="shared" si="682"/>
        <v>0</v>
      </c>
      <c r="AM400" s="76">
        <f t="shared" si="683"/>
        <v>0</v>
      </c>
      <c r="AN400" s="76"/>
      <c r="AO400" s="81" t="e">
        <f t="shared" si="684"/>
        <v>#DIV/0!</v>
      </c>
      <c r="AP400" s="81" t="e">
        <f t="shared" si="685"/>
        <v>#DIV/0!</v>
      </c>
      <c r="AQ400" s="81" t="e">
        <f t="shared" si="686"/>
        <v>#DIV/0!</v>
      </c>
      <c r="AR400" s="3"/>
      <c r="AS400" s="76">
        <f t="shared" si="542"/>
        <v>1.2820512820512822</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ht="15.75" x14ac:dyDescent="0.3">
      <c r="A401" s="1" t="s">
        <v>22</v>
      </c>
      <c r="B401" s="2" t="s">
        <v>253</v>
      </c>
      <c r="C401" s="3"/>
      <c r="D401" s="3"/>
      <c r="E401" s="3"/>
      <c r="F401" s="4"/>
      <c r="G401" s="51">
        <f t="shared" si="663"/>
        <v>0</v>
      </c>
      <c r="H401" s="52">
        <f t="shared" si="664"/>
        <v>0</v>
      </c>
      <c r="I401" s="53">
        <f>COUNTIFS('00 Encuesta'!$B$2:$B$511,"*a)*",'00 Encuesta'!$C$2:$C$511,"*a)*",'00 Encuesta'!$E$2:$E$511,"*a)*",'00 Encuesta'!$AX$2:$AX$511,"*e)*")</f>
        <v>0</v>
      </c>
      <c r="J401" s="52">
        <f t="shared" si="665"/>
        <v>0</v>
      </c>
      <c r="K401" s="53">
        <f>COUNTIFS('00 Encuesta'!$B$2:$B$511,"*a)*",'00 Encuesta'!$C$2:$C$511,"*a)*",'00 Encuesta'!$E$2:$E$511,"*b)*",'00 Encuesta'!$AX$2:$AX$511,"*e)*")</f>
        <v>0</v>
      </c>
      <c r="L401" s="52">
        <f t="shared" si="666"/>
        <v>0</v>
      </c>
      <c r="M401" s="23"/>
      <c r="N401" s="51">
        <f t="shared" si="667"/>
        <v>1</v>
      </c>
      <c r="O401" s="52">
        <f t="shared" si="668"/>
        <v>2.6315789473684208</v>
      </c>
      <c r="P401" s="53">
        <f>COUNTIFS('00 Encuesta'!$B$2:$B$511,"*a)*",'00 Encuesta'!$C$2:$C$511,"*b)*",'00 Encuesta'!$E$2:$E$511,"*a)*",'00 Encuesta'!$AX$2:$AX$511,"*e)*")</f>
        <v>0</v>
      </c>
      <c r="Q401" s="52">
        <f t="shared" si="669"/>
        <v>0</v>
      </c>
      <c r="R401" s="53">
        <f>COUNTIFS('00 Encuesta'!$B$2:$B$511,"*a)*",'00 Encuesta'!$C$2:$C$511,"*b)*",'00 Encuesta'!$E$2:$E$511,"*b)*",'00 Encuesta'!$AX$2:$AX$511,"*e)*")</f>
        <v>1</v>
      </c>
      <c r="S401" s="52">
        <f t="shared" si="670"/>
        <v>4</v>
      </c>
      <c r="T401" s="3"/>
      <c r="U401" s="51">
        <f t="shared" si="671"/>
        <v>0</v>
      </c>
      <c r="V401" s="52" t="e">
        <f t="shared" si="672"/>
        <v>#DIV/0!</v>
      </c>
      <c r="W401" s="53">
        <f>COUNTIFS('00 Encuesta'!$B$2:$B$511,"*a)*",'00 Encuesta'!$C$2:$C$511,"*c)*",'00 Encuesta'!$E$2:$E$511,"*a)*",'00 Encuesta'!$AX$2:$AX$511,"*e)*")</f>
        <v>0</v>
      </c>
      <c r="X401" s="52" t="e">
        <f t="shared" si="673"/>
        <v>#DIV/0!</v>
      </c>
      <c r="Y401" s="53">
        <f>COUNTIFS('00 Encuesta'!$B$2:$B$511,"*a)*",'00 Encuesta'!$C$2:$C$511,"*c)*",'00 Encuesta'!$E$2:$E$511,"*b)*",'00 Encuesta'!$AX$2:$AX$511,"*e)*")</f>
        <v>0</v>
      </c>
      <c r="Z401" s="52" t="e">
        <f t="shared" si="674"/>
        <v>#DIV/0!</v>
      </c>
      <c r="AA401" s="3"/>
      <c r="AB401" s="62">
        <f t="shared" si="675"/>
        <v>1</v>
      </c>
      <c r="AC401" s="52">
        <f t="shared" si="676"/>
        <v>1.2820512820512822</v>
      </c>
      <c r="AD401" s="3"/>
      <c r="AE401" s="3"/>
      <c r="AF401" s="9" t="str">
        <f t="shared" si="677"/>
        <v>e) Que sea cristiano responsable</v>
      </c>
      <c r="AG401" s="72">
        <f t="shared" si="678"/>
        <v>0</v>
      </c>
      <c r="AH401" s="72">
        <f t="shared" si="679"/>
        <v>0</v>
      </c>
      <c r="AI401" s="73">
        <f t="shared" si="680"/>
        <v>0</v>
      </c>
      <c r="AJ401" s="73"/>
      <c r="AK401" s="76">
        <f t="shared" si="681"/>
        <v>0</v>
      </c>
      <c r="AL401" s="76">
        <f t="shared" si="682"/>
        <v>4</v>
      </c>
      <c r="AM401" s="76">
        <f t="shared" si="683"/>
        <v>2.6315789473684208</v>
      </c>
      <c r="AN401" s="76"/>
      <c r="AO401" s="81" t="e">
        <f t="shared" si="684"/>
        <v>#DIV/0!</v>
      </c>
      <c r="AP401" s="81" t="e">
        <f t="shared" si="685"/>
        <v>#DIV/0!</v>
      </c>
      <c r="AQ401" s="81" t="e">
        <f t="shared" si="686"/>
        <v>#DIV/0!</v>
      </c>
      <c r="AR401" s="3"/>
      <c r="AS401" s="76">
        <f t="shared" si="542"/>
        <v>1.2820512820512822</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ht="15.75" x14ac:dyDescent="0.3">
      <c r="A402" s="1" t="s">
        <v>45</v>
      </c>
      <c r="B402" s="2" t="s">
        <v>254</v>
      </c>
      <c r="C402" s="3"/>
      <c r="D402" s="3"/>
      <c r="E402" s="3"/>
      <c r="F402" s="4"/>
      <c r="G402" s="51">
        <f t="shared" si="663"/>
        <v>0</v>
      </c>
      <c r="H402" s="52">
        <f t="shared" si="664"/>
        <v>0</v>
      </c>
      <c r="I402" s="53">
        <f>COUNTIFS('00 Encuesta'!$B$2:$B$511,"*a)*",'00 Encuesta'!$C$2:$C$511,"*a)*",'00 Encuesta'!$E$2:$E$511,"*a)*",'00 Encuesta'!$AX$2:$AX$511,"*f)*")</f>
        <v>0</v>
      </c>
      <c r="J402" s="52">
        <f t="shared" si="665"/>
        <v>0</v>
      </c>
      <c r="K402" s="53">
        <f>COUNTIFS('00 Encuesta'!$B$2:$B$511,"*a)*",'00 Encuesta'!$C$2:$C$511,"*a)*",'00 Encuesta'!$E$2:$E$511,"*b)*",'00 Encuesta'!$AX$2:$AX$511,"*f)*")</f>
        <v>0</v>
      </c>
      <c r="L402" s="52">
        <f t="shared" si="666"/>
        <v>0</v>
      </c>
      <c r="M402" s="23"/>
      <c r="N402" s="51">
        <f t="shared" si="667"/>
        <v>0</v>
      </c>
      <c r="O402" s="52">
        <f t="shared" si="668"/>
        <v>0</v>
      </c>
      <c r="P402" s="53">
        <f>COUNTIFS('00 Encuesta'!$B$2:$B$511,"*a)*",'00 Encuesta'!$C$2:$C$511,"*b)*",'00 Encuesta'!$E$2:$E$511,"*a)*",'00 Encuesta'!$AX$2:$AX$511,"*f)*")</f>
        <v>0</v>
      </c>
      <c r="Q402" s="52">
        <f t="shared" si="669"/>
        <v>0</v>
      </c>
      <c r="R402" s="53">
        <f>COUNTIFS('00 Encuesta'!$B$2:$B$511,"*a)*",'00 Encuesta'!$C$2:$C$511,"*b)*",'00 Encuesta'!$E$2:$E$511,"*b)*",'00 Encuesta'!$AX$2:$AX$511,"*f)*")</f>
        <v>0</v>
      </c>
      <c r="S402" s="52">
        <f t="shared" si="670"/>
        <v>0</v>
      </c>
      <c r="T402" s="3"/>
      <c r="U402" s="51">
        <f t="shared" si="671"/>
        <v>0</v>
      </c>
      <c r="V402" s="52" t="e">
        <f t="shared" si="672"/>
        <v>#DIV/0!</v>
      </c>
      <c r="W402" s="53">
        <f>COUNTIFS('00 Encuesta'!$B$2:$B$511,"*a)*",'00 Encuesta'!$C$2:$C$511,"*c)*",'00 Encuesta'!$E$2:$E$511,"*a)*",'00 Encuesta'!$AX$2:$AX$511,"*f)*")</f>
        <v>0</v>
      </c>
      <c r="X402" s="52" t="e">
        <f t="shared" si="673"/>
        <v>#DIV/0!</v>
      </c>
      <c r="Y402" s="53">
        <f>COUNTIFS('00 Encuesta'!$B$2:$B$511,"*a)*",'00 Encuesta'!$C$2:$C$511,"*c)*",'00 Encuesta'!$E$2:$E$511,"*b)*",'00 Encuesta'!$AX$2:$AX$511,"*f)*")</f>
        <v>0</v>
      </c>
      <c r="Z402" s="52" t="e">
        <f t="shared" si="674"/>
        <v>#DIV/0!</v>
      </c>
      <c r="AA402" s="3"/>
      <c r="AB402" s="62">
        <f t="shared" si="675"/>
        <v>0</v>
      </c>
      <c r="AC402" s="52">
        <f t="shared" si="676"/>
        <v>0</v>
      </c>
      <c r="AD402" s="3"/>
      <c r="AE402" s="3"/>
      <c r="AF402" s="9" t="str">
        <f t="shared" si="677"/>
        <v>f) Que tenga honradez en la vida</v>
      </c>
      <c r="AG402" s="72">
        <f t="shared" si="678"/>
        <v>0</v>
      </c>
      <c r="AH402" s="72">
        <f t="shared" si="679"/>
        <v>0</v>
      </c>
      <c r="AI402" s="73">
        <f t="shared" si="680"/>
        <v>0</v>
      </c>
      <c r="AJ402" s="73"/>
      <c r="AK402" s="76">
        <f t="shared" si="681"/>
        <v>0</v>
      </c>
      <c r="AL402" s="76">
        <f t="shared" si="682"/>
        <v>0</v>
      </c>
      <c r="AM402" s="76">
        <f t="shared" si="683"/>
        <v>0</v>
      </c>
      <c r="AN402" s="76"/>
      <c r="AO402" s="81" t="e">
        <f t="shared" si="684"/>
        <v>#DIV/0!</v>
      </c>
      <c r="AP402" s="81" t="e">
        <f t="shared" si="685"/>
        <v>#DIV/0!</v>
      </c>
      <c r="AQ402" s="81" t="e">
        <f t="shared" si="686"/>
        <v>#DIV/0!</v>
      </c>
      <c r="AR402" s="3"/>
      <c r="AS402" s="76">
        <f t="shared" si="542"/>
        <v>0</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0</v>
      </c>
      <c r="H403" s="52">
        <f t="shared" si="664"/>
        <v>0</v>
      </c>
      <c r="I403" s="53">
        <f>COUNTIFS('00 Encuesta'!$B$2:$B$511,"*a)*",'00 Encuesta'!$C$2:$C$511,"*a)*",'00 Encuesta'!$E$2:$E$511,"*a)*",'00 Encuesta'!$AX$2:$AX$511,"*g)*")</f>
        <v>0</v>
      </c>
      <c r="J403" s="52">
        <f t="shared" si="665"/>
        <v>0</v>
      </c>
      <c r="K403" s="53">
        <f>COUNTIFS('00 Encuesta'!$B$2:$B$511,"*a)*",'00 Encuesta'!$C$2:$C$511,"*a)*",'00 Encuesta'!$E$2:$E$511,"*b)*",'00 Encuesta'!$AX$2:$AX$511,"*g)*")</f>
        <v>0</v>
      </c>
      <c r="L403" s="52">
        <f t="shared" si="666"/>
        <v>0</v>
      </c>
      <c r="M403" s="23"/>
      <c r="N403" s="51">
        <f t="shared" si="667"/>
        <v>2</v>
      </c>
      <c r="O403" s="52">
        <f t="shared" si="668"/>
        <v>5.2631578947368416</v>
      </c>
      <c r="P403" s="53">
        <f>COUNTIFS('00 Encuesta'!$B$2:$B$511,"*a)*",'00 Encuesta'!$C$2:$C$511,"*b)*",'00 Encuesta'!$E$2:$E$511,"*a)*",'00 Encuesta'!$AX$2:$AX$511,"*g)*")</f>
        <v>2</v>
      </c>
      <c r="Q403" s="52">
        <f t="shared" si="669"/>
        <v>15.384615384615385</v>
      </c>
      <c r="R403" s="53">
        <f>COUNTIFS('00 Encuesta'!$B$2:$B$511,"*a)*",'00 Encuesta'!$C$2:$C$511,"*b)*",'00 Encuesta'!$E$2:$E$511,"*b)*",'00 Encuesta'!$AX$2:$AX$511,"*g)*")</f>
        <v>0</v>
      </c>
      <c r="S403" s="52">
        <f t="shared" si="670"/>
        <v>0</v>
      </c>
      <c r="T403" s="3"/>
      <c r="U403" s="51">
        <f t="shared" si="671"/>
        <v>0</v>
      </c>
      <c r="V403" s="52" t="e">
        <f t="shared" si="672"/>
        <v>#DIV/0!</v>
      </c>
      <c r="W403" s="53">
        <f>COUNTIFS('00 Encuesta'!$B$2:$B$511,"*a)*",'00 Encuesta'!$C$2:$C$511,"*c)*",'00 Encuesta'!$E$2:$E$511,"*a)*",'00 Encuesta'!$AX$2:$AX$511,"*g)*")</f>
        <v>0</v>
      </c>
      <c r="X403" s="52" t="e">
        <f t="shared" si="673"/>
        <v>#DIV/0!</v>
      </c>
      <c r="Y403" s="53">
        <f>COUNTIFS('00 Encuesta'!$B$2:$B$511,"*a)*",'00 Encuesta'!$C$2:$C$511,"*c)*",'00 Encuesta'!$E$2:$E$511,"*b)*",'00 Encuesta'!$AX$2:$AX$511,"*g)*")</f>
        <v>0</v>
      </c>
      <c r="Z403" s="52" t="e">
        <f t="shared" si="674"/>
        <v>#DIV/0!</v>
      </c>
      <c r="AA403" s="3"/>
      <c r="AB403" s="62">
        <f t="shared" si="675"/>
        <v>2</v>
      </c>
      <c r="AC403" s="52">
        <f t="shared" si="676"/>
        <v>2.5641025641025643</v>
      </c>
      <c r="AD403" s="3"/>
      <c r="AE403" s="3"/>
      <c r="AF403" s="9" t="str">
        <f t="shared" si="677"/>
        <v>g) No tienen una preocupaciòn especial</v>
      </c>
      <c r="AG403" s="72">
        <f t="shared" si="678"/>
        <v>0</v>
      </c>
      <c r="AH403" s="72">
        <f t="shared" si="679"/>
        <v>0</v>
      </c>
      <c r="AI403" s="73">
        <f t="shared" si="680"/>
        <v>0</v>
      </c>
      <c r="AJ403" s="73"/>
      <c r="AK403" s="76">
        <f t="shared" si="681"/>
        <v>15.384615384615385</v>
      </c>
      <c r="AL403" s="76">
        <f t="shared" si="682"/>
        <v>0</v>
      </c>
      <c r="AM403" s="76">
        <f t="shared" si="683"/>
        <v>5.2631578947368416</v>
      </c>
      <c r="AN403" s="76"/>
      <c r="AO403" s="81" t="e">
        <f t="shared" si="684"/>
        <v>#DIV/0!</v>
      </c>
      <c r="AP403" s="81" t="e">
        <f t="shared" si="685"/>
        <v>#DIV/0!</v>
      </c>
      <c r="AQ403" s="81" t="e">
        <f t="shared" si="686"/>
        <v>#DIV/0!</v>
      </c>
      <c r="AR403" s="3"/>
      <c r="AS403" s="76">
        <f t="shared" si="542"/>
        <v>2.5641025641025643</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4</v>
      </c>
      <c r="H404" s="52">
        <f t="shared" si="664"/>
        <v>10</v>
      </c>
      <c r="I404" s="53">
        <f>COUNTIFS('00 Encuesta'!$B$2:$B$511,"*a)*",'00 Encuesta'!$C$2:$C$511,"*a)*",'00 Encuesta'!$E$2:$E$511,"*a)*",'00 Encuesta'!$AX$2:$AX$511,"*h)*")</f>
        <v>1</v>
      </c>
      <c r="J404" s="52">
        <f t="shared" si="665"/>
        <v>4.5454545454545459</v>
      </c>
      <c r="K404" s="53">
        <f>COUNTIFS('00 Encuesta'!$B$2:$B$511,"*a)*",'00 Encuesta'!$C$2:$C$511,"*a)*",'00 Encuesta'!$E$2:$E$511,"*b)*",'00 Encuesta'!$AX$2:$AX$511,"*h)*")</f>
        <v>3</v>
      </c>
      <c r="L404" s="52">
        <f t="shared" si="666"/>
        <v>16.666666666666664</v>
      </c>
      <c r="M404" s="23"/>
      <c r="N404" s="51">
        <f t="shared" si="667"/>
        <v>4</v>
      </c>
      <c r="O404" s="52">
        <f t="shared" si="668"/>
        <v>10.526315789473683</v>
      </c>
      <c r="P404" s="53">
        <f>COUNTIFS('00 Encuesta'!$B$2:$B$511,"*a)*",'00 Encuesta'!$C$2:$C$511,"*b)*",'00 Encuesta'!$E$2:$E$511,"*a)*",'00 Encuesta'!$AX$2:$AX$511,"*h)*")</f>
        <v>0</v>
      </c>
      <c r="Q404" s="52">
        <f t="shared" si="669"/>
        <v>0</v>
      </c>
      <c r="R404" s="53">
        <f>COUNTIFS('00 Encuesta'!$B$2:$B$511,"*a)*",'00 Encuesta'!$C$2:$C$511,"*b)*",'00 Encuesta'!$E$2:$E$511,"*b)*",'00 Encuesta'!$AX$2:$AX$511,"*h)*")</f>
        <v>4</v>
      </c>
      <c r="S404" s="52">
        <f t="shared" si="670"/>
        <v>16</v>
      </c>
      <c r="T404" s="3"/>
      <c r="U404" s="51">
        <f t="shared" si="671"/>
        <v>0</v>
      </c>
      <c r="V404" s="52" t="e">
        <f t="shared" si="672"/>
        <v>#DIV/0!</v>
      </c>
      <c r="W404" s="53">
        <f>COUNTIFS('00 Encuesta'!$B$2:$B$511,"*a)*",'00 Encuesta'!$C$2:$C$511,"*c)*",'00 Encuesta'!$E$2:$E$511,"*a)*",'00 Encuesta'!$AX$2:$AX$511,"*h)*")</f>
        <v>0</v>
      </c>
      <c r="X404" s="52" t="e">
        <f t="shared" si="673"/>
        <v>#DIV/0!</v>
      </c>
      <c r="Y404" s="53">
        <f>COUNTIFS('00 Encuesta'!$B$2:$B$511,"*a)*",'00 Encuesta'!$C$2:$C$511,"*c)*",'00 Encuesta'!$E$2:$E$511,"*b)*",'00 Encuesta'!$AX$2:$AX$511,"*h)*")</f>
        <v>0</v>
      </c>
      <c r="Z404" s="52" t="e">
        <f t="shared" si="674"/>
        <v>#DIV/0!</v>
      </c>
      <c r="AA404" s="3"/>
      <c r="AB404" s="62">
        <f t="shared" si="675"/>
        <v>8</v>
      </c>
      <c r="AC404" s="52">
        <f t="shared" si="676"/>
        <v>10.256410256410257</v>
      </c>
      <c r="AD404" s="3"/>
      <c r="AE404" s="3"/>
      <c r="AF404" s="9" t="str">
        <f t="shared" si="677"/>
        <v>h) No sè</v>
      </c>
      <c r="AG404" s="72">
        <f t="shared" si="678"/>
        <v>4.5454545454545459</v>
      </c>
      <c r="AH404" s="72">
        <f t="shared" si="679"/>
        <v>16.666666666666664</v>
      </c>
      <c r="AI404" s="73">
        <f t="shared" si="680"/>
        <v>10</v>
      </c>
      <c r="AJ404" s="73"/>
      <c r="AK404" s="76">
        <f t="shared" si="681"/>
        <v>0</v>
      </c>
      <c r="AL404" s="76">
        <f t="shared" si="682"/>
        <v>16</v>
      </c>
      <c r="AM404" s="76">
        <f t="shared" si="683"/>
        <v>10.526315789473683</v>
      </c>
      <c r="AN404" s="76"/>
      <c r="AO404" s="81" t="e">
        <f t="shared" si="684"/>
        <v>#DIV/0!</v>
      </c>
      <c r="AP404" s="81" t="e">
        <f t="shared" si="685"/>
        <v>#DIV/0!</v>
      </c>
      <c r="AQ404" s="81" t="e">
        <f t="shared" si="686"/>
        <v>#DIV/0!</v>
      </c>
      <c r="AR404" s="3"/>
      <c r="AS404" s="76">
        <f t="shared" si="542"/>
        <v>10.256410256410257</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ht="15.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ht="15.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ht="15.75" x14ac:dyDescent="0.3">
      <c r="A407" s="1" t="s">
        <v>17</v>
      </c>
      <c r="B407" s="2" t="s">
        <v>258</v>
      </c>
      <c r="C407" s="3"/>
      <c r="D407" s="3"/>
      <c r="E407" s="3"/>
      <c r="F407" s="4"/>
      <c r="G407" s="51">
        <f>I407+K407</f>
        <v>2</v>
      </c>
      <c r="H407" s="52">
        <f>G407/$J$5*100</f>
        <v>5</v>
      </c>
      <c r="I407" s="53">
        <f>COUNTIFS('00 Encuesta'!$B$2:$B$511,"*a)*",'00 Encuesta'!$C$2:$C$511,"*a)*",'00 Encuesta'!$E$2:$E$511,"*a)*",'00 Encuesta'!$AY$2:$AY$511,"*a)*")</f>
        <v>2</v>
      </c>
      <c r="J407" s="52">
        <f>I407/$J$6*100</f>
        <v>9.0909090909090917</v>
      </c>
      <c r="K407" s="53">
        <f>COUNTIFS('00 Encuesta'!$B$2:$B$511,"*a)*",'00 Encuesta'!$C$2:$C$511,"*a)*",'00 Encuesta'!$E$2:$E$511,"*b)*",'00 Encuesta'!$AY$2:$AY$511,"*a)*")</f>
        <v>0</v>
      </c>
      <c r="L407" s="52">
        <f>K407/$J$7*100</f>
        <v>0</v>
      </c>
      <c r="M407" s="23"/>
      <c r="N407" s="51">
        <f>P407+R407</f>
        <v>1</v>
      </c>
      <c r="O407" s="52">
        <f>N407/$Q$5*100</f>
        <v>2.6315789473684208</v>
      </c>
      <c r="P407" s="53">
        <f>COUNTIFS('00 Encuesta'!$B$2:$B$511,"*a)*",'00 Encuesta'!$C$2:$C$511,"*b)*",'00 Encuesta'!$E$2:$E$511,"*a)*",'00 Encuesta'!$AY$2:$AY$511,"*a)*")</f>
        <v>0</v>
      </c>
      <c r="Q407" s="52">
        <f>P407/$Q$6*100</f>
        <v>0</v>
      </c>
      <c r="R407" s="53">
        <f>COUNTIFS('00 Encuesta'!$B$2:$B$511,"*a)*",'00 Encuesta'!$C$2:$C$511,"*b)*",'00 Encuesta'!$E$2:$E$511,"*b)*",'00 Encuesta'!$AY$2:$AY$511,"*a)*")</f>
        <v>1</v>
      </c>
      <c r="S407" s="52">
        <f>R407/$Q$7*100</f>
        <v>4</v>
      </c>
      <c r="T407" s="3"/>
      <c r="U407" s="51">
        <f>W407+Y407</f>
        <v>0</v>
      </c>
      <c r="V407" s="52" t="e">
        <f>U407/$X$5*100</f>
        <v>#DIV/0!</v>
      </c>
      <c r="W407" s="53">
        <f>COUNTIFS('00 Encuesta'!$B$2:$B$511,"*a)*",'00 Encuesta'!$C$2:$C$511,"*c)*",'00 Encuesta'!$E$2:$E$511,"*a)*",'00 Encuesta'!$AY$2:$AY$511,"*a)*")</f>
        <v>0</v>
      </c>
      <c r="X407" s="52" t="e">
        <f>W407/$X$6*100</f>
        <v>#DIV/0!</v>
      </c>
      <c r="Y407" s="53">
        <f>COUNTIFS('00 Encuesta'!$B$2:$B$511,"*a)*",'00 Encuesta'!$C$2:$C$511,"*c)*",'00 Encuesta'!$E$2:$E$511,"*b)*",'00 Encuesta'!$AY$2:$AY$511,"*a)*")</f>
        <v>0</v>
      </c>
      <c r="Z407" s="52" t="e">
        <f>Y407/$X$7*100</f>
        <v>#DIV/0!</v>
      </c>
      <c r="AA407" s="3"/>
      <c r="AB407" s="62">
        <f>G407+N407+U407</f>
        <v>3</v>
      </c>
      <c r="AC407" s="52">
        <f>AB407*100/$AC$5</f>
        <v>3.8461538461538463</v>
      </c>
      <c r="AD407" s="3"/>
      <c r="AE407" s="3"/>
      <c r="AF407" s="9" t="str">
        <f t="shared" ref="AF407:AF411" si="687">A407&amp;" "&amp;B407</f>
        <v>a) Innecesaria</v>
      </c>
      <c r="AG407" s="72">
        <f>J407</f>
        <v>9.0909090909090917</v>
      </c>
      <c r="AH407" s="72">
        <f>L407</f>
        <v>0</v>
      </c>
      <c r="AI407" s="73">
        <f>H407</f>
        <v>5</v>
      </c>
      <c r="AJ407" s="73"/>
      <c r="AK407" s="76">
        <f>Q407</f>
        <v>0</v>
      </c>
      <c r="AL407" s="76">
        <f>S407</f>
        <v>4</v>
      </c>
      <c r="AM407" s="76">
        <f>O407</f>
        <v>2.6315789473684208</v>
      </c>
      <c r="AN407" s="76"/>
      <c r="AO407" s="81" t="e">
        <f>X407</f>
        <v>#DIV/0!</v>
      </c>
      <c r="AP407" s="81" t="e">
        <f>Z407</f>
        <v>#DIV/0!</v>
      </c>
      <c r="AQ407" s="81" t="e">
        <f>V407</f>
        <v>#DIV/0!</v>
      </c>
      <c r="AR407" s="3"/>
      <c r="AS407" s="76">
        <f t="shared" si="542"/>
        <v>3.8461538461538463</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ht="15.75" x14ac:dyDescent="0.3">
      <c r="A408" s="1" t="s">
        <v>18</v>
      </c>
      <c r="B408" s="2" t="s">
        <v>259</v>
      </c>
      <c r="C408" s="3"/>
      <c r="D408" s="3"/>
      <c r="E408" s="3"/>
      <c r="F408" s="4"/>
      <c r="G408" s="51">
        <f>I408+K408</f>
        <v>2</v>
      </c>
      <c r="H408" s="52">
        <f>G408/$J$5*100</f>
        <v>5</v>
      </c>
      <c r="I408" s="53">
        <f>COUNTIFS('00 Encuesta'!$B$2:$B$511,"*a)*",'00 Encuesta'!$C$2:$C$511,"*a)*",'00 Encuesta'!$E$2:$E$511,"*a)*",'00 Encuesta'!$AY$2:$AY$511,"*b)*")</f>
        <v>0</v>
      </c>
      <c r="J408" s="52">
        <f>I408/$J$6*100</f>
        <v>0</v>
      </c>
      <c r="K408" s="53">
        <f>COUNTIFS('00 Encuesta'!$B$2:$B$511,"*a)*",'00 Encuesta'!$C$2:$C$511,"*a)*",'00 Encuesta'!$E$2:$E$511,"*b)*",'00 Encuesta'!$AY$2:$AY$511,"*b)*")</f>
        <v>2</v>
      </c>
      <c r="L408" s="52">
        <f>K408/$J$7*100</f>
        <v>11.111111111111111</v>
      </c>
      <c r="M408" s="23"/>
      <c r="N408" s="51">
        <f>P408+R408</f>
        <v>4</v>
      </c>
      <c r="O408" s="52">
        <f>N408/$Q$5*100</f>
        <v>10.526315789473683</v>
      </c>
      <c r="P408" s="53">
        <f>COUNTIFS('00 Encuesta'!$B$2:$B$511,"*a)*",'00 Encuesta'!$C$2:$C$511,"*b)*",'00 Encuesta'!$E$2:$E$511,"*a)*",'00 Encuesta'!$AY$2:$AY$511,"*b)*")</f>
        <v>3</v>
      </c>
      <c r="Q408" s="52">
        <f>P408/$Q$6*100</f>
        <v>23.076923076923077</v>
      </c>
      <c r="R408" s="53">
        <f>COUNTIFS('00 Encuesta'!$B$2:$B$511,"*a)*",'00 Encuesta'!$C$2:$C$511,"*b)*",'00 Encuesta'!$E$2:$E$511,"*b)*",'00 Encuesta'!$AY$2:$AY$511,"*b)*")</f>
        <v>1</v>
      </c>
      <c r="S408" s="52">
        <f>R408/$Q$7*100</f>
        <v>4</v>
      </c>
      <c r="T408" s="3"/>
      <c r="U408" s="51">
        <f>W408+Y408</f>
        <v>0</v>
      </c>
      <c r="V408" s="52" t="e">
        <f>U408/$X$5*100</f>
        <v>#DIV/0!</v>
      </c>
      <c r="W408" s="53">
        <f>COUNTIFS('00 Encuesta'!$B$2:$B$511,"*a)*",'00 Encuesta'!$C$2:$C$511,"*c)*",'00 Encuesta'!$E$2:$E$511,"*a)*",'00 Encuesta'!$AY$2:$AY$511,"*b)*")</f>
        <v>0</v>
      </c>
      <c r="X408" s="52" t="e">
        <f>W408/$X$6*100</f>
        <v>#DIV/0!</v>
      </c>
      <c r="Y408" s="53">
        <f>COUNTIFS('00 Encuesta'!$B$2:$B$511,"*a)*",'00 Encuesta'!$C$2:$C$511,"*c)*",'00 Encuesta'!$E$2:$E$511,"*b)*",'00 Encuesta'!$AY$2:$AY$511,"*b)*")</f>
        <v>0</v>
      </c>
      <c r="Z408" s="52" t="e">
        <f>Y408/$X$7*100</f>
        <v>#DIV/0!</v>
      </c>
      <c r="AA408" s="3"/>
      <c r="AB408" s="62">
        <f>G408+N408+U408</f>
        <v>6</v>
      </c>
      <c r="AC408" s="52">
        <f>AB408*100/$AC$5</f>
        <v>7.6923076923076925</v>
      </c>
      <c r="AD408" s="3"/>
      <c r="AE408" s="3"/>
      <c r="AF408" s="9" t="str">
        <f t="shared" si="687"/>
        <v>b) Indiferente</v>
      </c>
      <c r="AG408" s="72">
        <f>J408</f>
        <v>0</v>
      </c>
      <c r="AH408" s="72">
        <f>L408</f>
        <v>11.111111111111111</v>
      </c>
      <c r="AI408" s="73">
        <f>H408</f>
        <v>5</v>
      </c>
      <c r="AJ408" s="73"/>
      <c r="AK408" s="76">
        <f>Q408</f>
        <v>23.076923076923077</v>
      </c>
      <c r="AL408" s="76">
        <f>S408</f>
        <v>4</v>
      </c>
      <c r="AM408" s="76">
        <f>O408</f>
        <v>10.526315789473683</v>
      </c>
      <c r="AN408" s="76"/>
      <c r="AO408" s="81" t="e">
        <f>X408</f>
        <v>#DIV/0!</v>
      </c>
      <c r="AP408" s="81" t="e">
        <f>Z408</f>
        <v>#DIV/0!</v>
      </c>
      <c r="AQ408" s="81" t="e">
        <f>V408</f>
        <v>#DIV/0!</v>
      </c>
      <c r="AR408" s="3"/>
      <c r="AS408" s="76">
        <f t="shared" si="542"/>
        <v>7.6923076923076925</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ht="15.75" x14ac:dyDescent="0.3">
      <c r="A409" s="1" t="s">
        <v>20</v>
      </c>
      <c r="B409" s="2" t="s">
        <v>260</v>
      </c>
      <c r="C409" s="3"/>
      <c r="D409" s="3"/>
      <c r="E409" s="3"/>
      <c r="F409" s="4"/>
      <c r="G409" s="51">
        <f>I409+K409</f>
        <v>13</v>
      </c>
      <c r="H409" s="52">
        <f>G409/$J$5*100</f>
        <v>32.5</v>
      </c>
      <c r="I409" s="53">
        <f>COUNTIFS('00 Encuesta'!$B$2:$B$511,"*a)*",'00 Encuesta'!$C$2:$C$511,"*a)*",'00 Encuesta'!$E$2:$E$511,"*a)*",'00 Encuesta'!$AY$2:$AY$511,"*c)*")</f>
        <v>9</v>
      </c>
      <c r="J409" s="52">
        <f>I409/$J$6*100</f>
        <v>40.909090909090914</v>
      </c>
      <c r="K409" s="53">
        <f>COUNTIFS('00 Encuesta'!$B$2:$B$511,"*a)*",'00 Encuesta'!$C$2:$C$511,"*a)*",'00 Encuesta'!$E$2:$E$511,"*b)*",'00 Encuesta'!$AY$2:$AY$511,"*c)*")</f>
        <v>4</v>
      </c>
      <c r="L409" s="52">
        <f>K409/$J$7*100</f>
        <v>22.222222222222221</v>
      </c>
      <c r="M409" s="23"/>
      <c r="N409" s="51">
        <f>P409+R409</f>
        <v>16</v>
      </c>
      <c r="O409" s="52">
        <f>N409/$Q$5*100</f>
        <v>42.105263157894733</v>
      </c>
      <c r="P409" s="53">
        <f>COUNTIFS('00 Encuesta'!$B$2:$B$511,"*a)*",'00 Encuesta'!$C$2:$C$511,"*b)*",'00 Encuesta'!$E$2:$E$511,"*a)*",'00 Encuesta'!$AY$2:$AY$511,"*c)*")</f>
        <v>8</v>
      </c>
      <c r="Q409" s="52">
        <f>P409/$Q$6*100</f>
        <v>61.53846153846154</v>
      </c>
      <c r="R409" s="53">
        <f>COUNTIFS('00 Encuesta'!$B$2:$B$511,"*a)*",'00 Encuesta'!$C$2:$C$511,"*b)*",'00 Encuesta'!$E$2:$E$511,"*b)*",'00 Encuesta'!$AY$2:$AY$511,"*c)*")</f>
        <v>8</v>
      </c>
      <c r="S409" s="52">
        <f>R409/$Q$7*100</f>
        <v>32</v>
      </c>
      <c r="T409" s="3"/>
      <c r="U409" s="51">
        <f>W409+Y409</f>
        <v>0</v>
      </c>
      <c r="V409" s="52" t="e">
        <f>U409/$X$5*100</f>
        <v>#DIV/0!</v>
      </c>
      <c r="W409" s="53">
        <f>COUNTIFS('00 Encuesta'!$B$2:$B$511,"*a)*",'00 Encuesta'!$C$2:$C$511,"*c)*",'00 Encuesta'!$E$2:$E$511,"*a)*",'00 Encuesta'!$AY$2:$AY$511,"*c)*")</f>
        <v>0</v>
      </c>
      <c r="X409" s="52" t="e">
        <f>W409/$X$6*100</f>
        <v>#DIV/0!</v>
      </c>
      <c r="Y409" s="53">
        <f>COUNTIFS('00 Encuesta'!$B$2:$B$511,"*a)*",'00 Encuesta'!$C$2:$C$511,"*c)*",'00 Encuesta'!$E$2:$E$511,"*b)*",'00 Encuesta'!$AY$2:$AY$511,"*c)*")</f>
        <v>0</v>
      </c>
      <c r="Z409" s="52" t="e">
        <f>Y409/$X$7*100</f>
        <v>#DIV/0!</v>
      </c>
      <c r="AA409" s="3"/>
      <c r="AB409" s="62">
        <f>G409+N409+U409</f>
        <v>29</v>
      </c>
      <c r="AC409" s="52">
        <f>AB409*100/$AC$5</f>
        <v>37.179487179487182</v>
      </c>
      <c r="AD409" s="3"/>
      <c r="AE409" s="3"/>
      <c r="AF409" s="9" t="str">
        <f t="shared" si="687"/>
        <v>c) Conveniente</v>
      </c>
      <c r="AG409" s="72">
        <f>J409</f>
        <v>40.909090909090914</v>
      </c>
      <c r="AH409" s="72">
        <f>L409</f>
        <v>22.222222222222221</v>
      </c>
      <c r="AI409" s="73">
        <f>H409</f>
        <v>32.5</v>
      </c>
      <c r="AJ409" s="73"/>
      <c r="AK409" s="76">
        <f>Q409</f>
        <v>61.53846153846154</v>
      </c>
      <c r="AL409" s="76">
        <f>S409</f>
        <v>32</v>
      </c>
      <c r="AM409" s="76">
        <f>O409</f>
        <v>42.105263157894733</v>
      </c>
      <c r="AN409" s="76"/>
      <c r="AO409" s="81" t="e">
        <f>X409</f>
        <v>#DIV/0!</v>
      </c>
      <c r="AP409" s="81" t="e">
        <f>Z409</f>
        <v>#DIV/0!</v>
      </c>
      <c r="AQ409" s="81" t="e">
        <f>V409</f>
        <v>#DIV/0!</v>
      </c>
      <c r="AR409" s="3"/>
      <c r="AS409" s="76">
        <f t="shared" ref="AS409:AS452" si="688">AC409</f>
        <v>37.179487179487182</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ht="15.75" x14ac:dyDescent="0.3">
      <c r="A410" s="1" t="s">
        <v>21</v>
      </c>
      <c r="B410" s="2" t="s">
        <v>261</v>
      </c>
      <c r="C410" s="3"/>
      <c r="D410" s="3"/>
      <c r="E410" s="3"/>
      <c r="F410" s="4"/>
      <c r="G410" s="51">
        <f>I410+K410</f>
        <v>10</v>
      </c>
      <c r="H410" s="52">
        <f>G410/$J$5*100</f>
        <v>25</v>
      </c>
      <c r="I410" s="53">
        <f>COUNTIFS('00 Encuesta'!$B$2:$B$511,"*a)*",'00 Encuesta'!$C$2:$C$511,"*a)*",'00 Encuesta'!$E$2:$E$511,"*a)*",'00 Encuesta'!$AY$2:$AY$511,"*d)*")</f>
        <v>5</v>
      </c>
      <c r="J410" s="52">
        <f>I410/$J$6*100</f>
        <v>22.727272727272727</v>
      </c>
      <c r="K410" s="53">
        <f>COUNTIFS('00 Encuesta'!$B$2:$B$511,"*a)*",'00 Encuesta'!$C$2:$C$511,"*a)*",'00 Encuesta'!$E$2:$E$511,"*b)*",'00 Encuesta'!$AY$2:$AY$511,"*d)*")</f>
        <v>5</v>
      </c>
      <c r="L410" s="52">
        <f>K410/$J$7*100</f>
        <v>27.777777777777779</v>
      </c>
      <c r="M410" s="23"/>
      <c r="N410" s="51">
        <f>P410+R410</f>
        <v>10</v>
      </c>
      <c r="O410" s="52">
        <f>N410/$Q$5*100</f>
        <v>26.315789473684209</v>
      </c>
      <c r="P410" s="53">
        <f>COUNTIFS('00 Encuesta'!$B$2:$B$511,"*a)*",'00 Encuesta'!$C$2:$C$511,"*b)*",'00 Encuesta'!$E$2:$E$511,"*a)*",'00 Encuesta'!$AY$2:$AY$511,"*d)*")</f>
        <v>2</v>
      </c>
      <c r="Q410" s="52">
        <f>P410/$Q$6*100</f>
        <v>15.384615384615385</v>
      </c>
      <c r="R410" s="53">
        <f>COUNTIFS('00 Encuesta'!$B$2:$B$511,"*a)*",'00 Encuesta'!$C$2:$C$511,"*b)*",'00 Encuesta'!$E$2:$E$511,"*b)*",'00 Encuesta'!$AY$2:$AY$511,"*d)*")</f>
        <v>8</v>
      </c>
      <c r="S410" s="52">
        <f>R410/$Q$7*100</f>
        <v>32</v>
      </c>
      <c r="T410" s="3"/>
      <c r="U410" s="51">
        <f>W410+Y410</f>
        <v>0</v>
      </c>
      <c r="V410" s="52" t="e">
        <f>U410/$X$5*100</f>
        <v>#DIV/0!</v>
      </c>
      <c r="W410" s="53">
        <f>COUNTIFS('00 Encuesta'!$B$2:$B$511,"*a)*",'00 Encuesta'!$C$2:$C$511,"*c)*",'00 Encuesta'!$E$2:$E$511,"*a)*",'00 Encuesta'!$AY$2:$AY$511,"*d)*")</f>
        <v>0</v>
      </c>
      <c r="X410" s="52" t="e">
        <f>W410/$X$6*100</f>
        <v>#DIV/0!</v>
      </c>
      <c r="Y410" s="53">
        <f>COUNTIFS('00 Encuesta'!$B$2:$B$511,"*a)*",'00 Encuesta'!$C$2:$C$511,"*c)*",'00 Encuesta'!$E$2:$E$511,"*b)*",'00 Encuesta'!$AY$2:$AY$511,"*d)*")</f>
        <v>0</v>
      </c>
      <c r="Z410" s="52" t="e">
        <f>Y410/$X$7*100</f>
        <v>#DIV/0!</v>
      </c>
      <c r="AA410" s="3"/>
      <c r="AB410" s="62">
        <f>G410+N410+U410</f>
        <v>20</v>
      </c>
      <c r="AC410" s="52">
        <f>AB410*100/$AC$5</f>
        <v>25.641025641025642</v>
      </c>
      <c r="AD410" s="3"/>
      <c r="AE410" s="3"/>
      <c r="AF410" s="9" t="str">
        <f t="shared" si="687"/>
        <v>d) Bastante necesaria</v>
      </c>
      <c r="AG410" s="72">
        <f>J410</f>
        <v>22.727272727272727</v>
      </c>
      <c r="AH410" s="72">
        <f>L410</f>
        <v>27.777777777777779</v>
      </c>
      <c r="AI410" s="73">
        <f>H410</f>
        <v>25</v>
      </c>
      <c r="AJ410" s="73"/>
      <c r="AK410" s="76">
        <f>Q410</f>
        <v>15.384615384615385</v>
      </c>
      <c r="AL410" s="76">
        <f>S410</f>
        <v>32</v>
      </c>
      <c r="AM410" s="76">
        <f>O410</f>
        <v>26.315789473684209</v>
      </c>
      <c r="AN410" s="76"/>
      <c r="AO410" s="81" t="e">
        <f>X410</f>
        <v>#DIV/0!</v>
      </c>
      <c r="AP410" s="81" t="e">
        <f>Z410</f>
        <v>#DIV/0!</v>
      </c>
      <c r="AQ410" s="81" t="e">
        <f>V410</f>
        <v>#DIV/0!</v>
      </c>
      <c r="AR410" s="3"/>
      <c r="AS410" s="76">
        <f t="shared" si="688"/>
        <v>25.641025641025642</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ht="15.75" x14ac:dyDescent="0.3">
      <c r="A411" s="1" t="s">
        <v>22</v>
      </c>
      <c r="B411" s="2" t="s">
        <v>262</v>
      </c>
      <c r="C411" s="3"/>
      <c r="D411" s="3"/>
      <c r="E411" s="3"/>
      <c r="F411" s="4"/>
      <c r="G411" s="51">
        <f>I411+K411</f>
        <v>12</v>
      </c>
      <c r="H411" s="52">
        <f>G411/$J$5*100</f>
        <v>30</v>
      </c>
      <c r="I411" s="53">
        <f>COUNTIFS('00 Encuesta'!$B$2:$B$511,"*a)*",'00 Encuesta'!$C$2:$C$511,"*a)*",'00 Encuesta'!$E$2:$E$511,"*a)*",'00 Encuesta'!$AY$2:$AY$511,"*e)*")</f>
        <v>5</v>
      </c>
      <c r="J411" s="52">
        <f>I411/$J$6*100</f>
        <v>22.727272727272727</v>
      </c>
      <c r="K411" s="53">
        <f>COUNTIFS('00 Encuesta'!$B$2:$B$511,"*a)*",'00 Encuesta'!$C$2:$C$511,"*a)*",'00 Encuesta'!$E$2:$E$511,"*b)*",'00 Encuesta'!$AY$2:$AY$511,"*e)*")</f>
        <v>7</v>
      </c>
      <c r="L411" s="52">
        <f>K411/$J$7*100</f>
        <v>38.888888888888893</v>
      </c>
      <c r="M411" s="23"/>
      <c r="N411" s="51">
        <f>P411+R411</f>
        <v>5</v>
      </c>
      <c r="O411" s="52">
        <f>N411/$Q$5*100</f>
        <v>13.157894736842104</v>
      </c>
      <c r="P411" s="53">
        <f>COUNTIFS('00 Encuesta'!$B$2:$B$511,"*a)*",'00 Encuesta'!$C$2:$C$511,"*b)*",'00 Encuesta'!$E$2:$E$511,"*a)*",'00 Encuesta'!$AY$2:$AY$511,"*e)*")</f>
        <v>0</v>
      </c>
      <c r="Q411" s="52">
        <f>P411/$Q$6*100</f>
        <v>0</v>
      </c>
      <c r="R411" s="53">
        <f>COUNTIFS('00 Encuesta'!$B$2:$B$511,"*a)*",'00 Encuesta'!$C$2:$C$511,"*b)*",'00 Encuesta'!$E$2:$E$511,"*b)*",'00 Encuesta'!$AY$2:$AY$511,"*e)*")</f>
        <v>5</v>
      </c>
      <c r="S411" s="52">
        <f>R411/$Q$7*100</f>
        <v>20</v>
      </c>
      <c r="T411" s="3"/>
      <c r="U411" s="51">
        <f>W411+Y411</f>
        <v>0</v>
      </c>
      <c r="V411" s="52" t="e">
        <f>U411/$X$5*100</f>
        <v>#DIV/0!</v>
      </c>
      <c r="W411" s="53">
        <f>COUNTIFS('00 Encuesta'!$B$2:$B$511,"*a)*",'00 Encuesta'!$C$2:$C$511,"*c)*",'00 Encuesta'!$E$2:$E$511,"*a)*",'00 Encuesta'!$AY$2:$AY$511,"*e)*")</f>
        <v>0</v>
      </c>
      <c r="X411" s="52" t="e">
        <f>W411/$X$6*100</f>
        <v>#DIV/0!</v>
      </c>
      <c r="Y411" s="53">
        <f>COUNTIFS('00 Encuesta'!$B$2:$B$511,"*a)*",'00 Encuesta'!$C$2:$C$511,"*c)*",'00 Encuesta'!$E$2:$E$511,"*b)*",'00 Encuesta'!$AY$2:$AY$511,"*e)*")</f>
        <v>0</v>
      </c>
      <c r="Z411" s="52" t="e">
        <f>Y411/$X$7*100</f>
        <v>#DIV/0!</v>
      </c>
      <c r="AA411" s="3"/>
      <c r="AB411" s="62">
        <f>G411+N411+U411</f>
        <v>17</v>
      </c>
      <c r="AC411" s="52">
        <f>AB411*100/$AC$5</f>
        <v>21.794871794871796</v>
      </c>
      <c r="AD411" s="3"/>
      <c r="AE411" s="3"/>
      <c r="AF411" s="9" t="str">
        <f t="shared" si="687"/>
        <v>e) Absolutamente necesaria</v>
      </c>
      <c r="AG411" s="72">
        <f>J411</f>
        <v>22.727272727272727</v>
      </c>
      <c r="AH411" s="72">
        <f>L411</f>
        <v>38.888888888888893</v>
      </c>
      <c r="AI411" s="73">
        <f>H411</f>
        <v>30</v>
      </c>
      <c r="AJ411" s="73"/>
      <c r="AK411" s="76">
        <f>Q411</f>
        <v>0</v>
      </c>
      <c r="AL411" s="76">
        <f>S411</f>
        <v>20</v>
      </c>
      <c r="AM411" s="76">
        <f>O411</f>
        <v>13.157894736842104</v>
      </c>
      <c r="AN411" s="76"/>
      <c r="AO411" s="81" t="e">
        <f>X411</f>
        <v>#DIV/0!</v>
      </c>
      <c r="AP411" s="81" t="e">
        <f>Z411</f>
        <v>#DIV/0!</v>
      </c>
      <c r="AQ411" s="81" t="e">
        <f>V411</f>
        <v>#DIV/0!</v>
      </c>
      <c r="AR411" s="3"/>
      <c r="AS411" s="76">
        <f t="shared" si="688"/>
        <v>21.794871794871796</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ht="15.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ht="15.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ht="15.75" x14ac:dyDescent="0.3">
      <c r="A414" s="84" t="s">
        <v>17</v>
      </c>
      <c r="B414" s="2" t="s">
        <v>264</v>
      </c>
      <c r="C414" s="3"/>
      <c r="D414" s="3"/>
      <c r="E414" s="3"/>
      <c r="F414" s="4"/>
      <c r="G414" s="51">
        <f>I414+K414</f>
        <v>22</v>
      </c>
      <c r="H414" s="52">
        <f>G414/$J$5*100</f>
        <v>55.000000000000007</v>
      </c>
      <c r="I414" s="53">
        <f>COUNTIFS('00 Encuesta'!$B$2:$B$511,"*a)*",'00 Encuesta'!$C$2:$C$511,"*a)*",'00 Encuesta'!$E$2:$E$511,"*a)*",'00 Encuesta'!$AZ$2:$AZ$511,"*a)*")</f>
        <v>10</v>
      </c>
      <c r="J414" s="52">
        <f>I414/$J$6*100</f>
        <v>45.454545454545453</v>
      </c>
      <c r="K414" s="53">
        <f>COUNTIFS('00 Encuesta'!$B$2:$B$511,"*a)*",'00 Encuesta'!$C$2:$C$511,"*a)*",'00 Encuesta'!$E$2:$E$511,"*b)*",'00 Encuesta'!$AZ$2:$AZ$511,"*a)*")</f>
        <v>12</v>
      </c>
      <c r="L414" s="52">
        <f>K414/$J$7*100</f>
        <v>66.666666666666657</v>
      </c>
      <c r="M414" s="23"/>
      <c r="N414" s="51">
        <f>P414+R414</f>
        <v>9</v>
      </c>
      <c r="O414" s="52">
        <f>N414/$Q$5*100</f>
        <v>23.684210526315788</v>
      </c>
      <c r="P414" s="53">
        <f>COUNTIFS('00 Encuesta'!$B$2:$B$511,"*a)*",'00 Encuesta'!$C$2:$C$511,"*b)*",'00 Encuesta'!$E$2:$E$511,"*a)*",'00 Encuesta'!$AZ$2:$AZ$511,"*a)*")</f>
        <v>2</v>
      </c>
      <c r="Q414" s="52">
        <f>P414/$Q$6*100</f>
        <v>15.384615384615385</v>
      </c>
      <c r="R414" s="53">
        <f>COUNTIFS('00 Encuesta'!$B$2:$B$511,"*a)*",'00 Encuesta'!$C$2:$C$511,"*b)*",'00 Encuesta'!$E$2:$E$511,"*b)*",'00 Encuesta'!$AZ$2:$AZ$511,"*a)*")</f>
        <v>7</v>
      </c>
      <c r="S414" s="52">
        <f>R414/$Q$7*100</f>
        <v>28.000000000000004</v>
      </c>
      <c r="T414" s="3"/>
      <c r="U414" s="51">
        <f>W414+Y414</f>
        <v>0</v>
      </c>
      <c r="V414" s="52" t="e">
        <f>U414/$X$5*100</f>
        <v>#DIV/0!</v>
      </c>
      <c r="W414" s="53">
        <f>COUNTIFS('00 Encuesta'!$B$2:$B$511,"*a)*",'00 Encuesta'!$C$2:$C$511,"*c)*",'00 Encuesta'!$E$2:$E$511,"*a)*",'00 Encuesta'!$AZ$2:$AZ$511,"*a)*")</f>
        <v>0</v>
      </c>
      <c r="X414" s="52" t="e">
        <f>W414/$X$6*100</f>
        <v>#DIV/0!</v>
      </c>
      <c r="Y414" s="53">
        <f>COUNTIFS('00 Encuesta'!$B$2:$B$511,"*a)*",'00 Encuesta'!$C$2:$C$511,"*c)*",'00 Encuesta'!$E$2:$E$511,"*b)*",'00 Encuesta'!$AZ$2:$AZ$511,"*a)*")</f>
        <v>0</v>
      </c>
      <c r="Z414" s="52" t="e">
        <f>Y414/$X$7*100</f>
        <v>#DIV/0!</v>
      </c>
      <c r="AA414" s="3"/>
      <c r="AB414" s="62">
        <f>G414+N414+U414</f>
        <v>31</v>
      </c>
      <c r="AC414" s="52">
        <f>AB414*100/$AC$5</f>
        <v>39.743589743589745</v>
      </c>
      <c r="AD414" s="3"/>
      <c r="AE414" s="3"/>
      <c r="AF414" s="9" t="str">
        <f>A414&amp;" "&amp;B414</f>
        <v>a) No acostumbro a tomarlo nunca</v>
      </c>
      <c r="AG414" s="72">
        <f>J414</f>
        <v>45.454545454545453</v>
      </c>
      <c r="AH414" s="72">
        <f>L414</f>
        <v>66.666666666666657</v>
      </c>
      <c r="AI414" s="73">
        <f>H414</f>
        <v>55.000000000000007</v>
      </c>
      <c r="AJ414" s="73"/>
      <c r="AK414" s="76">
        <f>Q414</f>
        <v>15.384615384615385</v>
      </c>
      <c r="AL414" s="76">
        <f>S414</f>
        <v>28.000000000000004</v>
      </c>
      <c r="AM414" s="76">
        <f>O414</f>
        <v>23.684210526315788</v>
      </c>
      <c r="AN414" s="76"/>
      <c r="AO414" s="81" t="e">
        <f>X414</f>
        <v>#DIV/0!</v>
      </c>
      <c r="AP414" s="81" t="e">
        <f>Z414</f>
        <v>#DIV/0!</v>
      </c>
      <c r="AQ414" s="81" t="e">
        <f>V414</f>
        <v>#DIV/0!</v>
      </c>
      <c r="AR414" s="3"/>
      <c r="AS414" s="76">
        <f t="shared" si="688"/>
        <v>39.743589743589745</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15</v>
      </c>
      <c r="H415" s="52">
        <f>G415/$J$5*100</f>
        <v>37.5</v>
      </c>
      <c r="I415" s="53">
        <f>COUNTIFS('00 Encuesta'!$B$2:$B$511,"*a)*",'00 Encuesta'!$C$2:$C$511,"*a)*",'00 Encuesta'!$E$2:$E$511,"*a)*",'00 Encuesta'!$AZ$2:$AZ$511,"*b)*")</f>
        <v>10</v>
      </c>
      <c r="J415" s="52">
        <f>I415/$J$6*100</f>
        <v>45.454545454545453</v>
      </c>
      <c r="K415" s="53">
        <f>COUNTIFS('00 Encuesta'!$B$2:$B$511,"*a)*",'00 Encuesta'!$C$2:$C$511,"*a)*",'00 Encuesta'!$E$2:$E$511,"*b)*",'00 Encuesta'!$AZ$2:$AZ$511,"*b)*")</f>
        <v>5</v>
      </c>
      <c r="L415" s="52">
        <f>K415/$J$7*100</f>
        <v>27.777777777777779</v>
      </c>
      <c r="M415" s="23"/>
      <c r="N415" s="51">
        <f>P415+R415</f>
        <v>23</v>
      </c>
      <c r="O415" s="52">
        <f>N415/$Q$5*100</f>
        <v>60.526315789473685</v>
      </c>
      <c r="P415" s="53">
        <f>COUNTIFS('00 Encuesta'!$B$2:$B$511,"*a)*",'00 Encuesta'!$C$2:$C$511,"*b)*",'00 Encuesta'!$E$2:$E$511,"*a)*",'00 Encuesta'!$AZ$2:$AZ$511,"*b)*")</f>
        <v>9</v>
      </c>
      <c r="Q415" s="52">
        <f>P415/$Q$6*100</f>
        <v>69.230769230769226</v>
      </c>
      <c r="R415" s="53">
        <f>COUNTIFS('00 Encuesta'!$B$2:$B$511,"*a)*",'00 Encuesta'!$C$2:$C$511,"*b)*",'00 Encuesta'!$E$2:$E$511,"*b)*",'00 Encuesta'!$AZ$2:$AZ$511,"*b)*")</f>
        <v>14</v>
      </c>
      <c r="S415" s="52">
        <f>R415/$Q$7*100</f>
        <v>56.000000000000007</v>
      </c>
      <c r="T415" s="3"/>
      <c r="U415" s="51">
        <f>W415+Y415</f>
        <v>0</v>
      </c>
      <c r="V415" s="52" t="e">
        <f>U415/$X$5*100</f>
        <v>#DIV/0!</v>
      </c>
      <c r="W415" s="53">
        <f>COUNTIFS('00 Encuesta'!$B$2:$B$511,"*a)*",'00 Encuesta'!$C$2:$C$511,"*c)*",'00 Encuesta'!$E$2:$E$511,"*a)*",'00 Encuesta'!$AZ$2:$AZ$511,"*b)*")</f>
        <v>0</v>
      </c>
      <c r="X415" s="52" t="e">
        <f>W415/$X$6*100</f>
        <v>#DIV/0!</v>
      </c>
      <c r="Y415" s="53">
        <f>COUNTIFS('00 Encuesta'!$B$2:$B$511,"*a)*",'00 Encuesta'!$C$2:$C$511,"*c)*",'00 Encuesta'!$E$2:$E$511,"*b)*",'00 Encuesta'!$AZ$2:$AZ$511,"*b)*")</f>
        <v>0</v>
      </c>
      <c r="Z415" s="52" t="e">
        <f>Y415/$X$7*100</f>
        <v>#DIV/0!</v>
      </c>
      <c r="AA415" s="3"/>
      <c r="AB415" s="62">
        <f>G415+N415+U415</f>
        <v>38</v>
      </c>
      <c r="AC415" s="52">
        <f>AB415*100/$AC$5</f>
        <v>48.717948717948715</v>
      </c>
      <c r="AD415" s="3"/>
      <c r="AE415" s="3"/>
      <c r="AF415" s="9" t="str">
        <f>A415&amp;" "&amp;B415</f>
        <v>b) Las veces que bebo, es con moderaciòn</v>
      </c>
      <c r="AG415" s="72">
        <f>J415</f>
        <v>45.454545454545453</v>
      </c>
      <c r="AH415" s="72">
        <f>L415</f>
        <v>27.777777777777779</v>
      </c>
      <c r="AI415" s="73">
        <f>H415</f>
        <v>37.5</v>
      </c>
      <c r="AJ415" s="73"/>
      <c r="AK415" s="76">
        <f>Q415</f>
        <v>69.230769230769226</v>
      </c>
      <c r="AL415" s="76">
        <f>S415</f>
        <v>56.000000000000007</v>
      </c>
      <c r="AM415" s="76">
        <f>O415</f>
        <v>60.526315789473685</v>
      </c>
      <c r="AN415" s="76"/>
      <c r="AO415" s="81" t="e">
        <f>X415</f>
        <v>#DIV/0!</v>
      </c>
      <c r="AP415" s="81" t="e">
        <f>Z415</f>
        <v>#DIV/0!</v>
      </c>
      <c r="AQ415" s="81" t="e">
        <f>V415</f>
        <v>#DIV/0!</v>
      </c>
      <c r="AR415" s="3"/>
      <c r="AS415" s="76">
        <f t="shared" si="688"/>
        <v>48.717948717948715</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1</v>
      </c>
      <c r="H416" s="52">
        <f>G416/$J$5*100</f>
        <v>2.5</v>
      </c>
      <c r="I416" s="53">
        <f>COUNTIFS('00 Encuesta'!$B$2:$B$511,"*a)*",'00 Encuesta'!$C$2:$C$511,"*a)*",'00 Encuesta'!$E$2:$E$511,"*a)*",'00 Encuesta'!$AZ$2:$AZ$511,"*c)*")</f>
        <v>1</v>
      </c>
      <c r="J416" s="52">
        <f>I416/$J$6*100</f>
        <v>4.5454545454545459</v>
      </c>
      <c r="K416" s="53">
        <f>COUNTIFS('00 Encuesta'!$B$2:$B$511,"*a)*",'00 Encuesta'!$C$2:$C$511,"*a)*",'00 Encuesta'!$E$2:$E$511,"*b)*",'00 Encuesta'!$AZ$2:$AZ$511,"*c)*")</f>
        <v>0</v>
      </c>
      <c r="L416" s="52">
        <f>K416/$J$7*100</f>
        <v>0</v>
      </c>
      <c r="M416" s="23"/>
      <c r="N416" s="51">
        <f>P416+R416</f>
        <v>3</v>
      </c>
      <c r="O416" s="52">
        <f>N416/$Q$5*100</f>
        <v>7.8947368421052628</v>
      </c>
      <c r="P416" s="53">
        <f>COUNTIFS('00 Encuesta'!$B$2:$B$511,"*a)*",'00 Encuesta'!$C$2:$C$511,"*b)*",'00 Encuesta'!$E$2:$E$511,"*a)*",'00 Encuesta'!$AZ$2:$AZ$511,"*c)*")</f>
        <v>1</v>
      </c>
      <c r="Q416" s="52">
        <f>P416/$Q$6*100</f>
        <v>7.6923076923076925</v>
      </c>
      <c r="R416" s="53">
        <f>COUNTIFS('00 Encuesta'!$B$2:$B$511,"*a)*",'00 Encuesta'!$C$2:$C$511,"*b)*",'00 Encuesta'!$E$2:$E$511,"*b)*",'00 Encuesta'!$AZ$2:$AZ$511,"*c)*")</f>
        <v>2</v>
      </c>
      <c r="S416" s="52">
        <f>R416/$Q$7*100</f>
        <v>8</v>
      </c>
      <c r="T416" s="3"/>
      <c r="U416" s="51">
        <f>W416+Y416</f>
        <v>0</v>
      </c>
      <c r="V416" s="52" t="e">
        <f>U416/$X$5*100</f>
        <v>#DIV/0!</v>
      </c>
      <c r="W416" s="53">
        <f>COUNTIFS('00 Encuesta'!$B$2:$B$511,"*a)*",'00 Encuesta'!$C$2:$C$511,"*c)*",'00 Encuesta'!$E$2:$E$511,"*a)*",'00 Encuesta'!$AZ$2:$AZ$511,"*c)*")</f>
        <v>0</v>
      </c>
      <c r="X416" s="52" t="e">
        <f>W416/$X$6*100</f>
        <v>#DIV/0!</v>
      </c>
      <c r="Y416" s="53">
        <f>COUNTIFS('00 Encuesta'!$B$2:$B$511,"*a)*",'00 Encuesta'!$C$2:$C$511,"*c)*",'00 Encuesta'!$E$2:$E$511,"*b)*",'00 Encuesta'!$AZ$2:$AZ$511,"*c)*")</f>
        <v>0</v>
      </c>
      <c r="Z416" s="52" t="e">
        <f>Y416/$X$7*100</f>
        <v>#DIV/0!</v>
      </c>
      <c r="AA416" s="3"/>
      <c r="AB416" s="62">
        <f>G416+N416+U416</f>
        <v>4</v>
      </c>
      <c r="AC416" s="52">
        <f>AB416*100/$AC$5</f>
        <v>5.1282051282051286</v>
      </c>
      <c r="AD416" s="3"/>
      <c r="AE416" s="3"/>
      <c r="AF416" s="9" t="str">
        <f>A416&amp;" "&amp;B416</f>
        <v>c) Alguna vez he bebido màs de la cuenta</v>
      </c>
      <c r="AG416" s="72">
        <f>J416</f>
        <v>4.5454545454545459</v>
      </c>
      <c r="AH416" s="72">
        <f>L416</f>
        <v>0</v>
      </c>
      <c r="AI416" s="73">
        <f>H416</f>
        <v>2.5</v>
      </c>
      <c r="AJ416" s="73"/>
      <c r="AK416" s="76">
        <f>Q416</f>
        <v>7.6923076923076925</v>
      </c>
      <c r="AL416" s="76">
        <f>S416</f>
        <v>8</v>
      </c>
      <c r="AM416" s="76">
        <f>O416</f>
        <v>7.8947368421052628</v>
      </c>
      <c r="AN416" s="76"/>
      <c r="AO416" s="81" t="e">
        <f>X416</f>
        <v>#DIV/0!</v>
      </c>
      <c r="AP416" s="81" t="e">
        <f>Z416</f>
        <v>#DIV/0!</v>
      </c>
      <c r="AQ416" s="81" t="e">
        <f>V416</f>
        <v>#DIV/0!</v>
      </c>
      <c r="AR416" s="3"/>
      <c r="AS416" s="76">
        <f t="shared" si="688"/>
        <v>5.1282051282051286</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1</v>
      </c>
      <c r="H417" s="52">
        <f>G417/$J$5*100</f>
        <v>2.5</v>
      </c>
      <c r="I417" s="53">
        <f>COUNTIFS('00 Encuesta'!$B$2:$B$511,"*a)*",'00 Encuesta'!$C$2:$C$511,"*a)*",'00 Encuesta'!$E$2:$E$511,"*a)*",'00 Encuesta'!$AZ$2:$AZ$511,"*d)*")</f>
        <v>0</v>
      </c>
      <c r="J417" s="52">
        <f>I417/$J$6*100</f>
        <v>0</v>
      </c>
      <c r="K417" s="53">
        <f>COUNTIFS('00 Encuesta'!$B$2:$B$511,"*a)*",'00 Encuesta'!$C$2:$C$511,"*a)*",'00 Encuesta'!$E$2:$E$511,"*b)*",'00 Encuesta'!$AZ$2:$AZ$511,"*d)*")</f>
        <v>1</v>
      </c>
      <c r="L417" s="52">
        <f>K417/$J$7*100</f>
        <v>5.5555555555555554</v>
      </c>
      <c r="M417" s="23"/>
      <c r="N417" s="51">
        <f>P417+R417</f>
        <v>1</v>
      </c>
      <c r="O417" s="52">
        <f>N417/$Q$5*100</f>
        <v>2.6315789473684208</v>
      </c>
      <c r="P417" s="53">
        <f>COUNTIFS('00 Encuesta'!$B$2:$B$511,"*a)*",'00 Encuesta'!$C$2:$C$511,"*b)*",'00 Encuesta'!$E$2:$E$511,"*a)*",'00 Encuesta'!$AZ$2:$AZ$511,"*d)*")</f>
        <v>1</v>
      </c>
      <c r="Q417" s="52">
        <f>P417/$Q$6*100</f>
        <v>7.6923076923076925</v>
      </c>
      <c r="R417" s="53">
        <f>COUNTIFS('00 Encuesta'!$B$2:$B$511,"*a)*",'00 Encuesta'!$C$2:$C$511,"*b)*",'00 Encuesta'!$E$2:$E$511,"*b)*",'00 Encuesta'!$AZ$2:$AZ$511,"*d)*")</f>
        <v>0</v>
      </c>
      <c r="S417" s="52">
        <f>R417/$Q$7*100</f>
        <v>0</v>
      </c>
      <c r="T417" s="3"/>
      <c r="U417" s="51">
        <f>W417+Y417</f>
        <v>0</v>
      </c>
      <c r="V417" s="52" t="e">
        <f>U417/$X$5*100</f>
        <v>#DIV/0!</v>
      </c>
      <c r="W417" s="53">
        <f>COUNTIFS('00 Encuesta'!$B$2:$B$511,"*a)*",'00 Encuesta'!$C$2:$C$511,"*c)*",'00 Encuesta'!$E$2:$E$511,"*a)*",'00 Encuesta'!$AZ$2:$AZ$511,"*d)*")</f>
        <v>0</v>
      </c>
      <c r="X417" s="52" t="e">
        <f>W417/$X$6*100</f>
        <v>#DIV/0!</v>
      </c>
      <c r="Y417" s="53">
        <f>COUNTIFS('00 Encuesta'!$B$2:$B$511,"*a)*",'00 Encuesta'!$C$2:$C$511,"*c)*",'00 Encuesta'!$E$2:$E$511,"*b)*",'00 Encuesta'!$AZ$2:$AZ$511,"*d)*")</f>
        <v>0</v>
      </c>
      <c r="Z417" s="52" t="e">
        <f>Y417/$X$7*100</f>
        <v>#DIV/0!</v>
      </c>
      <c r="AA417" s="3"/>
      <c r="AB417" s="62">
        <f>G417+N417+U417</f>
        <v>2</v>
      </c>
      <c r="AC417" s="52">
        <f>AB417*100/$AC$5</f>
        <v>2.5641025641025643</v>
      </c>
      <c r="AD417" s="3"/>
      <c r="AE417" s="3"/>
      <c r="AF417" s="9" t="str">
        <f>A417&amp;" "&amp;B417</f>
        <v>d) Con frecuencia (fines de semana u otros momentos) suelo beber màs de la cuenta.</v>
      </c>
      <c r="AG417" s="72">
        <f>J417</f>
        <v>0</v>
      </c>
      <c r="AH417" s="72">
        <f>L417</f>
        <v>5.5555555555555554</v>
      </c>
      <c r="AI417" s="73">
        <f>H417</f>
        <v>2.5</v>
      </c>
      <c r="AJ417" s="73"/>
      <c r="AK417" s="76">
        <f>Q417</f>
        <v>7.6923076923076925</v>
      </c>
      <c r="AL417" s="76">
        <f>S417</f>
        <v>0</v>
      </c>
      <c r="AM417" s="76">
        <f>O417</f>
        <v>2.6315789473684208</v>
      </c>
      <c r="AN417" s="76"/>
      <c r="AO417" s="81" t="e">
        <f>X417</f>
        <v>#DIV/0!</v>
      </c>
      <c r="AP417" s="81" t="e">
        <f>Z417</f>
        <v>#DIV/0!</v>
      </c>
      <c r="AQ417" s="81" t="e">
        <f>V417</f>
        <v>#DIV/0!</v>
      </c>
      <c r="AR417" s="3"/>
      <c r="AS417" s="76">
        <f t="shared" si="688"/>
        <v>2.5641025641025643</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ht="15.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ht="15.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ht="15.75" x14ac:dyDescent="0.3">
      <c r="A420" s="1" t="s">
        <v>17</v>
      </c>
      <c r="B420" s="2" t="s">
        <v>269</v>
      </c>
      <c r="C420" s="3"/>
      <c r="D420" s="3"/>
      <c r="E420" s="3"/>
      <c r="F420" s="4"/>
      <c r="G420" s="51">
        <f t="shared" ref="G420:G425" si="689">I420+K420</f>
        <v>12</v>
      </c>
      <c r="H420" s="52">
        <f t="shared" ref="H420:H425" si="690">G420/$J$5*100</f>
        <v>30</v>
      </c>
      <c r="I420" s="53">
        <f>COUNTIFS('00 Encuesta'!$B$2:$B$511,"*a)*",'00 Encuesta'!$C$2:$C$511,"*a)*",'00 Encuesta'!$E$2:$E$511,"*a)*",'00 Encuesta'!$BA$2:$BA$511,"*a)*")</f>
        <v>4</v>
      </c>
      <c r="J420" s="52">
        <f t="shared" ref="J420:J425" si="691">I420/$J$6*100</f>
        <v>18.181818181818183</v>
      </c>
      <c r="K420" s="53">
        <f>COUNTIFS('00 Encuesta'!$B$2:$B$511,"*a)*",'00 Encuesta'!$C$2:$C$511,"*a)*",'00 Encuesta'!$E$2:$E$511,"*b)*",'00 Encuesta'!$BA$2:$BA$511,"*a)*")</f>
        <v>8</v>
      </c>
      <c r="L420" s="52">
        <f t="shared" ref="L420:L425" si="692">K420/$J$7*100</f>
        <v>44.444444444444443</v>
      </c>
      <c r="M420" s="23"/>
      <c r="N420" s="51">
        <f t="shared" ref="N420:N425" si="693">P420+R420</f>
        <v>4</v>
      </c>
      <c r="O420" s="52">
        <f t="shared" ref="O420:O425" si="694">N420/$Q$5*100</f>
        <v>10.526315789473683</v>
      </c>
      <c r="P420" s="53">
        <f>COUNTIFS('00 Encuesta'!$B$2:$B$511,"*a)*",'00 Encuesta'!$C$2:$C$511,"*b)*",'00 Encuesta'!$E$2:$E$511,"*a)*",'00 Encuesta'!$BA$2:$BA$511,"*a)*")</f>
        <v>2</v>
      </c>
      <c r="Q420" s="52">
        <f t="shared" ref="Q420:Q425" si="695">P420/$Q$6*100</f>
        <v>15.384615384615385</v>
      </c>
      <c r="R420" s="53">
        <f>COUNTIFS('00 Encuesta'!$B$2:$B$511,"*a)*",'00 Encuesta'!$C$2:$C$511,"*b)*",'00 Encuesta'!$E$2:$E$511,"*b)*",'00 Encuesta'!$BA$2:$BA$511,"*a)*")</f>
        <v>2</v>
      </c>
      <c r="S420" s="52">
        <f t="shared" ref="S420:S425" si="696">R420/$Q$7*100</f>
        <v>8</v>
      </c>
      <c r="T420" s="3"/>
      <c r="U420" s="51">
        <f t="shared" ref="U420:U425" si="697">W420+Y420</f>
        <v>0</v>
      </c>
      <c r="V420" s="52" t="e">
        <f t="shared" ref="V420:V425" si="698">U420/$X$5*100</f>
        <v>#DIV/0!</v>
      </c>
      <c r="W420" s="53">
        <f>COUNTIFS('00 Encuesta'!$B$2:$B$511,"*a)*",'00 Encuesta'!$C$2:$C$511,"*c)*",'00 Encuesta'!$E$2:$E$511,"*a)*",'00 Encuesta'!$BA$2:$BA$511,"*a)*")</f>
        <v>0</v>
      </c>
      <c r="X420" s="52" t="e">
        <f t="shared" ref="X420:X425" si="699">W420/$X$6*100</f>
        <v>#DIV/0!</v>
      </c>
      <c r="Y420" s="53">
        <f>COUNTIFS('00 Encuesta'!$B$2:$B$511,"*a)*",'00 Encuesta'!$C$2:$C$511,"*c)*",'00 Encuesta'!$E$2:$E$511,"*b)*",'00 Encuesta'!$BA$2:$BA$511,"*a)*")</f>
        <v>0</v>
      </c>
      <c r="Z420" s="52" t="e">
        <f t="shared" ref="Z420:Z425" si="700">Y420/$X$7*100</f>
        <v>#DIV/0!</v>
      </c>
      <c r="AA420" s="3"/>
      <c r="AB420" s="62">
        <f t="shared" ref="AB420:AB425" si="701">G420+N420+U420</f>
        <v>16</v>
      </c>
      <c r="AC420" s="52">
        <f t="shared" ref="AC420:AC425" si="702">AB420*100/$AC$5</f>
        <v>20.512820512820515</v>
      </c>
      <c r="AD420" s="3"/>
      <c r="AE420" s="3"/>
      <c r="AF420" s="9" t="str">
        <f t="shared" ref="AF420:AF425" si="703">A420&amp;" "&amp;B420</f>
        <v>a) Personas a las que tengo que aguantar</v>
      </c>
      <c r="AG420" s="72">
        <f t="shared" ref="AG420:AG425" si="704">J420</f>
        <v>18.181818181818183</v>
      </c>
      <c r="AH420" s="72">
        <f t="shared" ref="AH420:AH425" si="705">L420</f>
        <v>44.444444444444443</v>
      </c>
      <c r="AI420" s="73">
        <f t="shared" ref="AI420:AI425" si="706">H420</f>
        <v>30</v>
      </c>
      <c r="AJ420" s="73"/>
      <c r="AK420" s="76">
        <f t="shared" ref="AK420:AK425" si="707">Q420</f>
        <v>15.384615384615385</v>
      </c>
      <c r="AL420" s="76">
        <f t="shared" ref="AL420:AL425" si="708">S420</f>
        <v>8</v>
      </c>
      <c r="AM420" s="76">
        <f t="shared" ref="AM420:AM425" si="709">O420</f>
        <v>10.526315789473683</v>
      </c>
      <c r="AN420" s="76"/>
      <c r="AO420" s="81" t="e">
        <f t="shared" ref="AO420:AO425" si="710">X420</f>
        <v>#DIV/0!</v>
      </c>
      <c r="AP420" s="81" t="e">
        <f t="shared" ref="AP420:AP425" si="711">Z420</f>
        <v>#DIV/0!</v>
      </c>
      <c r="AQ420" s="81" t="e">
        <f t="shared" ref="AQ420:AQ425" si="712">V420</f>
        <v>#DIV/0!</v>
      </c>
      <c r="AR420" s="3"/>
      <c r="AS420" s="76">
        <f t="shared" si="688"/>
        <v>20.512820512820515</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ht="15.75" x14ac:dyDescent="0.3">
      <c r="A421" s="1" t="s">
        <v>18</v>
      </c>
      <c r="B421" s="2" t="s">
        <v>270</v>
      </c>
      <c r="C421" s="3"/>
      <c r="D421" s="3"/>
      <c r="E421" s="3"/>
      <c r="F421" s="4"/>
      <c r="G421" s="51">
        <f t="shared" si="689"/>
        <v>6</v>
      </c>
      <c r="H421" s="52">
        <f t="shared" si="690"/>
        <v>15</v>
      </c>
      <c r="I421" s="53">
        <f>COUNTIFS('00 Encuesta'!$B$2:$B$511,"*a)*",'00 Encuesta'!$C$2:$C$511,"*a)*",'00 Encuesta'!$E$2:$E$511,"*a)*",'00 Encuesta'!$BA$2:$BA$511,"*b)*")</f>
        <v>2</v>
      </c>
      <c r="J421" s="52">
        <f t="shared" si="691"/>
        <v>9.0909090909090917</v>
      </c>
      <c r="K421" s="53">
        <f>COUNTIFS('00 Encuesta'!$B$2:$B$511,"*a)*",'00 Encuesta'!$C$2:$C$511,"*a)*",'00 Encuesta'!$E$2:$E$511,"*b)*",'00 Encuesta'!$BA$2:$BA$511,"*b)*")</f>
        <v>4</v>
      </c>
      <c r="L421" s="52">
        <f t="shared" si="692"/>
        <v>22.222222222222221</v>
      </c>
      <c r="M421" s="23"/>
      <c r="N421" s="51">
        <f t="shared" si="693"/>
        <v>4</v>
      </c>
      <c r="O421" s="52">
        <f t="shared" si="694"/>
        <v>10.526315789473683</v>
      </c>
      <c r="P421" s="53">
        <f>COUNTIFS('00 Encuesta'!$B$2:$B$511,"*a)*",'00 Encuesta'!$C$2:$C$511,"*b)*",'00 Encuesta'!$E$2:$E$511,"*a)*",'00 Encuesta'!$BA$2:$BA$511,"*b)*")</f>
        <v>4</v>
      </c>
      <c r="Q421" s="52">
        <f t="shared" si="695"/>
        <v>30.76923076923077</v>
      </c>
      <c r="R421" s="53">
        <f>COUNTIFS('00 Encuesta'!$B$2:$B$511,"*a)*",'00 Encuesta'!$C$2:$C$511,"*b)*",'00 Encuesta'!$E$2:$E$511,"*b)*",'00 Encuesta'!$BA$2:$BA$511,"*b)*")</f>
        <v>0</v>
      </c>
      <c r="S421" s="52">
        <f t="shared" si="696"/>
        <v>0</v>
      </c>
      <c r="T421" s="3"/>
      <c r="U421" s="51">
        <f t="shared" si="697"/>
        <v>0</v>
      </c>
      <c r="V421" s="52" t="e">
        <f t="shared" si="698"/>
        <v>#DIV/0!</v>
      </c>
      <c r="W421" s="53">
        <f>COUNTIFS('00 Encuesta'!$B$2:$B$511,"*a)*",'00 Encuesta'!$C$2:$C$511,"*c)*",'00 Encuesta'!$E$2:$E$511,"*a)*",'00 Encuesta'!$BA$2:$BA$511,"*b)*")</f>
        <v>0</v>
      </c>
      <c r="X421" s="52" t="e">
        <f t="shared" si="699"/>
        <v>#DIV/0!</v>
      </c>
      <c r="Y421" s="53">
        <f>COUNTIFS('00 Encuesta'!$B$2:$B$511,"*a)*",'00 Encuesta'!$C$2:$C$511,"*c)*",'00 Encuesta'!$E$2:$E$511,"*b)*",'00 Encuesta'!$BA$2:$BA$511,"*b)*")</f>
        <v>0</v>
      </c>
      <c r="Z421" s="52" t="e">
        <f t="shared" si="700"/>
        <v>#DIV/0!</v>
      </c>
      <c r="AA421" s="3"/>
      <c r="AB421" s="62">
        <f t="shared" si="701"/>
        <v>10</v>
      </c>
      <c r="AC421" s="52">
        <f t="shared" si="702"/>
        <v>12.820512820512821</v>
      </c>
      <c r="AD421" s="3"/>
      <c r="AE421" s="3"/>
      <c r="AF421" s="9" t="str">
        <f t="shared" si="703"/>
        <v>b) Profesionales que no se preocupan de nosotros</v>
      </c>
      <c r="AG421" s="72">
        <f t="shared" si="704"/>
        <v>9.0909090909090917</v>
      </c>
      <c r="AH421" s="72">
        <f t="shared" si="705"/>
        <v>22.222222222222221</v>
      </c>
      <c r="AI421" s="73">
        <f t="shared" si="706"/>
        <v>15</v>
      </c>
      <c r="AJ421" s="73"/>
      <c r="AK421" s="76">
        <f t="shared" si="707"/>
        <v>30.76923076923077</v>
      </c>
      <c r="AL421" s="76">
        <f t="shared" si="708"/>
        <v>0</v>
      </c>
      <c r="AM421" s="76">
        <f t="shared" si="709"/>
        <v>10.526315789473683</v>
      </c>
      <c r="AN421" s="76"/>
      <c r="AO421" s="81" t="e">
        <f t="shared" si="710"/>
        <v>#DIV/0!</v>
      </c>
      <c r="AP421" s="81" t="e">
        <f t="shared" si="711"/>
        <v>#DIV/0!</v>
      </c>
      <c r="AQ421" s="81" t="e">
        <f t="shared" si="712"/>
        <v>#DIV/0!</v>
      </c>
      <c r="AR421" s="3"/>
      <c r="AS421" s="76">
        <f t="shared" si="688"/>
        <v>12.820512820512821</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ht="15.75" x14ac:dyDescent="0.3">
      <c r="A422" s="1" t="s">
        <v>20</v>
      </c>
      <c r="B422" s="2" t="s">
        <v>271</v>
      </c>
      <c r="C422" s="3"/>
      <c r="D422" s="3"/>
      <c r="E422" s="3"/>
      <c r="F422" s="4"/>
      <c r="G422" s="51">
        <f t="shared" si="689"/>
        <v>3</v>
      </c>
      <c r="H422" s="52">
        <f t="shared" si="690"/>
        <v>7.5</v>
      </c>
      <c r="I422" s="53">
        <f>COUNTIFS('00 Encuesta'!$B$2:$B$511,"*a)*",'00 Encuesta'!$C$2:$C$511,"*a)*",'00 Encuesta'!$E$2:$E$511,"*a)*",'00 Encuesta'!$BA$2:$BA$511,"*c)*")</f>
        <v>2</v>
      </c>
      <c r="J422" s="52">
        <f t="shared" si="691"/>
        <v>9.0909090909090917</v>
      </c>
      <c r="K422" s="53">
        <f>COUNTIFS('00 Encuesta'!$B$2:$B$511,"*a)*",'00 Encuesta'!$C$2:$C$511,"*a)*",'00 Encuesta'!$E$2:$E$511,"*b)*",'00 Encuesta'!$BA$2:$BA$511,"*c)*")</f>
        <v>1</v>
      </c>
      <c r="L422" s="52">
        <f t="shared" si="692"/>
        <v>5.5555555555555554</v>
      </c>
      <c r="M422" s="23"/>
      <c r="N422" s="51">
        <f t="shared" si="693"/>
        <v>11</v>
      </c>
      <c r="O422" s="52">
        <f t="shared" si="694"/>
        <v>28.947368421052634</v>
      </c>
      <c r="P422" s="53">
        <f>COUNTIFS('00 Encuesta'!$B$2:$B$511,"*a)*",'00 Encuesta'!$C$2:$C$511,"*b)*",'00 Encuesta'!$E$2:$E$511,"*a)*",'00 Encuesta'!$BA$2:$BA$511,"*c)*")</f>
        <v>3</v>
      </c>
      <c r="Q422" s="52">
        <f t="shared" si="695"/>
        <v>23.076923076923077</v>
      </c>
      <c r="R422" s="53">
        <f>COUNTIFS('00 Encuesta'!$B$2:$B$511,"*a)*",'00 Encuesta'!$C$2:$C$511,"*b)*",'00 Encuesta'!$E$2:$E$511,"*b)*",'00 Encuesta'!$BA$2:$BA$511,"*c)*")</f>
        <v>8</v>
      </c>
      <c r="S422" s="52">
        <f t="shared" si="696"/>
        <v>32</v>
      </c>
      <c r="T422" s="3"/>
      <c r="U422" s="51">
        <f t="shared" si="697"/>
        <v>0</v>
      </c>
      <c r="V422" s="52" t="e">
        <f t="shared" si="698"/>
        <v>#DIV/0!</v>
      </c>
      <c r="W422" s="53">
        <f>COUNTIFS('00 Encuesta'!$B$2:$B$511,"*a)*",'00 Encuesta'!$C$2:$C$511,"*c)*",'00 Encuesta'!$E$2:$E$511,"*a)*",'00 Encuesta'!$BA$2:$BA$511,"*c)*")</f>
        <v>0</v>
      </c>
      <c r="X422" s="52" t="e">
        <f t="shared" si="699"/>
        <v>#DIV/0!</v>
      </c>
      <c r="Y422" s="53">
        <f>COUNTIFS('00 Encuesta'!$B$2:$B$511,"*a)*",'00 Encuesta'!$C$2:$C$511,"*c)*",'00 Encuesta'!$E$2:$E$511,"*b)*",'00 Encuesta'!$BA$2:$BA$511,"*c)*")</f>
        <v>0</v>
      </c>
      <c r="Z422" s="52" t="e">
        <f t="shared" si="700"/>
        <v>#DIV/0!</v>
      </c>
      <c r="AA422" s="3"/>
      <c r="AB422" s="62">
        <f t="shared" si="701"/>
        <v>14</v>
      </c>
      <c r="AC422" s="52">
        <f t="shared" si="702"/>
        <v>17.948717948717949</v>
      </c>
      <c r="AD422" s="3"/>
      <c r="AE422" s="3"/>
      <c r="AF422" s="9" t="str">
        <f t="shared" si="703"/>
        <v>c) Profesionales que hacen lo que pueden</v>
      </c>
      <c r="AG422" s="72">
        <f t="shared" si="704"/>
        <v>9.0909090909090917</v>
      </c>
      <c r="AH422" s="72">
        <f t="shared" si="705"/>
        <v>5.5555555555555554</v>
      </c>
      <c r="AI422" s="73">
        <f t="shared" si="706"/>
        <v>7.5</v>
      </c>
      <c r="AJ422" s="73"/>
      <c r="AK422" s="76">
        <f t="shared" si="707"/>
        <v>23.076923076923077</v>
      </c>
      <c r="AL422" s="76">
        <f t="shared" si="708"/>
        <v>32</v>
      </c>
      <c r="AM422" s="76">
        <f t="shared" si="709"/>
        <v>28.947368421052634</v>
      </c>
      <c r="AN422" s="76"/>
      <c r="AO422" s="81" t="e">
        <f t="shared" si="710"/>
        <v>#DIV/0!</v>
      </c>
      <c r="AP422" s="81" t="e">
        <f t="shared" si="711"/>
        <v>#DIV/0!</v>
      </c>
      <c r="AQ422" s="81" t="e">
        <f t="shared" si="712"/>
        <v>#DIV/0!</v>
      </c>
      <c r="AR422" s="3"/>
      <c r="AS422" s="76">
        <f t="shared" si="688"/>
        <v>17.948717948717949</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4</v>
      </c>
      <c r="H423" s="52">
        <f t="shared" si="690"/>
        <v>10</v>
      </c>
      <c r="I423" s="53">
        <f>COUNTIFS('00 Encuesta'!$B$2:$B$511,"*a)*",'00 Encuesta'!$C$2:$C$511,"*a)*",'00 Encuesta'!$E$2:$E$511,"*a)*",'00 Encuesta'!$BA$2:$BA$511,"*d)*")</f>
        <v>3</v>
      </c>
      <c r="J423" s="52">
        <f t="shared" si="691"/>
        <v>13.636363636363635</v>
      </c>
      <c r="K423" s="53">
        <f>COUNTIFS('00 Encuesta'!$B$2:$B$511,"*a)*",'00 Encuesta'!$C$2:$C$511,"*a)*",'00 Encuesta'!$E$2:$E$511,"*b)*",'00 Encuesta'!$BA$2:$BA$511,"*d)*")</f>
        <v>1</v>
      </c>
      <c r="L423" s="52">
        <f t="shared" si="692"/>
        <v>5.5555555555555554</v>
      </c>
      <c r="M423" s="23"/>
      <c r="N423" s="51">
        <f t="shared" si="693"/>
        <v>7</v>
      </c>
      <c r="O423" s="52">
        <f t="shared" si="694"/>
        <v>18.421052631578945</v>
      </c>
      <c r="P423" s="53">
        <f>COUNTIFS('00 Encuesta'!$B$2:$B$511,"*a)*",'00 Encuesta'!$C$2:$C$511,"*b)*",'00 Encuesta'!$E$2:$E$511,"*a)*",'00 Encuesta'!$BA$2:$BA$511,"*d)*")</f>
        <v>0</v>
      </c>
      <c r="Q423" s="52">
        <f t="shared" si="695"/>
        <v>0</v>
      </c>
      <c r="R423" s="53">
        <f>COUNTIFS('00 Encuesta'!$B$2:$B$511,"*a)*",'00 Encuesta'!$C$2:$C$511,"*b)*",'00 Encuesta'!$E$2:$E$511,"*b)*",'00 Encuesta'!$BA$2:$BA$511,"*d)*")</f>
        <v>7</v>
      </c>
      <c r="S423" s="52">
        <f t="shared" si="696"/>
        <v>28.000000000000004</v>
      </c>
      <c r="T423" s="3"/>
      <c r="U423" s="51">
        <f t="shared" si="697"/>
        <v>0</v>
      </c>
      <c r="V423" s="52" t="e">
        <f t="shared" si="698"/>
        <v>#DIV/0!</v>
      </c>
      <c r="W423" s="53">
        <f>COUNTIFS('00 Encuesta'!$B$2:$B$511,"*a)*",'00 Encuesta'!$C$2:$C$511,"*c)*",'00 Encuesta'!$E$2:$E$511,"*a)*",'00 Encuesta'!$BA$2:$BA$511,"*d)*")</f>
        <v>0</v>
      </c>
      <c r="X423" s="52" t="e">
        <f t="shared" si="699"/>
        <v>#DIV/0!</v>
      </c>
      <c r="Y423" s="53">
        <f>COUNTIFS('00 Encuesta'!$B$2:$B$511,"*a)*",'00 Encuesta'!$C$2:$C$511,"*c)*",'00 Encuesta'!$E$2:$E$511,"*b)*",'00 Encuesta'!$BA$2:$BA$511,"*d)*")</f>
        <v>0</v>
      </c>
      <c r="Z423" s="52" t="e">
        <f t="shared" si="700"/>
        <v>#DIV/0!</v>
      </c>
      <c r="AA423" s="3"/>
      <c r="AB423" s="62">
        <f t="shared" si="701"/>
        <v>11</v>
      </c>
      <c r="AC423" s="52">
        <f t="shared" si="702"/>
        <v>14.102564102564102</v>
      </c>
      <c r="AD423" s="3"/>
      <c r="AE423" s="3"/>
      <c r="AF423" s="9" t="str">
        <f t="shared" si="703"/>
        <v>d) Buenos profesionales de la educaciòn</v>
      </c>
      <c r="AG423" s="72">
        <f t="shared" si="704"/>
        <v>13.636363636363635</v>
      </c>
      <c r="AH423" s="72">
        <f t="shared" si="705"/>
        <v>5.5555555555555554</v>
      </c>
      <c r="AI423" s="73">
        <f t="shared" si="706"/>
        <v>10</v>
      </c>
      <c r="AJ423" s="73"/>
      <c r="AK423" s="76">
        <f t="shared" si="707"/>
        <v>0</v>
      </c>
      <c r="AL423" s="76">
        <f t="shared" si="708"/>
        <v>28.000000000000004</v>
      </c>
      <c r="AM423" s="76">
        <f t="shared" si="709"/>
        <v>18.421052631578945</v>
      </c>
      <c r="AN423" s="76"/>
      <c r="AO423" s="81" t="e">
        <f t="shared" si="710"/>
        <v>#DIV/0!</v>
      </c>
      <c r="AP423" s="81" t="e">
        <f t="shared" si="711"/>
        <v>#DIV/0!</v>
      </c>
      <c r="AQ423" s="81" t="e">
        <f t="shared" si="712"/>
        <v>#DIV/0!</v>
      </c>
      <c r="AR423" s="3"/>
      <c r="AS423" s="76">
        <f t="shared" si="688"/>
        <v>14.102564102564102</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ht="15.75" x14ac:dyDescent="0.3">
      <c r="A424" s="1" t="s">
        <v>22</v>
      </c>
      <c r="B424" s="2" t="s">
        <v>273</v>
      </c>
      <c r="C424" s="3"/>
      <c r="D424" s="3"/>
      <c r="E424" s="3"/>
      <c r="F424" s="4"/>
      <c r="G424" s="51">
        <f t="shared" si="689"/>
        <v>9</v>
      </c>
      <c r="H424" s="52">
        <f t="shared" si="690"/>
        <v>22.5</v>
      </c>
      <c r="I424" s="53">
        <f>COUNTIFS('00 Encuesta'!$B$2:$B$511,"*a)*",'00 Encuesta'!$C$2:$C$511,"*a)*",'00 Encuesta'!$E$2:$E$511,"*a)*",'00 Encuesta'!$BA$2:$BA$511,"*e)*")</f>
        <v>6</v>
      </c>
      <c r="J424" s="52">
        <f t="shared" si="691"/>
        <v>27.27272727272727</v>
      </c>
      <c r="K424" s="53">
        <f>COUNTIFS('00 Encuesta'!$B$2:$B$511,"*a)*",'00 Encuesta'!$C$2:$C$511,"*a)*",'00 Encuesta'!$E$2:$E$511,"*b)*",'00 Encuesta'!$BA$2:$BA$511,"*e)*")</f>
        <v>3</v>
      </c>
      <c r="L424" s="52">
        <f t="shared" si="692"/>
        <v>16.666666666666664</v>
      </c>
      <c r="M424" s="23"/>
      <c r="N424" s="51">
        <f t="shared" si="693"/>
        <v>8</v>
      </c>
      <c r="O424" s="52">
        <f t="shared" si="694"/>
        <v>21.052631578947366</v>
      </c>
      <c r="P424" s="53">
        <f>COUNTIFS('00 Encuesta'!$B$2:$B$511,"*a)*",'00 Encuesta'!$C$2:$C$511,"*b)*",'00 Encuesta'!$E$2:$E$511,"*a)*",'00 Encuesta'!$BA$2:$BA$511,"*e)*")</f>
        <v>3</v>
      </c>
      <c r="Q424" s="52">
        <f t="shared" si="695"/>
        <v>23.076923076923077</v>
      </c>
      <c r="R424" s="53">
        <f>COUNTIFS('00 Encuesta'!$B$2:$B$511,"*a)*",'00 Encuesta'!$C$2:$C$511,"*b)*",'00 Encuesta'!$E$2:$E$511,"*b)*",'00 Encuesta'!$BA$2:$BA$511,"*e)*")</f>
        <v>5</v>
      </c>
      <c r="S424" s="52">
        <f t="shared" si="696"/>
        <v>20</v>
      </c>
      <c r="T424" s="3"/>
      <c r="U424" s="51">
        <f t="shared" si="697"/>
        <v>0</v>
      </c>
      <c r="V424" s="52" t="e">
        <f t="shared" si="698"/>
        <v>#DIV/0!</v>
      </c>
      <c r="W424" s="53">
        <f>COUNTIFS('00 Encuesta'!$B$2:$B$511,"*a)*",'00 Encuesta'!$C$2:$C$511,"*c)*",'00 Encuesta'!$E$2:$E$511,"*a)*",'00 Encuesta'!$BA$2:$BA$511,"*e)*")</f>
        <v>0</v>
      </c>
      <c r="X424" s="52" t="e">
        <f t="shared" si="699"/>
        <v>#DIV/0!</v>
      </c>
      <c r="Y424" s="53">
        <f>COUNTIFS('00 Encuesta'!$B$2:$B$511,"*a)*",'00 Encuesta'!$C$2:$C$511,"*c)*",'00 Encuesta'!$E$2:$E$511,"*b)*",'00 Encuesta'!$BA$2:$BA$511,"*e)*")</f>
        <v>0</v>
      </c>
      <c r="Z424" s="52" t="e">
        <f t="shared" si="700"/>
        <v>#DIV/0!</v>
      </c>
      <c r="AA424" s="3"/>
      <c r="AB424" s="62">
        <f t="shared" si="701"/>
        <v>17</v>
      </c>
      <c r="AC424" s="52">
        <f t="shared" si="702"/>
        <v>21.794871794871796</v>
      </c>
      <c r="AD424" s="3"/>
      <c r="AE424" s="3"/>
      <c r="AF424" s="9" t="str">
        <f t="shared" si="703"/>
        <v>e) Educadores que se preocupan de nosotros</v>
      </c>
      <c r="AG424" s="72">
        <f t="shared" si="704"/>
        <v>27.27272727272727</v>
      </c>
      <c r="AH424" s="72">
        <f t="shared" si="705"/>
        <v>16.666666666666664</v>
      </c>
      <c r="AI424" s="73">
        <f t="shared" si="706"/>
        <v>22.5</v>
      </c>
      <c r="AJ424" s="73"/>
      <c r="AK424" s="76">
        <f t="shared" si="707"/>
        <v>23.076923076923077</v>
      </c>
      <c r="AL424" s="76">
        <f t="shared" si="708"/>
        <v>20</v>
      </c>
      <c r="AM424" s="76">
        <f t="shared" si="709"/>
        <v>21.052631578947366</v>
      </c>
      <c r="AN424" s="76"/>
      <c r="AO424" s="81" t="e">
        <f t="shared" si="710"/>
        <v>#DIV/0!</v>
      </c>
      <c r="AP424" s="81" t="e">
        <f t="shared" si="711"/>
        <v>#DIV/0!</v>
      </c>
      <c r="AQ424" s="81" t="e">
        <f t="shared" si="712"/>
        <v>#DIV/0!</v>
      </c>
      <c r="AR424" s="3"/>
      <c r="AS424" s="76">
        <f t="shared" si="688"/>
        <v>21.794871794871796</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5</v>
      </c>
      <c r="H425" s="52">
        <f t="shared" si="690"/>
        <v>12.5</v>
      </c>
      <c r="I425" s="53">
        <f>COUNTIFS('00 Encuesta'!$B$2:$B$511,"*a)*",'00 Encuesta'!$C$2:$C$511,"*a)*",'00 Encuesta'!$E$2:$E$511,"*a)*",'00 Encuesta'!$BA$2:$BA$511,"*f)*")</f>
        <v>4</v>
      </c>
      <c r="J425" s="52">
        <f t="shared" si="691"/>
        <v>18.181818181818183</v>
      </c>
      <c r="K425" s="53">
        <f>COUNTIFS('00 Encuesta'!$B$2:$B$511,"*a)*",'00 Encuesta'!$C$2:$C$511,"*a)*",'00 Encuesta'!$E$2:$E$511,"*b)*",'00 Encuesta'!$BA$2:$BA$511,"*f)*")</f>
        <v>1</v>
      </c>
      <c r="L425" s="52">
        <f t="shared" si="692"/>
        <v>5.5555555555555554</v>
      </c>
      <c r="M425" s="23"/>
      <c r="N425" s="51">
        <f t="shared" si="693"/>
        <v>2</v>
      </c>
      <c r="O425" s="52">
        <f t="shared" si="694"/>
        <v>5.2631578947368416</v>
      </c>
      <c r="P425" s="53">
        <f>COUNTIFS('00 Encuesta'!$B$2:$B$511,"*a)*",'00 Encuesta'!$C$2:$C$511,"*b)*",'00 Encuesta'!$E$2:$E$511,"*a)*",'00 Encuesta'!$BA$2:$BA$511,"*f)*")</f>
        <v>1</v>
      </c>
      <c r="Q425" s="52">
        <f t="shared" si="695"/>
        <v>7.6923076923076925</v>
      </c>
      <c r="R425" s="53">
        <f>COUNTIFS('00 Encuesta'!$B$2:$B$511,"*a)*",'00 Encuesta'!$C$2:$C$511,"*b)*",'00 Encuesta'!$E$2:$E$511,"*b)*",'00 Encuesta'!$BA$2:$BA$511,"*f)*")</f>
        <v>1</v>
      </c>
      <c r="S425" s="52">
        <f t="shared" si="696"/>
        <v>4</v>
      </c>
      <c r="T425" s="3"/>
      <c r="U425" s="51">
        <f t="shared" si="697"/>
        <v>0</v>
      </c>
      <c r="V425" s="52" t="e">
        <f t="shared" si="698"/>
        <v>#DIV/0!</v>
      </c>
      <c r="W425" s="53">
        <f>COUNTIFS('00 Encuesta'!$B$2:$B$511,"*a)*",'00 Encuesta'!$C$2:$C$511,"*c)*",'00 Encuesta'!$E$2:$E$511,"*a)*",'00 Encuesta'!$BA$2:$BA$511,"*f)*")</f>
        <v>0</v>
      </c>
      <c r="X425" s="52" t="e">
        <f t="shared" si="699"/>
        <v>#DIV/0!</v>
      </c>
      <c r="Y425" s="53">
        <f>COUNTIFS('00 Encuesta'!$B$2:$B$511,"*a)*",'00 Encuesta'!$C$2:$C$511,"*c)*",'00 Encuesta'!$E$2:$E$511,"*b)*",'00 Encuesta'!$BA$2:$BA$511,"*f)*")</f>
        <v>0</v>
      </c>
      <c r="Z425" s="52" t="e">
        <f t="shared" si="700"/>
        <v>#DIV/0!</v>
      </c>
      <c r="AA425" s="3"/>
      <c r="AB425" s="62">
        <f t="shared" si="701"/>
        <v>7</v>
      </c>
      <c r="AC425" s="52">
        <f t="shared" si="702"/>
        <v>8.9743589743589745</v>
      </c>
      <c r="AD425" s="3"/>
      <c r="AE425" s="3"/>
      <c r="AF425" s="9" t="str">
        <f t="shared" si="703"/>
        <v>f) Educadores que ademàs me han abierto caminos</v>
      </c>
      <c r="AG425" s="72">
        <f t="shared" si="704"/>
        <v>18.181818181818183</v>
      </c>
      <c r="AH425" s="72">
        <f t="shared" si="705"/>
        <v>5.5555555555555554</v>
      </c>
      <c r="AI425" s="73">
        <f t="shared" si="706"/>
        <v>12.5</v>
      </c>
      <c r="AJ425" s="73"/>
      <c r="AK425" s="76">
        <f t="shared" si="707"/>
        <v>7.6923076923076925</v>
      </c>
      <c r="AL425" s="76">
        <f t="shared" si="708"/>
        <v>4</v>
      </c>
      <c r="AM425" s="76">
        <f t="shared" si="709"/>
        <v>5.2631578947368416</v>
      </c>
      <c r="AN425" s="76"/>
      <c r="AO425" s="81" t="e">
        <f t="shared" si="710"/>
        <v>#DIV/0!</v>
      </c>
      <c r="AP425" s="81" t="e">
        <f t="shared" si="711"/>
        <v>#DIV/0!</v>
      </c>
      <c r="AQ425" s="81" t="e">
        <f t="shared" si="712"/>
        <v>#DIV/0!</v>
      </c>
      <c r="AR425" s="3"/>
      <c r="AS425" s="76">
        <f t="shared" si="688"/>
        <v>8.9743589743589745</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ht="15.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ht="15.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ht="15.75" x14ac:dyDescent="0.3">
      <c r="A428" s="1" t="s">
        <v>17</v>
      </c>
      <c r="B428" s="2" t="s">
        <v>178</v>
      </c>
      <c r="C428" s="3"/>
      <c r="D428" s="3"/>
      <c r="E428" s="3"/>
      <c r="F428" s="5">
        <v>0</v>
      </c>
      <c r="G428" s="51">
        <f>I428+K428</f>
        <v>2</v>
      </c>
      <c r="H428" s="52">
        <f>G428/$J$5*100</f>
        <v>5</v>
      </c>
      <c r="I428" s="53">
        <f>COUNTIFS('00 Encuesta'!$B$2:$B$511,"*a)*",'00 Encuesta'!$C$2:$C$511,"*a)*",'00 Encuesta'!$E$2:$E$511,"*a)*",'00 Encuesta'!$BB$2:$BB$511,"*a)*")</f>
        <v>2</v>
      </c>
      <c r="J428" s="52">
        <f>I428/$J$6*100</f>
        <v>9.0909090909090917</v>
      </c>
      <c r="K428" s="53">
        <f>COUNTIFS('00 Encuesta'!$B$2:$B$511,"*a)*",'00 Encuesta'!$C$2:$C$511,"*a)*",'00 Encuesta'!$E$2:$E$511,"*b)*",'00 Encuesta'!$BB$2:$BB$511,"*a)*")</f>
        <v>0</v>
      </c>
      <c r="L428" s="52">
        <f>K428/$J$7*100</f>
        <v>0</v>
      </c>
      <c r="M428" s="23"/>
      <c r="N428" s="51">
        <f>P428+R428</f>
        <v>1</v>
      </c>
      <c r="O428" s="52">
        <f>N428/$Q$5*100</f>
        <v>2.6315789473684208</v>
      </c>
      <c r="P428" s="53">
        <f>COUNTIFS('00 Encuesta'!$B$2:$B$511,"*a)*",'00 Encuesta'!$C$2:$C$511,"*b)*",'00 Encuesta'!$E$2:$E$511,"*a)*",'00 Encuesta'!$BB$2:$BB$511,"*a)*")</f>
        <v>0</v>
      </c>
      <c r="Q428" s="52">
        <f>P428/$Q$6*100</f>
        <v>0</v>
      </c>
      <c r="R428" s="53">
        <f>COUNTIFS('00 Encuesta'!$B$2:$B$511,"*a)*",'00 Encuesta'!$C$2:$C$511,"*b)*",'00 Encuesta'!$E$2:$E$511,"*b)*",'00 Encuesta'!$BB$2:$BB$511,"*a)*")</f>
        <v>1</v>
      </c>
      <c r="S428" s="52">
        <f>R428/$Q$7*100</f>
        <v>4</v>
      </c>
      <c r="T428" s="3"/>
      <c r="U428" s="51">
        <f>W428+Y428</f>
        <v>0</v>
      </c>
      <c r="V428" s="52" t="e">
        <f>U428/$X$5*100</f>
        <v>#DIV/0!</v>
      </c>
      <c r="W428" s="53">
        <f>COUNTIFS('00 Encuesta'!$B$2:$B$511,"*a)*",'00 Encuesta'!$C$2:$C$511,"*c)*",'00 Encuesta'!$E$2:$E$511,"*a)*",'00 Encuesta'!$BB$2:$BB$511,"*a)*")</f>
        <v>0</v>
      </c>
      <c r="X428" s="52" t="e">
        <f>W428/$X$6*100</f>
        <v>#DIV/0!</v>
      </c>
      <c r="Y428" s="53">
        <f>COUNTIFS('00 Encuesta'!$B$2:$B$511,"*a)*",'00 Encuesta'!$C$2:$C$511,"*c)*",'00 Encuesta'!$E$2:$E$511,"*b)*",'00 Encuesta'!$BB$2:$BB$511,"*a)*")</f>
        <v>0</v>
      </c>
      <c r="Z428" s="52" t="e">
        <f>Y428/$X$7*100</f>
        <v>#DIV/0!</v>
      </c>
      <c r="AA428" s="3"/>
      <c r="AB428" s="62">
        <f>G428+N428+U428</f>
        <v>3</v>
      </c>
      <c r="AC428" s="52">
        <f>AB428*100/$AC$5</f>
        <v>3.8461538461538463</v>
      </c>
      <c r="AD428" s="3"/>
      <c r="AE428" s="3"/>
      <c r="AF428" s="9" t="str">
        <f t="shared" si="713"/>
        <v>a) No, en absoluto</v>
      </c>
      <c r="AG428" s="72">
        <f>J428</f>
        <v>9.0909090909090917</v>
      </c>
      <c r="AH428" s="72">
        <f>L428</f>
        <v>0</v>
      </c>
      <c r="AI428" s="73">
        <f>H428</f>
        <v>5</v>
      </c>
      <c r="AJ428" s="73"/>
      <c r="AK428" s="76">
        <f>Q428</f>
        <v>0</v>
      </c>
      <c r="AL428" s="76">
        <f>S428</f>
        <v>4</v>
      </c>
      <c r="AM428" s="76">
        <f>O428</f>
        <v>2.6315789473684208</v>
      </c>
      <c r="AN428" s="76"/>
      <c r="AO428" s="81" t="e">
        <f>X428</f>
        <v>#DIV/0!</v>
      </c>
      <c r="AP428" s="81" t="e">
        <f>Z428</f>
        <v>#DIV/0!</v>
      </c>
      <c r="AQ428" s="81" t="e">
        <f>V428</f>
        <v>#DIV/0!</v>
      </c>
      <c r="AR428" s="3"/>
      <c r="AS428" s="76">
        <f t="shared" si="688"/>
        <v>3.8461538461538463</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ht="15.75" x14ac:dyDescent="0.3">
      <c r="A429" s="1" t="s">
        <v>18</v>
      </c>
      <c r="B429" s="2" t="s">
        <v>104</v>
      </c>
      <c r="C429" s="3"/>
      <c r="D429" s="3"/>
      <c r="E429" s="3"/>
      <c r="F429" s="4">
        <v>33.33</v>
      </c>
      <c r="G429" s="51">
        <f>I429+K429</f>
        <v>11</v>
      </c>
      <c r="H429" s="52">
        <f>G429/$J$5*100</f>
        <v>27.500000000000004</v>
      </c>
      <c r="I429" s="53">
        <f>COUNTIFS('00 Encuesta'!$B$2:$B$511,"*a)*",'00 Encuesta'!$C$2:$C$511,"*a)*",'00 Encuesta'!$E$2:$E$511,"*a)*",'00 Encuesta'!$BB$2:$BB$511,"*b)*")</f>
        <v>2</v>
      </c>
      <c r="J429" s="52">
        <f>I429/$J$6*100</f>
        <v>9.0909090909090917</v>
      </c>
      <c r="K429" s="53">
        <f>COUNTIFS('00 Encuesta'!$B$2:$B$511,"*a)*",'00 Encuesta'!$C$2:$C$511,"*a)*",'00 Encuesta'!$E$2:$E$511,"*b)*",'00 Encuesta'!$BB$2:$BB$511,"*b)*")</f>
        <v>9</v>
      </c>
      <c r="L429" s="52">
        <f>K429/$J$7*100</f>
        <v>50</v>
      </c>
      <c r="M429" s="23"/>
      <c r="N429" s="51">
        <f>P429+R429</f>
        <v>13</v>
      </c>
      <c r="O429" s="52">
        <f>N429/$Q$5*100</f>
        <v>34.210526315789473</v>
      </c>
      <c r="P429" s="53">
        <f>COUNTIFS('00 Encuesta'!$B$2:$B$511,"*a)*",'00 Encuesta'!$C$2:$C$511,"*b)*",'00 Encuesta'!$E$2:$E$511,"*a)*",'00 Encuesta'!$BB$2:$BB$511,"*b)*")</f>
        <v>5</v>
      </c>
      <c r="Q429" s="52">
        <f>P429/$Q$6*100</f>
        <v>38.461538461538467</v>
      </c>
      <c r="R429" s="53">
        <f>COUNTIFS('00 Encuesta'!$B$2:$B$511,"*a)*",'00 Encuesta'!$C$2:$C$511,"*b)*",'00 Encuesta'!$E$2:$E$511,"*b)*",'00 Encuesta'!$BB$2:$BB$511,"*b)*")</f>
        <v>8</v>
      </c>
      <c r="S429" s="52">
        <f>R429/$Q$7*100</f>
        <v>32</v>
      </c>
      <c r="T429" s="3"/>
      <c r="U429" s="51">
        <f>W429+Y429</f>
        <v>0</v>
      </c>
      <c r="V429" s="52" t="e">
        <f>U429/$X$5*100</f>
        <v>#DIV/0!</v>
      </c>
      <c r="W429" s="53">
        <f>COUNTIFS('00 Encuesta'!$B$2:$B$511,"*a)*",'00 Encuesta'!$C$2:$C$511,"*c)*",'00 Encuesta'!$E$2:$E$511,"*a)*",'00 Encuesta'!$BB$2:$BB$511,"*b)*")</f>
        <v>0</v>
      </c>
      <c r="X429" s="52" t="e">
        <f>W429/$X$6*100</f>
        <v>#DIV/0!</v>
      </c>
      <c r="Y429" s="53">
        <f>COUNTIFS('00 Encuesta'!$B$2:$B$511,"*a)*",'00 Encuesta'!$C$2:$C$511,"*c)*",'00 Encuesta'!$E$2:$E$511,"*b)*",'00 Encuesta'!$BB$2:$BB$511,"*b)*")</f>
        <v>0</v>
      </c>
      <c r="Z429" s="52" t="e">
        <f>Y429/$X$7*100</f>
        <v>#DIV/0!</v>
      </c>
      <c r="AA429" s="3"/>
      <c r="AB429" s="62">
        <f>G429+N429+U429</f>
        <v>24</v>
      </c>
      <c r="AC429" s="52">
        <f>AB429*100/$AC$5</f>
        <v>30.76923076923077</v>
      </c>
      <c r="AD429" s="3"/>
      <c r="AE429" s="3"/>
      <c r="AF429" s="9" t="str">
        <f t="shared" si="713"/>
        <v>b) Poco</v>
      </c>
      <c r="AG429" s="72">
        <f>J429</f>
        <v>9.0909090909090917</v>
      </c>
      <c r="AH429" s="72">
        <f>L429</f>
        <v>50</v>
      </c>
      <c r="AI429" s="73">
        <f>H429</f>
        <v>27.500000000000004</v>
      </c>
      <c r="AJ429" s="73"/>
      <c r="AK429" s="76">
        <f>Q429</f>
        <v>38.461538461538467</v>
      </c>
      <c r="AL429" s="76">
        <f>S429</f>
        <v>32</v>
      </c>
      <c r="AM429" s="76">
        <f>O429</f>
        <v>34.210526315789473</v>
      </c>
      <c r="AN429" s="76"/>
      <c r="AO429" s="81" t="e">
        <f>X429</f>
        <v>#DIV/0!</v>
      </c>
      <c r="AP429" s="81" t="e">
        <f>Z429</f>
        <v>#DIV/0!</v>
      </c>
      <c r="AQ429" s="81" t="e">
        <f>V429</f>
        <v>#DIV/0!</v>
      </c>
      <c r="AR429" s="3"/>
      <c r="AS429" s="76">
        <f t="shared" si="688"/>
        <v>30.76923076923077</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ht="15.75" x14ac:dyDescent="0.3">
      <c r="A430" s="1" t="s">
        <v>20</v>
      </c>
      <c r="B430" s="2" t="s">
        <v>179</v>
      </c>
      <c r="C430" s="3"/>
      <c r="D430" s="3"/>
      <c r="E430" s="3"/>
      <c r="F430" s="4">
        <v>66.66</v>
      </c>
      <c r="G430" s="51">
        <f>I430+K430</f>
        <v>22</v>
      </c>
      <c r="H430" s="52">
        <f>G430/$J$5*100</f>
        <v>55.000000000000007</v>
      </c>
      <c r="I430" s="53">
        <f>COUNTIFS('00 Encuesta'!$B$2:$B$511,"*a)*",'00 Encuesta'!$C$2:$C$511,"*a)*",'00 Encuesta'!$E$2:$E$511,"*a)*",'00 Encuesta'!$BB$2:$BB$511,"*c)*")</f>
        <v>13</v>
      </c>
      <c r="J430" s="52">
        <f>I430/$J$6*100</f>
        <v>59.090909090909093</v>
      </c>
      <c r="K430" s="53">
        <f>COUNTIFS('00 Encuesta'!$B$2:$B$511,"*a)*",'00 Encuesta'!$C$2:$C$511,"*a)*",'00 Encuesta'!$E$2:$E$511,"*b)*",'00 Encuesta'!$BB$2:$BB$511,"*c)*")</f>
        <v>9</v>
      </c>
      <c r="L430" s="52">
        <f>K430/$J$7*100</f>
        <v>50</v>
      </c>
      <c r="M430" s="23"/>
      <c r="N430" s="51">
        <f>P430+R430</f>
        <v>21</v>
      </c>
      <c r="O430" s="52">
        <f>N430/$Q$5*100</f>
        <v>55.26315789473685</v>
      </c>
      <c r="P430" s="53">
        <f>COUNTIFS('00 Encuesta'!$B$2:$B$511,"*a)*",'00 Encuesta'!$C$2:$C$511,"*b)*",'00 Encuesta'!$E$2:$E$511,"*a)*",'00 Encuesta'!$BB$2:$BB$511,"*c)*")</f>
        <v>7</v>
      </c>
      <c r="Q430" s="52">
        <f>P430/$Q$6*100</f>
        <v>53.846153846153847</v>
      </c>
      <c r="R430" s="53">
        <f>COUNTIFS('00 Encuesta'!$B$2:$B$511,"*a)*",'00 Encuesta'!$C$2:$C$511,"*b)*",'00 Encuesta'!$E$2:$E$511,"*b)*",'00 Encuesta'!$BB$2:$BB$511,"*c)*")</f>
        <v>14</v>
      </c>
      <c r="S430" s="52">
        <f>R430/$Q$7*100</f>
        <v>56.000000000000007</v>
      </c>
      <c r="T430" s="3"/>
      <c r="U430" s="51">
        <f>W430+Y430</f>
        <v>0</v>
      </c>
      <c r="V430" s="52" t="e">
        <f>U430/$X$5*100</f>
        <v>#DIV/0!</v>
      </c>
      <c r="W430" s="53">
        <f>COUNTIFS('00 Encuesta'!$B$2:$B$511,"*a)*",'00 Encuesta'!$C$2:$C$511,"*c)*",'00 Encuesta'!$E$2:$E$511,"*a)*",'00 Encuesta'!$BB$2:$BB$511,"*c)*")</f>
        <v>0</v>
      </c>
      <c r="X430" s="52" t="e">
        <f>W430/$X$6*100</f>
        <v>#DIV/0!</v>
      </c>
      <c r="Y430" s="53">
        <f>COUNTIFS('00 Encuesta'!$B$2:$B$511,"*a)*",'00 Encuesta'!$C$2:$C$511,"*c)*",'00 Encuesta'!$E$2:$E$511,"*b)*",'00 Encuesta'!$BB$2:$BB$511,"*c)*")</f>
        <v>0</v>
      </c>
      <c r="Z430" s="52" t="e">
        <f>Y430/$X$7*100</f>
        <v>#DIV/0!</v>
      </c>
      <c r="AA430" s="3"/>
      <c r="AB430" s="62">
        <f>G430+N430+U430</f>
        <v>43</v>
      </c>
      <c r="AC430" s="52">
        <f>AB430*100/$AC$5</f>
        <v>55.128205128205131</v>
      </c>
      <c r="AD430" s="3"/>
      <c r="AE430" s="3"/>
      <c r="AF430" s="9" t="str">
        <f t="shared" si="713"/>
        <v>c) Bastante</v>
      </c>
      <c r="AG430" s="72">
        <f>J430</f>
        <v>59.090909090909093</v>
      </c>
      <c r="AH430" s="72">
        <f>L430</f>
        <v>50</v>
      </c>
      <c r="AI430" s="73">
        <f>H430</f>
        <v>55.000000000000007</v>
      </c>
      <c r="AJ430" s="73"/>
      <c r="AK430" s="76">
        <f>Q430</f>
        <v>53.846153846153847</v>
      </c>
      <c r="AL430" s="76">
        <f>S430</f>
        <v>56.000000000000007</v>
      </c>
      <c r="AM430" s="76">
        <f>O430</f>
        <v>55.26315789473685</v>
      </c>
      <c r="AN430" s="76"/>
      <c r="AO430" s="81" t="e">
        <f>X430</f>
        <v>#DIV/0!</v>
      </c>
      <c r="AP430" s="81" t="e">
        <f>Z430</f>
        <v>#DIV/0!</v>
      </c>
      <c r="AQ430" s="81" t="e">
        <f>V430</f>
        <v>#DIV/0!</v>
      </c>
      <c r="AR430" s="3"/>
      <c r="AS430" s="76">
        <f t="shared" si="688"/>
        <v>55.128205128205131</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2</v>
      </c>
      <c r="H431" s="52">
        <f>G431/$J$5*100</f>
        <v>5</v>
      </c>
      <c r="I431" s="53">
        <f>COUNTIFS('00 Encuesta'!$B$2:$B$511,"*a)*",'00 Encuesta'!$C$2:$C$511,"*a)*",'00 Encuesta'!$E$2:$E$511,"*a)*",'00 Encuesta'!$BB$2:$BB$511,"*d)*")</f>
        <v>2</v>
      </c>
      <c r="J431" s="52">
        <f>I431/$J$6*100</f>
        <v>9.0909090909090917</v>
      </c>
      <c r="K431" s="53">
        <f>COUNTIFS('00 Encuesta'!$B$2:$B$511,"*a)*",'00 Encuesta'!$C$2:$C$511,"*a)*",'00 Encuesta'!$E$2:$E$511,"*b)*",'00 Encuesta'!$BB$2:$BB$511,"*d)*")</f>
        <v>0</v>
      </c>
      <c r="L431" s="52">
        <f>K431/$J$7*100</f>
        <v>0</v>
      </c>
      <c r="M431" s="23"/>
      <c r="N431" s="51">
        <f>P431+R431</f>
        <v>1</v>
      </c>
      <c r="O431" s="52">
        <f>N431/$Q$5*100</f>
        <v>2.6315789473684208</v>
      </c>
      <c r="P431" s="53">
        <f>COUNTIFS('00 Encuesta'!$B$2:$B$511,"*a)*",'00 Encuesta'!$C$2:$C$511,"*b)*",'00 Encuesta'!$E$2:$E$511,"*a)*",'00 Encuesta'!$BB$2:$BB$511,"*d)*")</f>
        <v>1</v>
      </c>
      <c r="Q431" s="52">
        <f>P431/$Q$6*100</f>
        <v>7.6923076923076925</v>
      </c>
      <c r="R431" s="53">
        <f>COUNTIFS('00 Encuesta'!$B$2:$B$511,"*a)*",'00 Encuesta'!$C$2:$C$511,"*b)*",'00 Encuesta'!$E$2:$E$511,"*b)*",'00 Encuesta'!$BB$2:$BB$511,"*d)*")</f>
        <v>0</v>
      </c>
      <c r="S431" s="52">
        <f>R431/$Q$7*100</f>
        <v>0</v>
      </c>
      <c r="T431" s="3"/>
      <c r="U431" s="51">
        <f>W431+Y431</f>
        <v>0</v>
      </c>
      <c r="V431" s="52" t="e">
        <f>U431/$X$5*100</f>
        <v>#DIV/0!</v>
      </c>
      <c r="W431" s="53">
        <f>COUNTIFS('00 Encuesta'!$B$2:$B$511,"*a)*",'00 Encuesta'!$C$2:$C$511,"*c)*",'00 Encuesta'!$E$2:$E$511,"*a)*",'00 Encuesta'!$BB$2:$BB$511,"*d)*")</f>
        <v>0</v>
      </c>
      <c r="X431" s="52" t="e">
        <f>W431/$X$6*100</f>
        <v>#DIV/0!</v>
      </c>
      <c r="Y431" s="53">
        <f>COUNTIFS('00 Encuesta'!$B$2:$B$511,"*a)*",'00 Encuesta'!$C$2:$C$511,"*c)*",'00 Encuesta'!$E$2:$E$511,"*b)*",'00 Encuesta'!$BB$2:$BB$511,"*d)*")</f>
        <v>0</v>
      </c>
      <c r="Z431" s="52" t="e">
        <f>Y431/$X$7*100</f>
        <v>#DIV/0!</v>
      </c>
      <c r="AA431" s="3"/>
      <c r="AB431" s="62">
        <f>G431+N431+U431</f>
        <v>3</v>
      </c>
      <c r="AC431" s="52">
        <f>AB431*100/$AC$5</f>
        <v>3.8461538461538463</v>
      </c>
      <c r="AD431" s="3"/>
      <c r="AE431" s="3"/>
      <c r="AF431" s="9" t="str">
        <f t="shared" si="713"/>
        <v>d) Mucho o muchìsimo</v>
      </c>
      <c r="AG431" s="72">
        <f>J431</f>
        <v>9.0909090909090917</v>
      </c>
      <c r="AH431" s="72">
        <f>L431</f>
        <v>0</v>
      </c>
      <c r="AI431" s="73">
        <f>H431</f>
        <v>5</v>
      </c>
      <c r="AJ431" s="73"/>
      <c r="AK431" s="76">
        <f>Q431</f>
        <v>7.6923076923076925</v>
      </c>
      <c r="AL431" s="76">
        <f>S431</f>
        <v>0</v>
      </c>
      <c r="AM431" s="76">
        <f>O431</f>
        <v>2.6315789473684208</v>
      </c>
      <c r="AN431" s="76"/>
      <c r="AO431" s="81" t="e">
        <f>X431</f>
        <v>#DIV/0!</v>
      </c>
      <c r="AP431" s="81" t="e">
        <f>Z431</f>
        <v>#DIV/0!</v>
      </c>
      <c r="AQ431" s="81" t="e">
        <f>V431</f>
        <v>#DIV/0!</v>
      </c>
      <c r="AR431" s="3"/>
      <c r="AS431" s="76">
        <f t="shared" si="688"/>
        <v>3.8461538461538463</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1</v>
      </c>
      <c r="H432" s="52">
        <f>G432/$J$5*100</f>
        <v>2.5</v>
      </c>
      <c r="I432" s="53">
        <f>COUNTIFS('00 Encuesta'!$B$2:$B$511,"*a)*",'00 Encuesta'!$C$2:$C$511,"*a)*",'00 Encuesta'!$E$2:$E$511,"*a)*",'00 Encuesta'!$BB$2:$BB$511,"*e)*")</f>
        <v>1</v>
      </c>
      <c r="J432" s="52">
        <f>I432/$J$6*100</f>
        <v>4.5454545454545459</v>
      </c>
      <c r="K432" s="53">
        <f>COUNTIFS('00 Encuesta'!$B$2:$B$511,"*a)*",'00 Encuesta'!$C$2:$C$511,"*a)*",'00 Encuesta'!$E$2:$E$511,"*b)*",'00 Encuesta'!$BB$2:$BB$511,"*e)*")</f>
        <v>0</v>
      </c>
      <c r="L432" s="52">
        <f>K432/$J$7*100</f>
        <v>0</v>
      </c>
      <c r="M432" s="23"/>
      <c r="N432" s="51">
        <f>P432+R432</f>
        <v>0</v>
      </c>
      <c r="O432" s="52">
        <f>N432/$Q$5*100</f>
        <v>0</v>
      </c>
      <c r="P432" s="53">
        <f>COUNTIFS('00 Encuesta'!$B$2:$B$511,"*a)*",'00 Encuesta'!$C$2:$C$511,"*b)*",'00 Encuesta'!$E$2:$E$511,"*a)*",'00 Encuesta'!$BB$2:$BB$511,"*e)*")</f>
        <v>0</v>
      </c>
      <c r="Q432" s="52">
        <f>P432/$Q$6*100</f>
        <v>0</v>
      </c>
      <c r="R432" s="53">
        <f>COUNTIFS('00 Encuesta'!$B$2:$B$511,"*a)*",'00 Encuesta'!$C$2:$C$511,"*b)*",'00 Encuesta'!$E$2:$E$511,"*b)*",'00 Encuesta'!$BB$2:$BB$511,"*e)*")</f>
        <v>0</v>
      </c>
      <c r="S432" s="52">
        <f>R432/$Q$7*100</f>
        <v>0</v>
      </c>
      <c r="T432" s="3"/>
      <c r="U432" s="51">
        <f>W432+Y432</f>
        <v>0</v>
      </c>
      <c r="V432" s="52" t="e">
        <f>U432/$X$5*100</f>
        <v>#DIV/0!</v>
      </c>
      <c r="W432" s="53">
        <f>COUNTIFS('00 Encuesta'!$B$2:$B$511,"*a)*",'00 Encuesta'!$C$2:$C$511,"*c)*",'00 Encuesta'!$E$2:$E$511,"*a)*",'00 Encuesta'!$BB$2:$BB$511,"*e)*")</f>
        <v>0</v>
      </c>
      <c r="X432" s="52" t="e">
        <f>W432/$X$6*100</f>
        <v>#DIV/0!</v>
      </c>
      <c r="Y432" s="53">
        <f>COUNTIFS('00 Encuesta'!$B$2:$B$511,"*a)*",'00 Encuesta'!$C$2:$C$511,"*c)*",'00 Encuesta'!$E$2:$E$511,"*b)*",'00 Encuesta'!$BB$2:$BB$511,"*e)*")</f>
        <v>0</v>
      </c>
      <c r="Z432" s="52" t="e">
        <f>Y432/$X$7*100</f>
        <v>#DIV/0!</v>
      </c>
      <c r="AA432" s="3"/>
      <c r="AB432" s="62">
        <f>G432+N432+U432</f>
        <v>1</v>
      </c>
      <c r="AC432" s="52">
        <f>AB432*100/$AC$5</f>
        <v>1.2820512820512822</v>
      </c>
      <c r="AD432" s="3"/>
      <c r="AE432" s="3"/>
      <c r="AF432" s="9" t="str">
        <f t="shared" si="713"/>
        <v>e) No sè</v>
      </c>
      <c r="AG432" s="72">
        <f>J432</f>
        <v>4.5454545454545459</v>
      </c>
      <c r="AH432" s="72">
        <f>L432</f>
        <v>0</v>
      </c>
      <c r="AI432" s="73">
        <f>H432</f>
        <v>2.5</v>
      </c>
      <c r="AJ432" s="73"/>
      <c r="AK432" s="76">
        <f>Q432</f>
        <v>0</v>
      </c>
      <c r="AL432" s="76">
        <f>S432</f>
        <v>0</v>
      </c>
      <c r="AM432" s="76">
        <f>O432</f>
        <v>0</v>
      </c>
      <c r="AN432" s="76"/>
      <c r="AO432" s="81" t="e">
        <f>X432</f>
        <v>#DIV/0!</v>
      </c>
      <c r="AP432" s="81" t="e">
        <f>Z432</f>
        <v>#DIV/0!</v>
      </c>
      <c r="AQ432" s="81" t="e">
        <f>V432</f>
        <v>#DIV/0!</v>
      </c>
      <c r="AR432" s="3"/>
      <c r="AS432" s="76">
        <f t="shared" si="688"/>
        <v>1.2820512820512822</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ht="15.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59.644210526315781</v>
      </c>
      <c r="AH433" s="82">
        <f>($F428*K428+$F429*K429+$F430*K430+$F431*K431)/(+K428+K429+K430+K431)</f>
        <v>49.99499999999999</v>
      </c>
      <c r="AI433" s="82">
        <f>($F428*G428+$F429*G429+$F430*G430+$F431*G431)/(G428+G429+G430+G431)</f>
        <v>54.95</v>
      </c>
      <c r="AJ433" s="82"/>
      <c r="AK433" s="82">
        <f>(+$F428*Q428+$F429*Q429+$F430*Q430+$F431*Q431)/(+Q428+Q429+Q430+Q431)</f>
        <v>56.405384615384612</v>
      </c>
      <c r="AL433" s="82">
        <f>($F428*S428+$F429*S429+$F430*S430+$F431*S431)/(+S428+S429+S430+S431)</f>
        <v>52.168695652173916</v>
      </c>
      <c r="AM433" s="82">
        <f>($F428*O428+$F429*O429+$F430*O430+$F431*O431)/(O428+O429+O430+O431)</f>
        <v>53.698611111111113</v>
      </c>
      <c r="AN433" s="82"/>
      <c r="AO433" s="82" t="e">
        <f>($F428*W428+$F429*W429+$F430*W430+$F431*W431)/(W428+W429+W430+W431)</f>
        <v>#DIV/0!</v>
      </c>
      <c r="AP433" s="82" t="e">
        <f>($F428*Y428+$F429*Y429+$F430*Y430+$F431*Y431)/(Y428+Y429+Y430+Y431)</f>
        <v>#DIV/0!</v>
      </c>
      <c r="AQ433" s="82" t="e">
        <f>($F428*U428+$F429*U429+$F430*U430+$F431*U431)/(U428+U429+U430+U431)</f>
        <v>#DIV/0!</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ht="15.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ht="15.75" x14ac:dyDescent="0.3">
      <c r="A435" s="1" t="s">
        <v>17</v>
      </c>
      <c r="B435" s="2" t="s">
        <v>278</v>
      </c>
      <c r="C435" s="3"/>
      <c r="D435" s="3"/>
      <c r="E435" s="3"/>
      <c r="F435" s="4">
        <v>0</v>
      </c>
      <c r="G435" s="51">
        <f>I435+K435</f>
        <v>5</v>
      </c>
      <c r="H435" s="52">
        <f>G435/$J$5*100</f>
        <v>12.5</v>
      </c>
      <c r="I435" s="53">
        <f>COUNTIFS('00 Encuesta'!$B$2:$B$511,"*a)*",'00 Encuesta'!$C$2:$C$511,"*a)*",'00 Encuesta'!$E$2:$E$511,"*a)*",'00 Encuesta'!$BC$2:$BC$511,"*a)*")</f>
        <v>3</v>
      </c>
      <c r="J435" s="52">
        <f>I435/$J$6*100</f>
        <v>13.636363636363635</v>
      </c>
      <c r="K435" s="53">
        <f>COUNTIFS('00 Encuesta'!$B$2:$B$511,"*a)*",'00 Encuesta'!$C$2:$C$511,"*a)*",'00 Encuesta'!$E$2:$E$511,"*b)*",'00 Encuesta'!$BC$2:$BC$511,"*a)*")</f>
        <v>2</v>
      </c>
      <c r="L435" s="52">
        <f>K435/$J$7*100</f>
        <v>11.111111111111111</v>
      </c>
      <c r="M435" s="23"/>
      <c r="N435" s="51">
        <f>P435+R435</f>
        <v>5</v>
      </c>
      <c r="O435" s="52">
        <f>N435/$Q$5*100</f>
        <v>13.157894736842104</v>
      </c>
      <c r="P435" s="53">
        <f>COUNTIFS('00 Encuesta'!$B$2:$B$511,"*a)*",'00 Encuesta'!$C$2:$C$511,"*b)*",'00 Encuesta'!$E$2:$E$511,"*a)*",'00 Encuesta'!$BC$2:$BC$511,"*a)*")</f>
        <v>2</v>
      </c>
      <c r="Q435" s="52">
        <f>P435/$Q$6*100</f>
        <v>15.384615384615385</v>
      </c>
      <c r="R435" s="53">
        <f>COUNTIFS('00 Encuesta'!$B$2:$B$511,"*a)*",'00 Encuesta'!$C$2:$C$511,"*b)*",'00 Encuesta'!$E$2:$E$511,"*b)*",'00 Encuesta'!$BC$2:$BC$511,"*a)*")</f>
        <v>3</v>
      </c>
      <c r="S435" s="52">
        <f>R435/$Q$7*100</f>
        <v>12</v>
      </c>
      <c r="T435" s="3"/>
      <c r="U435" s="51">
        <f>W435+Y435</f>
        <v>0</v>
      </c>
      <c r="V435" s="52" t="e">
        <f>U435/$X$5*100</f>
        <v>#DIV/0!</v>
      </c>
      <c r="W435" s="53">
        <f>COUNTIFS('00 Encuesta'!$B$2:$B$511,"*a)*",'00 Encuesta'!$C$2:$C$511,"*c)*",'00 Encuesta'!$E$2:$E$511,"*a)*",'00 Encuesta'!$BC$2:$BC$511,"*a)*")</f>
        <v>0</v>
      </c>
      <c r="X435" s="52" t="e">
        <f>W435/$X$6*100</f>
        <v>#DIV/0!</v>
      </c>
      <c r="Y435" s="53">
        <f>COUNTIFS('00 Encuesta'!$B$2:$B$511,"*a)*",'00 Encuesta'!$C$2:$C$511,"*c)*",'00 Encuesta'!$E$2:$E$511,"*b)*",'00 Encuesta'!$BC$2:$BC$511,"*a)*")</f>
        <v>0</v>
      </c>
      <c r="Z435" s="52" t="e">
        <f>Y435/$X$7*100</f>
        <v>#DIV/0!</v>
      </c>
      <c r="AA435" s="3"/>
      <c r="AB435" s="62">
        <f>G435+N435+U435</f>
        <v>10</v>
      </c>
      <c r="AC435" s="52">
        <f>AB435*100/$AC$5</f>
        <v>12.820512820512821</v>
      </c>
      <c r="AD435" s="3"/>
      <c r="AE435" s="3"/>
      <c r="AF435" s="9" t="str">
        <f t="shared" si="714"/>
        <v>a) No me gustan en absoluto</v>
      </c>
      <c r="AG435" s="72">
        <f>J435</f>
        <v>13.636363636363635</v>
      </c>
      <c r="AH435" s="72">
        <f>L435</f>
        <v>11.111111111111111</v>
      </c>
      <c r="AI435" s="73">
        <f>H435</f>
        <v>12.5</v>
      </c>
      <c r="AJ435" s="73"/>
      <c r="AK435" s="76">
        <f>Q435</f>
        <v>15.384615384615385</v>
      </c>
      <c r="AL435" s="76">
        <f>S435</f>
        <v>12</v>
      </c>
      <c r="AM435" s="76">
        <f>O435</f>
        <v>13.157894736842104</v>
      </c>
      <c r="AN435" s="76"/>
      <c r="AO435" s="81" t="e">
        <f>X435</f>
        <v>#DIV/0!</v>
      </c>
      <c r="AP435" s="81" t="e">
        <f>Z435</f>
        <v>#DIV/0!</v>
      </c>
      <c r="AQ435" s="81" t="e">
        <f>V435</f>
        <v>#DIV/0!</v>
      </c>
      <c r="AR435" s="3"/>
      <c r="AS435" s="76">
        <f t="shared" si="688"/>
        <v>12.820512820512821</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ht="15.75" x14ac:dyDescent="0.3">
      <c r="A436" s="1" t="s">
        <v>18</v>
      </c>
      <c r="B436" s="2" t="s">
        <v>279</v>
      </c>
      <c r="C436" s="3"/>
      <c r="D436" s="3"/>
      <c r="E436" s="3"/>
      <c r="F436" s="4">
        <v>25</v>
      </c>
      <c r="G436" s="51">
        <f>I436+K436</f>
        <v>2</v>
      </c>
      <c r="H436" s="52">
        <f>G436/$J$5*100</f>
        <v>5</v>
      </c>
      <c r="I436" s="53">
        <f>COUNTIFS('00 Encuesta'!$B$2:$B$511,"*a)*",'00 Encuesta'!$C$2:$C$511,"*a)*",'00 Encuesta'!$E$2:$E$511,"*a)*",'00 Encuesta'!$BC$2:$BC$511,"*b)*")</f>
        <v>1</v>
      </c>
      <c r="J436" s="52">
        <f>I436/$J$6*100</f>
        <v>4.5454545454545459</v>
      </c>
      <c r="K436" s="53">
        <f>COUNTIFS('00 Encuesta'!$B$2:$B$511,"*a)*",'00 Encuesta'!$C$2:$C$511,"*a)*",'00 Encuesta'!$E$2:$E$511,"*b)*",'00 Encuesta'!$BC$2:$BC$511,"*b)*")</f>
        <v>1</v>
      </c>
      <c r="L436" s="52">
        <f>K436/$J$7*100</f>
        <v>5.5555555555555554</v>
      </c>
      <c r="M436" s="23"/>
      <c r="N436" s="51">
        <f>P436+R436</f>
        <v>0</v>
      </c>
      <c r="O436" s="52">
        <f>N436/$Q$5*100</f>
        <v>0</v>
      </c>
      <c r="P436" s="53">
        <f>COUNTIFS('00 Encuesta'!$B$2:$B$511,"*a)*",'00 Encuesta'!$C$2:$C$511,"*b)*",'00 Encuesta'!$E$2:$E$511,"*a)*",'00 Encuesta'!$BC$2:$BC$511,"*b)*")</f>
        <v>0</v>
      </c>
      <c r="Q436" s="52">
        <f>P436/$Q$6*100</f>
        <v>0</v>
      </c>
      <c r="R436" s="53">
        <f>COUNTIFS('00 Encuesta'!$B$2:$B$511,"*a)*",'00 Encuesta'!$C$2:$C$511,"*b)*",'00 Encuesta'!$E$2:$E$511,"*b)*",'00 Encuesta'!$BC$2:$BC$511,"*b)*")</f>
        <v>0</v>
      </c>
      <c r="S436" s="52">
        <f>R436/$Q$7*100</f>
        <v>0</v>
      </c>
      <c r="T436" s="3"/>
      <c r="U436" s="51">
        <f>W436+Y436</f>
        <v>0</v>
      </c>
      <c r="V436" s="52" t="e">
        <f>U436/$X$5*100</f>
        <v>#DIV/0!</v>
      </c>
      <c r="W436" s="53">
        <f>COUNTIFS('00 Encuesta'!$B$2:$B$511,"*a)*",'00 Encuesta'!$C$2:$C$511,"*c)*",'00 Encuesta'!$E$2:$E$511,"*a)*",'00 Encuesta'!$BC$2:$BC$511,"*b)*")</f>
        <v>0</v>
      </c>
      <c r="X436" s="52" t="e">
        <f>W436/$X$6*100</f>
        <v>#DIV/0!</v>
      </c>
      <c r="Y436" s="53">
        <f>COUNTIFS('00 Encuesta'!$B$2:$B$511,"*a)*",'00 Encuesta'!$C$2:$C$511,"*c)*",'00 Encuesta'!$E$2:$E$511,"*b)*",'00 Encuesta'!$BC$2:$BC$511,"*b)*")</f>
        <v>0</v>
      </c>
      <c r="Z436" s="52" t="e">
        <f>Y436/$X$7*100</f>
        <v>#DIV/0!</v>
      </c>
      <c r="AA436" s="3"/>
      <c r="AB436" s="62">
        <f>G436+N436+U436</f>
        <v>2</v>
      </c>
      <c r="AC436" s="52">
        <f>AB436*100/$AC$5</f>
        <v>2.5641025641025643</v>
      </c>
      <c r="AD436" s="3"/>
      <c r="AE436" s="3"/>
      <c r="AF436" s="9" t="str">
        <f t="shared" si="714"/>
        <v>b) Hay de todo tipo, pero predomina lo negativo</v>
      </c>
      <c r="AG436" s="72">
        <f>J436</f>
        <v>4.5454545454545459</v>
      </c>
      <c r="AH436" s="72">
        <f>L436</f>
        <v>5.5555555555555554</v>
      </c>
      <c r="AI436" s="73">
        <f>H436</f>
        <v>5</v>
      </c>
      <c r="AJ436" s="73"/>
      <c r="AK436" s="76">
        <f>Q436</f>
        <v>0</v>
      </c>
      <c r="AL436" s="76">
        <f>S436</f>
        <v>0</v>
      </c>
      <c r="AM436" s="76">
        <f>O436</f>
        <v>0</v>
      </c>
      <c r="AN436" s="76"/>
      <c r="AO436" s="81" t="e">
        <f>X436</f>
        <v>#DIV/0!</v>
      </c>
      <c r="AP436" s="81" t="e">
        <f>Z436</f>
        <v>#DIV/0!</v>
      </c>
      <c r="AQ436" s="81" t="e">
        <f>V436</f>
        <v>#DIV/0!</v>
      </c>
      <c r="AR436" s="3"/>
      <c r="AS436" s="76">
        <f t="shared" si="688"/>
        <v>2.5641025641025643</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ht="15.75" x14ac:dyDescent="0.3">
      <c r="A437" s="1" t="s">
        <v>20</v>
      </c>
      <c r="B437" s="2" t="s">
        <v>280</v>
      </c>
      <c r="C437" s="3"/>
      <c r="D437" s="3"/>
      <c r="E437" s="3"/>
      <c r="F437" s="4">
        <v>50</v>
      </c>
      <c r="G437" s="51">
        <f>I437+K437</f>
        <v>14</v>
      </c>
      <c r="H437" s="52">
        <f>G437/$J$5*100</f>
        <v>35</v>
      </c>
      <c r="I437" s="53">
        <f>COUNTIFS('00 Encuesta'!$B$2:$B$511,"*a)*",'00 Encuesta'!$C$2:$C$511,"*a)*",'00 Encuesta'!$E$2:$E$511,"*a)*",'00 Encuesta'!$BC$2:$BC$511,"*c)*")</f>
        <v>5</v>
      </c>
      <c r="J437" s="52">
        <f>I437/$J$6*100</f>
        <v>22.727272727272727</v>
      </c>
      <c r="K437" s="53">
        <f>COUNTIFS('00 Encuesta'!$B$2:$B$511,"*a)*",'00 Encuesta'!$C$2:$C$511,"*a)*",'00 Encuesta'!$E$2:$E$511,"*b)*",'00 Encuesta'!$BC$2:$BC$511,"*c)*")</f>
        <v>9</v>
      </c>
      <c r="L437" s="52">
        <f>K437/$J$7*100</f>
        <v>50</v>
      </c>
      <c r="M437" s="23"/>
      <c r="N437" s="51">
        <f>P437+R437</f>
        <v>19</v>
      </c>
      <c r="O437" s="52">
        <f>N437/$Q$5*100</f>
        <v>50</v>
      </c>
      <c r="P437" s="53">
        <f>COUNTIFS('00 Encuesta'!$B$2:$B$511,"*a)*",'00 Encuesta'!$C$2:$C$511,"*b)*",'00 Encuesta'!$E$2:$E$511,"*a)*",'00 Encuesta'!$BC$2:$BC$511,"*c)*")</f>
        <v>8</v>
      </c>
      <c r="Q437" s="52">
        <f>P437/$Q$6*100</f>
        <v>61.53846153846154</v>
      </c>
      <c r="R437" s="53">
        <f>COUNTIFS('00 Encuesta'!$B$2:$B$511,"*a)*",'00 Encuesta'!$C$2:$C$511,"*b)*",'00 Encuesta'!$E$2:$E$511,"*b)*",'00 Encuesta'!$BC$2:$BC$511,"*c)*")</f>
        <v>11</v>
      </c>
      <c r="S437" s="52">
        <f>R437/$Q$7*100</f>
        <v>44</v>
      </c>
      <c r="T437" s="3"/>
      <c r="U437" s="51">
        <f>W437+Y437</f>
        <v>0</v>
      </c>
      <c r="V437" s="52" t="e">
        <f>U437/$X$5*100</f>
        <v>#DIV/0!</v>
      </c>
      <c r="W437" s="53">
        <f>COUNTIFS('00 Encuesta'!$B$2:$B$511,"*a)*",'00 Encuesta'!$C$2:$C$511,"*c)*",'00 Encuesta'!$E$2:$E$511,"*a)*",'00 Encuesta'!$BC$2:$BC$511,"*c)*")</f>
        <v>0</v>
      </c>
      <c r="X437" s="52" t="e">
        <f>W437/$X$6*100</f>
        <v>#DIV/0!</v>
      </c>
      <c r="Y437" s="53">
        <f>COUNTIFS('00 Encuesta'!$B$2:$B$511,"*a)*",'00 Encuesta'!$C$2:$C$511,"*c)*",'00 Encuesta'!$E$2:$E$511,"*b)*",'00 Encuesta'!$BC$2:$BC$511,"*c)*")</f>
        <v>0</v>
      </c>
      <c r="Z437" s="52" t="e">
        <f>Y437/$X$7*100</f>
        <v>#DIV/0!</v>
      </c>
      <c r="AA437" s="3"/>
      <c r="AB437" s="62">
        <f>G437+N437+U437</f>
        <v>33</v>
      </c>
      <c r="AC437" s="52">
        <f>AB437*100/$AC$5</f>
        <v>42.307692307692307</v>
      </c>
      <c r="AD437" s="3"/>
      <c r="AE437" s="3"/>
      <c r="AF437" s="9" t="str">
        <f t="shared" si="714"/>
        <v>c) Son personas normales y corrientes</v>
      </c>
      <c r="AG437" s="72">
        <f>J437</f>
        <v>22.727272727272727</v>
      </c>
      <c r="AH437" s="72">
        <f>L437</f>
        <v>50</v>
      </c>
      <c r="AI437" s="73">
        <f>H437</f>
        <v>35</v>
      </c>
      <c r="AJ437" s="73"/>
      <c r="AK437" s="76">
        <f>Q437</f>
        <v>61.53846153846154</v>
      </c>
      <c r="AL437" s="76">
        <f>S437</f>
        <v>44</v>
      </c>
      <c r="AM437" s="76">
        <f>O437</f>
        <v>50</v>
      </c>
      <c r="AN437" s="76"/>
      <c r="AO437" s="81" t="e">
        <f>X437</f>
        <v>#DIV/0!</v>
      </c>
      <c r="AP437" s="81" t="e">
        <f>Z437</f>
        <v>#DIV/0!</v>
      </c>
      <c r="AQ437" s="81" t="e">
        <f>V437</f>
        <v>#DIV/0!</v>
      </c>
      <c r="AR437" s="3"/>
      <c r="AS437" s="76">
        <f t="shared" si="688"/>
        <v>42.307692307692307</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ht="15.75" x14ac:dyDescent="0.3">
      <c r="A438" s="1" t="s">
        <v>21</v>
      </c>
      <c r="B438" s="2" t="s">
        <v>281</v>
      </c>
      <c r="C438" s="3"/>
      <c r="D438" s="3"/>
      <c r="E438" s="3"/>
      <c r="F438" s="4">
        <v>75</v>
      </c>
      <c r="G438" s="51">
        <f>I438+K438</f>
        <v>5</v>
      </c>
      <c r="H438" s="52">
        <f>G438/$J$5*100</f>
        <v>12.5</v>
      </c>
      <c r="I438" s="53">
        <f>COUNTIFS('00 Encuesta'!$B$2:$B$511,"*a)*",'00 Encuesta'!$C$2:$C$511,"*a)*",'00 Encuesta'!$E$2:$E$511,"*a)*",'00 Encuesta'!$BC$2:$BC$511,"*d)*")</f>
        <v>3</v>
      </c>
      <c r="J438" s="52">
        <f>I438/$J$6*100</f>
        <v>13.636363636363635</v>
      </c>
      <c r="K438" s="53">
        <f>COUNTIFS('00 Encuesta'!$B$2:$B$511,"*a)*",'00 Encuesta'!$C$2:$C$511,"*a)*",'00 Encuesta'!$E$2:$E$511,"*b)*",'00 Encuesta'!$BC$2:$BC$511,"*d)*")</f>
        <v>2</v>
      </c>
      <c r="L438" s="52">
        <f>K438/$J$7*100</f>
        <v>11.111111111111111</v>
      </c>
      <c r="M438" s="23"/>
      <c r="N438" s="51">
        <f>P438+R438</f>
        <v>10</v>
      </c>
      <c r="O438" s="52">
        <f>N438/$Q$5*100</f>
        <v>26.315789473684209</v>
      </c>
      <c r="P438" s="53">
        <f>COUNTIFS('00 Encuesta'!$B$2:$B$511,"*a)*",'00 Encuesta'!$C$2:$C$511,"*b)*",'00 Encuesta'!$E$2:$E$511,"*a)*",'00 Encuesta'!$BC$2:$BC$511,"*d)*")</f>
        <v>2</v>
      </c>
      <c r="Q438" s="52">
        <f>P438/$Q$6*100</f>
        <v>15.384615384615385</v>
      </c>
      <c r="R438" s="53">
        <f>COUNTIFS('00 Encuesta'!$B$2:$B$511,"*a)*",'00 Encuesta'!$C$2:$C$511,"*b)*",'00 Encuesta'!$E$2:$E$511,"*b)*",'00 Encuesta'!$BC$2:$BC$511,"*d)*")</f>
        <v>8</v>
      </c>
      <c r="S438" s="52">
        <f>R438/$Q$7*100</f>
        <v>32</v>
      </c>
      <c r="T438" s="3"/>
      <c r="U438" s="51">
        <f>W438+Y438</f>
        <v>0</v>
      </c>
      <c r="V438" s="52" t="e">
        <f>U438/$X$5*100</f>
        <v>#DIV/0!</v>
      </c>
      <c r="W438" s="53">
        <f>COUNTIFS('00 Encuesta'!$B$2:$B$511,"*a)*",'00 Encuesta'!$C$2:$C$511,"*c)*",'00 Encuesta'!$E$2:$E$511,"*a)*",'00 Encuesta'!$BC$2:$BC$511,"*d)*")</f>
        <v>0</v>
      </c>
      <c r="X438" s="52" t="e">
        <f>W438/$X$6*100</f>
        <v>#DIV/0!</v>
      </c>
      <c r="Y438" s="53">
        <f>COUNTIFS('00 Encuesta'!$B$2:$B$511,"*a)*",'00 Encuesta'!$C$2:$C$511,"*c)*",'00 Encuesta'!$E$2:$E$511,"*b)*",'00 Encuesta'!$BC$2:$BC$511,"*d)*")</f>
        <v>0</v>
      </c>
      <c r="Z438" s="52" t="e">
        <f>Y438/$X$7*100</f>
        <v>#DIV/0!</v>
      </c>
      <c r="AA438" s="3"/>
      <c r="AB438" s="62">
        <f>G438+N438+U438</f>
        <v>15</v>
      </c>
      <c r="AC438" s="52">
        <f>AB438*100/$AC$5</f>
        <v>19.23076923076923</v>
      </c>
      <c r="AD438" s="3"/>
      <c r="AE438" s="3"/>
      <c r="AF438" s="9" t="str">
        <f t="shared" si="714"/>
        <v>d) Hay de todo tipo, pero predomina lo positivo</v>
      </c>
      <c r="AG438" s="72">
        <f>J438</f>
        <v>13.636363636363635</v>
      </c>
      <c r="AH438" s="72">
        <f>L438</f>
        <v>11.111111111111111</v>
      </c>
      <c r="AI438" s="73">
        <f>H438</f>
        <v>12.5</v>
      </c>
      <c r="AJ438" s="73"/>
      <c r="AK438" s="76">
        <f>Q438</f>
        <v>15.384615384615385</v>
      </c>
      <c r="AL438" s="76">
        <f>S438</f>
        <v>32</v>
      </c>
      <c r="AM438" s="76">
        <f>O438</f>
        <v>26.315789473684209</v>
      </c>
      <c r="AN438" s="76"/>
      <c r="AO438" s="81" t="e">
        <f>X438</f>
        <v>#DIV/0!</v>
      </c>
      <c r="AP438" s="81" t="e">
        <f>Z438</f>
        <v>#DIV/0!</v>
      </c>
      <c r="AQ438" s="81" t="e">
        <f>V438</f>
        <v>#DIV/0!</v>
      </c>
      <c r="AR438" s="3"/>
      <c r="AS438" s="76">
        <f t="shared" si="688"/>
        <v>19.23076923076923</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ht="15.75" x14ac:dyDescent="0.3">
      <c r="A439" s="1" t="s">
        <v>22</v>
      </c>
      <c r="B439" s="2" t="s">
        <v>282</v>
      </c>
      <c r="C439" s="3"/>
      <c r="D439" s="3"/>
      <c r="E439" s="3"/>
      <c r="F439" s="4">
        <v>100</v>
      </c>
      <c r="G439" s="51">
        <f>I439+K439</f>
        <v>12</v>
      </c>
      <c r="H439" s="52">
        <f>G439/$J$5*100</f>
        <v>30</v>
      </c>
      <c r="I439" s="53">
        <f>COUNTIFS('00 Encuesta'!$B$2:$B$511,"*a)*",'00 Encuesta'!$C$2:$C$511,"*a)*",'00 Encuesta'!$E$2:$E$511,"*a)*",'00 Encuesta'!$BC$2:$BC$511,"*e)*")</f>
        <v>8</v>
      </c>
      <c r="J439" s="52">
        <f>I439/$J$6*100</f>
        <v>36.363636363636367</v>
      </c>
      <c r="K439" s="53">
        <f>COUNTIFS('00 Encuesta'!$B$2:$B$511,"*a)*",'00 Encuesta'!$C$2:$C$511,"*a)*",'00 Encuesta'!$E$2:$E$511,"*b)*",'00 Encuesta'!$BC$2:$BC$511,"*e)*")</f>
        <v>4</v>
      </c>
      <c r="L439" s="52">
        <f>K439/$J$7*100</f>
        <v>22.222222222222221</v>
      </c>
      <c r="M439" s="23"/>
      <c r="N439" s="51">
        <f>P439+R439</f>
        <v>2</v>
      </c>
      <c r="O439" s="52">
        <f>N439/$Q$5*100</f>
        <v>5.2631578947368416</v>
      </c>
      <c r="P439" s="53">
        <f>COUNTIFS('00 Encuesta'!$B$2:$B$511,"*a)*",'00 Encuesta'!$C$2:$C$511,"*b)*",'00 Encuesta'!$E$2:$E$511,"*a)*",'00 Encuesta'!$BC$2:$BC$511,"*e)*")</f>
        <v>1</v>
      </c>
      <c r="Q439" s="52">
        <f>P439/$Q$6*100</f>
        <v>7.6923076923076925</v>
      </c>
      <c r="R439" s="53">
        <f>COUNTIFS('00 Encuesta'!$B$2:$B$511,"*a)*",'00 Encuesta'!$C$2:$C$511,"*b)*",'00 Encuesta'!$E$2:$E$511,"*b)*",'00 Encuesta'!$BC$2:$BC$511,"*e)*")</f>
        <v>1</v>
      </c>
      <c r="S439" s="52">
        <f>R439/$Q$7*100</f>
        <v>4</v>
      </c>
      <c r="T439" s="3"/>
      <c r="U439" s="51">
        <f>W439+Y439</f>
        <v>0</v>
      </c>
      <c r="V439" s="52" t="e">
        <f>U439/$X$5*100</f>
        <v>#DIV/0!</v>
      </c>
      <c r="W439" s="53">
        <f>COUNTIFS('00 Encuesta'!$B$2:$B$511,"*a)*",'00 Encuesta'!$C$2:$C$511,"*c)*",'00 Encuesta'!$E$2:$E$511,"*a)*",'00 Encuesta'!$BC$2:$BC$511,"*e)*")</f>
        <v>0</v>
      </c>
      <c r="X439" s="52" t="e">
        <f>W439/$X$6*100</f>
        <v>#DIV/0!</v>
      </c>
      <c r="Y439" s="53">
        <f>COUNTIFS('00 Encuesta'!$B$2:$B$511,"*a)*",'00 Encuesta'!$C$2:$C$511,"*c)*",'00 Encuesta'!$E$2:$E$511,"*b)*",'00 Encuesta'!$BC$2:$BC$511,"*e)*")</f>
        <v>0</v>
      </c>
      <c r="Z439" s="52" t="e">
        <f>Y439/$X$7*100</f>
        <v>#DIV/0!</v>
      </c>
      <c r="AA439" s="3"/>
      <c r="AB439" s="62">
        <f>G439+N439+U439</f>
        <v>14</v>
      </c>
      <c r="AC439" s="52">
        <f>AB439*100/$AC$5</f>
        <v>17.948717948717949</v>
      </c>
      <c r="AD439" s="3"/>
      <c r="AE439" s="3"/>
      <c r="AF439" s="9" t="str">
        <f t="shared" si="714"/>
        <v>e) Son personas que me gustan y admiro</v>
      </c>
      <c r="AG439" s="72">
        <f>J439</f>
        <v>36.363636363636367</v>
      </c>
      <c r="AH439" s="72">
        <f>L439</f>
        <v>22.222222222222221</v>
      </c>
      <c r="AI439" s="73">
        <f>H439</f>
        <v>30</v>
      </c>
      <c r="AJ439" s="73"/>
      <c r="AK439" s="76">
        <f>Q439</f>
        <v>7.6923076923076925</v>
      </c>
      <c r="AL439" s="76">
        <f>S439</f>
        <v>4</v>
      </c>
      <c r="AM439" s="76">
        <f>O439</f>
        <v>5.2631578947368416</v>
      </c>
      <c r="AN439" s="76"/>
      <c r="AO439" s="81" t="e">
        <f>X439</f>
        <v>#DIV/0!</v>
      </c>
      <c r="AP439" s="81" t="e">
        <f>Z439</f>
        <v>#DIV/0!</v>
      </c>
      <c r="AQ439" s="81" t="e">
        <f>V439</f>
        <v>#DIV/0!</v>
      </c>
      <c r="AR439" s="3"/>
      <c r="AS439" s="76">
        <f t="shared" si="688"/>
        <v>17.948717948717949</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ht="15.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65</v>
      </c>
      <c r="AH440" s="82">
        <f>($F439*K439+$F435*K435+$F436*K436+$F437*K437+$F438*K438)/(K439+K435+K436+K437+K438)</f>
        <v>56.944444444444443</v>
      </c>
      <c r="AI440" s="82">
        <f>($F439*G439+$F435*G435+$F436*G436+$F437*G437+$F438*G438)/(G439+G435+G436+G437+G438)</f>
        <v>61.184210526315788</v>
      </c>
      <c r="AJ440" s="82"/>
      <c r="AK440" s="82">
        <f>($F439*Q439+$F435*Q435+$F436*Q436+$F437*Q437+$F438*Q438)/(Q439+Q435+Q436+Q437+Q438)</f>
        <v>50</v>
      </c>
      <c r="AL440" s="82">
        <f>($F439*S439+$F435*S435+$F436*S436+$F437*S437+$F438*S438)/(S439+S435+S436+S437+S438)</f>
        <v>54.347826086956523</v>
      </c>
      <c r="AM440" s="82">
        <f>($F439*O439+$F435*O435+$F436*O436+$F437*O437+$F438*O438)/(O439+O435+O436+O437+O438)</f>
        <v>52.777777777777779</v>
      </c>
      <c r="AN440" s="82"/>
      <c r="AO440" s="82" t="e">
        <f>($F439*W439+$F435*W435+$F436*W436+$F437*W437+$F438*W438)/(W439+W435+W436+W437+W438)</f>
        <v>#DIV/0!</v>
      </c>
      <c r="AP440" s="82" t="e">
        <f>($F439*Y439+$F435*Y435+$F436*Y436+$F437*Y437+$F438*Y438)/(Y439+Y435+Y436+Y437+Y438)</f>
        <v>#DIV/0!</v>
      </c>
      <c r="AQ440" s="82" t="e">
        <f>($F439*U439+$F435*U435+$F436*U436+$F437*U437+$F438*U438)/(U439+U435+U436+U437+U438)</f>
        <v>#DIV/0!</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ht="15.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715">I442+K442</f>
        <v>24</v>
      </c>
      <c r="H442" s="52">
        <f t="shared" ref="H442:H452" si="716">G442/$J$5*100</f>
        <v>60</v>
      </c>
      <c r="I442" s="53">
        <f>COUNTIFS('00 Encuesta'!$B$2:$B$511,"*a)*",'00 Encuesta'!$C$2:$C$511,"*a)*",'00 Encuesta'!$E$2:$E$511,"*a)*",'00 Encuesta'!$BD$2:$BD$511,"*a)*")</f>
        <v>14</v>
      </c>
      <c r="J442" s="52">
        <f t="shared" ref="J442:J452" si="717">I442/$J$6*100</f>
        <v>63.636363636363633</v>
      </c>
      <c r="K442" s="53">
        <f>COUNTIFS('00 Encuesta'!$B$2:$B$511,"*a)*",'00 Encuesta'!$C$2:$C$511,"*a)*",'00 Encuesta'!$E$2:$E$511,"*b)*",'00 Encuesta'!$BD$2:$BD$511,"*a)*")</f>
        <v>10</v>
      </c>
      <c r="L442" s="52">
        <f t="shared" ref="L442:L452" si="718">K442/$J$7*100</f>
        <v>55.555555555555557</v>
      </c>
      <c r="M442" s="23"/>
      <c r="N442" s="51">
        <f t="shared" ref="N442:N452" si="719">P442+R442</f>
        <v>12</v>
      </c>
      <c r="O442" s="52">
        <f t="shared" ref="O442:O452" si="720">N442/$Q$5*100</f>
        <v>31.578947368421051</v>
      </c>
      <c r="P442" s="53">
        <f>COUNTIFS('00 Encuesta'!$B$2:$B$511,"*a)*",'00 Encuesta'!$C$2:$C$511,"*b)*",'00 Encuesta'!$E$2:$E$511,"*a)*",'00 Encuesta'!$BD$2:$BD$511,"*a)*")</f>
        <v>7</v>
      </c>
      <c r="Q442" s="52">
        <f t="shared" ref="Q442:Q452" si="721">P442/$Q$6*100</f>
        <v>53.846153846153847</v>
      </c>
      <c r="R442" s="53">
        <f>COUNTIFS('00 Encuesta'!$B$2:$B$511,"*a)*",'00 Encuesta'!$C$2:$C$511,"*b)*",'00 Encuesta'!$E$2:$E$511,"*b)*",'00 Encuesta'!$BD$2:$BD$511,"*a)*")</f>
        <v>5</v>
      </c>
      <c r="S442" s="52">
        <f t="shared" ref="S442:S452" si="722">R442/$Q$7*100</f>
        <v>20</v>
      </c>
      <c r="T442" s="3"/>
      <c r="U442" s="51">
        <f t="shared" ref="U442:U452" si="723">W442+Y442</f>
        <v>0</v>
      </c>
      <c r="V442" s="52" t="e">
        <f t="shared" ref="V442:V452" si="724">U442/$X$5*100</f>
        <v>#DIV/0!</v>
      </c>
      <c r="W442" s="53">
        <f>COUNTIFS('00 Encuesta'!$B$2:$B$511,"*a)*",'00 Encuesta'!$C$2:$C$511,"*c)*",'00 Encuesta'!$E$2:$E$511,"*a)*",'00 Encuesta'!$BD$2:$BD$511,"*a)*")</f>
        <v>0</v>
      </c>
      <c r="X442" s="52" t="e">
        <f t="shared" ref="X442:X452" si="725">W442/$X$6*100</f>
        <v>#DIV/0!</v>
      </c>
      <c r="Y442" s="53">
        <f>COUNTIFS('00 Encuesta'!$B$2:$B$511,"*a)*",'00 Encuesta'!$C$2:$C$511,"*c)*",'00 Encuesta'!$E$2:$E$511,"*b)*",'00 Encuesta'!$BD$2:$BD$511,"*a)*")</f>
        <v>0</v>
      </c>
      <c r="Z442" s="52" t="e">
        <f t="shared" ref="Z442:Z452" si="726">Y442/$X$7*100</f>
        <v>#DIV/0!</v>
      </c>
      <c r="AA442" s="3"/>
      <c r="AB442" s="62">
        <f t="shared" ref="AB442:AB452" si="727">G442+N442+U442</f>
        <v>36</v>
      </c>
      <c r="AC442" s="52">
        <f t="shared" ref="AC442:AC452" si="728">AB442*100/$AC$5</f>
        <v>46.153846153846153</v>
      </c>
      <c r="AD442" s="3"/>
      <c r="AE442" s="3"/>
      <c r="AF442" s="9" t="str">
        <f t="shared" ref="AF442:AF452" si="729">A442&amp;" "&amp;B442</f>
        <v>a) Mi padre</v>
      </c>
      <c r="AG442" s="72">
        <f t="shared" ref="AG442:AG452" si="730">J442</f>
        <v>63.636363636363633</v>
      </c>
      <c r="AH442" s="72">
        <f t="shared" ref="AH442:AH452" si="731">L442</f>
        <v>55.555555555555557</v>
      </c>
      <c r="AI442" s="73">
        <f t="shared" ref="AI442:AI452" si="732">H442</f>
        <v>60</v>
      </c>
      <c r="AJ442" s="73"/>
      <c r="AK442" s="76">
        <f t="shared" ref="AK442:AK452" si="733">Q442</f>
        <v>53.846153846153847</v>
      </c>
      <c r="AL442" s="76">
        <f t="shared" ref="AL442:AL452" si="734">S442</f>
        <v>20</v>
      </c>
      <c r="AM442" s="76">
        <f t="shared" ref="AM442:AM452" si="735">O442</f>
        <v>31.578947368421051</v>
      </c>
      <c r="AN442" s="76"/>
      <c r="AO442" s="81" t="e">
        <f t="shared" ref="AO442:AO452" si="736">X442</f>
        <v>#DIV/0!</v>
      </c>
      <c r="AP442" s="81" t="e">
        <f t="shared" ref="AP442:AP452" si="737">Z442</f>
        <v>#DIV/0!</v>
      </c>
      <c r="AQ442" s="81" t="e">
        <f t="shared" ref="AQ442:AQ452" si="738">V442</f>
        <v>#DIV/0!</v>
      </c>
      <c r="AR442" s="3"/>
      <c r="AS442" s="76">
        <f t="shared" si="688"/>
        <v>46.153846153846153</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715"/>
        <v>32</v>
      </c>
      <c r="H443" s="52">
        <f t="shared" si="716"/>
        <v>80</v>
      </c>
      <c r="I443" s="53">
        <f>COUNTIFS('00 Encuesta'!$B$2:$B$511,"*a)*",'00 Encuesta'!$C$2:$C$511,"*a)*",'00 Encuesta'!$E$2:$E$511,"*a)*",'00 Encuesta'!$BD$2:$BD$511,"*b)*")</f>
        <v>20</v>
      </c>
      <c r="J443" s="52">
        <f t="shared" si="717"/>
        <v>90.909090909090907</v>
      </c>
      <c r="K443" s="53">
        <f>COUNTIFS('00 Encuesta'!$B$2:$B$511,"*a)*",'00 Encuesta'!$C$2:$C$511,"*a)*",'00 Encuesta'!$E$2:$E$511,"*b)*",'00 Encuesta'!$BD$2:$BD$511,"*b)*")</f>
        <v>12</v>
      </c>
      <c r="L443" s="52">
        <f t="shared" si="718"/>
        <v>66.666666666666657</v>
      </c>
      <c r="M443" s="23"/>
      <c r="N443" s="51">
        <f t="shared" si="719"/>
        <v>20</v>
      </c>
      <c r="O443" s="52">
        <f t="shared" si="720"/>
        <v>52.631578947368418</v>
      </c>
      <c r="P443" s="53">
        <f>COUNTIFS('00 Encuesta'!$B$2:$B$511,"*a)*",'00 Encuesta'!$C$2:$C$511,"*b)*",'00 Encuesta'!$E$2:$E$511,"*a)*",'00 Encuesta'!$BD$2:$BD$511,"*b)*")</f>
        <v>8</v>
      </c>
      <c r="Q443" s="52">
        <f t="shared" si="721"/>
        <v>61.53846153846154</v>
      </c>
      <c r="R443" s="53">
        <f>COUNTIFS('00 Encuesta'!$B$2:$B$511,"*a)*",'00 Encuesta'!$C$2:$C$511,"*b)*",'00 Encuesta'!$E$2:$E$511,"*b)*",'00 Encuesta'!$BD$2:$BD$511,"*b)*")</f>
        <v>12</v>
      </c>
      <c r="S443" s="52">
        <f t="shared" si="722"/>
        <v>48</v>
      </c>
      <c r="T443" s="3"/>
      <c r="U443" s="51">
        <f t="shared" si="723"/>
        <v>0</v>
      </c>
      <c r="V443" s="52" t="e">
        <f t="shared" si="724"/>
        <v>#DIV/0!</v>
      </c>
      <c r="W443" s="53">
        <f>COUNTIFS('00 Encuesta'!$B$2:$B$511,"*a)*",'00 Encuesta'!$C$2:$C$511,"*c)*",'00 Encuesta'!$E$2:$E$511,"*a)*",'00 Encuesta'!$BD$2:$BD$511,"*b)*")</f>
        <v>0</v>
      </c>
      <c r="X443" s="52" t="e">
        <f t="shared" si="725"/>
        <v>#DIV/0!</v>
      </c>
      <c r="Y443" s="53">
        <f>COUNTIFS('00 Encuesta'!$B$2:$B$511,"*a)*",'00 Encuesta'!$C$2:$C$511,"*c)*",'00 Encuesta'!$E$2:$E$511,"*b)*",'00 Encuesta'!$BD$2:$BD$511,"*b)*")</f>
        <v>0</v>
      </c>
      <c r="Z443" s="52" t="e">
        <f t="shared" si="726"/>
        <v>#DIV/0!</v>
      </c>
      <c r="AA443" s="3"/>
      <c r="AB443" s="62">
        <f t="shared" si="727"/>
        <v>52</v>
      </c>
      <c r="AC443" s="52">
        <f t="shared" si="728"/>
        <v>66.666666666666671</v>
      </c>
      <c r="AD443" s="3"/>
      <c r="AE443" s="3"/>
      <c r="AF443" s="9" t="str">
        <f t="shared" si="729"/>
        <v>b) Mi madre</v>
      </c>
      <c r="AG443" s="72">
        <f t="shared" si="730"/>
        <v>90.909090909090907</v>
      </c>
      <c r="AH443" s="72">
        <f t="shared" si="731"/>
        <v>66.666666666666657</v>
      </c>
      <c r="AI443" s="73">
        <f t="shared" si="732"/>
        <v>80</v>
      </c>
      <c r="AJ443" s="73"/>
      <c r="AK443" s="76">
        <f t="shared" si="733"/>
        <v>61.53846153846154</v>
      </c>
      <c r="AL443" s="76">
        <f t="shared" si="734"/>
        <v>48</v>
      </c>
      <c r="AM443" s="76">
        <f t="shared" si="735"/>
        <v>52.631578947368418</v>
      </c>
      <c r="AN443" s="76"/>
      <c r="AO443" s="81" t="e">
        <f t="shared" si="736"/>
        <v>#DIV/0!</v>
      </c>
      <c r="AP443" s="81" t="e">
        <f t="shared" si="737"/>
        <v>#DIV/0!</v>
      </c>
      <c r="AQ443" s="81" t="e">
        <f t="shared" si="738"/>
        <v>#DIV/0!</v>
      </c>
      <c r="AR443" s="3"/>
      <c r="AS443" s="76">
        <f t="shared" si="688"/>
        <v>66.666666666666671</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21</v>
      </c>
      <c r="H444" s="52">
        <f t="shared" si="716"/>
        <v>52.5</v>
      </c>
      <c r="I444" s="53">
        <f>COUNTIFS('00 Encuesta'!$B$2:$B$511,"*a)*",'00 Encuesta'!$C$2:$C$511,"*a)*",'00 Encuesta'!$E$2:$E$511,"*a)*",'00 Encuesta'!$BD$2:$BD$511,"*c)*")</f>
        <v>12</v>
      </c>
      <c r="J444" s="52">
        <f t="shared" si="717"/>
        <v>54.54545454545454</v>
      </c>
      <c r="K444" s="53">
        <f>COUNTIFS('00 Encuesta'!$B$2:$B$511,"*a)*",'00 Encuesta'!$C$2:$C$511,"*a)*",'00 Encuesta'!$E$2:$E$511,"*b)*",'00 Encuesta'!$BD$2:$BD$511,"*c)*")</f>
        <v>9</v>
      </c>
      <c r="L444" s="52">
        <f t="shared" si="718"/>
        <v>50</v>
      </c>
      <c r="M444" s="23"/>
      <c r="N444" s="51">
        <f t="shared" si="719"/>
        <v>19</v>
      </c>
      <c r="O444" s="52">
        <f t="shared" si="720"/>
        <v>50</v>
      </c>
      <c r="P444" s="53">
        <f>COUNTIFS('00 Encuesta'!$B$2:$B$511,"*a)*",'00 Encuesta'!$C$2:$C$511,"*b)*",'00 Encuesta'!$E$2:$E$511,"*a)*",'00 Encuesta'!$BD$2:$BD$511,"*c)*")</f>
        <v>7</v>
      </c>
      <c r="Q444" s="52">
        <f t="shared" si="721"/>
        <v>53.846153846153847</v>
      </c>
      <c r="R444" s="53">
        <f>COUNTIFS('00 Encuesta'!$B$2:$B$511,"*a)*",'00 Encuesta'!$C$2:$C$511,"*b)*",'00 Encuesta'!$E$2:$E$511,"*b)*",'00 Encuesta'!$BD$2:$BD$511,"*c)*")</f>
        <v>12</v>
      </c>
      <c r="S444" s="52">
        <f t="shared" si="722"/>
        <v>48</v>
      </c>
      <c r="T444" s="3"/>
      <c r="U444" s="51">
        <f t="shared" si="723"/>
        <v>0</v>
      </c>
      <c r="V444" s="52" t="e">
        <f t="shared" si="724"/>
        <v>#DIV/0!</v>
      </c>
      <c r="W444" s="53">
        <f>COUNTIFS('00 Encuesta'!$B$2:$B$511,"*a)*",'00 Encuesta'!$C$2:$C$511,"*c)*",'00 Encuesta'!$E$2:$E$511,"*a)*",'00 Encuesta'!$BD$2:$BD$511,"*c)*")</f>
        <v>0</v>
      </c>
      <c r="X444" s="52" t="e">
        <f t="shared" si="725"/>
        <v>#DIV/0!</v>
      </c>
      <c r="Y444" s="53">
        <f>COUNTIFS('00 Encuesta'!$B$2:$B$511,"*a)*",'00 Encuesta'!$C$2:$C$511,"*c)*",'00 Encuesta'!$E$2:$E$511,"*b)*",'00 Encuesta'!$BD$2:$BD$511,"*c)*")</f>
        <v>0</v>
      </c>
      <c r="Z444" s="52" t="e">
        <f t="shared" si="726"/>
        <v>#DIV/0!</v>
      </c>
      <c r="AA444" s="3"/>
      <c r="AB444" s="62">
        <f t="shared" si="727"/>
        <v>40</v>
      </c>
      <c r="AC444" s="52">
        <f t="shared" si="728"/>
        <v>51.282051282051285</v>
      </c>
      <c r="AD444" s="3"/>
      <c r="AE444" s="3"/>
      <c r="AF444" s="9" t="str">
        <f t="shared" si="729"/>
        <v>c) Un hermano/a</v>
      </c>
      <c r="AG444" s="72">
        <f t="shared" si="730"/>
        <v>54.54545454545454</v>
      </c>
      <c r="AH444" s="72">
        <f t="shared" si="731"/>
        <v>50</v>
      </c>
      <c r="AI444" s="73">
        <f t="shared" si="732"/>
        <v>52.5</v>
      </c>
      <c r="AJ444" s="73"/>
      <c r="AK444" s="76">
        <f t="shared" si="733"/>
        <v>53.846153846153847</v>
      </c>
      <c r="AL444" s="76">
        <f t="shared" si="734"/>
        <v>48</v>
      </c>
      <c r="AM444" s="76">
        <f t="shared" si="735"/>
        <v>50</v>
      </c>
      <c r="AN444" s="76"/>
      <c r="AO444" s="81" t="e">
        <f t="shared" si="736"/>
        <v>#DIV/0!</v>
      </c>
      <c r="AP444" s="81" t="e">
        <f t="shared" si="737"/>
        <v>#DIV/0!</v>
      </c>
      <c r="AQ444" s="81" t="e">
        <f t="shared" si="738"/>
        <v>#DIV/0!</v>
      </c>
      <c r="AR444" s="3"/>
      <c r="AS444" s="76">
        <f t="shared" si="688"/>
        <v>51.282051282051285</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3</v>
      </c>
      <c r="H445" s="52">
        <f t="shared" si="716"/>
        <v>7.5</v>
      </c>
      <c r="I445" s="53">
        <f>COUNTIFS('00 Encuesta'!$B$2:$B$511,"*a)*",'00 Encuesta'!$C$2:$C$511,"*a)*",'00 Encuesta'!$E$2:$E$511,"*a)*",'00 Encuesta'!$BD$2:$BD$511,"*d)*")</f>
        <v>2</v>
      </c>
      <c r="J445" s="52">
        <f t="shared" si="717"/>
        <v>9.0909090909090917</v>
      </c>
      <c r="K445" s="53">
        <f>COUNTIFS('00 Encuesta'!$B$2:$B$511,"*a)*",'00 Encuesta'!$C$2:$C$511,"*a)*",'00 Encuesta'!$E$2:$E$511,"*b)*",'00 Encuesta'!$BD$2:$BD$511,"*d)*")</f>
        <v>1</v>
      </c>
      <c r="L445" s="52">
        <f t="shared" si="718"/>
        <v>5.5555555555555554</v>
      </c>
      <c r="M445" s="23"/>
      <c r="N445" s="51">
        <f t="shared" si="719"/>
        <v>1</v>
      </c>
      <c r="O445" s="52">
        <f t="shared" si="720"/>
        <v>2.6315789473684208</v>
      </c>
      <c r="P445" s="53">
        <f>COUNTIFS('00 Encuesta'!$B$2:$B$511,"*a)*",'00 Encuesta'!$C$2:$C$511,"*b)*",'00 Encuesta'!$E$2:$E$511,"*a)*",'00 Encuesta'!$BD$2:$BD$511,"*d)*")</f>
        <v>0</v>
      </c>
      <c r="Q445" s="52">
        <f t="shared" si="721"/>
        <v>0</v>
      </c>
      <c r="R445" s="53">
        <f>COUNTIFS('00 Encuesta'!$B$2:$B$511,"*a)*",'00 Encuesta'!$C$2:$C$511,"*b)*",'00 Encuesta'!$E$2:$E$511,"*b)*",'00 Encuesta'!$BD$2:$BD$511,"*d)*")</f>
        <v>1</v>
      </c>
      <c r="S445" s="52">
        <f t="shared" si="722"/>
        <v>4</v>
      </c>
      <c r="T445" s="3"/>
      <c r="U445" s="51">
        <f t="shared" si="723"/>
        <v>0</v>
      </c>
      <c r="V445" s="52" t="e">
        <f t="shared" si="724"/>
        <v>#DIV/0!</v>
      </c>
      <c r="W445" s="53">
        <f>COUNTIFS('00 Encuesta'!$B$2:$B$511,"*a)*",'00 Encuesta'!$C$2:$C$511,"*c)*",'00 Encuesta'!$E$2:$E$511,"*a)*",'00 Encuesta'!$BD$2:$BD$511,"*d)*")</f>
        <v>0</v>
      </c>
      <c r="X445" s="52" t="e">
        <f t="shared" si="725"/>
        <v>#DIV/0!</v>
      </c>
      <c r="Y445" s="53">
        <f>COUNTIFS('00 Encuesta'!$B$2:$B$511,"*a)*",'00 Encuesta'!$C$2:$C$511,"*c)*",'00 Encuesta'!$E$2:$E$511,"*b)*",'00 Encuesta'!$BD$2:$BD$511,"*d)*")</f>
        <v>0</v>
      </c>
      <c r="Z445" s="52" t="e">
        <f t="shared" si="726"/>
        <v>#DIV/0!</v>
      </c>
      <c r="AA445" s="3"/>
      <c r="AB445" s="62">
        <f t="shared" si="727"/>
        <v>4</v>
      </c>
      <c r="AC445" s="52">
        <f t="shared" si="728"/>
        <v>5.1282051282051286</v>
      </c>
      <c r="AD445" s="3"/>
      <c r="AE445" s="3"/>
      <c r="AF445" s="9" t="str">
        <f t="shared" si="729"/>
        <v>d) Un escolapio, religioso o religiosa</v>
      </c>
      <c r="AG445" s="72">
        <f t="shared" si="730"/>
        <v>9.0909090909090917</v>
      </c>
      <c r="AH445" s="72">
        <f t="shared" si="731"/>
        <v>5.5555555555555554</v>
      </c>
      <c r="AI445" s="73">
        <f t="shared" si="732"/>
        <v>7.5</v>
      </c>
      <c r="AJ445" s="73"/>
      <c r="AK445" s="76">
        <f t="shared" si="733"/>
        <v>0</v>
      </c>
      <c r="AL445" s="76">
        <f t="shared" si="734"/>
        <v>4</v>
      </c>
      <c r="AM445" s="76">
        <f t="shared" si="735"/>
        <v>2.6315789473684208</v>
      </c>
      <c r="AN445" s="76"/>
      <c r="AO445" s="81" t="e">
        <f t="shared" si="736"/>
        <v>#DIV/0!</v>
      </c>
      <c r="AP445" s="81" t="e">
        <f t="shared" si="737"/>
        <v>#DIV/0!</v>
      </c>
      <c r="AQ445" s="81" t="e">
        <f t="shared" si="738"/>
        <v>#DIV/0!</v>
      </c>
      <c r="AR445" s="3"/>
      <c r="AS445" s="76">
        <f t="shared" si="688"/>
        <v>5.1282051282051286</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8</v>
      </c>
      <c r="H446" s="52">
        <f t="shared" si="716"/>
        <v>20</v>
      </c>
      <c r="I446" s="53">
        <f>COUNTIFS('00 Encuesta'!$B$2:$B$511,"*a)*",'00 Encuesta'!$C$2:$C$511,"*a)*",'00 Encuesta'!$E$2:$E$511,"*a)*",'00 Encuesta'!$BD$2:$BD$511,"*e)*")</f>
        <v>5</v>
      </c>
      <c r="J446" s="52">
        <f t="shared" si="717"/>
        <v>22.727272727272727</v>
      </c>
      <c r="K446" s="53">
        <f>COUNTIFS('00 Encuesta'!$B$2:$B$511,"*a)*",'00 Encuesta'!$C$2:$C$511,"*a)*",'00 Encuesta'!$E$2:$E$511,"*b)*",'00 Encuesta'!$BD$2:$BD$511,"*e)*")</f>
        <v>3</v>
      </c>
      <c r="L446" s="52">
        <f t="shared" si="718"/>
        <v>16.666666666666664</v>
      </c>
      <c r="M446" s="23"/>
      <c r="N446" s="51">
        <f t="shared" si="719"/>
        <v>1</v>
      </c>
      <c r="O446" s="52">
        <f t="shared" si="720"/>
        <v>2.6315789473684208</v>
      </c>
      <c r="P446" s="53">
        <f>COUNTIFS('00 Encuesta'!$B$2:$B$511,"*a)*",'00 Encuesta'!$C$2:$C$511,"*b)*",'00 Encuesta'!$E$2:$E$511,"*a)*",'00 Encuesta'!$BD$2:$BD$511,"*e)*")</f>
        <v>1</v>
      </c>
      <c r="Q446" s="52">
        <f t="shared" si="721"/>
        <v>7.6923076923076925</v>
      </c>
      <c r="R446" s="53">
        <f>COUNTIFS('00 Encuesta'!$B$2:$B$511,"*a)*",'00 Encuesta'!$C$2:$C$511,"*b)*",'00 Encuesta'!$E$2:$E$511,"*b)*",'00 Encuesta'!$BD$2:$BD$511,"*e)*")</f>
        <v>0</v>
      </c>
      <c r="S446" s="52">
        <f t="shared" si="722"/>
        <v>0</v>
      </c>
      <c r="T446" s="3"/>
      <c r="U446" s="51">
        <f t="shared" si="723"/>
        <v>0</v>
      </c>
      <c r="V446" s="52" t="e">
        <f t="shared" si="724"/>
        <v>#DIV/0!</v>
      </c>
      <c r="W446" s="53">
        <f>COUNTIFS('00 Encuesta'!$B$2:$B$511,"*a)*",'00 Encuesta'!$C$2:$C$511,"*c)*",'00 Encuesta'!$E$2:$E$511,"*a)*",'00 Encuesta'!$BD$2:$BD$511,"*e)*")</f>
        <v>0</v>
      </c>
      <c r="X446" s="52" t="e">
        <f t="shared" si="725"/>
        <v>#DIV/0!</v>
      </c>
      <c r="Y446" s="53">
        <f>COUNTIFS('00 Encuesta'!$B$2:$B$511,"*a)*",'00 Encuesta'!$C$2:$C$511,"*c)*",'00 Encuesta'!$E$2:$E$511,"*b)*",'00 Encuesta'!$BD$2:$BD$511,"*e)*")</f>
        <v>0</v>
      </c>
      <c r="Z446" s="52" t="e">
        <f t="shared" si="726"/>
        <v>#DIV/0!</v>
      </c>
      <c r="AA446" s="3"/>
      <c r="AB446" s="62">
        <f t="shared" si="727"/>
        <v>9</v>
      </c>
      <c r="AC446" s="52">
        <f t="shared" si="728"/>
        <v>11.538461538461538</v>
      </c>
      <c r="AD446" s="3"/>
      <c r="AE446" s="3"/>
      <c r="AF446" s="9" t="str">
        <f t="shared" si="729"/>
        <v>e) Una, una docente</v>
      </c>
      <c r="AG446" s="72">
        <f t="shared" si="730"/>
        <v>22.727272727272727</v>
      </c>
      <c r="AH446" s="72">
        <f t="shared" si="731"/>
        <v>16.666666666666664</v>
      </c>
      <c r="AI446" s="73">
        <f t="shared" si="732"/>
        <v>20</v>
      </c>
      <c r="AJ446" s="73"/>
      <c r="AK446" s="76">
        <f t="shared" si="733"/>
        <v>7.6923076923076925</v>
      </c>
      <c r="AL446" s="76">
        <f t="shared" si="734"/>
        <v>0</v>
      </c>
      <c r="AM446" s="76">
        <f t="shared" si="735"/>
        <v>2.6315789473684208</v>
      </c>
      <c r="AN446" s="76"/>
      <c r="AO446" s="81" t="e">
        <f t="shared" si="736"/>
        <v>#DIV/0!</v>
      </c>
      <c r="AP446" s="81" t="e">
        <f t="shared" si="737"/>
        <v>#DIV/0!</v>
      </c>
      <c r="AQ446" s="81" t="e">
        <f t="shared" si="738"/>
        <v>#DIV/0!</v>
      </c>
      <c r="AR446" s="3"/>
      <c r="AS446" s="76">
        <f t="shared" si="688"/>
        <v>11.538461538461538</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1</v>
      </c>
      <c r="H447" s="52">
        <f t="shared" si="716"/>
        <v>2.5</v>
      </c>
      <c r="I447" s="53">
        <f>COUNTIFS('00 Encuesta'!$B$2:$B$511,"*a)*",'00 Encuesta'!$C$2:$C$511,"*a)*",'00 Encuesta'!$E$2:$E$511,"*a)*",'00 Encuesta'!$BD$2:$BD$511,"*f)*")</f>
        <v>0</v>
      </c>
      <c r="J447" s="52">
        <f t="shared" si="717"/>
        <v>0</v>
      </c>
      <c r="K447" s="53">
        <f>COUNTIFS('00 Encuesta'!$B$2:$B$511,"*a)*",'00 Encuesta'!$C$2:$C$511,"*a)*",'00 Encuesta'!$E$2:$E$511,"*b)*",'00 Encuesta'!$BD$2:$BD$511,"*f)*")</f>
        <v>1</v>
      </c>
      <c r="L447" s="52">
        <f t="shared" si="718"/>
        <v>5.5555555555555554</v>
      </c>
      <c r="M447" s="23"/>
      <c r="N447" s="51">
        <f t="shared" si="719"/>
        <v>4</v>
      </c>
      <c r="O447" s="52">
        <f t="shared" si="720"/>
        <v>10.526315789473683</v>
      </c>
      <c r="P447" s="53">
        <f>COUNTIFS('00 Encuesta'!$B$2:$B$511,"*a)*",'00 Encuesta'!$C$2:$C$511,"*b)*",'00 Encuesta'!$E$2:$E$511,"*a)*",'00 Encuesta'!$BD$2:$BD$511,"*f)*")</f>
        <v>2</v>
      </c>
      <c r="Q447" s="52">
        <f t="shared" si="721"/>
        <v>15.384615384615385</v>
      </c>
      <c r="R447" s="53">
        <f>COUNTIFS('00 Encuesta'!$B$2:$B$511,"*a)*",'00 Encuesta'!$C$2:$C$511,"*b)*",'00 Encuesta'!$E$2:$E$511,"*b)*",'00 Encuesta'!$BD$2:$BD$511,"*f)*")</f>
        <v>2</v>
      </c>
      <c r="S447" s="52">
        <f t="shared" si="722"/>
        <v>8</v>
      </c>
      <c r="T447" s="3"/>
      <c r="U447" s="51">
        <f t="shared" si="723"/>
        <v>0</v>
      </c>
      <c r="V447" s="52" t="e">
        <f t="shared" si="724"/>
        <v>#DIV/0!</v>
      </c>
      <c r="W447" s="53">
        <f>COUNTIFS('00 Encuesta'!$B$2:$B$511,"*a)*",'00 Encuesta'!$C$2:$C$511,"*c)*",'00 Encuesta'!$E$2:$E$511,"*a)*",'00 Encuesta'!$BD$2:$BD$511,"*f)*")</f>
        <v>0</v>
      </c>
      <c r="X447" s="52" t="e">
        <f t="shared" si="725"/>
        <v>#DIV/0!</v>
      </c>
      <c r="Y447" s="53">
        <f>COUNTIFS('00 Encuesta'!$B$2:$B$511,"*a)*",'00 Encuesta'!$C$2:$C$511,"*c)*",'00 Encuesta'!$E$2:$E$511,"*b)*",'00 Encuesta'!$BD$2:$BD$511,"*f)*")</f>
        <v>0</v>
      </c>
      <c r="Z447" s="52" t="e">
        <f t="shared" si="726"/>
        <v>#DIV/0!</v>
      </c>
      <c r="AA447" s="3"/>
      <c r="AB447" s="62">
        <f t="shared" si="727"/>
        <v>5</v>
      </c>
      <c r="AC447" s="52">
        <f t="shared" si="728"/>
        <v>6.4102564102564106</v>
      </c>
      <c r="AD447" s="3"/>
      <c r="AE447" s="3"/>
      <c r="AF447" s="9" t="str">
        <f t="shared" si="729"/>
        <v>f) La orientadora</v>
      </c>
      <c r="AG447" s="72">
        <f t="shared" si="730"/>
        <v>0</v>
      </c>
      <c r="AH447" s="72">
        <f t="shared" si="731"/>
        <v>5.5555555555555554</v>
      </c>
      <c r="AI447" s="73">
        <f t="shared" si="732"/>
        <v>2.5</v>
      </c>
      <c r="AJ447" s="73"/>
      <c r="AK447" s="76">
        <f t="shared" si="733"/>
        <v>15.384615384615385</v>
      </c>
      <c r="AL447" s="76">
        <f t="shared" si="734"/>
        <v>8</v>
      </c>
      <c r="AM447" s="76">
        <f t="shared" si="735"/>
        <v>10.526315789473683</v>
      </c>
      <c r="AN447" s="76"/>
      <c r="AO447" s="81" t="e">
        <f t="shared" si="736"/>
        <v>#DIV/0!</v>
      </c>
      <c r="AP447" s="81" t="e">
        <f t="shared" si="737"/>
        <v>#DIV/0!</v>
      </c>
      <c r="AQ447" s="81" t="e">
        <f t="shared" si="738"/>
        <v>#DIV/0!</v>
      </c>
      <c r="AR447" s="3"/>
      <c r="AS447" s="76">
        <f t="shared" si="688"/>
        <v>6.4102564102564106</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15</v>
      </c>
      <c r="H448" s="52">
        <f t="shared" si="716"/>
        <v>37.5</v>
      </c>
      <c r="I448" s="53">
        <f>COUNTIFS('00 Encuesta'!$B$2:$B$511,"*a)*",'00 Encuesta'!$C$2:$C$511,"*a)*",'00 Encuesta'!$E$2:$E$511,"*a)*",'00 Encuesta'!$BD$2:$BD$511,"*g)*")</f>
        <v>10</v>
      </c>
      <c r="J448" s="52">
        <f t="shared" si="717"/>
        <v>45.454545454545453</v>
      </c>
      <c r="K448" s="53">
        <f>COUNTIFS('00 Encuesta'!$B$2:$B$511,"*a)*",'00 Encuesta'!$C$2:$C$511,"*a)*",'00 Encuesta'!$E$2:$E$511,"*b)*",'00 Encuesta'!$BD$2:$BD$511,"*g)*")</f>
        <v>5</v>
      </c>
      <c r="L448" s="52">
        <f t="shared" si="718"/>
        <v>27.777777777777779</v>
      </c>
      <c r="M448" s="23"/>
      <c r="N448" s="51">
        <f t="shared" si="719"/>
        <v>19</v>
      </c>
      <c r="O448" s="52">
        <f t="shared" si="720"/>
        <v>50</v>
      </c>
      <c r="P448" s="53">
        <f>COUNTIFS('00 Encuesta'!$B$2:$B$511,"*a)*",'00 Encuesta'!$C$2:$C$511,"*b)*",'00 Encuesta'!$E$2:$E$511,"*a)*",'00 Encuesta'!$BD$2:$BD$511,"*g)*")</f>
        <v>10</v>
      </c>
      <c r="Q448" s="52">
        <f t="shared" si="721"/>
        <v>76.923076923076934</v>
      </c>
      <c r="R448" s="53">
        <f>COUNTIFS('00 Encuesta'!$B$2:$B$511,"*a)*",'00 Encuesta'!$C$2:$C$511,"*b)*",'00 Encuesta'!$E$2:$E$511,"*b)*",'00 Encuesta'!$BD$2:$BD$511,"*g)*")</f>
        <v>9</v>
      </c>
      <c r="S448" s="52">
        <f t="shared" si="722"/>
        <v>36</v>
      </c>
      <c r="T448" s="3"/>
      <c r="U448" s="51">
        <f t="shared" si="723"/>
        <v>0</v>
      </c>
      <c r="V448" s="52" t="e">
        <f t="shared" si="724"/>
        <v>#DIV/0!</v>
      </c>
      <c r="W448" s="53">
        <f>COUNTIFS('00 Encuesta'!$B$2:$B$511,"*a)*",'00 Encuesta'!$C$2:$C$511,"*c)*",'00 Encuesta'!$E$2:$E$511,"*a)*",'00 Encuesta'!$BD$2:$BD$511,"*g)*")</f>
        <v>0</v>
      </c>
      <c r="X448" s="52" t="e">
        <f t="shared" si="725"/>
        <v>#DIV/0!</v>
      </c>
      <c r="Y448" s="53">
        <f>COUNTIFS('00 Encuesta'!$B$2:$B$511,"*a)*",'00 Encuesta'!$C$2:$C$511,"*c)*",'00 Encuesta'!$E$2:$E$511,"*b)*",'00 Encuesta'!$BD$2:$BD$511,"*g)*")</f>
        <v>0</v>
      </c>
      <c r="Z448" s="52" t="e">
        <f t="shared" si="726"/>
        <v>#DIV/0!</v>
      </c>
      <c r="AA448" s="3"/>
      <c r="AB448" s="62">
        <f t="shared" si="727"/>
        <v>34</v>
      </c>
      <c r="AC448" s="52">
        <f t="shared" si="728"/>
        <v>43.589743589743591</v>
      </c>
      <c r="AD448" s="3"/>
      <c r="AE448" s="3"/>
      <c r="AF448" s="9" t="str">
        <f t="shared" si="729"/>
        <v>g) Un amigo</v>
      </c>
      <c r="AG448" s="72">
        <f t="shared" si="730"/>
        <v>45.454545454545453</v>
      </c>
      <c r="AH448" s="72">
        <f t="shared" si="731"/>
        <v>27.777777777777779</v>
      </c>
      <c r="AI448" s="73">
        <f t="shared" si="732"/>
        <v>37.5</v>
      </c>
      <c r="AJ448" s="73"/>
      <c r="AK448" s="76">
        <f t="shared" si="733"/>
        <v>76.923076923076934</v>
      </c>
      <c r="AL448" s="76">
        <f t="shared" si="734"/>
        <v>36</v>
      </c>
      <c r="AM448" s="76">
        <f t="shared" si="735"/>
        <v>50</v>
      </c>
      <c r="AN448" s="76"/>
      <c r="AO448" s="81" t="e">
        <f t="shared" si="736"/>
        <v>#DIV/0!</v>
      </c>
      <c r="AP448" s="81" t="e">
        <f t="shared" si="737"/>
        <v>#DIV/0!</v>
      </c>
      <c r="AQ448" s="81" t="e">
        <f t="shared" si="738"/>
        <v>#DIV/0!</v>
      </c>
      <c r="AR448" s="3"/>
      <c r="AS448" s="76">
        <f t="shared" si="688"/>
        <v>43.589743589743591</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22</v>
      </c>
      <c r="H449" s="52">
        <f t="shared" si="716"/>
        <v>55.000000000000007</v>
      </c>
      <c r="I449" s="53">
        <f>COUNTIFS('00 Encuesta'!$B$2:$B$511,"*a)*",'00 Encuesta'!$C$2:$C$511,"*a)*",'00 Encuesta'!$E$2:$E$511,"*a)*",'00 Encuesta'!$BD$2:$BD$511,"*h)*")</f>
        <v>6</v>
      </c>
      <c r="J449" s="52">
        <f t="shared" si="717"/>
        <v>27.27272727272727</v>
      </c>
      <c r="K449" s="53">
        <f>COUNTIFS('00 Encuesta'!$B$2:$B$511,"*a)*",'00 Encuesta'!$C$2:$C$511,"*a)*",'00 Encuesta'!$E$2:$E$511,"*b)*",'00 Encuesta'!$BD$2:$BD$511,"*h)*")</f>
        <v>16</v>
      </c>
      <c r="L449" s="52">
        <f t="shared" si="718"/>
        <v>88.888888888888886</v>
      </c>
      <c r="M449" s="23"/>
      <c r="N449" s="51">
        <f t="shared" si="719"/>
        <v>24</v>
      </c>
      <c r="O449" s="52">
        <f t="shared" si="720"/>
        <v>63.157894736842103</v>
      </c>
      <c r="P449" s="53">
        <f>COUNTIFS('00 Encuesta'!$B$2:$B$511,"*a)*",'00 Encuesta'!$C$2:$C$511,"*b)*",'00 Encuesta'!$E$2:$E$511,"*a)*",'00 Encuesta'!$BD$2:$BD$511,"*h)*")</f>
        <v>7</v>
      </c>
      <c r="Q449" s="52">
        <f t="shared" si="721"/>
        <v>53.846153846153847</v>
      </c>
      <c r="R449" s="53">
        <f>COUNTIFS('00 Encuesta'!$B$2:$B$511,"*a)*",'00 Encuesta'!$C$2:$C$511,"*b)*",'00 Encuesta'!$E$2:$E$511,"*b)*",'00 Encuesta'!$BD$2:$BD$511,"*h)*")</f>
        <v>17</v>
      </c>
      <c r="S449" s="52">
        <f t="shared" si="722"/>
        <v>68</v>
      </c>
      <c r="T449" s="3"/>
      <c r="U449" s="51">
        <f t="shared" si="723"/>
        <v>0</v>
      </c>
      <c r="V449" s="52" t="e">
        <f t="shared" si="724"/>
        <v>#DIV/0!</v>
      </c>
      <c r="W449" s="53">
        <f>COUNTIFS('00 Encuesta'!$B$2:$B$511,"*a)*",'00 Encuesta'!$C$2:$C$511,"*c)*",'00 Encuesta'!$E$2:$E$511,"*a)*",'00 Encuesta'!$BD$2:$BD$511,"*h)*")</f>
        <v>0</v>
      </c>
      <c r="X449" s="52" t="e">
        <f t="shared" si="725"/>
        <v>#DIV/0!</v>
      </c>
      <c r="Y449" s="53">
        <f>COUNTIFS('00 Encuesta'!$B$2:$B$511,"*a)*",'00 Encuesta'!$C$2:$C$511,"*c)*",'00 Encuesta'!$E$2:$E$511,"*b)*",'00 Encuesta'!$BD$2:$BD$511,"*h)*")</f>
        <v>0</v>
      </c>
      <c r="Z449" s="52" t="e">
        <f t="shared" si="726"/>
        <v>#DIV/0!</v>
      </c>
      <c r="AA449" s="3"/>
      <c r="AB449" s="62">
        <f t="shared" si="727"/>
        <v>46</v>
      </c>
      <c r="AC449" s="52">
        <f t="shared" si="728"/>
        <v>58.974358974358971</v>
      </c>
      <c r="AD449" s="3"/>
      <c r="AE449" s="3"/>
      <c r="AF449" s="9" t="str">
        <f t="shared" si="729"/>
        <v>h) Una amiga</v>
      </c>
      <c r="AG449" s="72">
        <f t="shared" si="730"/>
        <v>27.27272727272727</v>
      </c>
      <c r="AH449" s="72">
        <f t="shared" si="731"/>
        <v>88.888888888888886</v>
      </c>
      <c r="AI449" s="73">
        <f t="shared" si="732"/>
        <v>55.000000000000007</v>
      </c>
      <c r="AJ449" s="73"/>
      <c r="AK449" s="76">
        <f t="shared" si="733"/>
        <v>53.846153846153847</v>
      </c>
      <c r="AL449" s="76">
        <f t="shared" si="734"/>
        <v>68</v>
      </c>
      <c r="AM449" s="76">
        <f t="shared" si="735"/>
        <v>63.157894736842103</v>
      </c>
      <c r="AN449" s="76"/>
      <c r="AO449" s="81" t="e">
        <f t="shared" si="736"/>
        <v>#DIV/0!</v>
      </c>
      <c r="AP449" s="81" t="e">
        <f t="shared" si="737"/>
        <v>#DIV/0!</v>
      </c>
      <c r="AQ449" s="81" t="e">
        <f t="shared" si="738"/>
        <v>#DIV/0!</v>
      </c>
      <c r="AR449" s="3"/>
      <c r="AS449" s="76">
        <f t="shared" si="688"/>
        <v>58.974358974358971</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3</v>
      </c>
      <c r="H450" s="52">
        <f t="shared" si="716"/>
        <v>7.5</v>
      </c>
      <c r="I450" s="53">
        <f>COUNTIFS('00 Encuesta'!$B$2:$B$511,"*a)*",'00 Encuesta'!$C$2:$C$511,"*a)*",'00 Encuesta'!$E$2:$E$511,"*a)*",'00 Encuesta'!$BD$2:$BD$511,"*i)*")</f>
        <v>2</v>
      </c>
      <c r="J450" s="52">
        <f t="shared" si="717"/>
        <v>9.0909090909090917</v>
      </c>
      <c r="K450" s="53">
        <f>COUNTIFS('00 Encuesta'!$B$2:$B$511,"*a)*",'00 Encuesta'!$C$2:$C$511,"*a)*",'00 Encuesta'!$E$2:$E$511,"*b)*",'00 Encuesta'!$BD$2:$BD$511,"*i)*")</f>
        <v>1</v>
      </c>
      <c r="L450" s="52">
        <f t="shared" si="718"/>
        <v>5.5555555555555554</v>
      </c>
      <c r="M450" s="23"/>
      <c r="N450" s="51">
        <f t="shared" si="719"/>
        <v>0</v>
      </c>
      <c r="O450" s="52">
        <f t="shared" si="720"/>
        <v>0</v>
      </c>
      <c r="P450" s="53">
        <f>COUNTIFS('00 Encuesta'!$B$2:$B$511,"*a)*",'00 Encuesta'!$C$2:$C$511,"*b)*",'00 Encuesta'!$E$2:$E$511,"*a)*",'00 Encuesta'!$BD$2:$BD$511,"*i)*")</f>
        <v>0</v>
      </c>
      <c r="Q450" s="52">
        <f t="shared" si="721"/>
        <v>0</v>
      </c>
      <c r="R450" s="53">
        <f>COUNTIFS('00 Encuesta'!$B$2:$B$511,"*a)*",'00 Encuesta'!$C$2:$C$511,"*b)*",'00 Encuesta'!$E$2:$E$511,"*b)*",'00 Encuesta'!$BD$2:$BD$511,"*i)*")</f>
        <v>0</v>
      </c>
      <c r="S450" s="52">
        <f t="shared" si="722"/>
        <v>0</v>
      </c>
      <c r="T450" s="3"/>
      <c r="U450" s="51">
        <f t="shared" si="723"/>
        <v>0</v>
      </c>
      <c r="V450" s="52" t="e">
        <f t="shared" si="724"/>
        <v>#DIV/0!</v>
      </c>
      <c r="W450" s="53">
        <f>COUNTIFS('00 Encuesta'!$B$2:$B$511,"*a)*",'00 Encuesta'!$C$2:$C$511,"*c)*",'00 Encuesta'!$E$2:$E$511,"*a)*",'00 Encuesta'!$BD$2:$BD$511,"*i)*")</f>
        <v>0</v>
      </c>
      <c r="X450" s="52" t="e">
        <f t="shared" si="725"/>
        <v>#DIV/0!</v>
      </c>
      <c r="Y450" s="53">
        <f>COUNTIFS('00 Encuesta'!$B$2:$B$511,"*a)*",'00 Encuesta'!$C$2:$C$511,"*c)*",'00 Encuesta'!$E$2:$E$511,"*b)*",'00 Encuesta'!$BD$2:$BD$511,"*i)*")</f>
        <v>0</v>
      </c>
      <c r="Z450" s="52" t="e">
        <f t="shared" si="726"/>
        <v>#DIV/0!</v>
      </c>
      <c r="AA450" s="3"/>
      <c r="AB450" s="62">
        <f t="shared" si="727"/>
        <v>3</v>
      </c>
      <c r="AC450" s="52">
        <f t="shared" si="728"/>
        <v>3.8461538461538463</v>
      </c>
      <c r="AD450" s="3"/>
      <c r="AE450" s="3"/>
      <c r="AF450" s="9" t="str">
        <f t="shared" si="729"/>
        <v>i) Un, una catequista o responsable de grupo</v>
      </c>
      <c r="AG450" s="72">
        <f t="shared" si="730"/>
        <v>9.0909090909090917</v>
      </c>
      <c r="AH450" s="72">
        <f t="shared" si="731"/>
        <v>5.5555555555555554</v>
      </c>
      <c r="AI450" s="73">
        <f t="shared" si="732"/>
        <v>7.5</v>
      </c>
      <c r="AJ450" s="73"/>
      <c r="AK450" s="76">
        <f t="shared" si="733"/>
        <v>0</v>
      </c>
      <c r="AL450" s="76">
        <f t="shared" si="734"/>
        <v>0</v>
      </c>
      <c r="AM450" s="76">
        <f t="shared" si="735"/>
        <v>0</v>
      </c>
      <c r="AN450" s="76"/>
      <c r="AO450" s="81" t="e">
        <f t="shared" si="736"/>
        <v>#DIV/0!</v>
      </c>
      <c r="AP450" s="81" t="e">
        <f t="shared" si="737"/>
        <v>#DIV/0!</v>
      </c>
      <c r="AQ450" s="81" t="e">
        <f t="shared" si="738"/>
        <v>#DIV/0!</v>
      </c>
      <c r="AR450" s="3"/>
      <c r="AS450" s="76">
        <f t="shared" si="688"/>
        <v>3.8461538461538463</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0</v>
      </c>
      <c r="H451" s="52">
        <f t="shared" si="716"/>
        <v>0</v>
      </c>
      <c r="I451" s="53">
        <f>COUNTIFS('00 Encuesta'!$B$2:$B$511,"*a)*",'00 Encuesta'!$C$2:$C$511,"*a)*",'00 Encuesta'!$E$2:$E$511,"*a)*",'00 Encuesta'!$BD$2:$BD$511,"*j)*")</f>
        <v>0</v>
      </c>
      <c r="J451" s="52">
        <f t="shared" si="717"/>
        <v>0</v>
      </c>
      <c r="K451" s="53">
        <f>COUNTIFS('00 Encuesta'!$B$2:$B$511,"*a)*",'00 Encuesta'!$C$2:$C$511,"*a)*",'00 Encuesta'!$E$2:$E$511,"*b)*",'00 Encuesta'!$BD$2:$BD$511,"*j)*")</f>
        <v>0</v>
      </c>
      <c r="L451" s="52">
        <f t="shared" si="718"/>
        <v>0</v>
      </c>
      <c r="M451" s="23"/>
      <c r="N451" s="51">
        <f t="shared" si="719"/>
        <v>1</v>
      </c>
      <c r="O451" s="52">
        <f t="shared" si="720"/>
        <v>2.6315789473684208</v>
      </c>
      <c r="P451" s="53">
        <f>COUNTIFS('00 Encuesta'!$B$2:$B$511,"*a)*",'00 Encuesta'!$C$2:$C$511,"*b)*",'00 Encuesta'!$E$2:$E$511,"*a)*",'00 Encuesta'!$BD$2:$BD$511,"*j)*")</f>
        <v>0</v>
      </c>
      <c r="Q451" s="52">
        <f t="shared" si="721"/>
        <v>0</v>
      </c>
      <c r="R451" s="53">
        <f>COUNTIFS('00 Encuesta'!$B$2:$B$511,"*a)*",'00 Encuesta'!$C$2:$C$511,"*b)*",'00 Encuesta'!$E$2:$E$511,"*b)*",'00 Encuesta'!$BD$2:$BD$511,"*j)*")</f>
        <v>1</v>
      </c>
      <c r="S451" s="52">
        <f t="shared" si="722"/>
        <v>4</v>
      </c>
      <c r="T451" s="3"/>
      <c r="U451" s="51">
        <f t="shared" si="723"/>
        <v>0</v>
      </c>
      <c r="V451" s="52" t="e">
        <f t="shared" si="724"/>
        <v>#DIV/0!</v>
      </c>
      <c r="W451" s="53">
        <f>COUNTIFS('00 Encuesta'!$B$2:$B$511,"*a)*",'00 Encuesta'!$C$2:$C$511,"*c)*",'00 Encuesta'!$E$2:$E$511,"*a)*",'00 Encuesta'!$BD$2:$BD$511,"*j)*")</f>
        <v>0</v>
      </c>
      <c r="X451" s="52" t="e">
        <f t="shared" si="725"/>
        <v>#DIV/0!</v>
      </c>
      <c r="Y451" s="53">
        <f>COUNTIFS('00 Encuesta'!$B$2:$B$511,"*a)*",'00 Encuesta'!$C$2:$C$511,"*c)*",'00 Encuesta'!$E$2:$E$511,"*b)*",'00 Encuesta'!$BD$2:$BD$511,"*j)*")</f>
        <v>0</v>
      </c>
      <c r="Z451" s="52" t="e">
        <f t="shared" si="726"/>
        <v>#DIV/0!</v>
      </c>
      <c r="AA451" s="3"/>
      <c r="AB451" s="62">
        <f t="shared" si="727"/>
        <v>1</v>
      </c>
      <c r="AC451" s="52">
        <f t="shared" si="728"/>
        <v>1.2820512820512822</v>
      </c>
      <c r="AD451" s="3"/>
      <c r="AE451" s="3"/>
      <c r="AF451" s="9" t="str">
        <f t="shared" si="729"/>
        <v>j) Nadie</v>
      </c>
      <c r="AG451" s="72">
        <f t="shared" si="730"/>
        <v>0</v>
      </c>
      <c r="AH451" s="72">
        <f t="shared" si="731"/>
        <v>0</v>
      </c>
      <c r="AI451" s="73">
        <f t="shared" si="732"/>
        <v>0</v>
      </c>
      <c r="AJ451" s="73"/>
      <c r="AK451" s="76">
        <f t="shared" si="733"/>
        <v>0</v>
      </c>
      <c r="AL451" s="76">
        <f t="shared" si="734"/>
        <v>4</v>
      </c>
      <c r="AM451" s="76">
        <f t="shared" si="735"/>
        <v>2.6315789473684208</v>
      </c>
      <c r="AN451" s="76"/>
      <c r="AO451" s="81" t="e">
        <f t="shared" si="736"/>
        <v>#DIV/0!</v>
      </c>
      <c r="AP451" s="81" t="e">
        <f t="shared" si="737"/>
        <v>#DIV/0!</v>
      </c>
      <c r="AQ451" s="81" t="e">
        <f t="shared" si="738"/>
        <v>#DIV/0!</v>
      </c>
      <c r="AR451" s="3"/>
      <c r="AS451" s="76">
        <f t="shared" si="688"/>
        <v>1.2820512820512822</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2</v>
      </c>
      <c r="H452" s="52">
        <f t="shared" si="716"/>
        <v>5</v>
      </c>
      <c r="I452" s="53">
        <f>COUNTIFS('00 Encuesta'!$B$2:$B$511,"*a)*",'00 Encuesta'!$C$2:$C$511,"*a)*",'00 Encuesta'!$E$2:$E$511,"*a)*",'00 Encuesta'!$BD$2:$BD$511,"*k)*")</f>
        <v>2</v>
      </c>
      <c r="J452" s="52">
        <f t="shared" si="717"/>
        <v>9.0909090909090917</v>
      </c>
      <c r="K452" s="53">
        <f>COUNTIFS('00 Encuesta'!$B$2:$B$511,"*a)*",'00 Encuesta'!$C$2:$C$511,"*a)*",'00 Encuesta'!$E$2:$E$511,"*b)*",'00 Encuesta'!$BD$2:$BD$511,"*k)*")</f>
        <v>0</v>
      </c>
      <c r="L452" s="52">
        <f t="shared" si="718"/>
        <v>0</v>
      </c>
      <c r="M452" s="23"/>
      <c r="N452" s="51">
        <f t="shared" si="719"/>
        <v>2</v>
      </c>
      <c r="O452" s="52">
        <f t="shared" si="720"/>
        <v>5.2631578947368416</v>
      </c>
      <c r="P452" s="53">
        <f>COUNTIFS('00 Encuesta'!$B$2:$B$511,"*a)*",'00 Encuesta'!$C$2:$C$511,"*b)*",'00 Encuesta'!$E$2:$E$511,"*a)*",'00 Encuesta'!$BD$2:$BD$511,"*k)*")</f>
        <v>1</v>
      </c>
      <c r="Q452" s="52">
        <f t="shared" si="721"/>
        <v>7.6923076923076925</v>
      </c>
      <c r="R452" s="53">
        <f>COUNTIFS('00 Encuesta'!$B$2:$B$511,"*a)*",'00 Encuesta'!$C$2:$C$511,"*b)*",'00 Encuesta'!$E$2:$E$511,"*b)*",'00 Encuesta'!$BD$2:$BD$511,"*k)*")</f>
        <v>1</v>
      </c>
      <c r="S452" s="52">
        <f t="shared" si="722"/>
        <v>4</v>
      </c>
      <c r="T452" s="3"/>
      <c r="U452" s="51">
        <f t="shared" si="723"/>
        <v>0</v>
      </c>
      <c r="V452" s="52" t="e">
        <f t="shared" si="724"/>
        <v>#DIV/0!</v>
      </c>
      <c r="W452" s="53">
        <f>COUNTIFS('00 Encuesta'!$B$2:$B$511,"*a)*",'00 Encuesta'!$C$2:$C$511,"*c)*",'00 Encuesta'!$E$2:$E$511,"*a)*",'00 Encuesta'!$BD$2:$BD$511,"*k)*")</f>
        <v>0</v>
      </c>
      <c r="X452" s="52" t="e">
        <f t="shared" si="725"/>
        <v>#DIV/0!</v>
      </c>
      <c r="Y452" s="53">
        <f>COUNTIFS('00 Encuesta'!$B$2:$B$511,"*a)*",'00 Encuesta'!$C$2:$C$511,"*c)*",'00 Encuesta'!$E$2:$E$511,"*b)*",'00 Encuesta'!$BD$2:$BD$511,"*k)*")</f>
        <v>0</v>
      </c>
      <c r="Z452" s="52" t="e">
        <f t="shared" si="726"/>
        <v>#DIV/0!</v>
      </c>
      <c r="AA452" s="3"/>
      <c r="AB452" s="62">
        <f t="shared" si="727"/>
        <v>4</v>
      </c>
      <c r="AC452" s="52">
        <f t="shared" si="728"/>
        <v>5.1282051282051286</v>
      </c>
      <c r="AD452" s="3"/>
      <c r="AE452" s="3"/>
      <c r="AF452" s="9" t="str">
        <f t="shared" si="729"/>
        <v>k) No tengo problemas personales</v>
      </c>
      <c r="AG452" s="72">
        <f t="shared" si="730"/>
        <v>9.0909090909090917</v>
      </c>
      <c r="AH452" s="72">
        <f t="shared" si="731"/>
        <v>0</v>
      </c>
      <c r="AI452" s="73">
        <f t="shared" si="732"/>
        <v>5</v>
      </c>
      <c r="AJ452" s="73"/>
      <c r="AK452" s="76">
        <f t="shared" si="733"/>
        <v>7.6923076923076925</v>
      </c>
      <c r="AL452" s="76">
        <f t="shared" si="734"/>
        <v>4</v>
      </c>
      <c r="AM452" s="76">
        <f t="shared" si="735"/>
        <v>5.2631578947368416</v>
      </c>
      <c r="AN452" s="76"/>
      <c r="AO452" s="81" t="e">
        <f t="shared" si="736"/>
        <v>#DIV/0!</v>
      </c>
      <c r="AP452" s="81" t="e">
        <f t="shared" si="737"/>
        <v>#DIV/0!</v>
      </c>
      <c r="AQ452" s="81" t="e">
        <f t="shared" si="738"/>
        <v>#DIV/0!</v>
      </c>
      <c r="AR452" s="3"/>
      <c r="AS452" s="76">
        <f t="shared" si="688"/>
        <v>5.1282051282051286</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topLeftCell="A422" workbookViewId="0">
      <selection activeCell="A422"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38</v>
      </c>
      <c r="K5" s="14" t="s">
        <v>7</v>
      </c>
      <c r="L5" s="15"/>
      <c r="M5" s="6"/>
      <c r="N5" s="93" t="s">
        <v>502</v>
      </c>
      <c r="O5" s="14"/>
      <c r="P5" s="13"/>
      <c r="Q5" s="13">
        <f>SUM(Q6:Q7)</f>
        <v>32</v>
      </c>
      <c r="R5" s="14" t="s">
        <v>7</v>
      </c>
      <c r="S5" s="15"/>
      <c r="T5" s="6"/>
      <c r="U5" s="93" t="s">
        <v>503</v>
      </c>
      <c r="V5" s="14"/>
      <c r="W5" s="13"/>
      <c r="X5" s="13">
        <f>SUM(X6:X7)</f>
        <v>0</v>
      </c>
      <c r="Y5" s="16" t="s">
        <v>7</v>
      </c>
      <c r="Z5" s="17"/>
      <c r="AA5" s="3"/>
      <c r="AB5" s="18" t="s">
        <v>8</v>
      </c>
      <c r="AC5" s="19">
        <f>J5+Q5+X5</f>
        <v>70</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Encuesta'!$B$2:$B$511,"*b)*",'00 Encuesta'!$C$2:$C$511,"*a)*",'00 Encuesta'!$E$2:$E$511,"*a)*")</f>
        <v>21</v>
      </c>
      <c r="K6" s="25" t="s">
        <v>523</v>
      </c>
      <c r="L6" s="26"/>
      <c r="M6" s="6"/>
      <c r="N6" s="27"/>
      <c r="O6" s="24"/>
      <c r="P6" s="24"/>
      <c r="Q6" s="23">
        <f>COUNTIFS('00 Encuesta'!$B$2:$B$511,"*b)*",'00 Encuesta'!$C$2:$C$511,"*b)*",'00 Encuesta'!$E$2:$E$511,"*a)*")</f>
        <v>17</v>
      </c>
      <c r="R6" s="25" t="s">
        <v>523</v>
      </c>
      <c r="S6" s="26"/>
      <c r="T6" s="6"/>
      <c r="U6" s="27"/>
      <c r="V6" s="24"/>
      <c r="W6" s="24"/>
      <c r="X6" s="23">
        <f>COUNTIFS('00 Encuesta'!$B$2:$B$511,"*b)*",'00 Encuesta'!$C$2:$C$511,"*d)*",'00 Encuesta'!$E$2:$E$511,"*a)*")</f>
        <v>0</v>
      </c>
      <c r="Y6" s="28" t="s">
        <v>523</v>
      </c>
      <c r="Z6" s="29"/>
      <c r="AA6" s="3"/>
      <c r="AB6" s="24"/>
      <c r="AC6" s="19">
        <f>J6+Q6+X6</f>
        <v>38</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Encuesta'!$B$2:$B$511,"*b)*",'00 Encuesta'!$C$2:$C$511,"*a)*",'00 Encuesta'!$E$2:$E$511,"*b)*")</f>
        <v>17</v>
      </c>
      <c r="K7" s="36" t="s">
        <v>524</v>
      </c>
      <c r="L7" s="37"/>
      <c r="M7" s="6"/>
      <c r="N7" s="38"/>
      <c r="O7" s="35"/>
      <c r="P7" s="35"/>
      <c r="Q7" s="34">
        <f>COUNTIFS('00 Encuesta'!$B$2:$B$511,"*b)*",'00 Encuesta'!$C$2:$C$511,"*b)*",'00 Encuesta'!$E$2:$E$511,"*b)*")</f>
        <v>15</v>
      </c>
      <c r="R7" s="36" t="s">
        <v>524</v>
      </c>
      <c r="S7" s="37"/>
      <c r="T7" s="6"/>
      <c r="U7" s="38"/>
      <c r="V7" s="35"/>
      <c r="W7" s="35"/>
      <c r="X7" s="34">
        <f>COUNTIFS('00 Encuesta'!$B$2:$B$511,"*b)*",'00 Encuesta'!$C$2:$C$511,"*d)*",'00 Encuesta'!$E$2:$E$511,"*b)*")</f>
        <v>0</v>
      </c>
      <c r="Y7" s="39" t="s">
        <v>524</v>
      </c>
      <c r="Z7" s="40"/>
      <c r="AA7" s="3"/>
      <c r="AB7" s="24"/>
      <c r="AC7" s="19">
        <f>J7+Q7+X7</f>
        <v>32</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520</v>
      </c>
      <c r="X9" s="48"/>
      <c r="Y9" s="46"/>
      <c r="Z9" s="47"/>
      <c r="AA9" s="3"/>
      <c r="AB9" s="49" t="s">
        <v>522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508</v>
      </c>
      <c r="AP12" s="67" t="s">
        <v>509</v>
      </c>
      <c r="AQ12" s="67" t="s">
        <v>503</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25</v>
      </c>
      <c r="H15" s="52">
        <f>G15/$J$5*100</f>
        <v>65.789473684210535</v>
      </c>
      <c r="I15" s="53">
        <f>COUNTIFS('00 Encuesta'!$B$2:$B$511,"*b)*",'00 Encuesta'!$C$2:$C$511,"*a)*",'00 Encuesta'!$E$2:$E$511,"*a)*",'00 Encuesta'!$D$2:$D$511,"*a)*")</f>
        <v>14</v>
      </c>
      <c r="J15" s="52">
        <f>I15/$J$6*100</f>
        <v>66.666666666666657</v>
      </c>
      <c r="K15" s="53">
        <f>COUNTIFS('00 Encuesta'!$B$2:$B$511,"*b)*",'00 Encuesta'!$C$2:$C$511,"*a)*",'00 Encuesta'!$E$2:$E$511,"*b)*",'00 Encuesta'!$D$2:$D$511,"*a)*")</f>
        <v>11</v>
      </c>
      <c r="L15" s="52">
        <f>K15/$J$7*100</f>
        <v>64.705882352941174</v>
      </c>
      <c r="M15" s="23"/>
      <c r="N15" s="51">
        <f>P15+R15</f>
        <v>19</v>
      </c>
      <c r="O15" s="52">
        <f>N15/$Q$5*100</f>
        <v>59.375</v>
      </c>
      <c r="P15" s="53">
        <f>COUNTIFS('00 Encuesta'!$B$2:$B$511,"*b)*",'00 Encuesta'!$C$2:$C$511,"*b)*",'00 Encuesta'!$E$2:$E$511,"*a)*",'00 Encuesta'!$D$2:$D$511,"*a)*")</f>
        <v>11</v>
      </c>
      <c r="Q15" s="52">
        <f>P15/$Q$6*100</f>
        <v>64.705882352941174</v>
      </c>
      <c r="R15" s="53">
        <f>COUNTIFS('00 Encuesta'!$B$2:$B$511,"*b)*",'00 Encuesta'!$C$2:$C$511,"*b)*",'00 Encuesta'!$E$2:$E$511,"*b)*",'00 Encuesta'!$D$2:$D$511,"*a)*")</f>
        <v>8</v>
      </c>
      <c r="S15" s="52">
        <f>R15/$Q$7*100</f>
        <v>53.333333333333336</v>
      </c>
      <c r="T15" s="3"/>
      <c r="U15" s="51">
        <f>W15+Y15</f>
        <v>0</v>
      </c>
      <c r="V15" s="52" t="e">
        <f>U15/$X$5*100</f>
        <v>#DIV/0!</v>
      </c>
      <c r="W15" s="53">
        <f>COUNTIFS('00 Encuesta'!$B$2:$B$511,"*b)*",'00 Encuesta'!$C$2:$C$511,"*d)*",'00 Encuesta'!$E$2:$E$511,"*a)*",'00 Encuesta'!$D$2:$D$511,"*a)*")</f>
        <v>0</v>
      </c>
      <c r="X15" s="52" t="e">
        <f>W15/$X$6*100</f>
        <v>#DIV/0!</v>
      </c>
      <c r="Y15" s="53">
        <f>COUNTIFS('00 Encuesta'!$B$2:$B$511,"*b)*",'00 Encuesta'!$C$2:$C$511,"*d)*",'00 Encuesta'!$E$2:$E$511,"*b)*",'00 Encuesta'!$D$2:$D$511,"*a)*")</f>
        <v>0</v>
      </c>
      <c r="Z15" s="52" t="e">
        <f>Y15/$X$7*100</f>
        <v>#DIV/0!</v>
      </c>
      <c r="AA15" s="3"/>
      <c r="AB15" s="62">
        <f>G15+N15+U15</f>
        <v>44</v>
      </c>
      <c r="AC15" s="52">
        <f>AB15*100/$AC$5</f>
        <v>62.857142857142854</v>
      </c>
      <c r="AD15" s="7"/>
      <c r="AE15" s="7"/>
      <c r="AF15" s="9" t="str">
        <f t="shared" si="0"/>
        <v>a) Educación Inicial</v>
      </c>
      <c r="AG15" s="72">
        <f>J15</f>
        <v>66.666666666666657</v>
      </c>
      <c r="AH15" s="72">
        <f>L15</f>
        <v>64.705882352941174</v>
      </c>
      <c r="AI15" s="73">
        <f>H15</f>
        <v>65.789473684210535</v>
      </c>
      <c r="AJ15" s="73"/>
      <c r="AK15" s="74">
        <f>Q15</f>
        <v>64.705882352941174</v>
      </c>
      <c r="AL15" s="74">
        <f>S15</f>
        <v>53.333333333333336</v>
      </c>
      <c r="AM15" s="74">
        <f>O15</f>
        <v>59.375</v>
      </c>
      <c r="AN15" s="74"/>
      <c r="AO15" s="75" t="e">
        <f>X15</f>
        <v>#DIV/0!</v>
      </c>
      <c r="AP15" s="75" t="e">
        <f>Z15</f>
        <v>#DIV/0!</v>
      </c>
      <c r="AQ15" s="75" t="e">
        <f>V15</f>
        <v>#DIV/0!</v>
      </c>
      <c r="AR15" s="76"/>
      <c r="AS15" s="76">
        <f>AC15</f>
        <v>62.857142857142854</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7</v>
      </c>
      <c r="H16" s="52">
        <f>G16/$J$5*100</f>
        <v>18.421052631578945</v>
      </c>
      <c r="I16" s="53">
        <f>COUNTIFS('00 Encuesta'!$B$2:$B$511,"*b)*",'00 Encuesta'!$C$2:$C$511,"*a)*",'00 Encuesta'!$E$2:$E$511,"*a)*",'00 Encuesta'!$D$2:$D$511,"*b)*")</f>
        <v>5</v>
      </c>
      <c r="J16" s="52">
        <f>I16/$J$6*100</f>
        <v>23.809523809523807</v>
      </c>
      <c r="K16" s="53">
        <f>COUNTIFS('00 Encuesta'!$B$2:$B$511,"*b)*",'00 Encuesta'!$C$2:$C$511,"*a)*",'00 Encuesta'!$E$2:$E$511,"*b)*",'00 Encuesta'!$D$2:$D$511,"*b)*")</f>
        <v>2</v>
      </c>
      <c r="L16" s="52">
        <f>K16/$J$7*100</f>
        <v>11.76470588235294</v>
      </c>
      <c r="M16" s="23"/>
      <c r="N16" s="51">
        <f>P16+R16</f>
        <v>9</v>
      </c>
      <c r="O16" s="52">
        <f>N16/$Q$5*100</f>
        <v>28.125</v>
      </c>
      <c r="P16" s="53">
        <f>COUNTIFS('00 Encuesta'!$B$2:$B$511,"*b)*",'00 Encuesta'!$C$2:$C$511,"*b)*",'00 Encuesta'!$E$2:$E$511,"*a)*",'00 Encuesta'!$D$2:$D$511,"*b)*")</f>
        <v>4</v>
      </c>
      <c r="Q16" s="52">
        <f>P16/$Q$6*100</f>
        <v>23.52941176470588</v>
      </c>
      <c r="R16" s="53">
        <f>COUNTIFS('00 Encuesta'!$B$2:$B$511,"*b)*",'00 Encuesta'!$C$2:$C$511,"*b)*",'00 Encuesta'!$E$2:$E$511,"*b)*",'00 Encuesta'!$D$2:$D$511,"*b)*")</f>
        <v>5</v>
      </c>
      <c r="S16" s="52">
        <f>R16/$Q$7*100</f>
        <v>33.333333333333329</v>
      </c>
      <c r="T16" s="3"/>
      <c r="U16" s="51">
        <f>W16+Y16</f>
        <v>0</v>
      </c>
      <c r="V16" s="52" t="e">
        <f>U16/$X$5*100</f>
        <v>#DIV/0!</v>
      </c>
      <c r="W16" s="53">
        <f>COUNTIFS('00 Encuesta'!$B$2:$B$511,"*b)*",'00 Encuesta'!$C$2:$C$511,"*d)*",'00 Encuesta'!$E$2:$E$511,"*a)*",'00 Encuesta'!$D$2:$D$511,"*b)*")</f>
        <v>0</v>
      </c>
      <c r="X16" s="52" t="e">
        <f>W16/$X$6*100</f>
        <v>#DIV/0!</v>
      </c>
      <c r="Y16" s="53">
        <f>COUNTIFS('00 Encuesta'!$B$2:$B$511,"*b)*",'00 Encuesta'!$C$2:$C$511,"*d)*",'00 Encuesta'!$E$2:$E$511,"*b)*",'00 Encuesta'!$D$2:$D$511,"*b)*")</f>
        <v>0</v>
      </c>
      <c r="Z16" s="52" t="e">
        <f>Y16/$X$7*100</f>
        <v>#DIV/0!</v>
      </c>
      <c r="AA16" s="3"/>
      <c r="AB16" s="62">
        <f>G16+N16+U16</f>
        <v>16</v>
      </c>
      <c r="AC16" s="52">
        <f>AB16*100/$AC$5</f>
        <v>22.857142857142858</v>
      </c>
      <c r="AD16" s="7"/>
      <c r="AE16" s="7"/>
      <c r="AF16" s="9" t="str">
        <f t="shared" si="0"/>
        <v>b) Primaria</v>
      </c>
      <c r="AG16" s="72">
        <f>J16</f>
        <v>23.809523809523807</v>
      </c>
      <c r="AH16" s="72">
        <f>L16</f>
        <v>11.76470588235294</v>
      </c>
      <c r="AI16" s="73">
        <f>H16</f>
        <v>18.421052631578945</v>
      </c>
      <c r="AJ16" s="73"/>
      <c r="AK16" s="74">
        <f>Q16</f>
        <v>23.52941176470588</v>
      </c>
      <c r="AL16" s="74">
        <f>S16</f>
        <v>33.333333333333329</v>
      </c>
      <c r="AM16" s="74">
        <f>O16</f>
        <v>28.125</v>
      </c>
      <c r="AN16" s="74"/>
      <c r="AO16" s="75" t="e">
        <f>X16</f>
        <v>#DIV/0!</v>
      </c>
      <c r="AP16" s="75" t="e">
        <f>Z16</f>
        <v>#DIV/0!</v>
      </c>
      <c r="AQ16" s="75" t="e">
        <f>V16</f>
        <v>#DIV/0!</v>
      </c>
      <c r="AR16" s="76"/>
      <c r="AS16" s="76">
        <f t="shared" ref="AS16:AS79" si="1">AC16</f>
        <v>22.857142857142858</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6</v>
      </c>
      <c r="H17" s="52">
        <f>G17/$J$5*100</f>
        <v>15.789473684210526</v>
      </c>
      <c r="I17" s="53">
        <f>COUNTIFS('00 Encuesta'!$B$2:$B$511,"*b)*",'00 Encuesta'!$C$2:$C$511,"*a)*",'00 Encuesta'!$E$2:$E$511,"*a)*",'00 Encuesta'!$D$2:$D$511,"*c)*")</f>
        <v>2</v>
      </c>
      <c r="J17" s="52">
        <f>I17/$J$6*100</f>
        <v>9.5238095238095237</v>
      </c>
      <c r="K17" s="53">
        <f>COUNTIFS('00 Encuesta'!$B$2:$B$511,"*b)*",'00 Encuesta'!$C$2:$C$511,"*a)*",'00 Encuesta'!$E$2:$E$511,"*b)*",'00 Encuesta'!$D$2:$D$511,"*c)*")</f>
        <v>4</v>
      </c>
      <c r="L17" s="52">
        <f>K17/$J$7*100</f>
        <v>23.52941176470588</v>
      </c>
      <c r="M17" s="23"/>
      <c r="N17" s="51">
        <f>P17+R17</f>
        <v>4</v>
      </c>
      <c r="O17" s="52">
        <f>N17/$Q$5*100</f>
        <v>12.5</v>
      </c>
      <c r="P17" s="53">
        <f>COUNTIFS('00 Encuesta'!$B$2:$B$511,"*b)*",'00 Encuesta'!$C$2:$C$511,"*b)*",'00 Encuesta'!$E$2:$E$511,"*a)*",'00 Encuesta'!$D$2:$D$511,"*c)*")</f>
        <v>2</v>
      </c>
      <c r="Q17" s="52">
        <f>P17/$Q$6*100</f>
        <v>11.76470588235294</v>
      </c>
      <c r="R17" s="53">
        <f>COUNTIFS('00 Encuesta'!$B$2:$B$511,"*b)*",'00 Encuesta'!$C$2:$C$511,"*b)*",'00 Encuesta'!$E$2:$E$511,"*b)*",'00 Encuesta'!$D$2:$D$511,"*c)*")</f>
        <v>2</v>
      </c>
      <c r="S17" s="52">
        <f>R17/$Q$7*100</f>
        <v>13.333333333333334</v>
      </c>
      <c r="T17" s="3"/>
      <c r="U17" s="51">
        <f>W17+Y17</f>
        <v>0</v>
      </c>
      <c r="V17" s="52" t="e">
        <f>U17/$X$5*100</f>
        <v>#DIV/0!</v>
      </c>
      <c r="W17" s="53">
        <f>COUNTIFS('00 Encuesta'!$B$2:$B$511,"*b)*",'00 Encuesta'!$C$2:$C$511,"*d)*",'00 Encuesta'!$E$2:$E$511,"*a)*",'00 Encuesta'!$D$2:$D$511,"*c)*")</f>
        <v>0</v>
      </c>
      <c r="X17" s="52" t="e">
        <f>W17/$X$6*100</f>
        <v>#DIV/0!</v>
      </c>
      <c r="Y17" s="53">
        <f>COUNTIFS('00 Encuesta'!$B$2:$B$511,"*b)*",'00 Encuesta'!$C$2:$C$511,"*d)*",'00 Encuesta'!$E$2:$E$511,"*b)*",'00 Encuesta'!$D$2:$D$511,"*c)*")</f>
        <v>0</v>
      </c>
      <c r="Z17" s="52" t="e">
        <f>Y17/$X$7*100</f>
        <v>#DIV/0!</v>
      </c>
      <c r="AA17" s="3"/>
      <c r="AB17" s="62">
        <f>G17+N17+U17</f>
        <v>10</v>
      </c>
      <c r="AC17" s="52">
        <f>AB17*100/$AC$5</f>
        <v>14.285714285714286</v>
      </c>
      <c r="AD17" s="7"/>
      <c r="AE17" s="7"/>
      <c r="AF17" s="9" t="str">
        <f t="shared" si="0"/>
        <v>c) Entre Primero y Tercer año</v>
      </c>
      <c r="AG17" s="72">
        <f>J17</f>
        <v>9.5238095238095237</v>
      </c>
      <c r="AH17" s="72">
        <f>L17</f>
        <v>23.52941176470588</v>
      </c>
      <c r="AI17" s="73">
        <f>H17</f>
        <v>15.789473684210526</v>
      </c>
      <c r="AJ17" s="73"/>
      <c r="AK17" s="74">
        <f>Q17</f>
        <v>11.76470588235294</v>
      </c>
      <c r="AL17" s="74">
        <f>S17</f>
        <v>13.333333333333334</v>
      </c>
      <c r="AM17" s="74">
        <f>O17</f>
        <v>12.5</v>
      </c>
      <c r="AN17" s="74"/>
      <c r="AO17" s="75" t="e">
        <f>X17</f>
        <v>#DIV/0!</v>
      </c>
      <c r="AP17" s="75" t="e">
        <f>Z17</f>
        <v>#DIV/0!</v>
      </c>
      <c r="AQ17" s="75" t="e">
        <f>V17</f>
        <v>#DIV/0!</v>
      </c>
      <c r="AR17" s="76"/>
      <c r="AS17" s="76">
        <f t="shared" si="1"/>
        <v>14.285714285714286</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f>G18/$J$5*100</f>
        <v>0</v>
      </c>
      <c r="I18" s="53">
        <f>COUNTIFS('00 Encuesta'!$B$2:$B$511,"*b)*",'00 Encuesta'!$C$2:$C$511,"*a)*",'00 Encuesta'!$E$2:$E$511,"*a)*",'00 Encuesta'!$D$2:$D$511,"*d)*")</f>
        <v>0</v>
      </c>
      <c r="J18" s="52">
        <f>I18/$J$6*100</f>
        <v>0</v>
      </c>
      <c r="K18" s="53">
        <f>COUNTIFS('00 Encuesta'!$B$2:$B$511,"*b)*",'00 Encuesta'!$C$2:$C$511,"*a)*",'00 Encuesta'!$E$2:$E$511,"*b)*",'00 Encuesta'!$D$2:$D$511,"*d)*")</f>
        <v>0</v>
      </c>
      <c r="L18" s="52">
        <f>K18/$J$7*100</f>
        <v>0</v>
      </c>
      <c r="M18" s="23"/>
      <c r="N18" s="51">
        <f>P18+R18</f>
        <v>0</v>
      </c>
      <c r="O18" s="52">
        <f>N18/$Q$5*100</f>
        <v>0</v>
      </c>
      <c r="P18" s="53">
        <f>COUNTIFS('00 Encuesta'!$B$2:$B$511,"*b)*",'00 Encuesta'!$C$2:$C$511,"*b)*",'00 Encuesta'!$E$2:$E$511,"*a)*",'00 Encuesta'!$D$2:$D$511,"*d)*")</f>
        <v>0</v>
      </c>
      <c r="Q18" s="52">
        <f>P18/$Q$6*100</f>
        <v>0</v>
      </c>
      <c r="R18" s="53">
        <f>COUNTIFS('00 Encuesta'!$B$2:$B$511,"*b)*",'00 Encuesta'!$C$2:$C$511,"*b)*",'00 Encuesta'!$E$2:$E$511,"*b)*",'00 Encuesta'!$D$2:$D$511,"*d)*")</f>
        <v>0</v>
      </c>
      <c r="S18" s="52">
        <f>R18/$Q$7*100</f>
        <v>0</v>
      </c>
      <c r="T18" s="3"/>
      <c r="U18" s="51">
        <f>W18+Y18</f>
        <v>0</v>
      </c>
      <c r="V18" s="52" t="e">
        <f>U18/$X$5*100</f>
        <v>#DIV/0!</v>
      </c>
      <c r="W18" s="53">
        <f>COUNTIFS('00 Encuesta'!$B$2:$B$511,"*b)*",'00 Encuesta'!$C$2:$C$511,"*d)*",'00 Encuesta'!$E$2:$E$511,"*a)*",'00 Encuesta'!$D$2:$D$511,"*d)*")</f>
        <v>0</v>
      </c>
      <c r="X18" s="52" t="e">
        <f>W18/$X$6*100</f>
        <v>#DIV/0!</v>
      </c>
      <c r="Y18" s="53">
        <f>COUNTIFS('00 Encuesta'!$B$2:$B$511,"*b)*",'00 Encuesta'!$C$2:$C$511,"*d)*",'00 Encuesta'!$E$2:$E$511,"*b)*",'00 Encuesta'!$D$2:$D$511,"*d)*")</f>
        <v>0</v>
      </c>
      <c r="Z18" s="52" t="e">
        <f>Y18/$X$7*100</f>
        <v>#DIV/0!</v>
      </c>
      <c r="AA18" s="3"/>
      <c r="AB18" s="62">
        <f>G18+N18+U18</f>
        <v>0</v>
      </c>
      <c r="AC18" s="52">
        <f>AB18*100/$AC$5</f>
        <v>0</v>
      </c>
      <c r="AD18" s="7"/>
      <c r="AE18" s="7"/>
      <c r="AF18" s="9" t="str">
        <f t="shared" si="0"/>
        <v>d) En  Cuarto año o posterior</v>
      </c>
      <c r="AG18" s="72">
        <f>J18</f>
        <v>0</v>
      </c>
      <c r="AH18" s="72">
        <f>L18</f>
        <v>0</v>
      </c>
      <c r="AI18" s="73">
        <f>H18</f>
        <v>0</v>
      </c>
      <c r="AJ18" s="73"/>
      <c r="AK18" s="74">
        <f>Q18</f>
        <v>0</v>
      </c>
      <c r="AL18" s="74">
        <f>S18</f>
        <v>0</v>
      </c>
      <c r="AM18" s="74">
        <f>O18</f>
        <v>0</v>
      </c>
      <c r="AN18" s="74"/>
      <c r="AO18" s="75" t="e">
        <f>X18</f>
        <v>#DIV/0!</v>
      </c>
      <c r="AP18" s="75" t="e">
        <f>Z18</f>
        <v>#DIV/0!</v>
      </c>
      <c r="AQ18" s="75" t="e">
        <f>V18</f>
        <v>#DIV/0!</v>
      </c>
      <c r="AR18" s="76"/>
      <c r="AS18" s="76">
        <f t="shared" si="1"/>
        <v>0</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f>N19/$Q$5*100</f>
        <v>0</v>
      </c>
      <c r="P19" s="53"/>
      <c r="Q19" s="52">
        <f>P19/$Q$6*100</f>
        <v>0</v>
      </c>
      <c r="R19" s="53"/>
      <c r="S19" s="52">
        <f>R19/$Q$7*100</f>
        <v>0</v>
      </c>
      <c r="T19" s="3"/>
      <c r="U19" s="51">
        <f>W19+Y19</f>
        <v>0</v>
      </c>
      <c r="V19" s="52" t="e">
        <f>U19/$X$5*100</f>
        <v>#DIV/0!</v>
      </c>
      <c r="W19" s="53"/>
      <c r="X19" s="52" t="e">
        <f>W19/$X$6*100</f>
        <v>#DIV/0!</v>
      </c>
      <c r="Y19" s="53"/>
      <c r="Z19" s="52" t="e">
        <f>Y19/$X$7*100</f>
        <v>#DIV/0!</v>
      </c>
      <c r="AA19" s="3"/>
      <c r="AB19" s="62">
        <f>G19+N19+U19</f>
        <v>0</v>
      </c>
      <c r="AC19" s="52">
        <f>AB19*100/$AC$5</f>
        <v>0</v>
      </c>
      <c r="AD19" s="7"/>
      <c r="AE19" s="7"/>
      <c r="AF19" s="9" t="str">
        <f t="shared" si="0"/>
        <v>S/R Sin Respuesta</v>
      </c>
      <c r="AG19" s="72">
        <f>J19</f>
        <v>0</v>
      </c>
      <c r="AH19" s="72">
        <f>L19</f>
        <v>0</v>
      </c>
      <c r="AI19" s="73">
        <f>H19</f>
        <v>0</v>
      </c>
      <c r="AJ19" s="73"/>
      <c r="AK19" s="74">
        <f>Q19</f>
        <v>0</v>
      </c>
      <c r="AL19" s="74">
        <f>S19</f>
        <v>0</v>
      </c>
      <c r="AM19" s="74">
        <f>O19</f>
        <v>0</v>
      </c>
      <c r="AN19" s="74"/>
      <c r="AO19" s="75" t="e">
        <f>X19</f>
        <v>#DIV/0!</v>
      </c>
      <c r="AP19" s="75" t="e">
        <f>Z19</f>
        <v>#DIV/0!</v>
      </c>
      <c r="AQ19" s="75" t="e">
        <f>V19</f>
        <v>#DIV/0!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35</v>
      </c>
      <c r="H23" s="52">
        <f>G23/$J$5*100</f>
        <v>92.10526315789474</v>
      </c>
      <c r="I23" s="53">
        <f>COUNTIFS('00 Encuesta'!$B$2:$B$511,"*b)*",'00 Encuesta'!$C$2:$C$511,"*a)*",'00 Encuesta'!$E$2:$E$511,"*a)*",'00 Encuesta'!$F$2:$F$511,"*a)*")</f>
        <v>20</v>
      </c>
      <c r="J23" s="52">
        <f>I23/$J$6*100</f>
        <v>95.238095238095227</v>
      </c>
      <c r="K23" s="53">
        <f>COUNTIFS('00 Encuesta'!$B$2:$B$511,"*b)*",'00 Encuesta'!$C$2:$C$511,"*a)*",'00 Encuesta'!$E$2:$E$511,"*b)*",'00 Encuesta'!$F$2:$F$511,"*a)*")</f>
        <v>15</v>
      </c>
      <c r="L23" s="52">
        <f>K23/$J$7*100</f>
        <v>88.235294117647058</v>
      </c>
      <c r="M23" s="23"/>
      <c r="N23" s="51">
        <f>P23+R23</f>
        <v>32</v>
      </c>
      <c r="O23" s="52">
        <f>N23/$Q$5*100</f>
        <v>100</v>
      </c>
      <c r="P23" s="53">
        <f>COUNTIFS('00 Encuesta'!$B$2:$B$511,"*b)*",'00 Encuesta'!$C$2:$C$511,"*b)*",'00 Encuesta'!$E$2:$E$511,"*a)*",'00 Encuesta'!$F$2:$F$511,"*a)*")</f>
        <v>17</v>
      </c>
      <c r="Q23" s="52">
        <f>P23/$Q$6*100</f>
        <v>100</v>
      </c>
      <c r="R23" s="53">
        <f>COUNTIFS('00 Encuesta'!$B$2:$B$511,"*b)*",'00 Encuesta'!$C$2:$C$511,"*b)*",'00 Encuesta'!$E$2:$E$511,"*b)*",'00 Encuesta'!$F$2:$F$511,"*a)*")</f>
        <v>15</v>
      </c>
      <c r="S23" s="52">
        <f>R23/$Q$7*100</f>
        <v>100</v>
      </c>
      <c r="T23" s="3"/>
      <c r="U23" s="51">
        <f>W23+Y23</f>
        <v>0</v>
      </c>
      <c r="V23" s="52" t="e">
        <f>U23/$X$5*100</f>
        <v>#DIV/0!</v>
      </c>
      <c r="W23" s="53">
        <f>COUNTIFS('00 Encuesta'!$B$2:$B$511,"*b)*",'00 Encuesta'!$C$2:$C$511,"*d)*",'00 Encuesta'!$E$2:$E$511,"*a)*",'00 Encuesta'!$F$2:$F$511,"*a)*")</f>
        <v>0</v>
      </c>
      <c r="X23" s="52" t="e">
        <f>W23/$X$6*100</f>
        <v>#DIV/0!</v>
      </c>
      <c r="Y23" s="53">
        <f>COUNTIFS('00 Encuesta'!$B$2:$B$511,"*b)*",'00 Encuesta'!$C$2:$C$511,"*d)*",'00 Encuesta'!$E$2:$E$511,"*b)*",'00 Encuesta'!$F$2:$F$511,"*a)*")</f>
        <v>0</v>
      </c>
      <c r="Z23" s="52" t="e">
        <f>Y23/$X$7*100</f>
        <v>#DIV/0!</v>
      </c>
      <c r="AA23" s="3"/>
      <c r="AB23" s="62">
        <f>G23+N23+U23</f>
        <v>67</v>
      </c>
      <c r="AC23" s="52">
        <f>AB23*100/$AC$5</f>
        <v>95.714285714285708</v>
      </c>
      <c r="AD23" s="7"/>
      <c r="AE23" s="7"/>
      <c r="AF23" s="9" t="str">
        <f>A23&amp;" "&amp;B23</f>
        <v>a) Católica</v>
      </c>
      <c r="AG23" s="72">
        <f>J23</f>
        <v>95.238095238095227</v>
      </c>
      <c r="AH23" s="72">
        <f>L23</f>
        <v>88.235294117647058</v>
      </c>
      <c r="AI23" s="73">
        <f>H23</f>
        <v>92.10526315789474</v>
      </c>
      <c r="AJ23" s="73"/>
      <c r="AK23" s="74">
        <f>Q23</f>
        <v>100</v>
      </c>
      <c r="AL23" s="74">
        <f>S23</f>
        <v>100</v>
      </c>
      <c r="AM23" s="74">
        <f>O23</f>
        <v>100</v>
      </c>
      <c r="AN23" s="74"/>
      <c r="AO23" s="75" t="e">
        <f>X23</f>
        <v>#DIV/0!</v>
      </c>
      <c r="AP23" s="75" t="e">
        <f>Z23</f>
        <v>#DIV/0!</v>
      </c>
      <c r="AQ23" s="75" t="e">
        <f>V23</f>
        <v>#DIV/0!</v>
      </c>
      <c r="AR23" s="7"/>
      <c r="AS23" s="76">
        <f t="shared" si="1"/>
        <v>95.714285714285708</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2</v>
      </c>
      <c r="H24" s="52">
        <f>G24/$J$5*100</f>
        <v>5.2631578947368416</v>
      </c>
      <c r="I24" s="53">
        <f>COUNTIFS('00 Encuesta'!$B$2:$B$511,"*b)*",'00 Encuesta'!$C$2:$C$511,"*a)*",'00 Encuesta'!$E$2:$E$511,"*a)*",'00 Encuesta'!$F$2:$F$511,"*b)*")</f>
        <v>1</v>
      </c>
      <c r="J24" s="52">
        <f>I24/$J$6*100</f>
        <v>4.7619047619047619</v>
      </c>
      <c r="K24" s="53">
        <f>COUNTIFS('00 Encuesta'!$B$2:$B$511,"*b)*",'00 Encuesta'!$C$2:$C$511,"*a)*",'00 Encuesta'!$E$2:$E$511,"*b)*",'00 Encuesta'!$F$2:$F$511,"*b)*")</f>
        <v>1</v>
      </c>
      <c r="L24" s="52">
        <f>K24/$J$7*100</f>
        <v>5.8823529411764701</v>
      </c>
      <c r="M24" s="23"/>
      <c r="N24" s="51">
        <f>P24+R24</f>
        <v>0</v>
      </c>
      <c r="O24" s="52">
        <f>N24/$Q$5*100</f>
        <v>0</v>
      </c>
      <c r="P24" s="53">
        <f>COUNTIFS('00 Encuesta'!$B$2:$B$511,"*b)*",'00 Encuesta'!$C$2:$C$511,"*b)*",'00 Encuesta'!$E$2:$E$511,"*a)*",'00 Encuesta'!$F$2:$F$511,"*b)*")</f>
        <v>0</v>
      </c>
      <c r="Q24" s="52">
        <f>P24/$Q$6*100</f>
        <v>0</v>
      </c>
      <c r="R24" s="53">
        <f>COUNTIFS('00 Encuesta'!$B$2:$B$511,"*b)*",'00 Encuesta'!$C$2:$C$511,"*b)*",'00 Encuesta'!$E$2:$E$511,"*b)*",'00 Encuesta'!$F$2:$F$511,"*b)*")</f>
        <v>0</v>
      </c>
      <c r="S24" s="52">
        <f>R24/$Q$7*100</f>
        <v>0</v>
      </c>
      <c r="T24" s="3"/>
      <c r="U24" s="51">
        <f>W24+Y24</f>
        <v>0</v>
      </c>
      <c r="V24" s="52" t="e">
        <f>U24/$X$5*100</f>
        <v>#DIV/0!</v>
      </c>
      <c r="W24" s="53">
        <f>COUNTIFS('00 Encuesta'!$B$2:$B$511,"*b)*",'00 Encuesta'!$C$2:$C$511,"*d)*",'00 Encuesta'!$E$2:$E$511,"*a)*",'00 Encuesta'!$F$2:$F$511,"*b)*")</f>
        <v>0</v>
      </c>
      <c r="X24" s="52" t="e">
        <f>W24/$X$6*100</f>
        <v>#DIV/0!</v>
      </c>
      <c r="Y24" s="53">
        <f>COUNTIFS('00 Encuesta'!$B$2:$B$511,"*b)*",'00 Encuesta'!$C$2:$C$511,"*d)*",'00 Encuesta'!$E$2:$E$511,"*b)*",'00 Encuesta'!$F$2:$F$511,"*b)*")</f>
        <v>0</v>
      </c>
      <c r="Z24" s="52" t="e">
        <f>Y24/$X$7*100</f>
        <v>#DIV/0!</v>
      </c>
      <c r="AA24" s="3"/>
      <c r="AB24" s="62">
        <f>G24+N24+U24</f>
        <v>2</v>
      </c>
      <c r="AC24" s="52">
        <f>AB24*100/$AC$5</f>
        <v>2.8571428571428572</v>
      </c>
      <c r="AD24" s="7"/>
      <c r="AE24" s="7"/>
      <c r="AF24" s="9" t="str">
        <f>A24&amp;" "&amp;B24</f>
        <v>b) Evangélica</v>
      </c>
      <c r="AG24" s="72">
        <f>J24</f>
        <v>4.7619047619047619</v>
      </c>
      <c r="AH24" s="72">
        <f>L24</f>
        <v>5.8823529411764701</v>
      </c>
      <c r="AI24" s="73">
        <f>H24</f>
        <v>5.2631578947368416</v>
      </c>
      <c r="AJ24" s="73"/>
      <c r="AK24" s="74">
        <f>Q24</f>
        <v>0</v>
      </c>
      <c r="AL24" s="74">
        <f>S24</f>
        <v>0</v>
      </c>
      <c r="AM24" s="74">
        <f>O24</f>
        <v>0</v>
      </c>
      <c r="AN24" s="74"/>
      <c r="AO24" s="75" t="e">
        <f>X24</f>
        <v>#DIV/0!</v>
      </c>
      <c r="AP24" s="75" t="e">
        <f>Z24</f>
        <v>#DIV/0!</v>
      </c>
      <c r="AQ24" s="75" t="e">
        <f>V24</f>
        <v>#DIV/0!</v>
      </c>
      <c r="AR24" s="7"/>
      <c r="AS24" s="76">
        <f t="shared" si="1"/>
        <v>2.8571428571428572</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ht="15" x14ac:dyDescent="0.25">
      <c r="A25" s="8" t="s">
        <v>20</v>
      </c>
      <c r="B25" s="9" t="s">
        <v>29</v>
      </c>
      <c r="C25" s="7"/>
      <c r="D25" s="7"/>
      <c r="E25" s="7"/>
      <c r="F25" s="71"/>
      <c r="G25" s="51">
        <f>I25+K25</f>
        <v>0</v>
      </c>
      <c r="H25" s="52">
        <f>G25/$J$5*100</f>
        <v>0</v>
      </c>
      <c r="I25" s="53">
        <f>COUNTIFS('00 Encuesta'!$B$2:$B$511,"*b)*",'00 Encuesta'!$C$2:$C$511,"*a)*",'00 Encuesta'!$E$2:$E$511,"*a)*",'00 Encuesta'!$F$2:$F$511,"*c)*")</f>
        <v>0</v>
      </c>
      <c r="J25" s="52">
        <f>I25/$J$6*100</f>
        <v>0</v>
      </c>
      <c r="K25" s="53">
        <f>COUNTIFS('00 Encuesta'!$B$2:$B$511,"*b)*",'00 Encuesta'!$C$2:$C$511,"*a)*",'00 Encuesta'!$E$2:$E$511,"*b)*",'00 Encuesta'!$F$2:$F$511,"*c)*")</f>
        <v>0</v>
      </c>
      <c r="L25" s="52">
        <f>K25/$J$7*100</f>
        <v>0</v>
      </c>
      <c r="M25" s="23"/>
      <c r="N25" s="51">
        <f>P25+R25</f>
        <v>0</v>
      </c>
      <c r="O25" s="52">
        <f>N25/$Q$5*100</f>
        <v>0</v>
      </c>
      <c r="P25" s="53">
        <f>COUNTIFS('00 Encuesta'!$B$2:$B$511,"*b)*",'00 Encuesta'!$C$2:$C$511,"*b)*",'00 Encuesta'!$E$2:$E$511,"*a)*",'00 Encuesta'!$F$2:$F$511,"*c)*")</f>
        <v>0</v>
      </c>
      <c r="Q25" s="52">
        <f>P25/$Q$6*100</f>
        <v>0</v>
      </c>
      <c r="R25" s="53">
        <f>COUNTIFS('00 Encuesta'!$B$2:$B$511,"*b)*",'00 Encuesta'!$C$2:$C$511,"*b)*",'00 Encuesta'!$E$2:$E$511,"*b)*",'00 Encuesta'!$F$2:$F$511,"*c)*")</f>
        <v>0</v>
      </c>
      <c r="S25" s="52">
        <f>R25/$Q$7*100</f>
        <v>0</v>
      </c>
      <c r="T25" s="3"/>
      <c r="U25" s="51">
        <f>W25+Y25</f>
        <v>0</v>
      </c>
      <c r="V25" s="52" t="e">
        <f>U25/$X$5*100</f>
        <v>#DIV/0!</v>
      </c>
      <c r="W25" s="53">
        <f>COUNTIFS('00 Encuesta'!$B$2:$B$511,"*b)*",'00 Encuesta'!$C$2:$C$511,"*d)*",'00 Encuesta'!$E$2:$E$511,"*a)*",'00 Encuesta'!$F$2:$F$511,"*c)*")</f>
        <v>0</v>
      </c>
      <c r="X25" s="52" t="e">
        <f>W25/$X$6*100</f>
        <v>#DIV/0!</v>
      </c>
      <c r="Y25" s="53">
        <f>COUNTIFS('00 Encuesta'!$B$2:$B$511,"*b)*",'00 Encuesta'!$C$2:$C$511,"*d)*",'00 Encuesta'!$E$2:$E$511,"*b)*",'00 Encuesta'!$F$2:$F$511,"*c)*")</f>
        <v>0</v>
      </c>
      <c r="Z25" s="52" t="e">
        <f>Y25/$X$7*100</f>
        <v>#DIV/0!</v>
      </c>
      <c r="AA25" s="3"/>
      <c r="AB25" s="62">
        <f>G25+N25+U25</f>
        <v>0</v>
      </c>
      <c r="AC25" s="52">
        <f>AB25*100/$AC$5</f>
        <v>0</v>
      </c>
      <c r="AD25" s="7"/>
      <c r="AE25" s="7"/>
      <c r="AF25" s="9" t="str">
        <f>A25&amp;" "&amp;B25</f>
        <v>c) Musulmana</v>
      </c>
      <c r="AG25" s="72">
        <f>J25</f>
        <v>0</v>
      </c>
      <c r="AH25" s="72">
        <f>L25</f>
        <v>0</v>
      </c>
      <c r="AI25" s="73">
        <f>H25</f>
        <v>0</v>
      </c>
      <c r="AJ25" s="73"/>
      <c r="AK25" s="74">
        <f>Q25</f>
        <v>0</v>
      </c>
      <c r="AL25" s="74">
        <f>S25</f>
        <v>0</v>
      </c>
      <c r="AM25" s="74">
        <f>O25</f>
        <v>0</v>
      </c>
      <c r="AN25" s="74"/>
      <c r="AO25" s="75" t="e">
        <f>X25</f>
        <v>#DIV/0!</v>
      </c>
      <c r="AP25" s="75" t="e">
        <f>Z25</f>
        <v>#DIV/0!</v>
      </c>
      <c r="AQ25" s="75" t="e">
        <f>V25</f>
        <v>#DIV/0!</v>
      </c>
      <c r="AR25" s="7"/>
      <c r="AS25" s="76">
        <f t="shared" si="1"/>
        <v>0</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ht="15" x14ac:dyDescent="0.25">
      <c r="A26" s="8" t="s">
        <v>21</v>
      </c>
      <c r="B26" s="9" t="s">
        <v>30</v>
      </c>
      <c r="C26" s="7"/>
      <c r="D26" s="7"/>
      <c r="E26" s="7"/>
      <c r="F26" s="71"/>
      <c r="G26" s="51">
        <f>I26+K26</f>
        <v>0</v>
      </c>
      <c r="H26" s="52">
        <f>G26/$J$5*100</f>
        <v>0</v>
      </c>
      <c r="I26" s="53">
        <f>COUNTIFS('00 Encuesta'!$B$2:$B$511,"*b)*",'00 Encuesta'!$C$2:$C$511,"*a)*",'00 Encuesta'!$E$2:$E$511,"*a)*",'00 Encuesta'!$F$2:$F$511,"*d)*")</f>
        <v>0</v>
      </c>
      <c r="J26" s="52">
        <f>I26/$J$6*100</f>
        <v>0</v>
      </c>
      <c r="K26" s="53">
        <f>COUNTIFS('00 Encuesta'!$B$2:$B$511,"*b)*",'00 Encuesta'!$C$2:$C$511,"*a)*",'00 Encuesta'!$E$2:$E$511,"*b)*",'00 Encuesta'!$F$2:$F$511,"*d)*")</f>
        <v>0</v>
      </c>
      <c r="L26" s="52">
        <f>K26/$J$7*100</f>
        <v>0</v>
      </c>
      <c r="M26" s="23"/>
      <c r="N26" s="51">
        <f>P26+R26</f>
        <v>0</v>
      </c>
      <c r="O26" s="52">
        <f>N26/$Q$5*100</f>
        <v>0</v>
      </c>
      <c r="P26" s="53">
        <f>COUNTIFS('00 Encuesta'!$B$2:$B$511,"*b)*",'00 Encuesta'!$C$2:$C$511,"*b)*",'00 Encuesta'!$E$2:$E$511,"*a)*",'00 Encuesta'!$F$2:$F$511,"*d)*")</f>
        <v>0</v>
      </c>
      <c r="Q26" s="52">
        <f>P26/$Q$6*100</f>
        <v>0</v>
      </c>
      <c r="R26" s="53">
        <f>COUNTIFS('00 Encuesta'!$B$2:$B$511,"*b)*",'00 Encuesta'!$C$2:$C$511,"*b)*",'00 Encuesta'!$E$2:$E$511,"*b)*",'00 Encuesta'!$F$2:$F$511,"*d)*")</f>
        <v>0</v>
      </c>
      <c r="S26" s="52">
        <f>R26/$Q$7*100</f>
        <v>0</v>
      </c>
      <c r="T26" s="3"/>
      <c r="U26" s="51">
        <f>W26+Y26</f>
        <v>0</v>
      </c>
      <c r="V26" s="52" t="e">
        <f>U26/$X$5*100</f>
        <v>#DIV/0!</v>
      </c>
      <c r="W26" s="53">
        <f>COUNTIFS('00 Encuesta'!$B$2:$B$511,"*b)*",'00 Encuesta'!$C$2:$C$511,"*d)*",'00 Encuesta'!$E$2:$E$511,"*a)*",'00 Encuesta'!$F$2:$F$511,"*d)*")</f>
        <v>0</v>
      </c>
      <c r="X26" s="52" t="e">
        <f>W26/$X$6*100</f>
        <v>#DIV/0!</v>
      </c>
      <c r="Y26" s="53">
        <f>COUNTIFS('00 Encuesta'!$B$2:$B$511,"*b)*",'00 Encuesta'!$C$2:$C$511,"*d)*",'00 Encuesta'!$E$2:$E$511,"*b)*",'00 Encuesta'!$F$2:$F$511,"*d)*")</f>
        <v>0</v>
      </c>
      <c r="Z26" s="52" t="e">
        <f>Y26/$X$7*100</f>
        <v>#DIV/0!</v>
      </c>
      <c r="AA26" s="3"/>
      <c r="AB26" s="62">
        <f>G26+N26+U26</f>
        <v>0</v>
      </c>
      <c r="AC26" s="52">
        <f>AB26*100/$AC$5</f>
        <v>0</v>
      </c>
      <c r="AD26" s="7"/>
      <c r="AE26" s="7"/>
      <c r="AF26" s="9" t="str">
        <f>A26&amp;" "&amp;B26</f>
        <v>d) Otra</v>
      </c>
      <c r="AG26" s="72">
        <f>J26</f>
        <v>0</v>
      </c>
      <c r="AH26" s="72">
        <f>L26</f>
        <v>0</v>
      </c>
      <c r="AI26" s="73">
        <f>H26</f>
        <v>0</v>
      </c>
      <c r="AJ26" s="73"/>
      <c r="AK26" s="74">
        <f>Q26</f>
        <v>0</v>
      </c>
      <c r="AL26" s="74">
        <f>S26</f>
        <v>0</v>
      </c>
      <c r="AM26" s="74">
        <f>O26</f>
        <v>0</v>
      </c>
      <c r="AN26" s="74"/>
      <c r="AO26" s="75" t="e">
        <f>X26</f>
        <v>#DIV/0!</v>
      </c>
      <c r="AP26" s="75" t="e">
        <f>Z26</f>
        <v>#DIV/0!</v>
      </c>
      <c r="AQ26" s="75" t="e">
        <f>V26</f>
        <v>#DIV/0!</v>
      </c>
      <c r="AR26" s="7"/>
      <c r="AS26" s="76">
        <f t="shared" si="1"/>
        <v>0</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ht="15" x14ac:dyDescent="0.25">
      <c r="A27" s="8" t="s">
        <v>23</v>
      </c>
      <c r="B27" s="9" t="s">
        <v>24</v>
      </c>
      <c r="C27" s="7"/>
      <c r="D27" s="7"/>
      <c r="E27" s="7"/>
      <c r="F27" s="71"/>
      <c r="G27" s="51">
        <f>I27+K27</f>
        <v>0</v>
      </c>
      <c r="H27" s="52">
        <f>G27/$J$5*100</f>
        <v>0</v>
      </c>
      <c r="I27" s="53"/>
      <c r="J27" s="52">
        <f>I27/$J$6*100</f>
        <v>0</v>
      </c>
      <c r="K27" s="53"/>
      <c r="L27" s="52">
        <f>K27/$J$7*100</f>
        <v>0</v>
      </c>
      <c r="M27" s="23"/>
      <c r="N27" s="51">
        <f>P27+R27</f>
        <v>0</v>
      </c>
      <c r="O27" s="52">
        <f>N27/$Q$5*100</f>
        <v>0</v>
      </c>
      <c r="P27" s="53"/>
      <c r="Q27" s="52">
        <f>P27/$Q$6*100</f>
        <v>0</v>
      </c>
      <c r="R27" s="53"/>
      <c r="S27" s="52">
        <f>R27/$Q$7*100</f>
        <v>0</v>
      </c>
      <c r="T27" s="3"/>
      <c r="U27" s="51">
        <f>W27+Y27</f>
        <v>0</v>
      </c>
      <c r="V27" s="52" t="e">
        <f>U27/$X$5*100</f>
        <v>#DIV/0!</v>
      </c>
      <c r="W27" s="53"/>
      <c r="X27" s="52" t="e">
        <f>W27/$X$6*100</f>
        <v>#DIV/0!</v>
      </c>
      <c r="Y27" s="53"/>
      <c r="Z27" s="52" t="e">
        <f>Y27/$X$7*100</f>
        <v>#DIV/0!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ht="15" x14ac:dyDescent="0.25">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37</v>
      </c>
      <c r="H30" s="52">
        <f t="shared" ref="H30:H35" si="3">G30/$J$5*100</f>
        <v>97.368421052631575</v>
      </c>
      <c r="I30" s="53">
        <f>COUNTIFS('00 Encuesta'!$B$2:$B$511,"*b)*",'00 Encuesta'!$C$2:$C$511,"*a)*",'00 Encuesta'!$E$2:$E$511,"*a)*",'00 Encuesta'!$G$2:$G$511,"*a)*")</f>
        <v>21</v>
      </c>
      <c r="J30" s="52">
        <f t="shared" ref="J30:J35" si="4">I30/$J$6*100</f>
        <v>100</v>
      </c>
      <c r="K30" s="53">
        <f>COUNTIFS('00 Encuesta'!$B$2:$B$511,"*b)*",'00 Encuesta'!$C$2:$C$511,"*a)*",'00 Encuesta'!$E$2:$E$511,"*b)*",'00 Encuesta'!$G$2:$G$511,"*a)*")</f>
        <v>16</v>
      </c>
      <c r="L30" s="52">
        <f>K30/$J$7*100</f>
        <v>94.117647058823522</v>
      </c>
      <c r="M30" s="23"/>
      <c r="N30" s="51">
        <f>P30+R30</f>
        <v>29</v>
      </c>
      <c r="O30" s="52">
        <f>N30/$Q$5*100</f>
        <v>90.625</v>
      </c>
      <c r="P30" s="53">
        <f>COUNTIFS('00 Encuesta'!$B$2:$B$511,"*b)*",'00 Encuesta'!$C$2:$C$511,"*b)*",'00 Encuesta'!$E$2:$E$511,"*a)*",'00 Encuesta'!$G$2:$G$511,"*a)*")</f>
        <v>15</v>
      </c>
      <c r="Q30" s="52">
        <f>P30/$Q$6*100</f>
        <v>88.235294117647058</v>
      </c>
      <c r="R30" s="53">
        <f>COUNTIFS('00 Encuesta'!$B$2:$B$511,"*b)*",'00 Encuesta'!$C$2:$C$511,"*b)*",'00 Encuesta'!$E$2:$E$511,"*b)*",'00 Encuesta'!$G$2:$G$511,"*a)*")</f>
        <v>14</v>
      </c>
      <c r="S30" s="52">
        <f>R30/$Q$7*100</f>
        <v>93.333333333333329</v>
      </c>
      <c r="T30" s="3"/>
      <c r="U30" s="51">
        <f>W30+Y30</f>
        <v>0</v>
      </c>
      <c r="V30" s="52" t="e">
        <f>U30/$X$5*100</f>
        <v>#DIV/0!</v>
      </c>
      <c r="W30" s="53">
        <f>COUNTIFS('00 Encuesta'!$B$2:$B$511,"*b)*",'00 Encuesta'!$C$2:$C$511,"*d)*",'00 Encuesta'!$E$2:$E$511,"*a)*",'00 Encuesta'!$G$2:$G$511,"*a)*")</f>
        <v>0</v>
      </c>
      <c r="X30" s="52" t="e">
        <f>W30/$X$6*100</f>
        <v>#DIV/0!</v>
      </c>
      <c r="Y30" s="53">
        <f>COUNTIFS('00 Encuesta'!$B$2:$B$511,"*b)*",'00 Encuesta'!$C$2:$C$511,"*d)*",'00 Encuesta'!$E$2:$E$511,"*b)*",'00 Encuesta'!$G$2:$G$511,"*a)*")</f>
        <v>0</v>
      </c>
      <c r="Z30" s="52" t="e">
        <f t="shared" ref="Z30:Z35" si="5">Y30/$X$7*100</f>
        <v>#DIV/0!</v>
      </c>
      <c r="AA30" s="3"/>
      <c r="AB30" s="62">
        <f t="shared" ref="AB30:AB64" si="6">G30+N30+U30</f>
        <v>66</v>
      </c>
      <c r="AC30" s="52">
        <f t="shared" ref="AC30:AC35" si="7">AB30*100/$AC$5</f>
        <v>94.285714285714292</v>
      </c>
      <c r="AD30" s="7"/>
      <c r="AE30" s="7"/>
      <c r="AF30" s="9" t="str">
        <f t="shared" ref="AF30:AF35" si="8">A30&amp;" "&amp;B30</f>
        <v>a) Mamá</v>
      </c>
      <c r="AG30" s="72">
        <f t="shared" ref="AG30:AG35" si="9">J30</f>
        <v>100</v>
      </c>
      <c r="AH30" s="72">
        <f t="shared" ref="AH30:AH35" si="10">L30</f>
        <v>94.117647058823522</v>
      </c>
      <c r="AI30" s="73">
        <f t="shared" ref="AI30:AI35" si="11">H30</f>
        <v>97.368421052631575</v>
      </c>
      <c r="AJ30" s="73"/>
      <c r="AK30" s="74">
        <f t="shared" ref="AK30:AK35" si="12">Q30</f>
        <v>88.235294117647058</v>
      </c>
      <c r="AL30" s="74">
        <f t="shared" ref="AL30:AL35" si="13">S30</f>
        <v>93.333333333333329</v>
      </c>
      <c r="AM30" s="74">
        <f t="shared" ref="AM30:AM35" si="14">O30</f>
        <v>90.625</v>
      </c>
      <c r="AN30" s="74"/>
      <c r="AO30" s="75" t="e">
        <f t="shared" ref="AO30:AO35" si="15">X30</f>
        <v>#DIV/0!</v>
      </c>
      <c r="AP30" s="75" t="e">
        <f t="shared" ref="AP30:AP35" si="16">Z30</f>
        <v>#DIV/0!</v>
      </c>
      <c r="AQ30" s="75" t="e">
        <f t="shared" ref="AQ30:AQ35" si="17">V30</f>
        <v>#DIV/0!</v>
      </c>
      <c r="AR30" s="7"/>
      <c r="AS30" s="76">
        <f t="shared" si="1"/>
        <v>94.285714285714292</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31</v>
      </c>
      <c r="H31" s="52">
        <f t="shared" si="3"/>
        <v>81.578947368421055</v>
      </c>
      <c r="I31" s="53">
        <f>COUNTIFS('00 Encuesta'!$B$2:$B$511,"*b)*",'00 Encuesta'!$C$2:$C$511,"*a)*",'00 Encuesta'!$E$2:$E$511,"*a)*",'00 Encuesta'!$G$2:$G$511,"*b)*")</f>
        <v>18</v>
      </c>
      <c r="J31" s="52">
        <f t="shared" si="4"/>
        <v>85.714285714285708</v>
      </c>
      <c r="K31" s="53">
        <f>COUNTIFS('00 Encuesta'!$B$2:$B$511,"*b)*",'00 Encuesta'!$C$2:$C$511,"*a)*",'00 Encuesta'!$E$2:$E$511,"*b)*",'00 Encuesta'!$G$2:$G$511,"*b)*")</f>
        <v>13</v>
      </c>
      <c r="L31" s="52">
        <f>K31/$J$7*100</f>
        <v>76.470588235294116</v>
      </c>
      <c r="M31" s="23"/>
      <c r="N31" s="51">
        <f>P31+R31</f>
        <v>29</v>
      </c>
      <c r="O31" s="52">
        <f>N31/$Q$5*100</f>
        <v>90.625</v>
      </c>
      <c r="P31" s="53">
        <f>COUNTIFS('00 Encuesta'!$B$2:$B$511,"*b)*",'00 Encuesta'!$C$2:$C$511,"*b)*",'00 Encuesta'!$E$2:$E$511,"*a)*",'00 Encuesta'!$G$2:$G$511,"*b)*")</f>
        <v>15</v>
      </c>
      <c r="Q31" s="52">
        <f>P31/$Q$6*100</f>
        <v>88.235294117647058</v>
      </c>
      <c r="R31" s="53">
        <f>COUNTIFS('00 Encuesta'!$B$2:$B$511,"*b)*",'00 Encuesta'!$C$2:$C$511,"*b)*",'00 Encuesta'!$E$2:$E$511,"*b)*",'00 Encuesta'!$G$2:$G$511,"*b)*")</f>
        <v>14</v>
      </c>
      <c r="S31" s="52">
        <f>R31/$Q$7*100</f>
        <v>93.333333333333329</v>
      </c>
      <c r="T31" s="3"/>
      <c r="U31" s="51">
        <f>W31+Y31</f>
        <v>0</v>
      </c>
      <c r="V31" s="52" t="e">
        <f>U31/$X$5*100</f>
        <v>#DIV/0!</v>
      </c>
      <c r="W31" s="53">
        <f>COUNTIFS('00 Encuesta'!$B$2:$B$511,"*b)*",'00 Encuesta'!$C$2:$C$511,"*d)*",'00 Encuesta'!$E$2:$E$511,"*a)*",'00 Encuesta'!$G$2:$G$511,"*b)*")</f>
        <v>0</v>
      </c>
      <c r="X31" s="52" t="e">
        <f>W31/$X$6*100</f>
        <v>#DIV/0!</v>
      </c>
      <c r="Y31" s="53">
        <f>COUNTIFS('00 Encuesta'!$B$2:$B$511,"*b)*",'00 Encuesta'!$C$2:$C$511,"*d)*",'00 Encuesta'!$E$2:$E$511,"*b)*",'00 Encuesta'!$G$2:$G$511,"*b)*")</f>
        <v>0</v>
      </c>
      <c r="Z31" s="52" t="e">
        <f t="shared" si="5"/>
        <v>#DIV/0!</v>
      </c>
      <c r="AA31" s="3"/>
      <c r="AB31" s="62">
        <f t="shared" si="6"/>
        <v>60</v>
      </c>
      <c r="AC31" s="52">
        <f t="shared" si="7"/>
        <v>85.714285714285708</v>
      </c>
      <c r="AD31" s="7"/>
      <c r="AE31" s="7"/>
      <c r="AF31" s="9" t="str">
        <f t="shared" si="8"/>
        <v>b) Papá</v>
      </c>
      <c r="AG31" s="72">
        <f t="shared" si="9"/>
        <v>85.714285714285708</v>
      </c>
      <c r="AH31" s="72">
        <f t="shared" si="10"/>
        <v>76.470588235294116</v>
      </c>
      <c r="AI31" s="73">
        <f t="shared" si="11"/>
        <v>81.578947368421055</v>
      </c>
      <c r="AJ31" s="73"/>
      <c r="AK31" s="74">
        <f t="shared" si="12"/>
        <v>88.235294117647058</v>
      </c>
      <c r="AL31" s="74">
        <f t="shared" si="13"/>
        <v>93.333333333333329</v>
      </c>
      <c r="AM31" s="74">
        <f t="shared" si="14"/>
        <v>90.625</v>
      </c>
      <c r="AN31" s="74"/>
      <c r="AO31" s="75" t="e">
        <f t="shared" si="15"/>
        <v>#DIV/0!</v>
      </c>
      <c r="AP31" s="75" t="e">
        <f t="shared" si="16"/>
        <v>#DIV/0!</v>
      </c>
      <c r="AQ31" s="75" t="e">
        <f t="shared" si="17"/>
        <v>#DIV/0!</v>
      </c>
      <c r="AR31" s="7"/>
      <c r="AS31" s="76">
        <f t="shared" si="1"/>
        <v>85.714285714285708</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ht="15" x14ac:dyDescent="0.25">
      <c r="A32" s="8" t="s">
        <v>20</v>
      </c>
      <c r="B32" s="9" t="s">
        <v>35</v>
      </c>
      <c r="C32" s="80"/>
      <c r="D32" s="7"/>
      <c r="E32" s="80"/>
      <c r="F32" s="10"/>
      <c r="G32" s="51">
        <f t="shared" si="2"/>
        <v>30</v>
      </c>
      <c r="H32" s="52">
        <f t="shared" si="3"/>
        <v>78.94736842105263</v>
      </c>
      <c r="I32" s="53">
        <f>COUNTIFS('00 Encuesta'!$B$2:$B$511,"*b)*",'00 Encuesta'!$C$2:$C$511,"*a)*",'00 Encuesta'!$E$2:$E$511,"*a)*",'00 Encuesta'!$G$2:$G$511,"*c)*")</f>
        <v>17</v>
      </c>
      <c r="J32" s="52">
        <f t="shared" si="4"/>
        <v>80.952380952380949</v>
      </c>
      <c r="K32" s="53">
        <f>COUNTIFS('00 Encuesta'!$B$2:$B$511,"*b)*",'00 Encuesta'!$C$2:$C$511,"*a)*",'00 Encuesta'!$E$2:$E$511,"*b)*",'00 Encuesta'!$G$2:$G$511,"*c)*")</f>
        <v>13</v>
      </c>
      <c r="L32" s="52">
        <f>K32/$J$7*100</f>
        <v>76.470588235294116</v>
      </c>
      <c r="M32" s="23"/>
      <c r="N32" s="51">
        <f>P32+R32</f>
        <v>27</v>
      </c>
      <c r="O32" s="52">
        <f>N32/$Q$5*100</f>
        <v>84.375</v>
      </c>
      <c r="P32" s="53">
        <f>COUNTIFS('00 Encuesta'!$B$2:$B$511,"*b)*",'00 Encuesta'!$C$2:$C$511,"*b)*",'00 Encuesta'!$E$2:$E$511,"*a)*",'00 Encuesta'!$G$2:$G$511,"*c)*")</f>
        <v>14</v>
      </c>
      <c r="Q32" s="52">
        <f>P32/$Q$6*100</f>
        <v>82.35294117647058</v>
      </c>
      <c r="R32" s="53">
        <f>COUNTIFS('00 Encuesta'!$B$2:$B$511,"*b)*",'00 Encuesta'!$C$2:$C$511,"*b)*",'00 Encuesta'!$E$2:$E$511,"*b)*",'00 Encuesta'!$G$2:$G$511,"*c)*")</f>
        <v>13</v>
      </c>
      <c r="S32" s="52">
        <f>R32/$Q$7*100</f>
        <v>86.666666666666671</v>
      </c>
      <c r="T32" s="3"/>
      <c r="U32" s="51">
        <f>W32+Y32</f>
        <v>0</v>
      </c>
      <c r="V32" s="52" t="e">
        <f>U32/$X$5*100</f>
        <v>#DIV/0!</v>
      </c>
      <c r="W32" s="53">
        <f>COUNTIFS('00 Encuesta'!$B$2:$B$511,"*b)*",'00 Encuesta'!$C$2:$C$511,"*d)*",'00 Encuesta'!$E$2:$E$511,"*a)*",'00 Encuesta'!$G$2:$G$511,"*c)*")</f>
        <v>0</v>
      </c>
      <c r="X32" s="52" t="e">
        <f>W32/$X$6*100</f>
        <v>#DIV/0!</v>
      </c>
      <c r="Y32" s="53">
        <f>COUNTIFS('00 Encuesta'!$B$2:$B$511,"*b)*",'00 Encuesta'!$C$2:$C$511,"*d)*",'00 Encuesta'!$E$2:$E$511,"*b)*",'00 Encuesta'!$G$2:$G$511,"*c)*")</f>
        <v>0</v>
      </c>
      <c r="Z32" s="52" t="e">
        <f t="shared" si="5"/>
        <v>#DIV/0!</v>
      </c>
      <c r="AA32" s="3"/>
      <c r="AB32" s="62">
        <f t="shared" si="6"/>
        <v>57</v>
      </c>
      <c r="AC32" s="52">
        <f t="shared" si="7"/>
        <v>81.428571428571431</v>
      </c>
      <c r="AD32" s="7"/>
      <c r="AE32" s="7"/>
      <c r="AF32" s="9" t="str">
        <f t="shared" si="8"/>
        <v>c) Hermanos</v>
      </c>
      <c r="AG32" s="72">
        <f t="shared" si="9"/>
        <v>80.952380952380949</v>
      </c>
      <c r="AH32" s="72">
        <f t="shared" si="10"/>
        <v>76.470588235294116</v>
      </c>
      <c r="AI32" s="73">
        <f t="shared" si="11"/>
        <v>78.94736842105263</v>
      </c>
      <c r="AJ32" s="73"/>
      <c r="AK32" s="74">
        <f t="shared" si="12"/>
        <v>82.35294117647058</v>
      </c>
      <c r="AL32" s="74">
        <f t="shared" si="13"/>
        <v>86.666666666666671</v>
      </c>
      <c r="AM32" s="74">
        <f t="shared" si="14"/>
        <v>84.375</v>
      </c>
      <c r="AN32" s="74"/>
      <c r="AO32" s="75" t="e">
        <f t="shared" si="15"/>
        <v>#DIV/0!</v>
      </c>
      <c r="AP32" s="75" t="e">
        <f t="shared" si="16"/>
        <v>#DIV/0!</v>
      </c>
      <c r="AQ32" s="75" t="e">
        <f t="shared" si="17"/>
        <v>#DIV/0!</v>
      </c>
      <c r="AR32" s="7"/>
      <c r="AS32" s="76">
        <f t="shared" si="1"/>
        <v>81.428571428571431</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ht="15" x14ac:dyDescent="0.25">
      <c r="A33" s="8" t="s">
        <v>21</v>
      </c>
      <c r="B33" s="9" t="s">
        <v>36</v>
      </c>
      <c r="C33" s="7"/>
      <c r="D33" s="7"/>
      <c r="E33" s="7"/>
      <c r="F33" s="71"/>
      <c r="G33" s="51">
        <f t="shared" si="2"/>
        <v>12</v>
      </c>
      <c r="H33" s="52">
        <f t="shared" si="3"/>
        <v>31.578947368421051</v>
      </c>
      <c r="I33" s="53">
        <f>COUNTIFS('00 Encuesta'!$B$2:$B$511,"*b)*",'00 Encuesta'!$C$2:$C$511,"*a)*",'00 Encuesta'!$E$2:$E$511,"*a)*",'00 Encuesta'!$G$2:$G$511,"*d)*")</f>
        <v>7</v>
      </c>
      <c r="J33" s="52">
        <f t="shared" si="4"/>
        <v>33.333333333333329</v>
      </c>
      <c r="K33" s="53">
        <f>COUNTIFS('00 Encuesta'!$B$2:$B$511,"*b)*",'00 Encuesta'!$C$2:$C$511,"*a)*",'00 Encuesta'!$E$2:$E$511,"*b)*",'00 Encuesta'!$G$2:$G$511,"*d)*")</f>
        <v>5</v>
      </c>
      <c r="L33" s="52">
        <f>K33/$J$7*100</f>
        <v>29.411764705882355</v>
      </c>
      <c r="M33" s="23"/>
      <c r="N33" s="51">
        <f>P33+R33</f>
        <v>11</v>
      </c>
      <c r="O33" s="52">
        <f>N33/$Q$5*100</f>
        <v>34.375</v>
      </c>
      <c r="P33" s="53">
        <f>COUNTIFS('00 Encuesta'!$B$2:$B$511,"*b)*",'00 Encuesta'!$C$2:$C$511,"*b)*",'00 Encuesta'!$E$2:$E$511,"*a)*",'00 Encuesta'!$G$2:$G$511,"*d)*")</f>
        <v>8</v>
      </c>
      <c r="Q33" s="52">
        <f>P33/$Q$6*100</f>
        <v>47.058823529411761</v>
      </c>
      <c r="R33" s="53">
        <f>COUNTIFS('00 Encuesta'!$B$2:$B$511,"*b)*",'00 Encuesta'!$C$2:$C$511,"*b)*",'00 Encuesta'!$E$2:$E$511,"*b)*",'00 Encuesta'!$G$2:$G$511,"*d)*")</f>
        <v>3</v>
      </c>
      <c r="S33" s="52">
        <f>R33/$Q$7*100</f>
        <v>20</v>
      </c>
      <c r="T33" s="3"/>
      <c r="U33" s="51">
        <f>W33+Y33</f>
        <v>0</v>
      </c>
      <c r="V33" s="52" t="e">
        <f>U33/$X$5*100</f>
        <v>#DIV/0!</v>
      </c>
      <c r="W33" s="53">
        <f>COUNTIFS('00 Encuesta'!$B$2:$B$511,"*b)*",'00 Encuesta'!$C$2:$C$511,"*d)*",'00 Encuesta'!$E$2:$E$511,"*a)*",'00 Encuesta'!$G$2:$G$511,"*d)*")</f>
        <v>0</v>
      </c>
      <c r="X33" s="52" t="e">
        <f>W33/$X$6*100</f>
        <v>#DIV/0!</v>
      </c>
      <c r="Y33" s="53">
        <f>COUNTIFS('00 Encuesta'!$B$2:$B$511,"*b)*",'00 Encuesta'!$C$2:$C$511,"*d)*",'00 Encuesta'!$E$2:$E$511,"*b)*",'00 Encuesta'!$G$2:$G$511,"*d)*")</f>
        <v>0</v>
      </c>
      <c r="Z33" s="52" t="e">
        <f t="shared" si="5"/>
        <v>#DIV/0!</v>
      </c>
      <c r="AA33" s="3"/>
      <c r="AB33" s="62">
        <f t="shared" si="6"/>
        <v>23</v>
      </c>
      <c r="AC33" s="52">
        <f t="shared" si="7"/>
        <v>32.857142857142854</v>
      </c>
      <c r="AD33" s="7"/>
      <c r="AE33" s="7"/>
      <c r="AF33" s="9" t="str">
        <f t="shared" si="8"/>
        <v>d) Abuelos</v>
      </c>
      <c r="AG33" s="72">
        <f t="shared" si="9"/>
        <v>33.333333333333329</v>
      </c>
      <c r="AH33" s="72">
        <f t="shared" si="10"/>
        <v>29.411764705882355</v>
      </c>
      <c r="AI33" s="73">
        <f t="shared" si="11"/>
        <v>31.578947368421051</v>
      </c>
      <c r="AJ33" s="73"/>
      <c r="AK33" s="74">
        <f t="shared" si="12"/>
        <v>47.058823529411761</v>
      </c>
      <c r="AL33" s="74">
        <f t="shared" si="13"/>
        <v>20</v>
      </c>
      <c r="AM33" s="74">
        <f t="shared" si="14"/>
        <v>34.375</v>
      </c>
      <c r="AN33" s="74"/>
      <c r="AO33" s="75" t="e">
        <f t="shared" si="15"/>
        <v>#DIV/0!</v>
      </c>
      <c r="AP33" s="75" t="e">
        <f t="shared" si="16"/>
        <v>#DIV/0!</v>
      </c>
      <c r="AQ33" s="75" t="e">
        <f t="shared" si="17"/>
        <v>#DIV/0!</v>
      </c>
      <c r="AR33" s="7"/>
      <c r="AS33" s="76">
        <f t="shared" si="1"/>
        <v>32.857142857142854</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ht="15" x14ac:dyDescent="0.25">
      <c r="A34" s="8" t="s">
        <v>22</v>
      </c>
      <c r="B34" s="9" t="s">
        <v>37</v>
      </c>
      <c r="C34" s="7"/>
      <c r="D34" s="7"/>
      <c r="E34" s="7"/>
      <c r="F34" s="71"/>
      <c r="G34" s="51">
        <f t="shared" si="2"/>
        <v>11</v>
      </c>
      <c r="H34" s="52">
        <f t="shared" si="3"/>
        <v>28.947368421052634</v>
      </c>
      <c r="I34" s="53">
        <f>COUNTIFS('00 Encuesta'!$B$2:$B$511,"*b)*",'00 Encuesta'!$C$2:$C$511,"*a)*",'00 Encuesta'!$E$2:$E$511,"*a)*",'00 Encuesta'!$G$2:$G$511,"*e)*")</f>
        <v>6</v>
      </c>
      <c r="J34" s="52">
        <f t="shared" si="4"/>
        <v>28.571428571428569</v>
      </c>
      <c r="K34" s="53">
        <f>COUNTIFS('00 Encuesta'!$B$2:$B$511,"*b)*",'00 Encuesta'!$C$2:$C$511,"*a)*",'00 Encuesta'!$E$2:$E$511,"*b)*",'00 Encuesta'!$G$2:$G$511,"*e)*")</f>
        <v>5</v>
      </c>
      <c r="L34" s="52">
        <f>K34/$J$7*100</f>
        <v>29.411764705882355</v>
      </c>
      <c r="M34" s="23"/>
      <c r="N34" s="51">
        <f>P34+R34</f>
        <v>7</v>
      </c>
      <c r="O34" s="52">
        <f>N34/$Q$5*100</f>
        <v>21.875</v>
      </c>
      <c r="P34" s="53">
        <f>COUNTIFS('00 Encuesta'!$B$2:$B$511,"*b)*",'00 Encuesta'!$C$2:$C$511,"*b)*",'00 Encuesta'!$E$2:$E$511,"*a)*",'00 Encuesta'!$G$2:$G$511,"*e)*")</f>
        <v>7</v>
      </c>
      <c r="Q34" s="52">
        <f>P34/$Q$6*100</f>
        <v>41.17647058823529</v>
      </c>
      <c r="R34" s="53">
        <f>COUNTIFS('00 Encuesta'!$B$2:$B$511,"*b)*",'00 Encuesta'!$C$2:$C$511,"*b)*",'00 Encuesta'!$E$2:$E$511,"*b)*",'00 Encuesta'!$G$2:$G$511,"*e)*")</f>
        <v>0</v>
      </c>
      <c r="S34" s="52">
        <f>R34/$Q$7*100</f>
        <v>0</v>
      </c>
      <c r="T34" s="3"/>
      <c r="U34" s="51">
        <f>W34+Y34</f>
        <v>0</v>
      </c>
      <c r="V34" s="52" t="e">
        <f>U34/$X$5*100</f>
        <v>#DIV/0!</v>
      </c>
      <c r="W34" s="53">
        <f>COUNTIFS('00 Encuesta'!$B$2:$B$511,"*b)*",'00 Encuesta'!$C$2:$C$511,"*d)*",'00 Encuesta'!$E$2:$E$511,"*a)*",'00 Encuesta'!$G$2:$G$511,"*e)*")</f>
        <v>0</v>
      </c>
      <c r="X34" s="52" t="e">
        <f>W34/$X$6*100</f>
        <v>#DIV/0!</v>
      </c>
      <c r="Y34" s="53">
        <f>COUNTIFS('00 Encuesta'!$B$2:$B$511,"*b)*",'00 Encuesta'!$C$2:$C$511,"*d)*",'00 Encuesta'!$E$2:$E$511,"*b)*",'00 Encuesta'!$G$2:$G$511,"*e)*")</f>
        <v>0</v>
      </c>
      <c r="Z34" s="52" t="e">
        <f t="shared" si="5"/>
        <v>#DIV/0!</v>
      </c>
      <c r="AA34" s="3"/>
      <c r="AB34" s="62">
        <f t="shared" si="6"/>
        <v>18</v>
      </c>
      <c r="AC34" s="52">
        <f t="shared" si="7"/>
        <v>25.714285714285715</v>
      </c>
      <c r="AD34" s="7"/>
      <c r="AE34" s="7"/>
      <c r="AF34" s="9" t="str">
        <f t="shared" si="8"/>
        <v>e) Otros familiares</v>
      </c>
      <c r="AG34" s="72">
        <f t="shared" si="9"/>
        <v>28.571428571428569</v>
      </c>
      <c r="AH34" s="72">
        <f t="shared" si="10"/>
        <v>29.411764705882355</v>
      </c>
      <c r="AI34" s="73">
        <f t="shared" si="11"/>
        <v>28.947368421052634</v>
      </c>
      <c r="AJ34" s="73"/>
      <c r="AK34" s="74">
        <f t="shared" si="12"/>
        <v>41.17647058823529</v>
      </c>
      <c r="AL34" s="74">
        <f t="shared" si="13"/>
        <v>0</v>
      </c>
      <c r="AM34" s="74">
        <f t="shared" si="14"/>
        <v>21.875</v>
      </c>
      <c r="AN34" s="74"/>
      <c r="AO34" s="75" t="e">
        <f t="shared" si="15"/>
        <v>#DIV/0!</v>
      </c>
      <c r="AP34" s="75" t="e">
        <f t="shared" si="16"/>
        <v>#DIV/0!</v>
      </c>
      <c r="AQ34" s="75" t="e">
        <f t="shared" si="17"/>
        <v>#DIV/0!</v>
      </c>
      <c r="AR34" s="7"/>
      <c r="AS34" s="76">
        <f t="shared" si="1"/>
        <v>25.714285714285715</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ht="15" x14ac:dyDescent="0.25">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f t="shared" ref="O35" si="20">N35/$Q$5*100</f>
        <v>0</v>
      </c>
      <c r="P35" s="53"/>
      <c r="Q35" s="52">
        <f t="shared" ref="Q35" si="21">P35/$Q$6*100</f>
        <v>0</v>
      </c>
      <c r="R35" s="53"/>
      <c r="S35" s="52">
        <f t="shared" ref="S35" si="22">R35/$Q$7*100</f>
        <v>0</v>
      </c>
      <c r="T35" s="3"/>
      <c r="U35" s="51">
        <f t="shared" ref="U35" si="23">W35+Y35</f>
        <v>0</v>
      </c>
      <c r="V35" s="52" t="e">
        <f t="shared" ref="V35" si="24">U35/$X$5*100</f>
        <v>#DIV/0!</v>
      </c>
      <c r="W35" s="53"/>
      <c r="X35" s="52" t="e">
        <f t="shared" ref="X35" si="25">W35/$X$6*100</f>
        <v>#DIV/0!</v>
      </c>
      <c r="Y35" s="53"/>
      <c r="Z35" s="52" t="e">
        <f t="shared" si="5"/>
        <v>#DIV/0!</v>
      </c>
      <c r="AA35" s="3"/>
      <c r="AB35" s="62">
        <f t="shared" si="6"/>
        <v>0</v>
      </c>
      <c r="AC35" s="52">
        <f t="shared" si="7"/>
        <v>0</v>
      </c>
      <c r="AD35" s="7"/>
      <c r="AE35" s="7"/>
      <c r="AF35" s="9" t="str">
        <f t="shared" si="8"/>
        <v>S/R Sin Respuesta</v>
      </c>
      <c r="AG35" s="72">
        <f t="shared" si="9"/>
        <v>0</v>
      </c>
      <c r="AH35" s="72">
        <f t="shared" si="10"/>
        <v>0</v>
      </c>
      <c r="AI35" s="73">
        <f t="shared" si="11"/>
        <v>0</v>
      </c>
      <c r="AJ35" s="73"/>
      <c r="AK35" s="74">
        <f t="shared" si="12"/>
        <v>0</v>
      </c>
      <c r="AL35" s="74">
        <f t="shared" si="13"/>
        <v>0</v>
      </c>
      <c r="AM35" s="74">
        <f t="shared" si="14"/>
        <v>0</v>
      </c>
      <c r="AN35" s="74"/>
      <c r="AO35" s="75" t="e">
        <f t="shared" si="15"/>
        <v>#DIV/0!</v>
      </c>
      <c r="AP35" s="75" t="e">
        <f t="shared" si="16"/>
        <v>#DIV/0!</v>
      </c>
      <c r="AQ35" s="75" t="e">
        <f t="shared" si="17"/>
        <v>#DIV/0!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ht="15" x14ac:dyDescent="0.25">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ht="15" x14ac:dyDescent="0.25">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ht="15" x14ac:dyDescent="0.25">
      <c r="A38" s="8" t="s">
        <v>17</v>
      </c>
      <c r="B38" s="9" t="s">
        <v>40</v>
      </c>
      <c r="C38" s="7"/>
      <c r="D38" s="7"/>
      <c r="E38" s="7"/>
      <c r="F38" s="71"/>
      <c r="G38" s="51">
        <f t="shared" ref="G38:G44" si="26">I38+K38</f>
        <v>5</v>
      </c>
      <c r="H38" s="52">
        <f t="shared" ref="H38:H44" si="27">G38/$J$5*100</f>
        <v>13.157894736842104</v>
      </c>
      <c r="I38" s="53">
        <f>COUNTIFS('00 Encuesta'!$B$2:$B$511,"*b)*",'00 Encuesta'!$C$2:$C$511,"*a)*",'00 Encuesta'!$E$2:$E$511,"*a)*",'00 Encuesta'!$H$2:$H$511,"*a)*")</f>
        <v>1</v>
      </c>
      <c r="J38" s="52">
        <f t="shared" ref="J38:J44" si="28">I38/$J$6*100</f>
        <v>4.7619047619047619</v>
      </c>
      <c r="K38" s="53">
        <f>COUNTIFS('00 Encuesta'!$B$2:$B$511,"*b)*",'00 Encuesta'!$C$2:$C$511,"*a)*",'00 Encuesta'!$E$2:$E$511,"*b)*",'00 Encuesta'!$H$2:$H$511,"*a)*")</f>
        <v>4</v>
      </c>
      <c r="L38" s="52">
        <f t="shared" ref="L38:L44" si="29">K38/$J$7*100</f>
        <v>23.52941176470588</v>
      </c>
      <c r="M38" s="23"/>
      <c r="N38" s="51">
        <f t="shared" ref="N38:N44" si="30">P38+R38</f>
        <v>3</v>
      </c>
      <c r="O38" s="52">
        <f>N38/$Q$5*100</f>
        <v>9.375</v>
      </c>
      <c r="P38" s="53">
        <f>COUNTIFS('00 Encuesta'!$B$2:$B$511,"*b)*",'00 Encuesta'!$C$2:$C$511,"*b)*",'00 Encuesta'!$E$2:$E$511,"*a)*",'00 Encuesta'!$H$2:$H$511,"*a)*")</f>
        <v>0</v>
      </c>
      <c r="Q38" s="52">
        <f>P38/$Q$6*100</f>
        <v>0</v>
      </c>
      <c r="R38" s="53">
        <f>COUNTIFS('00 Encuesta'!$B$2:$B$511,"*b)*",'00 Encuesta'!$C$2:$C$511,"*b)*",'00 Encuesta'!$E$2:$E$511,"*b)*",'00 Encuesta'!$H$2:$H$511,"*a)*")</f>
        <v>3</v>
      </c>
      <c r="S38" s="52">
        <f t="shared" ref="S38:S44" si="31">R38/$Q$7*100</f>
        <v>20</v>
      </c>
      <c r="T38" s="3"/>
      <c r="U38" s="51">
        <f t="shared" ref="U38:U44" si="32">W38+Y38</f>
        <v>0</v>
      </c>
      <c r="V38" s="52" t="e">
        <f t="shared" ref="V38:V44" si="33">U38/$X$5*100</f>
        <v>#DIV/0!</v>
      </c>
      <c r="W38" s="53">
        <f>COUNTIFS('00 Encuesta'!$B$2:$B$511,"*b)*",'00 Encuesta'!$C$2:$C$511,"*d)*",'00 Encuesta'!$E$2:$E$511,"*a)*",'00 Encuesta'!$H$2:$H$511,"*a)*")</f>
        <v>0</v>
      </c>
      <c r="X38" s="52" t="e">
        <f t="shared" ref="X38:X44" si="34">W38/$X$6*100</f>
        <v>#DIV/0!</v>
      </c>
      <c r="Y38" s="53">
        <f>COUNTIFS('00 Encuesta'!$B$2:$B$511,"*b)*",'00 Encuesta'!$C$2:$C$511,"*d)*",'00 Encuesta'!$E$2:$E$511,"*b)*",'00 Encuesta'!$H$2:$H$511,"*a)*")</f>
        <v>0</v>
      </c>
      <c r="Z38" s="52" t="e">
        <f t="shared" ref="Z38:Z44" si="35">Y38/$X$7*100</f>
        <v>#DIV/0!</v>
      </c>
      <c r="AA38" s="3"/>
      <c r="AB38" s="62">
        <f t="shared" si="6"/>
        <v>8</v>
      </c>
      <c r="AC38" s="52">
        <f t="shared" ref="AC38:AC44" si="36">AB38*100/$AC$5</f>
        <v>11.428571428571429</v>
      </c>
      <c r="AD38" s="7"/>
      <c r="AE38" s="7"/>
      <c r="AF38" s="9" t="str">
        <f t="shared" ref="AF38:AF44" si="37">A38&amp;" "&amp;B38</f>
        <v>a) Quinta</v>
      </c>
      <c r="AG38" s="72">
        <f t="shared" ref="AG38:AG44" si="38">J38</f>
        <v>4.7619047619047619</v>
      </c>
      <c r="AH38" s="72">
        <f t="shared" ref="AH38:AH44" si="39">L38</f>
        <v>23.52941176470588</v>
      </c>
      <c r="AI38" s="73">
        <f t="shared" ref="AI38:AI44" si="40">H38</f>
        <v>13.157894736842104</v>
      </c>
      <c r="AJ38" s="73"/>
      <c r="AK38" s="76">
        <f t="shared" ref="AK38:AK44" si="41">Q38</f>
        <v>0</v>
      </c>
      <c r="AL38" s="76">
        <f t="shared" ref="AL38:AL44" si="42">S38</f>
        <v>20</v>
      </c>
      <c r="AM38" s="76">
        <f t="shared" ref="AM38:AM44" si="43">O38</f>
        <v>9.375</v>
      </c>
      <c r="AN38" s="76"/>
      <c r="AO38" s="81" t="e">
        <f t="shared" ref="AO38:AO44" si="44">X38</f>
        <v>#DIV/0!</v>
      </c>
      <c r="AP38" s="81" t="e">
        <f t="shared" ref="AP38:AP44" si="45">Z38</f>
        <v>#DIV/0!</v>
      </c>
      <c r="AQ38" s="81" t="e">
        <f t="shared" ref="AQ38:AQ44" si="46">V38</f>
        <v>#DIV/0!</v>
      </c>
      <c r="AR38" s="7"/>
      <c r="AS38" s="76">
        <f t="shared" si="1"/>
        <v>11.428571428571429</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ht="15" x14ac:dyDescent="0.25">
      <c r="A39" s="8" t="s">
        <v>18</v>
      </c>
      <c r="B39" s="9" t="s">
        <v>41</v>
      </c>
      <c r="C39" s="7"/>
      <c r="D39" s="7"/>
      <c r="E39" s="7"/>
      <c r="F39" s="71"/>
      <c r="G39" s="51">
        <f t="shared" si="26"/>
        <v>9</v>
      </c>
      <c r="H39" s="52">
        <f t="shared" si="27"/>
        <v>23.684210526315788</v>
      </c>
      <c r="I39" s="53">
        <f>COUNTIFS('00 Encuesta'!$B$2:$B$511,"*b)*",'00 Encuesta'!$C$2:$C$511,"*a)*",'00 Encuesta'!$E$2:$E$511,"*a)*",'00 Encuesta'!$H$2:$H$511,"*b)*")</f>
        <v>8</v>
      </c>
      <c r="J39" s="52">
        <f t="shared" si="28"/>
        <v>38.095238095238095</v>
      </c>
      <c r="K39" s="53">
        <f>COUNTIFS('00 Encuesta'!$B$2:$B$511,"*b)*",'00 Encuesta'!$C$2:$C$511,"*a)*",'00 Encuesta'!$E$2:$E$511,"*b)*",'00 Encuesta'!$H$2:$H$511,"*b)*")</f>
        <v>1</v>
      </c>
      <c r="L39" s="52">
        <f t="shared" si="29"/>
        <v>5.8823529411764701</v>
      </c>
      <c r="M39" s="23"/>
      <c r="N39" s="51">
        <f t="shared" si="30"/>
        <v>3</v>
      </c>
      <c r="O39" s="52">
        <f t="shared" ref="O39:O44" si="47">N39/$Q$5*100</f>
        <v>9.375</v>
      </c>
      <c r="P39" s="53">
        <f>COUNTIFS('00 Encuesta'!$B$2:$B$511,"*b)*",'00 Encuesta'!$C$2:$C$511,"*b)*",'00 Encuesta'!$E$2:$E$511,"*a)*",'00 Encuesta'!$H$2:$H$511,"*b)*")</f>
        <v>2</v>
      </c>
      <c r="Q39" s="52">
        <f>P39/$Q$6*100</f>
        <v>11.76470588235294</v>
      </c>
      <c r="R39" s="53">
        <f>COUNTIFS('00 Encuesta'!$B$2:$B$511,"*b)*",'00 Encuesta'!$C$2:$C$511,"*b)*",'00 Encuesta'!$E$2:$E$511,"*b)*",'00 Encuesta'!$H$2:$H$511,"*b)*")</f>
        <v>1</v>
      </c>
      <c r="S39" s="52">
        <f>R39/$Q$7*100</f>
        <v>6.666666666666667</v>
      </c>
      <c r="T39" s="3"/>
      <c r="U39" s="51">
        <f t="shared" si="32"/>
        <v>0</v>
      </c>
      <c r="V39" s="52" t="e">
        <f t="shared" si="33"/>
        <v>#DIV/0!</v>
      </c>
      <c r="W39" s="53">
        <f>COUNTIFS('00 Encuesta'!$B$2:$B$511,"*b)*",'00 Encuesta'!$C$2:$C$511,"*d)*",'00 Encuesta'!$E$2:$E$511,"*a)*",'00 Encuesta'!$H$2:$H$511,"*b)*")</f>
        <v>0</v>
      </c>
      <c r="X39" s="52" t="e">
        <f t="shared" si="34"/>
        <v>#DIV/0!</v>
      </c>
      <c r="Y39" s="53">
        <f>COUNTIFS('00 Encuesta'!$B$2:$B$511,"*b)*",'00 Encuesta'!$C$2:$C$511,"*d)*",'00 Encuesta'!$E$2:$E$511,"*b)*",'00 Encuesta'!$H$2:$H$511,"*b)*")</f>
        <v>0</v>
      </c>
      <c r="Z39" s="52" t="e">
        <f t="shared" si="35"/>
        <v>#DIV/0!</v>
      </c>
      <c r="AA39" s="3"/>
      <c r="AB39" s="62">
        <f t="shared" si="6"/>
        <v>12</v>
      </c>
      <c r="AC39" s="52">
        <f t="shared" si="36"/>
        <v>17.142857142857142</v>
      </c>
      <c r="AD39" s="7"/>
      <c r="AE39" s="7"/>
      <c r="AF39" s="9" t="str">
        <f t="shared" si="37"/>
        <v>b) Casa urbana</v>
      </c>
      <c r="AG39" s="72">
        <f t="shared" si="38"/>
        <v>38.095238095238095</v>
      </c>
      <c r="AH39" s="72">
        <f t="shared" si="39"/>
        <v>5.8823529411764701</v>
      </c>
      <c r="AI39" s="73">
        <f t="shared" si="40"/>
        <v>23.684210526315788</v>
      </c>
      <c r="AJ39" s="73"/>
      <c r="AK39" s="76">
        <f t="shared" si="41"/>
        <v>11.76470588235294</v>
      </c>
      <c r="AL39" s="76">
        <f t="shared" si="42"/>
        <v>6.666666666666667</v>
      </c>
      <c r="AM39" s="76">
        <f t="shared" si="43"/>
        <v>9.375</v>
      </c>
      <c r="AN39" s="76"/>
      <c r="AO39" s="81" t="e">
        <f t="shared" si="44"/>
        <v>#DIV/0!</v>
      </c>
      <c r="AP39" s="81" t="e">
        <f t="shared" si="45"/>
        <v>#DIV/0!</v>
      </c>
      <c r="AQ39" s="81" t="e">
        <f t="shared" si="46"/>
        <v>#DIV/0!</v>
      </c>
      <c r="AR39" s="7"/>
      <c r="AS39" s="76">
        <f t="shared" si="1"/>
        <v>17.142857142857142</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ht="15" x14ac:dyDescent="0.25">
      <c r="A40" s="8" t="s">
        <v>20</v>
      </c>
      <c r="B40" s="9" t="s">
        <v>42</v>
      </c>
      <c r="C40" s="7"/>
      <c r="D40" s="7"/>
      <c r="E40" s="7"/>
      <c r="F40" s="71"/>
      <c r="G40" s="51">
        <f t="shared" si="26"/>
        <v>21</v>
      </c>
      <c r="H40" s="52">
        <f t="shared" si="27"/>
        <v>55.26315789473685</v>
      </c>
      <c r="I40" s="53">
        <f>COUNTIFS('00 Encuesta'!$B$2:$B$511,"*b)*",'00 Encuesta'!$C$2:$C$511,"*a)*",'00 Encuesta'!$E$2:$E$511,"*a)*",'00 Encuesta'!$H$2:$H$511,"*c)*")</f>
        <v>11</v>
      </c>
      <c r="J40" s="52">
        <f t="shared" si="28"/>
        <v>52.380952380952387</v>
      </c>
      <c r="K40" s="53">
        <f>COUNTIFS('00 Encuesta'!$B$2:$B$511,"*b)*",'00 Encuesta'!$C$2:$C$511,"*a)*",'00 Encuesta'!$E$2:$E$511,"*b)*",'00 Encuesta'!$H$2:$H$511,"*c)*")</f>
        <v>10</v>
      </c>
      <c r="L40" s="52">
        <f t="shared" si="29"/>
        <v>58.82352941176471</v>
      </c>
      <c r="M40" s="23"/>
      <c r="N40" s="51">
        <f t="shared" si="30"/>
        <v>25</v>
      </c>
      <c r="O40" s="52">
        <f t="shared" si="47"/>
        <v>78.125</v>
      </c>
      <c r="P40" s="53">
        <f>COUNTIFS('00 Encuesta'!$B$2:$B$511,"*b)*",'00 Encuesta'!$C$2:$C$511,"*b)*",'00 Encuesta'!$E$2:$E$511,"*a)*",'00 Encuesta'!$H$2:$H$511,"*c)*")</f>
        <v>15</v>
      </c>
      <c r="Q40" s="52">
        <f t="shared" ref="Q40:Q44" si="48">P40/$Q$6*100</f>
        <v>88.235294117647058</v>
      </c>
      <c r="R40" s="53">
        <f>COUNTIFS('00 Encuesta'!$B$2:$B$511,"*b)*",'00 Encuesta'!$C$2:$C$511,"*b)*",'00 Encuesta'!$E$2:$E$511,"*b)*",'00 Encuesta'!$H$2:$H$511,"*c)*")</f>
        <v>10</v>
      </c>
      <c r="S40" s="52">
        <f t="shared" si="31"/>
        <v>66.666666666666657</v>
      </c>
      <c r="T40" s="3"/>
      <c r="U40" s="51">
        <f t="shared" si="32"/>
        <v>0</v>
      </c>
      <c r="V40" s="52" t="e">
        <f t="shared" si="33"/>
        <v>#DIV/0!</v>
      </c>
      <c r="W40" s="53">
        <f>COUNTIFS('00 Encuesta'!$B$2:$B$511,"*b)*",'00 Encuesta'!$C$2:$C$511,"*d)*",'00 Encuesta'!$E$2:$E$511,"*a)*",'00 Encuesta'!$H$2:$H$511,"*c)*")</f>
        <v>0</v>
      </c>
      <c r="X40" s="52" t="e">
        <f t="shared" si="34"/>
        <v>#DIV/0!</v>
      </c>
      <c r="Y40" s="53">
        <f>COUNTIFS('00 Encuesta'!$B$2:$B$511,"*b)*",'00 Encuesta'!$C$2:$C$511,"*d)*",'00 Encuesta'!$E$2:$E$511,"*b)*",'00 Encuesta'!$H$2:$H$511,"*c)*")</f>
        <v>0</v>
      </c>
      <c r="Z40" s="52" t="e">
        <f t="shared" si="35"/>
        <v>#DIV/0!</v>
      </c>
      <c r="AA40" s="3"/>
      <c r="AB40" s="62">
        <f t="shared" si="6"/>
        <v>46</v>
      </c>
      <c r="AC40" s="52">
        <f t="shared" si="36"/>
        <v>65.714285714285708</v>
      </c>
      <c r="AD40" s="7"/>
      <c r="AE40" s="7"/>
      <c r="AF40" s="9" t="str">
        <f t="shared" si="37"/>
        <v>c) Apartamento</v>
      </c>
      <c r="AG40" s="72">
        <f t="shared" si="38"/>
        <v>52.380952380952387</v>
      </c>
      <c r="AH40" s="72">
        <f t="shared" si="39"/>
        <v>58.82352941176471</v>
      </c>
      <c r="AI40" s="73">
        <f t="shared" si="40"/>
        <v>55.26315789473685</v>
      </c>
      <c r="AJ40" s="73"/>
      <c r="AK40" s="76">
        <f t="shared" si="41"/>
        <v>88.235294117647058</v>
      </c>
      <c r="AL40" s="76">
        <f t="shared" si="42"/>
        <v>66.666666666666657</v>
      </c>
      <c r="AM40" s="76">
        <f t="shared" si="43"/>
        <v>78.125</v>
      </c>
      <c r="AN40" s="76"/>
      <c r="AO40" s="81" t="e">
        <f t="shared" si="44"/>
        <v>#DIV/0!</v>
      </c>
      <c r="AP40" s="81" t="e">
        <f t="shared" si="45"/>
        <v>#DIV/0!</v>
      </c>
      <c r="AQ40" s="81" t="e">
        <f t="shared" si="46"/>
        <v>#DIV/0!</v>
      </c>
      <c r="AR40" s="7"/>
      <c r="AS40" s="76">
        <f t="shared" si="1"/>
        <v>65.714285714285708</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ht="15" x14ac:dyDescent="0.25">
      <c r="A41" s="8" t="s">
        <v>21</v>
      </c>
      <c r="B41" s="9" t="s">
        <v>43</v>
      </c>
      <c r="C41" s="7"/>
      <c r="D41" s="7"/>
      <c r="E41" s="7"/>
      <c r="F41" s="71"/>
      <c r="G41" s="51">
        <f t="shared" si="26"/>
        <v>2</v>
      </c>
      <c r="H41" s="52">
        <f t="shared" si="27"/>
        <v>5.2631578947368416</v>
      </c>
      <c r="I41" s="53">
        <f>COUNTIFS('00 Encuesta'!$B$2:$B$511,"*b)*",'00 Encuesta'!$C$2:$C$511,"*a)*",'00 Encuesta'!$E$2:$E$511,"*a)*",'00 Encuesta'!$H$2:$H$511,"*d)*")</f>
        <v>1</v>
      </c>
      <c r="J41" s="52">
        <f t="shared" si="28"/>
        <v>4.7619047619047619</v>
      </c>
      <c r="K41" s="53">
        <f>COUNTIFS('00 Encuesta'!$B$2:$B$511,"*b)*",'00 Encuesta'!$C$2:$C$511,"*a)*",'00 Encuesta'!$E$2:$E$511,"*b)*",'00 Encuesta'!$H$2:$H$511,"*d)*")</f>
        <v>1</v>
      </c>
      <c r="L41" s="52">
        <f t="shared" si="29"/>
        <v>5.8823529411764701</v>
      </c>
      <c r="M41" s="23"/>
      <c r="N41" s="51">
        <f t="shared" si="30"/>
        <v>1</v>
      </c>
      <c r="O41" s="52">
        <f t="shared" si="47"/>
        <v>3.125</v>
      </c>
      <c r="P41" s="53">
        <f>COUNTIFS('00 Encuesta'!$B$2:$B$511,"*b)*",'00 Encuesta'!$C$2:$C$511,"*b)*",'00 Encuesta'!$E$2:$E$511,"*a)*",'00 Encuesta'!$H$2:$H$511,"*d)*")</f>
        <v>0</v>
      </c>
      <c r="Q41" s="52">
        <f t="shared" si="48"/>
        <v>0</v>
      </c>
      <c r="R41" s="53">
        <f>COUNTIFS('00 Encuesta'!$B$2:$B$511,"*b)*",'00 Encuesta'!$C$2:$C$511,"*b)*",'00 Encuesta'!$E$2:$E$511,"*b)*",'00 Encuesta'!$H$2:$H$511,"*d)*")</f>
        <v>1</v>
      </c>
      <c r="S41" s="52">
        <f t="shared" si="31"/>
        <v>6.666666666666667</v>
      </c>
      <c r="T41" s="3"/>
      <c r="U41" s="51">
        <f t="shared" si="32"/>
        <v>0</v>
      </c>
      <c r="V41" s="52" t="e">
        <f t="shared" si="33"/>
        <v>#DIV/0!</v>
      </c>
      <c r="W41" s="53">
        <f>COUNTIFS('00 Encuesta'!$B$2:$B$511,"*b)*",'00 Encuesta'!$C$2:$C$511,"*d)*",'00 Encuesta'!$E$2:$E$511,"*a)*",'00 Encuesta'!$H$2:$H$511,"*d)*")</f>
        <v>0</v>
      </c>
      <c r="X41" s="52" t="e">
        <f t="shared" si="34"/>
        <v>#DIV/0!</v>
      </c>
      <c r="Y41" s="53">
        <f>COUNTIFS('00 Encuesta'!$B$2:$B$511,"*b)*",'00 Encuesta'!$C$2:$C$511,"*d)*",'00 Encuesta'!$E$2:$E$511,"*b)*",'00 Encuesta'!$H$2:$H$511,"*d)*")</f>
        <v>0</v>
      </c>
      <c r="Z41" s="52" t="e">
        <f t="shared" si="35"/>
        <v>#DIV/0!</v>
      </c>
      <c r="AA41" s="3"/>
      <c r="AB41" s="62">
        <f t="shared" si="6"/>
        <v>3</v>
      </c>
      <c r="AC41" s="52">
        <f t="shared" si="36"/>
        <v>4.2857142857142856</v>
      </c>
      <c r="AD41" s="7"/>
      <c r="AE41" s="7"/>
      <c r="AF41" s="9" t="str">
        <f t="shared" si="37"/>
        <v>d) Casa rural</v>
      </c>
      <c r="AG41" s="72">
        <f t="shared" si="38"/>
        <v>4.7619047619047619</v>
      </c>
      <c r="AH41" s="72">
        <f t="shared" si="39"/>
        <v>5.8823529411764701</v>
      </c>
      <c r="AI41" s="73">
        <f t="shared" si="40"/>
        <v>5.2631578947368416</v>
      </c>
      <c r="AJ41" s="73"/>
      <c r="AK41" s="76">
        <f t="shared" si="41"/>
        <v>0</v>
      </c>
      <c r="AL41" s="76">
        <f t="shared" si="42"/>
        <v>6.666666666666667</v>
      </c>
      <c r="AM41" s="76">
        <f t="shared" si="43"/>
        <v>3.125</v>
      </c>
      <c r="AN41" s="76"/>
      <c r="AO41" s="81" t="e">
        <f t="shared" si="44"/>
        <v>#DIV/0!</v>
      </c>
      <c r="AP41" s="81" t="e">
        <f t="shared" si="45"/>
        <v>#DIV/0!</v>
      </c>
      <c r="AQ41" s="81" t="e">
        <f t="shared" si="46"/>
        <v>#DIV/0!</v>
      </c>
      <c r="AR41" s="7"/>
      <c r="AS41" s="76">
        <f t="shared" si="1"/>
        <v>4.2857142857142856</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ht="15" x14ac:dyDescent="0.25">
      <c r="A42" s="8" t="s">
        <v>22</v>
      </c>
      <c r="B42" s="9" t="s">
        <v>44</v>
      </c>
      <c r="C42" s="7"/>
      <c r="D42" s="7"/>
      <c r="E42" s="7"/>
      <c r="F42" s="71"/>
      <c r="G42" s="51">
        <f t="shared" si="26"/>
        <v>0</v>
      </c>
      <c r="H42" s="52">
        <f t="shared" si="27"/>
        <v>0</v>
      </c>
      <c r="I42" s="53">
        <f>COUNTIFS('00 Encuesta'!$B$2:$B$511,"*b)*",'00 Encuesta'!$C$2:$C$511,"*a)*",'00 Encuesta'!$E$2:$E$511,"*a)*",'00 Encuesta'!$H$2:$H$511,"*e)*")</f>
        <v>0</v>
      </c>
      <c r="J42" s="52">
        <f t="shared" si="28"/>
        <v>0</v>
      </c>
      <c r="K42" s="53">
        <f>COUNTIFS('00 Encuesta'!$B$2:$B$511,"*b)*",'00 Encuesta'!$C$2:$C$511,"*a)*",'00 Encuesta'!$E$2:$E$511,"*b)*",'00 Encuesta'!$H$2:$H$511,"*e)*")</f>
        <v>0</v>
      </c>
      <c r="L42" s="52">
        <f t="shared" si="29"/>
        <v>0</v>
      </c>
      <c r="M42" s="23"/>
      <c r="N42" s="51">
        <f t="shared" si="30"/>
        <v>0</v>
      </c>
      <c r="O42" s="52">
        <f t="shared" si="47"/>
        <v>0</v>
      </c>
      <c r="P42" s="53">
        <f>COUNTIFS('00 Encuesta'!$B$2:$B$511,"*b)*",'00 Encuesta'!$C$2:$C$511,"*b)*",'00 Encuesta'!$E$2:$E$511,"*a)*",'00 Encuesta'!$H$2:$H$511,"*e)*")</f>
        <v>0</v>
      </c>
      <c r="Q42" s="52">
        <f t="shared" si="48"/>
        <v>0</v>
      </c>
      <c r="R42" s="53">
        <f>COUNTIFS('00 Encuesta'!$B$2:$B$511,"*b)*",'00 Encuesta'!$C$2:$C$511,"*b)*",'00 Encuesta'!$E$2:$E$511,"*b)*",'00 Encuesta'!$H$2:$H$511,"*e)*")</f>
        <v>0</v>
      </c>
      <c r="S42" s="52">
        <f t="shared" si="31"/>
        <v>0</v>
      </c>
      <c r="T42" s="3"/>
      <c r="U42" s="51">
        <f t="shared" si="32"/>
        <v>0</v>
      </c>
      <c r="V42" s="52" t="e">
        <f t="shared" si="33"/>
        <v>#DIV/0!</v>
      </c>
      <c r="W42" s="53">
        <f>COUNTIFS('00 Encuesta'!$B$2:$B$511,"*b)*",'00 Encuesta'!$C$2:$C$511,"*d)*",'00 Encuesta'!$E$2:$E$511,"*a)*",'00 Encuesta'!$H$2:$H$511,"*e)*")</f>
        <v>0</v>
      </c>
      <c r="X42" s="52" t="e">
        <f t="shared" si="34"/>
        <v>#DIV/0!</v>
      </c>
      <c r="Y42" s="53">
        <f>COUNTIFS('00 Encuesta'!$B$2:$B$511,"*b)*",'00 Encuesta'!$C$2:$C$511,"*d)*",'00 Encuesta'!$E$2:$E$511,"*b)*",'00 Encuesta'!$H$2:$H$511,"*e)*")</f>
        <v>0</v>
      </c>
      <c r="Z42" s="52" t="e">
        <f t="shared" si="35"/>
        <v>#DIV/0!</v>
      </c>
      <c r="AA42" s="3"/>
      <c r="AB42" s="62">
        <f t="shared" si="6"/>
        <v>0</v>
      </c>
      <c r="AC42" s="52">
        <f t="shared" si="36"/>
        <v>0</v>
      </c>
      <c r="AD42" s="7"/>
      <c r="AE42" s="7"/>
      <c r="AF42" s="9" t="str">
        <f t="shared" si="37"/>
        <v>e) Rancho</v>
      </c>
      <c r="AG42" s="72">
        <f t="shared" si="38"/>
        <v>0</v>
      </c>
      <c r="AH42" s="72">
        <f t="shared" si="39"/>
        <v>0</v>
      </c>
      <c r="AI42" s="73">
        <f t="shared" si="40"/>
        <v>0</v>
      </c>
      <c r="AJ42" s="73"/>
      <c r="AK42" s="76">
        <f t="shared" si="41"/>
        <v>0</v>
      </c>
      <c r="AL42" s="76">
        <f t="shared" si="42"/>
        <v>0</v>
      </c>
      <c r="AM42" s="76">
        <f t="shared" si="43"/>
        <v>0</v>
      </c>
      <c r="AN42" s="76"/>
      <c r="AO42" s="81" t="e">
        <f t="shared" si="44"/>
        <v>#DIV/0!</v>
      </c>
      <c r="AP42" s="81" t="e">
        <f t="shared" si="45"/>
        <v>#DIV/0!</v>
      </c>
      <c r="AQ42" s="81" t="e">
        <f t="shared" si="46"/>
        <v>#DIV/0!</v>
      </c>
      <c r="AR42" s="7"/>
      <c r="AS42" s="76">
        <f t="shared" si="1"/>
        <v>0</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ht="15" x14ac:dyDescent="0.25">
      <c r="A43" s="8" t="s">
        <v>45</v>
      </c>
      <c r="B43" s="9" t="s">
        <v>46</v>
      </c>
      <c r="C43" s="7"/>
      <c r="D43" s="7"/>
      <c r="E43" s="7"/>
      <c r="F43" s="71"/>
      <c r="G43" s="51">
        <f t="shared" si="26"/>
        <v>0</v>
      </c>
      <c r="H43" s="52">
        <f t="shared" si="27"/>
        <v>0</v>
      </c>
      <c r="I43" s="53">
        <f>COUNTIFS('00 Encuesta'!$B$2:$B$511,"*b)*",'00 Encuesta'!$C$2:$C$511,"*a)*",'00 Encuesta'!$E$2:$E$511,"*a)*",'00 Encuesta'!$H$2:$H$511,"*f)*")</f>
        <v>0</v>
      </c>
      <c r="J43" s="52">
        <f t="shared" si="28"/>
        <v>0</v>
      </c>
      <c r="K43" s="53">
        <f>COUNTIFS('00 Encuesta'!$B$2:$B$511,"*b)*",'00 Encuesta'!$C$2:$C$511,"*a)*",'00 Encuesta'!$E$2:$E$511,"*b)*",'00 Encuesta'!$H$2:$H$511,"*f)*")</f>
        <v>0</v>
      </c>
      <c r="L43" s="52">
        <f t="shared" si="29"/>
        <v>0</v>
      </c>
      <c r="M43" s="23"/>
      <c r="N43" s="51">
        <f t="shared" si="30"/>
        <v>0</v>
      </c>
      <c r="O43" s="52">
        <f t="shared" si="47"/>
        <v>0</v>
      </c>
      <c r="P43" s="53">
        <f>COUNTIFS('00 Encuesta'!$B$2:$B$511,"*b)*",'00 Encuesta'!$C$2:$C$511,"*b)*",'00 Encuesta'!$E$2:$E$511,"*a)*",'00 Encuesta'!$H$2:$H$511,"*f)*")</f>
        <v>0</v>
      </c>
      <c r="Q43" s="52">
        <f t="shared" si="48"/>
        <v>0</v>
      </c>
      <c r="R43" s="53">
        <f>COUNTIFS('00 Encuesta'!$B$2:$B$511,"*b)*",'00 Encuesta'!$C$2:$C$511,"*b)*",'00 Encuesta'!$E$2:$E$511,"*b)*",'00 Encuesta'!$H$2:$H$511,"*f)*")</f>
        <v>0</v>
      </c>
      <c r="S43" s="52">
        <f t="shared" si="31"/>
        <v>0</v>
      </c>
      <c r="T43" s="3"/>
      <c r="U43" s="51">
        <f t="shared" si="32"/>
        <v>0</v>
      </c>
      <c r="V43" s="52" t="e">
        <f t="shared" si="33"/>
        <v>#DIV/0!</v>
      </c>
      <c r="W43" s="53">
        <f>COUNTIFS('00 Encuesta'!$B$2:$B$511,"*b)*",'00 Encuesta'!$C$2:$C$511,"*d)*",'00 Encuesta'!$E$2:$E$511,"*a)*",'00 Encuesta'!$H$2:$H$511,"*f)*")</f>
        <v>0</v>
      </c>
      <c r="X43" s="52" t="e">
        <f t="shared" si="34"/>
        <v>#DIV/0!</v>
      </c>
      <c r="Y43" s="53">
        <f>COUNTIFS('00 Encuesta'!$B$2:$B$511,"*b)*",'00 Encuesta'!$C$2:$C$511,"*d)*",'00 Encuesta'!$E$2:$E$511,"*b)*",'00 Encuesta'!$H$2:$H$511,"*f)*")</f>
        <v>0</v>
      </c>
      <c r="Z43" s="52" t="e">
        <f t="shared" si="35"/>
        <v>#DIV/0!</v>
      </c>
      <c r="AA43" s="3"/>
      <c r="AB43" s="62">
        <f t="shared" si="6"/>
        <v>0</v>
      </c>
      <c r="AC43" s="52">
        <f t="shared" si="36"/>
        <v>0</v>
      </c>
      <c r="AD43" s="7"/>
      <c r="AE43" s="7"/>
      <c r="AF43" s="9" t="str">
        <f t="shared" si="37"/>
        <v>f) Otro</v>
      </c>
      <c r="AG43" s="72">
        <f t="shared" si="38"/>
        <v>0</v>
      </c>
      <c r="AH43" s="72">
        <f t="shared" si="39"/>
        <v>0</v>
      </c>
      <c r="AI43" s="73">
        <f t="shared" si="40"/>
        <v>0</v>
      </c>
      <c r="AJ43" s="73"/>
      <c r="AK43" s="76">
        <f t="shared" si="41"/>
        <v>0</v>
      </c>
      <c r="AL43" s="76">
        <f t="shared" si="42"/>
        <v>0</v>
      </c>
      <c r="AM43" s="76">
        <f t="shared" si="43"/>
        <v>0</v>
      </c>
      <c r="AN43" s="76"/>
      <c r="AO43" s="81" t="e">
        <f t="shared" si="44"/>
        <v>#DIV/0!</v>
      </c>
      <c r="AP43" s="81" t="e">
        <f t="shared" si="45"/>
        <v>#DIV/0!</v>
      </c>
      <c r="AQ43" s="81" t="e">
        <f t="shared" si="46"/>
        <v>#DIV/0!</v>
      </c>
      <c r="AR43" s="7"/>
      <c r="AS43" s="76">
        <f t="shared" si="1"/>
        <v>0</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ht="15" x14ac:dyDescent="0.25">
      <c r="A44" s="8" t="s">
        <v>23</v>
      </c>
      <c r="B44" s="9" t="s">
        <v>24</v>
      </c>
      <c r="C44" s="7"/>
      <c r="D44" s="7"/>
      <c r="E44" s="7"/>
      <c r="F44" s="71"/>
      <c r="G44" s="51">
        <f t="shared" si="26"/>
        <v>0</v>
      </c>
      <c r="H44" s="52">
        <f t="shared" si="27"/>
        <v>0</v>
      </c>
      <c r="I44" s="53"/>
      <c r="J44" s="52">
        <f t="shared" si="28"/>
        <v>0</v>
      </c>
      <c r="K44" s="53"/>
      <c r="L44" s="52">
        <f t="shared" si="29"/>
        <v>0</v>
      </c>
      <c r="M44" s="23"/>
      <c r="N44" s="51">
        <f t="shared" si="30"/>
        <v>0</v>
      </c>
      <c r="O44" s="52">
        <f t="shared" si="47"/>
        <v>0</v>
      </c>
      <c r="P44" s="53"/>
      <c r="Q44" s="52">
        <f t="shared" si="48"/>
        <v>0</v>
      </c>
      <c r="R44" s="53"/>
      <c r="S44" s="52">
        <f t="shared" si="31"/>
        <v>0</v>
      </c>
      <c r="T44" s="3"/>
      <c r="U44" s="51">
        <f t="shared" si="32"/>
        <v>0</v>
      </c>
      <c r="V44" s="52" t="e">
        <f t="shared" si="33"/>
        <v>#DIV/0!</v>
      </c>
      <c r="W44" s="53"/>
      <c r="X44" s="52" t="e">
        <f t="shared" si="34"/>
        <v>#DIV/0!</v>
      </c>
      <c r="Y44" s="53"/>
      <c r="Z44" s="52" t="e">
        <f t="shared" si="35"/>
        <v>#DIV/0!</v>
      </c>
      <c r="AA44" s="3"/>
      <c r="AB44" s="62">
        <f t="shared" si="6"/>
        <v>0</v>
      </c>
      <c r="AC44" s="52">
        <f t="shared" si="36"/>
        <v>0</v>
      </c>
      <c r="AD44" s="7"/>
      <c r="AE44" s="7"/>
      <c r="AF44" s="9" t="str">
        <f t="shared" si="37"/>
        <v>S/R Sin Respuesta</v>
      </c>
      <c r="AG44" s="72">
        <f t="shared" si="38"/>
        <v>0</v>
      </c>
      <c r="AH44" s="72">
        <f t="shared" si="39"/>
        <v>0</v>
      </c>
      <c r="AI44" s="73">
        <f t="shared" si="40"/>
        <v>0</v>
      </c>
      <c r="AJ44" s="73"/>
      <c r="AK44" s="76">
        <f t="shared" si="41"/>
        <v>0</v>
      </c>
      <c r="AL44" s="76">
        <f t="shared" si="42"/>
        <v>0</v>
      </c>
      <c r="AM44" s="76">
        <f t="shared" si="43"/>
        <v>0</v>
      </c>
      <c r="AN44" s="76"/>
      <c r="AO44" s="81" t="e">
        <f t="shared" si="44"/>
        <v>#DIV/0!</v>
      </c>
      <c r="AP44" s="81" t="e">
        <f t="shared" si="45"/>
        <v>#DIV/0!</v>
      </c>
      <c r="AQ44" s="81" t="e">
        <f t="shared" si="46"/>
        <v>#DIV/0!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ht="15" x14ac:dyDescent="0.25">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ht="15" x14ac:dyDescent="0.25">
      <c r="A47" s="8" t="s">
        <v>17</v>
      </c>
      <c r="B47" s="9" t="s">
        <v>49</v>
      </c>
      <c r="C47" s="7"/>
      <c r="D47" s="7"/>
      <c r="E47" s="7"/>
      <c r="F47" s="71">
        <v>100</v>
      </c>
      <c r="G47" s="51">
        <f>I47+K47</f>
        <v>22</v>
      </c>
      <c r="H47" s="52">
        <f>G47/$J$5*100</f>
        <v>57.894736842105267</v>
      </c>
      <c r="I47" s="53">
        <f>COUNTIFS('00 Encuesta'!$B$2:$B$511,"*b)*",'00 Encuesta'!$C$2:$C$511,"*a)*",'00 Encuesta'!$E$2:$E$511,"*a)*",'00 Encuesta'!$I$2:$I$511,"*a)*")</f>
        <v>15</v>
      </c>
      <c r="J47" s="52">
        <f>I47/$J$6*100</f>
        <v>71.428571428571431</v>
      </c>
      <c r="K47" s="53">
        <f>COUNTIFS('00 Encuesta'!$B$2:$B$511,"*b)*",'00 Encuesta'!$C$2:$C$511,"*a)*",'00 Encuesta'!$E$2:$E$511,"*b)*",'00 Encuesta'!$I$2:$I$511,"*a)*")</f>
        <v>7</v>
      </c>
      <c r="L47" s="52">
        <f>K47/$J$7*100</f>
        <v>41.17647058823529</v>
      </c>
      <c r="M47" s="23"/>
      <c r="N47" s="51">
        <f>P47+R47</f>
        <v>21</v>
      </c>
      <c r="O47" s="52">
        <f>N47/$Q$5*100</f>
        <v>65.625</v>
      </c>
      <c r="P47" s="53">
        <f>COUNTIFS('00 Encuesta'!$B$2:$B$511,"*b)*",'00 Encuesta'!$C$2:$C$511,"*b)*",'00 Encuesta'!$E$2:$E$511,"*a)*",'00 Encuesta'!$I$2:$I$511,"*a)*")</f>
        <v>10</v>
      </c>
      <c r="Q47" s="52">
        <f>P47/$Q$6*100</f>
        <v>58.82352941176471</v>
      </c>
      <c r="R47" s="53">
        <f>COUNTIFS('00 Encuesta'!$B$2:$B$511,"*b)*",'00 Encuesta'!$C$2:$C$511,"*b)*",'00 Encuesta'!$E$2:$E$511,"*b)*",'00 Encuesta'!$I$2:$I$511,"*a)*")</f>
        <v>11</v>
      </c>
      <c r="S47" s="52">
        <f>R47/$Q$7*100</f>
        <v>73.333333333333329</v>
      </c>
      <c r="T47" s="3"/>
      <c r="U47" s="51">
        <f>W47+Y47</f>
        <v>0</v>
      </c>
      <c r="V47" s="52" t="e">
        <f>U47/$X$5*100</f>
        <v>#DIV/0!</v>
      </c>
      <c r="W47" s="53">
        <f>COUNTIFS('00 Encuesta'!$B$2:$B$511,"*b)*",'00 Encuesta'!$C$2:$C$511,"*d)*",'00 Encuesta'!$E$2:$E$511,"*a)*",'00 Encuesta'!$I$2:$I$511,"*a)*")</f>
        <v>0</v>
      </c>
      <c r="X47" s="52" t="e">
        <f>W47/$X$6*100</f>
        <v>#DIV/0!</v>
      </c>
      <c r="Y47" s="53">
        <f>COUNTIFS('00 Encuesta'!$B$2:$B$511,"*b)*",'00 Encuesta'!$C$2:$C$511,"*d)*",'00 Encuesta'!$E$2:$E$511,"*b)*",'00 Encuesta'!$I$2:$I$511,"*a)*")</f>
        <v>0</v>
      </c>
      <c r="Z47" s="52" t="e">
        <f>Y47/$X$7*100</f>
        <v>#DIV/0!</v>
      </c>
      <c r="AA47" s="3"/>
      <c r="AB47" s="62">
        <f t="shared" si="6"/>
        <v>43</v>
      </c>
      <c r="AC47" s="52">
        <f>AB47*100/$AC$5</f>
        <v>61.428571428571431</v>
      </c>
      <c r="AD47" s="7"/>
      <c r="AE47" s="7"/>
      <c r="AF47" s="9" t="str">
        <f t="shared" si="49"/>
        <v>a) Si</v>
      </c>
      <c r="AG47" s="72">
        <f>J47</f>
        <v>71.428571428571431</v>
      </c>
      <c r="AH47" s="72">
        <f>L47</f>
        <v>41.17647058823529</v>
      </c>
      <c r="AI47" s="73">
        <f>H47</f>
        <v>57.894736842105267</v>
      </c>
      <c r="AJ47" s="73"/>
      <c r="AK47" s="76">
        <f>Q47</f>
        <v>58.82352941176471</v>
      </c>
      <c r="AL47" s="76">
        <f>S47</f>
        <v>73.333333333333329</v>
      </c>
      <c r="AM47" s="76">
        <f>O47</f>
        <v>65.625</v>
      </c>
      <c r="AN47" s="76"/>
      <c r="AO47" s="81" t="e">
        <f>X47</f>
        <v>#DIV/0!</v>
      </c>
      <c r="AP47" s="81" t="e">
        <f>Z47</f>
        <v>#DIV/0!</v>
      </c>
      <c r="AQ47" s="81" t="e">
        <f>V47</f>
        <v>#DIV/0!</v>
      </c>
      <c r="AR47" s="7"/>
      <c r="AS47" s="76">
        <f t="shared" si="1"/>
        <v>61.428571428571431</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ht="15" x14ac:dyDescent="0.25">
      <c r="A48" s="8" t="s">
        <v>18</v>
      </c>
      <c r="B48" s="9" t="s">
        <v>50</v>
      </c>
      <c r="C48" s="7"/>
      <c r="D48" s="7"/>
      <c r="E48" s="7"/>
      <c r="F48" s="71">
        <v>0</v>
      </c>
      <c r="G48" s="51">
        <f>I48+K48</f>
        <v>1</v>
      </c>
      <c r="H48" s="52">
        <f>G48/$J$5*100</f>
        <v>2.6315789473684208</v>
      </c>
      <c r="I48" s="53">
        <f>COUNTIFS('00 Encuesta'!$B$2:$B$511,"*b)*",'00 Encuesta'!$C$2:$C$511,"*a)*",'00 Encuesta'!$E$2:$E$511,"*a)*",'00 Encuesta'!$I$2:$I$511,"*b)*")</f>
        <v>1</v>
      </c>
      <c r="J48" s="52">
        <f>I48/$J$6*100</f>
        <v>4.7619047619047619</v>
      </c>
      <c r="K48" s="53">
        <f>COUNTIFS('00 Encuesta'!$B$2:$B$511,"*b)*",'00 Encuesta'!$C$2:$C$511,"*a)*",'00 Encuesta'!$E$2:$E$511,"*b)*",'00 Encuesta'!$I$2:$I$511,"*b)*")</f>
        <v>0</v>
      </c>
      <c r="L48" s="52">
        <f>K48/$J$7*100</f>
        <v>0</v>
      </c>
      <c r="M48" s="23"/>
      <c r="N48" s="51">
        <f>P48+R48</f>
        <v>0</v>
      </c>
      <c r="O48" s="52">
        <f>N48/$Q$5*100</f>
        <v>0</v>
      </c>
      <c r="P48" s="53">
        <f>COUNTIFS('00 Encuesta'!$B$2:$B$511,"*b)*",'00 Encuesta'!$C$2:$C$511,"*b)*",'00 Encuesta'!$E$2:$E$511,"*a)*",'00 Encuesta'!$I$2:$I$511,"*b)*")</f>
        <v>0</v>
      </c>
      <c r="Q48" s="52">
        <f>P48/$Q$6*100</f>
        <v>0</v>
      </c>
      <c r="R48" s="53">
        <f>COUNTIFS('00 Encuesta'!$B$2:$B$511,"*b)*",'00 Encuesta'!$C$2:$C$511,"*b)*",'00 Encuesta'!$E$2:$E$511,"*b)*",'00 Encuesta'!$I$2:$I$511,"*b)*")</f>
        <v>0</v>
      </c>
      <c r="S48" s="52">
        <f>R48/$Q$7*100</f>
        <v>0</v>
      </c>
      <c r="T48" s="3"/>
      <c r="U48" s="51">
        <f>W48+Y48</f>
        <v>0</v>
      </c>
      <c r="V48" s="52" t="e">
        <f>U48/$X$5*100</f>
        <v>#DIV/0!</v>
      </c>
      <c r="W48" s="53">
        <f>COUNTIFS('00 Encuesta'!$B$2:$B$511,"*b)*",'00 Encuesta'!$C$2:$C$511,"*d)*",'00 Encuesta'!$E$2:$E$511,"*a)*",'00 Encuesta'!$I$2:$I$511,"*b)*")</f>
        <v>0</v>
      </c>
      <c r="X48" s="52" t="e">
        <f>W48/$X$6*100</f>
        <v>#DIV/0!</v>
      </c>
      <c r="Y48" s="53">
        <f>COUNTIFS('00 Encuesta'!$B$2:$B$511,"*b)*",'00 Encuesta'!$C$2:$C$511,"*d)*",'00 Encuesta'!$E$2:$E$511,"*b)*",'00 Encuesta'!$I$2:$I$511,"*b)*")</f>
        <v>0</v>
      </c>
      <c r="Z48" s="52" t="e">
        <f>Y48/$X$7*100</f>
        <v>#DIV/0!</v>
      </c>
      <c r="AA48" s="3"/>
      <c r="AB48" s="62">
        <f t="shared" si="6"/>
        <v>1</v>
      </c>
      <c r="AC48" s="52">
        <f>AB48*100/$AC$5</f>
        <v>1.4285714285714286</v>
      </c>
      <c r="AD48" s="7"/>
      <c r="AE48" s="7"/>
      <c r="AF48" s="9" t="str">
        <f t="shared" si="49"/>
        <v>b) No</v>
      </c>
      <c r="AG48" s="72">
        <f>J48</f>
        <v>4.7619047619047619</v>
      </c>
      <c r="AH48" s="72">
        <f>L48</f>
        <v>0</v>
      </c>
      <c r="AI48" s="73">
        <f>H48</f>
        <v>2.6315789473684208</v>
      </c>
      <c r="AJ48" s="73"/>
      <c r="AK48" s="76">
        <f>Q48</f>
        <v>0</v>
      </c>
      <c r="AL48" s="76">
        <f>S48</f>
        <v>0</v>
      </c>
      <c r="AM48" s="76">
        <f>O48</f>
        <v>0</v>
      </c>
      <c r="AN48" s="76"/>
      <c r="AO48" s="81" t="e">
        <f>X48</f>
        <v>#DIV/0!</v>
      </c>
      <c r="AP48" s="81" t="e">
        <f>Z48</f>
        <v>#DIV/0!</v>
      </c>
      <c r="AQ48" s="81" t="e">
        <f>V48</f>
        <v>#DIV/0!</v>
      </c>
      <c r="AR48" s="7"/>
      <c r="AS48" s="76">
        <f t="shared" si="1"/>
        <v>1.4285714285714286</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ht="15" x14ac:dyDescent="0.25">
      <c r="A49" s="8" t="s">
        <v>20</v>
      </c>
      <c r="B49" s="9" t="s">
        <v>51</v>
      </c>
      <c r="C49" s="7"/>
      <c r="D49" s="7"/>
      <c r="E49" s="7"/>
      <c r="F49" s="71">
        <v>50</v>
      </c>
      <c r="G49" s="51">
        <f>I49+K49</f>
        <v>8</v>
      </c>
      <c r="H49" s="52">
        <f>G49/$J$5*100</f>
        <v>21.052631578947366</v>
      </c>
      <c r="I49" s="53">
        <f>COUNTIFS('00 Encuesta'!$B$2:$B$511,"*b)*",'00 Encuesta'!$C$2:$C$511,"*a)*",'00 Encuesta'!$E$2:$E$511,"*a)*",'00 Encuesta'!$I$2:$I$511,"*c)*")</f>
        <v>4</v>
      </c>
      <c r="J49" s="52">
        <f>I49/$J$6*100</f>
        <v>19.047619047619047</v>
      </c>
      <c r="K49" s="53">
        <f>COUNTIFS('00 Encuesta'!$B$2:$B$511,"*b)*",'00 Encuesta'!$C$2:$C$511,"*a)*",'00 Encuesta'!$E$2:$E$511,"*b)*",'00 Encuesta'!$I$2:$I$511,"*c)*")</f>
        <v>4</v>
      </c>
      <c r="L49" s="52">
        <f>K49/$J$7*100</f>
        <v>23.52941176470588</v>
      </c>
      <c r="M49" s="23"/>
      <c r="N49" s="51">
        <f>P49+R49</f>
        <v>11</v>
      </c>
      <c r="O49" s="52">
        <f>N49/$Q$5*100</f>
        <v>34.375</v>
      </c>
      <c r="P49" s="53">
        <f>COUNTIFS('00 Encuesta'!$B$2:$B$511,"*b)*",'00 Encuesta'!$C$2:$C$511,"*b)*",'00 Encuesta'!$E$2:$E$511,"*a)*",'00 Encuesta'!$I$2:$I$511,"*c)*")</f>
        <v>7</v>
      </c>
      <c r="Q49" s="52">
        <f>P49/$Q$6*100</f>
        <v>41.17647058823529</v>
      </c>
      <c r="R49" s="53">
        <f>COUNTIFS('00 Encuesta'!$B$2:$B$511,"*b)*",'00 Encuesta'!$C$2:$C$511,"*b)*",'00 Encuesta'!$E$2:$E$511,"*b)*",'00 Encuesta'!$I$2:$I$511,"*c)*")</f>
        <v>4</v>
      </c>
      <c r="S49" s="52">
        <f>R49/$Q$7*100</f>
        <v>26.666666666666668</v>
      </c>
      <c r="T49" s="3"/>
      <c r="U49" s="51">
        <f>W49+Y49</f>
        <v>0</v>
      </c>
      <c r="V49" s="52" t="e">
        <f>U49/$X$5*100</f>
        <v>#DIV/0!</v>
      </c>
      <c r="W49" s="53">
        <f>COUNTIFS('00 Encuesta'!$B$2:$B$511,"*b)*",'00 Encuesta'!$C$2:$C$511,"*d)*",'00 Encuesta'!$E$2:$E$511,"*a)*",'00 Encuesta'!$I$2:$I$511,"*c)*")</f>
        <v>0</v>
      </c>
      <c r="X49" s="52" t="e">
        <f>W49/$X$6*100</f>
        <v>#DIV/0!</v>
      </c>
      <c r="Y49" s="53">
        <f>COUNTIFS('00 Encuesta'!$B$2:$B$511,"*b)*",'00 Encuesta'!$C$2:$C$511,"*d)*",'00 Encuesta'!$E$2:$E$511,"*b)*",'00 Encuesta'!$I$2:$I$511,"*c)*")</f>
        <v>0</v>
      </c>
      <c r="Z49" s="52" t="e">
        <f>Y49/$X$7*100</f>
        <v>#DIV/0!</v>
      </c>
      <c r="AA49" s="3"/>
      <c r="AB49" s="62">
        <f t="shared" si="6"/>
        <v>19</v>
      </c>
      <c r="AC49" s="52">
        <f>AB49*100/$AC$5</f>
        <v>27.142857142857142</v>
      </c>
      <c r="AD49" s="7"/>
      <c r="AE49" s="7"/>
      <c r="AF49" s="9" t="str">
        <f t="shared" si="49"/>
        <v>c) Algo</v>
      </c>
      <c r="AG49" s="72">
        <f>J49</f>
        <v>19.047619047619047</v>
      </c>
      <c r="AH49" s="72">
        <f>L49</f>
        <v>23.52941176470588</v>
      </c>
      <c r="AI49" s="73">
        <f>H49</f>
        <v>21.052631578947366</v>
      </c>
      <c r="AJ49" s="73"/>
      <c r="AK49" s="76">
        <f>Q49</f>
        <v>41.17647058823529</v>
      </c>
      <c r="AL49" s="76">
        <f>S49</f>
        <v>26.666666666666668</v>
      </c>
      <c r="AM49" s="76">
        <f>O49</f>
        <v>34.375</v>
      </c>
      <c r="AN49" s="76"/>
      <c r="AO49" s="81" t="e">
        <f>X49</f>
        <v>#DIV/0!</v>
      </c>
      <c r="AP49" s="81" t="e">
        <f>Z49</f>
        <v>#DIV/0!</v>
      </c>
      <c r="AQ49" s="81" t="e">
        <f>V49</f>
        <v>#DIV/0!</v>
      </c>
      <c r="AR49" s="7"/>
      <c r="AS49" s="76">
        <f t="shared" si="1"/>
        <v>27.142857142857142</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5</v>
      </c>
      <c r="H50" s="52">
        <f>G50/$J$5*100</f>
        <v>13.157894736842104</v>
      </c>
      <c r="I50" s="53">
        <f>COUNTIFS('00 Encuesta'!$B$2:$B$511,"*b)*",'00 Encuesta'!$C$2:$C$511,"*a)*",'00 Encuesta'!$E$2:$E$511,"*a)*",'00 Encuesta'!$I$2:$I$511,"*d)*")</f>
        <v>1</v>
      </c>
      <c r="J50" s="52">
        <f>I50/$J$6*100</f>
        <v>4.7619047619047619</v>
      </c>
      <c r="K50" s="53">
        <f>COUNTIFS('00 Encuesta'!$B$2:$B$511,"*b)*",'00 Encuesta'!$C$2:$C$511,"*a)*",'00 Encuesta'!$E$2:$E$511,"*b)*",'00 Encuesta'!$I$2:$I$511,"*d)*")</f>
        <v>4</v>
      </c>
      <c r="L50" s="52">
        <f>K50/$J$7*100</f>
        <v>23.52941176470588</v>
      </c>
      <c r="M50" s="23"/>
      <c r="N50" s="51">
        <f>P50+R50</f>
        <v>0</v>
      </c>
      <c r="O50" s="52">
        <f>N50/$Q$5*100</f>
        <v>0</v>
      </c>
      <c r="P50" s="53">
        <f>COUNTIFS('00 Encuesta'!$B$2:$B$511,"*b)*",'00 Encuesta'!$C$2:$C$511,"*b)*",'00 Encuesta'!$E$2:$E$511,"*a)*",'00 Encuesta'!$I$2:$I$511,"*d)*")</f>
        <v>0</v>
      </c>
      <c r="Q50" s="52">
        <f>P50/$Q$6*100</f>
        <v>0</v>
      </c>
      <c r="R50" s="53">
        <f>COUNTIFS('00 Encuesta'!$B$2:$B$511,"*b)*",'00 Encuesta'!$C$2:$C$511,"*b)*",'00 Encuesta'!$E$2:$E$511,"*b)*",'00 Encuesta'!$I$2:$I$511,"*d)*")</f>
        <v>0</v>
      </c>
      <c r="S50" s="52">
        <f>R50/$Q$7*100</f>
        <v>0</v>
      </c>
      <c r="T50" s="3"/>
      <c r="U50" s="51">
        <f>W50+Y50</f>
        <v>0</v>
      </c>
      <c r="V50" s="52" t="e">
        <f>U50/$X$5*100</f>
        <v>#DIV/0!</v>
      </c>
      <c r="W50" s="53">
        <f>COUNTIFS('00 Encuesta'!$B$2:$B$511,"*b)*",'00 Encuesta'!$C$2:$C$511,"*d)*",'00 Encuesta'!$E$2:$E$511,"*a)*",'00 Encuesta'!$I$2:$I$511,"*d)*")</f>
        <v>0</v>
      </c>
      <c r="X50" s="52" t="e">
        <f>W50/$X$6*100</f>
        <v>#DIV/0!</v>
      </c>
      <c r="Y50" s="53">
        <f>COUNTIFS('00 Encuesta'!$B$2:$B$511,"*b)*",'00 Encuesta'!$C$2:$C$511,"*d)*",'00 Encuesta'!$E$2:$E$511,"*b)*",'00 Encuesta'!$I$2:$I$511,"*d)*")</f>
        <v>0</v>
      </c>
      <c r="Z50" s="52" t="e">
        <f>Y50/$X$7*100</f>
        <v>#DIV/0!</v>
      </c>
      <c r="AA50" s="3"/>
      <c r="AB50" s="62">
        <f t="shared" si="6"/>
        <v>5</v>
      </c>
      <c r="AC50" s="52">
        <f>AB50*100/$AC$5</f>
        <v>7.1428571428571432</v>
      </c>
      <c r="AD50" s="7"/>
      <c r="AE50" s="7"/>
      <c r="AF50" s="9" t="str">
        <f t="shared" si="49"/>
        <v>d) No sé</v>
      </c>
      <c r="AG50" s="72">
        <f>J50</f>
        <v>4.7619047619047619</v>
      </c>
      <c r="AH50" s="72">
        <f>L50</f>
        <v>23.52941176470588</v>
      </c>
      <c r="AI50" s="73">
        <f>H50</f>
        <v>13.157894736842104</v>
      </c>
      <c r="AJ50" s="73"/>
      <c r="AK50" s="76">
        <f>Q50</f>
        <v>0</v>
      </c>
      <c r="AL50" s="76">
        <f>S50</f>
        <v>0</v>
      </c>
      <c r="AM50" s="76">
        <f>O50</f>
        <v>0</v>
      </c>
      <c r="AN50" s="76"/>
      <c r="AO50" s="81" t="e">
        <f>X50</f>
        <v>#DIV/0!</v>
      </c>
      <c r="AP50" s="81" t="e">
        <f>Z50</f>
        <v>#DIV/0!</v>
      </c>
      <c r="AQ50" s="81" t="e">
        <f>V50</f>
        <v>#DIV/0!</v>
      </c>
      <c r="AR50" s="7"/>
      <c r="AS50" s="76">
        <f t="shared" si="1"/>
        <v>7.1428571428571432</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ht="15" x14ac:dyDescent="0.25">
      <c r="A51" s="8" t="s">
        <v>23</v>
      </c>
      <c r="B51" s="9" t="s">
        <v>24</v>
      </c>
      <c r="C51" s="7"/>
      <c r="D51" s="7"/>
      <c r="E51" s="7"/>
      <c r="F51" s="71"/>
      <c r="G51" s="51">
        <f>I51+K51</f>
        <v>0</v>
      </c>
      <c r="H51" s="52">
        <f>G51/$J$5*100</f>
        <v>0</v>
      </c>
      <c r="I51" s="53"/>
      <c r="J51" s="52">
        <f>I51/$J$6*100</f>
        <v>0</v>
      </c>
      <c r="K51" s="53"/>
      <c r="L51" s="52">
        <f>K51/$J$7*100</f>
        <v>0</v>
      </c>
      <c r="M51" s="23"/>
      <c r="N51" s="51">
        <f>P51+R51</f>
        <v>0</v>
      </c>
      <c r="O51" s="52">
        <f>N51/$Q$5*100</f>
        <v>0</v>
      </c>
      <c r="P51" s="53"/>
      <c r="Q51" s="52">
        <f>P51/$Q$6*100</f>
        <v>0</v>
      </c>
      <c r="R51" s="53"/>
      <c r="S51" s="52">
        <f>R51/$Q$7*100</f>
        <v>0</v>
      </c>
      <c r="T51" s="3"/>
      <c r="U51" s="51">
        <f>W51+Y51</f>
        <v>0</v>
      </c>
      <c r="V51" s="52" t="e">
        <f>U51/$X$5*100</f>
        <v>#DIV/0!</v>
      </c>
      <c r="W51" s="53"/>
      <c r="X51" s="52" t="e">
        <f>W51/$X$6*100</f>
        <v>#DIV/0!</v>
      </c>
      <c r="Y51" s="53"/>
      <c r="Z51" s="52" t="e">
        <f>Y51/$X$7*100</f>
        <v>#DIV/0!</v>
      </c>
      <c r="AA51" s="3"/>
      <c r="AB51" s="62">
        <f t="shared" si="6"/>
        <v>0</v>
      </c>
      <c r="AC51" s="52">
        <f>AB51*100/$AC$5</f>
        <v>0</v>
      </c>
      <c r="AD51" s="7"/>
      <c r="AE51" s="7"/>
      <c r="AF51" s="9" t="str">
        <f t="shared" si="49"/>
        <v>S/R Sin Respuesta</v>
      </c>
      <c r="AG51" s="72">
        <f>J51</f>
        <v>0</v>
      </c>
      <c r="AH51" s="72">
        <f>L51</f>
        <v>0</v>
      </c>
      <c r="AI51" s="73">
        <f>H51</f>
        <v>0</v>
      </c>
      <c r="AJ51" s="73"/>
      <c r="AK51" s="76">
        <f>Q51</f>
        <v>0</v>
      </c>
      <c r="AL51" s="76">
        <f>S51</f>
        <v>0</v>
      </c>
      <c r="AM51" s="76">
        <f>O51</f>
        <v>0</v>
      </c>
      <c r="AN51" s="76"/>
      <c r="AO51" s="81" t="e">
        <f>X51</f>
        <v>#DIV/0!</v>
      </c>
      <c r="AP51" s="81" t="e">
        <f>Z51</f>
        <v>#DIV/0!</v>
      </c>
      <c r="AQ51" s="81" t="e">
        <f>V51</f>
        <v>#DIV/0!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ht="15" x14ac:dyDescent="0.25">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80.952380952380949</v>
      </c>
      <c r="AH52" s="82">
        <f>($F47*K47+$F48*K48+$F49*K49+$F50*K50)/(+K47+K48+K49+K50)</f>
        <v>60</v>
      </c>
      <c r="AI52" s="82">
        <f>($F47*G47+$F48*G48+$F49*G49+$F50*G50)/(G47+G48+G49+G50)</f>
        <v>72.222222222222229</v>
      </c>
      <c r="AJ52" s="82"/>
      <c r="AK52" s="82">
        <f>($F47*P47+$F48*P48+$F49*P49+$F50*P50)/(P47+P48+P49+P50)</f>
        <v>79.411764705882348</v>
      </c>
      <c r="AL52" s="82">
        <f>($F47*R47+$F48*R48+$F49*R49+$F50*R50)/(R47+R48+R49+R50)</f>
        <v>86.666666666666671</v>
      </c>
      <c r="AM52" s="82">
        <f>($F47*N47+$F48*N48+$F49*N49+$F50*N50)/(N47+N48+N49+N50)</f>
        <v>82.8125</v>
      </c>
      <c r="AN52" s="82"/>
      <c r="AO52" s="82" t="e">
        <f>($F47*W47+$F48*W48+$F49*W49+$F50*W50)/(W47+W48+W49+W50)</f>
        <v>#DIV/0!</v>
      </c>
      <c r="AP52" s="82" t="e">
        <f>($F47*Y47+$F48*Y48+$F49*Y49+$F50*Y50)/(Y47+Y48+Y49+Y50)</f>
        <v>#DIV/0!</v>
      </c>
      <c r="AQ52" s="82" t="e">
        <f>($F47*U47+$F48*U48+$F49*U49+$F50*U50)/(U47+U48+U49+U50)</f>
        <v>#DIV/0!</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ht="15" x14ac:dyDescent="0.25">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ht="15" x14ac:dyDescent="0.25">
      <c r="A54" s="8" t="s">
        <v>17</v>
      </c>
      <c r="B54" s="9" t="s">
        <v>55</v>
      </c>
      <c r="C54" s="7"/>
      <c r="D54" s="7"/>
      <c r="E54" s="7"/>
      <c r="F54" s="71"/>
      <c r="G54" s="51">
        <f t="shared" ref="G54:G64" si="50">I54+K54</f>
        <v>35</v>
      </c>
      <c r="H54" s="52">
        <f t="shared" ref="H54:H64" si="51">G54/$J$5*100</f>
        <v>92.10526315789474</v>
      </c>
      <c r="I54" s="53">
        <f>COUNTIFS('00 Encuesta'!$B$2:$B$511,"*b)*",'00 Encuesta'!$C$2:$C$511,"*a)*",'00 Encuesta'!$E$2:$E$511,"*a)*",'00 Encuesta'!$J$2:$J$511,"*a)*")</f>
        <v>20</v>
      </c>
      <c r="J54" s="52">
        <f t="shared" ref="J54:J64" si="52">I54/$J$6*100</f>
        <v>95.238095238095227</v>
      </c>
      <c r="K54" s="53">
        <f>COUNTIFS('00 Encuesta'!$B$2:$B$511,"*b)*",'00 Encuesta'!$C$2:$C$511,"*a)*",'00 Encuesta'!$E$2:$E$511,"*b)*",'00 Encuesta'!$J$2:$J$511,"*a)*")</f>
        <v>15</v>
      </c>
      <c r="L54" s="52">
        <f t="shared" ref="L54:L64" si="53">K54/$J$7*100</f>
        <v>88.235294117647058</v>
      </c>
      <c r="M54" s="23"/>
      <c r="N54" s="51">
        <f t="shared" ref="N54:N64" si="54">P54+R54</f>
        <v>26</v>
      </c>
      <c r="O54" s="52">
        <f t="shared" ref="O54:O64" si="55">N54/$Q$5*100</f>
        <v>81.25</v>
      </c>
      <c r="P54" s="53">
        <f>COUNTIFS('00 Encuesta'!$B$2:$B$511,"*b)*",'00 Encuesta'!$C$2:$C$511,"*b)*",'00 Encuesta'!$E$2:$E$511,"*a)*",'00 Encuesta'!$J$2:$J$511,"*a)*")</f>
        <v>16</v>
      </c>
      <c r="Q54" s="52">
        <f t="shared" ref="Q54:Q64" si="56">P54/$Q$6*100</f>
        <v>94.117647058823522</v>
      </c>
      <c r="R54" s="53">
        <f>COUNTIFS('00 Encuesta'!$B$2:$B$511,"*b)*",'00 Encuesta'!$C$2:$C$511,"*b)*",'00 Encuesta'!$E$2:$E$511,"*b)*",'00 Encuesta'!$J$2:$J$511,"*a)*")</f>
        <v>10</v>
      </c>
      <c r="S54" s="52">
        <f t="shared" ref="S54:S64" si="57">R54/$Q$7*100</f>
        <v>66.666666666666657</v>
      </c>
      <c r="T54" s="3"/>
      <c r="U54" s="51">
        <f t="shared" ref="U54:U64" si="58">W54+Y54</f>
        <v>0</v>
      </c>
      <c r="V54" s="52" t="e">
        <f t="shared" ref="V54:V64" si="59">U54/$X$5*100</f>
        <v>#DIV/0!</v>
      </c>
      <c r="W54" s="53">
        <f>COUNTIFS('00 Encuesta'!$B$2:$B$511,"*b)*",'00 Encuesta'!$C$2:$C$511,"*d)*",'00 Encuesta'!$E$2:$E$511,"*a)*",'00 Encuesta'!$J$2:$J$511,"*a)*")</f>
        <v>0</v>
      </c>
      <c r="X54" s="52" t="e">
        <f t="shared" ref="X54:X64" si="60">W54/$X$6*100</f>
        <v>#DIV/0!</v>
      </c>
      <c r="Y54" s="53">
        <f>COUNTIFS('00 Encuesta'!$B$2:$B$511,"*b)*",'00 Encuesta'!$C$2:$C$511,"*d)*",'00 Encuesta'!$E$2:$E$511,"*b)*",'00 Encuesta'!$J$2:$J$511,"*a)*")</f>
        <v>0</v>
      </c>
      <c r="Z54" s="52" t="e">
        <f t="shared" ref="Z54:Z64" si="61">Y54/$X$7*100</f>
        <v>#DIV/0!</v>
      </c>
      <c r="AA54" s="3"/>
      <c r="AB54" s="62">
        <f t="shared" si="6"/>
        <v>61</v>
      </c>
      <c r="AC54" s="52">
        <f t="shared" ref="AC54:AC64" si="62">AB54*100/$AC$5</f>
        <v>87.142857142857139</v>
      </c>
      <c r="AD54" s="7"/>
      <c r="AE54" s="7"/>
      <c r="AF54" s="9" t="str">
        <f t="shared" ref="AF54:AF65" si="63">A54&amp;" "&amp;B54</f>
        <v>a) Videojuegos consola</v>
      </c>
      <c r="AG54" s="72">
        <f t="shared" ref="AG54:AG65" si="64">J54</f>
        <v>95.238095238095227</v>
      </c>
      <c r="AH54" s="72">
        <f t="shared" ref="AH54:AH65" si="65">L54</f>
        <v>88.235294117647058</v>
      </c>
      <c r="AI54" s="73">
        <f t="shared" ref="AI54:AI65" si="66">H54</f>
        <v>92.10526315789474</v>
      </c>
      <c r="AJ54" s="73"/>
      <c r="AK54" s="76">
        <f t="shared" ref="AK54:AK65" si="67">Q54</f>
        <v>94.117647058823522</v>
      </c>
      <c r="AL54" s="76">
        <f t="shared" ref="AL54:AL65" si="68">S54</f>
        <v>66.666666666666657</v>
      </c>
      <c r="AM54" s="76">
        <f t="shared" ref="AM54:AM65" si="69">O54</f>
        <v>81.25</v>
      </c>
      <c r="AN54" s="76"/>
      <c r="AO54" s="81" t="e">
        <f t="shared" ref="AO54:AO65" si="70">X54</f>
        <v>#DIV/0!</v>
      </c>
      <c r="AP54" s="81" t="e">
        <f t="shared" ref="AP54:AP65" si="71">Z54</f>
        <v>#DIV/0!</v>
      </c>
      <c r="AQ54" s="81" t="e">
        <f t="shared" ref="AQ54:AQ65" si="72">V54</f>
        <v>#DIV/0!</v>
      </c>
      <c r="AR54" s="7"/>
      <c r="AS54" s="76">
        <f t="shared" si="1"/>
        <v>87.142857142857139</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ht="15" x14ac:dyDescent="0.25">
      <c r="A55" s="8" t="s">
        <v>18</v>
      </c>
      <c r="B55" s="9" t="s">
        <v>56</v>
      </c>
      <c r="C55" s="7"/>
      <c r="D55" s="7"/>
      <c r="E55" s="7"/>
      <c r="F55" s="71"/>
      <c r="G55" s="51">
        <f t="shared" si="50"/>
        <v>36</v>
      </c>
      <c r="H55" s="52">
        <f t="shared" si="51"/>
        <v>94.73684210526315</v>
      </c>
      <c r="I55" s="53">
        <f>COUNTIFS('00 Encuesta'!$B$2:$B$511,"*b)*",'00 Encuesta'!$C$2:$C$511,"*a)*",'00 Encuesta'!$E$2:$E$511,"*a)*",'00 Encuesta'!$J$2:$J$511,"*b)*")</f>
        <v>20</v>
      </c>
      <c r="J55" s="52">
        <f t="shared" si="52"/>
        <v>95.238095238095227</v>
      </c>
      <c r="K55" s="53">
        <f>COUNTIFS('00 Encuesta'!$B$2:$B$511,"*b)*",'00 Encuesta'!$C$2:$C$511,"*a)*",'00 Encuesta'!$E$2:$E$511,"*b)*",'00 Encuesta'!$J$2:$J$511,"*b)*")</f>
        <v>16</v>
      </c>
      <c r="L55" s="52">
        <f t="shared" si="53"/>
        <v>94.117647058823522</v>
      </c>
      <c r="M55" s="23"/>
      <c r="N55" s="51">
        <f t="shared" si="54"/>
        <v>30</v>
      </c>
      <c r="O55" s="52">
        <f t="shared" si="55"/>
        <v>93.75</v>
      </c>
      <c r="P55" s="53">
        <f>COUNTIFS('00 Encuesta'!$B$2:$B$511,"*b)*",'00 Encuesta'!$C$2:$C$511,"*b)*",'00 Encuesta'!$E$2:$E$511,"*a)*",'00 Encuesta'!$J$2:$J$511,"*b)*")</f>
        <v>17</v>
      </c>
      <c r="Q55" s="52">
        <f t="shared" si="56"/>
        <v>100</v>
      </c>
      <c r="R55" s="53">
        <f>COUNTIFS('00 Encuesta'!$B$2:$B$511,"*b)*",'00 Encuesta'!$C$2:$C$511,"*b)*",'00 Encuesta'!$E$2:$E$511,"*b)*",'00 Encuesta'!$J$2:$J$511,"*b)*")</f>
        <v>13</v>
      </c>
      <c r="S55" s="52">
        <f t="shared" si="57"/>
        <v>86.666666666666671</v>
      </c>
      <c r="T55" s="3"/>
      <c r="U55" s="51">
        <f t="shared" si="58"/>
        <v>0</v>
      </c>
      <c r="V55" s="52" t="e">
        <f t="shared" si="59"/>
        <v>#DIV/0!</v>
      </c>
      <c r="W55" s="53">
        <f>COUNTIFS('00 Encuesta'!$B$2:$B$511,"*b)*",'00 Encuesta'!$C$2:$C$511,"*d)*",'00 Encuesta'!$E$2:$E$511,"*a)*",'00 Encuesta'!$J$2:$J$511,"*b)*")</f>
        <v>0</v>
      </c>
      <c r="X55" s="52" t="e">
        <f t="shared" si="60"/>
        <v>#DIV/0!</v>
      </c>
      <c r="Y55" s="53">
        <f>COUNTIFS('00 Encuesta'!$B$2:$B$511,"*b)*",'00 Encuesta'!$C$2:$C$511,"*d)*",'00 Encuesta'!$E$2:$E$511,"*b)*",'00 Encuesta'!$J$2:$J$511,"*b)*")</f>
        <v>0</v>
      </c>
      <c r="Z55" s="52" t="e">
        <f t="shared" si="61"/>
        <v>#DIV/0!</v>
      </c>
      <c r="AA55" s="3"/>
      <c r="AB55" s="62">
        <f t="shared" si="6"/>
        <v>66</v>
      </c>
      <c r="AC55" s="52">
        <f t="shared" si="62"/>
        <v>94.285714285714292</v>
      </c>
      <c r="AD55" s="7"/>
      <c r="AE55" s="7"/>
      <c r="AF55" s="9" t="str">
        <f t="shared" si="63"/>
        <v>b) Lavadora</v>
      </c>
      <c r="AG55" s="72">
        <f t="shared" si="64"/>
        <v>95.238095238095227</v>
      </c>
      <c r="AH55" s="72">
        <f t="shared" si="65"/>
        <v>94.117647058823522</v>
      </c>
      <c r="AI55" s="73">
        <f t="shared" si="66"/>
        <v>94.73684210526315</v>
      </c>
      <c r="AJ55" s="73"/>
      <c r="AK55" s="76">
        <f t="shared" si="67"/>
        <v>100</v>
      </c>
      <c r="AL55" s="76">
        <f t="shared" si="68"/>
        <v>86.666666666666671</v>
      </c>
      <c r="AM55" s="76">
        <f t="shared" si="69"/>
        <v>93.75</v>
      </c>
      <c r="AN55" s="76"/>
      <c r="AO55" s="81" t="e">
        <f t="shared" si="70"/>
        <v>#DIV/0!</v>
      </c>
      <c r="AP55" s="81" t="e">
        <f t="shared" si="71"/>
        <v>#DIV/0!</v>
      </c>
      <c r="AQ55" s="81" t="e">
        <f t="shared" si="72"/>
        <v>#DIV/0!</v>
      </c>
      <c r="AR55" s="7"/>
      <c r="AS55" s="76">
        <f t="shared" si="1"/>
        <v>94.285714285714292</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ht="15" x14ac:dyDescent="0.25">
      <c r="A56" s="8" t="s">
        <v>20</v>
      </c>
      <c r="B56" s="9" t="s">
        <v>57</v>
      </c>
      <c r="C56" s="7"/>
      <c r="D56" s="7"/>
      <c r="E56" s="7"/>
      <c r="F56" s="71"/>
      <c r="G56" s="51">
        <f t="shared" si="50"/>
        <v>35</v>
      </c>
      <c r="H56" s="52">
        <f t="shared" si="51"/>
        <v>92.10526315789474</v>
      </c>
      <c r="I56" s="53">
        <f>COUNTIFS('00 Encuesta'!$B$2:$B$511,"*b)*",'00 Encuesta'!$C$2:$C$511,"*a)*",'00 Encuesta'!$E$2:$E$511,"*a)*",'00 Encuesta'!$J$2:$J$511,"*c)*")</f>
        <v>19</v>
      </c>
      <c r="J56" s="52">
        <f t="shared" si="52"/>
        <v>90.476190476190482</v>
      </c>
      <c r="K56" s="53">
        <f>COUNTIFS('00 Encuesta'!$B$2:$B$511,"*b)*",'00 Encuesta'!$C$2:$C$511,"*a)*",'00 Encuesta'!$E$2:$E$511,"*b)*",'00 Encuesta'!$J$2:$J$511,"*c)*")</f>
        <v>16</v>
      </c>
      <c r="L56" s="52">
        <f t="shared" si="53"/>
        <v>94.117647058823522</v>
      </c>
      <c r="M56" s="23"/>
      <c r="N56" s="51">
        <f t="shared" si="54"/>
        <v>27</v>
      </c>
      <c r="O56" s="52">
        <f t="shared" si="55"/>
        <v>84.375</v>
      </c>
      <c r="P56" s="53">
        <f>COUNTIFS('00 Encuesta'!$B$2:$B$511,"*b)*",'00 Encuesta'!$C$2:$C$511,"*b)*",'00 Encuesta'!$E$2:$E$511,"*a)*",'00 Encuesta'!$J$2:$J$511,"*c)*")</f>
        <v>15</v>
      </c>
      <c r="Q56" s="52">
        <f t="shared" si="56"/>
        <v>88.235294117647058</v>
      </c>
      <c r="R56" s="53">
        <f>COUNTIFS('00 Encuesta'!$B$2:$B$511,"*b)*",'00 Encuesta'!$C$2:$C$511,"*b)*",'00 Encuesta'!$E$2:$E$511,"*b)*",'00 Encuesta'!$J$2:$J$511,"*c)*")</f>
        <v>12</v>
      </c>
      <c r="S56" s="52">
        <f t="shared" si="57"/>
        <v>80</v>
      </c>
      <c r="T56" s="3"/>
      <c r="U56" s="51">
        <f t="shared" si="58"/>
        <v>0</v>
      </c>
      <c r="V56" s="52" t="e">
        <f t="shared" si="59"/>
        <v>#DIV/0!</v>
      </c>
      <c r="W56" s="53">
        <f>COUNTIFS('00 Encuesta'!$B$2:$B$511,"*b)*",'00 Encuesta'!$C$2:$C$511,"*d)*",'00 Encuesta'!$E$2:$E$511,"*a)*",'00 Encuesta'!$J$2:$J$511,"*c)*")</f>
        <v>0</v>
      </c>
      <c r="X56" s="52" t="e">
        <f t="shared" si="60"/>
        <v>#DIV/0!</v>
      </c>
      <c r="Y56" s="53">
        <f>COUNTIFS('00 Encuesta'!$B$2:$B$511,"*b)*",'00 Encuesta'!$C$2:$C$511,"*d)*",'00 Encuesta'!$E$2:$E$511,"*b)*",'00 Encuesta'!$J$2:$J$511,"*c)*")</f>
        <v>0</v>
      </c>
      <c r="Z56" s="52" t="e">
        <f t="shared" si="61"/>
        <v>#DIV/0!</v>
      </c>
      <c r="AA56" s="3"/>
      <c r="AB56" s="62">
        <f t="shared" si="6"/>
        <v>62</v>
      </c>
      <c r="AC56" s="52">
        <f t="shared" si="62"/>
        <v>88.571428571428569</v>
      </c>
      <c r="AD56" s="7"/>
      <c r="AE56" s="7"/>
      <c r="AF56" s="9" t="str">
        <f t="shared" si="63"/>
        <v>c) Microondas</v>
      </c>
      <c r="AG56" s="72">
        <f t="shared" si="64"/>
        <v>90.476190476190482</v>
      </c>
      <c r="AH56" s="72">
        <f t="shared" si="65"/>
        <v>94.117647058823522</v>
      </c>
      <c r="AI56" s="73">
        <f t="shared" si="66"/>
        <v>92.10526315789474</v>
      </c>
      <c r="AJ56" s="73"/>
      <c r="AK56" s="76">
        <f t="shared" si="67"/>
        <v>88.235294117647058</v>
      </c>
      <c r="AL56" s="76">
        <f t="shared" si="68"/>
        <v>80</v>
      </c>
      <c r="AM56" s="76">
        <f t="shared" si="69"/>
        <v>84.375</v>
      </c>
      <c r="AN56" s="76"/>
      <c r="AO56" s="81" t="e">
        <f t="shared" si="70"/>
        <v>#DIV/0!</v>
      </c>
      <c r="AP56" s="81" t="e">
        <f t="shared" si="71"/>
        <v>#DIV/0!</v>
      </c>
      <c r="AQ56" s="81" t="e">
        <f t="shared" si="72"/>
        <v>#DIV/0!</v>
      </c>
      <c r="AR56" s="7"/>
      <c r="AS56" s="76">
        <f t="shared" si="1"/>
        <v>88.571428571428569</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33</v>
      </c>
      <c r="H57" s="52">
        <f t="shared" si="51"/>
        <v>86.842105263157904</v>
      </c>
      <c r="I57" s="53">
        <f>COUNTIFS('00 Encuesta'!$B$2:$B$511,"*b)*",'00 Encuesta'!$C$2:$C$511,"*a)*",'00 Encuesta'!$E$2:$E$511,"*a)*",'00 Encuesta'!$J$2:$J$511,"*d)*")</f>
        <v>17</v>
      </c>
      <c r="J57" s="52">
        <f t="shared" si="52"/>
        <v>80.952380952380949</v>
      </c>
      <c r="K57" s="53">
        <f>COUNTIFS('00 Encuesta'!$B$2:$B$511,"*b)*",'00 Encuesta'!$C$2:$C$511,"*a)*",'00 Encuesta'!$E$2:$E$511,"*b)*",'00 Encuesta'!$J$2:$J$511,"*d)*")</f>
        <v>16</v>
      </c>
      <c r="L57" s="52">
        <f t="shared" si="53"/>
        <v>94.117647058823522</v>
      </c>
      <c r="M57" s="23"/>
      <c r="N57" s="51">
        <f t="shared" si="54"/>
        <v>32</v>
      </c>
      <c r="O57" s="52">
        <f t="shared" si="55"/>
        <v>100</v>
      </c>
      <c r="P57" s="53">
        <f>COUNTIFS('00 Encuesta'!$B$2:$B$511,"*b)*",'00 Encuesta'!$C$2:$C$511,"*b)*",'00 Encuesta'!$E$2:$E$511,"*a)*",'00 Encuesta'!$J$2:$J$511,"*d)*")</f>
        <v>17</v>
      </c>
      <c r="Q57" s="52">
        <f t="shared" si="56"/>
        <v>100</v>
      </c>
      <c r="R57" s="53">
        <f>COUNTIFS('00 Encuesta'!$B$2:$B$511,"*b)*",'00 Encuesta'!$C$2:$C$511,"*b)*",'00 Encuesta'!$E$2:$E$511,"*b)*",'00 Encuesta'!$J$2:$J$511,"*d)*")</f>
        <v>15</v>
      </c>
      <c r="S57" s="52">
        <f t="shared" si="57"/>
        <v>100</v>
      </c>
      <c r="T57" s="3"/>
      <c r="U57" s="51">
        <f t="shared" si="58"/>
        <v>0</v>
      </c>
      <c r="V57" s="52" t="e">
        <f t="shared" si="59"/>
        <v>#DIV/0!</v>
      </c>
      <c r="W57" s="53">
        <f>COUNTIFS('00 Encuesta'!$B$2:$B$511,"*b)*",'00 Encuesta'!$C$2:$C$511,"*d)*",'00 Encuesta'!$E$2:$E$511,"*a)*",'00 Encuesta'!$J$2:$J$511,"*d)*")</f>
        <v>0</v>
      </c>
      <c r="X57" s="52" t="e">
        <f t="shared" si="60"/>
        <v>#DIV/0!</v>
      </c>
      <c r="Y57" s="53">
        <f>COUNTIFS('00 Encuesta'!$B$2:$B$511,"*b)*",'00 Encuesta'!$C$2:$C$511,"*d)*",'00 Encuesta'!$E$2:$E$511,"*b)*",'00 Encuesta'!$J$2:$J$511,"*d)*")</f>
        <v>0</v>
      </c>
      <c r="Z57" s="52" t="e">
        <f t="shared" si="61"/>
        <v>#DIV/0!</v>
      </c>
      <c r="AA57" s="3"/>
      <c r="AB57" s="62">
        <f t="shared" si="6"/>
        <v>65</v>
      </c>
      <c r="AC57" s="52">
        <f t="shared" si="62"/>
        <v>92.857142857142861</v>
      </c>
      <c r="AD57" s="7"/>
      <c r="AE57" s="7"/>
      <c r="AF57" s="9" t="str">
        <f t="shared" si="63"/>
        <v>d) Televisión plana</v>
      </c>
      <c r="AG57" s="72">
        <f t="shared" si="64"/>
        <v>80.952380952380949</v>
      </c>
      <c r="AH57" s="72">
        <f t="shared" si="65"/>
        <v>94.117647058823522</v>
      </c>
      <c r="AI57" s="73">
        <f t="shared" si="66"/>
        <v>86.842105263157904</v>
      </c>
      <c r="AJ57" s="73"/>
      <c r="AK57" s="76">
        <f t="shared" si="67"/>
        <v>100</v>
      </c>
      <c r="AL57" s="76">
        <f t="shared" si="68"/>
        <v>100</v>
      </c>
      <c r="AM57" s="76">
        <f t="shared" si="69"/>
        <v>100</v>
      </c>
      <c r="AN57" s="76"/>
      <c r="AO57" s="81" t="e">
        <f t="shared" si="70"/>
        <v>#DIV/0!</v>
      </c>
      <c r="AP57" s="81" t="e">
        <f t="shared" si="71"/>
        <v>#DIV/0!</v>
      </c>
      <c r="AQ57" s="81" t="e">
        <f t="shared" si="72"/>
        <v>#DIV/0!</v>
      </c>
      <c r="AR57" s="7"/>
      <c r="AS57" s="76">
        <f t="shared" si="1"/>
        <v>92.857142857142861</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ht="15" x14ac:dyDescent="0.25">
      <c r="A58" s="8" t="s">
        <v>22</v>
      </c>
      <c r="B58" s="9" t="s">
        <v>59</v>
      </c>
      <c r="C58" s="7"/>
      <c r="D58" s="7"/>
      <c r="E58" s="7"/>
      <c r="F58" s="71"/>
      <c r="G58" s="51">
        <f t="shared" si="50"/>
        <v>8</v>
      </c>
      <c r="H58" s="52">
        <f t="shared" si="51"/>
        <v>21.052631578947366</v>
      </c>
      <c r="I58" s="53">
        <f>COUNTIFS('00 Encuesta'!$B$2:$B$511,"*b)*",'00 Encuesta'!$C$2:$C$511,"*a)*",'00 Encuesta'!$E$2:$E$511,"*a)*",'00 Encuesta'!$J$2:$J$511,"*e)*")</f>
        <v>6</v>
      </c>
      <c r="J58" s="52">
        <f t="shared" si="52"/>
        <v>28.571428571428569</v>
      </c>
      <c r="K58" s="53">
        <f>COUNTIFS('00 Encuesta'!$B$2:$B$511,"*b)*",'00 Encuesta'!$C$2:$C$511,"*a)*",'00 Encuesta'!$E$2:$E$511,"*b)*",'00 Encuesta'!$J$2:$J$511,"*e)*")</f>
        <v>2</v>
      </c>
      <c r="L58" s="52">
        <f t="shared" si="53"/>
        <v>11.76470588235294</v>
      </c>
      <c r="M58" s="23"/>
      <c r="N58" s="51">
        <f t="shared" si="54"/>
        <v>7</v>
      </c>
      <c r="O58" s="52">
        <f t="shared" si="55"/>
        <v>21.875</v>
      </c>
      <c r="P58" s="53">
        <f>COUNTIFS('00 Encuesta'!$B$2:$B$511,"*b)*",'00 Encuesta'!$C$2:$C$511,"*b)*",'00 Encuesta'!$E$2:$E$511,"*a)*",'00 Encuesta'!$J$2:$J$511,"*e)*")</f>
        <v>6</v>
      </c>
      <c r="Q58" s="52">
        <f t="shared" si="56"/>
        <v>35.294117647058826</v>
      </c>
      <c r="R58" s="53">
        <f>COUNTIFS('00 Encuesta'!$B$2:$B$511,"*b)*",'00 Encuesta'!$C$2:$C$511,"*b)*",'00 Encuesta'!$E$2:$E$511,"*b)*",'00 Encuesta'!$J$2:$J$511,"*e)*")</f>
        <v>1</v>
      </c>
      <c r="S58" s="52">
        <f t="shared" si="57"/>
        <v>6.666666666666667</v>
      </c>
      <c r="T58" s="3"/>
      <c r="U58" s="51">
        <f t="shared" si="58"/>
        <v>0</v>
      </c>
      <c r="V58" s="52" t="e">
        <f t="shared" si="59"/>
        <v>#DIV/0!</v>
      </c>
      <c r="W58" s="53">
        <f>COUNTIFS('00 Encuesta'!$B$2:$B$511,"*b)*",'00 Encuesta'!$C$2:$C$511,"*d)*",'00 Encuesta'!$E$2:$E$511,"*a)*",'00 Encuesta'!$J$2:$J$511,"*e)*")</f>
        <v>0</v>
      </c>
      <c r="X58" s="52" t="e">
        <f t="shared" si="60"/>
        <v>#DIV/0!</v>
      </c>
      <c r="Y58" s="53">
        <f>COUNTIFS('00 Encuesta'!$B$2:$B$511,"*b)*",'00 Encuesta'!$C$2:$C$511,"*d)*",'00 Encuesta'!$E$2:$E$511,"*b)*",'00 Encuesta'!$J$2:$J$511,"*e)*")</f>
        <v>0</v>
      </c>
      <c r="Z58" s="52" t="e">
        <f t="shared" si="61"/>
        <v>#DIV/0!</v>
      </c>
      <c r="AA58" s="3"/>
      <c r="AB58" s="62">
        <f t="shared" si="6"/>
        <v>15</v>
      </c>
      <c r="AC58" s="52">
        <f t="shared" si="62"/>
        <v>21.428571428571427</v>
      </c>
      <c r="AD58" s="7"/>
      <c r="AE58" s="7"/>
      <c r="AF58" s="9" t="str">
        <f t="shared" si="63"/>
        <v>e) Moto</v>
      </c>
      <c r="AG58" s="72">
        <f t="shared" si="64"/>
        <v>28.571428571428569</v>
      </c>
      <c r="AH58" s="72">
        <f t="shared" si="65"/>
        <v>11.76470588235294</v>
      </c>
      <c r="AI58" s="73">
        <f t="shared" si="66"/>
        <v>21.052631578947366</v>
      </c>
      <c r="AJ58" s="73"/>
      <c r="AK58" s="76">
        <f t="shared" si="67"/>
        <v>35.294117647058826</v>
      </c>
      <c r="AL58" s="76">
        <f t="shared" si="68"/>
        <v>6.666666666666667</v>
      </c>
      <c r="AM58" s="76">
        <f t="shared" si="69"/>
        <v>21.875</v>
      </c>
      <c r="AN58" s="76"/>
      <c r="AO58" s="81" t="e">
        <f t="shared" si="70"/>
        <v>#DIV/0!</v>
      </c>
      <c r="AP58" s="81" t="e">
        <f t="shared" si="71"/>
        <v>#DIV/0!</v>
      </c>
      <c r="AQ58" s="81" t="e">
        <f t="shared" si="72"/>
        <v>#DIV/0!</v>
      </c>
      <c r="AR58" s="7"/>
      <c r="AS58" s="76">
        <f t="shared" si="1"/>
        <v>21.428571428571427</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ht="15" x14ac:dyDescent="0.25">
      <c r="A59" s="8" t="s">
        <v>45</v>
      </c>
      <c r="B59" s="9" t="s">
        <v>60</v>
      </c>
      <c r="C59" s="7"/>
      <c r="D59" s="7"/>
      <c r="E59" s="7"/>
      <c r="F59" s="71"/>
      <c r="G59" s="51">
        <f t="shared" si="50"/>
        <v>20</v>
      </c>
      <c r="H59" s="52">
        <f t="shared" si="51"/>
        <v>52.631578947368418</v>
      </c>
      <c r="I59" s="53">
        <f>COUNTIFS('00 Encuesta'!$B$2:$B$511,"*b)*",'00 Encuesta'!$C$2:$C$511,"*a)*",'00 Encuesta'!$E$2:$E$511,"*a)*",'00 Encuesta'!$J$2:$J$511,"*f)*")</f>
        <v>11</v>
      </c>
      <c r="J59" s="52">
        <f t="shared" si="52"/>
        <v>52.380952380952387</v>
      </c>
      <c r="K59" s="53">
        <f>COUNTIFS('00 Encuesta'!$B$2:$B$511,"*b)*",'00 Encuesta'!$C$2:$C$511,"*a)*",'00 Encuesta'!$E$2:$E$511,"*b)*",'00 Encuesta'!$J$2:$J$511,"*f)*")</f>
        <v>9</v>
      </c>
      <c r="L59" s="52">
        <f t="shared" si="53"/>
        <v>52.941176470588239</v>
      </c>
      <c r="M59" s="23"/>
      <c r="N59" s="51">
        <f t="shared" si="54"/>
        <v>11</v>
      </c>
      <c r="O59" s="52">
        <f t="shared" si="55"/>
        <v>34.375</v>
      </c>
      <c r="P59" s="53">
        <f>COUNTIFS('00 Encuesta'!$B$2:$B$511,"*b)*",'00 Encuesta'!$C$2:$C$511,"*b)*",'00 Encuesta'!$E$2:$E$511,"*a)*",'00 Encuesta'!$J$2:$J$511,"*f)*")</f>
        <v>7</v>
      </c>
      <c r="Q59" s="52">
        <f t="shared" si="56"/>
        <v>41.17647058823529</v>
      </c>
      <c r="R59" s="53">
        <f>COUNTIFS('00 Encuesta'!$B$2:$B$511,"*b)*",'00 Encuesta'!$C$2:$C$511,"*b)*",'00 Encuesta'!$E$2:$E$511,"*b)*",'00 Encuesta'!$J$2:$J$511,"*f)*")</f>
        <v>4</v>
      </c>
      <c r="S59" s="52">
        <f t="shared" si="57"/>
        <v>26.666666666666668</v>
      </c>
      <c r="T59" s="3"/>
      <c r="U59" s="51">
        <f t="shared" si="58"/>
        <v>0</v>
      </c>
      <c r="V59" s="52" t="e">
        <f t="shared" si="59"/>
        <v>#DIV/0!</v>
      </c>
      <c r="W59" s="53">
        <f>COUNTIFS('00 Encuesta'!$B$2:$B$511,"*b)*",'00 Encuesta'!$C$2:$C$511,"*d)*",'00 Encuesta'!$E$2:$E$511,"*a)*",'00 Encuesta'!$J$2:$J$511,"*f)*")</f>
        <v>0</v>
      </c>
      <c r="X59" s="52" t="e">
        <f t="shared" si="60"/>
        <v>#DIV/0!</v>
      </c>
      <c r="Y59" s="53">
        <f>COUNTIFS('00 Encuesta'!$B$2:$B$511,"*b)*",'00 Encuesta'!$C$2:$C$511,"*d)*",'00 Encuesta'!$E$2:$E$511,"*b)*",'00 Encuesta'!$J$2:$J$511,"*f)*")</f>
        <v>0</v>
      </c>
      <c r="Z59" s="52" t="e">
        <f t="shared" si="61"/>
        <v>#DIV/0!</v>
      </c>
      <c r="AA59" s="3"/>
      <c r="AB59" s="62">
        <f t="shared" si="6"/>
        <v>31</v>
      </c>
      <c r="AC59" s="52">
        <f t="shared" si="62"/>
        <v>44.285714285714285</v>
      </c>
      <c r="AD59" s="7"/>
      <c r="AE59" s="7"/>
      <c r="AF59" s="9" t="str">
        <f t="shared" si="63"/>
        <v>f) MP3</v>
      </c>
      <c r="AG59" s="72">
        <f t="shared" si="64"/>
        <v>52.380952380952387</v>
      </c>
      <c r="AH59" s="72">
        <f t="shared" si="65"/>
        <v>52.941176470588239</v>
      </c>
      <c r="AI59" s="73">
        <f t="shared" si="66"/>
        <v>52.631578947368418</v>
      </c>
      <c r="AJ59" s="73"/>
      <c r="AK59" s="76">
        <f t="shared" si="67"/>
        <v>41.17647058823529</v>
      </c>
      <c r="AL59" s="76">
        <f t="shared" si="68"/>
        <v>26.666666666666668</v>
      </c>
      <c r="AM59" s="76">
        <f t="shared" si="69"/>
        <v>34.375</v>
      </c>
      <c r="AN59" s="76"/>
      <c r="AO59" s="81" t="e">
        <f t="shared" si="70"/>
        <v>#DIV/0!</v>
      </c>
      <c r="AP59" s="81" t="e">
        <f t="shared" si="71"/>
        <v>#DIV/0!</v>
      </c>
      <c r="AQ59" s="81" t="e">
        <f t="shared" si="72"/>
        <v>#DIV/0!</v>
      </c>
      <c r="AR59" s="7"/>
      <c r="AS59" s="76">
        <f t="shared" si="1"/>
        <v>44.285714285714285</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ht="15" x14ac:dyDescent="0.25">
      <c r="A60" s="8" t="s">
        <v>61</v>
      </c>
      <c r="B60" s="9" t="s">
        <v>62</v>
      </c>
      <c r="C60" s="7"/>
      <c r="D60" s="7"/>
      <c r="E60" s="7"/>
      <c r="F60" s="71"/>
      <c r="G60" s="51">
        <f t="shared" si="50"/>
        <v>17</v>
      </c>
      <c r="H60" s="52">
        <f t="shared" si="51"/>
        <v>44.736842105263158</v>
      </c>
      <c r="I60" s="53">
        <f>COUNTIFS('00 Encuesta'!$B$2:$B$511,"*b)*",'00 Encuesta'!$C$2:$C$511,"*a)*",'00 Encuesta'!$E$2:$E$511,"*a)*",'00 Encuesta'!$J$2:$J$511,"*g)*")</f>
        <v>9</v>
      </c>
      <c r="J60" s="52">
        <f t="shared" si="52"/>
        <v>42.857142857142854</v>
      </c>
      <c r="K60" s="53">
        <f>COUNTIFS('00 Encuesta'!$B$2:$B$511,"*b)*",'00 Encuesta'!$C$2:$C$511,"*a)*",'00 Encuesta'!$E$2:$E$511,"*b)*",'00 Encuesta'!$J$2:$J$511,"*g)*")</f>
        <v>8</v>
      </c>
      <c r="L60" s="52">
        <f t="shared" si="53"/>
        <v>47.058823529411761</v>
      </c>
      <c r="M60" s="23"/>
      <c r="N60" s="51">
        <f t="shared" si="54"/>
        <v>10</v>
      </c>
      <c r="O60" s="52">
        <f t="shared" si="55"/>
        <v>31.25</v>
      </c>
      <c r="P60" s="53">
        <f>COUNTIFS('00 Encuesta'!$B$2:$B$511,"*b)*",'00 Encuesta'!$C$2:$C$511,"*b)*",'00 Encuesta'!$E$2:$E$511,"*a)*",'00 Encuesta'!$J$2:$J$511,"*g)*")</f>
        <v>5</v>
      </c>
      <c r="Q60" s="52">
        <f t="shared" si="56"/>
        <v>29.411764705882355</v>
      </c>
      <c r="R60" s="53">
        <f>COUNTIFS('00 Encuesta'!$B$2:$B$511,"*b)*",'00 Encuesta'!$C$2:$C$511,"*b)*",'00 Encuesta'!$E$2:$E$511,"*b)*",'00 Encuesta'!$J$2:$J$511,"*g)*")</f>
        <v>5</v>
      </c>
      <c r="S60" s="52">
        <f t="shared" si="57"/>
        <v>33.333333333333329</v>
      </c>
      <c r="T60" s="3"/>
      <c r="U60" s="51">
        <f t="shared" si="58"/>
        <v>0</v>
      </c>
      <c r="V60" s="52" t="e">
        <f t="shared" si="59"/>
        <v>#DIV/0!</v>
      </c>
      <c r="W60" s="53">
        <f>COUNTIFS('00 Encuesta'!$B$2:$B$511,"*b)*",'00 Encuesta'!$C$2:$C$511,"*d)*",'00 Encuesta'!$E$2:$E$511,"*a)*",'00 Encuesta'!$J$2:$J$511,"*g)*")</f>
        <v>0</v>
      </c>
      <c r="X60" s="52" t="e">
        <f t="shared" si="60"/>
        <v>#DIV/0!</v>
      </c>
      <c r="Y60" s="53">
        <f>COUNTIFS('00 Encuesta'!$B$2:$B$511,"*b)*",'00 Encuesta'!$C$2:$C$511,"*d)*",'00 Encuesta'!$E$2:$E$511,"*b)*",'00 Encuesta'!$J$2:$J$511,"*g)*")</f>
        <v>0</v>
      </c>
      <c r="Z60" s="52" t="e">
        <f t="shared" si="61"/>
        <v>#DIV/0!</v>
      </c>
      <c r="AA60" s="3"/>
      <c r="AB60" s="62">
        <f t="shared" si="6"/>
        <v>27</v>
      </c>
      <c r="AC60" s="52">
        <f t="shared" si="62"/>
        <v>38.571428571428569</v>
      </c>
      <c r="AD60" s="7"/>
      <c r="AE60" s="7"/>
      <c r="AF60" s="9" t="str">
        <f t="shared" si="63"/>
        <v>g) MP4</v>
      </c>
      <c r="AG60" s="72">
        <f t="shared" si="64"/>
        <v>42.857142857142854</v>
      </c>
      <c r="AH60" s="72">
        <f t="shared" si="65"/>
        <v>47.058823529411761</v>
      </c>
      <c r="AI60" s="73">
        <f t="shared" si="66"/>
        <v>44.736842105263158</v>
      </c>
      <c r="AJ60" s="73"/>
      <c r="AK60" s="76">
        <f t="shared" si="67"/>
        <v>29.411764705882355</v>
      </c>
      <c r="AL60" s="76">
        <f t="shared" si="68"/>
        <v>33.333333333333329</v>
      </c>
      <c r="AM60" s="76">
        <f t="shared" si="69"/>
        <v>31.25</v>
      </c>
      <c r="AN60" s="76"/>
      <c r="AO60" s="81" t="e">
        <f t="shared" si="70"/>
        <v>#DIV/0!</v>
      </c>
      <c r="AP60" s="81" t="e">
        <f t="shared" si="71"/>
        <v>#DIV/0!</v>
      </c>
      <c r="AQ60" s="81" t="e">
        <f t="shared" si="72"/>
        <v>#DIV/0!</v>
      </c>
      <c r="AR60" s="7"/>
      <c r="AS60" s="76">
        <f t="shared" si="1"/>
        <v>38.571428571428569</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ht="15" x14ac:dyDescent="0.25">
      <c r="A61" s="8" t="s">
        <v>63</v>
      </c>
      <c r="B61" s="9" t="s">
        <v>64</v>
      </c>
      <c r="C61" s="7"/>
      <c r="D61" s="7"/>
      <c r="E61" s="7"/>
      <c r="F61" s="71"/>
      <c r="G61" s="51">
        <f t="shared" si="50"/>
        <v>31</v>
      </c>
      <c r="H61" s="52">
        <f t="shared" si="51"/>
        <v>81.578947368421055</v>
      </c>
      <c r="I61" s="53">
        <f>COUNTIFS('00 Encuesta'!$B$2:$B$511,"*b)*",'00 Encuesta'!$C$2:$C$511,"*a)*",'00 Encuesta'!$E$2:$E$511,"*a)*",'00 Encuesta'!$J$2:$J$511,"*h)*")</f>
        <v>15</v>
      </c>
      <c r="J61" s="52">
        <f t="shared" si="52"/>
        <v>71.428571428571431</v>
      </c>
      <c r="K61" s="53">
        <f>COUNTIFS('00 Encuesta'!$B$2:$B$511,"*b)*",'00 Encuesta'!$C$2:$C$511,"*a)*",'00 Encuesta'!$E$2:$E$511,"*b)*",'00 Encuesta'!$J$2:$J$511,"*h)*")</f>
        <v>16</v>
      </c>
      <c r="L61" s="52">
        <f t="shared" si="53"/>
        <v>94.117647058823522</v>
      </c>
      <c r="M61" s="23"/>
      <c r="N61" s="51">
        <f t="shared" si="54"/>
        <v>27</v>
      </c>
      <c r="O61" s="52">
        <f t="shared" si="55"/>
        <v>84.375</v>
      </c>
      <c r="P61" s="53">
        <f>COUNTIFS('00 Encuesta'!$B$2:$B$511,"*b)*",'00 Encuesta'!$C$2:$C$511,"*b)*",'00 Encuesta'!$E$2:$E$511,"*a)*",'00 Encuesta'!$J$2:$J$511,"*h)*")</f>
        <v>16</v>
      </c>
      <c r="Q61" s="52">
        <f t="shared" si="56"/>
        <v>94.117647058823522</v>
      </c>
      <c r="R61" s="53">
        <f>COUNTIFS('00 Encuesta'!$B$2:$B$511,"*b)*",'00 Encuesta'!$C$2:$C$511,"*b)*",'00 Encuesta'!$E$2:$E$511,"*b)*",'00 Encuesta'!$J$2:$J$511,"*h)*")</f>
        <v>11</v>
      </c>
      <c r="S61" s="52">
        <f t="shared" si="57"/>
        <v>73.333333333333329</v>
      </c>
      <c r="T61" s="3"/>
      <c r="U61" s="51">
        <f t="shared" si="58"/>
        <v>0</v>
      </c>
      <c r="V61" s="52" t="e">
        <f t="shared" si="59"/>
        <v>#DIV/0!</v>
      </c>
      <c r="W61" s="53">
        <f>COUNTIFS('00 Encuesta'!$B$2:$B$511,"*b)*",'00 Encuesta'!$C$2:$C$511,"*d)*",'00 Encuesta'!$E$2:$E$511,"*a)*",'00 Encuesta'!$J$2:$J$511,"*h)*")</f>
        <v>0</v>
      </c>
      <c r="X61" s="52" t="e">
        <f t="shared" si="60"/>
        <v>#DIV/0!</v>
      </c>
      <c r="Y61" s="53">
        <f>COUNTIFS('00 Encuesta'!$B$2:$B$511,"*b)*",'00 Encuesta'!$C$2:$C$511,"*d)*",'00 Encuesta'!$E$2:$E$511,"*b)*",'00 Encuesta'!$J$2:$J$511,"*h)*")</f>
        <v>0</v>
      </c>
      <c r="Z61" s="52" t="e">
        <f t="shared" si="61"/>
        <v>#DIV/0!</v>
      </c>
      <c r="AA61" s="3"/>
      <c r="AB61" s="62">
        <f t="shared" si="6"/>
        <v>58</v>
      </c>
      <c r="AC61" s="52">
        <f t="shared" si="62"/>
        <v>82.857142857142861</v>
      </c>
      <c r="AD61" s="7"/>
      <c r="AE61" s="7"/>
      <c r="AF61" s="9" t="str">
        <f t="shared" si="63"/>
        <v>h) Carro</v>
      </c>
      <c r="AG61" s="72">
        <f t="shared" si="64"/>
        <v>71.428571428571431</v>
      </c>
      <c r="AH61" s="72">
        <f t="shared" si="65"/>
        <v>94.117647058823522</v>
      </c>
      <c r="AI61" s="73">
        <f t="shared" si="66"/>
        <v>81.578947368421055</v>
      </c>
      <c r="AJ61" s="73"/>
      <c r="AK61" s="76">
        <f t="shared" si="67"/>
        <v>94.117647058823522</v>
      </c>
      <c r="AL61" s="76">
        <f t="shared" si="68"/>
        <v>73.333333333333329</v>
      </c>
      <c r="AM61" s="76">
        <f t="shared" si="69"/>
        <v>84.375</v>
      </c>
      <c r="AN61" s="76"/>
      <c r="AO61" s="81" t="e">
        <f t="shared" si="70"/>
        <v>#DIV/0!</v>
      </c>
      <c r="AP61" s="81" t="e">
        <f t="shared" si="71"/>
        <v>#DIV/0!</v>
      </c>
      <c r="AQ61" s="81" t="e">
        <f t="shared" si="72"/>
        <v>#DIV/0!</v>
      </c>
      <c r="AR61" s="7"/>
      <c r="AS61" s="76">
        <f t="shared" si="1"/>
        <v>82.857142857142861</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ht="15" x14ac:dyDescent="0.25">
      <c r="A62" s="8" t="s">
        <v>65</v>
      </c>
      <c r="B62" s="9" t="s">
        <v>66</v>
      </c>
      <c r="C62" s="7"/>
      <c r="D62" s="7"/>
      <c r="E62" s="7"/>
      <c r="F62" s="71"/>
      <c r="G62" s="51">
        <f t="shared" si="50"/>
        <v>34</v>
      </c>
      <c r="H62" s="52">
        <f t="shared" si="51"/>
        <v>89.473684210526315</v>
      </c>
      <c r="I62" s="53">
        <f>COUNTIFS('00 Encuesta'!$B$2:$B$511,"*b)*",'00 Encuesta'!$C$2:$C$511,"*a)*",'00 Encuesta'!$E$2:$E$511,"*a)*",'00 Encuesta'!$J$2:$J$511,"*i)*")</f>
        <v>18</v>
      </c>
      <c r="J62" s="52">
        <f t="shared" si="52"/>
        <v>85.714285714285708</v>
      </c>
      <c r="K62" s="53">
        <f>COUNTIFS('00 Encuesta'!$B$2:$B$511,"*b)*",'00 Encuesta'!$C$2:$C$511,"*a)*",'00 Encuesta'!$E$2:$E$511,"*b)*",'00 Encuesta'!$J$2:$J$511,"*i)*")</f>
        <v>16</v>
      </c>
      <c r="L62" s="52">
        <f t="shared" si="53"/>
        <v>94.117647058823522</v>
      </c>
      <c r="M62" s="23"/>
      <c r="N62" s="51">
        <f t="shared" si="54"/>
        <v>29</v>
      </c>
      <c r="O62" s="52">
        <f t="shared" si="55"/>
        <v>90.625</v>
      </c>
      <c r="P62" s="53">
        <f>COUNTIFS('00 Encuesta'!$B$2:$B$511,"*b)*",'00 Encuesta'!$C$2:$C$511,"*b)*",'00 Encuesta'!$E$2:$E$511,"*a)*",'00 Encuesta'!$J$2:$J$511,"*i)*")</f>
        <v>15</v>
      </c>
      <c r="Q62" s="52">
        <f t="shared" si="56"/>
        <v>88.235294117647058</v>
      </c>
      <c r="R62" s="53">
        <f>COUNTIFS('00 Encuesta'!$B$2:$B$511,"*b)*",'00 Encuesta'!$C$2:$C$511,"*b)*",'00 Encuesta'!$E$2:$E$511,"*b)*",'00 Encuesta'!$J$2:$J$511,"*i)*")</f>
        <v>14</v>
      </c>
      <c r="S62" s="52">
        <f t="shared" si="57"/>
        <v>93.333333333333329</v>
      </c>
      <c r="T62" s="3"/>
      <c r="U62" s="51">
        <f t="shared" si="58"/>
        <v>0</v>
      </c>
      <c r="V62" s="52" t="e">
        <f t="shared" si="59"/>
        <v>#DIV/0!</v>
      </c>
      <c r="W62" s="53">
        <f>COUNTIFS('00 Encuesta'!$B$2:$B$511,"*b)*",'00 Encuesta'!$C$2:$C$511,"*d)*",'00 Encuesta'!$E$2:$E$511,"*a)*",'00 Encuesta'!$J$2:$J$511,"*i)*")</f>
        <v>0</v>
      </c>
      <c r="X62" s="52" t="e">
        <f t="shared" si="60"/>
        <v>#DIV/0!</v>
      </c>
      <c r="Y62" s="53">
        <f>COUNTIFS('00 Encuesta'!$B$2:$B$511,"*b)*",'00 Encuesta'!$C$2:$C$511,"*d)*",'00 Encuesta'!$E$2:$E$511,"*b)*",'00 Encuesta'!$J$2:$J$511,"*i)*")</f>
        <v>0</v>
      </c>
      <c r="Z62" s="52" t="e">
        <f t="shared" si="61"/>
        <v>#DIV/0!</v>
      </c>
      <c r="AA62" s="3"/>
      <c r="AB62" s="62">
        <f t="shared" si="6"/>
        <v>63</v>
      </c>
      <c r="AC62" s="52">
        <f t="shared" si="62"/>
        <v>90</v>
      </c>
      <c r="AD62" s="7"/>
      <c r="AE62" s="7"/>
      <c r="AF62" s="9" t="str">
        <f t="shared" si="63"/>
        <v>i) Computadora</v>
      </c>
      <c r="AG62" s="72">
        <f t="shared" si="64"/>
        <v>85.714285714285708</v>
      </c>
      <c r="AH62" s="72">
        <f t="shared" si="65"/>
        <v>94.117647058823522</v>
      </c>
      <c r="AI62" s="73">
        <f t="shared" si="66"/>
        <v>89.473684210526315</v>
      </c>
      <c r="AJ62" s="73"/>
      <c r="AK62" s="76">
        <f t="shared" si="67"/>
        <v>88.235294117647058</v>
      </c>
      <c r="AL62" s="76">
        <f t="shared" si="68"/>
        <v>93.333333333333329</v>
      </c>
      <c r="AM62" s="76">
        <f t="shared" si="69"/>
        <v>90.625</v>
      </c>
      <c r="AN62" s="76"/>
      <c r="AO62" s="81" t="e">
        <f t="shared" si="70"/>
        <v>#DIV/0!</v>
      </c>
      <c r="AP62" s="81" t="e">
        <f t="shared" si="71"/>
        <v>#DIV/0!</v>
      </c>
      <c r="AQ62" s="81" t="e">
        <f t="shared" si="72"/>
        <v>#DIV/0!</v>
      </c>
      <c r="AR62" s="7"/>
      <c r="AS62" s="76">
        <f t="shared" si="1"/>
        <v>90</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32</v>
      </c>
      <c r="H63" s="52">
        <f t="shared" si="51"/>
        <v>84.210526315789465</v>
      </c>
      <c r="I63" s="53">
        <f>COUNTIFS('00 Encuesta'!$B$2:$B$511,"*b)*",'00 Encuesta'!$C$2:$C$511,"*a)*",'00 Encuesta'!$E$2:$E$511,"*a)*",'00 Encuesta'!$J$2:$J$511,"*j)*")</f>
        <v>17</v>
      </c>
      <c r="J63" s="52">
        <f t="shared" si="52"/>
        <v>80.952380952380949</v>
      </c>
      <c r="K63" s="53">
        <f>COUNTIFS('00 Encuesta'!$B$2:$B$511,"*b)*",'00 Encuesta'!$C$2:$C$511,"*a)*",'00 Encuesta'!$E$2:$E$511,"*b)*",'00 Encuesta'!$J$2:$J$511,"*j)*")</f>
        <v>15</v>
      </c>
      <c r="L63" s="52">
        <f t="shared" si="53"/>
        <v>88.235294117647058</v>
      </c>
      <c r="M63" s="23"/>
      <c r="N63" s="51">
        <f t="shared" si="54"/>
        <v>22</v>
      </c>
      <c r="O63" s="52">
        <f t="shared" si="55"/>
        <v>68.75</v>
      </c>
      <c r="P63" s="53">
        <f>COUNTIFS('00 Encuesta'!$B$2:$B$511,"*b)*",'00 Encuesta'!$C$2:$C$511,"*b)*",'00 Encuesta'!$E$2:$E$511,"*a)*",'00 Encuesta'!$J$2:$J$511,"*j)*")</f>
        <v>12</v>
      </c>
      <c r="Q63" s="52">
        <f t="shared" si="56"/>
        <v>70.588235294117652</v>
      </c>
      <c r="R63" s="53">
        <f>COUNTIFS('00 Encuesta'!$B$2:$B$511,"*b)*",'00 Encuesta'!$C$2:$C$511,"*b)*",'00 Encuesta'!$E$2:$E$511,"*b)*",'00 Encuesta'!$J$2:$J$511,"*j)*")</f>
        <v>10</v>
      </c>
      <c r="S63" s="52">
        <f t="shared" si="57"/>
        <v>66.666666666666657</v>
      </c>
      <c r="T63" s="3"/>
      <c r="U63" s="51">
        <f t="shared" si="58"/>
        <v>0</v>
      </c>
      <c r="V63" s="52" t="e">
        <f t="shared" si="59"/>
        <v>#DIV/0!</v>
      </c>
      <c r="W63" s="53">
        <f>COUNTIFS('00 Encuesta'!$B$2:$B$511,"*b)*",'00 Encuesta'!$C$2:$C$511,"*d)*",'00 Encuesta'!$E$2:$E$511,"*a)*",'00 Encuesta'!$J$2:$J$511,"*j)*")</f>
        <v>0</v>
      </c>
      <c r="X63" s="52" t="e">
        <f t="shared" si="60"/>
        <v>#DIV/0!</v>
      </c>
      <c r="Y63" s="53">
        <f>COUNTIFS('00 Encuesta'!$B$2:$B$511,"*b)*",'00 Encuesta'!$C$2:$C$511,"*d)*",'00 Encuesta'!$E$2:$E$511,"*b)*",'00 Encuesta'!$J$2:$J$511,"*j)*")</f>
        <v>0</v>
      </c>
      <c r="Z63" s="52" t="e">
        <f t="shared" si="61"/>
        <v>#DIV/0!</v>
      </c>
      <c r="AA63" s="3"/>
      <c r="AB63" s="62">
        <f t="shared" si="6"/>
        <v>54</v>
      </c>
      <c r="AC63" s="52">
        <f t="shared" si="62"/>
        <v>77.142857142857139</v>
      </c>
      <c r="AD63" s="7"/>
      <c r="AE63" s="7"/>
      <c r="AF63" s="9" t="str">
        <f t="shared" si="63"/>
        <v>j) Cámara digital</v>
      </c>
      <c r="AG63" s="72">
        <f t="shared" si="64"/>
        <v>80.952380952380949</v>
      </c>
      <c r="AH63" s="72">
        <f t="shared" si="65"/>
        <v>88.235294117647058</v>
      </c>
      <c r="AI63" s="73">
        <f t="shared" si="66"/>
        <v>84.210526315789465</v>
      </c>
      <c r="AJ63" s="73"/>
      <c r="AK63" s="76">
        <f t="shared" si="67"/>
        <v>70.588235294117652</v>
      </c>
      <c r="AL63" s="76">
        <f t="shared" si="68"/>
        <v>66.666666666666657</v>
      </c>
      <c r="AM63" s="76">
        <f t="shared" si="69"/>
        <v>68.75</v>
      </c>
      <c r="AN63" s="76"/>
      <c r="AO63" s="81" t="e">
        <f t="shared" si="70"/>
        <v>#DIV/0!</v>
      </c>
      <c r="AP63" s="81" t="e">
        <f t="shared" si="71"/>
        <v>#DIV/0!</v>
      </c>
      <c r="AQ63" s="81" t="e">
        <f t="shared" si="72"/>
        <v>#DIV/0!</v>
      </c>
      <c r="AR63" s="7"/>
      <c r="AS63" s="76">
        <f t="shared" si="1"/>
        <v>77.142857142857139</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ht="15.75" x14ac:dyDescent="0.3">
      <c r="A64" s="1" t="s">
        <v>69</v>
      </c>
      <c r="B64" s="2" t="s">
        <v>70</v>
      </c>
      <c r="C64" s="3"/>
      <c r="D64" s="7"/>
      <c r="E64" s="7"/>
      <c r="F64" s="71"/>
      <c r="G64" s="51">
        <f t="shared" si="50"/>
        <v>31</v>
      </c>
      <c r="H64" s="52">
        <f t="shared" si="51"/>
        <v>81.578947368421055</v>
      </c>
      <c r="I64" s="53">
        <f>COUNTIFS('00 Encuesta'!$B$2:$B$511,"*b)*",'00 Encuesta'!$C$2:$C$511,"*a)*",'00 Encuesta'!$E$2:$E$511,"*a)*",'00 Encuesta'!$J$2:$J$511,"*k)*")</f>
        <v>18</v>
      </c>
      <c r="J64" s="52">
        <f t="shared" si="52"/>
        <v>85.714285714285708</v>
      </c>
      <c r="K64" s="53">
        <f>COUNTIFS('00 Encuesta'!$B$2:$B$511,"*b)*",'00 Encuesta'!$C$2:$C$511,"*a)*",'00 Encuesta'!$E$2:$E$511,"*b)*",'00 Encuesta'!$J$2:$J$511,"*k)*")</f>
        <v>13</v>
      </c>
      <c r="L64" s="52">
        <f t="shared" si="53"/>
        <v>76.470588235294116</v>
      </c>
      <c r="M64" s="23"/>
      <c r="N64" s="51">
        <f t="shared" si="54"/>
        <v>29</v>
      </c>
      <c r="O64" s="52">
        <f t="shared" si="55"/>
        <v>90.625</v>
      </c>
      <c r="P64" s="53">
        <f>COUNTIFS('00 Encuesta'!$B$2:$B$511,"*b)*",'00 Encuesta'!$C$2:$C$511,"*b)*",'00 Encuesta'!$E$2:$E$511,"*a)*",'00 Encuesta'!$J$2:$J$511,"*k)*")</f>
        <v>15</v>
      </c>
      <c r="Q64" s="52">
        <f t="shared" si="56"/>
        <v>88.235294117647058</v>
      </c>
      <c r="R64" s="53">
        <f>COUNTIFS('00 Encuesta'!$B$2:$B$511,"*b)*",'00 Encuesta'!$C$2:$C$511,"*b)*",'00 Encuesta'!$E$2:$E$511,"*b)*",'00 Encuesta'!$J$2:$J$511,"*k)*")</f>
        <v>14</v>
      </c>
      <c r="S64" s="52">
        <f t="shared" si="57"/>
        <v>93.333333333333329</v>
      </c>
      <c r="T64" s="3"/>
      <c r="U64" s="51">
        <f t="shared" si="58"/>
        <v>0</v>
      </c>
      <c r="V64" s="52" t="e">
        <f t="shared" si="59"/>
        <v>#DIV/0!</v>
      </c>
      <c r="W64" s="53">
        <f>COUNTIFS('00 Encuesta'!$B$2:$B$511,"*b)*",'00 Encuesta'!$C$2:$C$511,"*d)*",'00 Encuesta'!$E$2:$E$511,"*a)*",'00 Encuesta'!$J$2:$J$511,"*k)*")</f>
        <v>0</v>
      </c>
      <c r="X64" s="52" t="e">
        <f t="shared" si="60"/>
        <v>#DIV/0!</v>
      </c>
      <c r="Y64" s="53">
        <f>COUNTIFS('00 Encuesta'!$B$2:$B$511,"*b)*",'00 Encuesta'!$C$2:$C$511,"*d)*",'00 Encuesta'!$E$2:$E$511,"*b)*",'00 Encuesta'!$J$2:$J$511,"*k)*")</f>
        <v>0</v>
      </c>
      <c r="Z64" s="52" t="e">
        <f t="shared" si="61"/>
        <v>#DIV/0!</v>
      </c>
      <c r="AA64" s="3"/>
      <c r="AB64" s="62">
        <f t="shared" si="6"/>
        <v>60</v>
      </c>
      <c r="AC64" s="52">
        <f t="shared" si="62"/>
        <v>85.714285714285708</v>
      </c>
      <c r="AD64" s="7"/>
      <c r="AE64" s="7"/>
      <c r="AF64" s="9" t="str">
        <f t="shared" si="63"/>
        <v>k) Aire acondicionado</v>
      </c>
      <c r="AG64" s="72">
        <f t="shared" si="64"/>
        <v>85.714285714285708</v>
      </c>
      <c r="AH64" s="72">
        <f t="shared" si="65"/>
        <v>76.470588235294116</v>
      </c>
      <c r="AI64" s="73">
        <f t="shared" si="66"/>
        <v>81.578947368421055</v>
      </c>
      <c r="AJ64" s="73"/>
      <c r="AK64" s="76">
        <f t="shared" si="67"/>
        <v>88.235294117647058</v>
      </c>
      <c r="AL64" s="76">
        <f t="shared" si="68"/>
        <v>93.333333333333329</v>
      </c>
      <c r="AM64" s="76">
        <f t="shared" si="69"/>
        <v>90.625</v>
      </c>
      <c r="AN64" s="76"/>
      <c r="AO64" s="81" t="e">
        <f t="shared" si="70"/>
        <v>#DIV/0!</v>
      </c>
      <c r="AP64" s="81" t="e">
        <f t="shared" si="71"/>
        <v>#DIV/0!</v>
      </c>
      <c r="AQ64" s="81" t="e">
        <f t="shared" si="72"/>
        <v>#DIV/0!</v>
      </c>
      <c r="AR64" s="7"/>
      <c r="AS64" s="76">
        <f t="shared" si="1"/>
        <v>85.714285714285708</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ht="15" x14ac:dyDescent="0.25">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ht="15" x14ac:dyDescent="0.25">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ht="15" x14ac:dyDescent="0.25">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ht="15" x14ac:dyDescent="0.25">
      <c r="A68" s="8" t="s">
        <v>17</v>
      </c>
      <c r="B68" s="9" t="s">
        <v>72</v>
      </c>
      <c r="C68" s="7"/>
      <c r="D68" s="7"/>
      <c r="E68" s="7"/>
      <c r="F68" s="71"/>
      <c r="G68" s="51">
        <f>I68+K68</f>
        <v>1</v>
      </c>
      <c r="H68" s="52">
        <f>G68/$J$5*100</f>
        <v>2.6315789473684208</v>
      </c>
      <c r="I68" s="53">
        <f>COUNTIFS('00 Encuesta'!$B$2:$B$511,"*b)*",'00 Encuesta'!$C$2:$C$511,"*a)*",'00 Encuesta'!$E$2:$E$511,"*a)*",'00 Encuesta'!$K$2:$K$511,"*a)*")</f>
        <v>1</v>
      </c>
      <c r="J68" s="52">
        <f t="shared" ref="J68:J74" si="73">I68/$J$6*100</f>
        <v>4.7619047619047619</v>
      </c>
      <c r="K68" s="53">
        <f>COUNTIFS('00 Encuesta'!$B$2:$B$511,"*b)*",'00 Encuesta'!$C$2:$C$511,"*a)*",'00 Encuesta'!$E$2:$E$511,"*b)*",'00 Encuesta'!$K$2:$K$511,"*a)*")</f>
        <v>0</v>
      </c>
      <c r="L68" s="52">
        <f t="shared" ref="L68:L74" si="74">K68/$J$7*100</f>
        <v>0</v>
      </c>
      <c r="M68" s="23"/>
      <c r="N68" s="51">
        <f t="shared" ref="N68:N74" si="75">P68+R68</f>
        <v>1</v>
      </c>
      <c r="O68" s="52">
        <f t="shared" ref="O68:O74" si="76">N68/$Q$5*100</f>
        <v>3.125</v>
      </c>
      <c r="P68" s="53">
        <f>COUNTIFS('00 Encuesta'!$B$2:$B$511,"*b)*",'00 Encuesta'!$C$2:$C$511,"*b)*",'00 Encuesta'!$E$2:$E$511,"*a)*",'00 Encuesta'!$K$2:$K$511,"*a)*")</f>
        <v>1</v>
      </c>
      <c r="Q68" s="52">
        <f t="shared" ref="Q68:Q74" si="77">P68/$Q$6*100</f>
        <v>5.8823529411764701</v>
      </c>
      <c r="R68" s="53">
        <f>COUNTIFS('00 Encuesta'!$B$2:$B$511,"*b)*",'00 Encuesta'!$C$2:$C$511,"*b)*",'00 Encuesta'!$E$2:$E$511,"*b)*",'00 Encuesta'!$K$2:$K$511,"*a)*")</f>
        <v>0</v>
      </c>
      <c r="S68" s="52">
        <f t="shared" ref="S68:S74" si="78">R68/$Q$7*100</f>
        <v>0</v>
      </c>
      <c r="T68" s="3"/>
      <c r="U68" s="51">
        <f t="shared" ref="U68:U74" si="79">W68+Y68</f>
        <v>0</v>
      </c>
      <c r="V68" s="52" t="e">
        <f t="shared" ref="V68:V74" si="80">U68/$X$5*100</f>
        <v>#DIV/0!</v>
      </c>
      <c r="W68" s="53">
        <f>COUNTIFS('00 Encuesta'!$B$2:$B$511,"*b)*",'00 Encuesta'!$C$2:$C$511,"*d)*",'00 Encuesta'!$E$2:$E$511,"*a)*",'00 Encuesta'!$K$2:$K$511,"*a)*")</f>
        <v>0</v>
      </c>
      <c r="X68" s="52" t="e">
        <f t="shared" ref="X68:X74" si="81">W68/$X$6*100</f>
        <v>#DIV/0!</v>
      </c>
      <c r="Y68" s="53">
        <f>COUNTIFS('00 Encuesta'!$B$2:$B$511,"*b)*",'00 Encuesta'!$C$2:$C$511,"*d)*",'00 Encuesta'!$E$2:$E$511,"*b)*",'00 Encuesta'!$K$2:$K$511,"*a)*")</f>
        <v>0</v>
      </c>
      <c r="Z68" s="52" t="e">
        <f t="shared" ref="Z68:Z74" si="82">Y68/$X$7*100</f>
        <v>#DIV/0!</v>
      </c>
      <c r="AA68" s="3"/>
      <c r="AB68" s="62">
        <f t="shared" ref="AB68:AB74" si="83">G68+N68+U68</f>
        <v>2</v>
      </c>
      <c r="AC68" s="52">
        <f t="shared" ref="AC68:AC74" si="84">AB68*100/$AC$5</f>
        <v>2.8571428571428572</v>
      </c>
      <c r="AD68" s="7"/>
      <c r="AE68" s="7"/>
      <c r="AF68" s="9" t="str">
        <f t="shared" ref="AF68:AF74" si="85">A68&amp;" "&amp;B68</f>
        <v>a) Ninguna</v>
      </c>
      <c r="AG68" s="72">
        <f t="shared" ref="AG68:AG74" si="86">J68</f>
        <v>4.7619047619047619</v>
      </c>
      <c r="AH68" s="72">
        <f t="shared" ref="AH68:AH74" si="87">L68</f>
        <v>0</v>
      </c>
      <c r="AI68" s="73">
        <f t="shared" ref="AI68:AI74" si="88">H68</f>
        <v>2.6315789473684208</v>
      </c>
      <c r="AJ68" s="73"/>
      <c r="AK68" s="76">
        <f t="shared" ref="AK68:AK74" si="89">Q68</f>
        <v>5.8823529411764701</v>
      </c>
      <c r="AL68" s="76">
        <f t="shared" ref="AL68:AL74" si="90">S68</f>
        <v>0</v>
      </c>
      <c r="AM68" s="76">
        <f t="shared" ref="AM68:AM74" si="91">O68</f>
        <v>3.125</v>
      </c>
      <c r="AN68" s="76"/>
      <c r="AO68" s="81" t="e">
        <f t="shared" ref="AO68:AO74" si="92">X68</f>
        <v>#DIV/0!</v>
      </c>
      <c r="AP68" s="81" t="e">
        <f t="shared" ref="AP68:AP74" si="93">Z68</f>
        <v>#DIV/0!</v>
      </c>
      <c r="AQ68" s="81" t="e">
        <f t="shared" ref="AQ68:AQ74" si="94">V68</f>
        <v>#DIV/0!</v>
      </c>
      <c r="AR68" s="7"/>
      <c r="AS68" s="76">
        <f t="shared" si="1"/>
        <v>2.8571428571428572</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ht="15" x14ac:dyDescent="0.25">
      <c r="A69" s="8" t="s">
        <v>18</v>
      </c>
      <c r="B69" s="9" t="s">
        <v>73</v>
      </c>
      <c r="C69" s="7"/>
      <c r="D69" s="7"/>
      <c r="E69" s="7"/>
      <c r="F69" s="71"/>
      <c r="G69" s="51">
        <f t="shared" ref="G69:G74" si="95">I69+K69</f>
        <v>11</v>
      </c>
      <c r="H69" s="52">
        <f t="shared" ref="H69:H74" si="96">G69/$J$5*100</f>
        <v>28.947368421052634</v>
      </c>
      <c r="I69" s="53">
        <f>COUNTIFS('00 Encuesta'!$B$2:$B$511,"*b)*",'00 Encuesta'!$C$2:$C$511,"*a)*",'00 Encuesta'!$E$2:$E$511,"*a)*",'00 Encuesta'!$K$2:$K$511,"*b)*")</f>
        <v>8</v>
      </c>
      <c r="J69" s="52">
        <f t="shared" si="73"/>
        <v>38.095238095238095</v>
      </c>
      <c r="K69" s="53">
        <f>COUNTIFS('00 Encuesta'!$B$2:$B$511,"*b)*",'00 Encuesta'!$C$2:$C$511,"*a)*",'00 Encuesta'!$E$2:$E$511,"*b)*",'00 Encuesta'!$K$2:$K$511,"*b)*")</f>
        <v>3</v>
      </c>
      <c r="L69" s="52">
        <f t="shared" si="74"/>
        <v>17.647058823529413</v>
      </c>
      <c r="M69" s="23"/>
      <c r="N69" s="51">
        <f t="shared" si="75"/>
        <v>6</v>
      </c>
      <c r="O69" s="52">
        <f t="shared" si="76"/>
        <v>18.75</v>
      </c>
      <c r="P69" s="53">
        <f>COUNTIFS('00 Encuesta'!$B$2:$B$511,"*b)*",'00 Encuesta'!$C$2:$C$511,"*b)*",'00 Encuesta'!$E$2:$E$511,"*a)*",'00 Encuesta'!$K$2:$K$511,"*b)*")</f>
        <v>3</v>
      </c>
      <c r="Q69" s="52">
        <f t="shared" si="77"/>
        <v>17.647058823529413</v>
      </c>
      <c r="R69" s="53">
        <f>COUNTIFS('00 Encuesta'!$B$2:$B$511,"*b)*",'00 Encuesta'!$C$2:$C$511,"*b)*",'00 Encuesta'!$E$2:$E$511,"*b)*",'00 Encuesta'!$K$2:$K$511,"*b)*")</f>
        <v>3</v>
      </c>
      <c r="S69" s="52">
        <f t="shared" si="78"/>
        <v>20</v>
      </c>
      <c r="T69" s="3"/>
      <c r="U69" s="51">
        <f t="shared" si="79"/>
        <v>0</v>
      </c>
      <c r="V69" s="52" t="e">
        <f t="shared" si="80"/>
        <v>#DIV/0!</v>
      </c>
      <c r="W69" s="53">
        <f>COUNTIFS('00 Encuesta'!$B$2:$B$511,"*b)*",'00 Encuesta'!$C$2:$C$511,"*d)*",'00 Encuesta'!$E$2:$E$511,"*a)*",'00 Encuesta'!$K$2:$K$511,"*b)*")</f>
        <v>0</v>
      </c>
      <c r="X69" s="52" t="e">
        <f t="shared" si="81"/>
        <v>#DIV/0!</v>
      </c>
      <c r="Y69" s="53">
        <f>COUNTIFS('00 Encuesta'!$B$2:$B$511,"*b)*",'00 Encuesta'!$C$2:$C$511,"*d)*",'00 Encuesta'!$E$2:$E$511,"*b)*",'00 Encuesta'!$K$2:$K$511,"*b)*")</f>
        <v>0</v>
      </c>
      <c r="Z69" s="52" t="e">
        <f t="shared" si="82"/>
        <v>#DIV/0!</v>
      </c>
      <c r="AA69" s="3"/>
      <c r="AB69" s="62">
        <f t="shared" si="83"/>
        <v>17</v>
      </c>
      <c r="AC69" s="52">
        <f t="shared" si="84"/>
        <v>24.285714285714285</v>
      </c>
      <c r="AD69" s="7"/>
      <c r="AE69" s="7"/>
      <c r="AF69" s="9" t="str">
        <f t="shared" si="85"/>
        <v>b) Una</v>
      </c>
      <c r="AG69" s="72">
        <f t="shared" si="86"/>
        <v>38.095238095238095</v>
      </c>
      <c r="AH69" s="72">
        <f t="shared" si="87"/>
        <v>17.647058823529413</v>
      </c>
      <c r="AI69" s="73">
        <f t="shared" si="88"/>
        <v>28.947368421052634</v>
      </c>
      <c r="AJ69" s="73"/>
      <c r="AK69" s="76">
        <f t="shared" si="89"/>
        <v>17.647058823529413</v>
      </c>
      <c r="AL69" s="76">
        <f t="shared" si="90"/>
        <v>20</v>
      </c>
      <c r="AM69" s="76">
        <f t="shared" si="91"/>
        <v>18.75</v>
      </c>
      <c r="AN69" s="76"/>
      <c r="AO69" s="81" t="e">
        <f t="shared" si="92"/>
        <v>#DIV/0!</v>
      </c>
      <c r="AP69" s="81" t="e">
        <f t="shared" si="93"/>
        <v>#DIV/0!</v>
      </c>
      <c r="AQ69" s="81" t="e">
        <f t="shared" si="94"/>
        <v>#DIV/0!</v>
      </c>
      <c r="AR69" s="7"/>
      <c r="AS69" s="76">
        <f t="shared" si="1"/>
        <v>24.285714285714285</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ht="15" x14ac:dyDescent="0.25">
      <c r="A70" s="8" t="s">
        <v>20</v>
      </c>
      <c r="B70" s="9" t="s">
        <v>74</v>
      </c>
      <c r="C70" s="7"/>
      <c r="D70" s="7"/>
      <c r="E70" s="7"/>
      <c r="F70" s="71"/>
      <c r="G70" s="51">
        <f t="shared" si="95"/>
        <v>12</v>
      </c>
      <c r="H70" s="52">
        <f t="shared" si="96"/>
        <v>31.578947368421051</v>
      </c>
      <c r="I70" s="53">
        <f>COUNTIFS('00 Encuesta'!$B$2:$B$511,"*b)*",'00 Encuesta'!$C$2:$C$511,"*a)*",'00 Encuesta'!$E$2:$E$511,"*a)*",'00 Encuesta'!$K$2:$K$511,"*c)*")</f>
        <v>6</v>
      </c>
      <c r="J70" s="52">
        <f t="shared" si="73"/>
        <v>28.571428571428569</v>
      </c>
      <c r="K70" s="53">
        <f>COUNTIFS('00 Encuesta'!$B$2:$B$511,"*b)*",'00 Encuesta'!$C$2:$C$511,"*a)*",'00 Encuesta'!$E$2:$E$511,"*b)*",'00 Encuesta'!$K$2:$K$511,"*c)*")</f>
        <v>6</v>
      </c>
      <c r="L70" s="52">
        <f t="shared" si="74"/>
        <v>35.294117647058826</v>
      </c>
      <c r="M70" s="23"/>
      <c r="N70" s="51">
        <f t="shared" si="75"/>
        <v>18</v>
      </c>
      <c r="O70" s="52">
        <f t="shared" si="76"/>
        <v>56.25</v>
      </c>
      <c r="P70" s="53">
        <f>COUNTIFS('00 Encuesta'!$B$2:$B$511,"*b)*",'00 Encuesta'!$C$2:$C$511,"*b)*",'00 Encuesta'!$E$2:$E$511,"*a)*",'00 Encuesta'!$K$2:$K$511,"*c)*")</f>
        <v>10</v>
      </c>
      <c r="Q70" s="52">
        <f t="shared" si="77"/>
        <v>58.82352941176471</v>
      </c>
      <c r="R70" s="53">
        <f>COUNTIFS('00 Encuesta'!$B$2:$B$511,"*b)*",'00 Encuesta'!$C$2:$C$511,"*b)*",'00 Encuesta'!$E$2:$E$511,"*b)*",'00 Encuesta'!$K$2:$K$511,"*c)*")</f>
        <v>8</v>
      </c>
      <c r="S70" s="52">
        <f t="shared" si="78"/>
        <v>53.333333333333336</v>
      </c>
      <c r="T70" s="3"/>
      <c r="U70" s="51">
        <f t="shared" si="79"/>
        <v>0</v>
      </c>
      <c r="V70" s="52" t="e">
        <f t="shared" si="80"/>
        <v>#DIV/0!</v>
      </c>
      <c r="W70" s="53">
        <f>COUNTIFS('00 Encuesta'!$B$2:$B$511,"*b)*",'00 Encuesta'!$C$2:$C$511,"*d)*",'00 Encuesta'!$E$2:$E$511,"*a)*",'00 Encuesta'!$K$2:$K$511,"*c)*")</f>
        <v>0</v>
      </c>
      <c r="X70" s="52" t="e">
        <f t="shared" si="81"/>
        <v>#DIV/0!</v>
      </c>
      <c r="Y70" s="53">
        <f>COUNTIFS('00 Encuesta'!$B$2:$B$511,"*b)*",'00 Encuesta'!$C$2:$C$511,"*d)*",'00 Encuesta'!$E$2:$E$511,"*b)*",'00 Encuesta'!$K$2:$K$511,"*c)*")</f>
        <v>0</v>
      </c>
      <c r="Z70" s="52" t="e">
        <f t="shared" si="82"/>
        <v>#DIV/0!</v>
      </c>
      <c r="AA70" s="3"/>
      <c r="AB70" s="62">
        <f t="shared" si="83"/>
        <v>30</v>
      </c>
      <c r="AC70" s="52">
        <f t="shared" si="84"/>
        <v>42.857142857142854</v>
      </c>
      <c r="AD70" s="7"/>
      <c r="AE70" s="7"/>
      <c r="AF70" s="9" t="str">
        <f t="shared" si="85"/>
        <v>c) Dos</v>
      </c>
      <c r="AG70" s="72">
        <f t="shared" si="86"/>
        <v>28.571428571428569</v>
      </c>
      <c r="AH70" s="72">
        <f t="shared" si="87"/>
        <v>35.294117647058826</v>
      </c>
      <c r="AI70" s="73">
        <f t="shared" si="88"/>
        <v>31.578947368421051</v>
      </c>
      <c r="AJ70" s="73"/>
      <c r="AK70" s="76">
        <f t="shared" si="89"/>
        <v>58.82352941176471</v>
      </c>
      <c r="AL70" s="76">
        <f t="shared" si="90"/>
        <v>53.333333333333336</v>
      </c>
      <c r="AM70" s="76">
        <f t="shared" si="91"/>
        <v>56.25</v>
      </c>
      <c r="AN70" s="76"/>
      <c r="AO70" s="81" t="e">
        <f t="shared" si="92"/>
        <v>#DIV/0!</v>
      </c>
      <c r="AP70" s="81" t="e">
        <f t="shared" si="93"/>
        <v>#DIV/0!</v>
      </c>
      <c r="AQ70" s="81" t="e">
        <f t="shared" si="94"/>
        <v>#DIV/0!</v>
      </c>
      <c r="AR70" s="7"/>
      <c r="AS70" s="76">
        <f t="shared" si="1"/>
        <v>42.857142857142854</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ht="15" x14ac:dyDescent="0.25">
      <c r="A71" s="8" t="s">
        <v>21</v>
      </c>
      <c r="B71" s="9" t="s">
        <v>75</v>
      </c>
      <c r="C71" s="7"/>
      <c r="D71" s="7"/>
      <c r="E71" s="7"/>
      <c r="F71" s="71"/>
      <c r="G71" s="51">
        <f t="shared" si="95"/>
        <v>3</v>
      </c>
      <c r="H71" s="52">
        <f t="shared" si="96"/>
        <v>7.8947368421052628</v>
      </c>
      <c r="I71" s="53">
        <f>COUNTIFS('00 Encuesta'!$B$2:$B$511,"*b)*",'00 Encuesta'!$C$2:$C$511,"*a)*",'00 Encuesta'!$E$2:$E$511,"*a)*",'00 Encuesta'!$K$2:$K$511,"*d)*")</f>
        <v>1</v>
      </c>
      <c r="J71" s="52">
        <f t="shared" si="73"/>
        <v>4.7619047619047619</v>
      </c>
      <c r="K71" s="53">
        <f>COUNTIFS('00 Encuesta'!$B$2:$B$511,"*b)*",'00 Encuesta'!$C$2:$C$511,"*a)*",'00 Encuesta'!$E$2:$E$511,"*b)*",'00 Encuesta'!$K$2:$K$511,"*d)*")</f>
        <v>2</v>
      </c>
      <c r="L71" s="52">
        <f t="shared" si="74"/>
        <v>11.76470588235294</v>
      </c>
      <c r="M71" s="23"/>
      <c r="N71" s="51">
        <f t="shared" si="75"/>
        <v>1</v>
      </c>
      <c r="O71" s="52">
        <f t="shared" si="76"/>
        <v>3.125</v>
      </c>
      <c r="P71" s="53">
        <f>COUNTIFS('00 Encuesta'!$B$2:$B$511,"*b)*",'00 Encuesta'!$C$2:$C$511,"*b)*",'00 Encuesta'!$E$2:$E$511,"*a)*",'00 Encuesta'!$K$2:$K$511,"*d)*")</f>
        <v>0</v>
      </c>
      <c r="Q71" s="52">
        <f t="shared" si="77"/>
        <v>0</v>
      </c>
      <c r="R71" s="53">
        <f>COUNTIFS('00 Encuesta'!$B$2:$B$511,"*b)*",'00 Encuesta'!$C$2:$C$511,"*b)*",'00 Encuesta'!$E$2:$E$511,"*b)*",'00 Encuesta'!$K$2:$K$511,"*d)*")</f>
        <v>1</v>
      </c>
      <c r="S71" s="52">
        <f t="shared" si="78"/>
        <v>6.666666666666667</v>
      </c>
      <c r="T71" s="3"/>
      <c r="U71" s="51">
        <f t="shared" si="79"/>
        <v>0</v>
      </c>
      <c r="V71" s="52" t="e">
        <f t="shared" si="80"/>
        <v>#DIV/0!</v>
      </c>
      <c r="W71" s="53">
        <f>COUNTIFS('00 Encuesta'!$B$2:$B$511,"*b)*",'00 Encuesta'!$C$2:$C$511,"*d)*",'00 Encuesta'!$E$2:$E$511,"*a)*",'00 Encuesta'!$K$2:$K$511,"*d)*")</f>
        <v>0</v>
      </c>
      <c r="X71" s="52" t="e">
        <f t="shared" si="81"/>
        <v>#DIV/0!</v>
      </c>
      <c r="Y71" s="53">
        <f>COUNTIFS('00 Encuesta'!$B$2:$B$511,"*b)*",'00 Encuesta'!$C$2:$C$511,"*d)*",'00 Encuesta'!$E$2:$E$511,"*b)*",'00 Encuesta'!$K$2:$K$511,"*d)*")</f>
        <v>0</v>
      </c>
      <c r="Z71" s="52" t="e">
        <f t="shared" si="82"/>
        <v>#DIV/0!</v>
      </c>
      <c r="AA71" s="3"/>
      <c r="AB71" s="62">
        <f t="shared" si="83"/>
        <v>4</v>
      </c>
      <c r="AC71" s="52">
        <f t="shared" si="84"/>
        <v>5.7142857142857144</v>
      </c>
      <c r="AD71" s="7"/>
      <c r="AE71" s="7"/>
      <c r="AF71" s="9" t="str">
        <f t="shared" si="85"/>
        <v>d) Tres</v>
      </c>
      <c r="AG71" s="72">
        <f t="shared" si="86"/>
        <v>4.7619047619047619</v>
      </c>
      <c r="AH71" s="72">
        <f t="shared" si="87"/>
        <v>11.76470588235294</v>
      </c>
      <c r="AI71" s="73">
        <f t="shared" si="88"/>
        <v>7.8947368421052628</v>
      </c>
      <c r="AJ71" s="73"/>
      <c r="AK71" s="76">
        <f t="shared" si="89"/>
        <v>0</v>
      </c>
      <c r="AL71" s="76">
        <f t="shared" si="90"/>
        <v>6.666666666666667</v>
      </c>
      <c r="AM71" s="76">
        <f t="shared" si="91"/>
        <v>3.125</v>
      </c>
      <c r="AN71" s="76"/>
      <c r="AO71" s="81" t="e">
        <f t="shared" si="92"/>
        <v>#DIV/0!</v>
      </c>
      <c r="AP71" s="81" t="e">
        <f t="shared" si="93"/>
        <v>#DIV/0!</v>
      </c>
      <c r="AQ71" s="81" t="e">
        <f t="shared" si="94"/>
        <v>#DIV/0!</v>
      </c>
      <c r="AR71" s="7"/>
      <c r="AS71" s="76">
        <f t="shared" si="1"/>
        <v>5.7142857142857144</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ht="15" x14ac:dyDescent="0.25">
      <c r="A72" s="8" t="s">
        <v>22</v>
      </c>
      <c r="B72" s="9" t="s">
        <v>76</v>
      </c>
      <c r="C72" s="7"/>
      <c r="D72" s="7"/>
      <c r="E72" s="7"/>
      <c r="F72" s="71"/>
      <c r="G72" s="51">
        <f t="shared" si="95"/>
        <v>4</v>
      </c>
      <c r="H72" s="52">
        <f t="shared" si="96"/>
        <v>10.526315789473683</v>
      </c>
      <c r="I72" s="53">
        <f>COUNTIFS('00 Encuesta'!$B$2:$B$511,"*b)*",'00 Encuesta'!$C$2:$C$511,"*a)*",'00 Encuesta'!$E$2:$E$511,"*a)*",'00 Encuesta'!$K$2:$K$511,"*e)*")</f>
        <v>2</v>
      </c>
      <c r="J72" s="52">
        <f t="shared" si="73"/>
        <v>9.5238095238095237</v>
      </c>
      <c r="K72" s="53">
        <f>COUNTIFS('00 Encuesta'!$B$2:$B$511,"*b)*",'00 Encuesta'!$C$2:$C$511,"*a)*",'00 Encuesta'!$E$2:$E$511,"*b)*",'00 Encuesta'!$K$2:$K$511,"*e)*")</f>
        <v>2</v>
      </c>
      <c r="L72" s="52">
        <f t="shared" si="74"/>
        <v>11.76470588235294</v>
      </c>
      <c r="M72" s="23"/>
      <c r="N72" s="51">
        <f t="shared" si="75"/>
        <v>1</v>
      </c>
      <c r="O72" s="52">
        <f t="shared" si="76"/>
        <v>3.125</v>
      </c>
      <c r="P72" s="53">
        <f>COUNTIFS('00 Encuesta'!$B$2:$B$511,"*b)*",'00 Encuesta'!$C$2:$C$511,"*b)*",'00 Encuesta'!$E$2:$E$511,"*a)*",'00 Encuesta'!$K$2:$K$511,"*e)*")</f>
        <v>0</v>
      </c>
      <c r="Q72" s="52">
        <f t="shared" si="77"/>
        <v>0</v>
      </c>
      <c r="R72" s="53">
        <f>COUNTIFS('00 Encuesta'!$B$2:$B$511,"*b)*",'00 Encuesta'!$C$2:$C$511,"*b)*",'00 Encuesta'!$E$2:$E$511,"*b)*",'00 Encuesta'!$K$2:$K$511,"*e)*")</f>
        <v>1</v>
      </c>
      <c r="S72" s="52">
        <f t="shared" si="78"/>
        <v>6.666666666666667</v>
      </c>
      <c r="T72" s="3"/>
      <c r="U72" s="51">
        <f t="shared" si="79"/>
        <v>0</v>
      </c>
      <c r="V72" s="52" t="e">
        <f t="shared" si="80"/>
        <v>#DIV/0!</v>
      </c>
      <c r="W72" s="53">
        <f>COUNTIFS('00 Encuesta'!$B$2:$B$511,"*b)*",'00 Encuesta'!$C$2:$C$511,"*d)*",'00 Encuesta'!$E$2:$E$511,"*a)*",'00 Encuesta'!$K$2:$K$511,"*e)*")</f>
        <v>0</v>
      </c>
      <c r="X72" s="52" t="e">
        <f t="shared" si="81"/>
        <v>#DIV/0!</v>
      </c>
      <c r="Y72" s="53">
        <f>COUNTIFS('00 Encuesta'!$B$2:$B$511,"*b)*",'00 Encuesta'!$C$2:$C$511,"*d)*",'00 Encuesta'!$E$2:$E$511,"*b)*",'00 Encuesta'!$K$2:$K$511,"*e)*")</f>
        <v>0</v>
      </c>
      <c r="Z72" s="52" t="e">
        <f t="shared" si="82"/>
        <v>#DIV/0!</v>
      </c>
      <c r="AA72" s="3"/>
      <c r="AB72" s="62">
        <f t="shared" si="83"/>
        <v>5</v>
      </c>
      <c r="AC72" s="52">
        <f t="shared" si="84"/>
        <v>7.1428571428571432</v>
      </c>
      <c r="AD72" s="7"/>
      <c r="AE72" s="7"/>
      <c r="AF72" s="9" t="str">
        <f t="shared" si="85"/>
        <v>e) Cuatro</v>
      </c>
      <c r="AG72" s="72">
        <f t="shared" si="86"/>
        <v>9.5238095238095237</v>
      </c>
      <c r="AH72" s="72">
        <f t="shared" si="87"/>
        <v>11.76470588235294</v>
      </c>
      <c r="AI72" s="73">
        <f t="shared" si="88"/>
        <v>10.526315789473683</v>
      </c>
      <c r="AJ72" s="73"/>
      <c r="AK72" s="76">
        <f t="shared" si="89"/>
        <v>0</v>
      </c>
      <c r="AL72" s="76">
        <f t="shared" si="90"/>
        <v>6.666666666666667</v>
      </c>
      <c r="AM72" s="76">
        <f t="shared" si="91"/>
        <v>3.125</v>
      </c>
      <c r="AN72" s="76"/>
      <c r="AO72" s="81" t="e">
        <f t="shared" si="92"/>
        <v>#DIV/0!</v>
      </c>
      <c r="AP72" s="81" t="e">
        <f t="shared" si="93"/>
        <v>#DIV/0!</v>
      </c>
      <c r="AQ72" s="81" t="e">
        <f t="shared" si="94"/>
        <v>#DIV/0!</v>
      </c>
      <c r="AR72" s="7"/>
      <c r="AS72" s="76">
        <f t="shared" si="1"/>
        <v>7.1428571428571432</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6</v>
      </c>
      <c r="H73" s="52">
        <f t="shared" si="96"/>
        <v>15.789473684210526</v>
      </c>
      <c r="I73" s="53">
        <f>COUNTIFS('00 Encuesta'!$B$2:$B$511,"*b)*",'00 Encuesta'!$C$2:$C$511,"*a)*",'00 Encuesta'!$E$2:$E$511,"*a)*",'00 Encuesta'!$K$2:$K$511,"*f)*")</f>
        <v>3</v>
      </c>
      <c r="J73" s="52">
        <f t="shared" si="73"/>
        <v>14.285714285714285</v>
      </c>
      <c r="K73" s="53">
        <f>COUNTIFS('00 Encuesta'!$B$2:$B$511,"*b)*",'00 Encuesta'!$C$2:$C$511,"*a)*",'00 Encuesta'!$E$2:$E$511,"*b)*",'00 Encuesta'!$K$2:$K$511,"*f)*")</f>
        <v>3</v>
      </c>
      <c r="L73" s="52">
        <f t="shared" si="74"/>
        <v>17.647058823529413</v>
      </c>
      <c r="M73" s="23"/>
      <c r="N73" s="51">
        <f t="shared" si="75"/>
        <v>4</v>
      </c>
      <c r="O73" s="52">
        <f t="shared" si="76"/>
        <v>12.5</v>
      </c>
      <c r="P73" s="53">
        <f>COUNTIFS('00 Encuesta'!$B$2:$B$511,"*b)*",'00 Encuesta'!$C$2:$C$511,"*b)*",'00 Encuesta'!$E$2:$E$511,"*a)*",'00 Encuesta'!$K$2:$K$511,"*f)*")</f>
        <v>3</v>
      </c>
      <c r="Q73" s="52">
        <f t="shared" si="77"/>
        <v>17.647058823529413</v>
      </c>
      <c r="R73" s="53">
        <f>COUNTIFS('00 Encuesta'!$B$2:$B$511,"*b)*",'00 Encuesta'!$C$2:$C$511,"*b)*",'00 Encuesta'!$E$2:$E$511,"*b)*",'00 Encuesta'!$K$2:$K$511,"*f)*")</f>
        <v>1</v>
      </c>
      <c r="S73" s="52">
        <f t="shared" si="78"/>
        <v>6.666666666666667</v>
      </c>
      <c r="T73" s="3"/>
      <c r="U73" s="51">
        <f t="shared" si="79"/>
        <v>0</v>
      </c>
      <c r="V73" s="52" t="e">
        <f t="shared" si="80"/>
        <v>#DIV/0!</v>
      </c>
      <c r="W73" s="53">
        <f>COUNTIFS('00 Encuesta'!$B$2:$B$511,"*b)*",'00 Encuesta'!$C$2:$C$511,"*d)*",'00 Encuesta'!$E$2:$E$511,"*a)*",'00 Encuesta'!$K$2:$K$511,"*f)*")</f>
        <v>0</v>
      </c>
      <c r="X73" s="52" t="e">
        <f t="shared" si="81"/>
        <v>#DIV/0!</v>
      </c>
      <c r="Y73" s="53">
        <f>COUNTIFS('00 Encuesta'!$B$2:$B$511,"*b)*",'00 Encuesta'!$C$2:$C$511,"*d)*",'00 Encuesta'!$E$2:$E$511,"*b)*",'00 Encuesta'!$K$2:$K$511,"*f)*")</f>
        <v>0</v>
      </c>
      <c r="Z73" s="52" t="e">
        <f t="shared" si="82"/>
        <v>#DIV/0!</v>
      </c>
      <c r="AA73" s="3"/>
      <c r="AB73" s="62">
        <f t="shared" si="83"/>
        <v>10</v>
      </c>
      <c r="AC73" s="52">
        <f t="shared" si="84"/>
        <v>14.285714285714286</v>
      </c>
      <c r="AD73" s="7"/>
      <c r="AE73" s="7"/>
      <c r="AF73" s="9" t="str">
        <f t="shared" si="85"/>
        <v>f) Más de cuatro</v>
      </c>
      <c r="AG73" s="72">
        <f t="shared" si="86"/>
        <v>14.285714285714285</v>
      </c>
      <c r="AH73" s="72">
        <f t="shared" si="87"/>
        <v>17.647058823529413</v>
      </c>
      <c r="AI73" s="73">
        <f t="shared" si="88"/>
        <v>15.789473684210526</v>
      </c>
      <c r="AJ73" s="73"/>
      <c r="AK73" s="76">
        <f t="shared" si="89"/>
        <v>17.647058823529413</v>
      </c>
      <c r="AL73" s="76">
        <f t="shared" si="90"/>
        <v>6.666666666666667</v>
      </c>
      <c r="AM73" s="76">
        <f t="shared" si="91"/>
        <v>12.5</v>
      </c>
      <c r="AN73" s="76"/>
      <c r="AO73" s="81" t="e">
        <f t="shared" si="92"/>
        <v>#DIV/0!</v>
      </c>
      <c r="AP73" s="81" t="e">
        <f t="shared" si="93"/>
        <v>#DIV/0!</v>
      </c>
      <c r="AQ73" s="81" t="e">
        <f t="shared" si="94"/>
        <v>#DIV/0!</v>
      </c>
      <c r="AR73" s="7"/>
      <c r="AS73" s="76">
        <f t="shared" si="1"/>
        <v>14.285714285714286</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ht="15" x14ac:dyDescent="0.25">
      <c r="A74" s="8" t="s">
        <v>23</v>
      </c>
      <c r="B74" s="9" t="s">
        <v>24</v>
      </c>
      <c r="C74" s="7"/>
      <c r="D74" s="7"/>
      <c r="E74" s="7"/>
      <c r="F74" s="71"/>
      <c r="G74" s="51">
        <f t="shared" si="95"/>
        <v>0</v>
      </c>
      <c r="H74" s="52">
        <f t="shared" si="96"/>
        <v>0</v>
      </c>
      <c r="I74" s="53"/>
      <c r="J74" s="52">
        <f t="shared" si="73"/>
        <v>0</v>
      </c>
      <c r="K74" s="53"/>
      <c r="L74" s="52">
        <f t="shared" si="74"/>
        <v>0</v>
      </c>
      <c r="M74" s="23"/>
      <c r="N74" s="51">
        <f t="shared" si="75"/>
        <v>0</v>
      </c>
      <c r="O74" s="52">
        <f t="shared" si="76"/>
        <v>0</v>
      </c>
      <c r="P74" s="53"/>
      <c r="Q74" s="52">
        <f t="shared" si="77"/>
        <v>0</v>
      </c>
      <c r="R74" s="53"/>
      <c r="S74" s="52">
        <f t="shared" si="78"/>
        <v>0</v>
      </c>
      <c r="T74" s="3"/>
      <c r="U74" s="51">
        <f t="shared" si="79"/>
        <v>0</v>
      </c>
      <c r="V74" s="52" t="e">
        <f t="shared" si="80"/>
        <v>#DIV/0!</v>
      </c>
      <c r="W74" s="53"/>
      <c r="X74" s="52" t="e">
        <f t="shared" si="81"/>
        <v>#DIV/0!</v>
      </c>
      <c r="Y74" s="53"/>
      <c r="Z74" s="52" t="e">
        <f t="shared" si="82"/>
        <v>#DIV/0!</v>
      </c>
      <c r="AA74" s="3"/>
      <c r="AB74" s="62">
        <f t="shared" si="83"/>
        <v>0</v>
      </c>
      <c r="AC74" s="52">
        <f t="shared" si="84"/>
        <v>0</v>
      </c>
      <c r="AD74" s="7"/>
      <c r="AE74" s="7"/>
      <c r="AF74" s="9" t="str">
        <f t="shared" si="85"/>
        <v>S/R Sin Respuesta</v>
      </c>
      <c r="AG74" s="72">
        <f t="shared" si="86"/>
        <v>0</v>
      </c>
      <c r="AH74" s="72">
        <f t="shared" si="87"/>
        <v>0</v>
      </c>
      <c r="AI74" s="73">
        <f t="shared" si="88"/>
        <v>0</v>
      </c>
      <c r="AJ74" s="73"/>
      <c r="AK74" s="76">
        <f t="shared" si="89"/>
        <v>0</v>
      </c>
      <c r="AL74" s="76">
        <f t="shared" si="90"/>
        <v>0</v>
      </c>
      <c r="AM74" s="76">
        <f t="shared" si="91"/>
        <v>0</v>
      </c>
      <c r="AN74" s="76"/>
      <c r="AO74" s="81" t="e">
        <f t="shared" si="92"/>
        <v>#DIV/0!</v>
      </c>
      <c r="AP74" s="81" t="e">
        <f t="shared" si="93"/>
        <v>#DIV/0!</v>
      </c>
      <c r="AQ74" s="81" t="e">
        <f t="shared" si="94"/>
        <v>#DIV/0!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ht="15" x14ac:dyDescent="0.25">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ht="15" x14ac:dyDescent="0.25">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ht="15" x14ac:dyDescent="0.25">
      <c r="A78" s="8" t="s">
        <v>17</v>
      </c>
      <c r="B78" s="9" t="s">
        <v>80</v>
      </c>
      <c r="C78" s="7"/>
      <c r="D78" s="7"/>
      <c r="E78" s="7"/>
      <c r="F78" s="71"/>
      <c r="G78" s="51">
        <f t="shared" ref="G78:G88" si="97">I78+K78</f>
        <v>26</v>
      </c>
      <c r="H78" s="52">
        <f t="shared" ref="H78:H88" si="98">G78/$J$5*100</f>
        <v>68.421052631578945</v>
      </c>
      <c r="I78" s="53">
        <f>COUNTIFS('00 Encuesta'!$B$2:$B$511,"*b)*",'00 Encuesta'!$C$2:$C$511,"*a)*",'00 Encuesta'!$E$2:$E$511,"*a)*",'00 Encuesta'!$L$2:$L$511,"*a)*")</f>
        <v>17</v>
      </c>
      <c r="J78" s="52">
        <f t="shared" ref="J78:J88" si="99">I78/$J$6*100</f>
        <v>80.952380952380949</v>
      </c>
      <c r="K78" s="53">
        <f>COUNTIFS('00 Encuesta'!$B$2:$B$511,"*b)*",'00 Encuesta'!$C$2:$C$511,"*a)*",'00 Encuesta'!$E$2:$E$511,"*b)*",'00 Encuesta'!$L$2:$L$511,"*a)*")</f>
        <v>9</v>
      </c>
      <c r="L78" s="52">
        <f t="shared" ref="L78:L88" si="100">K78/$J$7*100</f>
        <v>52.941176470588239</v>
      </c>
      <c r="M78" s="23"/>
      <c r="N78" s="51">
        <f t="shared" ref="N78:N88" si="101">P78+R78</f>
        <v>27</v>
      </c>
      <c r="O78" s="52">
        <f t="shared" ref="O78:O88" si="102">N78/$Q$5*100</f>
        <v>84.375</v>
      </c>
      <c r="P78" s="53">
        <f>COUNTIFS('00 Encuesta'!$B$2:$B$511,"*b)*",'00 Encuesta'!$C$2:$C$511,"*b)*",'00 Encuesta'!$E$2:$E$511,"*a)*",'00 Encuesta'!$L$2:$L$511,"*a)*")</f>
        <v>16</v>
      </c>
      <c r="Q78" s="52">
        <f t="shared" ref="Q78:Q88" si="103">P78/$Q$6*100</f>
        <v>94.117647058823522</v>
      </c>
      <c r="R78" s="53">
        <f>COUNTIFS('00 Encuesta'!$B$2:$B$511,"*b)*",'00 Encuesta'!$C$2:$C$511,"*b)*",'00 Encuesta'!$E$2:$E$511,"*b)*",'00 Encuesta'!$L$2:$L$511,"*a)*")</f>
        <v>11</v>
      </c>
      <c r="S78" s="52">
        <f t="shared" ref="S78:S88" si="104">R78/$Q$7*100</f>
        <v>73.333333333333329</v>
      </c>
      <c r="T78" s="3"/>
      <c r="U78" s="51">
        <f t="shared" ref="U78:U88" si="105">W78+Y78</f>
        <v>0</v>
      </c>
      <c r="V78" s="52" t="e">
        <f t="shared" ref="V78:V88" si="106">U78/$X$5*100</f>
        <v>#DIV/0!</v>
      </c>
      <c r="W78" s="53">
        <f>COUNTIFS('00 Encuesta'!$B$2:$B$511,"*b)*",'00 Encuesta'!$C$2:$C$511,"*d)*",'00 Encuesta'!$E$2:$E$511,"*a)*",'00 Encuesta'!$L$2:$L$511,"*a)*")</f>
        <v>0</v>
      </c>
      <c r="X78" s="52" t="e">
        <f>W78/$X$6*100</f>
        <v>#DIV/0!</v>
      </c>
      <c r="Y78" s="53">
        <f>COUNTIFS('00 Encuesta'!$B$2:$B$511,"*b)*",'00 Encuesta'!$C$2:$C$511,"*d)*",'00 Encuesta'!$E$2:$E$511,"*b)*",'00 Encuesta'!$L$2:$L$511,"*a)*")</f>
        <v>0</v>
      </c>
      <c r="Z78" s="52" t="e">
        <f t="shared" ref="Z78:Z88" si="107">Y78/$X$7*100</f>
        <v>#DIV/0!</v>
      </c>
      <c r="AA78" s="3"/>
      <c r="AB78" s="62">
        <f t="shared" ref="AB78:AB88" si="108">G78+N78+U78</f>
        <v>53</v>
      </c>
      <c r="AC78" s="52">
        <f t="shared" ref="AC78:AC88" si="109">AB78*100/$AC$5</f>
        <v>75.714285714285708</v>
      </c>
      <c r="AD78" s="7"/>
      <c r="AE78" s="7"/>
      <c r="AF78" s="9" t="str">
        <f t="shared" ref="AF78:AF89" si="110">A78&amp;" "&amp;B78</f>
        <v>a) La familia</v>
      </c>
      <c r="AG78" s="72">
        <f t="shared" ref="AG78:AG89" si="111">J78</f>
        <v>80.952380952380949</v>
      </c>
      <c r="AH78" s="72">
        <f t="shared" ref="AH78:AH89" si="112">L78</f>
        <v>52.941176470588239</v>
      </c>
      <c r="AI78" s="73">
        <f t="shared" ref="AI78:AI89" si="113">H78</f>
        <v>68.421052631578945</v>
      </c>
      <c r="AJ78" s="73"/>
      <c r="AK78" s="76">
        <f t="shared" ref="AK78:AK89" si="114">Q78</f>
        <v>94.117647058823522</v>
      </c>
      <c r="AL78" s="76">
        <f t="shared" ref="AL78:AL89" si="115">S78</f>
        <v>73.333333333333329</v>
      </c>
      <c r="AM78" s="76">
        <f t="shared" ref="AM78:AM89" si="116">O78</f>
        <v>84.375</v>
      </c>
      <c r="AN78" s="76"/>
      <c r="AO78" s="81" t="e">
        <f>X78</f>
        <v>#DIV/0!</v>
      </c>
      <c r="AP78" s="81" t="e">
        <f t="shared" ref="AP78:AP89" si="117">Z78</f>
        <v>#DIV/0!</v>
      </c>
      <c r="AQ78" s="81" t="e">
        <f t="shared" ref="AQ78:AQ89" si="118">V78</f>
        <v>#DIV/0!</v>
      </c>
      <c r="AR78" s="7"/>
      <c r="AS78" s="76">
        <f t="shared" si="1"/>
        <v>75.714285714285708</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ht="15" x14ac:dyDescent="0.25">
      <c r="A79" s="8" t="s">
        <v>18</v>
      </c>
      <c r="B79" s="9" t="s">
        <v>81</v>
      </c>
      <c r="C79" s="7"/>
      <c r="D79" s="7"/>
      <c r="E79" s="7"/>
      <c r="F79" s="71"/>
      <c r="G79" s="51">
        <f t="shared" si="97"/>
        <v>14</v>
      </c>
      <c r="H79" s="52">
        <f t="shared" si="98"/>
        <v>36.84210526315789</v>
      </c>
      <c r="I79" s="53">
        <f>COUNTIFS('00 Encuesta'!$B$2:$B$511,"*b)*",'00 Encuesta'!$C$2:$C$511,"*a)*",'00 Encuesta'!$E$2:$E$511,"*a)*",'00 Encuesta'!$L$2:$L$511,"*b)*")</f>
        <v>7</v>
      </c>
      <c r="J79" s="52">
        <f t="shared" si="99"/>
        <v>33.333333333333329</v>
      </c>
      <c r="K79" s="53">
        <f>COUNTIFS('00 Encuesta'!$B$2:$B$511,"*b)*",'00 Encuesta'!$C$2:$C$511,"*a)*",'00 Encuesta'!$E$2:$E$511,"*b)*",'00 Encuesta'!$L$2:$L$511,"*b)*")</f>
        <v>7</v>
      </c>
      <c r="L79" s="52">
        <f t="shared" si="100"/>
        <v>41.17647058823529</v>
      </c>
      <c r="M79" s="23"/>
      <c r="N79" s="51">
        <f t="shared" si="101"/>
        <v>19</v>
      </c>
      <c r="O79" s="52">
        <f t="shared" si="102"/>
        <v>59.375</v>
      </c>
      <c r="P79" s="53">
        <f>COUNTIFS('00 Encuesta'!$B$2:$B$511,"*b)*",'00 Encuesta'!$C$2:$C$511,"*b)*",'00 Encuesta'!$E$2:$E$511,"*a)*",'00 Encuesta'!$L$2:$L$511,"*b)*")</f>
        <v>11</v>
      </c>
      <c r="Q79" s="52">
        <f t="shared" si="103"/>
        <v>64.705882352941174</v>
      </c>
      <c r="R79" s="53">
        <f>COUNTIFS('00 Encuesta'!$B$2:$B$511,"*b)*",'00 Encuesta'!$C$2:$C$511,"*b)*",'00 Encuesta'!$E$2:$E$511,"*b)*",'00 Encuesta'!$L$2:$L$511,"*b)*")</f>
        <v>8</v>
      </c>
      <c r="S79" s="52">
        <f t="shared" si="104"/>
        <v>53.333333333333336</v>
      </c>
      <c r="T79" s="3"/>
      <c r="U79" s="51">
        <f t="shared" si="105"/>
        <v>0</v>
      </c>
      <c r="V79" s="52" t="e">
        <f t="shared" si="106"/>
        <v>#DIV/0!</v>
      </c>
      <c r="W79" s="53">
        <f>COUNTIFS('00 Encuesta'!$B$2:$B$511,"*b)*",'00 Encuesta'!$C$2:$C$511,"*d)*",'00 Encuesta'!$E$2:$E$511,"*a)*",'00 Encuesta'!$L$2:$L$511,"*b)*")</f>
        <v>0</v>
      </c>
      <c r="X79" s="52" t="e">
        <f t="shared" ref="X79:X88" si="119">W79/$X$6*100</f>
        <v>#DIV/0!</v>
      </c>
      <c r="Y79" s="53">
        <f>COUNTIFS('00 Encuesta'!$B$2:$B$511,"*b)*",'00 Encuesta'!$C$2:$C$511,"*d)*",'00 Encuesta'!$E$2:$E$511,"*b)*",'00 Encuesta'!$L$2:$L$511,"*b)*")</f>
        <v>0</v>
      </c>
      <c r="Z79" s="52" t="e">
        <f t="shared" si="107"/>
        <v>#DIV/0!</v>
      </c>
      <c r="AA79" s="3"/>
      <c r="AB79" s="62">
        <f t="shared" si="108"/>
        <v>33</v>
      </c>
      <c r="AC79" s="52">
        <f t="shared" si="109"/>
        <v>47.142857142857146</v>
      </c>
      <c r="AD79" s="7"/>
      <c r="AE79" s="7"/>
      <c r="AF79" s="9" t="str">
        <f t="shared" si="110"/>
        <v>b) Los amigos</v>
      </c>
      <c r="AG79" s="72">
        <f t="shared" si="111"/>
        <v>33.333333333333329</v>
      </c>
      <c r="AH79" s="72">
        <f t="shared" si="112"/>
        <v>41.17647058823529</v>
      </c>
      <c r="AI79" s="73">
        <f t="shared" si="113"/>
        <v>36.84210526315789</v>
      </c>
      <c r="AJ79" s="73"/>
      <c r="AK79" s="76">
        <f t="shared" si="114"/>
        <v>64.705882352941174</v>
      </c>
      <c r="AL79" s="76">
        <f t="shared" si="115"/>
        <v>53.333333333333336</v>
      </c>
      <c r="AM79" s="76">
        <f t="shared" si="116"/>
        <v>59.375</v>
      </c>
      <c r="AN79" s="76"/>
      <c r="AO79" s="81" t="e">
        <f t="shared" ref="AO79:AO89" si="120">X79</f>
        <v>#DIV/0!</v>
      </c>
      <c r="AP79" s="81" t="e">
        <f t="shared" si="117"/>
        <v>#DIV/0!</v>
      </c>
      <c r="AQ79" s="81" t="e">
        <f t="shared" si="118"/>
        <v>#DIV/0!</v>
      </c>
      <c r="AR79" s="7"/>
      <c r="AS79" s="76">
        <f t="shared" si="1"/>
        <v>47.142857142857146</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ht="15" x14ac:dyDescent="0.25">
      <c r="A80" s="8" t="s">
        <v>20</v>
      </c>
      <c r="B80" s="9" t="s">
        <v>82</v>
      </c>
      <c r="C80" s="7"/>
      <c r="D80" s="7"/>
      <c r="E80" s="7"/>
      <c r="F80" s="71"/>
      <c r="G80" s="51">
        <f t="shared" si="97"/>
        <v>5</v>
      </c>
      <c r="H80" s="52">
        <f t="shared" si="98"/>
        <v>13.157894736842104</v>
      </c>
      <c r="I80" s="53">
        <f>COUNTIFS('00 Encuesta'!$B$2:$B$511,"*b)*",'00 Encuesta'!$C$2:$C$511,"*a)*",'00 Encuesta'!$E$2:$E$511,"*a)*",'00 Encuesta'!$L$2:$L$511,"*c)*")</f>
        <v>4</v>
      </c>
      <c r="J80" s="52">
        <f t="shared" si="99"/>
        <v>19.047619047619047</v>
      </c>
      <c r="K80" s="53">
        <f>COUNTIFS('00 Encuesta'!$B$2:$B$511,"*b)*",'00 Encuesta'!$C$2:$C$511,"*a)*",'00 Encuesta'!$E$2:$E$511,"*b)*",'00 Encuesta'!$L$2:$L$511,"*c)*")</f>
        <v>1</v>
      </c>
      <c r="L80" s="52">
        <f t="shared" si="100"/>
        <v>5.8823529411764701</v>
      </c>
      <c r="M80" s="23"/>
      <c r="N80" s="51">
        <f t="shared" si="101"/>
        <v>11</v>
      </c>
      <c r="O80" s="52">
        <f t="shared" si="102"/>
        <v>34.375</v>
      </c>
      <c r="P80" s="53">
        <f>COUNTIFS('00 Encuesta'!$B$2:$B$511,"*b)*",'00 Encuesta'!$C$2:$C$511,"*b)*",'00 Encuesta'!$E$2:$E$511,"*a)*",'00 Encuesta'!$L$2:$L$511,"*c)*")</f>
        <v>6</v>
      </c>
      <c r="Q80" s="52">
        <f t="shared" si="103"/>
        <v>35.294117647058826</v>
      </c>
      <c r="R80" s="53">
        <f>COUNTIFS('00 Encuesta'!$B$2:$B$511,"*b)*",'00 Encuesta'!$C$2:$C$511,"*b)*",'00 Encuesta'!$E$2:$E$511,"*b)*",'00 Encuesta'!$L$2:$L$511,"*c)*")</f>
        <v>5</v>
      </c>
      <c r="S80" s="52">
        <f t="shared" si="104"/>
        <v>33.333333333333329</v>
      </c>
      <c r="T80" s="3"/>
      <c r="U80" s="51">
        <f t="shared" si="105"/>
        <v>0</v>
      </c>
      <c r="V80" s="52" t="e">
        <f t="shared" si="106"/>
        <v>#DIV/0!</v>
      </c>
      <c r="W80" s="53">
        <f>COUNTIFS('00 Encuesta'!$B$2:$B$511,"*b)*",'00 Encuesta'!$C$2:$C$511,"*d)*",'00 Encuesta'!$E$2:$E$511,"*a)*",'00 Encuesta'!$L$2:$L$511,"*c)*")</f>
        <v>0</v>
      </c>
      <c r="X80" s="52" t="e">
        <f t="shared" si="119"/>
        <v>#DIV/0!</v>
      </c>
      <c r="Y80" s="53">
        <f>COUNTIFS('00 Encuesta'!$B$2:$B$511,"*b)*",'00 Encuesta'!$C$2:$C$511,"*d)*",'00 Encuesta'!$E$2:$E$511,"*b)*",'00 Encuesta'!$L$2:$L$511,"*c)*")</f>
        <v>0</v>
      </c>
      <c r="Z80" s="52" t="e">
        <f t="shared" si="107"/>
        <v>#DIV/0!</v>
      </c>
      <c r="AA80" s="3"/>
      <c r="AB80" s="62">
        <f t="shared" si="108"/>
        <v>16</v>
      </c>
      <c r="AC80" s="52">
        <f t="shared" si="109"/>
        <v>22.857142857142858</v>
      </c>
      <c r="AD80" s="7"/>
      <c r="AE80" s="7"/>
      <c r="AF80" s="9" t="str">
        <f t="shared" si="110"/>
        <v>c) Los estudios</v>
      </c>
      <c r="AG80" s="72">
        <f t="shared" si="111"/>
        <v>19.047619047619047</v>
      </c>
      <c r="AH80" s="72">
        <f t="shared" si="112"/>
        <v>5.8823529411764701</v>
      </c>
      <c r="AI80" s="73">
        <f t="shared" si="113"/>
        <v>13.157894736842104</v>
      </c>
      <c r="AJ80" s="73"/>
      <c r="AK80" s="76">
        <f t="shared" si="114"/>
        <v>35.294117647058826</v>
      </c>
      <c r="AL80" s="76">
        <f t="shared" si="115"/>
        <v>33.333333333333329</v>
      </c>
      <c r="AM80" s="76">
        <f t="shared" si="116"/>
        <v>34.375</v>
      </c>
      <c r="AN80" s="76"/>
      <c r="AO80" s="81" t="e">
        <f t="shared" si="120"/>
        <v>#DIV/0!</v>
      </c>
      <c r="AP80" s="81" t="e">
        <f t="shared" si="117"/>
        <v>#DIV/0!</v>
      </c>
      <c r="AQ80" s="81" t="e">
        <f t="shared" si="118"/>
        <v>#DIV/0!</v>
      </c>
      <c r="AR80" s="7"/>
      <c r="AS80" s="76">
        <f t="shared" ref="AS80:AS141" si="121">AC80</f>
        <v>22.857142857142858</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ht="15" x14ac:dyDescent="0.25">
      <c r="A81" s="8" t="s">
        <v>21</v>
      </c>
      <c r="B81" s="9" t="s">
        <v>83</v>
      </c>
      <c r="C81" s="7"/>
      <c r="D81" s="7"/>
      <c r="E81" s="7"/>
      <c r="F81" s="71"/>
      <c r="G81" s="51">
        <f t="shared" si="97"/>
        <v>4</v>
      </c>
      <c r="H81" s="52">
        <f t="shared" si="98"/>
        <v>10.526315789473683</v>
      </c>
      <c r="I81" s="53">
        <f>COUNTIFS('00 Encuesta'!$B$2:$B$511,"*b)*",'00 Encuesta'!$C$2:$C$511,"*a)*",'00 Encuesta'!$E$2:$E$511,"*a)*",'00 Encuesta'!$L$2:$L$511,"*d)*")</f>
        <v>1</v>
      </c>
      <c r="J81" s="52">
        <f t="shared" si="99"/>
        <v>4.7619047619047619</v>
      </c>
      <c r="K81" s="53">
        <f>COUNTIFS('00 Encuesta'!$B$2:$B$511,"*b)*",'00 Encuesta'!$C$2:$C$511,"*a)*",'00 Encuesta'!$E$2:$E$511,"*b)*",'00 Encuesta'!$L$2:$L$511,"*d)*")</f>
        <v>3</v>
      </c>
      <c r="L81" s="52">
        <f t="shared" si="100"/>
        <v>17.647058823529413</v>
      </c>
      <c r="M81" s="23"/>
      <c r="N81" s="51">
        <f t="shared" si="101"/>
        <v>1</v>
      </c>
      <c r="O81" s="52">
        <f t="shared" si="102"/>
        <v>3.125</v>
      </c>
      <c r="P81" s="53">
        <f>COUNTIFS('00 Encuesta'!$B$2:$B$511,"*b)*",'00 Encuesta'!$C$2:$C$511,"*b)*",'00 Encuesta'!$E$2:$E$511,"*a)*",'00 Encuesta'!$L$2:$L$511,"*d)*")</f>
        <v>1</v>
      </c>
      <c r="Q81" s="52">
        <f t="shared" si="103"/>
        <v>5.8823529411764701</v>
      </c>
      <c r="R81" s="53">
        <f>COUNTIFS('00 Encuesta'!$B$2:$B$511,"*b)*",'00 Encuesta'!$C$2:$C$511,"*b)*",'00 Encuesta'!$E$2:$E$511,"*b)*",'00 Encuesta'!$L$2:$L$511,"*d)*")</f>
        <v>0</v>
      </c>
      <c r="S81" s="52">
        <f t="shared" si="104"/>
        <v>0</v>
      </c>
      <c r="T81" s="3"/>
      <c r="U81" s="51">
        <f t="shared" si="105"/>
        <v>0</v>
      </c>
      <c r="V81" s="52" t="e">
        <f t="shared" si="106"/>
        <v>#DIV/0!</v>
      </c>
      <c r="W81" s="53">
        <f>COUNTIFS('00 Encuesta'!$B$2:$B$511,"*b)*",'00 Encuesta'!$C$2:$C$511,"*d)*",'00 Encuesta'!$E$2:$E$511,"*a)*",'00 Encuesta'!$L$2:$L$511,"*d)*")</f>
        <v>0</v>
      </c>
      <c r="X81" s="52" t="e">
        <f t="shared" si="119"/>
        <v>#DIV/0!</v>
      </c>
      <c r="Y81" s="53">
        <f>COUNTIFS('00 Encuesta'!$B$2:$B$511,"*b)*",'00 Encuesta'!$C$2:$C$511,"*d)*",'00 Encuesta'!$E$2:$E$511,"*b)*",'00 Encuesta'!$L$2:$L$511,"*d)*")</f>
        <v>0</v>
      </c>
      <c r="Z81" s="52" t="e">
        <f t="shared" si="107"/>
        <v>#DIV/0!</v>
      </c>
      <c r="AA81" s="3"/>
      <c r="AB81" s="62">
        <f t="shared" si="108"/>
        <v>5</v>
      </c>
      <c r="AC81" s="52">
        <f t="shared" si="109"/>
        <v>7.1428571428571432</v>
      </c>
      <c r="AD81" s="7"/>
      <c r="AE81" s="7"/>
      <c r="AF81" s="9" t="str">
        <f t="shared" si="110"/>
        <v>d) El cuidado de mi cuerpo</v>
      </c>
      <c r="AG81" s="72">
        <f t="shared" si="111"/>
        <v>4.7619047619047619</v>
      </c>
      <c r="AH81" s="72">
        <f t="shared" si="112"/>
        <v>17.647058823529413</v>
      </c>
      <c r="AI81" s="73">
        <f t="shared" si="113"/>
        <v>10.526315789473683</v>
      </c>
      <c r="AJ81" s="73"/>
      <c r="AK81" s="76">
        <f t="shared" si="114"/>
        <v>5.8823529411764701</v>
      </c>
      <c r="AL81" s="76">
        <f t="shared" si="115"/>
        <v>0</v>
      </c>
      <c r="AM81" s="76">
        <f t="shared" si="116"/>
        <v>3.125</v>
      </c>
      <c r="AN81" s="76"/>
      <c r="AO81" s="81" t="e">
        <f t="shared" si="120"/>
        <v>#DIV/0!</v>
      </c>
      <c r="AP81" s="81" t="e">
        <f t="shared" si="117"/>
        <v>#DIV/0!</v>
      </c>
      <c r="AQ81" s="81" t="e">
        <f t="shared" si="118"/>
        <v>#DIV/0!</v>
      </c>
      <c r="AR81" s="7"/>
      <c r="AS81" s="76">
        <f t="shared" si="121"/>
        <v>7.1428571428571432</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ht="15" x14ac:dyDescent="0.25">
      <c r="A82" s="8" t="s">
        <v>22</v>
      </c>
      <c r="B82" s="9" t="s">
        <v>84</v>
      </c>
      <c r="C82" s="7"/>
      <c r="D82" s="7"/>
      <c r="E82" s="56"/>
      <c r="F82" s="71"/>
      <c r="G82" s="51">
        <f t="shared" si="97"/>
        <v>3</v>
      </c>
      <c r="H82" s="52">
        <f t="shared" si="98"/>
        <v>7.8947368421052628</v>
      </c>
      <c r="I82" s="53">
        <f>COUNTIFS('00 Encuesta'!$B$2:$B$511,"*b)*",'00 Encuesta'!$C$2:$C$511,"*a)*",'00 Encuesta'!$E$2:$E$511,"*a)*",'00 Encuesta'!$L$2:$L$511,"*e)*")</f>
        <v>1</v>
      </c>
      <c r="J82" s="52">
        <f t="shared" si="99"/>
        <v>4.7619047619047619</v>
      </c>
      <c r="K82" s="53">
        <f>COUNTIFS('00 Encuesta'!$B$2:$B$511,"*b)*",'00 Encuesta'!$C$2:$C$511,"*a)*",'00 Encuesta'!$E$2:$E$511,"*b)*",'00 Encuesta'!$L$2:$L$511,"*e)*")</f>
        <v>2</v>
      </c>
      <c r="L82" s="52">
        <f t="shared" si="100"/>
        <v>11.76470588235294</v>
      </c>
      <c r="M82" s="23"/>
      <c r="N82" s="51">
        <f t="shared" si="101"/>
        <v>0</v>
      </c>
      <c r="O82" s="52">
        <f t="shared" si="102"/>
        <v>0</v>
      </c>
      <c r="P82" s="53">
        <f>COUNTIFS('00 Encuesta'!$B$2:$B$511,"*b)*",'00 Encuesta'!$C$2:$C$511,"*b)*",'00 Encuesta'!$E$2:$E$511,"*a)*",'00 Encuesta'!$L$2:$L$511,"*e)*")</f>
        <v>0</v>
      </c>
      <c r="Q82" s="52">
        <f t="shared" si="103"/>
        <v>0</v>
      </c>
      <c r="R82" s="53">
        <f>COUNTIFS('00 Encuesta'!$B$2:$B$511,"*b)*",'00 Encuesta'!$C$2:$C$511,"*b)*",'00 Encuesta'!$E$2:$E$511,"*b)*",'00 Encuesta'!$L$2:$L$511,"*e)*")</f>
        <v>0</v>
      </c>
      <c r="S82" s="52">
        <f t="shared" si="104"/>
        <v>0</v>
      </c>
      <c r="T82" s="3"/>
      <c r="U82" s="51">
        <f t="shared" si="105"/>
        <v>0</v>
      </c>
      <c r="V82" s="52" t="e">
        <f t="shared" si="106"/>
        <v>#DIV/0!</v>
      </c>
      <c r="W82" s="53">
        <f>COUNTIFS('00 Encuesta'!$B$2:$B$511,"*b)*",'00 Encuesta'!$C$2:$C$511,"*d)*",'00 Encuesta'!$E$2:$E$511,"*a)*",'00 Encuesta'!$L$2:$L$511,"*e)*")</f>
        <v>0</v>
      </c>
      <c r="X82" s="52" t="e">
        <f t="shared" si="119"/>
        <v>#DIV/0!</v>
      </c>
      <c r="Y82" s="53">
        <f>COUNTIFS('00 Encuesta'!$B$2:$B$511,"*b)*",'00 Encuesta'!$C$2:$C$511,"*d)*",'00 Encuesta'!$E$2:$E$511,"*b)*",'00 Encuesta'!$L$2:$L$511,"*e)*")</f>
        <v>0</v>
      </c>
      <c r="Z82" s="52" t="e">
        <f t="shared" si="107"/>
        <v>#DIV/0!</v>
      </c>
      <c r="AA82" s="3"/>
      <c r="AB82" s="62">
        <f t="shared" si="108"/>
        <v>3</v>
      </c>
      <c r="AC82" s="52">
        <f t="shared" si="109"/>
        <v>4.2857142857142856</v>
      </c>
      <c r="AD82" s="7"/>
      <c r="AE82" s="7"/>
      <c r="AF82" s="9" t="str">
        <f t="shared" si="110"/>
        <v>e) Disponer de dinero</v>
      </c>
      <c r="AG82" s="72">
        <f t="shared" si="111"/>
        <v>4.7619047619047619</v>
      </c>
      <c r="AH82" s="72">
        <f t="shared" si="112"/>
        <v>11.76470588235294</v>
      </c>
      <c r="AI82" s="73">
        <f t="shared" si="113"/>
        <v>7.8947368421052628</v>
      </c>
      <c r="AJ82" s="73"/>
      <c r="AK82" s="76">
        <f t="shared" si="114"/>
        <v>0</v>
      </c>
      <c r="AL82" s="76">
        <f t="shared" si="115"/>
        <v>0</v>
      </c>
      <c r="AM82" s="76">
        <f t="shared" si="116"/>
        <v>0</v>
      </c>
      <c r="AN82" s="76"/>
      <c r="AO82" s="81" t="e">
        <f t="shared" si="120"/>
        <v>#DIV/0!</v>
      </c>
      <c r="AP82" s="81" t="e">
        <f t="shared" si="117"/>
        <v>#DIV/0!</v>
      </c>
      <c r="AQ82" s="81" t="e">
        <f t="shared" si="118"/>
        <v>#DIV/0!</v>
      </c>
      <c r="AR82" s="7"/>
      <c r="AS82" s="76">
        <f t="shared" si="121"/>
        <v>4.2857142857142856</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ht="15" x14ac:dyDescent="0.25">
      <c r="A83" s="8" t="s">
        <v>45</v>
      </c>
      <c r="B83" s="9" t="s">
        <v>85</v>
      </c>
      <c r="C83" s="7"/>
      <c r="D83" s="7"/>
      <c r="E83" s="7"/>
      <c r="F83" s="71"/>
      <c r="G83" s="51">
        <f t="shared" si="97"/>
        <v>5</v>
      </c>
      <c r="H83" s="52">
        <f t="shared" si="98"/>
        <v>13.157894736842104</v>
      </c>
      <c r="I83" s="53">
        <f>COUNTIFS('00 Encuesta'!$B$2:$B$511,"*b)*",'00 Encuesta'!$C$2:$C$511,"*a)*",'00 Encuesta'!$E$2:$E$511,"*a)*",'00 Encuesta'!$L$2:$L$511,"*f)*")</f>
        <v>3</v>
      </c>
      <c r="J83" s="52">
        <f t="shared" si="99"/>
        <v>14.285714285714285</v>
      </c>
      <c r="K83" s="53">
        <f>COUNTIFS('00 Encuesta'!$B$2:$B$511,"*b)*",'00 Encuesta'!$C$2:$C$511,"*a)*",'00 Encuesta'!$E$2:$E$511,"*b)*",'00 Encuesta'!$L$2:$L$511,"*f)*")</f>
        <v>2</v>
      </c>
      <c r="L83" s="52">
        <f t="shared" si="100"/>
        <v>11.76470588235294</v>
      </c>
      <c r="M83" s="23"/>
      <c r="N83" s="51">
        <f t="shared" si="101"/>
        <v>5</v>
      </c>
      <c r="O83" s="52">
        <f t="shared" si="102"/>
        <v>15.625</v>
      </c>
      <c r="P83" s="53">
        <f>COUNTIFS('00 Encuesta'!$B$2:$B$511,"*b)*",'00 Encuesta'!$C$2:$C$511,"*b)*",'00 Encuesta'!$E$2:$E$511,"*a)*",'00 Encuesta'!$L$2:$L$511,"*f)*")</f>
        <v>1</v>
      </c>
      <c r="Q83" s="52">
        <f t="shared" si="103"/>
        <v>5.8823529411764701</v>
      </c>
      <c r="R83" s="53">
        <f>COUNTIFS('00 Encuesta'!$B$2:$B$511,"*b)*",'00 Encuesta'!$C$2:$C$511,"*b)*",'00 Encuesta'!$E$2:$E$511,"*b)*",'00 Encuesta'!$L$2:$L$511,"*f)*")</f>
        <v>4</v>
      </c>
      <c r="S83" s="52">
        <f t="shared" si="104"/>
        <v>26.666666666666668</v>
      </c>
      <c r="T83" s="3"/>
      <c r="U83" s="51">
        <f t="shared" si="105"/>
        <v>0</v>
      </c>
      <c r="V83" s="52" t="e">
        <f t="shared" si="106"/>
        <v>#DIV/0!</v>
      </c>
      <c r="W83" s="53">
        <f>COUNTIFS('00 Encuesta'!$B$2:$B$511,"*b)*",'00 Encuesta'!$C$2:$C$511,"*d)*",'00 Encuesta'!$E$2:$E$511,"*a)*",'00 Encuesta'!$L$2:$L$511,"*f)*")</f>
        <v>0</v>
      </c>
      <c r="X83" s="52" t="e">
        <f t="shared" si="119"/>
        <v>#DIV/0!</v>
      </c>
      <c r="Y83" s="53">
        <f>COUNTIFS('00 Encuesta'!$B$2:$B$511,"*b)*",'00 Encuesta'!$C$2:$C$511,"*d)*",'00 Encuesta'!$E$2:$E$511,"*b)*",'00 Encuesta'!$L$2:$L$511,"*f)*")</f>
        <v>0</v>
      </c>
      <c r="Z83" s="52" t="e">
        <f t="shared" si="107"/>
        <v>#DIV/0!</v>
      </c>
      <c r="AA83" s="3"/>
      <c r="AB83" s="62">
        <f t="shared" si="108"/>
        <v>10</v>
      </c>
      <c r="AC83" s="52">
        <f t="shared" si="109"/>
        <v>14.285714285714286</v>
      </c>
      <c r="AD83" s="7"/>
      <c r="AE83" s="7"/>
      <c r="AF83" s="9" t="str">
        <f t="shared" si="110"/>
        <v>f) Mi fe y vida cristiana</v>
      </c>
      <c r="AG83" s="72">
        <f t="shared" si="111"/>
        <v>14.285714285714285</v>
      </c>
      <c r="AH83" s="72">
        <f t="shared" si="112"/>
        <v>11.76470588235294</v>
      </c>
      <c r="AI83" s="73">
        <f t="shared" si="113"/>
        <v>13.157894736842104</v>
      </c>
      <c r="AJ83" s="73"/>
      <c r="AK83" s="76">
        <f t="shared" si="114"/>
        <v>5.8823529411764701</v>
      </c>
      <c r="AL83" s="76">
        <f t="shared" si="115"/>
        <v>26.666666666666668</v>
      </c>
      <c r="AM83" s="76">
        <f t="shared" si="116"/>
        <v>15.625</v>
      </c>
      <c r="AN83" s="76"/>
      <c r="AO83" s="81" t="e">
        <f t="shared" si="120"/>
        <v>#DIV/0!</v>
      </c>
      <c r="AP83" s="81" t="e">
        <f t="shared" si="117"/>
        <v>#DIV/0!</v>
      </c>
      <c r="AQ83" s="81" t="e">
        <f t="shared" si="118"/>
        <v>#DIV/0!</v>
      </c>
      <c r="AR83" s="7"/>
      <c r="AS83" s="76">
        <f t="shared" si="121"/>
        <v>14.285714285714286</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ht="15" x14ac:dyDescent="0.25">
      <c r="A84" s="8" t="s">
        <v>61</v>
      </c>
      <c r="B84" s="9" t="s">
        <v>86</v>
      </c>
      <c r="C84" s="7"/>
      <c r="D84" s="7"/>
      <c r="E84" s="7"/>
      <c r="F84" s="71"/>
      <c r="G84" s="51">
        <f t="shared" si="97"/>
        <v>5</v>
      </c>
      <c r="H84" s="52">
        <f t="shared" si="98"/>
        <v>13.157894736842104</v>
      </c>
      <c r="I84" s="53">
        <f>COUNTIFS('00 Encuesta'!$B$2:$B$511,"*b)*",'00 Encuesta'!$C$2:$C$511,"*a)*",'00 Encuesta'!$E$2:$E$511,"*a)*",'00 Encuesta'!$L$2:$L$511,"*g)*")</f>
        <v>2</v>
      </c>
      <c r="J84" s="52">
        <f t="shared" si="99"/>
        <v>9.5238095238095237</v>
      </c>
      <c r="K84" s="53">
        <f>COUNTIFS('00 Encuesta'!$B$2:$B$511,"*b)*",'00 Encuesta'!$C$2:$C$511,"*a)*",'00 Encuesta'!$E$2:$E$511,"*b)*",'00 Encuesta'!$L$2:$L$511,"*g)*")</f>
        <v>3</v>
      </c>
      <c r="L84" s="52">
        <f t="shared" si="100"/>
        <v>17.647058823529413</v>
      </c>
      <c r="M84" s="23"/>
      <c r="N84" s="51">
        <f t="shared" si="101"/>
        <v>11</v>
      </c>
      <c r="O84" s="52">
        <f t="shared" si="102"/>
        <v>34.375</v>
      </c>
      <c r="P84" s="53">
        <f>COUNTIFS('00 Encuesta'!$B$2:$B$511,"*b)*",'00 Encuesta'!$C$2:$C$511,"*b)*",'00 Encuesta'!$E$2:$E$511,"*a)*",'00 Encuesta'!$L$2:$L$511,"*g)*")</f>
        <v>5</v>
      </c>
      <c r="Q84" s="52">
        <f t="shared" si="103"/>
        <v>29.411764705882355</v>
      </c>
      <c r="R84" s="53">
        <f>COUNTIFS('00 Encuesta'!$B$2:$B$511,"*b)*",'00 Encuesta'!$C$2:$C$511,"*b)*",'00 Encuesta'!$E$2:$E$511,"*b)*",'00 Encuesta'!$L$2:$L$511,"*g)*")</f>
        <v>6</v>
      </c>
      <c r="S84" s="52">
        <f t="shared" si="104"/>
        <v>40</v>
      </c>
      <c r="T84" s="3"/>
      <c r="U84" s="51">
        <f t="shared" si="105"/>
        <v>0</v>
      </c>
      <c r="V84" s="52" t="e">
        <f t="shared" si="106"/>
        <v>#DIV/0!</v>
      </c>
      <c r="W84" s="53">
        <f>COUNTIFS('00 Encuesta'!$B$2:$B$511,"*b)*",'00 Encuesta'!$C$2:$C$511,"*d)*",'00 Encuesta'!$E$2:$E$511,"*a)*",'00 Encuesta'!$L$2:$L$511,"*g)*")</f>
        <v>0</v>
      </c>
      <c r="X84" s="52" t="e">
        <f t="shared" si="119"/>
        <v>#DIV/0!</v>
      </c>
      <c r="Y84" s="53">
        <f>COUNTIFS('00 Encuesta'!$B$2:$B$511,"*b)*",'00 Encuesta'!$C$2:$C$511,"*d)*",'00 Encuesta'!$E$2:$E$511,"*b)*",'00 Encuesta'!$L$2:$L$511,"*g)*")</f>
        <v>0</v>
      </c>
      <c r="Z84" s="52" t="e">
        <f t="shared" si="107"/>
        <v>#DIV/0!</v>
      </c>
      <c r="AA84" s="3"/>
      <c r="AB84" s="62">
        <f t="shared" si="108"/>
        <v>16</v>
      </c>
      <c r="AC84" s="52">
        <f t="shared" si="109"/>
        <v>22.857142857142858</v>
      </c>
      <c r="AD84" s="7"/>
      <c r="AE84" s="7"/>
      <c r="AF84" s="9" t="str">
        <f t="shared" si="110"/>
        <v>g) La felicidad</v>
      </c>
      <c r="AG84" s="72">
        <f t="shared" si="111"/>
        <v>9.5238095238095237</v>
      </c>
      <c r="AH84" s="72">
        <f t="shared" si="112"/>
        <v>17.647058823529413</v>
      </c>
      <c r="AI84" s="73">
        <f t="shared" si="113"/>
        <v>13.157894736842104</v>
      </c>
      <c r="AJ84" s="73"/>
      <c r="AK84" s="76">
        <f t="shared" si="114"/>
        <v>29.411764705882355</v>
      </c>
      <c r="AL84" s="76">
        <f t="shared" si="115"/>
        <v>40</v>
      </c>
      <c r="AM84" s="76">
        <f t="shared" si="116"/>
        <v>34.375</v>
      </c>
      <c r="AN84" s="76"/>
      <c r="AO84" s="81" t="e">
        <f t="shared" si="120"/>
        <v>#DIV/0!</v>
      </c>
      <c r="AP84" s="81" t="e">
        <f t="shared" si="117"/>
        <v>#DIV/0!</v>
      </c>
      <c r="AQ84" s="81" t="e">
        <f t="shared" si="118"/>
        <v>#DIV/0!</v>
      </c>
      <c r="AR84" s="7"/>
      <c r="AS84" s="76">
        <f t="shared" si="121"/>
        <v>22.857142857142858</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ht="15" x14ac:dyDescent="0.25">
      <c r="A85" s="8" t="s">
        <v>63</v>
      </c>
      <c r="B85" s="9" t="s">
        <v>87</v>
      </c>
      <c r="C85" s="7"/>
      <c r="D85" s="7"/>
      <c r="E85" s="7"/>
      <c r="F85" s="71"/>
      <c r="G85" s="51">
        <f t="shared" si="97"/>
        <v>1</v>
      </c>
      <c r="H85" s="52">
        <f t="shared" si="98"/>
        <v>2.6315789473684208</v>
      </c>
      <c r="I85" s="53">
        <f>COUNTIFS('00 Encuesta'!$B$2:$B$511,"*b)*",'00 Encuesta'!$C$2:$C$511,"*a)*",'00 Encuesta'!$E$2:$E$511,"*a)*",'00 Encuesta'!$L$2:$L$511,"*h)*")</f>
        <v>1</v>
      </c>
      <c r="J85" s="52">
        <f t="shared" si="99"/>
        <v>4.7619047619047619</v>
      </c>
      <c r="K85" s="53">
        <f>COUNTIFS('00 Encuesta'!$B$2:$B$511,"*b)*",'00 Encuesta'!$C$2:$C$511,"*a)*",'00 Encuesta'!$E$2:$E$511,"*b)*",'00 Encuesta'!$L$2:$L$511,"*h)*")</f>
        <v>0</v>
      </c>
      <c r="L85" s="52">
        <f t="shared" si="100"/>
        <v>0</v>
      </c>
      <c r="M85" s="23"/>
      <c r="N85" s="51">
        <f t="shared" si="101"/>
        <v>1</v>
      </c>
      <c r="O85" s="52">
        <f t="shared" si="102"/>
        <v>3.125</v>
      </c>
      <c r="P85" s="53">
        <f>COUNTIFS('00 Encuesta'!$B$2:$B$511,"*b)*",'00 Encuesta'!$C$2:$C$511,"*b)*",'00 Encuesta'!$E$2:$E$511,"*a)*",'00 Encuesta'!$L$2:$L$511,"*h)*")</f>
        <v>1</v>
      </c>
      <c r="Q85" s="52">
        <f t="shared" si="103"/>
        <v>5.8823529411764701</v>
      </c>
      <c r="R85" s="53">
        <f>COUNTIFS('00 Encuesta'!$B$2:$B$511,"*b)*",'00 Encuesta'!$C$2:$C$511,"*b)*",'00 Encuesta'!$E$2:$E$511,"*b)*",'00 Encuesta'!$L$2:$L$511,"*h)*")</f>
        <v>0</v>
      </c>
      <c r="S85" s="52">
        <f t="shared" si="104"/>
        <v>0</v>
      </c>
      <c r="T85" s="3"/>
      <c r="U85" s="51">
        <f t="shared" si="105"/>
        <v>0</v>
      </c>
      <c r="V85" s="52" t="e">
        <f t="shared" si="106"/>
        <v>#DIV/0!</v>
      </c>
      <c r="W85" s="53">
        <f>COUNTIFS('00 Encuesta'!$B$2:$B$511,"*b)*",'00 Encuesta'!$C$2:$C$511,"*d)*",'00 Encuesta'!$E$2:$E$511,"*a)*",'00 Encuesta'!$L$2:$L$511,"*h)*")</f>
        <v>0</v>
      </c>
      <c r="X85" s="52" t="e">
        <f t="shared" si="119"/>
        <v>#DIV/0!</v>
      </c>
      <c r="Y85" s="53">
        <f>COUNTIFS('00 Encuesta'!$B$2:$B$511,"*b)*",'00 Encuesta'!$C$2:$C$511,"*d)*",'00 Encuesta'!$E$2:$E$511,"*b)*",'00 Encuesta'!$L$2:$L$511,"*h)*")</f>
        <v>0</v>
      </c>
      <c r="Z85" s="52" t="e">
        <f t="shared" si="107"/>
        <v>#DIV/0!</v>
      </c>
      <c r="AA85" s="3"/>
      <c r="AB85" s="62">
        <f t="shared" si="108"/>
        <v>2</v>
      </c>
      <c r="AC85" s="52">
        <f t="shared" si="109"/>
        <v>2.8571428571428572</v>
      </c>
      <c r="AD85" s="7"/>
      <c r="AE85" s="7"/>
      <c r="AF85" s="9" t="str">
        <f t="shared" si="110"/>
        <v>h) La sexualidad</v>
      </c>
      <c r="AG85" s="72">
        <f t="shared" si="111"/>
        <v>4.7619047619047619</v>
      </c>
      <c r="AH85" s="72">
        <f t="shared" si="112"/>
        <v>0</v>
      </c>
      <c r="AI85" s="73">
        <f t="shared" si="113"/>
        <v>2.6315789473684208</v>
      </c>
      <c r="AJ85" s="73"/>
      <c r="AK85" s="76">
        <f t="shared" si="114"/>
        <v>5.8823529411764701</v>
      </c>
      <c r="AL85" s="76">
        <f t="shared" si="115"/>
        <v>0</v>
      </c>
      <c r="AM85" s="76">
        <f t="shared" si="116"/>
        <v>3.125</v>
      </c>
      <c r="AN85" s="76"/>
      <c r="AO85" s="81" t="e">
        <f t="shared" si="120"/>
        <v>#DIV/0!</v>
      </c>
      <c r="AP85" s="81" t="e">
        <f t="shared" si="117"/>
        <v>#DIV/0!</v>
      </c>
      <c r="AQ85" s="81" t="e">
        <f t="shared" si="118"/>
        <v>#DIV/0!</v>
      </c>
      <c r="AR85" s="7"/>
      <c r="AS85" s="76">
        <f t="shared" si="121"/>
        <v>2.8571428571428572</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5</v>
      </c>
      <c r="H86" s="52">
        <f t="shared" si="98"/>
        <v>13.157894736842104</v>
      </c>
      <c r="I86" s="53">
        <f>COUNTIFS('00 Encuesta'!$B$2:$B$511,"*b)*",'00 Encuesta'!$C$2:$C$511,"*a)*",'00 Encuesta'!$E$2:$E$511,"*a)*",'00 Encuesta'!$L$2:$L$511,"*i)*")</f>
        <v>2</v>
      </c>
      <c r="J86" s="52">
        <f t="shared" si="99"/>
        <v>9.5238095238095237</v>
      </c>
      <c r="K86" s="53">
        <f>COUNTIFS('00 Encuesta'!$B$2:$B$511,"*b)*",'00 Encuesta'!$C$2:$C$511,"*a)*",'00 Encuesta'!$E$2:$E$511,"*b)*",'00 Encuesta'!$L$2:$L$511,"*i)*")</f>
        <v>3</v>
      </c>
      <c r="L86" s="52">
        <f t="shared" si="100"/>
        <v>17.647058823529413</v>
      </c>
      <c r="M86" s="23"/>
      <c r="N86" s="51">
        <f t="shared" si="101"/>
        <v>3</v>
      </c>
      <c r="O86" s="52">
        <f t="shared" si="102"/>
        <v>9.375</v>
      </c>
      <c r="P86" s="53">
        <f>COUNTIFS('00 Encuesta'!$B$2:$B$511,"*b)*",'00 Encuesta'!$C$2:$C$511,"*b)*",'00 Encuesta'!$E$2:$E$511,"*a)*",'00 Encuesta'!$L$2:$L$511,"*i)*")</f>
        <v>2</v>
      </c>
      <c r="Q86" s="52">
        <f t="shared" si="103"/>
        <v>11.76470588235294</v>
      </c>
      <c r="R86" s="53">
        <f>COUNTIFS('00 Encuesta'!$B$2:$B$511,"*b)*",'00 Encuesta'!$C$2:$C$511,"*b)*",'00 Encuesta'!$E$2:$E$511,"*b)*",'00 Encuesta'!$L$2:$L$511,"*i)*")</f>
        <v>1</v>
      </c>
      <c r="S86" s="52">
        <f t="shared" si="104"/>
        <v>6.666666666666667</v>
      </c>
      <c r="T86" s="3"/>
      <c r="U86" s="51">
        <f t="shared" si="105"/>
        <v>0</v>
      </c>
      <c r="V86" s="52" t="e">
        <f t="shared" si="106"/>
        <v>#DIV/0!</v>
      </c>
      <c r="W86" s="53">
        <f>COUNTIFS('00 Encuesta'!$B$2:$B$511,"*b)*",'00 Encuesta'!$C$2:$C$511,"*d)*",'00 Encuesta'!$E$2:$E$511,"*a)*",'00 Encuesta'!$L$2:$L$511,"*i)*")</f>
        <v>0</v>
      </c>
      <c r="X86" s="52" t="e">
        <f t="shared" si="119"/>
        <v>#DIV/0!</v>
      </c>
      <c r="Y86" s="53">
        <f>COUNTIFS('00 Encuesta'!$B$2:$B$511,"*b)*",'00 Encuesta'!$C$2:$C$511,"*d)*",'00 Encuesta'!$E$2:$E$511,"*b)*",'00 Encuesta'!$L$2:$L$511,"*i)*")</f>
        <v>0</v>
      </c>
      <c r="Z86" s="52" t="e">
        <f t="shared" si="107"/>
        <v>#DIV/0!</v>
      </c>
      <c r="AA86" s="3"/>
      <c r="AB86" s="62">
        <f t="shared" si="108"/>
        <v>8</v>
      </c>
      <c r="AC86" s="52">
        <f t="shared" si="109"/>
        <v>11.428571428571429</v>
      </c>
      <c r="AD86" s="7"/>
      <c r="AE86" s="7"/>
      <c r="AF86" s="9" t="str">
        <f t="shared" si="110"/>
        <v>i) La música</v>
      </c>
      <c r="AG86" s="72">
        <f t="shared" si="111"/>
        <v>9.5238095238095237</v>
      </c>
      <c r="AH86" s="72">
        <f t="shared" si="112"/>
        <v>17.647058823529413</v>
      </c>
      <c r="AI86" s="73">
        <f t="shared" si="113"/>
        <v>13.157894736842104</v>
      </c>
      <c r="AJ86" s="73"/>
      <c r="AK86" s="76">
        <f t="shared" si="114"/>
        <v>11.76470588235294</v>
      </c>
      <c r="AL86" s="76">
        <f t="shared" si="115"/>
        <v>6.666666666666667</v>
      </c>
      <c r="AM86" s="76">
        <f t="shared" si="116"/>
        <v>9.375</v>
      </c>
      <c r="AN86" s="76"/>
      <c r="AO86" s="81" t="e">
        <f t="shared" si="120"/>
        <v>#DIV/0!</v>
      </c>
      <c r="AP86" s="81" t="e">
        <f t="shared" si="117"/>
        <v>#DIV/0!</v>
      </c>
      <c r="AQ86" s="81" t="e">
        <f t="shared" si="118"/>
        <v>#DIV/0!</v>
      </c>
      <c r="AR86" s="7"/>
      <c r="AS86" s="76">
        <f t="shared" si="121"/>
        <v>11.428571428571429</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ht="15.75" x14ac:dyDescent="0.3">
      <c r="A87" s="1" t="s">
        <v>67</v>
      </c>
      <c r="B87" s="2" t="s">
        <v>89</v>
      </c>
      <c r="C87" s="3"/>
      <c r="D87" s="7"/>
      <c r="E87" s="7"/>
      <c r="F87" s="71"/>
      <c r="G87" s="51">
        <f t="shared" si="97"/>
        <v>18</v>
      </c>
      <c r="H87" s="52">
        <f t="shared" si="98"/>
        <v>47.368421052631575</v>
      </c>
      <c r="I87" s="53">
        <f>COUNTIFS('00 Encuesta'!$B$2:$B$511,"*b)*",'00 Encuesta'!$C$2:$C$511,"*a)*",'00 Encuesta'!$E$2:$E$511,"*a)*",'00 Encuesta'!$L$2:$L$511,"*j)*")</f>
        <v>15</v>
      </c>
      <c r="J87" s="52">
        <f t="shared" si="99"/>
        <v>71.428571428571431</v>
      </c>
      <c r="K87" s="53">
        <f>COUNTIFS('00 Encuesta'!$B$2:$B$511,"*b)*",'00 Encuesta'!$C$2:$C$511,"*a)*",'00 Encuesta'!$E$2:$E$511,"*b)*",'00 Encuesta'!$L$2:$L$511,"*j)*")</f>
        <v>3</v>
      </c>
      <c r="L87" s="52">
        <f t="shared" si="100"/>
        <v>17.647058823529413</v>
      </c>
      <c r="M87" s="23"/>
      <c r="N87" s="51">
        <f t="shared" si="101"/>
        <v>5</v>
      </c>
      <c r="O87" s="52">
        <f t="shared" si="102"/>
        <v>15.625</v>
      </c>
      <c r="P87" s="53">
        <f>COUNTIFS('00 Encuesta'!$B$2:$B$511,"*b)*",'00 Encuesta'!$C$2:$C$511,"*b)*",'00 Encuesta'!$E$2:$E$511,"*a)*",'00 Encuesta'!$L$2:$L$511,"*j)*")</f>
        <v>5</v>
      </c>
      <c r="Q87" s="52">
        <f t="shared" si="103"/>
        <v>29.411764705882355</v>
      </c>
      <c r="R87" s="53">
        <f>COUNTIFS('00 Encuesta'!$B$2:$B$511,"*b)*",'00 Encuesta'!$C$2:$C$511,"*b)*",'00 Encuesta'!$E$2:$E$511,"*b)*",'00 Encuesta'!$L$2:$L$511,"*j)*")</f>
        <v>0</v>
      </c>
      <c r="S87" s="52">
        <f t="shared" si="104"/>
        <v>0</v>
      </c>
      <c r="T87" s="3"/>
      <c r="U87" s="51">
        <f t="shared" si="105"/>
        <v>0</v>
      </c>
      <c r="V87" s="52" t="e">
        <f t="shared" si="106"/>
        <v>#DIV/0!</v>
      </c>
      <c r="W87" s="53">
        <f>COUNTIFS('00 Encuesta'!$B$2:$B$511,"*b)*",'00 Encuesta'!$C$2:$C$511,"*d)*",'00 Encuesta'!$E$2:$E$511,"*a)*",'00 Encuesta'!$L$2:$L$511,"*j)*")</f>
        <v>0</v>
      </c>
      <c r="X87" s="52" t="e">
        <f t="shared" si="119"/>
        <v>#DIV/0!</v>
      </c>
      <c r="Y87" s="53">
        <f>COUNTIFS('00 Encuesta'!$B$2:$B$511,"*b)*",'00 Encuesta'!$C$2:$C$511,"*d)*",'00 Encuesta'!$E$2:$E$511,"*b)*",'00 Encuesta'!$L$2:$L$511,"*j)*")</f>
        <v>0</v>
      </c>
      <c r="Z87" s="52" t="e">
        <f t="shared" si="107"/>
        <v>#DIV/0!</v>
      </c>
      <c r="AA87" s="3"/>
      <c r="AB87" s="62">
        <f t="shared" si="108"/>
        <v>23</v>
      </c>
      <c r="AC87" s="52">
        <f t="shared" si="109"/>
        <v>32.857142857142854</v>
      </c>
      <c r="AD87" s="7"/>
      <c r="AE87" s="7"/>
      <c r="AF87" s="9" t="str">
        <f t="shared" si="110"/>
        <v>j) El deporte</v>
      </c>
      <c r="AG87" s="72">
        <f t="shared" si="111"/>
        <v>71.428571428571431</v>
      </c>
      <c r="AH87" s="72">
        <f t="shared" si="112"/>
        <v>17.647058823529413</v>
      </c>
      <c r="AI87" s="73">
        <f t="shared" si="113"/>
        <v>47.368421052631575</v>
      </c>
      <c r="AJ87" s="73"/>
      <c r="AK87" s="76">
        <f t="shared" si="114"/>
        <v>29.411764705882355</v>
      </c>
      <c r="AL87" s="76">
        <f t="shared" si="115"/>
        <v>0</v>
      </c>
      <c r="AM87" s="76">
        <f t="shared" si="116"/>
        <v>15.625</v>
      </c>
      <c r="AN87" s="76"/>
      <c r="AO87" s="81" t="e">
        <f t="shared" si="120"/>
        <v>#DIV/0!</v>
      </c>
      <c r="AP87" s="81" t="e">
        <f t="shared" si="117"/>
        <v>#DIV/0!</v>
      </c>
      <c r="AQ87" s="81" t="e">
        <f t="shared" si="118"/>
        <v>#DIV/0!</v>
      </c>
      <c r="AR87" s="7"/>
      <c r="AS87" s="76">
        <f t="shared" si="121"/>
        <v>32.857142857142854</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ht="15.75" x14ac:dyDescent="0.3">
      <c r="A88" s="1" t="s">
        <v>69</v>
      </c>
      <c r="B88" s="2" t="s">
        <v>90</v>
      </c>
      <c r="C88" s="3"/>
      <c r="D88" s="7"/>
      <c r="E88" s="7"/>
      <c r="F88" s="71"/>
      <c r="G88" s="51">
        <f t="shared" si="97"/>
        <v>2</v>
      </c>
      <c r="H88" s="52">
        <f t="shared" si="98"/>
        <v>5.2631578947368416</v>
      </c>
      <c r="I88" s="53">
        <f>COUNTIFS('00 Encuesta'!$B$2:$B$511,"*b)*",'00 Encuesta'!$C$2:$C$511,"*a)*",'00 Encuesta'!$E$2:$E$511,"*a)*",'00 Encuesta'!$L$2:$L$511,"*k)*")</f>
        <v>2</v>
      </c>
      <c r="J88" s="52">
        <f t="shared" si="99"/>
        <v>9.5238095238095237</v>
      </c>
      <c r="K88" s="53">
        <f>COUNTIFS('00 Encuesta'!$B$2:$B$511,"*b)*",'00 Encuesta'!$C$2:$C$511,"*a)*",'00 Encuesta'!$E$2:$E$511,"*b)*",'00 Encuesta'!$L$2:$L$511,"*k)*")</f>
        <v>0</v>
      </c>
      <c r="L88" s="52">
        <f t="shared" si="100"/>
        <v>0</v>
      </c>
      <c r="M88" s="23"/>
      <c r="N88" s="51">
        <f t="shared" si="101"/>
        <v>1</v>
      </c>
      <c r="O88" s="52">
        <f t="shared" si="102"/>
        <v>3.125</v>
      </c>
      <c r="P88" s="53">
        <f>COUNTIFS('00 Encuesta'!$B$2:$B$511,"*b)*",'00 Encuesta'!$C$2:$C$511,"*b)*",'00 Encuesta'!$E$2:$E$511,"*a)*",'00 Encuesta'!$L$2:$L$511,"*k)*")</f>
        <v>0</v>
      </c>
      <c r="Q88" s="52">
        <f t="shared" si="103"/>
        <v>0</v>
      </c>
      <c r="R88" s="53">
        <f>COUNTIFS('00 Encuesta'!$B$2:$B$511,"*b)*",'00 Encuesta'!$C$2:$C$511,"*b)*",'00 Encuesta'!$E$2:$E$511,"*b)*",'00 Encuesta'!$L$2:$L$511,"*k)*")</f>
        <v>1</v>
      </c>
      <c r="S88" s="52">
        <f t="shared" si="104"/>
        <v>6.666666666666667</v>
      </c>
      <c r="T88" s="3"/>
      <c r="U88" s="51">
        <f t="shared" si="105"/>
        <v>0</v>
      </c>
      <c r="V88" s="52" t="e">
        <f t="shared" si="106"/>
        <v>#DIV/0!</v>
      </c>
      <c r="W88" s="53">
        <f>COUNTIFS('00 Encuesta'!$B$2:$B$511,"*b)*",'00 Encuesta'!$C$2:$C$511,"*d)*",'00 Encuesta'!$E$2:$E$511,"*a)*",'00 Encuesta'!$L$2:$L$511,"*k)*")</f>
        <v>0</v>
      </c>
      <c r="X88" s="52" t="e">
        <f t="shared" si="119"/>
        <v>#DIV/0!</v>
      </c>
      <c r="Y88" s="53">
        <f>COUNTIFS('00 Encuesta'!$B$2:$B$511,"*b)*",'00 Encuesta'!$C$2:$C$511,"*d)*",'00 Encuesta'!$E$2:$E$511,"*b)*",'00 Encuesta'!$L$2:$L$511,"*k)*")</f>
        <v>0</v>
      </c>
      <c r="Z88" s="52" t="e">
        <f t="shared" si="107"/>
        <v>#DIV/0!</v>
      </c>
      <c r="AA88" s="3"/>
      <c r="AB88" s="62">
        <f t="shared" si="108"/>
        <v>3</v>
      </c>
      <c r="AC88" s="52">
        <f t="shared" si="109"/>
        <v>4.2857142857142856</v>
      </c>
      <c r="AD88" s="7"/>
      <c r="AE88" s="7"/>
      <c r="AF88" s="9" t="str">
        <f t="shared" si="110"/>
        <v>k) Internet</v>
      </c>
      <c r="AG88" s="72">
        <f t="shared" si="111"/>
        <v>9.5238095238095237</v>
      </c>
      <c r="AH88" s="72">
        <f t="shared" si="112"/>
        <v>0</v>
      </c>
      <c r="AI88" s="73">
        <f t="shared" si="113"/>
        <v>5.2631578947368416</v>
      </c>
      <c r="AJ88" s="73"/>
      <c r="AK88" s="76">
        <f t="shared" si="114"/>
        <v>0</v>
      </c>
      <c r="AL88" s="76">
        <f t="shared" si="115"/>
        <v>6.666666666666667</v>
      </c>
      <c r="AM88" s="76">
        <f t="shared" si="116"/>
        <v>3.125</v>
      </c>
      <c r="AN88" s="76"/>
      <c r="AO88" s="81" t="e">
        <f t="shared" si="120"/>
        <v>#DIV/0!</v>
      </c>
      <c r="AP88" s="81" t="e">
        <f t="shared" si="117"/>
        <v>#DIV/0!</v>
      </c>
      <c r="AQ88" s="81" t="e">
        <f t="shared" si="118"/>
        <v>#DIV/0!</v>
      </c>
      <c r="AR88" s="7"/>
      <c r="AS88" s="76">
        <f t="shared" si="121"/>
        <v>4.2857142857142856</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ht="15" x14ac:dyDescent="0.25">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0"/>
        <v>S/R Sin Respuesta</v>
      </c>
      <c r="AG89" s="72">
        <f t="shared" si="111"/>
        <v>0</v>
      </c>
      <c r="AH89" s="72">
        <f t="shared" si="112"/>
        <v>0</v>
      </c>
      <c r="AI89" s="73">
        <f t="shared" si="113"/>
        <v>0</v>
      </c>
      <c r="AJ89" s="73"/>
      <c r="AK89" s="76">
        <f t="shared" si="114"/>
        <v>0</v>
      </c>
      <c r="AL89" s="76">
        <f t="shared" si="115"/>
        <v>0</v>
      </c>
      <c r="AM89" s="76">
        <f t="shared" si="116"/>
        <v>0</v>
      </c>
      <c r="AN89" s="76"/>
      <c r="AO89" s="81">
        <f t="shared" si="120"/>
        <v>0</v>
      </c>
      <c r="AP89" s="81">
        <f t="shared" si="117"/>
        <v>0</v>
      </c>
      <c r="AQ89" s="81">
        <f t="shared" si="118"/>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ht="15" x14ac:dyDescent="0.25">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ht="15" x14ac:dyDescent="0.25">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ht="15" x14ac:dyDescent="0.25">
      <c r="A92" s="8" t="s">
        <v>17</v>
      </c>
      <c r="B92" s="9" t="s">
        <v>93</v>
      </c>
      <c r="C92" s="7"/>
      <c r="D92" s="7"/>
      <c r="E92" s="7"/>
      <c r="F92" s="71"/>
      <c r="G92" s="51">
        <f t="shared" ref="G92:G99" si="122">I92+K92</f>
        <v>8</v>
      </c>
      <c r="H92" s="52">
        <f t="shared" ref="H92:H99" si="123">G92/$J$5*100</f>
        <v>21.052631578947366</v>
      </c>
      <c r="I92" s="53">
        <f>COUNTIFS('00 Encuesta'!$B$2:$B$511,"*b)*",'00 Encuesta'!$C$2:$C$511,"*a)*",'00 Encuesta'!$E$2:$E$511,"*a)*",'00 Encuesta'!$N$2:$N$511,"*a)*")</f>
        <v>1</v>
      </c>
      <c r="J92" s="52">
        <f t="shared" ref="J92:J99" si="124">I92/$J$6*100</f>
        <v>4.7619047619047619</v>
      </c>
      <c r="K92" s="53">
        <f>COUNTIFS('00 Encuesta'!$B$2:$B$511,"*b)*",'00 Encuesta'!$C$2:$C$511,"*a)*",'00 Encuesta'!$E$2:$E$511,"*b)*",'00 Encuesta'!$N$2:$N$511,"*a)*")</f>
        <v>7</v>
      </c>
      <c r="L92" s="52">
        <f t="shared" ref="L92:L99" si="125">K92/$J$7*100</f>
        <v>41.17647058823529</v>
      </c>
      <c r="M92" s="23"/>
      <c r="N92" s="51">
        <f t="shared" ref="N92:N99" si="126">P92+R92</f>
        <v>3</v>
      </c>
      <c r="O92" s="52">
        <f t="shared" ref="O92:O99" si="127">N92/$Q$5*100</f>
        <v>9.375</v>
      </c>
      <c r="P92" s="53">
        <f>COUNTIFS('00 Encuesta'!$B$2:$B$511,"*b)*",'00 Encuesta'!$C$2:$C$511,"*b)*",'00 Encuesta'!$E$2:$E$511,"*a)*",'00 Encuesta'!$N$2:$N$511,"*a)*")</f>
        <v>0</v>
      </c>
      <c r="Q92" s="52">
        <f t="shared" ref="Q92:Q99" si="128">P92/$Q$6*100</f>
        <v>0</v>
      </c>
      <c r="R92" s="53">
        <f>COUNTIFS('00 Encuesta'!$B$2:$B$511,"*b)*",'00 Encuesta'!$C$2:$C$511,"*b)*",'00 Encuesta'!$E$2:$E$511,"*b)*",'00 Encuesta'!$N$2:$N$511,"*a)*")</f>
        <v>3</v>
      </c>
      <c r="S92" s="52">
        <f t="shared" ref="S92:S99" si="129">R92/$Q$7*100</f>
        <v>20</v>
      </c>
      <c r="T92" s="3"/>
      <c r="U92" s="51">
        <f t="shared" ref="U92:U99" si="130">W92+Y92</f>
        <v>0</v>
      </c>
      <c r="V92" s="52" t="e">
        <f t="shared" ref="V92:V99" si="131">U92/$X$5*100</f>
        <v>#DIV/0!</v>
      </c>
      <c r="W92" s="53">
        <f>COUNTIFS('00 Encuesta'!$B$2:$B$511,"*b)*",'00 Encuesta'!$C$2:$C$511,"*d)*",'00 Encuesta'!$E$2:$E$511,"*a)*",'00 Encuesta'!$N$2:$N$511,"*a)*")</f>
        <v>0</v>
      </c>
      <c r="X92" s="52" t="e">
        <f t="shared" ref="X92:X99" si="132">W92/$X$6*100</f>
        <v>#DIV/0!</v>
      </c>
      <c r="Y92" s="53">
        <f>COUNTIFS('00 Encuesta'!$B$2:$B$511,"*b)*",'00 Encuesta'!$C$2:$C$511,"*d)*",'00 Encuesta'!$E$2:$E$511,"*b)*",'00 Encuesta'!$N$2:$N$511,"*a)*")</f>
        <v>0</v>
      </c>
      <c r="Z92" s="52" t="e">
        <f t="shared" ref="Z92:Z99" si="133">Y92/$X$7*100</f>
        <v>#DIV/0!</v>
      </c>
      <c r="AA92" s="3"/>
      <c r="AB92" s="62">
        <f t="shared" ref="AB92:AB99" si="134">G92+N92+U92</f>
        <v>11</v>
      </c>
      <c r="AC92" s="52">
        <f t="shared" ref="AC92:AC99" si="135">AB92*100/$AC$5</f>
        <v>15.714285714285714</v>
      </c>
      <c r="AD92" s="7"/>
      <c r="AE92" s="7"/>
      <c r="AF92" s="9" t="str">
        <f t="shared" ref="AF92:AF100" si="136">A92&amp;" "&amp;B92</f>
        <v>a) Seguridad personal  (la violencia y la delincuencia)</v>
      </c>
      <c r="AG92" s="72">
        <f t="shared" ref="AG92:AG100" si="137">J92</f>
        <v>4.7619047619047619</v>
      </c>
      <c r="AH92" s="72">
        <f t="shared" ref="AH92:AH100" si="138">L92</f>
        <v>41.17647058823529</v>
      </c>
      <c r="AI92" s="73">
        <f t="shared" ref="AI92:AI100" si="139">H92</f>
        <v>21.052631578947366</v>
      </c>
      <c r="AJ92" s="73"/>
      <c r="AK92" s="76">
        <f t="shared" ref="AK92:AK100" si="140">Q92</f>
        <v>0</v>
      </c>
      <c r="AL92" s="76">
        <f t="shared" ref="AL92:AL100" si="141">S92</f>
        <v>20</v>
      </c>
      <c r="AM92" s="76">
        <f t="shared" ref="AM92:AM100" si="142">O92</f>
        <v>9.375</v>
      </c>
      <c r="AN92" s="76"/>
      <c r="AO92" s="81" t="e">
        <f t="shared" ref="AO92:AO100" si="143">X92</f>
        <v>#DIV/0!</v>
      </c>
      <c r="AP92" s="81" t="e">
        <f t="shared" ref="AP92:AP100" si="144">Z92</f>
        <v>#DIV/0!</v>
      </c>
      <c r="AQ92" s="81" t="e">
        <f t="shared" ref="AQ92:AQ100" si="145">V92</f>
        <v>#DIV/0!</v>
      </c>
      <c r="AR92" s="7"/>
      <c r="AS92" s="76">
        <f t="shared" si="121"/>
        <v>15.714285714285714</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ht="15" x14ac:dyDescent="0.25">
      <c r="A93" s="8" t="s">
        <v>18</v>
      </c>
      <c r="B93" s="9" t="s">
        <v>94</v>
      </c>
      <c r="C93" s="7"/>
      <c r="D93" s="7"/>
      <c r="E93" s="7"/>
      <c r="F93" s="71"/>
      <c r="G93" s="51">
        <f t="shared" si="122"/>
        <v>17</v>
      </c>
      <c r="H93" s="52">
        <f t="shared" si="123"/>
        <v>44.736842105263158</v>
      </c>
      <c r="I93" s="53">
        <f>COUNTIFS('00 Encuesta'!$B$2:$B$511,"*b)*",'00 Encuesta'!$C$2:$C$511,"*a)*",'00 Encuesta'!$E$2:$E$511,"*a)*",'00 Encuesta'!$N$2:$N$511,"*b)*")</f>
        <v>12</v>
      </c>
      <c r="J93" s="52">
        <f t="shared" si="124"/>
        <v>57.142857142857139</v>
      </c>
      <c r="K93" s="53">
        <f>COUNTIFS('00 Encuesta'!$B$2:$B$511,"*b)*",'00 Encuesta'!$C$2:$C$511,"*a)*",'00 Encuesta'!$E$2:$E$511,"*b)*",'00 Encuesta'!$N$2:$N$511,"*b)*")</f>
        <v>5</v>
      </c>
      <c r="L93" s="52">
        <f t="shared" si="125"/>
        <v>29.411764705882355</v>
      </c>
      <c r="M93" s="23"/>
      <c r="N93" s="51">
        <f t="shared" si="126"/>
        <v>20</v>
      </c>
      <c r="O93" s="52">
        <f t="shared" si="127"/>
        <v>62.5</v>
      </c>
      <c r="P93" s="53">
        <f>COUNTIFS('00 Encuesta'!$B$2:$B$511,"*b)*",'00 Encuesta'!$C$2:$C$511,"*b)*",'00 Encuesta'!$E$2:$E$511,"*a)*",'00 Encuesta'!$N$2:$N$511,"*b)*")</f>
        <v>13</v>
      </c>
      <c r="Q93" s="52">
        <f t="shared" si="128"/>
        <v>76.470588235294116</v>
      </c>
      <c r="R93" s="53">
        <f>COUNTIFS('00 Encuesta'!$B$2:$B$511,"*b)*",'00 Encuesta'!$C$2:$C$511,"*b)*",'00 Encuesta'!$E$2:$E$511,"*b)*",'00 Encuesta'!$N$2:$N$511,"*b)*")</f>
        <v>7</v>
      </c>
      <c r="S93" s="52">
        <f t="shared" si="129"/>
        <v>46.666666666666664</v>
      </c>
      <c r="T93" s="3"/>
      <c r="U93" s="51">
        <f t="shared" si="130"/>
        <v>0</v>
      </c>
      <c r="V93" s="52" t="e">
        <f t="shared" si="131"/>
        <v>#DIV/0!</v>
      </c>
      <c r="W93" s="53">
        <f>COUNTIFS('00 Encuesta'!$B$2:$B$511,"*b)*",'00 Encuesta'!$C$2:$C$511,"*d)*",'00 Encuesta'!$E$2:$E$511,"*a)*",'00 Encuesta'!$N$2:$N$511,"*b)*")</f>
        <v>0</v>
      </c>
      <c r="X93" s="52" t="e">
        <f t="shared" si="132"/>
        <v>#DIV/0!</v>
      </c>
      <c r="Y93" s="53">
        <f>COUNTIFS('00 Encuesta'!$B$2:$B$511,"*b)*",'00 Encuesta'!$C$2:$C$511,"*d)*",'00 Encuesta'!$E$2:$E$511,"*b)*",'00 Encuesta'!$N$2:$N$511,"*b)*")</f>
        <v>0</v>
      </c>
      <c r="Z93" s="52" t="e">
        <f t="shared" si="133"/>
        <v>#DIV/0!</v>
      </c>
      <c r="AA93" s="3"/>
      <c r="AB93" s="62">
        <f t="shared" si="134"/>
        <v>37</v>
      </c>
      <c r="AC93" s="52">
        <f t="shared" si="135"/>
        <v>52.857142857142854</v>
      </c>
      <c r="AD93" s="7"/>
      <c r="AE93" s="7"/>
      <c r="AF93" s="9" t="str">
        <f t="shared" si="136"/>
        <v>b) El futuro</v>
      </c>
      <c r="AG93" s="72">
        <f t="shared" si="137"/>
        <v>57.142857142857139</v>
      </c>
      <c r="AH93" s="72">
        <f t="shared" si="138"/>
        <v>29.411764705882355</v>
      </c>
      <c r="AI93" s="73">
        <f t="shared" si="139"/>
        <v>44.736842105263158</v>
      </c>
      <c r="AJ93" s="73"/>
      <c r="AK93" s="76">
        <f t="shared" si="140"/>
        <v>76.470588235294116</v>
      </c>
      <c r="AL93" s="76">
        <f t="shared" si="141"/>
        <v>46.666666666666664</v>
      </c>
      <c r="AM93" s="76">
        <f t="shared" si="142"/>
        <v>62.5</v>
      </c>
      <c r="AN93" s="76"/>
      <c r="AO93" s="81" t="e">
        <f t="shared" si="143"/>
        <v>#DIV/0!</v>
      </c>
      <c r="AP93" s="81" t="e">
        <f t="shared" si="144"/>
        <v>#DIV/0!</v>
      </c>
      <c r="AQ93" s="81" t="e">
        <f t="shared" si="145"/>
        <v>#DIV/0!</v>
      </c>
      <c r="AR93" s="7"/>
      <c r="AS93" s="76">
        <f t="shared" si="121"/>
        <v>52.857142857142854</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ht="15" x14ac:dyDescent="0.25">
      <c r="A94" s="8" t="s">
        <v>20</v>
      </c>
      <c r="B94" s="9" t="s">
        <v>95</v>
      </c>
      <c r="C94" s="7"/>
      <c r="D94" s="7"/>
      <c r="E94" s="7"/>
      <c r="F94" s="71"/>
      <c r="G94" s="51">
        <f t="shared" si="122"/>
        <v>1</v>
      </c>
      <c r="H94" s="52">
        <f t="shared" si="123"/>
        <v>2.6315789473684208</v>
      </c>
      <c r="I94" s="53">
        <f>COUNTIFS('00 Encuesta'!$B$2:$B$511,"*b)*",'00 Encuesta'!$C$2:$C$511,"*a)*",'00 Encuesta'!$E$2:$E$511,"*a)*",'00 Encuesta'!$N$2:$N$511,"*c)*")</f>
        <v>1</v>
      </c>
      <c r="J94" s="52">
        <f t="shared" si="124"/>
        <v>4.7619047619047619</v>
      </c>
      <c r="K94" s="53">
        <f>COUNTIFS('00 Encuesta'!$B$2:$B$511,"*b)*",'00 Encuesta'!$C$2:$C$511,"*a)*",'00 Encuesta'!$E$2:$E$511,"*b)*",'00 Encuesta'!$N$2:$N$511,"*c)*")</f>
        <v>0</v>
      </c>
      <c r="L94" s="52">
        <f t="shared" si="125"/>
        <v>0</v>
      </c>
      <c r="M94" s="23"/>
      <c r="N94" s="51">
        <f t="shared" si="126"/>
        <v>0</v>
      </c>
      <c r="O94" s="52">
        <f t="shared" si="127"/>
        <v>0</v>
      </c>
      <c r="P94" s="53">
        <f>COUNTIFS('00 Encuesta'!$B$2:$B$511,"*b)*",'00 Encuesta'!$C$2:$C$511,"*b)*",'00 Encuesta'!$E$2:$E$511,"*a)*",'00 Encuesta'!$N$2:$N$511,"*c)*")</f>
        <v>0</v>
      </c>
      <c r="Q94" s="52">
        <f t="shared" si="128"/>
        <v>0</v>
      </c>
      <c r="R94" s="53">
        <f>COUNTIFS('00 Encuesta'!$B$2:$B$511,"*b)*",'00 Encuesta'!$C$2:$C$511,"*b)*",'00 Encuesta'!$E$2:$E$511,"*b)*",'00 Encuesta'!$N$2:$N$511,"*c)*")</f>
        <v>0</v>
      </c>
      <c r="S94" s="52">
        <f t="shared" si="129"/>
        <v>0</v>
      </c>
      <c r="T94" s="3"/>
      <c r="U94" s="51">
        <f t="shared" si="130"/>
        <v>0</v>
      </c>
      <c r="V94" s="52" t="e">
        <f t="shared" si="131"/>
        <v>#DIV/0!</v>
      </c>
      <c r="W94" s="53">
        <f>COUNTIFS('00 Encuesta'!$B$2:$B$511,"*b)*",'00 Encuesta'!$C$2:$C$511,"*d)*",'00 Encuesta'!$E$2:$E$511,"*a)*",'00 Encuesta'!$N$2:$N$511,"*c)*")</f>
        <v>0</v>
      </c>
      <c r="X94" s="52" t="e">
        <f t="shared" si="132"/>
        <v>#DIV/0!</v>
      </c>
      <c r="Y94" s="53">
        <f>COUNTIFS('00 Encuesta'!$B$2:$B$511,"*b)*",'00 Encuesta'!$C$2:$C$511,"*d)*",'00 Encuesta'!$E$2:$E$511,"*b)*",'00 Encuesta'!$N$2:$N$511,"*c)*")</f>
        <v>0</v>
      </c>
      <c r="Z94" s="52" t="e">
        <f t="shared" si="133"/>
        <v>#DIV/0!</v>
      </c>
      <c r="AA94" s="3"/>
      <c r="AB94" s="62">
        <f t="shared" si="134"/>
        <v>1</v>
      </c>
      <c r="AC94" s="52">
        <f t="shared" si="135"/>
        <v>1.4285714285714286</v>
      </c>
      <c r="AD94" s="7"/>
      <c r="AE94" s="7"/>
      <c r="AF94" s="9" t="str">
        <f t="shared" si="136"/>
        <v>c) Yo mismo</v>
      </c>
      <c r="AG94" s="72">
        <f t="shared" si="137"/>
        <v>4.7619047619047619</v>
      </c>
      <c r="AH94" s="72">
        <f t="shared" si="138"/>
        <v>0</v>
      </c>
      <c r="AI94" s="73">
        <f t="shared" si="139"/>
        <v>2.6315789473684208</v>
      </c>
      <c r="AJ94" s="73"/>
      <c r="AK94" s="76">
        <f t="shared" si="140"/>
        <v>0</v>
      </c>
      <c r="AL94" s="76">
        <f t="shared" si="141"/>
        <v>0</v>
      </c>
      <c r="AM94" s="76">
        <f t="shared" si="142"/>
        <v>0</v>
      </c>
      <c r="AN94" s="76"/>
      <c r="AO94" s="81" t="e">
        <f t="shared" si="143"/>
        <v>#DIV/0!</v>
      </c>
      <c r="AP94" s="81" t="e">
        <f t="shared" si="144"/>
        <v>#DIV/0!</v>
      </c>
      <c r="AQ94" s="81" t="e">
        <f t="shared" si="145"/>
        <v>#DIV/0!</v>
      </c>
      <c r="AR94" s="7"/>
      <c r="AS94" s="76">
        <f t="shared" si="121"/>
        <v>1.4285714285714286</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ht="15" x14ac:dyDescent="0.25">
      <c r="A95" s="8" t="s">
        <v>21</v>
      </c>
      <c r="B95" s="9" t="s">
        <v>96</v>
      </c>
      <c r="C95" s="7"/>
      <c r="D95" s="7"/>
      <c r="E95" s="7"/>
      <c r="F95" s="71"/>
      <c r="G95" s="51">
        <f t="shared" si="122"/>
        <v>2</v>
      </c>
      <c r="H95" s="52">
        <f t="shared" si="123"/>
        <v>5.2631578947368416</v>
      </c>
      <c r="I95" s="53">
        <f>COUNTIFS('00 Encuesta'!$B$2:$B$511,"*b)*",'00 Encuesta'!$C$2:$C$511,"*a)*",'00 Encuesta'!$E$2:$E$511,"*a)*",'00 Encuesta'!$N$2:$N$511,"*d)*")</f>
        <v>0</v>
      </c>
      <c r="J95" s="52">
        <f t="shared" si="124"/>
        <v>0</v>
      </c>
      <c r="K95" s="53">
        <f>COUNTIFS('00 Encuesta'!$B$2:$B$511,"*b)*",'00 Encuesta'!$C$2:$C$511,"*a)*",'00 Encuesta'!$E$2:$E$511,"*b)*",'00 Encuesta'!$N$2:$N$511,"*d)*")</f>
        <v>2</v>
      </c>
      <c r="L95" s="52">
        <f t="shared" si="125"/>
        <v>11.76470588235294</v>
      </c>
      <c r="M95" s="23"/>
      <c r="N95" s="51">
        <f t="shared" si="126"/>
        <v>1</v>
      </c>
      <c r="O95" s="52">
        <f t="shared" si="127"/>
        <v>3.125</v>
      </c>
      <c r="P95" s="53">
        <f>COUNTIFS('00 Encuesta'!$B$2:$B$511,"*b)*",'00 Encuesta'!$C$2:$C$511,"*b)*",'00 Encuesta'!$E$2:$E$511,"*a)*",'00 Encuesta'!$N$2:$N$511,"*d)*")</f>
        <v>0</v>
      </c>
      <c r="Q95" s="52">
        <f t="shared" si="128"/>
        <v>0</v>
      </c>
      <c r="R95" s="53">
        <f>COUNTIFS('00 Encuesta'!$B$2:$B$511,"*b)*",'00 Encuesta'!$C$2:$C$511,"*b)*",'00 Encuesta'!$E$2:$E$511,"*b)*",'00 Encuesta'!$N$2:$N$511,"*d)*")</f>
        <v>1</v>
      </c>
      <c r="S95" s="52">
        <f t="shared" si="129"/>
        <v>6.666666666666667</v>
      </c>
      <c r="T95" s="3"/>
      <c r="U95" s="51">
        <f t="shared" si="130"/>
        <v>0</v>
      </c>
      <c r="V95" s="52" t="e">
        <f t="shared" si="131"/>
        <v>#DIV/0!</v>
      </c>
      <c r="W95" s="53">
        <f>COUNTIFS('00 Encuesta'!$B$2:$B$511,"*b)*",'00 Encuesta'!$C$2:$C$511,"*d)*",'00 Encuesta'!$E$2:$E$511,"*a)*",'00 Encuesta'!$N$2:$N$511,"*d)*")</f>
        <v>0</v>
      </c>
      <c r="X95" s="52" t="e">
        <f t="shared" si="132"/>
        <v>#DIV/0!</v>
      </c>
      <c r="Y95" s="53">
        <f>COUNTIFS('00 Encuesta'!$B$2:$B$511,"*b)*",'00 Encuesta'!$C$2:$C$511,"*d)*",'00 Encuesta'!$E$2:$E$511,"*b)*",'00 Encuesta'!$N$2:$N$511,"*d)*")</f>
        <v>0</v>
      </c>
      <c r="Z95" s="52" t="e">
        <f t="shared" si="133"/>
        <v>#DIV/0!</v>
      </c>
      <c r="AA95" s="3"/>
      <c r="AB95" s="62">
        <f t="shared" si="134"/>
        <v>3</v>
      </c>
      <c r="AC95" s="52">
        <f t="shared" si="135"/>
        <v>4.2857142857142856</v>
      </c>
      <c r="AD95" s="7"/>
      <c r="AE95" s="7"/>
      <c r="AF95" s="9" t="str">
        <f t="shared" si="136"/>
        <v>d) Los problemas familiares</v>
      </c>
      <c r="AG95" s="72">
        <f t="shared" si="137"/>
        <v>0</v>
      </c>
      <c r="AH95" s="72">
        <f t="shared" si="138"/>
        <v>11.76470588235294</v>
      </c>
      <c r="AI95" s="73">
        <f t="shared" si="139"/>
        <v>5.2631578947368416</v>
      </c>
      <c r="AJ95" s="73"/>
      <c r="AK95" s="76">
        <f t="shared" si="140"/>
        <v>0</v>
      </c>
      <c r="AL95" s="76">
        <f t="shared" si="141"/>
        <v>6.666666666666667</v>
      </c>
      <c r="AM95" s="76">
        <f t="shared" si="142"/>
        <v>3.125</v>
      </c>
      <c r="AN95" s="76"/>
      <c r="AO95" s="81" t="e">
        <f t="shared" si="143"/>
        <v>#DIV/0!</v>
      </c>
      <c r="AP95" s="81" t="e">
        <f t="shared" si="144"/>
        <v>#DIV/0!</v>
      </c>
      <c r="AQ95" s="81" t="e">
        <f t="shared" si="145"/>
        <v>#DIV/0!</v>
      </c>
      <c r="AR95" s="7"/>
      <c r="AS95" s="76">
        <f t="shared" si="121"/>
        <v>4.2857142857142856</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1</v>
      </c>
      <c r="H96" s="52">
        <f t="shared" si="123"/>
        <v>2.6315789473684208</v>
      </c>
      <c r="I96" s="53">
        <f>COUNTIFS('00 Encuesta'!$B$2:$B$511,"*b)*",'00 Encuesta'!$C$2:$C$511,"*a)*",'00 Encuesta'!$E$2:$E$511,"*a)*",'00 Encuesta'!$N$2:$N$511,"*e)*")</f>
        <v>1</v>
      </c>
      <c r="J96" s="52">
        <f t="shared" si="124"/>
        <v>4.7619047619047619</v>
      </c>
      <c r="K96" s="53">
        <f>COUNTIFS('00 Encuesta'!$B$2:$B$511,"*b)*",'00 Encuesta'!$C$2:$C$511,"*a)*",'00 Encuesta'!$E$2:$E$511,"*b)*",'00 Encuesta'!$N$2:$N$511,"*e)*")</f>
        <v>0</v>
      </c>
      <c r="L96" s="52">
        <f t="shared" si="125"/>
        <v>0</v>
      </c>
      <c r="M96" s="23"/>
      <c r="N96" s="51">
        <f t="shared" si="126"/>
        <v>1</v>
      </c>
      <c r="O96" s="52">
        <f t="shared" si="127"/>
        <v>3.125</v>
      </c>
      <c r="P96" s="53">
        <f>COUNTIFS('00 Encuesta'!$B$2:$B$511,"*b)*",'00 Encuesta'!$C$2:$C$511,"*b)*",'00 Encuesta'!$E$2:$E$511,"*a)*",'00 Encuesta'!$N$2:$N$511,"*e)*")</f>
        <v>1</v>
      </c>
      <c r="Q96" s="52">
        <f t="shared" si="128"/>
        <v>5.8823529411764701</v>
      </c>
      <c r="R96" s="53">
        <f>COUNTIFS('00 Encuesta'!$B$2:$B$511,"*b)*",'00 Encuesta'!$C$2:$C$511,"*b)*",'00 Encuesta'!$E$2:$E$511,"*b)*",'00 Encuesta'!$N$2:$N$511,"*e)*")</f>
        <v>0</v>
      </c>
      <c r="S96" s="52">
        <f t="shared" si="129"/>
        <v>0</v>
      </c>
      <c r="T96" s="3"/>
      <c r="U96" s="51">
        <f t="shared" si="130"/>
        <v>0</v>
      </c>
      <c r="V96" s="52" t="e">
        <f t="shared" si="131"/>
        <v>#DIV/0!</v>
      </c>
      <c r="W96" s="53">
        <f>COUNTIFS('00 Encuesta'!$B$2:$B$511,"*b)*",'00 Encuesta'!$C$2:$C$511,"*d)*",'00 Encuesta'!$E$2:$E$511,"*a)*",'00 Encuesta'!$N$2:$N$511,"*e)*")</f>
        <v>0</v>
      </c>
      <c r="X96" s="52" t="e">
        <f t="shared" si="132"/>
        <v>#DIV/0!</v>
      </c>
      <c r="Y96" s="53">
        <f>COUNTIFS('00 Encuesta'!$B$2:$B$511,"*b)*",'00 Encuesta'!$C$2:$C$511,"*d)*",'00 Encuesta'!$E$2:$E$511,"*b)*",'00 Encuesta'!$N$2:$N$511,"*e)*")</f>
        <v>0</v>
      </c>
      <c r="Z96" s="52" t="e">
        <f t="shared" si="133"/>
        <v>#DIV/0!</v>
      </c>
      <c r="AA96" s="3"/>
      <c r="AB96" s="62">
        <f t="shared" si="134"/>
        <v>2</v>
      </c>
      <c r="AC96" s="52">
        <f t="shared" si="135"/>
        <v>2.8571428571428572</v>
      </c>
      <c r="AD96" s="7"/>
      <c r="AE96" s="7"/>
      <c r="AF96" s="9" t="str">
        <f t="shared" si="136"/>
        <v>e) La situación económica</v>
      </c>
      <c r="AG96" s="72">
        <f t="shared" si="137"/>
        <v>4.7619047619047619</v>
      </c>
      <c r="AH96" s="72">
        <f t="shared" si="138"/>
        <v>0</v>
      </c>
      <c r="AI96" s="73">
        <f t="shared" si="139"/>
        <v>2.6315789473684208</v>
      </c>
      <c r="AJ96" s="73"/>
      <c r="AK96" s="76">
        <f t="shared" si="140"/>
        <v>5.8823529411764701</v>
      </c>
      <c r="AL96" s="76">
        <f t="shared" si="141"/>
        <v>0</v>
      </c>
      <c r="AM96" s="76">
        <f t="shared" si="142"/>
        <v>3.125</v>
      </c>
      <c r="AN96" s="76"/>
      <c r="AO96" s="81" t="e">
        <f t="shared" si="143"/>
        <v>#DIV/0!</v>
      </c>
      <c r="AP96" s="81" t="e">
        <f t="shared" si="144"/>
        <v>#DIV/0!</v>
      </c>
      <c r="AQ96" s="81" t="e">
        <f t="shared" si="145"/>
        <v>#DIV/0!</v>
      </c>
      <c r="AR96" s="7"/>
      <c r="AS96" s="76">
        <f t="shared" si="121"/>
        <v>2.8571428571428572</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6</v>
      </c>
      <c r="H97" s="52">
        <f t="shared" si="123"/>
        <v>15.789473684210526</v>
      </c>
      <c r="I97" s="53">
        <f>COUNTIFS('00 Encuesta'!$B$2:$B$511,"*b)*",'00 Encuesta'!$C$2:$C$511,"*a)*",'00 Encuesta'!$E$2:$E$511,"*a)*",'00 Encuesta'!$N$2:$N$511,"*f)*")</f>
        <v>4</v>
      </c>
      <c r="J97" s="52">
        <f t="shared" si="124"/>
        <v>19.047619047619047</v>
      </c>
      <c r="K97" s="53">
        <f>COUNTIFS('00 Encuesta'!$B$2:$B$511,"*b)*",'00 Encuesta'!$C$2:$C$511,"*a)*",'00 Encuesta'!$E$2:$E$511,"*b)*",'00 Encuesta'!$N$2:$N$511,"*f)*")</f>
        <v>2</v>
      </c>
      <c r="L97" s="52">
        <f t="shared" si="125"/>
        <v>11.76470588235294</v>
      </c>
      <c r="M97" s="23"/>
      <c r="N97" s="51">
        <f t="shared" si="126"/>
        <v>3</v>
      </c>
      <c r="O97" s="52">
        <f t="shared" si="127"/>
        <v>9.375</v>
      </c>
      <c r="P97" s="53">
        <f>COUNTIFS('00 Encuesta'!$B$2:$B$511,"*b)*",'00 Encuesta'!$C$2:$C$511,"*b)*",'00 Encuesta'!$E$2:$E$511,"*a)*",'00 Encuesta'!$N$2:$N$511,"*f)*")</f>
        <v>0</v>
      </c>
      <c r="Q97" s="52">
        <f t="shared" si="128"/>
        <v>0</v>
      </c>
      <c r="R97" s="53">
        <f>COUNTIFS('00 Encuesta'!$B$2:$B$511,"*b)*",'00 Encuesta'!$C$2:$C$511,"*b)*",'00 Encuesta'!$E$2:$E$511,"*b)*",'00 Encuesta'!$N$2:$N$511,"*f)*")</f>
        <v>3</v>
      </c>
      <c r="S97" s="52">
        <f t="shared" si="129"/>
        <v>20</v>
      </c>
      <c r="T97" s="3"/>
      <c r="U97" s="51">
        <f t="shared" si="130"/>
        <v>0</v>
      </c>
      <c r="V97" s="52" t="e">
        <f t="shared" si="131"/>
        <v>#DIV/0!</v>
      </c>
      <c r="W97" s="53">
        <f>COUNTIFS('00 Encuesta'!$B$2:$B$511,"*b)*",'00 Encuesta'!$C$2:$C$511,"*d)*",'00 Encuesta'!$E$2:$E$511,"*a)*",'00 Encuesta'!$N$2:$N$511,"*f)*")</f>
        <v>0</v>
      </c>
      <c r="X97" s="52" t="e">
        <f t="shared" si="132"/>
        <v>#DIV/0!</v>
      </c>
      <c r="Y97" s="53">
        <f>COUNTIFS('00 Encuesta'!$B$2:$B$511,"*b)*",'00 Encuesta'!$C$2:$C$511,"*d)*",'00 Encuesta'!$E$2:$E$511,"*b)*",'00 Encuesta'!$N$2:$N$511,"*f)*")</f>
        <v>0</v>
      </c>
      <c r="Z97" s="52" t="e">
        <f t="shared" si="133"/>
        <v>#DIV/0!</v>
      </c>
      <c r="AA97" s="3"/>
      <c r="AB97" s="62">
        <f t="shared" si="134"/>
        <v>9</v>
      </c>
      <c r="AC97" s="52">
        <f t="shared" si="135"/>
        <v>12.857142857142858</v>
      </c>
      <c r="AD97" s="7"/>
      <c r="AE97" s="7"/>
      <c r="AF97" s="9" t="str">
        <f t="shared" si="136"/>
        <v>f) La situación política del país</v>
      </c>
      <c r="AG97" s="72">
        <f t="shared" si="137"/>
        <v>19.047619047619047</v>
      </c>
      <c r="AH97" s="72">
        <f t="shared" si="138"/>
        <v>11.76470588235294</v>
      </c>
      <c r="AI97" s="73">
        <f t="shared" si="139"/>
        <v>15.789473684210526</v>
      </c>
      <c r="AJ97" s="73"/>
      <c r="AK97" s="76">
        <f t="shared" si="140"/>
        <v>0</v>
      </c>
      <c r="AL97" s="76">
        <f t="shared" si="141"/>
        <v>20</v>
      </c>
      <c r="AM97" s="76">
        <f t="shared" si="142"/>
        <v>9.375</v>
      </c>
      <c r="AN97" s="76"/>
      <c r="AO97" s="81" t="e">
        <f t="shared" si="143"/>
        <v>#DIV/0!</v>
      </c>
      <c r="AP97" s="81" t="e">
        <f t="shared" si="144"/>
        <v>#DIV/0!</v>
      </c>
      <c r="AQ97" s="81" t="e">
        <f t="shared" si="145"/>
        <v>#DIV/0!</v>
      </c>
      <c r="AR97" s="7"/>
      <c r="AS97" s="76">
        <f t="shared" si="121"/>
        <v>12.857142857142858</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ht="15" x14ac:dyDescent="0.25">
      <c r="A98" s="8" t="s">
        <v>61</v>
      </c>
      <c r="B98" s="9" t="s">
        <v>99</v>
      </c>
      <c r="C98" s="7"/>
      <c r="D98" s="7"/>
      <c r="E98" s="7"/>
      <c r="F98" s="71"/>
      <c r="G98" s="51">
        <f t="shared" si="122"/>
        <v>2</v>
      </c>
      <c r="H98" s="52">
        <f t="shared" si="123"/>
        <v>5.2631578947368416</v>
      </c>
      <c r="I98" s="53">
        <f>COUNTIFS('00 Encuesta'!$B$2:$B$511,"*b)*",'00 Encuesta'!$C$2:$C$511,"*a)*",'00 Encuesta'!$E$2:$E$511,"*a)*",'00 Encuesta'!$N$2:$N$511,"*g)*")</f>
        <v>2</v>
      </c>
      <c r="J98" s="52">
        <f t="shared" si="124"/>
        <v>9.5238095238095237</v>
      </c>
      <c r="K98" s="53">
        <f>COUNTIFS('00 Encuesta'!$B$2:$B$511,"*b)*",'00 Encuesta'!$C$2:$C$511,"*a)*",'00 Encuesta'!$E$2:$E$511,"*b)*",'00 Encuesta'!$N$2:$N$511,"*g)*")</f>
        <v>0</v>
      </c>
      <c r="L98" s="52">
        <f t="shared" si="125"/>
        <v>0</v>
      </c>
      <c r="M98" s="23"/>
      <c r="N98" s="51">
        <f t="shared" si="126"/>
        <v>1</v>
      </c>
      <c r="O98" s="52">
        <f t="shared" si="127"/>
        <v>3.125</v>
      </c>
      <c r="P98" s="53">
        <f>COUNTIFS('00 Encuesta'!$B$2:$B$511,"*b)*",'00 Encuesta'!$C$2:$C$511,"*b)*",'00 Encuesta'!$E$2:$E$511,"*a)*",'00 Encuesta'!$N$2:$N$511,"*g)*")</f>
        <v>0</v>
      </c>
      <c r="Q98" s="52">
        <f t="shared" si="128"/>
        <v>0</v>
      </c>
      <c r="R98" s="53">
        <f>COUNTIFS('00 Encuesta'!$B$2:$B$511,"*b)*",'00 Encuesta'!$C$2:$C$511,"*b)*",'00 Encuesta'!$E$2:$E$511,"*b)*",'00 Encuesta'!$N$2:$N$511,"*g)*")</f>
        <v>1</v>
      </c>
      <c r="S98" s="52">
        <f t="shared" si="129"/>
        <v>6.666666666666667</v>
      </c>
      <c r="T98" s="3"/>
      <c r="U98" s="51">
        <f t="shared" si="130"/>
        <v>0</v>
      </c>
      <c r="V98" s="52" t="e">
        <f t="shared" si="131"/>
        <v>#DIV/0!</v>
      </c>
      <c r="W98" s="53">
        <f>COUNTIFS('00 Encuesta'!$B$2:$B$511,"*b)*",'00 Encuesta'!$C$2:$C$511,"*d)*",'00 Encuesta'!$E$2:$E$511,"*a)*",'00 Encuesta'!$N$2:$N$511,"*g)*")</f>
        <v>0</v>
      </c>
      <c r="X98" s="52" t="e">
        <f t="shared" si="132"/>
        <v>#DIV/0!</v>
      </c>
      <c r="Y98" s="53">
        <f>COUNTIFS('00 Encuesta'!$B$2:$B$511,"*b)*",'00 Encuesta'!$C$2:$C$511,"*d)*",'00 Encuesta'!$E$2:$E$511,"*b)*",'00 Encuesta'!$N$2:$N$511,"*g)*")</f>
        <v>0</v>
      </c>
      <c r="Z98" s="52" t="e">
        <f t="shared" si="133"/>
        <v>#DIV/0!</v>
      </c>
      <c r="AA98" s="3"/>
      <c r="AB98" s="62">
        <f t="shared" si="134"/>
        <v>3</v>
      </c>
      <c r="AC98" s="52">
        <f t="shared" si="135"/>
        <v>4.2857142857142856</v>
      </c>
      <c r="AD98" s="7"/>
      <c r="AE98" s="7"/>
      <c r="AF98" s="9" t="str">
        <f t="shared" si="136"/>
        <v>g) Mis estudios</v>
      </c>
      <c r="AG98" s="72">
        <f t="shared" si="137"/>
        <v>9.5238095238095237</v>
      </c>
      <c r="AH98" s="72">
        <f t="shared" si="138"/>
        <v>0</v>
      </c>
      <c r="AI98" s="73">
        <f t="shared" si="139"/>
        <v>5.2631578947368416</v>
      </c>
      <c r="AJ98" s="73"/>
      <c r="AK98" s="76">
        <f t="shared" si="140"/>
        <v>0</v>
      </c>
      <c r="AL98" s="76">
        <f t="shared" si="141"/>
        <v>6.666666666666667</v>
      </c>
      <c r="AM98" s="76">
        <f t="shared" si="142"/>
        <v>3.125</v>
      </c>
      <c r="AN98" s="76"/>
      <c r="AO98" s="81" t="e">
        <f t="shared" si="143"/>
        <v>#DIV/0!</v>
      </c>
      <c r="AP98" s="81" t="e">
        <f t="shared" si="144"/>
        <v>#DIV/0!</v>
      </c>
      <c r="AQ98" s="81" t="e">
        <f t="shared" si="145"/>
        <v>#DIV/0!</v>
      </c>
      <c r="AR98" s="7"/>
      <c r="AS98" s="76">
        <f t="shared" si="121"/>
        <v>4.2857142857142856</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ht="15" x14ac:dyDescent="0.25">
      <c r="A99" s="8" t="s">
        <v>63</v>
      </c>
      <c r="B99" s="9" t="s">
        <v>81</v>
      </c>
      <c r="C99" s="7"/>
      <c r="D99" s="7"/>
      <c r="E99" s="7"/>
      <c r="F99" s="71"/>
      <c r="G99" s="51">
        <f t="shared" si="122"/>
        <v>0</v>
      </c>
      <c r="H99" s="52">
        <f t="shared" si="123"/>
        <v>0</v>
      </c>
      <c r="I99" s="53">
        <f>COUNTIFS('00 Encuesta'!$B$2:$B$511,"*b)*",'00 Encuesta'!$C$2:$C$511,"*a)*",'00 Encuesta'!$E$2:$E$511,"*a)*",'00 Encuesta'!$N$2:$N$511,"*h)*")</f>
        <v>0</v>
      </c>
      <c r="J99" s="52">
        <f t="shared" si="124"/>
        <v>0</v>
      </c>
      <c r="K99" s="53">
        <f>COUNTIFS('00 Encuesta'!$B$2:$B$511,"*b)*",'00 Encuesta'!$C$2:$C$511,"*a)*",'00 Encuesta'!$E$2:$E$511,"*b)*",'00 Encuesta'!$N$2:$N$511,"*h)*")</f>
        <v>0</v>
      </c>
      <c r="L99" s="52">
        <f t="shared" si="125"/>
        <v>0</v>
      </c>
      <c r="M99" s="23"/>
      <c r="N99" s="51">
        <f t="shared" si="126"/>
        <v>2</v>
      </c>
      <c r="O99" s="52">
        <f t="shared" si="127"/>
        <v>6.25</v>
      </c>
      <c r="P99" s="53">
        <f>COUNTIFS('00 Encuesta'!$B$2:$B$511,"*b)*",'00 Encuesta'!$C$2:$C$511,"*b)*",'00 Encuesta'!$E$2:$E$511,"*a)*",'00 Encuesta'!$N$2:$N$511,"*h)*")</f>
        <v>2</v>
      </c>
      <c r="Q99" s="52">
        <f t="shared" si="128"/>
        <v>11.76470588235294</v>
      </c>
      <c r="R99" s="53">
        <f>COUNTIFS('00 Encuesta'!$B$2:$B$511,"*b)*",'00 Encuesta'!$C$2:$C$511,"*b)*",'00 Encuesta'!$E$2:$E$511,"*b)*",'00 Encuesta'!$N$2:$N$511,"*h)*")</f>
        <v>0</v>
      </c>
      <c r="S99" s="52">
        <f t="shared" si="129"/>
        <v>0</v>
      </c>
      <c r="T99" s="3"/>
      <c r="U99" s="51">
        <f t="shared" si="130"/>
        <v>0</v>
      </c>
      <c r="V99" s="52" t="e">
        <f t="shared" si="131"/>
        <v>#DIV/0!</v>
      </c>
      <c r="W99" s="53">
        <f>COUNTIFS('00 Encuesta'!$B$2:$B$511,"*b)*",'00 Encuesta'!$C$2:$C$511,"*d)*",'00 Encuesta'!$E$2:$E$511,"*a)*",'00 Encuesta'!$N$2:$N$511,"*h)*")</f>
        <v>0</v>
      </c>
      <c r="X99" s="52" t="e">
        <f t="shared" si="132"/>
        <v>#DIV/0!</v>
      </c>
      <c r="Y99" s="53">
        <f>COUNTIFS('00 Encuesta'!$B$2:$B$511,"*b)*",'00 Encuesta'!$C$2:$C$511,"*d)*",'00 Encuesta'!$E$2:$E$511,"*b)*",'00 Encuesta'!$N$2:$N$511,"*h)*")</f>
        <v>0</v>
      </c>
      <c r="Z99" s="52" t="e">
        <f t="shared" si="133"/>
        <v>#DIV/0!</v>
      </c>
      <c r="AA99" s="3"/>
      <c r="AB99" s="62">
        <f t="shared" si="134"/>
        <v>2</v>
      </c>
      <c r="AC99" s="52">
        <f t="shared" si="135"/>
        <v>2.8571428571428572</v>
      </c>
      <c r="AD99" s="7"/>
      <c r="AE99" s="7"/>
      <c r="AF99" s="9" t="str">
        <f t="shared" si="136"/>
        <v>h) Los amigos</v>
      </c>
      <c r="AG99" s="72">
        <f t="shared" si="137"/>
        <v>0</v>
      </c>
      <c r="AH99" s="72">
        <f t="shared" si="138"/>
        <v>0</v>
      </c>
      <c r="AI99" s="73">
        <f t="shared" si="139"/>
        <v>0</v>
      </c>
      <c r="AJ99" s="73"/>
      <c r="AK99" s="76">
        <f t="shared" si="140"/>
        <v>11.76470588235294</v>
      </c>
      <c r="AL99" s="76">
        <f t="shared" si="141"/>
        <v>0</v>
      </c>
      <c r="AM99" s="76">
        <f t="shared" si="142"/>
        <v>6.25</v>
      </c>
      <c r="AN99" s="76"/>
      <c r="AO99" s="81" t="e">
        <f t="shared" si="143"/>
        <v>#DIV/0!</v>
      </c>
      <c r="AP99" s="81" t="e">
        <f t="shared" si="144"/>
        <v>#DIV/0!</v>
      </c>
      <c r="AQ99" s="81" t="e">
        <f t="shared" si="145"/>
        <v>#DIV/0!</v>
      </c>
      <c r="AR99" s="7"/>
      <c r="AS99" s="76">
        <f t="shared" si="121"/>
        <v>2.8571428571428572</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ht="15" x14ac:dyDescent="0.25">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ht="15" x14ac:dyDescent="0.25">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ht="15" x14ac:dyDescent="0.25">
      <c r="A103" s="8" t="s">
        <v>17</v>
      </c>
      <c r="B103" s="9" t="s">
        <v>102</v>
      </c>
      <c r="C103" s="7"/>
      <c r="D103" s="7"/>
      <c r="E103" s="7"/>
      <c r="F103" s="71">
        <v>100</v>
      </c>
      <c r="G103" s="51">
        <f>I103+K103</f>
        <v>16</v>
      </c>
      <c r="H103" s="52">
        <f>G103/$J$5*100</f>
        <v>42.105263157894733</v>
      </c>
      <c r="I103" s="53">
        <f>COUNTIFS('00 Encuesta'!$B$2:$B$511,"*b)*",'00 Encuesta'!$C$2:$C$511,"*a)*",'00 Encuesta'!$E$2:$E$511,"*a)*",'00 Encuesta'!$O$2:$O$511,"*a)*")</f>
        <v>9</v>
      </c>
      <c r="J103" s="52">
        <f>I103/$J$6*100</f>
        <v>42.857142857142854</v>
      </c>
      <c r="K103" s="53">
        <f>COUNTIFS('00 Encuesta'!$B$2:$B$511,"*b)*",'00 Encuesta'!$C$2:$C$511,"*a)*",'00 Encuesta'!$E$2:$E$511,"*b)*",'00 Encuesta'!$O$2:$O$511,"*a)*")</f>
        <v>7</v>
      </c>
      <c r="L103" s="52">
        <f>K103/$J$7*100</f>
        <v>41.17647058823529</v>
      </c>
      <c r="M103" s="23"/>
      <c r="N103" s="51">
        <f>P103+R103</f>
        <v>14</v>
      </c>
      <c r="O103" s="52">
        <f>N103/$Q$5*100</f>
        <v>43.75</v>
      </c>
      <c r="P103" s="53">
        <f>COUNTIFS('00 Encuesta'!$B$2:$B$511,"*b)*",'00 Encuesta'!$C$2:$C$511,"*b)*",'00 Encuesta'!$E$2:$E$511,"*a)*",'00 Encuesta'!$O$2:$O$511,"*a)*")</f>
        <v>3</v>
      </c>
      <c r="Q103" s="52">
        <f>P103/$Q$6*100</f>
        <v>17.647058823529413</v>
      </c>
      <c r="R103" s="53">
        <f>COUNTIFS('00 Encuesta'!$B$2:$B$511,"*b)*",'00 Encuesta'!$C$2:$C$511,"*b)*",'00 Encuesta'!$E$2:$E$511,"*b)*",'00 Encuesta'!$O$2:$O$511,"*a)*")</f>
        <v>11</v>
      </c>
      <c r="S103" s="52">
        <f>R103/$Q$7*100</f>
        <v>73.333333333333329</v>
      </c>
      <c r="T103" s="3"/>
      <c r="U103" s="51">
        <f>W103+Y103</f>
        <v>0</v>
      </c>
      <c r="V103" s="52" t="e">
        <f>U103/$X$5*100</f>
        <v>#DIV/0!</v>
      </c>
      <c r="W103" s="53">
        <f>COUNTIFS('00 Encuesta'!$B$2:$B$511,"*b)*",'00 Encuesta'!$C$2:$C$511,"*d)*",'00 Encuesta'!$E$2:$E$511,"*a)*",'00 Encuesta'!$O$2:$O$511,"*a)*")</f>
        <v>0</v>
      </c>
      <c r="X103" s="52" t="e">
        <f>W103/$X$6*100</f>
        <v>#DIV/0!</v>
      </c>
      <c r="Y103" s="53">
        <f>COUNTIFS('00 Encuesta'!$B$2:$B$511,"*b)*",'00 Encuesta'!$C$2:$C$511,"*d)*",'00 Encuesta'!$E$2:$E$511,"*b)*",'00 Encuesta'!$O$2:$O$511,"*a)*")</f>
        <v>0</v>
      </c>
      <c r="Z103" s="52" t="e">
        <f>Y103/$X$7*100</f>
        <v>#DIV/0!</v>
      </c>
      <c r="AA103" s="3"/>
      <c r="AB103" s="62">
        <f>G103+N103+U103</f>
        <v>30</v>
      </c>
      <c r="AC103" s="52">
        <f>AB103*100/$AC$5</f>
        <v>42.857142857142854</v>
      </c>
      <c r="AD103" s="7"/>
      <c r="AE103" s="7"/>
      <c r="AF103" s="9" t="str">
        <f t="shared" si="146"/>
        <v>a) Mucho</v>
      </c>
      <c r="AG103" s="72">
        <f>J103</f>
        <v>42.857142857142854</v>
      </c>
      <c r="AH103" s="72">
        <f>L103</f>
        <v>41.17647058823529</v>
      </c>
      <c r="AI103" s="73">
        <f>H103</f>
        <v>42.105263157894733</v>
      </c>
      <c r="AJ103" s="73"/>
      <c r="AK103" s="76">
        <f>Q103</f>
        <v>17.647058823529413</v>
      </c>
      <c r="AL103" s="76">
        <f>S103</f>
        <v>73.333333333333329</v>
      </c>
      <c r="AM103" s="76">
        <f>O103</f>
        <v>43.75</v>
      </c>
      <c r="AN103" s="76"/>
      <c r="AO103" s="81" t="e">
        <f>X103</f>
        <v>#DIV/0!</v>
      </c>
      <c r="AP103" s="81" t="e">
        <f>Z103</f>
        <v>#DIV/0!</v>
      </c>
      <c r="AQ103" s="81" t="e">
        <f>V103</f>
        <v>#DIV/0!</v>
      </c>
      <c r="AR103" s="7"/>
      <c r="AS103" s="76">
        <f t="shared" si="121"/>
        <v>42.857142857142854</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ht="15" x14ac:dyDescent="0.25">
      <c r="A104" s="8" t="s">
        <v>18</v>
      </c>
      <c r="B104" s="9" t="s">
        <v>103</v>
      </c>
      <c r="C104" s="7"/>
      <c r="D104" s="7"/>
      <c r="E104" s="7"/>
      <c r="F104" s="71">
        <v>66.66</v>
      </c>
      <c r="G104" s="51">
        <f>I104+K104</f>
        <v>12</v>
      </c>
      <c r="H104" s="52">
        <f>G104/$J$5*100</f>
        <v>31.578947368421051</v>
      </c>
      <c r="I104" s="53">
        <f>COUNTIFS('00 Encuesta'!$B$2:$B$511,"*b)*",'00 Encuesta'!$C$2:$C$511,"*a)*",'00 Encuesta'!$E$2:$E$511,"*a)*",'00 Encuesta'!$O$2:$O$511,"*b)*")</f>
        <v>9</v>
      </c>
      <c r="J104" s="52">
        <f>I104/$J$6*100</f>
        <v>42.857142857142854</v>
      </c>
      <c r="K104" s="53">
        <f>COUNTIFS('00 Encuesta'!$B$2:$B$511,"*b)*",'00 Encuesta'!$C$2:$C$511,"*a)*",'00 Encuesta'!$E$2:$E$511,"*b)*",'00 Encuesta'!$O$2:$O$511,"*b)*")</f>
        <v>3</v>
      </c>
      <c r="L104" s="52">
        <f>K104/$J$7*100</f>
        <v>17.647058823529413</v>
      </c>
      <c r="M104" s="23"/>
      <c r="N104" s="51">
        <f>P104+R104</f>
        <v>15</v>
      </c>
      <c r="O104" s="52">
        <f>N104/$Q$5*100</f>
        <v>46.875</v>
      </c>
      <c r="P104" s="53">
        <f>COUNTIFS('00 Encuesta'!$B$2:$B$511,"*b)*",'00 Encuesta'!$C$2:$C$511,"*b)*",'00 Encuesta'!$E$2:$E$511,"*a)*",'00 Encuesta'!$O$2:$O$511,"*b)*")</f>
        <v>12</v>
      </c>
      <c r="Q104" s="52">
        <f>P104/$Q$6*100</f>
        <v>70.588235294117652</v>
      </c>
      <c r="R104" s="53">
        <f>COUNTIFS('00 Encuesta'!$B$2:$B$511,"*b)*",'00 Encuesta'!$C$2:$C$511,"*b)*",'00 Encuesta'!$E$2:$E$511,"*b)*",'00 Encuesta'!$O$2:$O$511,"*b)*")</f>
        <v>3</v>
      </c>
      <c r="S104" s="52">
        <f>R104/$Q$7*100</f>
        <v>20</v>
      </c>
      <c r="T104" s="3"/>
      <c r="U104" s="51">
        <f>W104+Y104</f>
        <v>0</v>
      </c>
      <c r="V104" s="52" t="e">
        <f>U104/$X$5*100</f>
        <v>#DIV/0!</v>
      </c>
      <c r="W104" s="53">
        <f>COUNTIFS('00 Encuesta'!$B$2:$B$511,"*b)*",'00 Encuesta'!$C$2:$C$511,"*d)*",'00 Encuesta'!$E$2:$E$511,"*a)*",'00 Encuesta'!$O$2:$O$511,"*b)*")</f>
        <v>0</v>
      </c>
      <c r="X104" s="52" t="e">
        <f>W104/$X$6*100</f>
        <v>#DIV/0!</v>
      </c>
      <c r="Y104" s="53">
        <f>COUNTIFS('00 Encuesta'!$B$2:$B$511,"*b)*",'00 Encuesta'!$C$2:$C$511,"*d)*",'00 Encuesta'!$E$2:$E$511,"*b)*",'00 Encuesta'!$O$2:$O$511,"*b)*")</f>
        <v>0</v>
      </c>
      <c r="Z104" s="52" t="e">
        <f>Y104/$X$7*100</f>
        <v>#DIV/0!</v>
      </c>
      <c r="AA104" s="3"/>
      <c r="AB104" s="62">
        <f>G104+N104+U104</f>
        <v>27</v>
      </c>
      <c r="AC104" s="52">
        <f>AB104*100/$AC$5</f>
        <v>38.571428571428569</v>
      </c>
      <c r="AD104" s="7"/>
      <c r="AE104" s="7"/>
      <c r="AF104" s="9" t="str">
        <f t="shared" si="146"/>
        <v>b) Suficiente</v>
      </c>
      <c r="AG104" s="72">
        <f>J104</f>
        <v>42.857142857142854</v>
      </c>
      <c r="AH104" s="72">
        <f>L104</f>
        <v>17.647058823529413</v>
      </c>
      <c r="AI104" s="73">
        <f>H104</f>
        <v>31.578947368421051</v>
      </c>
      <c r="AJ104" s="73"/>
      <c r="AK104" s="76">
        <f>Q104</f>
        <v>70.588235294117652</v>
      </c>
      <c r="AL104" s="76">
        <f>S104</f>
        <v>20</v>
      </c>
      <c r="AM104" s="76">
        <f>O104</f>
        <v>46.875</v>
      </c>
      <c r="AN104" s="76"/>
      <c r="AO104" s="81" t="e">
        <f>X104</f>
        <v>#DIV/0!</v>
      </c>
      <c r="AP104" s="81" t="e">
        <f>Z104</f>
        <v>#DIV/0!</v>
      </c>
      <c r="AQ104" s="81" t="e">
        <f>V104</f>
        <v>#DIV/0!</v>
      </c>
      <c r="AR104" s="7"/>
      <c r="AS104" s="76">
        <f t="shared" si="121"/>
        <v>38.571428571428569</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ht="15" x14ac:dyDescent="0.25">
      <c r="A105" s="8" t="s">
        <v>20</v>
      </c>
      <c r="B105" s="9" t="s">
        <v>104</v>
      </c>
      <c r="C105" s="7"/>
      <c r="D105" s="7"/>
      <c r="E105" s="7"/>
      <c r="F105" s="71">
        <v>33.33</v>
      </c>
      <c r="G105" s="51">
        <f>I105+K105</f>
        <v>5</v>
      </c>
      <c r="H105" s="52">
        <f>G105/$J$5*100</f>
        <v>13.157894736842104</v>
      </c>
      <c r="I105" s="53">
        <f>COUNTIFS('00 Encuesta'!$B$2:$B$511,"*b)*",'00 Encuesta'!$C$2:$C$511,"*a)*",'00 Encuesta'!$E$2:$E$511,"*a)*",'00 Encuesta'!$O$2:$O$511,"*c)*")</f>
        <v>1</v>
      </c>
      <c r="J105" s="52">
        <f>I105/$J$6*100</f>
        <v>4.7619047619047619</v>
      </c>
      <c r="K105" s="53">
        <f>COUNTIFS('00 Encuesta'!$B$2:$B$511,"*b)*",'00 Encuesta'!$C$2:$C$511,"*a)*",'00 Encuesta'!$E$2:$E$511,"*b)*",'00 Encuesta'!$O$2:$O$511,"*c)*")</f>
        <v>4</v>
      </c>
      <c r="L105" s="52">
        <f>K105/$J$7*100</f>
        <v>23.52941176470588</v>
      </c>
      <c r="M105" s="23"/>
      <c r="N105" s="51">
        <f>P105+R105</f>
        <v>2</v>
      </c>
      <c r="O105" s="52">
        <f>N105/$Q$5*100</f>
        <v>6.25</v>
      </c>
      <c r="P105" s="53">
        <f>COUNTIFS('00 Encuesta'!$B$2:$B$511,"*b)*",'00 Encuesta'!$C$2:$C$511,"*b)*",'00 Encuesta'!$E$2:$E$511,"*a)*",'00 Encuesta'!$O$2:$O$511,"*c)*")</f>
        <v>1</v>
      </c>
      <c r="Q105" s="52">
        <f>P105/$Q$6*100</f>
        <v>5.8823529411764701</v>
      </c>
      <c r="R105" s="53">
        <f>COUNTIFS('00 Encuesta'!$B$2:$B$511,"*b)*",'00 Encuesta'!$C$2:$C$511,"*b)*",'00 Encuesta'!$E$2:$E$511,"*b)*",'00 Encuesta'!$O$2:$O$511,"*c)*")</f>
        <v>1</v>
      </c>
      <c r="S105" s="52">
        <f>R105/$Q$7*100</f>
        <v>6.666666666666667</v>
      </c>
      <c r="T105" s="3"/>
      <c r="U105" s="51">
        <f>W105+Y105</f>
        <v>0</v>
      </c>
      <c r="V105" s="52" t="e">
        <f>U105/$X$5*100</f>
        <v>#DIV/0!</v>
      </c>
      <c r="W105" s="53">
        <f>COUNTIFS('00 Encuesta'!$B$2:$B$511,"*b)*",'00 Encuesta'!$C$2:$C$511,"*d)*",'00 Encuesta'!$E$2:$E$511,"*a)*",'00 Encuesta'!$O$2:$O$511,"*c)*")</f>
        <v>0</v>
      </c>
      <c r="X105" s="52" t="e">
        <f>W105/$X$6*100</f>
        <v>#DIV/0!</v>
      </c>
      <c r="Y105" s="53">
        <f>COUNTIFS('00 Encuesta'!$B$2:$B$511,"*b)*",'00 Encuesta'!$C$2:$C$511,"*d)*",'00 Encuesta'!$E$2:$E$511,"*b)*",'00 Encuesta'!$O$2:$O$511,"*c)*")</f>
        <v>0</v>
      </c>
      <c r="Z105" s="52" t="e">
        <f>Y105/$X$7*100</f>
        <v>#DIV/0!</v>
      </c>
      <c r="AA105" s="3"/>
      <c r="AB105" s="62">
        <f>G105+N105+U105</f>
        <v>7</v>
      </c>
      <c r="AC105" s="52">
        <f>AB105*100/$AC$5</f>
        <v>10</v>
      </c>
      <c r="AD105" s="7"/>
      <c r="AE105" s="7"/>
      <c r="AF105" s="9" t="str">
        <f t="shared" si="146"/>
        <v>c) Poco</v>
      </c>
      <c r="AG105" s="72">
        <f>J105</f>
        <v>4.7619047619047619</v>
      </c>
      <c r="AH105" s="72">
        <f>L105</f>
        <v>23.52941176470588</v>
      </c>
      <c r="AI105" s="73">
        <f>H105</f>
        <v>13.157894736842104</v>
      </c>
      <c r="AJ105" s="73"/>
      <c r="AK105" s="76">
        <f>Q105</f>
        <v>5.8823529411764701</v>
      </c>
      <c r="AL105" s="76">
        <f>S105</f>
        <v>6.666666666666667</v>
      </c>
      <c r="AM105" s="76">
        <f>O105</f>
        <v>6.25</v>
      </c>
      <c r="AN105" s="76"/>
      <c r="AO105" s="81" t="e">
        <f>X105</f>
        <v>#DIV/0!</v>
      </c>
      <c r="AP105" s="81" t="e">
        <f>Z105</f>
        <v>#DIV/0!</v>
      </c>
      <c r="AQ105" s="81" t="e">
        <f>V105</f>
        <v>#DIV/0!</v>
      </c>
      <c r="AR105" s="7"/>
      <c r="AS105" s="76">
        <f t="shared" si="121"/>
        <v>10</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ht="15" x14ac:dyDescent="0.25">
      <c r="A106" s="8" t="s">
        <v>21</v>
      </c>
      <c r="B106" s="9" t="s">
        <v>105</v>
      </c>
      <c r="C106" s="7"/>
      <c r="D106" s="7"/>
      <c r="E106" s="7"/>
      <c r="F106" s="71">
        <v>0</v>
      </c>
      <c r="G106" s="51">
        <f>I106+K106</f>
        <v>0</v>
      </c>
      <c r="H106" s="52">
        <f>G106/$J$5*100</f>
        <v>0</v>
      </c>
      <c r="I106" s="53">
        <f>COUNTIFS('00 Encuesta'!$B$2:$B$511,"*b)*",'00 Encuesta'!$C$2:$C$511,"*a)*",'00 Encuesta'!$E$2:$E$511,"*a)*",'00 Encuesta'!$O$2:$O$511,"*d)*")</f>
        <v>0</v>
      </c>
      <c r="J106" s="52">
        <f>I106/$J$6*100</f>
        <v>0</v>
      </c>
      <c r="K106" s="53">
        <f>COUNTIFS('00 Encuesta'!$B$2:$B$511,"*b)*",'00 Encuesta'!$C$2:$C$511,"*a)*",'00 Encuesta'!$E$2:$E$511,"*b)*",'00 Encuesta'!$O$2:$O$511,"*d)*")</f>
        <v>0</v>
      </c>
      <c r="L106" s="52">
        <f>K106/$J$7*100</f>
        <v>0</v>
      </c>
      <c r="M106" s="23"/>
      <c r="N106" s="51">
        <f>P106+R106</f>
        <v>1</v>
      </c>
      <c r="O106" s="52">
        <f>N106/$Q$5*100</f>
        <v>3.125</v>
      </c>
      <c r="P106" s="53">
        <f>COUNTIFS('00 Encuesta'!$B$2:$B$511,"*b)*",'00 Encuesta'!$C$2:$C$511,"*b)*",'00 Encuesta'!$E$2:$E$511,"*a)*",'00 Encuesta'!$O$2:$O$511,"*d)*")</f>
        <v>1</v>
      </c>
      <c r="Q106" s="52">
        <f>P106/$Q$6*100</f>
        <v>5.8823529411764701</v>
      </c>
      <c r="R106" s="53">
        <f>COUNTIFS('00 Encuesta'!$B$2:$B$511,"*b)*",'00 Encuesta'!$C$2:$C$511,"*b)*",'00 Encuesta'!$E$2:$E$511,"*b)*",'00 Encuesta'!$O$2:$O$511,"*d)*")</f>
        <v>0</v>
      </c>
      <c r="S106" s="52">
        <f>R106/$Q$7*100</f>
        <v>0</v>
      </c>
      <c r="T106" s="3"/>
      <c r="U106" s="51">
        <f>W106+Y106</f>
        <v>0</v>
      </c>
      <c r="V106" s="52" t="e">
        <f>U106/$X$5*100</f>
        <v>#DIV/0!</v>
      </c>
      <c r="W106" s="53">
        <f>COUNTIFS('00 Encuesta'!$B$2:$B$511,"*b)*",'00 Encuesta'!$C$2:$C$511,"*d)*",'00 Encuesta'!$E$2:$E$511,"*a)*",'00 Encuesta'!$O$2:$O$511,"*d)*")</f>
        <v>0</v>
      </c>
      <c r="X106" s="52" t="e">
        <f>W106/$X$6*100</f>
        <v>#DIV/0!</v>
      </c>
      <c r="Y106" s="53">
        <f>COUNTIFS('00 Encuesta'!$B$2:$B$511,"*b)*",'00 Encuesta'!$C$2:$C$511,"*d)*",'00 Encuesta'!$E$2:$E$511,"*b)*",'00 Encuesta'!$O$2:$O$511,"*d)*")</f>
        <v>0</v>
      </c>
      <c r="Z106" s="52" t="e">
        <f>Y106/$X$7*100</f>
        <v>#DIV/0!</v>
      </c>
      <c r="AA106" s="3"/>
      <c r="AB106" s="62">
        <f>G106+N106+U106</f>
        <v>1</v>
      </c>
      <c r="AC106" s="52">
        <f>AB106*100/$AC$5</f>
        <v>1.4285714285714286</v>
      </c>
      <c r="AD106" s="7"/>
      <c r="AE106" s="7"/>
      <c r="AF106" s="9" t="str">
        <f t="shared" si="146"/>
        <v>d) Nada</v>
      </c>
      <c r="AG106" s="72">
        <f>J106</f>
        <v>0</v>
      </c>
      <c r="AH106" s="72">
        <f>L106</f>
        <v>0</v>
      </c>
      <c r="AI106" s="73">
        <f>H106</f>
        <v>0</v>
      </c>
      <c r="AJ106" s="73"/>
      <c r="AK106" s="76">
        <f>Q106</f>
        <v>5.8823529411764701</v>
      </c>
      <c r="AL106" s="76">
        <f>S106</f>
        <v>0</v>
      </c>
      <c r="AM106" s="76">
        <f>O106</f>
        <v>3.125</v>
      </c>
      <c r="AN106" s="76"/>
      <c r="AO106" s="81" t="e">
        <f>X106</f>
        <v>#DIV/0!</v>
      </c>
      <c r="AP106" s="81" t="e">
        <f>Z106</f>
        <v>#DIV/0!</v>
      </c>
      <c r="AQ106" s="81" t="e">
        <f>V106</f>
        <v>#DIV/0!</v>
      </c>
      <c r="AR106" s="7"/>
      <c r="AS106" s="76">
        <f t="shared" si="121"/>
        <v>1.4285714285714286</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ht="15" x14ac:dyDescent="0.25">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f>N107/$Q$5*100</f>
        <v>0</v>
      </c>
      <c r="P107" s="53"/>
      <c r="Q107" s="52">
        <f>P107/$Q$6*100</f>
        <v>0</v>
      </c>
      <c r="R107" s="53"/>
      <c r="S107" s="52">
        <f>R107/$Q$7*100</f>
        <v>0</v>
      </c>
      <c r="T107" s="3"/>
      <c r="U107" s="51">
        <f>W107+Y107</f>
        <v>0</v>
      </c>
      <c r="V107" s="52" t="e">
        <f>U107/$X$5*100</f>
        <v>#DIV/0!</v>
      </c>
      <c r="W107" s="53"/>
      <c r="X107" s="52" t="e">
        <f>W107/$X$6*100</f>
        <v>#DIV/0!</v>
      </c>
      <c r="Y107" s="53"/>
      <c r="Z107" s="52" t="e">
        <f>Y107/$X$7*100</f>
        <v>#DIV/0!</v>
      </c>
      <c r="AA107" s="3"/>
      <c r="AB107" s="62">
        <f>G107+N107+U107</f>
        <v>0</v>
      </c>
      <c r="AC107" s="52">
        <f>AB107*100/$AC$5</f>
        <v>0</v>
      </c>
      <c r="AD107" s="7"/>
      <c r="AE107" s="7"/>
      <c r="AF107" s="9" t="str">
        <f t="shared" si="146"/>
        <v>S/R Sin Respuesta</v>
      </c>
      <c r="AG107" s="72">
        <f>J107</f>
        <v>0</v>
      </c>
      <c r="AH107" s="72">
        <f>L107</f>
        <v>0</v>
      </c>
      <c r="AI107" s="73">
        <f>H107</f>
        <v>0</v>
      </c>
      <c r="AJ107" s="73"/>
      <c r="AK107" s="76">
        <f>Q107</f>
        <v>0</v>
      </c>
      <c r="AL107" s="76">
        <f>S107</f>
        <v>0</v>
      </c>
      <c r="AM107" s="76">
        <f>O107</f>
        <v>0</v>
      </c>
      <c r="AN107" s="76"/>
      <c r="AO107" s="81" t="e">
        <f>X107</f>
        <v>#DIV/0!</v>
      </c>
      <c r="AP107" s="81" t="e">
        <f>Z107</f>
        <v>#DIV/0!</v>
      </c>
      <c r="AQ107" s="81" t="e">
        <f>V107</f>
        <v>#DIV/0!</v>
      </c>
      <c r="AR107" s="7"/>
      <c r="AS107" s="76">
        <f t="shared" si="121"/>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ht="15" x14ac:dyDescent="0.25">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80.698421052631574</v>
      </c>
      <c r="AH108" s="82">
        <f>($F103*K103+$F104*K104+$F105*K105+$F106*K106)/(+K103+K104+K105+K106)</f>
        <v>73.80714285714285</v>
      </c>
      <c r="AI108" s="82">
        <f>($F103*G103+$F104*G104+$F105*G105+$F106*G106)/(G103+G104+G105+G106)</f>
        <v>77.774848484848491</v>
      </c>
      <c r="AJ108" s="82"/>
      <c r="AK108" s="82">
        <f>($F103*P103+$F104*P104+$F105*P105+$F106*P106)/(P103+P104+P105+P106)</f>
        <v>66.661764705882348</v>
      </c>
      <c r="AL108" s="82">
        <f>($F103*R103+$F104*R104+$F105*R105+$F106*R106)/(R103+R104+R105+R106)</f>
        <v>88.887333333333331</v>
      </c>
      <c r="AM108" s="82">
        <f>($F103*N103+$F104*N104+$F105*N105+$F106*N106)/(N103+N104+N105+N106)</f>
        <v>77.08</v>
      </c>
      <c r="AN108" s="82"/>
      <c r="AO108" s="82" t="e">
        <f>($F103*W103+$F104*W104+$F105*W105+$F106*W106)/(W103+W104+W105+W106)</f>
        <v>#DIV/0!</v>
      </c>
      <c r="AP108" s="82" t="e">
        <f>($F103*Y103+$F104*Y104+$F105*Y105+$F106*Y106)/(Y103+Y104+Y105+Y106)</f>
        <v>#DIV/0!</v>
      </c>
      <c r="AQ108" s="82" t="e">
        <f>($F103*U103+$F104*U104+$F105*U105+$F106*U106)/(U103+U104+U105+U106)</f>
        <v>#DIV/0!</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ht="15" x14ac:dyDescent="0.25">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ht="15" x14ac:dyDescent="0.25">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ht="15" x14ac:dyDescent="0.25">
      <c r="A111" s="8" t="s">
        <v>17</v>
      </c>
      <c r="B111" s="9" t="s">
        <v>102</v>
      </c>
      <c r="C111" s="7"/>
      <c r="D111" s="7"/>
      <c r="E111" s="7"/>
      <c r="F111" s="71">
        <v>100</v>
      </c>
      <c r="G111" s="51">
        <f>I111+K111</f>
        <v>3</v>
      </c>
      <c r="H111" s="52">
        <f>G111/$J$5*100</f>
        <v>7.8947368421052628</v>
      </c>
      <c r="I111" s="53">
        <f>COUNTIFS('00 Encuesta'!$B$2:$B$511,"*b)*",'00 Encuesta'!$C$2:$C$511,"*a)*",'00 Encuesta'!$E$2:$E$511,"*a)*",'00 Encuesta'!$P$2:$P$511,"*a)*")</f>
        <v>2</v>
      </c>
      <c r="J111" s="52">
        <f>I111/$J$6*100</f>
        <v>9.5238095238095237</v>
      </c>
      <c r="K111" s="53">
        <f>COUNTIFS('00 Encuesta'!$B$2:$B$511,"*b)*",'00 Encuesta'!$C$2:$C$511,"*a)*",'00 Encuesta'!$E$2:$E$511,"*b)*",'00 Encuesta'!$P$2:$P$511,"*a)*")</f>
        <v>1</v>
      </c>
      <c r="L111" s="52">
        <f>K111/$J$7*100</f>
        <v>5.8823529411764701</v>
      </c>
      <c r="M111" s="23"/>
      <c r="N111" s="51">
        <f>P111+R111</f>
        <v>5</v>
      </c>
      <c r="O111" s="52">
        <f>N111/$Q$5*100</f>
        <v>15.625</v>
      </c>
      <c r="P111" s="53">
        <f>COUNTIFS('00 Encuesta'!$B$2:$B$511,"*b)*",'00 Encuesta'!$C$2:$C$511,"*b)*",'00 Encuesta'!$E$2:$E$511,"*a)*",'00 Encuesta'!$P$2:$P$511,"*a)*")</f>
        <v>4</v>
      </c>
      <c r="Q111" s="52">
        <f>P111/$Q$6*100</f>
        <v>23.52941176470588</v>
      </c>
      <c r="R111" s="53">
        <f>COUNTIFS('00 Encuesta'!$B$2:$B$511,"*b)*",'00 Encuesta'!$C$2:$C$511,"*b)*",'00 Encuesta'!$E$2:$E$511,"*b)*",'00 Encuesta'!$P$2:$P$511,"*a)*")</f>
        <v>1</v>
      </c>
      <c r="S111" s="52">
        <f>R111/$Q$7*100</f>
        <v>6.666666666666667</v>
      </c>
      <c r="T111" s="3"/>
      <c r="U111" s="51">
        <f>W111+Y111</f>
        <v>0</v>
      </c>
      <c r="V111" s="52" t="e">
        <f>U111/$X$5*100</f>
        <v>#DIV/0!</v>
      </c>
      <c r="W111" s="53">
        <f>COUNTIFS('00 Encuesta'!$B$2:$B$511,"*b)*",'00 Encuesta'!$C$2:$C$511,"*d)*",'00 Encuesta'!$E$2:$E$511,"*a)*",'00 Encuesta'!$P$2:$P$511,"*a)*")</f>
        <v>0</v>
      </c>
      <c r="X111" s="52" t="e">
        <f>W111/$X$6*100</f>
        <v>#DIV/0!</v>
      </c>
      <c r="Y111" s="53">
        <f>COUNTIFS('00 Encuesta'!$B$2:$B$511,"*b)*",'00 Encuesta'!$C$2:$C$511,"*d)*",'00 Encuesta'!$E$2:$E$511,"*b)*",'00 Encuesta'!$P$2:$P$511,"*a)*")</f>
        <v>0</v>
      </c>
      <c r="Z111" s="52" t="e">
        <f>Y111/$X$7*100</f>
        <v>#DIV/0!</v>
      </c>
      <c r="AA111" s="3"/>
      <c r="AB111" s="62">
        <f>G111+N111+U111</f>
        <v>8</v>
      </c>
      <c r="AC111" s="52">
        <f>AB111*100/$AC$5</f>
        <v>11.428571428571429</v>
      </c>
      <c r="AD111" s="7"/>
      <c r="AE111" s="7"/>
      <c r="AF111" s="9" t="str">
        <f t="shared" si="147"/>
        <v>a) Mucho</v>
      </c>
      <c r="AG111" s="72">
        <f>J111</f>
        <v>9.5238095238095237</v>
      </c>
      <c r="AH111" s="72">
        <f>L111</f>
        <v>5.8823529411764701</v>
      </c>
      <c r="AI111" s="73">
        <f>H111</f>
        <v>7.8947368421052628</v>
      </c>
      <c r="AJ111" s="73"/>
      <c r="AK111" s="76">
        <f>Q111</f>
        <v>23.52941176470588</v>
      </c>
      <c r="AL111" s="76">
        <f>S111</f>
        <v>6.666666666666667</v>
      </c>
      <c r="AM111" s="76">
        <f>O111</f>
        <v>15.625</v>
      </c>
      <c r="AN111" s="76"/>
      <c r="AO111" s="81" t="e">
        <f>X111</f>
        <v>#DIV/0!</v>
      </c>
      <c r="AP111" s="81" t="e">
        <f>Z111</f>
        <v>#DIV/0!</v>
      </c>
      <c r="AQ111" s="81" t="e">
        <f>V111</f>
        <v>#DIV/0!</v>
      </c>
      <c r="AR111" s="7"/>
      <c r="AS111" s="76">
        <f t="shared" si="121"/>
        <v>11.428571428571429</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ht="15" x14ac:dyDescent="0.25">
      <c r="A112" s="8" t="s">
        <v>18</v>
      </c>
      <c r="B112" s="9" t="s">
        <v>103</v>
      </c>
      <c r="C112" s="7"/>
      <c r="D112" s="7"/>
      <c r="E112" s="7"/>
      <c r="F112" s="71">
        <v>66.66</v>
      </c>
      <c r="G112" s="51">
        <f>I112+K112</f>
        <v>18</v>
      </c>
      <c r="H112" s="52">
        <f>G112/$J$5*100</f>
        <v>47.368421052631575</v>
      </c>
      <c r="I112" s="53">
        <f>COUNTIFS('00 Encuesta'!$B$2:$B$511,"*b)*",'00 Encuesta'!$C$2:$C$511,"*a)*",'00 Encuesta'!$E$2:$E$511,"*a)*",'00 Encuesta'!$P$2:$P$511,"*b)*")</f>
        <v>10</v>
      </c>
      <c r="J112" s="52">
        <f>I112/$J$6*100</f>
        <v>47.619047619047613</v>
      </c>
      <c r="K112" s="53">
        <f>COUNTIFS('00 Encuesta'!$B$2:$B$511,"*b)*",'00 Encuesta'!$C$2:$C$511,"*a)*",'00 Encuesta'!$E$2:$E$511,"*b)*",'00 Encuesta'!$P$2:$P$511,"*b)*")</f>
        <v>8</v>
      </c>
      <c r="L112" s="52">
        <f>K112/$J$7*100</f>
        <v>47.058823529411761</v>
      </c>
      <c r="M112" s="23"/>
      <c r="N112" s="51">
        <f>P112+R112</f>
        <v>15</v>
      </c>
      <c r="O112" s="52">
        <f>N112/$Q$5*100</f>
        <v>46.875</v>
      </c>
      <c r="P112" s="53">
        <f>COUNTIFS('00 Encuesta'!$B$2:$B$511,"*b)*",'00 Encuesta'!$C$2:$C$511,"*b)*",'00 Encuesta'!$E$2:$E$511,"*a)*",'00 Encuesta'!$P$2:$P$511,"*b)*")</f>
        <v>7</v>
      </c>
      <c r="Q112" s="52">
        <f>P112/$Q$6*100</f>
        <v>41.17647058823529</v>
      </c>
      <c r="R112" s="53">
        <f>COUNTIFS('00 Encuesta'!$B$2:$B$511,"*b)*",'00 Encuesta'!$C$2:$C$511,"*b)*",'00 Encuesta'!$E$2:$E$511,"*b)*",'00 Encuesta'!$P$2:$P$511,"*b)*")</f>
        <v>8</v>
      </c>
      <c r="S112" s="52">
        <f>R112/$Q$7*100</f>
        <v>53.333333333333336</v>
      </c>
      <c r="T112" s="3"/>
      <c r="U112" s="51">
        <f>W112+Y112</f>
        <v>0</v>
      </c>
      <c r="V112" s="52" t="e">
        <f>U112/$X$5*100</f>
        <v>#DIV/0!</v>
      </c>
      <c r="W112" s="53">
        <f>COUNTIFS('00 Encuesta'!$B$2:$B$511,"*b)*",'00 Encuesta'!$C$2:$C$511,"*d)*",'00 Encuesta'!$E$2:$E$511,"*a)*",'00 Encuesta'!$P$2:$P$511,"*b)*")</f>
        <v>0</v>
      </c>
      <c r="X112" s="52" t="e">
        <f>W112/$X$6*100</f>
        <v>#DIV/0!</v>
      </c>
      <c r="Y112" s="53">
        <f>COUNTIFS('00 Encuesta'!$B$2:$B$511,"*b)*",'00 Encuesta'!$C$2:$C$511,"*d)*",'00 Encuesta'!$E$2:$E$511,"*b)*",'00 Encuesta'!$P$2:$P$511,"*b)*")</f>
        <v>0</v>
      </c>
      <c r="Z112" s="52" t="e">
        <f>Y112/$X$7*100</f>
        <v>#DIV/0!</v>
      </c>
      <c r="AA112" s="3"/>
      <c r="AB112" s="62">
        <f>G112+N112+U112</f>
        <v>33</v>
      </c>
      <c r="AC112" s="52">
        <f>AB112*100/$AC$5</f>
        <v>47.142857142857146</v>
      </c>
      <c r="AD112" s="7"/>
      <c r="AE112" s="7"/>
      <c r="AF112" s="9" t="str">
        <f t="shared" si="147"/>
        <v>b) Suficiente</v>
      </c>
      <c r="AG112" s="72">
        <f>J112</f>
        <v>47.619047619047613</v>
      </c>
      <c r="AH112" s="72">
        <f>L112</f>
        <v>47.058823529411761</v>
      </c>
      <c r="AI112" s="73">
        <f>H112</f>
        <v>47.368421052631575</v>
      </c>
      <c r="AJ112" s="73"/>
      <c r="AK112" s="76">
        <f>Q112</f>
        <v>41.17647058823529</v>
      </c>
      <c r="AL112" s="76">
        <f>S112</f>
        <v>53.333333333333336</v>
      </c>
      <c r="AM112" s="76">
        <f>O112</f>
        <v>46.875</v>
      </c>
      <c r="AN112" s="76"/>
      <c r="AO112" s="81" t="e">
        <f>X112</f>
        <v>#DIV/0!</v>
      </c>
      <c r="AP112" s="81" t="e">
        <f>Z112</f>
        <v>#DIV/0!</v>
      </c>
      <c r="AQ112" s="81" t="e">
        <f>V112</f>
        <v>#DIV/0!</v>
      </c>
      <c r="AR112" s="7"/>
      <c r="AS112" s="76">
        <f t="shared" si="121"/>
        <v>47.142857142857146</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ht="15" x14ac:dyDescent="0.25">
      <c r="A113" s="8" t="s">
        <v>20</v>
      </c>
      <c r="B113" s="9" t="s">
        <v>104</v>
      </c>
      <c r="C113" s="7"/>
      <c r="D113" s="7"/>
      <c r="E113" s="7"/>
      <c r="F113" s="71">
        <v>33.33</v>
      </c>
      <c r="G113" s="51">
        <f>I113+K113</f>
        <v>11</v>
      </c>
      <c r="H113" s="52">
        <f>G113/$J$5*100</f>
        <v>28.947368421052634</v>
      </c>
      <c r="I113" s="53">
        <f>COUNTIFS('00 Encuesta'!$B$2:$B$511,"*b)*",'00 Encuesta'!$C$2:$C$511,"*a)*",'00 Encuesta'!$E$2:$E$511,"*a)*",'00 Encuesta'!$P$2:$P$511,"*c)*")</f>
        <v>7</v>
      </c>
      <c r="J113" s="52">
        <f>I113/$J$6*100</f>
        <v>33.333333333333329</v>
      </c>
      <c r="K113" s="53">
        <f>COUNTIFS('00 Encuesta'!$B$2:$B$511,"*b)*",'00 Encuesta'!$C$2:$C$511,"*a)*",'00 Encuesta'!$E$2:$E$511,"*b)*",'00 Encuesta'!$P$2:$P$511,"*c)*")</f>
        <v>4</v>
      </c>
      <c r="L113" s="52">
        <f>K113/$J$7*100</f>
        <v>23.52941176470588</v>
      </c>
      <c r="M113" s="23"/>
      <c r="N113" s="51">
        <f>P113+R113</f>
        <v>11</v>
      </c>
      <c r="O113" s="52">
        <f>N113/$Q$5*100</f>
        <v>34.375</v>
      </c>
      <c r="P113" s="53">
        <f>COUNTIFS('00 Encuesta'!$B$2:$B$511,"*b)*",'00 Encuesta'!$C$2:$C$511,"*b)*",'00 Encuesta'!$E$2:$E$511,"*a)*",'00 Encuesta'!$P$2:$P$511,"*c)*")</f>
        <v>6</v>
      </c>
      <c r="Q113" s="52">
        <f>P113/$Q$6*100</f>
        <v>35.294117647058826</v>
      </c>
      <c r="R113" s="53">
        <f>COUNTIFS('00 Encuesta'!$B$2:$B$511,"*b)*",'00 Encuesta'!$C$2:$C$511,"*b)*",'00 Encuesta'!$E$2:$E$511,"*b)*",'00 Encuesta'!$P$2:$P$511,"*c)*")</f>
        <v>5</v>
      </c>
      <c r="S113" s="52">
        <f>R113/$Q$7*100</f>
        <v>33.333333333333329</v>
      </c>
      <c r="T113" s="3"/>
      <c r="U113" s="51">
        <f>W113+Y113</f>
        <v>0</v>
      </c>
      <c r="V113" s="52" t="e">
        <f>U113/$X$5*100</f>
        <v>#DIV/0!</v>
      </c>
      <c r="W113" s="53">
        <f>COUNTIFS('00 Encuesta'!$B$2:$B$511,"*b)*",'00 Encuesta'!$C$2:$C$511,"*d)*",'00 Encuesta'!$E$2:$E$511,"*a)*",'00 Encuesta'!$P$2:$P$511,"*c)*")</f>
        <v>0</v>
      </c>
      <c r="X113" s="52" t="e">
        <f>W113/$X$6*100</f>
        <v>#DIV/0!</v>
      </c>
      <c r="Y113" s="53">
        <f>COUNTIFS('00 Encuesta'!$B$2:$B$511,"*b)*",'00 Encuesta'!$C$2:$C$511,"*d)*",'00 Encuesta'!$E$2:$E$511,"*b)*",'00 Encuesta'!$P$2:$P$511,"*c)*")</f>
        <v>0</v>
      </c>
      <c r="Z113" s="52" t="e">
        <f>Y113/$X$7*100</f>
        <v>#DIV/0!</v>
      </c>
      <c r="AA113" s="3"/>
      <c r="AB113" s="62">
        <f>G113+N113+U113</f>
        <v>22</v>
      </c>
      <c r="AC113" s="52">
        <f>AB113*100/$AC$5</f>
        <v>31.428571428571427</v>
      </c>
      <c r="AD113" s="7"/>
      <c r="AE113" s="7"/>
      <c r="AF113" s="9" t="str">
        <f t="shared" si="147"/>
        <v>c) Poco</v>
      </c>
      <c r="AG113" s="72">
        <f>J113</f>
        <v>33.333333333333329</v>
      </c>
      <c r="AH113" s="72">
        <f>L113</f>
        <v>23.52941176470588</v>
      </c>
      <c r="AI113" s="73">
        <f>H113</f>
        <v>28.947368421052634</v>
      </c>
      <c r="AJ113" s="73"/>
      <c r="AK113" s="76">
        <f>Q113</f>
        <v>35.294117647058826</v>
      </c>
      <c r="AL113" s="76">
        <f>S113</f>
        <v>33.333333333333329</v>
      </c>
      <c r="AM113" s="76">
        <f>O113</f>
        <v>34.375</v>
      </c>
      <c r="AN113" s="76"/>
      <c r="AO113" s="81" t="e">
        <f>X113</f>
        <v>#DIV/0!</v>
      </c>
      <c r="AP113" s="81" t="e">
        <f>Z113</f>
        <v>#DIV/0!</v>
      </c>
      <c r="AQ113" s="81" t="e">
        <f>V113</f>
        <v>#DIV/0!</v>
      </c>
      <c r="AR113" s="7"/>
      <c r="AS113" s="76">
        <f t="shared" si="121"/>
        <v>31.428571428571427</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ht="15" x14ac:dyDescent="0.25">
      <c r="A114" s="8" t="s">
        <v>21</v>
      </c>
      <c r="B114" s="9" t="s">
        <v>105</v>
      </c>
      <c r="C114" s="7"/>
      <c r="D114" s="7"/>
      <c r="E114" s="7"/>
      <c r="F114" s="71">
        <v>0</v>
      </c>
      <c r="G114" s="51">
        <f>I114+K114</f>
        <v>1</v>
      </c>
      <c r="H114" s="52">
        <f>G114/$J$5*100</f>
        <v>2.6315789473684208</v>
      </c>
      <c r="I114" s="53">
        <f>COUNTIFS('00 Encuesta'!$B$2:$B$511,"*b)*",'00 Encuesta'!$C$2:$C$511,"*a)*",'00 Encuesta'!$E$2:$E$511,"*a)*",'00 Encuesta'!$P$2:$P$511,"*d)*")</f>
        <v>0</v>
      </c>
      <c r="J114" s="52">
        <f>I114/$J$6*100</f>
        <v>0</v>
      </c>
      <c r="K114" s="53">
        <f>COUNTIFS('00 Encuesta'!$B$2:$B$511,"*b)*",'00 Encuesta'!$C$2:$C$511,"*a)*",'00 Encuesta'!$E$2:$E$511,"*b)*",'00 Encuesta'!$P$2:$P$511,"*d)*")</f>
        <v>1</v>
      </c>
      <c r="L114" s="52">
        <f>K114/$J$7*100</f>
        <v>5.8823529411764701</v>
      </c>
      <c r="M114" s="23"/>
      <c r="N114" s="51">
        <f>P114+R114</f>
        <v>1</v>
      </c>
      <c r="O114" s="52">
        <f>N114/$Q$5*100</f>
        <v>3.125</v>
      </c>
      <c r="P114" s="53">
        <f>COUNTIFS('00 Encuesta'!$B$2:$B$511,"*b)*",'00 Encuesta'!$C$2:$C$511,"*b)*",'00 Encuesta'!$E$2:$E$511,"*a)*",'00 Encuesta'!$P$2:$P$511,"*d)*")</f>
        <v>0</v>
      </c>
      <c r="Q114" s="52">
        <f>P114/$Q$6*100</f>
        <v>0</v>
      </c>
      <c r="R114" s="53">
        <f>COUNTIFS('00 Encuesta'!$B$2:$B$511,"*b)*",'00 Encuesta'!$C$2:$C$511,"*b)*",'00 Encuesta'!$E$2:$E$511,"*b)*",'00 Encuesta'!$P$2:$P$511,"*d)*")</f>
        <v>1</v>
      </c>
      <c r="S114" s="52">
        <f>R114/$Q$7*100</f>
        <v>6.666666666666667</v>
      </c>
      <c r="T114" s="3"/>
      <c r="U114" s="51">
        <f>W114+Y114</f>
        <v>0</v>
      </c>
      <c r="V114" s="52" t="e">
        <f>U114/$X$5*100</f>
        <v>#DIV/0!</v>
      </c>
      <c r="W114" s="53">
        <f>COUNTIFS('00 Encuesta'!$B$2:$B$511,"*b)*",'00 Encuesta'!$C$2:$C$511,"*d)*",'00 Encuesta'!$E$2:$E$511,"*a)*",'00 Encuesta'!$P$2:$P$511,"*d)*")</f>
        <v>0</v>
      </c>
      <c r="X114" s="52" t="e">
        <f>W114/$X$6*100</f>
        <v>#DIV/0!</v>
      </c>
      <c r="Y114" s="53">
        <f>COUNTIFS('00 Encuesta'!$B$2:$B$511,"*b)*",'00 Encuesta'!$C$2:$C$511,"*d)*",'00 Encuesta'!$E$2:$E$511,"*b)*",'00 Encuesta'!$P$2:$P$511,"*d)*")</f>
        <v>0</v>
      </c>
      <c r="Z114" s="52" t="e">
        <f>Y114/$X$7*100</f>
        <v>#DIV/0!</v>
      </c>
      <c r="AA114" s="3"/>
      <c r="AB114" s="62">
        <f>G114+N114+U114</f>
        <v>2</v>
      </c>
      <c r="AC114" s="52">
        <f>AB114*100/$AC$5</f>
        <v>2.8571428571428572</v>
      </c>
      <c r="AD114" s="7"/>
      <c r="AE114" s="7"/>
      <c r="AF114" s="9" t="str">
        <f t="shared" si="147"/>
        <v>d) Nada</v>
      </c>
      <c r="AG114" s="72">
        <f>J114</f>
        <v>0</v>
      </c>
      <c r="AH114" s="72">
        <f>L114</f>
        <v>5.8823529411764701</v>
      </c>
      <c r="AI114" s="73">
        <f>H114</f>
        <v>2.6315789473684208</v>
      </c>
      <c r="AJ114" s="73"/>
      <c r="AK114" s="76">
        <f>Q114</f>
        <v>0</v>
      </c>
      <c r="AL114" s="76">
        <f>S114</f>
        <v>6.666666666666667</v>
      </c>
      <c r="AM114" s="76">
        <f>O114</f>
        <v>3.125</v>
      </c>
      <c r="AN114" s="76"/>
      <c r="AO114" s="81" t="e">
        <f>X114</f>
        <v>#DIV/0!</v>
      </c>
      <c r="AP114" s="81" t="e">
        <f>Z114</f>
        <v>#DIV/0!</v>
      </c>
      <c r="AQ114" s="81" t="e">
        <f>V114</f>
        <v>#DIV/0!</v>
      </c>
      <c r="AR114" s="7"/>
      <c r="AS114" s="76">
        <f t="shared" si="121"/>
        <v>2.8571428571428572</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ht="15" x14ac:dyDescent="0.25">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f>N115/$Q$5*100</f>
        <v>0</v>
      </c>
      <c r="P115" s="53"/>
      <c r="Q115" s="52">
        <f>P115/$Q$6*100</f>
        <v>0</v>
      </c>
      <c r="R115" s="53"/>
      <c r="S115" s="52">
        <f>R115/$Q$7*100</f>
        <v>0</v>
      </c>
      <c r="T115" s="3"/>
      <c r="U115" s="51">
        <f>W115+Y115</f>
        <v>0</v>
      </c>
      <c r="V115" s="52" t="e">
        <f>U115/$X$5*100</f>
        <v>#DIV/0!</v>
      </c>
      <c r="W115" s="53"/>
      <c r="X115" s="52" t="e">
        <f>W115/$X$6*100</f>
        <v>#DIV/0!</v>
      </c>
      <c r="Y115" s="53"/>
      <c r="Z115" s="52" t="e">
        <f>Y115/$X$7*100</f>
        <v>#DIV/0!</v>
      </c>
      <c r="AA115" s="3"/>
      <c r="AB115" s="62">
        <f>G115+N115+U115</f>
        <v>0</v>
      </c>
      <c r="AC115" s="52">
        <f>AB115*100/$AC$5</f>
        <v>0</v>
      </c>
      <c r="AD115" s="7"/>
      <c r="AE115" s="7"/>
      <c r="AF115" s="9" t="str">
        <f t="shared" si="147"/>
        <v>S/R Sin Respuesta</v>
      </c>
      <c r="AG115" s="72">
        <f>J115</f>
        <v>0</v>
      </c>
      <c r="AH115" s="72">
        <f>L115</f>
        <v>0</v>
      </c>
      <c r="AI115" s="73">
        <f>H115</f>
        <v>0</v>
      </c>
      <c r="AJ115" s="73"/>
      <c r="AK115" s="76">
        <f>Q115</f>
        <v>0</v>
      </c>
      <c r="AL115" s="76">
        <f>S115</f>
        <v>0</v>
      </c>
      <c r="AM115" s="76">
        <f>O115</f>
        <v>0</v>
      </c>
      <c r="AN115" s="76"/>
      <c r="AO115" s="81" t="e">
        <f>X115</f>
        <v>#DIV/0!</v>
      </c>
      <c r="AP115" s="81" t="e">
        <f>Z115</f>
        <v>#DIV/0!</v>
      </c>
      <c r="AQ115" s="81" t="e">
        <f>V115</f>
        <v>#DIV/0!</v>
      </c>
      <c r="AR115" s="7"/>
      <c r="AS115" s="76">
        <f t="shared" si="121"/>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ht="15" x14ac:dyDescent="0.25">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57.889999999999993</v>
      </c>
      <c r="AH116" s="82">
        <f>($F111*K111+$F112*K112+$F113*K113+$F114*K114)/(+K111+K112+K113+K114)</f>
        <v>54.757142857142853</v>
      </c>
      <c r="AI116" s="82">
        <f>($F111*G111+$F112*G112+$F113*G113+$F114*G114)/(G111+G112+G113+G114)</f>
        <v>56.560909090909085</v>
      </c>
      <c r="AJ116" s="82"/>
      <c r="AK116" s="82">
        <f>($F111*P111+$F112*P112+$F113*P113+$F114*P114)/(P111+P112+P113+P114)</f>
        <v>62.741176470588229</v>
      </c>
      <c r="AL116" s="82">
        <f>($F111*R111+$F112*R112+$F113*R113+$F114*R114)/(R111+R112+R113+R114)</f>
        <v>53.328666666666663</v>
      </c>
      <c r="AM116" s="82">
        <f>($F111*N111+$F112*N112+$F113*N113+$F114*N114)/(N111+N112+N113+N114)</f>
        <v>58.329062500000006</v>
      </c>
      <c r="AN116" s="82"/>
      <c r="AO116" s="82" t="e">
        <f>($F111*W111+$F112*W112+$F113*W113+$F114*W114)/(W111+W112+W113+W114)</f>
        <v>#DIV/0!</v>
      </c>
      <c r="AP116" s="82" t="e">
        <f>($F111*Y111+$F112*Y112+$F113*Y113+$F114*Y114)/(Y111+Y112+Y113+Y114)</f>
        <v>#DIV/0!</v>
      </c>
      <c r="AQ116" s="82" t="e">
        <f>($F111*U111+$F112*U112+$F113*U113+$F114*U114)/(U111+U112+U113+U114)</f>
        <v>#DIV/0!</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ht="15" x14ac:dyDescent="0.25">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ht="15" x14ac:dyDescent="0.25">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ht="15" x14ac:dyDescent="0.25">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ht="15" x14ac:dyDescent="0.25">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ht="15" x14ac:dyDescent="0.25">
      <c r="A121" s="8" t="s">
        <v>17</v>
      </c>
      <c r="B121" s="9" t="s">
        <v>102</v>
      </c>
      <c r="C121" s="7"/>
      <c r="D121" s="7"/>
      <c r="E121" s="7"/>
      <c r="F121" s="71">
        <v>100</v>
      </c>
      <c r="G121" s="51">
        <f>I121+K121</f>
        <v>9</v>
      </c>
      <c r="H121" s="52">
        <f>G121/$J$5*100</f>
        <v>23.684210526315788</v>
      </c>
      <c r="I121" s="53">
        <f>COUNTIFS('00 Encuesta'!$B$2:$B$511,"*b)*",'00 Encuesta'!$C$2:$C$511,"*a)*",'00 Encuesta'!$E$2:$E$511,"*a)*",'00 Encuesta'!$Q$2:$Q$511,"*a)*")</f>
        <v>4</v>
      </c>
      <c r="J121" s="52">
        <f>I121/$J$6*100</f>
        <v>19.047619047619047</v>
      </c>
      <c r="K121" s="53">
        <f>COUNTIFS('00 Encuesta'!$B$2:$B$511,"*b)*",'00 Encuesta'!$C$2:$C$511,"*a)*",'00 Encuesta'!$E$2:$E$511,"*b)*",'00 Encuesta'!$Q$2:$Q$511,"*a)*")</f>
        <v>5</v>
      </c>
      <c r="L121" s="52">
        <f>K121/$J$7*100</f>
        <v>29.411764705882355</v>
      </c>
      <c r="M121" s="23"/>
      <c r="N121" s="51">
        <f>P121+R121</f>
        <v>6</v>
      </c>
      <c r="O121" s="52">
        <f>N121/$Q$5*100</f>
        <v>18.75</v>
      </c>
      <c r="P121" s="53">
        <f>COUNTIFS('00 Encuesta'!$B$2:$B$511,"*b)*",'00 Encuesta'!$C$2:$C$511,"*b)*",'00 Encuesta'!$E$2:$E$511,"*a)*",'00 Encuesta'!$Q$2:$Q$511,"*a)*")</f>
        <v>4</v>
      </c>
      <c r="Q121" s="52">
        <f>P121/$Q$6*100</f>
        <v>23.52941176470588</v>
      </c>
      <c r="R121" s="53">
        <f>COUNTIFS('00 Encuesta'!$B$2:$B$511,"*b)*",'00 Encuesta'!$C$2:$C$511,"*b)*",'00 Encuesta'!$E$2:$E$511,"*b)*",'00 Encuesta'!$Q$2:$Q$511,"*a)*")</f>
        <v>2</v>
      </c>
      <c r="S121" s="52">
        <f>R121/$Q$7*100</f>
        <v>13.333333333333334</v>
      </c>
      <c r="T121" s="3"/>
      <c r="U121" s="51">
        <f>W121+Y121</f>
        <v>0</v>
      </c>
      <c r="V121" s="52" t="e">
        <f>U121/$X$5*100</f>
        <v>#DIV/0!</v>
      </c>
      <c r="W121" s="53">
        <f>COUNTIFS('00 Encuesta'!$B$2:$B$511,"*b)*",'00 Encuesta'!$C$2:$C$511,"*d)*",'00 Encuesta'!$E$2:$E$511,"*a)*",'00 Encuesta'!$Q$2:$Q$511,"*a)*")</f>
        <v>0</v>
      </c>
      <c r="X121" s="52" t="e">
        <f>W121/$X$6*100</f>
        <v>#DIV/0!</v>
      </c>
      <c r="Y121" s="53">
        <f>COUNTIFS('00 Encuesta'!$B$2:$B$511,"*b)*",'00 Encuesta'!$C$2:$C$511,"*d)*",'00 Encuesta'!$E$2:$E$511,"*b)*",'00 Encuesta'!$Q$2:$Q$511,"*a)*")</f>
        <v>0</v>
      </c>
      <c r="Z121" s="52" t="e">
        <f>Y121/$X$7*100</f>
        <v>#DIV/0!</v>
      </c>
      <c r="AA121" s="3"/>
      <c r="AB121" s="62">
        <f>G121+N121+U121</f>
        <v>15</v>
      </c>
      <c r="AC121" s="52">
        <f>AB121*100/$AC$5</f>
        <v>21.428571428571427</v>
      </c>
      <c r="AD121" s="7"/>
      <c r="AE121" s="7"/>
      <c r="AF121" s="9" t="str">
        <f t="shared" si="148"/>
        <v>a) Mucho</v>
      </c>
      <c r="AG121" s="72">
        <f>J121</f>
        <v>19.047619047619047</v>
      </c>
      <c r="AH121" s="72">
        <f>L121</f>
        <v>29.411764705882355</v>
      </c>
      <c r="AI121" s="73">
        <f>H121</f>
        <v>23.684210526315788</v>
      </c>
      <c r="AJ121" s="73"/>
      <c r="AK121" s="76">
        <f>Q121</f>
        <v>23.52941176470588</v>
      </c>
      <c r="AL121" s="76">
        <f>S121</f>
        <v>13.333333333333334</v>
      </c>
      <c r="AM121" s="76">
        <f>O121</f>
        <v>18.75</v>
      </c>
      <c r="AN121" s="76"/>
      <c r="AO121" s="81" t="e">
        <f>X121</f>
        <v>#DIV/0!</v>
      </c>
      <c r="AP121" s="81" t="e">
        <f>Z121</f>
        <v>#DIV/0!</v>
      </c>
      <c r="AQ121" s="81" t="e">
        <f>V121</f>
        <v>#DIV/0!</v>
      </c>
      <c r="AR121" s="7"/>
      <c r="AS121" s="76">
        <f t="shared" si="121"/>
        <v>21.428571428571427</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ht="15" x14ac:dyDescent="0.25">
      <c r="A122" s="8" t="s">
        <v>18</v>
      </c>
      <c r="B122" s="9" t="s">
        <v>103</v>
      </c>
      <c r="C122" s="7"/>
      <c r="D122" s="7"/>
      <c r="E122" s="7"/>
      <c r="F122" s="71">
        <v>66.66</v>
      </c>
      <c r="G122" s="51">
        <f>I122+K122</f>
        <v>15</v>
      </c>
      <c r="H122" s="52">
        <f>G122/$J$5*100</f>
        <v>39.473684210526315</v>
      </c>
      <c r="I122" s="53">
        <f>COUNTIFS('00 Encuesta'!$B$2:$B$511,"*b)*",'00 Encuesta'!$C$2:$C$511,"*a)*",'00 Encuesta'!$E$2:$E$511,"*a)*",'00 Encuesta'!$Q$2:$Q$511,"*b)*")</f>
        <v>9</v>
      </c>
      <c r="J122" s="52">
        <f>I122/$J$6*100</f>
        <v>42.857142857142854</v>
      </c>
      <c r="K122" s="53">
        <f>COUNTIFS('00 Encuesta'!$B$2:$B$511,"*b)*",'00 Encuesta'!$C$2:$C$511,"*a)*",'00 Encuesta'!$E$2:$E$511,"*b)*",'00 Encuesta'!$Q$2:$Q$511,"*b)*")</f>
        <v>6</v>
      </c>
      <c r="L122" s="52">
        <f>K122/$J$7*100</f>
        <v>35.294117647058826</v>
      </c>
      <c r="M122" s="23"/>
      <c r="N122" s="51">
        <f>P122+R122</f>
        <v>20</v>
      </c>
      <c r="O122" s="52">
        <f>N122/$Q$5*100</f>
        <v>62.5</v>
      </c>
      <c r="P122" s="53">
        <f>COUNTIFS('00 Encuesta'!$B$2:$B$511,"*b)*",'00 Encuesta'!$C$2:$C$511,"*b)*",'00 Encuesta'!$E$2:$E$511,"*a)*",'00 Encuesta'!$Q$2:$Q$511,"*b)*")</f>
        <v>10</v>
      </c>
      <c r="Q122" s="52">
        <f>P122/$Q$6*100</f>
        <v>58.82352941176471</v>
      </c>
      <c r="R122" s="53">
        <f>COUNTIFS('00 Encuesta'!$B$2:$B$511,"*b)*",'00 Encuesta'!$C$2:$C$511,"*b)*",'00 Encuesta'!$E$2:$E$511,"*b)*",'00 Encuesta'!$Q$2:$Q$511,"*b)*")</f>
        <v>10</v>
      </c>
      <c r="S122" s="52">
        <f>R122/$Q$7*100</f>
        <v>66.666666666666657</v>
      </c>
      <c r="T122" s="3"/>
      <c r="U122" s="51">
        <f>W122+Y122</f>
        <v>0</v>
      </c>
      <c r="V122" s="52" t="e">
        <f>U122/$X$5*100</f>
        <v>#DIV/0!</v>
      </c>
      <c r="W122" s="53">
        <f>COUNTIFS('00 Encuesta'!$B$2:$B$511,"*b)*",'00 Encuesta'!$C$2:$C$511,"*d)*",'00 Encuesta'!$E$2:$E$511,"*a)*",'00 Encuesta'!$Q$2:$Q$511,"*b)*")</f>
        <v>0</v>
      </c>
      <c r="X122" s="52" t="e">
        <f>W122/$X$6*100</f>
        <v>#DIV/0!</v>
      </c>
      <c r="Y122" s="53">
        <f>COUNTIFS('00 Encuesta'!$B$2:$B$511,"*b)*",'00 Encuesta'!$C$2:$C$511,"*d)*",'00 Encuesta'!$E$2:$E$511,"*b)*",'00 Encuesta'!$Q$2:$Q$511,"*b)*")</f>
        <v>0</v>
      </c>
      <c r="Z122" s="52" t="e">
        <f>Y122/$X$7*100</f>
        <v>#DIV/0!</v>
      </c>
      <c r="AA122" s="3"/>
      <c r="AB122" s="62">
        <f>G122+N122+U122</f>
        <v>35</v>
      </c>
      <c r="AC122" s="52">
        <f>AB122*100/$AC$5</f>
        <v>50</v>
      </c>
      <c r="AD122" s="7"/>
      <c r="AE122" s="7"/>
      <c r="AF122" s="9" t="str">
        <f t="shared" si="148"/>
        <v>b) Suficiente</v>
      </c>
      <c r="AG122" s="72">
        <f>J122</f>
        <v>42.857142857142854</v>
      </c>
      <c r="AH122" s="72">
        <f>L122</f>
        <v>35.294117647058826</v>
      </c>
      <c r="AI122" s="73">
        <f>H122</f>
        <v>39.473684210526315</v>
      </c>
      <c r="AJ122" s="73"/>
      <c r="AK122" s="76">
        <f>Q122</f>
        <v>58.82352941176471</v>
      </c>
      <c r="AL122" s="76">
        <f>S122</f>
        <v>66.666666666666657</v>
      </c>
      <c r="AM122" s="76">
        <f>O122</f>
        <v>62.5</v>
      </c>
      <c r="AN122" s="76"/>
      <c r="AO122" s="81" t="e">
        <f>X122</f>
        <v>#DIV/0!</v>
      </c>
      <c r="AP122" s="81" t="e">
        <f>Z122</f>
        <v>#DIV/0!</v>
      </c>
      <c r="AQ122" s="81" t="e">
        <f>V122</f>
        <v>#DIV/0!</v>
      </c>
      <c r="AR122" s="7"/>
      <c r="AS122" s="76">
        <f t="shared" si="121"/>
        <v>50</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ht="15" x14ac:dyDescent="0.25">
      <c r="A123" s="8" t="s">
        <v>20</v>
      </c>
      <c r="B123" s="9" t="s">
        <v>104</v>
      </c>
      <c r="C123" s="7"/>
      <c r="D123" s="7"/>
      <c r="E123" s="7"/>
      <c r="F123" s="71">
        <v>33.33</v>
      </c>
      <c r="G123" s="51">
        <f>I123+K123</f>
        <v>7</v>
      </c>
      <c r="H123" s="52">
        <f>G123/$J$5*100</f>
        <v>18.421052631578945</v>
      </c>
      <c r="I123" s="53">
        <f>COUNTIFS('00 Encuesta'!$B$2:$B$511,"*b)*",'00 Encuesta'!$C$2:$C$511,"*a)*",'00 Encuesta'!$E$2:$E$511,"*a)*",'00 Encuesta'!$Q$2:$Q$511,"*c)*")</f>
        <v>5</v>
      </c>
      <c r="J123" s="52">
        <f>I123/$J$6*100</f>
        <v>23.809523809523807</v>
      </c>
      <c r="K123" s="53">
        <f>COUNTIFS('00 Encuesta'!$B$2:$B$511,"*b)*",'00 Encuesta'!$C$2:$C$511,"*a)*",'00 Encuesta'!$E$2:$E$511,"*b)*",'00 Encuesta'!$Q$2:$Q$511,"*c)*")</f>
        <v>2</v>
      </c>
      <c r="L123" s="52">
        <f>K123/$J$7*100</f>
        <v>11.76470588235294</v>
      </c>
      <c r="M123" s="23"/>
      <c r="N123" s="51">
        <f>P123+R123</f>
        <v>6</v>
      </c>
      <c r="O123" s="52">
        <f>N123/$Q$5*100</f>
        <v>18.75</v>
      </c>
      <c r="P123" s="53">
        <f>COUNTIFS('00 Encuesta'!$B$2:$B$511,"*b)*",'00 Encuesta'!$C$2:$C$511,"*b)*",'00 Encuesta'!$E$2:$E$511,"*a)*",'00 Encuesta'!$Q$2:$Q$511,"*c)*")</f>
        <v>3</v>
      </c>
      <c r="Q123" s="52">
        <f>P123/$Q$6*100</f>
        <v>17.647058823529413</v>
      </c>
      <c r="R123" s="53">
        <f>COUNTIFS('00 Encuesta'!$B$2:$B$511,"*b)*",'00 Encuesta'!$C$2:$C$511,"*b)*",'00 Encuesta'!$E$2:$E$511,"*b)*",'00 Encuesta'!$Q$2:$Q$511,"*c)*")</f>
        <v>3</v>
      </c>
      <c r="S123" s="52">
        <f>R123/$Q$7*100</f>
        <v>20</v>
      </c>
      <c r="T123" s="3"/>
      <c r="U123" s="51">
        <f>W123+Y123</f>
        <v>0</v>
      </c>
      <c r="V123" s="52" t="e">
        <f>U123/$X$5*100</f>
        <v>#DIV/0!</v>
      </c>
      <c r="W123" s="53">
        <f>COUNTIFS('00 Encuesta'!$B$2:$B$511,"*b)*",'00 Encuesta'!$C$2:$C$511,"*d)*",'00 Encuesta'!$E$2:$E$511,"*a)*",'00 Encuesta'!$Q$2:$Q$511,"*c)*")</f>
        <v>0</v>
      </c>
      <c r="X123" s="52" t="e">
        <f>W123/$X$6*100</f>
        <v>#DIV/0!</v>
      </c>
      <c r="Y123" s="53">
        <f>COUNTIFS('00 Encuesta'!$B$2:$B$511,"*b)*",'00 Encuesta'!$C$2:$C$511,"*d)*",'00 Encuesta'!$E$2:$E$511,"*b)*",'00 Encuesta'!$Q$2:$Q$511,"*c)*")</f>
        <v>0</v>
      </c>
      <c r="Z123" s="52" t="e">
        <f>Y123/$X$7*100</f>
        <v>#DIV/0!</v>
      </c>
      <c r="AA123" s="3"/>
      <c r="AB123" s="62">
        <f>G123+N123+U123</f>
        <v>13</v>
      </c>
      <c r="AC123" s="52">
        <f>AB123*100/$AC$5</f>
        <v>18.571428571428573</v>
      </c>
      <c r="AD123" s="7"/>
      <c r="AE123" s="7"/>
      <c r="AF123" s="9" t="str">
        <f t="shared" si="148"/>
        <v>c) Poco</v>
      </c>
      <c r="AG123" s="72">
        <f>J123</f>
        <v>23.809523809523807</v>
      </c>
      <c r="AH123" s="72">
        <f>L123</f>
        <v>11.76470588235294</v>
      </c>
      <c r="AI123" s="73">
        <f>H123</f>
        <v>18.421052631578945</v>
      </c>
      <c r="AJ123" s="73"/>
      <c r="AK123" s="76">
        <f>Q123</f>
        <v>17.647058823529413</v>
      </c>
      <c r="AL123" s="76">
        <f>S123</f>
        <v>20</v>
      </c>
      <c r="AM123" s="76">
        <f>O123</f>
        <v>18.75</v>
      </c>
      <c r="AN123" s="76"/>
      <c r="AO123" s="81" t="e">
        <f>X123</f>
        <v>#DIV/0!</v>
      </c>
      <c r="AP123" s="81" t="e">
        <f>Z123</f>
        <v>#DIV/0!</v>
      </c>
      <c r="AQ123" s="81" t="e">
        <f>V123</f>
        <v>#DIV/0!</v>
      </c>
      <c r="AR123" s="7"/>
      <c r="AS123" s="76">
        <f t="shared" si="121"/>
        <v>18.571428571428573</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ht="15" x14ac:dyDescent="0.25">
      <c r="A124" s="8" t="s">
        <v>21</v>
      </c>
      <c r="B124" s="9" t="s">
        <v>105</v>
      </c>
      <c r="C124" s="7"/>
      <c r="D124" s="7"/>
      <c r="E124" s="7"/>
      <c r="F124" s="71">
        <v>0</v>
      </c>
      <c r="G124" s="51">
        <f>I124+K124</f>
        <v>1</v>
      </c>
      <c r="H124" s="52">
        <f>G124/$J$5*100</f>
        <v>2.6315789473684208</v>
      </c>
      <c r="I124" s="53">
        <f>COUNTIFS('00 Encuesta'!$B$2:$B$511,"*b)*",'00 Encuesta'!$C$2:$C$511,"*a)*",'00 Encuesta'!$E$2:$E$511,"*a)*",'00 Encuesta'!$Q$2:$Q$511,"*d)*")</f>
        <v>0</v>
      </c>
      <c r="J124" s="52">
        <f>I124/$J$6*100</f>
        <v>0</v>
      </c>
      <c r="K124" s="53">
        <f>COUNTIFS('00 Encuesta'!$B$2:$B$511,"*b)*",'00 Encuesta'!$C$2:$C$511,"*a)*",'00 Encuesta'!$E$2:$E$511,"*b)*",'00 Encuesta'!$Q$2:$Q$511,"*d)*")</f>
        <v>1</v>
      </c>
      <c r="L124" s="52">
        <f>K124/$J$7*100</f>
        <v>5.8823529411764701</v>
      </c>
      <c r="M124" s="23"/>
      <c r="N124" s="51">
        <f>P124+R124</f>
        <v>0</v>
      </c>
      <c r="O124" s="52">
        <f>N124/$Q$5*100</f>
        <v>0</v>
      </c>
      <c r="P124" s="53">
        <f>COUNTIFS('00 Encuesta'!$B$2:$B$511,"*b)*",'00 Encuesta'!$C$2:$C$511,"*b)*",'00 Encuesta'!$E$2:$E$511,"*a)*",'00 Encuesta'!$Q$2:$Q$511,"*d)*")</f>
        <v>0</v>
      </c>
      <c r="Q124" s="52">
        <f>P124/$Q$6*100</f>
        <v>0</v>
      </c>
      <c r="R124" s="53">
        <f>COUNTIFS('00 Encuesta'!$B$2:$B$511,"*b)*",'00 Encuesta'!$C$2:$C$511,"*b)*",'00 Encuesta'!$E$2:$E$511,"*b)*",'00 Encuesta'!$Q$2:$Q$511,"*d)*")</f>
        <v>0</v>
      </c>
      <c r="S124" s="52">
        <f>R124/$Q$7*100</f>
        <v>0</v>
      </c>
      <c r="T124" s="3"/>
      <c r="U124" s="51">
        <f>W124+Y124</f>
        <v>0</v>
      </c>
      <c r="V124" s="52" t="e">
        <f>U124/$X$5*100</f>
        <v>#DIV/0!</v>
      </c>
      <c r="W124" s="53">
        <f>COUNTIFS('00 Encuesta'!$B$2:$B$511,"*b)*",'00 Encuesta'!$C$2:$C$511,"*d)*",'00 Encuesta'!$E$2:$E$511,"*a)*",'00 Encuesta'!$Q$2:$Q$511,"*d)*")</f>
        <v>0</v>
      </c>
      <c r="X124" s="52" t="e">
        <f>W124/$X$6*100</f>
        <v>#DIV/0!</v>
      </c>
      <c r="Y124" s="53">
        <f>COUNTIFS('00 Encuesta'!$B$2:$B$511,"*b)*",'00 Encuesta'!$C$2:$C$511,"*d)*",'00 Encuesta'!$E$2:$E$511,"*b)*",'00 Encuesta'!$Q$2:$Q$511,"*d)*")</f>
        <v>0</v>
      </c>
      <c r="Z124" s="52" t="e">
        <f>Y124/$X$7*100</f>
        <v>#DIV/0!</v>
      </c>
      <c r="AA124" s="3"/>
      <c r="AB124" s="62">
        <f>G124+N124+U124</f>
        <v>1</v>
      </c>
      <c r="AC124" s="52">
        <f>AB124*100/$AC$5</f>
        <v>1.4285714285714286</v>
      </c>
      <c r="AD124" s="7"/>
      <c r="AE124" s="7"/>
      <c r="AF124" s="9" t="str">
        <f t="shared" si="148"/>
        <v>d) Nada</v>
      </c>
      <c r="AG124" s="72">
        <f>J124</f>
        <v>0</v>
      </c>
      <c r="AH124" s="72">
        <f>L124</f>
        <v>5.8823529411764701</v>
      </c>
      <c r="AI124" s="73">
        <f>H124</f>
        <v>2.6315789473684208</v>
      </c>
      <c r="AJ124" s="73"/>
      <c r="AK124" s="76">
        <f>Q124</f>
        <v>0</v>
      </c>
      <c r="AL124" s="76">
        <f>S124</f>
        <v>0</v>
      </c>
      <c r="AM124" s="76">
        <f>O124</f>
        <v>0</v>
      </c>
      <c r="AN124" s="76"/>
      <c r="AO124" s="81" t="e">
        <f>X124</f>
        <v>#DIV/0!</v>
      </c>
      <c r="AP124" s="81" t="e">
        <f>Z124</f>
        <v>#DIV/0!</v>
      </c>
      <c r="AQ124" s="81" t="e">
        <f>V124</f>
        <v>#DIV/0!</v>
      </c>
      <c r="AR124" s="7"/>
      <c r="AS124" s="76">
        <f t="shared" si="121"/>
        <v>1.4285714285714286</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ht="15" x14ac:dyDescent="0.25">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f>N125/$Q$5*100</f>
        <v>0</v>
      </c>
      <c r="P125" s="53"/>
      <c r="Q125" s="52">
        <f>P125/$Q$6*100</f>
        <v>0</v>
      </c>
      <c r="R125" s="53"/>
      <c r="S125" s="52">
        <f>R125/$Q$7*100</f>
        <v>0</v>
      </c>
      <c r="T125" s="3"/>
      <c r="U125" s="51">
        <f>W125+Y125</f>
        <v>0</v>
      </c>
      <c r="V125" s="52" t="e">
        <f>U125/$X$5*100</f>
        <v>#DIV/0!</v>
      </c>
      <c r="W125" s="53"/>
      <c r="X125" s="52" t="e">
        <f>W125/$X$6*100</f>
        <v>#DIV/0!</v>
      </c>
      <c r="Y125" s="53"/>
      <c r="Z125" s="52" t="e">
        <f>Y125/$X$7*100</f>
        <v>#DIV/0!</v>
      </c>
      <c r="AA125" s="3"/>
      <c r="AB125" s="62">
        <f>G125+N125+U125</f>
        <v>0</v>
      </c>
      <c r="AC125" s="52">
        <f>AB125*100/$AC$5</f>
        <v>0</v>
      </c>
      <c r="AD125" s="7"/>
      <c r="AE125" s="7"/>
      <c r="AF125" s="9" t="str">
        <f t="shared" si="148"/>
        <v>S/R Sin Respuesta</v>
      </c>
      <c r="AG125" s="72">
        <f>J125</f>
        <v>0</v>
      </c>
      <c r="AH125" s="72">
        <f>L125</f>
        <v>0</v>
      </c>
      <c r="AI125" s="73">
        <f>H125</f>
        <v>0</v>
      </c>
      <c r="AJ125" s="73"/>
      <c r="AK125" s="76">
        <f>Q125</f>
        <v>0</v>
      </c>
      <c r="AL125" s="76">
        <f>S125</f>
        <v>0</v>
      </c>
      <c r="AM125" s="76">
        <f>O125</f>
        <v>0</v>
      </c>
      <c r="AN125" s="76"/>
      <c r="AO125" s="81" t="e">
        <f>X125</f>
        <v>#DIV/0!</v>
      </c>
      <c r="AP125" s="81" t="e">
        <f>Z125</f>
        <v>#DIV/0!</v>
      </c>
      <c r="AQ125" s="81" t="e">
        <f>V125</f>
        <v>#DIV/0!</v>
      </c>
      <c r="AR125" s="7"/>
      <c r="AS125" s="76">
        <f t="shared" si="121"/>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ht="15" x14ac:dyDescent="0.25">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64.810555555555553</v>
      </c>
      <c r="AH126" s="82">
        <f>($F121*K121+$F122*K122+$F123*K123+$F124*K124)/(+K121+K122+K123+K124)</f>
        <v>69.044285714285721</v>
      </c>
      <c r="AI126" s="82">
        <f>($F121*G121+$F122*G122+$F123*G123+$F124*G124)/(G121+G122+G123+G124)</f>
        <v>66.662812500000001</v>
      </c>
      <c r="AJ126" s="82"/>
      <c r="AK126" s="82">
        <f>($F121*P121+$F122*P122+$F123*P123+$F124*P124)/(P121+P122+P123+P124)</f>
        <v>68.62294117647059</v>
      </c>
      <c r="AL126" s="82">
        <f>($F121*R121+$F122*R122+$F123*R123+$F124*R124)/(R121+R122+R123+R124)</f>
        <v>64.439333333333323</v>
      </c>
      <c r="AM126" s="82">
        <f>($F121*N121+$F122*N122+$F123*N123+$F124*N124)/(N121+N122+N123+N124)</f>
        <v>66.661874999999995</v>
      </c>
      <c r="AN126" s="82"/>
      <c r="AO126" s="82" t="e">
        <f>($F121*W121+$F122*W122+$F123*W123+$F124*W124)/(W121+W122+W123+W124)</f>
        <v>#DIV/0!</v>
      </c>
      <c r="AP126" s="82" t="e">
        <f>($F121*Y121+$F122*Y122+$F123*Y123+$F124*Y124)/(Y121+Y122+Y123+Y124)</f>
        <v>#DIV/0!</v>
      </c>
      <c r="AQ126" s="82" t="e">
        <f>($F121*U121+$F122*U122+$F123*U123+$F124*U124)/(U121+U122+U123+U124)</f>
        <v>#DIV/0!</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ht="15" x14ac:dyDescent="0.25">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ht="15" x14ac:dyDescent="0.25">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ht="15" x14ac:dyDescent="0.25">
      <c r="A130" s="8" t="s">
        <v>17</v>
      </c>
      <c r="B130" s="9" t="s">
        <v>80</v>
      </c>
      <c r="C130" s="7"/>
      <c r="D130" s="7"/>
      <c r="E130" s="7"/>
      <c r="F130" s="71"/>
      <c r="G130" s="51">
        <f t="shared" ref="G130:G140" si="149">I130+K130</f>
        <v>14</v>
      </c>
      <c r="H130" s="52">
        <f t="shared" ref="H130:H140" si="150">G130/$J$5*100</f>
        <v>36.84210526315789</v>
      </c>
      <c r="I130" s="53">
        <f>COUNTIFS('00 Encuesta'!$B$2:$B$511,"*b)*",'00 Encuesta'!$C$2:$C$511,"*a)*",'00 Encuesta'!$E$2:$E$511,"*a)*",'00 Encuesta'!$R$2:$R$511,"*a)*")</f>
        <v>8</v>
      </c>
      <c r="J130" s="52">
        <f t="shared" ref="J130:J140" si="151">I130/$J$6*100</f>
        <v>38.095238095238095</v>
      </c>
      <c r="K130" s="53">
        <f>COUNTIFS('00 Encuesta'!$B$2:$B$511,"*b)*",'00 Encuesta'!$C$2:$C$511,"*a)*",'00 Encuesta'!$E$2:$E$511,"*b)*",'00 Encuesta'!$R$2:$R$511,"*a)*")</f>
        <v>6</v>
      </c>
      <c r="L130" s="52">
        <f t="shared" ref="L130:L140" si="152">K130/$J$7*100</f>
        <v>35.294117647058826</v>
      </c>
      <c r="M130" s="23"/>
      <c r="N130" s="51">
        <f t="shared" ref="N130:N140" si="153">P130+R130</f>
        <v>20</v>
      </c>
      <c r="O130" s="52">
        <f t="shared" ref="O130:O140" si="154">N130/$Q$5*100</f>
        <v>62.5</v>
      </c>
      <c r="P130" s="53">
        <f>COUNTIFS('00 Encuesta'!$B$2:$B$511,"*b)*",'00 Encuesta'!$C$2:$C$511,"*b)*",'00 Encuesta'!$E$2:$E$511,"*a)*",'00 Encuesta'!$R$2:$R$511,"*a)*")</f>
        <v>10</v>
      </c>
      <c r="Q130" s="52">
        <f t="shared" ref="Q130:Q140" si="155">P130/$Q$6*100</f>
        <v>58.82352941176471</v>
      </c>
      <c r="R130" s="53">
        <f>COUNTIFS('00 Encuesta'!$B$2:$B$511,"*b)*",'00 Encuesta'!$C$2:$C$511,"*b)*",'00 Encuesta'!$E$2:$E$511,"*b)*",'00 Encuesta'!$R$2:$R$511,"*a)*")</f>
        <v>10</v>
      </c>
      <c r="S130" s="52">
        <f t="shared" ref="S130:S140" si="156">R130/$Q$7*100</f>
        <v>66.666666666666657</v>
      </c>
      <c r="T130" s="3"/>
      <c r="U130" s="51">
        <f t="shared" ref="U130:U140" si="157">W130+Y130</f>
        <v>0</v>
      </c>
      <c r="V130" s="52" t="e">
        <f t="shared" ref="V130:V140" si="158">U130/$X$5*100</f>
        <v>#DIV/0!</v>
      </c>
      <c r="W130" s="53">
        <f>COUNTIFS('00 Encuesta'!$B$2:$B$511,"*b)*",'00 Encuesta'!$C$2:$C$511,"*d)*",'00 Encuesta'!$E$2:$E$511,"*a)*",'00 Encuesta'!$R$2:$R$511,"*a)*")</f>
        <v>0</v>
      </c>
      <c r="X130" s="52" t="e">
        <f t="shared" ref="X130:X140" si="159">W130/$X$6*100</f>
        <v>#DIV/0!</v>
      </c>
      <c r="Y130" s="53">
        <f>COUNTIFS('00 Encuesta'!$B$2:$B$511,"*b)*",'00 Encuesta'!$C$2:$C$511,"*d)*",'00 Encuesta'!$E$2:$E$511,"*b)*",'00 Encuesta'!$R$2:$R$511,"*a)*")</f>
        <v>0</v>
      </c>
      <c r="Z130" s="52" t="e">
        <f t="shared" ref="Z130:Z140" si="160">Y130/$X$7*100</f>
        <v>#DIV/0!</v>
      </c>
      <c r="AA130" s="3"/>
      <c r="AB130" s="62">
        <f t="shared" ref="AB130:AB140" si="161">G130+N130+U130</f>
        <v>34</v>
      </c>
      <c r="AC130" s="52">
        <f t="shared" ref="AC130:AC140" si="162">AB130*100/$AC$5</f>
        <v>48.571428571428569</v>
      </c>
      <c r="AD130" s="7"/>
      <c r="AE130" s="7"/>
      <c r="AF130" s="9" t="str">
        <f t="shared" ref="AF130:AF141" si="163">A130&amp;" "&amp;B130</f>
        <v>a) La familia</v>
      </c>
      <c r="AG130" s="72">
        <f t="shared" ref="AG130:AG141" si="164">J130</f>
        <v>38.095238095238095</v>
      </c>
      <c r="AH130" s="72">
        <f t="shared" ref="AH130:AH141" si="165">L130</f>
        <v>35.294117647058826</v>
      </c>
      <c r="AI130" s="73">
        <f t="shared" ref="AI130:AI141" si="166">H130</f>
        <v>36.84210526315789</v>
      </c>
      <c r="AJ130" s="73"/>
      <c r="AK130" s="76">
        <f t="shared" ref="AK130:AK141" si="167">Q130</f>
        <v>58.82352941176471</v>
      </c>
      <c r="AL130" s="76">
        <f t="shared" ref="AL130:AL141" si="168">S130</f>
        <v>66.666666666666657</v>
      </c>
      <c r="AM130" s="76">
        <f t="shared" ref="AM130:AM141" si="169">O130</f>
        <v>62.5</v>
      </c>
      <c r="AN130" s="76"/>
      <c r="AO130" s="81" t="e">
        <f t="shared" ref="AO130:AO141" si="170">X130</f>
        <v>#DIV/0!</v>
      </c>
      <c r="AP130" s="81" t="e">
        <f t="shared" ref="AP130:AP141" si="171">Z130</f>
        <v>#DIV/0!</v>
      </c>
      <c r="AQ130" s="81" t="e">
        <f t="shared" ref="AQ130:AQ141" si="172">V130</f>
        <v>#DIV/0!</v>
      </c>
      <c r="AR130" s="7"/>
      <c r="AS130" s="76">
        <f t="shared" si="121"/>
        <v>48.571428571428569</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ht="15" x14ac:dyDescent="0.25">
      <c r="A131" s="8" t="s">
        <v>18</v>
      </c>
      <c r="B131" s="9" t="s">
        <v>81</v>
      </c>
      <c r="C131" s="7"/>
      <c r="D131" s="7"/>
      <c r="E131" s="7"/>
      <c r="F131" s="71"/>
      <c r="G131" s="51">
        <f t="shared" si="149"/>
        <v>4</v>
      </c>
      <c r="H131" s="52">
        <f t="shared" si="150"/>
        <v>10.526315789473683</v>
      </c>
      <c r="I131" s="53">
        <f>COUNTIFS('00 Encuesta'!$B$2:$B$511,"*b)*",'00 Encuesta'!$C$2:$C$511,"*a)*",'00 Encuesta'!$E$2:$E$511,"*a)*",'00 Encuesta'!$R$2:$R$511,"*b)*")</f>
        <v>0</v>
      </c>
      <c r="J131" s="52">
        <f t="shared" si="151"/>
        <v>0</v>
      </c>
      <c r="K131" s="53">
        <f>COUNTIFS('00 Encuesta'!$B$2:$B$511,"*b)*",'00 Encuesta'!$C$2:$C$511,"*a)*",'00 Encuesta'!$E$2:$E$511,"*b)*",'00 Encuesta'!$R$2:$R$511,"*b)*")</f>
        <v>4</v>
      </c>
      <c r="L131" s="52">
        <f t="shared" si="152"/>
        <v>23.52941176470588</v>
      </c>
      <c r="M131" s="23"/>
      <c r="N131" s="51">
        <f t="shared" si="153"/>
        <v>5</v>
      </c>
      <c r="O131" s="52">
        <f t="shared" si="154"/>
        <v>15.625</v>
      </c>
      <c r="P131" s="53">
        <f>COUNTIFS('00 Encuesta'!$B$2:$B$511,"*b)*",'00 Encuesta'!$C$2:$C$511,"*b)*",'00 Encuesta'!$E$2:$E$511,"*a)*",'00 Encuesta'!$R$2:$R$511,"*b)*")</f>
        <v>4</v>
      </c>
      <c r="Q131" s="52">
        <f t="shared" si="155"/>
        <v>23.52941176470588</v>
      </c>
      <c r="R131" s="53">
        <f>COUNTIFS('00 Encuesta'!$B$2:$B$511,"*b)*",'00 Encuesta'!$C$2:$C$511,"*b)*",'00 Encuesta'!$E$2:$E$511,"*b)*",'00 Encuesta'!$R$2:$R$511,"*b)*")</f>
        <v>1</v>
      </c>
      <c r="S131" s="52">
        <f t="shared" si="156"/>
        <v>6.666666666666667</v>
      </c>
      <c r="T131" s="3"/>
      <c r="U131" s="51">
        <f t="shared" si="157"/>
        <v>0</v>
      </c>
      <c r="V131" s="52" t="e">
        <f t="shared" si="158"/>
        <v>#DIV/0!</v>
      </c>
      <c r="W131" s="53">
        <f>COUNTIFS('00 Encuesta'!$B$2:$B$511,"*b)*",'00 Encuesta'!$C$2:$C$511,"*d)*",'00 Encuesta'!$E$2:$E$511,"*a)*",'00 Encuesta'!$R$2:$R$511,"*b)*")</f>
        <v>0</v>
      </c>
      <c r="X131" s="52" t="e">
        <f t="shared" si="159"/>
        <v>#DIV/0!</v>
      </c>
      <c r="Y131" s="53">
        <f>COUNTIFS('00 Encuesta'!$B$2:$B$511,"*b)*",'00 Encuesta'!$C$2:$C$511,"*d)*",'00 Encuesta'!$E$2:$E$511,"*b)*",'00 Encuesta'!$R$2:$R$511,"*b)*")</f>
        <v>0</v>
      </c>
      <c r="Z131" s="52" t="e">
        <f t="shared" si="160"/>
        <v>#DIV/0!</v>
      </c>
      <c r="AA131" s="3"/>
      <c r="AB131" s="62">
        <f t="shared" si="161"/>
        <v>9</v>
      </c>
      <c r="AC131" s="52">
        <f t="shared" si="162"/>
        <v>12.857142857142858</v>
      </c>
      <c r="AD131" s="7"/>
      <c r="AE131" s="7"/>
      <c r="AF131" s="9" t="str">
        <f t="shared" si="163"/>
        <v>b) Los amigos</v>
      </c>
      <c r="AG131" s="72">
        <f t="shared" si="164"/>
        <v>0</v>
      </c>
      <c r="AH131" s="72">
        <f t="shared" si="165"/>
        <v>23.52941176470588</v>
      </c>
      <c r="AI131" s="73">
        <f t="shared" si="166"/>
        <v>10.526315789473683</v>
      </c>
      <c r="AJ131" s="73"/>
      <c r="AK131" s="76">
        <f t="shared" si="167"/>
        <v>23.52941176470588</v>
      </c>
      <c r="AL131" s="76">
        <f t="shared" si="168"/>
        <v>6.666666666666667</v>
      </c>
      <c r="AM131" s="76">
        <f t="shared" si="169"/>
        <v>15.625</v>
      </c>
      <c r="AN131" s="76"/>
      <c r="AO131" s="81" t="e">
        <f t="shared" si="170"/>
        <v>#DIV/0!</v>
      </c>
      <c r="AP131" s="81" t="e">
        <f t="shared" si="171"/>
        <v>#DIV/0!</v>
      </c>
      <c r="AQ131" s="81" t="e">
        <f t="shared" si="172"/>
        <v>#DIV/0!</v>
      </c>
      <c r="AR131" s="7"/>
      <c r="AS131" s="76">
        <f t="shared" si="121"/>
        <v>12.857142857142858</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ht="15" x14ac:dyDescent="0.25">
      <c r="A132" s="8" t="s">
        <v>20</v>
      </c>
      <c r="B132" s="9" t="s">
        <v>82</v>
      </c>
      <c r="C132" s="7"/>
      <c r="D132" s="7"/>
      <c r="E132" s="7"/>
      <c r="F132" s="71"/>
      <c r="G132" s="51">
        <f t="shared" si="149"/>
        <v>20</v>
      </c>
      <c r="H132" s="52">
        <f t="shared" si="150"/>
        <v>52.631578947368418</v>
      </c>
      <c r="I132" s="53">
        <f>COUNTIFS('00 Encuesta'!$B$2:$B$511,"*b)*",'00 Encuesta'!$C$2:$C$511,"*a)*",'00 Encuesta'!$E$2:$E$511,"*a)*",'00 Encuesta'!$R$2:$R$511,"*c)*")</f>
        <v>12</v>
      </c>
      <c r="J132" s="52">
        <f t="shared" si="151"/>
        <v>57.142857142857139</v>
      </c>
      <c r="K132" s="53">
        <f>COUNTIFS('00 Encuesta'!$B$2:$B$511,"*b)*",'00 Encuesta'!$C$2:$C$511,"*a)*",'00 Encuesta'!$E$2:$E$511,"*b)*",'00 Encuesta'!$R$2:$R$511,"*c)*")</f>
        <v>8</v>
      </c>
      <c r="L132" s="52">
        <f t="shared" si="152"/>
        <v>47.058823529411761</v>
      </c>
      <c r="M132" s="23"/>
      <c r="N132" s="51">
        <f t="shared" si="153"/>
        <v>27</v>
      </c>
      <c r="O132" s="52">
        <f t="shared" si="154"/>
        <v>84.375</v>
      </c>
      <c r="P132" s="53">
        <f>COUNTIFS('00 Encuesta'!$B$2:$B$511,"*b)*",'00 Encuesta'!$C$2:$C$511,"*b)*",'00 Encuesta'!$E$2:$E$511,"*a)*",'00 Encuesta'!$R$2:$R$511,"*c)*")</f>
        <v>15</v>
      </c>
      <c r="Q132" s="52">
        <f t="shared" si="155"/>
        <v>88.235294117647058</v>
      </c>
      <c r="R132" s="53">
        <f>COUNTIFS('00 Encuesta'!$B$2:$B$511,"*b)*",'00 Encuesta'!$C$2:$C$511,"*b)*",'00 Encuesta'!$E$2:$E$511,"*b)*",'00 Encuesta'!$R$2:$R$511,"*c)*")</f>
        <v>12</v>
      </c>
      <c r="S132" s="52">
        <f t="shared" si="156"/>
        <v>80</v>
      </c>
      <c r="T132" s="3"/>
      <c r="U132" s="51">
        <f t="shared" si="157"/>
        <v>0</v>
      </c>
      <c r="V132" s="52" t="e">
        <f t="shared" si="158"/>
        <v>#DIV/0!</v>
      </c>
      <c r="W132" s="53">
        <f>COUNTIFS('00 Encuesta'!$B$2:$B$511,"*b)*",'00 Encuesta'!$C$2:$C$511,"*d)*",'00 Encuesta'!$E$2:$E$511,"*a)*",'00 Encuesta'!$R$2:$R$511,"*c)*")</f>
        <v>0</v>
      </c>
      <c r="X132" s="52" t="e">
        <f t="shared" si="159"/>
        <v>#DIV/0!</v>
      </c>
      <c r="Y132" s="53">
        <f>COUNTIFS('00 Encuesta'!$B$2:$B$511,"*b)*",'00 Encuesta'!$C$2:$C$511,"*d)*",'00 Encuesta'!$E$2:$E$511,"*b)*",'00 Encuesta'!$R$2:$R$511,"*c)*")</f>
        <v>0</v>
      </c>
      <c r="Z132" s="52" t="e">
        <f t="shared" si="160"/>
        <v>#DIV/0!</v>
      </c>
      <c r="AA132" s="3"/>
      <c r="AB132" s="62">
        <f t="shared" si="161"/>
        <v>47</v>
      </c>
      <c r="AC132" s="52">
        <f t="shared" si="162"/>
        <v>67.142857142857139</v>
      </c>
      <c r="AD132" s="7"/>
      <c r="AE132" s="7"/>
      <c r="AF132" s="9" t="str">
        <f t="shared" si="163"/>
        <v>c) Los estudios</v>
      </c>
      <c r="AG132" s="72">
        <f t="shared" si="164"/>
        <v>57.142857142857139</v>
      </c>
      <c r="AH132" s="72">
        <f t="shared" si="165"/>
        <v>47.058823529411761</v>
      </c>
      <c r="AI132" s="73">
        <f t="shared" si="166"/>
        <v>52.631578947368418</v>
      </c>
      <c r="AJ132" s="73"/>
      <c r="AK132" s="76">
        <f t="shared" si="167"/>
        <v>88.235294117647058</v>
      </c>
      <c r="AL132" s="76">
        <f t="shared" si="168"/>
        <v>80</v>
      </c>
      <c r="AM132" s="76">
        <f t="shared" si="169"/>
        <v>84.375</v>
      </c>
      <c r="AN132" s="76"/>
      <c r="AO132" s="81" t="e">
        <f t="shared" si="170"/>
        <v>#DIV/0!</v>
      </c>
      <c r="AP132" s="81" t="e">
        <f t="shared" si="171"/>
        <v>#DIV/0!</v>
      </c>
      <c r="AQ132" s="81" t="e">
        <f t="shared" si="172"/>
        <v>#DIV/0!</v>
      </c>
      <c r="AR132" s="7"/>
      <c r="AS132" s="76">
        <f t="shared" si="121"/>
        <v>67.142857142857139</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ht="15" x14ac:dyDescent="0.25">
      <c r="A133" s="8" t="s">
        <v>21</v>
      </c>
      <c r="B133" s="9" t="s">
        <v>83</v>
      </c>
      <c r="C133" s="7"/>
      <c r="D133" s="7"/>
      <c r="E133" s="7"/>
      <c r="F133" s="71"/>
      <c r="G133" s="51">
        <f t="shared" si="149"/>
        <v>8</v>
      </c>
      <c r="H133" s="52">
        <f t="shared" si="150"/>
        <v>21.052631578947366</v>
      </c>
      <c r="I133" s="53">
        <f>COUNTIFS('00 Encuesta'!$B$2:$B$511,"*b)*",'00 Encuesta'!$C$2:$C$511,"*a)*",'00 Encuesta'!$E$2:$E$511,"*a)*",'00 Encuesta'!$R$2:$R$511,"*d)*")</f>
        <v>3</v>
      </c>
      <c r="J133" s="52">
        <f t="shared" si="151"/>
        <v>14.285714285714285</v>
      </c>
      <c r="K133" s="53">
        <f>COUNTIFS('00 Encuesta'!$B$2:$B$511,"*b)*",'00 Encuesta'!$C$2:$C$511,"*a)*",'00 Encuesta'!$E$2:$E$511,"*b)*",'00 Encuesta'!$R$2:$R$511,"*d)*")</f>
        <v>5</v>
      </c>
      <c r="L133" s="52">
        <f t="shared" si="152"/>
        <v>29.411764705882355</v>
      </c>
      <c r="M133" s="23"/>
      <c r="N133" s="51">
        <f t="shared" si="153"/>
        <v>6</v>
      </c>
      <c r="O133" s="52">
        <f t="shared" si="154"/>
        <v>18.75</v>
      </c>
      <c r="P133" s="53">
        <f>COUNTIFS('00 Encuesta'!$B$2:$B$511,"*b)*",'00 Encuesta'!$C$2:$C$511,"*b)*",'00 Encuesta'!$E$2:$E$511,"*a)*",'00 Encuesta'!$R$2:$R$511,"*d)*")</f>
        <v>2</v>
      </c>
      <c r="Q133" s="52">
        <f t="shared" si="155"/>
        <v>11.76470588235294</v>
      </c>
      <c r="R133" s="53">
        <f>COUNTIFS('00 Encuesta'!$B$2:$B$511,"*b)*",'00 Encuesta'!$C$2:$C$511,"*b)*",'00 Encuesta'!$E$2:$E$511,"*b)*",'00 Encuesta'!$R$2:$R$511,"*d)*")</f>
        <v>4</v>
      </c>
      <c r="S133" s="52">
        <f t="shared" si="156"/>
        <v>26.666666666666668</v>
      </c>
      <c r="T133" s="3"/>
      <c r="U133" s="51">
        <f t="shared" si="157"/>
        <v>0</v>
      </c>
      <c r="V133" s="52" t="e">
        <f t="shared" si="158"/>
        <v>#DIV/0!</v>
      </c>
      <c r="W133" s="53">
        <f>COUNTIFS('00 Encuesta'!$B$2:$B$511,"*b)*",'00 Encuesta'!$C$2:$C$511,"*d)*",'00 Encuesta'!$E$2:$E$511,"*a)*",'00 Encuesta'!$R$2:$R$511,"*d)*")</f>
        <v>0</v>
      </c>
      <c r="X133" s="52" t="e">
        <f t="shared" si="159"/>
        <v>#DIV/0!</v>
      </c>
      <c r="Y133" s="53">
        <f>COUNTIFS('00 Encuesta'!$B$2:$B$511,"*b)*",'00 Encuesta'!$C$2:$C$511,"*d)*",'00 Encuesta'!$E$2:$E$511,"*b)*",'00 Encuesta'!$R$2:$R$511,"*d)*")</f>
        <v>0</v>
      </c>
      <c r="Z133" s="52" t="e">
        <f t="shared" si="160"/>
        <v>#DIV/0!</v>
      </c>
      <c r="AA133" s="3"/>
      <c r="AB133" s="62">
        <f t="shared" si="161"/>
        <v>14</v>
      </c>
      <c r="AC133" s="52">
        <f t="shared" si="162"/>
        <v>20</v>
      </c>
      <c r="AD133" s="7"/>
      <c r="AE133" s="7"/>
      <c r="AF133" s="9" t="str">
        <f t="shared" si="163"/>
        <v>d) El cuidado de mi cuerpo</v>
      </c>
      <c r="AG133" s="72">
        <f t="shared" si="164"/>
        <v>14.285714285714285</v>
      </c>
      <c r="AH133" s="72">
        <f t="shared" si="165"/>
        <v>29.411764705882355</v>
      </c>
      <c r="AI133" s="73">
        <f t="shared" si="166"/>
        <v>21.052631578947366</v>
      </c>
      <c r="AJ133" s="73"/>
      <c r="AK133" s="76">
        <f t="shared" si="167"/>
        <v>11.76470588235294</v>
      </c>
      <c r="AL133" s="76">
        <f t="shared" si="168"/>
        <v>26.666666666666668</v>
      </c>
      <c r="AM133" s="76">
        <f t="shared" si="169"/>
        <v>18.75</v>
      </c>
      <c r="AN133" s="76"/>
      <c r="AO133" s="81" t="e">
        <f t="shared" si="170"/>
        <v>#DIV/0!</v>
      </c>
      <c r="AP133" s="81" t="e">
        <f t="shared" si="171"/>
        <v>#DIV/0!</v>
      </c>
      <c r="AQ133" s="81" t="e">
        <f t="shared" si="172"/>
        <v>#DIV/0!</v>
      </c>
      <c r="AR133" s="7"/>
      <c r="AS133" s="76">
        <f t="shared" si="121"/>
        <v>20</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ht="15" x14ac:dyDescent="0.25">
      <c r="A134" s="8" t="s">
        <v>22</v>
      </c>
      <c r="B134" s="9" t="s">
        <v>84</v>
      </c>
      <c r="C134" s="7"/>
      <c r="D134" s="7"/>
      <c r="E134" s="7"/>
      <c r="F134" s="71"/>
      <c r="G134" s="51">
        <f t="shared" si="149"/>
        <v>3</v>
      </c>
      <c r="H134" s="52">
        <f t="shared" si="150"/>
        <v>7.8947368421052628</v>
      </c>
      <c r="I134" s="53">
        <f>COUNTIFS('00 Encuesta'!$B$2:$B$511,"*b)*",'00 Encuesta'!$C$2:$C$511,"*a)*",'00 Encuesta'!$E$2:$E$511,"*a)*",'00 Encuesta'!$R$2:$R$511,"*e)*")</f>
        <v>2</v>
      </c>
      <c r="J134" s="52">
        <f t="shared" si="151"/>
        <v>9.5238095238095237</v>
      </c>
      <c r="K134" s="53">
        <f>COUNTIFS('00 Encuesta'!$B$2:$B$511,"*b)*",'00 Encuesta'!$C$2:$C$511,"*a)*",'00 Encuesta'!$E$2:$E$511,"*b)*",'00 Encuesta'!$R$2:$R$511,"*e)*")</f>
        <v>1</v>
      </c>
      <c r="L134" s="52">
        <f t="shared" si="152"/>
        <v>5.8823529411764701</v>
      </c>
      <c r="M134" s="23"/>
      <c r="N134" s="51">
        <f t="shared" si="153"/>
        <v>0</v>
      </c>
      <c r="O134" s="52">
        <f t="shared" si="154"/>
        <v>0</v>
      </c>
      <c r="P134" s="53">
        <f>COUNTIFS('00 Encuesta'!$B$2:$B$511,"*b)*",'00 Encuesta'!$C$2:$C$511,"*b)*",'00 Encuesta'!$E$2:$E$511,"*a)*",'00 Encuesta'!$R$2:$R$511,"*e)*")</f>
        <v>0</v>
      </c>
      <c r="Q134" s="52">
        <f t="shared" si="155"/>
        <v>0</v>
      </c>
      <c r="R134" s="53">
        <f>COUNTIFS('00 Encuesta'!$B$2:$B$511,"*b)*",'00 Encuesta'!$C$2:$C$511,"*b)*",'00 Encuesta'!$E$2:$E$511,"*b)*",'00 Encuesta'!$R$2:$R$511,"*e)*")</f>
        <v>0</v>
      </c>
      <c r="S134" s="52">
        <f t="shared" si="156"/>
        <v>0</v>
      </c>
      <c r="T134" s="3"/>
      <c r="U134" s="51">
        <f t="shared" si="157"/>
        <v>0</v>
      </c>
      <c r="V134" s="52" t="e">
        <f t="shared" si="158"/>
        <v>#DIV/0!</v>
      </c>
      <c r="W134" s="53">
        <f>COUNTIFS('00 Encuesta'!$B$2:$B$511,"*b)*",'00 Encuesta'!$C$2:$C$511,"*d)*",'00 Encuesta'!$E$2:$E$511,"*a)*",'00 Encuesta'!$R$2:$R$511,"*e)*")</f>
        <v>0</v>
      </c>
      <c r="X134" s="52" t="e">
        <f t="shared" si="159"/>
        <v>#DIV/0!</v>
      </c>
      <c r="Y134" s="53">
        <f>COUNTIFS('00 Encuesta'!$B$2:$B$511,"*b)*",'00 Encuesta'!$C$2:$C$511,"*d)*",'00 Encuesta'!$E$2:$E$511,"*b)*",'00 Encuesta'!$R$2:$R$511,"*e)*")</f>
        <v>0</v>
      </c>
      <c r="Z134" s="52" t="e">
        <f t="shared" si="160"/>
        <v>#DIV/0!</v>
      </c>
      <c r="AA134" s="3"/>
      <c r="AB134" s="62">
        <f t="shared" si="161"/>
        <v>3</v>
      </c>
      <c r="AC134" s="52">
        <f t="shared" si="162"/>
        <v>4.2857142857142856</v>
      </c>
      <c r="AD134" s="7"/>
      <c r="AE134" s="7"/>
      <c r="AF134" s="9" t="str">
        <f t="shared" si="163"/>
        <v>e) Disponer de dinero</v>
      </c>
      <c r="AG134" s="72">
        <f t="shared" si="164"/>
        <v>9.5238095238095237</v>
      </c>
      <c r="AH134" s="72">
        <f t="shared" si="165"/>
        <v>5.8823529411764701</v>
      </c>
      <c r="AI134" s="73">
        <f t="shared" si="166"/>
        <v>7.8947368421052628</v>
      </c>
      <c r="AJ134" s="73"/>
      <c r="AK134" s="76">
        <f t="shared" si="167"/>
        <v>0</v>
      </c>
      <c r="AL134" s="76">
        <f t="shared" si="168"/>
        <v>0</v>
      </c>
      <c r="AM134" s="76">
        <f t="shared" si="169"/>
        <v>0</v>
      </c>
      <c r="AN134" s="76"/>
      <c r="AO134" s="81" t="e">
        <f t="shared" si="170"/>
        <v>#DIV/0!</v>
      </c>
      <c r="AP134" s="81" t="e">
        <f t="shared" si="171"/>
        <v>#DIV/0!</v>
      </c>
      <c r="AQ134" s="81" t="e">
        <f t="shared" si="172"/>
        <v>#DIV/0!</v>
      </c>
      <c r="AR134" s="7"/>
      <c r="AS134" s="76">
        <f t="shared" si="121"/>
        <v>4.2857142857142856</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ht="15" x14ac:dyDescent="0.25">
      <c r="A135" s="8" t="s">
        <v>45</v>
      </c>
      <c r="B135" s="9" t="s">
        <v>110</v>
      </c>
      <c r="C135" s="7"/>
      <c r="D135" s="7"/>
      <c r="E135" s="7"/>
      <c r="F135" s="71"/>
      <c r="G135" s="51">
        <f t="shared" si="149"/>
        <v>4</v>
      </c>
      <c r="H135" s="52">
        <f t="shared" si="150"/>
        <v>10.526315789473683</v>
      </c>
      <c r="I135" s="53">
        <f>COUNTIFS('00 Encuesta'!$B$2:$B$511,"*b)*",'00 Encuesta'!$C$2:$C$511,"*a)*",'00 Encuesta'!$E$2:$E$511,"*a)*",'00 Encuesta'!$R$2:$R$511,"*f)*")</f>
        <v>3</v>
      </c>
      <c r="J135" s="52">
        <f t="shared" si="151"/>
        <v>14.285714285714285</v>
      </c>
      <c r="K135" s="53">
        <f>COUNTIFS('00 Encuesta'!$B$2:$B$511,"*b)*",'00 Encuesta'!$C$2:$C$511,"*a)*",'00 Encuesta'!$E$2:$E$511,"*b)*",'00 Encuesta'!$R$2:$R$511,"*f)*")</f>
        <v>1</v>
      </c>
      <c r="L135" s="52">
        <f t="shared" si="152"/>
        <v>5.8823529411764701</v>
      </c>
      <c r="M135" s="23"/>
      <c r="N135" s="51">
        <f t="shared" si="153"/>
        <v>7</v>
      </c>
      <c r="O135" s="52">
        <f t="shared" si="154"/>
        <v>21.875</v>
      </c>
      <c r="P135" s="53">
        <f>COUNTIFS('00 Encuesta'!$B$2:$B$511,"*b)*",'00 Encuesta'!$C$2:$C$511,"*b)*",'00 Encuesta'!$E$2:$E$511,"*a)*",'00 Encuesta'!$R$2:$R$511,"*f)*")</f>
        <v>2</v>
      </c>
      <c r="Q135" s="52">
        <f t="shared" si="155"/>
        <v>11.76470588235294</v>
      </c>
      <c r="R135" s="53">
        <f>COUNTIFS('00 Encuesta'!$B$2:$B$511,"*b)*",'00 Encuesta'!$C$2:$C$511,"*b)*",'00 Encuesta'!$E$2:$E$511,"*b)*",'00 Encuesta'!$R$2:$R$511,"*f)*")</f>
        <v>5</v>
      </c>
      <c r="S135" s="52">
        <f t="shared" si="156"/>
        <v>33.333333333333329</v>
      </c>
      <c r="T135" s="3"/>
      <c r="U135" s="51">
        <f t="shared" si="157"/>
        <v>0</v>
      </c>
      <c r="V135" s="52" t="e">
        <f t="shared" si="158"/>
        <v>#DIV/0!</v>
      </c>
      <c r="W135" s="53">
        <f>COUNTIFS('00 Encuesta'!$B$2:$B$511,"*b)*",'00 Encuesta'!$C$2:$C$511,"*d)*",'00 Encuesta'!$E$2:$E$511,"*a)*",'00 Encuesta'!$R$2:$R$511,"*f)*")</f>
        <v>0</v>
      </c>
      <c r="X135" s="52" t="e">
        <f t="shared" si="159"/>
        <v>#DIV/0!</v>
      </c>
      <c r="Y135" s="53">
        <f>COUNTIFS('00 Encuesta'!$B$2:$B$511,"*b)*",'00 Encuesta'!$C$2:$C$511,"*d)*",'00 Encuesta'!$E$2:$E$511,"*b)*",'00 Encuesta'!$R$2:$R$511,"*f)*")</f>
        <v>0</v>
      </c>
      <c r="Z135" s="52" t="e">
        <f t="shared" si="160"/>
        <v>#DIV/0!</v>
      </c>
      <c r="AA135" s="3"/>
      <c r="AB135" s="62">
        <f t="shared" si="161"/>
        <v>11</v>
      </c>
      <c r="AC135" s="52">
        <f t="shared" si="162"/>
        <v>15.714285714285714</v>
      </c>
      <c r="AD135" s="7"/>
      <c r="AE135" s="7"/>
      <c r="AF135" s="9" t="str">
        <f t="shared" si="163"/>
        <v>f) Mi fe y mi vida cristiana</v>
      </c>
      <c r="AG135" s="72">
        <f t="shared" si="164"/>
        <v>14.285714285714285</v>
      </c>
      <c r="AH135" s="72">
        <f t="shared" si="165"/>
        <v>5.8823529411764701</v>
      </c>
      <c r="AI135" s="73">
        <f t="shared" si="166"/>
        <v>10.526315789473683</v>
      </c>
      <c r="AJ135" s="73"/>
      <c r="AK135" s="76">
        <f t="shared" si="167"/>
        <v>11.76470588235294</v>
      </c>
      <c r="AL135" s="76">
        <f t="shared" si="168"/>
        <v>33.333333333333329</v>
      </c>
      <c r="AM135" s="76">
        <f t="shared" si="169"/>
        <v>21.875</v>
      </c>
      <c r="AN135" s="76"/>
      <c r="AO135" s="81" t="e">
        <f t="shared" si="170"/>
        <v>#DIV/0!</v>
      </c>
      <c r="AP135" s="81" t="e">
        <f t="shared" si="171"/>
        <v>#DIV/0!</v>
      </c>
      <c r="AQ135" s="81" t="e">
        <f t="shared" si="172"/>
        <v>#DIV/0!</v>
      </c>
      <c r="AR135" s="7"/>
      <c r="AS135" s="76">
        <f t="shared" si="121"/>
        <v>15.714285714285714</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ht="15" x14ac:dyDescent="0.25">
      <c r="A136" s="8" t="s">
        <v>61</v>
      </c>
      <c r="B136" s="9" t="s">
        <v>86</v>
      </c>
      <c r="C136" s="7"/>
      <c r="D136" s="7"/>
      <c r="E136" s="7"/>
      <c r="F136" s="71"/>
      <c r="G136" s="51">
        <f t="shared" si="149"/>
        <v>7</v>
      </c>
      <c r="H136" s="52">
        <f t="shared" si="150"/>
        <v>18.421052631578945</v>
      </c>
      <c r="I136" s="53">
        <f>COUNTIFS('00 Encuesta'!$B$2:$B$511,"*b)*",'00 Encuesta'!$C$2:$C$511,"*a)*",'00 Encuesta'!$E$2:$E$511,"*a)*",'00 Encuesta'!$R$2:$R$511,"*g)*")</f>
        <v>6</v>
      </c>
      <c r="J136" s="52">
        <f t="shared" si="151"/>
        <v>28.571428571428569</v>
      </c>
      <c r="K136" s="53">
        <f>COUNTIFS('00 Encuesta'!$B$2:$B$511,"*b)*",'00 Encuesta'!$C$2:$C$511,"*a)*",'00 Encuesta'!$E$2:$E$511,"*b)*",'00 Encuesta'!$R$2:$R$511,"*g)*")</f>
        <v>1</v>
      </c>
      <c r="L136" s="52">
        <f t="shared" si="152"/>
        <v>5.8823529411764701</v>
      </c>
      <c r="M136" s="23"/>
      <c r="N136" s="51">
        <f t="shared" si="153"/>
        <v>16</v>
      </c>
      <c r="O136" s="52">
        <f t="shared" si="154"/>
        <v>50</v>
      </c>
      <c r="P136" s="53">
        <f>COUNTIFS('00 Encuesta'!$B$2:$B$511,"*b)*",'00 Encuesta'!$C$2:$C$511,"*b)*",'00 Encuesta'!$E$2:$E$511,"*a)*",'00 Encuesta'!$R$2:$R$511,"*g)*")</f>
        <v>8</v>
      </c>
      <c r="Q136" s="52">
        <f t="shared" si="155"/>
        <v>47.058823529411761</v>
      </c>
      <c r="R136" s="53">
        <f>COUNTIFS('00 Encuesta'!$B$2:$B$511,"*b)*",'00 Encuesta'!$C$2:$C$511,"*b)*",'00 Encuesta'!$E$2:$E$511,"*b)*",'00 Encuesta'!$R$2:$R$511,"*g)*")</f>
        <v>8</v>
      </c>
      <c r="S136" s="52">
        <f t="shared" si="156"/>
        <v>53.333333333333336</v>
      </c>
      <c r="T136" s="3"/>
      <c r="U136" s="51">
        <f t="shared" si="157"/>
        <v>0</v>
      </c>
      <c r="V136" s="52" t="e">
        <f t="shared" si="158"/>
        <v>#DIV/0!</v>
      </c>
      <c r="W136" s="53">
        <f>COUNTIFS('00 Encuesta'!$B$2:$B$511,"*b)*",'00 Encuesta'!$C$2:$C$511,"*d)*",'00 Encuesta'!$E$2:$E$511,"*a)*",'00 Encuesta'!$R$2:$R$511,"*g)*")</f>
        <v>0</v>
      </c>
      <c r="X136" s="52" t="e">
        <f t="shared" si="159"/>
        <v>#DIV/0!</v>
      </c>
      <c r="Y136" s="53">
        <f>COUNTIFS('00 Encuesta'!$B$2:$B$511,"*b)*",'00 Encuesta'!$C$2:$C$511,"*d)*",'00 Encuesta'!$E$2:$E$511,"*b)*",'00 Encuesta'!$R$2:$R$511,"*g)*")</f>
        <v>0</v>
      </c>
      <c r="Z136" s="52" t="e">
        <f t="shared" si="160"/>
        <v>#DIV/0!</v>
      </c>
      <c r="AA136" s="3"/>
      <c r="AB136" s="62">
        <f t="shared" si="161"/>
        <v>23</v>
      </c>
      <c r="AC136" s="52">
        <f t="shared" si="162"/>
        <v>32.857142857142854</v>
      </c>
      <c r="AD136" s="7"/>
      <c r="AE136" s="7"/>
      <c r="AF136" s="9" t="str">
        <f t="shared" si="163"/>
        <v>g) La felicidad</v>
      </c>
      <c r="AG136" s="72">
        <f t="shared" si="164"/>
        <v>28.571428571428569</v>
      </c>
      <c r="AH136" s="72">
        <f t="shared" si="165"/>
        <v>5.8823529411764701</v>
      </c>
      <c r="AI136" s="73">
        <f t="shared" si="166"/>
        <v>18.421052631578945</v>
      </c>
      <c r="AJ136" s="73"/>
      <c r="AK136" s="76">
        <f t="shared" si="167"/>
        <v>47.058823529411761</v>
      </c>
      <c r="AL136" s="76">
        <f t="shared" si="168"/>
        <v>53.333333333333336</v>
      </c>
      <c r="AM136" s="76">
        <f t="shared" si="169"/>
        <v>50</v>
      </c>
      <c r="AN136" s="76"/>
      <c r="AO136" s="81" t="e">
        <f t="shared" si="170"/>
        <v>#DIV/0!</v>
      </c>
      <c r="AP136" s="81" t="e">
        <f t="shared" si="171"/>
        <v>#DIV/0!</v>
      </c>
      <c r="AQ136" s="81" t="e">
        <f t="shared" si="172"/>
        <v>#DIV/0!</v>
      </c>
      <c r="AR136" s="7"/>
      <c r="AS136" s="76">
        <f t="shared" si="121"/>
        <v>32.857142857142854</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ht="15" x14ac:dyDescent="0.25">
      <c r="A137" s="8" t="s">
        <v>63</v>
      </c>
      <c r="B137" s="9" t="s">
        <v>87</v>
      </c>
      <c r="C137" s="7"/>
      <c r="D137" s="7"/>
      <c r="E137" s="7"/>
      <c r="F137" s="71"/>
      <c r="G137" s="51">
        <f t="shared" si="149"/>
        <v>0</v>
      </c>
      <c r="H137" s="52">
        <f t="shared" si="150"/>
        <v>0</v>
      </c>
      <c r="I137" s="53">
        <f>COUNTIFS('00 Encuesta'!$B$2:$B$511,"*b)*",'00 Encuesta'!$C$2:$C$511,"*a)*",'00 Encuesta'!$E$2:$E$511,"*a)*",'00 Encuesta'!$R$2:$R$511,"*h)*")</f>
        <v>0</v>
      </c>
      <c r="J137" s="52">
        <f t="shared" si="151"/>
        <v>0</v>
      </c>
      <c r="K137" s="53">
        <f>COUNTIFS('00 Encuesta'!$B$2:$B$511,"*b)*",'00 Encuesta'!$C$2:$C$511,"*a)*",'00 Encuesta'!$E$2:$E$511,"*b)*",'00 Encuesta'!$R$2:$R$511,"*h)*")</f>
        <v>0</v>
      </c>
      <c r="L137" s="52">
        <f t="shared" si="152"/>
        <v>0</v>
      </c>
      <c r="M137" s="23"/>
      <c r="N137" s="51">
        <f t="shared" si="153"/>
        <v>0</v>
      </c>
      <c r="O137" s="52">
        <f t="shared" si="154"/>
        <v>0</v>
      </c>
      <c r="P137" s="53">
        <f>COUNTIFS('00 Encuesta'!$B$2:$B$511,"*b)*",'00 Encuesta'!$C$2:$C$511,"*b)*",'00 Encuesta'!$E$2:$E$511,"*a)*",'00 Encuesta'!$R$2:$R$511,"*h)*")</f>
        <v>0</v>
      </c>
      <c r="Q137" s="52">
        <f t="shared" si="155"/>
        <v>0</v>
      </c>
      <c r="R137" s="53">
        <f>COUNTIFS('00 Encuesta'!$B$2:$B$511,"*b)*",'00 Encuesta'!$C$2:$C$511,"*b)*",'00 Encuesta'!$E$2:$E$511,"*b)*",'00 Encuesta'!$R$2:$R$511,"*h)*")</f>
        <v>0</v>
      </c>
      <c r="S137" s="52">
        <f t="shared" si="156"/>
        <v>0</v>
      </c>
      <c r="T137" s="3"/>
      <c r="U137" s="51">
        <f t="shared" si="157"/>
        <v>0</v>
      </c>
      <c r="V137" s="52" t="e">
        <f t="shared" si="158"/>
        <v>#DIV/0!</v>
      </c>
      <c r="W137" s="53">
        <f>COUNTIFS('00 Encuesta'!$B$2:$B$511,"*b)*",'00 Encuesta'!$C$2:$C$511,"*d)*",'00 Encuesta'!$E$2:$E$511,"*a)*",'00 Encuesta'!$R$2:$R$511,"*h)*")</f>
        <v>0</v>
      </c>
      <c r="X137" s="52" t="e">
        <f t="shared" si="159"/>
        <v>#DIV/0!</v>
      </c>
      <c r="Y137" s="53">
        <f>COUNTIFS('00 Encuesta'!$B$2:$B$511,"*b)*",'00 Encuesta'!$C$2:$C$511,"*d)*",'00 Encuesta'!$E$2:$E$511,"*b)*",'00 Encuesta'!$R$2:$R$511,"*h)*")</f>
        <v>0</v>
      </c>
      <c r="Z137" s="52" t="e">
        <f t="shared" si="160"/>
        <v>#DIV/0!</v>
      </c>
      <c r="AA137" s="3"/>
      <c r="AB137" s="62">
        <f t="shared" si="161"/>
        <v>0</v>
      </c>
      <c r="AC137" s="52">
        <f t="shared" si="162"/>
        <v>0</v>
      </c>
      <c r="AD137" s="7"/>
      <c r="AE137" s="7"/>
      <c r="AF137" s="9" t="str">
        <f t="shared" si="163"/>
        <v>h) La sexualidad</v>
      </c>
      <c r="AG137" s="72">
        <f t="shared" si="164"/>
        <v>0</v>
      </c>
      <c r="AH137" s="72">
        <f t="shared" si="165"/>
        <v>0</v>
      </c>
      <c r="AI137" s="73">
        <f t="shared" si="166"/>
        <v>0</v>
      </c>
      <c r="AJ137" s="73"/>
      <c r="AK137" s="76">
        <f t="shared" si="167"/>
        <v>0</v>
      </c>
      <c r="AL137" s="76">
        <f t="shared" si="168"/>
        <v>0</v>
      </c>
      <c r="AM137" s="76">
        <f t="shared" si="169"/>
        <v>0</v>
      </c>
      <c r="AN137" s="76"/>
      <c r="AO137" s="81" t="e">
        <f t="shared" si="170"/>
        <v>#DIV/0!</v>
      </c>
      <c r="AP137" s="81" t="e">
        <f t="shared" si="171"/>
        <v>#DIV/0!</v>
      </c>
      <c r="AQ137" s="81" t="e">
        <f t="shared" si="172"/>
        <v>#DIV/0!</v>
      </c>
      <c r="AR137" s="7"/>
      <c r="AS137" s="76">
        <f t="shared" si="121"/>
        <v>0</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f t="shared" si="150"/>
        <v>0</v>
      </c>
      <c r="I138" s="53">
        <f>COUNTIFS('00 Encuesta'!$B$2:$B$511,"*b)*",'00 Encuesta'!$C$2:$C$511,"*a)*",'00 Encuesta'!$E$2:$E$511,"*a)*",'00 Encuesta'!$R$2:$R$511,"*i)*")</f>
        <v>0</v>
      </c>
      <c r="J138" s="52">
        <f t="shared" si="151"/>
        <v>0</v>
      </c>
      <c r="K138" s="53">
        <f>COUNTIFS('00 Encuesta'!$B$2:$B$511,"*b)*",'00 Encuesta'!$C$2:$C$511,"*a)*",'00 Encuesta'!$E$2:$E$511,"*b)*",'00 Encuesta'!$R$2:$R$511,"*i)*")</f>
        <v>0</v>
      </c>
      <c r="L138" s="52">
        <f t="shared" si="152"/>
        <v>0</v>
      </c>
      <c r="M138" s="23"/>
      <c r="N138" s="51">
        <f t="shared" si="153"/>
        <v>0</v>
      </c>
      <c r="O138" s="52">
        <f t="shared" si="154"/>
        <v>0</v>
      </c>
      <c r="P138" s="53">
        <f>COUNTIFS('00 Encuesta'!$B$2:$B$511,"*b)*",'00 Encuesta'!$C$2:$C$511,"*b)*",'00 Encuesta'!$E$2:$E$511,"*a)*",'00 Encuesta'!$R$2:$R$511,"*i)*")</f>
        <v>0</v>
      </c>
      <c r="Q138" s="52">
        <f t="shared" si="155"/>
        <v>0</v>
      </c>
      <c r="R138" s="53">
        <f>COUNTIFS('00 Encuesta'!$B$2:$B$511,"*b)*",'00 Encuesta'!$C$2:$C$511,"*b)*",'00 Encuesta'!$E$2:$E$511,"*b)*",'00 Encuesta'!$R$2:$R$511,"*i)*")</f>
        <v>0</v>
      </c>
      <c r="S138" s="52">
        <f t="shared" si="156"/>
        <v>0</v>
      </c>
      <c r="T138" s="3"/>
      <c r="U138" s="51">
        <f t="shared" si="157"/>
        <v>0</v>
      </c>
      <c r="V138" s="52" t="e">
        <f t="shared" si="158"/>
        <v>#DIV/0!</v>
      </c>
      <c r="W138" s="53">
        <f>COUNTIFS('00 Encuesta'!$B$2:$B$511,"*b)*",'00 Encuesta'!$C$2:$C$511,"*d)*",'00 Encuesta'!$E$2:$E$511,"*a)*",'00 Encuesta'!$R$2:$R$511,"*i)*")</f>
        <v>0</v>
      </c>
      <c r="X138" s="52" t="e">
        <f t="shared" si="159"/>
        <v>#DIV/0!</v>
      </c>
      <c r="Y138" s="53">
        <f>COUNTIFS('00 Encuesta'!$B$2:$B$511,"*b)*",'00 Encuesta'!$C$2:$C$511,"*d)*",'00 Encuesta'!$E$2:$E$511,"*b)*",'00 Encuesta'!$R$2:$R$511,"*i)*")</f>
        <v>0</v>
      </c>
      <c r="Z138" s="52" t="e">
        <f t="shared" si="160"/>
        <v>#DIV/0!</v>
      </c>
      <c r="AA138" s="3"/>
      <c r="AB138" s="62">
        <f t="shared" si="161"/>
        <v>0</v>
      </c>
      <c r="AC138" s="52">
        <f t="shared" si="162"/>
        <v>0</v>
      </c>
      <c r="AD138" s="7"/>
      <c r="AE138" s="7"/>
      <c r="AF138" s="9" t="str">
        <f t="shared" si="163"/>
        <v>i) La música</v>
      </c>
      <c r="AG138" s="72">
        <f t="shared" si="164"/>
        <v>0</v>
      </c>
      <c r="AH138" s="72">
        <f t="shared" si="165"/>
        <v>0</v>
      </c>
      <c r="AI138" s="73">
        <f t="shared" si="166"/>
        <v>0</v>
      </c>
      <c r="AJ138" s="73"/>
      <c r="AK138" s="76">
        <f t="shared" si="167"/>
        <v>0</v>
      </c>
      <c r="AL138" s="76">
        <f t="shared" si="168"/>
        <v>0</v>
      </c>
      <c r="AM138" s="76">
        <f t="shared" si="169"/>
        <v>0</v>
      </c>
      <c r="AN138" s="76"/>
      <c r="AO138" s="81" t="e">
        <f t="shared" si="170"/>
        <v>#DIV/0!</v>
      </c>
      <c r="AP138" s="81" t="e">
        <f t="shared" si="171"/>
        <v>#DIV/0!</v>
      </c>
      <c r="AQ138" s="81" t="e">
        <f t="shared" si="172"/>
        <v>#DIV/0!</v>
      </c>
      <c r="AR138" s="7"/>
      <c r="AS138" s="76">
        <f t="shared" si="121"/>
        <v>0</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ht="15.75" x14ac:dyDescent="0.3">
      <c r="A139" s="1" t="s">
        <v>67</v>
      </c>
      <c r="B139" s="2" t="s">
        <v>89</v>
      </c>
      <c r="C139" s="3"/>
      <c r="D139" s="7"/>
      <c r="E139" s="7"/>
      <c r="F139" s="71"/>
      <c r="G139" s="51">
        <f t="shared" si="149"/>
        <v>2</v>
      </c>
      <c r="H139" s="52">
        <f t="shared" si="150"/>
        <v>5.2631578947368416</v>
      </c>
      <c r="I139" s="53">
        <f>COUNTIFS('00 Encuesta'!$B$2:$B$511,"*b)*",'00 Encuesta'!$C$2:$C$511,"*a)*",'00 Encuesta'!$E$2:$E$511,"*a)*",'00 Encuesta'!$R$2:$R$511,"*j)*")</f>
        <v>2</v>
      </c>
      <c r="J139" s="52">
        <f t="shared" si="151"/>
        <v>9.5238095238095237</v>
      </c>
      <c r="K139" s="53">
        <f>COUNTIFS('00 Encuesta'!$B$2:$B$511,"*b)*",'00 Encuesta'!$C$2:$C$511,"*a)*",'00 Encuesta'!$E$2:$E$511,"*b)*",'00 Encuesta'!$R$2:$R$511,"*j)*")</f>
        <v>0</v>
      </c>
      <c r="L139" s="52">
        <f t="shared" si="152"/>
        <v>0</v>
      </c>
      <c r="M139" s="23"/>
      <c r="N139" s="51">
        <f t="shared" si="153"/>
        <v>5</v>
      </c>
      <c r="O139" s="52">
        <f t="shared" si="154"/>
        <v>15.625</v>
      </c>
      <c r="P139" s="53">
        <f>COUNTIFS('00 Encuesta'!$B$2:$B$511,"*b)*",'00 Encuesta'!$C$2:$C$511,"*b)*",'00 Encuesta'!$E$2:$E$511,"*a)*",'00 Encuesta'!$R$2:$R$511,"*j)*")</f>
        <v>3</v>
      </c>
      <c r="Q139" s="52">
        <f t="shared" si="155"/>
        <v>17.647058823529413</v>
      </c>
      <c r="R139" s="53">
        <f>COUNTIFS('00 Encuesta'!$B$2:$B$511,"*b)*",'00 Encuesta'!$C$2:$C$511,"*b)*",'00 Encuesta'!$E$2:$E$511,"*b)*",'00 Encuesta'!$R$2:$R$511,"*j)*")</f>
        <v>2</v>
      </c>
      <c r="S139" s="52">
        <f t="shared" si="156"/>
        <v>13.333333333333334</v>
      </c>
      <c r="T139" s="3"/>
      <c r="U139" s="51">
        <f t="shared" si="157"/>
        <v>0</v>
      </c>
      <c r="V139" s="52" t="e">
        <f t="shared" si="158"/>
        <v>#DIV/0!</v>
      </c>
      <c r="W139" s="53">
        <f>COUNTIFS('00 Encuesta'!$B$2:$B$511,"*b)*",'00 Encuesta'!$C$2:$C$511,"*d)*",'00 Encuesta'!$E$2:$E$511,"*a)*",'00 Encuesta'!$R$2:$R$511,"*j)*")</f>
        <v>0</v>
      </c>
      <c r="X139" s="52" t="e">
        <f t="shared" si="159"/>
        <v>#DIV/0!</v>
      </c>
      <c r="Y139" s="53">
        <f>COUNTIFS('00 Encuesta'!$B$2:$B$511,"*b)*",'00 Encuesta'!$C$2:$C$511,"*d)*",'00 Encuesta'!$E$2:$E$511,"*b)*",'00 Encuesta'!$R$2:$R$511,"*j)*")</f>
        <v>0</v>
      </c>
      <c r="Z139" s="52" t="e">
        <f t="shared" si="160"/>
        <v>#DIV/0!</v>
      </c>
      <c r="AA139" s="3"/>
      <c r="AB139" s="62">
        <f t="shared" si="161"/>
        <v>7</v>
      </c>
      <c r="AC139" s="52">
        <f t="shared" si="162"/>
        <v>10</v>
      </c>
      <c r="AD139" s="7"/>
      <c r="AE139" s="7"/>
      <c r="AF139" s="9" t="str">
        <f t="shared" si="163"/>
        <v>j) El deporte</v>
      </c>
      <c r="AG139" s="72">
        <f t="shared" si="164"/>
        <v>9.5238095238095237</v>
      </c>
      <c r="AH139" s="72">
        <f t="shared" si="165"/>
        <v>0</v>
      </c>
      <c r="AI139" s="73">
        <f t="shared" si="166"/>
        <v>5.2631578947368416</v>
      </c>
      <c r="AJ139" s="73"/>
      <c r="AK139" s="76">
        <f t="shared" si="167"/>
        <v>17.647058823529413</v>
      </c>
      <c r="AL139" s="76">
        <f t="shared" si="168"/>
        <v>13.333333333333334</v>
      </c>
      <c r="AM139" s="76">
        <f t="shared" si="169"/>
        <v>15.625</v>
      </c>
      <c r="AN139" s="76"/>
      <c r="AO139" s="81" t="e">
        <f t="shared" si="170"/>
        <v>#DIV/0!</v>
      </c>
      <c r="AP139" s="81" t="e">
        <f t="shared" si="171"/>
        <v>#DIV/0!</v>
      </c>
      <c r="AQ139" s="81" t="e">
        <f t="shared" si="172"/>
        <v>#DIV/0!</v>
      </c>
      <c r="AR139" s="7"/>
      <c r="AS139" s="76">
        <f t="shared" si="121"/>
        <v>10</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ht="15" x14ac:dyDescent="0.25">
      <c r="A140" s="8" t="s">
        <v>69</v>
      </c>
      <c r="B140" s="9" t="s">
        <v>90</v>
      </c>
      <c r="C140" s="7"/>
      <c r="D140" s="7"/>
      <c r="E140" s="7"/>
      <c r="F140" s="71"/>
      <c r="G140" s="51">
        <f t="shared" si="149"/>
        <v>1</v>
      </c>
      <c r="H140" s="52">
        <f t="shared" si="150"/>
        <v>2.6315789473684208</v>
      </c>
      <c r="I140" s="53">
        <f>COUNTIFS('00 Encuesta'!$B$2:$B$511,"*b)*",'00 Encuesta'!$C$2:$C$511,"*a)*",'00 Encuesta'!$E$2:$E$511,"*a)*",'00 Encuesta'!$R$2:$R$511,"*k)*")</f>
        <v>0</v>
      </c>
      <c r="J140" s="52">
        <f t="shared" si="151"/>
        <v>0</v>
      </c>
      <c r="K140" s="53">
        <f>COUNTIFS('00 Encuesta'!$B$2:$B$511,"*b)*",'00 Encuesta'!$C$2:$C$511,"*a)*",'00 Encuesta'!$E$2:$E$511,"*b)*",'00 Encuesta'!$R$2:$R$511,"*k)*")</f>
        <v>1</v>
      </c>
      <c r="L140" s="52">
        <f t="shared" si="152"/>
        <v>5.8823529411764701</v>
      </c>
      <c r="M140" s="23"/>
      <c r="N140" s="51">
        <f t="shared" si="153"/>
        <v>0</v>
      </c>
      <c r="O140" s="52">
        <f t="shared" si="154"/>
        <v>0</v>
      </c>
      <c r="P140" s="53">
        <f>COUNTIFS('00 Encuesta'!$B$2:$B$511,"*b)*",'00 Encuesta'!$C$2:$C$511,"*b)*",'00 Encuesta'!$E$2:$E$511,"*a)*",'00 Encuesta'!$R$2:$R$511,"*k)*")</f>
        <v>0</v>
      </c>
      <c r="Q140" s="52">
        <f t="shared" si="155"/>
        <v>0</v>
      </c>
      <c r="R140" s="53">
        <f>COUNTIFS('00 Encuesta'!$B$2:$B$511,"*b)*",'00 Encuesta'!$C$2:$C$511,"*b)*",'00 Encuesta'!$E$2:$E$511,"*b)*",'00 Encuesta'!$R$2:$R$511,"*k)*")</f>
        <v>0</v>
      </c>
      <c r="S140" s="52">
        <f t="shared" si="156"/>
        <v>0</v>
      </c>
      <c r="T140" s="3"/>
      <c r="U140" s="51">
        <f t="shared" si="157"/>
        <v>0</v>
      </c>
      <c r="V140" s="52" t="e">
        <f t="shared" si="158"/>
        <v>#DIV/0!</v>
      </c>
      <c r="W140" s="53">
        <f>COUNTIFS('00 Encuesta'!$B$2:$B$511,"*b)*",'00 Encuesta'!$C$2:$C$511,"*d)*",'00 Encuesta'!$E$2:$E$511,"*a)*",'00 Encuesta'!$R$2:$R$511,"*k)*")</f>
        <v>0</v>
      </c>
      <c r="X140" s="52" t="e">
        <f t="shared" si="159"/>
        <v>#DIV/0!</v>
      </c>
      <c r="Y140" s="53">
        <f>COUNTIFS('00 Encuesta'!$B$2:$B$511,"*b)*",'00 Encuesta'!$C$2:$C$511,"*d)*",'00 Encuesta'!$E$2:$E$511,"*b)*",'00 Encuesta'!$R$2:$R$511,"*k)*")</f>
        <v>0</v>
      </c>
      <c r="Z140" s="52" t="e">
        <f t="shared" si="160"/>
        <v>#DIV/0!</v>
      </c>
      <c r="AA140" s="3"/>
      <c r="AB140" s="62">
        <f t="shared" si="161"/>
        <v>1</v>
      </c>
      <c r="AC140" s="52">
        <f t="shared" si="162"/>
        <v>1.4285714285714286</v>
      </c>
      <c r="AD140" s="7"/>
      <c r="AE140" s="7"/>
      <c r="AF140" s="9" t="str">
        <f t="shared" si="163"/>
        <v>k) Internet</v>
      </c>
      <c r="AG140" s="72">
        <f t="shared" si="164"/>
        <v>0</v>
      </c>
      <c r="AH140" s="72">
        <f t="shared" si="165"/>
        <v>5.8823529411764701</v>
      </c>
      <c r="AI140" s="73">
        <f t="shared" si="166"/>
        <v>2.6315789473684208</v>
      </c>
      <c r="AJ140" s="73"/>
      <c r="AK140" s="76">
        <f t="shared" si="167"/>
        <v>0</v>
      </c>
      <c r="AL140" s="76">
        <f t="shared" si="168"/>
        <v>0</v>
      </c>
      <c r="AM140" s="76">
        <f t="shared" si="169"/>
        <v>0</v>
      </c>
      <c r="AN140" s="76"/>
      <c r="AO140" s="81" t="e">
        <f t="shared" si="170"/>
        <v>#DIV/0!</v>
      </c>
      <c r="AP140" s="81" t="e">
        <f t="shared" si="171"/>
        <v>#DIV/0!</v>
      </c>
      <c r="AQ140" s="81" t="e">
        <f t="shared" si="172"/>
        <v>#DIV/0!</v>
      </c>
      <c r="AR140" s="7"/>
      <c r="AS140" s="76">
        <f t="shared" si="121"/>
        <v>1.4285714285714286</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ht="15" x14ac:dyDescent="0.25">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ht="15" x14ac:dyDescent="0.25">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ht="15" x14ac:dyDescent="0.25">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ht="15" x14ac:dyDescent="0.25">
      <c r="A144" s="8" t="s">
        <v>17</v>
      </c>
      <c r="B144" s="9" t="s">
        <v>102</v>
      </c>
      <c r="C144" s="7"/>
      <c r="D144" s="7"/>
      <c r="E144" s="7"/>
      <c r="F144" s="71">
        <v>100</v>
      </c>
      <c r="G144" s="51">
        <f>I144+K144</f>
        <v>24</v>
      </c>
      <c r="H144" s="52">
        <f>G144/$J$5*100</f>
        <v>63.157894736842103</v>
      </c>
      <c r="I144" s="53">
        <f>COUNTIFS('00 Encuesta'!$B$2:$B$511,"*b)*",'00 Encuesta'!$C$2:$C$511,"*a)*",'00 Encuesta'!$E$2:$E$511,"*a)*",'00 Encuesta'!$T$2:$T$511,"*a)*")</f>
        <v>13</v>
      </c>
      <c r="J144" s="52">
        <f>I144/$J$6*100</f>
        <v>61.904761904761905</v>
      </c>
      <c r="K144" s="53">
        <f>COUNTIFS('00 Encuesta'!$B$2:$B$511,"*b)*",'00 Encuesta'!$C$2:$C$511,"*a)*",'00 Encuesta'!$E$2:$E$511,"*b)*",'00 Encuesta'!$T$2:$T$511,"*a)*")</f>
        <v>11</v>
      </c>
      <c r="L144" s="52">
        <f>K144/$J$7*100</f>
        <v>64.705882352941174</v>
      </c>
      <c r="M144" s="23"/>
      <c r="N144" s="51">
        <f>P144+R144</f>
        <v>25</v>
      </c>
      <c r="O144" s="52">
        <f>N144/$Q$5*100</f>
        <v>78.125</v>
      </c>
      <c r="P144" s="53">
        <f>COUNTIFS('00 Encuesta'!$B$2:$B$511,"*b)*",'00 Encuesta'!$C$2:$C$511,"*b)*",'00 Encuesta'!$E$2:$E$511,"*a)*",'00 Encuesta'!$T$2:$T$511,"*a)*")</f>
        <v>11</v>
      </c>
      <c r="Q144" s="52">
        <f>P144/$Q$6*100</f>
        <v>64.705882352941174</v>
      </c>
      <c r="R144" s="53">
        <f>COUNTIFS('00 Encuesta'!$B$2:$B$511,"*b)*",'00 Encuesta'!$C$2:$C$511,"*b)*",'00 Encuesta'!$E$2:$E$511,"*b)*",'00 Encuesta'!$T$2:$T$511,"*a)*")</f>
        <v>14</v>
      </c>
      <c r="S144" s="52">
        <f>R144/$Q$7*100</f>
        <v>93.333333333333329</v>
      </c>
      <c r="T144" s="3"/>
      <c r="U144" s="51">
        <f>W144+Y144</f>
        <v>0</v>
      </c>
      <c r="V144" s="52" t="e">
        <f>U144/$X$5*100</f>
        <v>#DIV/0!</v>
      </c>
      <c r="W144" s="53">
        <f>COUNTIFS('00 Encuesta'!$B$2:$B$511,"*b)*",'00 Encuesta'!$C$2:$C$511,"*d)*",'00 Encuesta'!$E$2:$E$511,"*a)*",'00 Encuesta'!$T$2:$T$511,"*a)*")</f>
        <v>0</v>
      </c>
      <c r="X144" s="52" t="e">
        <f>W144/$X$6*100</f>
        <v>#DIV/0!</v>
      </c>
      <c r="Y144" s="53">
        <f>COUNTIFS('00 Encuesta'!$B$2:$B$511,"*b)*",'00 Encuesta'!$C$2:$C$511,"*d)*",'00 Encuesta'!$E$2:$E$511,"*b)*",'00 Encuesta'!$T$2:$T$511,"*a)*")</f>
        <v>0</v>
      </c>
      <c r="Z144" s="52" t="e">
        <f>Y144/$X$7*100</f>
        <v>#DIV/0!</v>
      </c>
      <c r="AA144" s="3"/>
      <c r="AB144" s="62">
        <f>G144+N144+U144</f>
        <v>49</v>
      </c>
      <c r="AC144" s="52">
        <f>AB144*100/$AC$5</f>
        <v>70</v>
      </c>
      <c r="AD144" s="7"/>
      <c r="AE144" s="7"/>
      <c r="AF144" s="9" t="str">
        <f t="shared" si="173"/>
        <v>a) Mucho</v>
      </c>
      <c r="AG144" s="72">
        <f>J144</f>
        <v>61.904761904761905</v>
      </c>
      <c r="AH144" s="72">
        <f>L144</f>
        <v>64.705882352941174</v>
      </c>
      <c r="AI144" s="73">
        <f>H144</f>
        <v>63.157894736842103</v>
      </c>
      <c r="AJ144" s="73"/>
      <c r="AK144" s="76">
        <f>Q144</f>
        <v>64.705882352941174</v>
      </c>
      <c r="AL144" s="76">
        <f>S144</f>
        <v>93.333333333333329</v>
      </c>
      <c r="AM144" s="76">
        <f>O144</f>
        <v>78.125</v>
      </c>
      <c r="AN144" s="76"/>
      <c r="AO144" s="81" t="e">
        <f>X144</f>
        <v>#DIV/0!</v>
      </c>
      <c r="AP144" s="81" t="e">
        <f>Z144</f>
        <v>#DIV/0!</v>
      </c>
      <c r="AQ144" s="81" t="e">
        <f>V144</f>
        <v>#DIV/0!</v>
      </c>
      <c r="AR144" s="7"/>
      <c r="AS144" s="76">
        <f t="shared" ref="AS144:AS206" si="174">AC144</f>
        <v>70</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ht="15" x14ac:dyDescent="0.25">
      <c r="A145" s="8" t="s">
        <v>18</v>
      </c>
      <c r="B145" s="9" t="s">
        <v>103</v>
      </c>
      <c r="C145" s="7"/>
      <c r="D145" s="7"/>
      <c r="E145" s="7"/>
      <c r="F145" s="71">
        <v>66.66</v>
      </c>
      <c r="G145" s="51">
        <f>I145+K145</f>
        <v>9</v>
      </c>
      <c r="H145" s="52">
        <f>G145/$J$5*100</f>
        <v>23.684210526315788</v>
      </c>
      <c r="I145" s="53">
        <f>COUNTIFS('00 Encuesta'!$B$2:$B$511,"*b)*",'00 Encuesta'!$C$2:$C$511,"*a)*",'00 Encuesta'!$E$2:$E$511,"*a)*",'00 Encuesta'!$T$2:$T$511,"*b)*")</f>
        <v>5</v>
      </c>
      <c r="J145" s="52">
        <f>I145/$J$6*100</f>
        <v>23.809523809523807</v>
      </c>
      <c r="K145" s="53">
        <f>COUNTIFS('00 Encuesta'!$B$2:$B$511,"*b)*",'00 Encuesta'!$C$2:$C$511,"*a)*",'00 Encuesta'!$E$2:$E$511,"*b)*",'00 Encuesta'!$T$2:$T$511,"*b)*")</f>
        <v>4</v>
      </c>
      <c r="L145" s="52">
        <f>K145/$J$7*100</f>
        <v>23.52941176470588</v>
      </c>
      <c r="M145" s="23"/>
      <c r="N145" s="51">
        <f>P145+R145</f>
        <v>5</v>
      </c>
      <c r="O145" s="52">
        <f>N145/$Q$5*100</f>
        <v>15.625</v>
      </c>
      <c r="P145" s="53">
        <f>COUNTIFS('00 Encuesta'!$B$2:$B$511,"*b)*",'00 Encuesta'!$C$2:$C$511,"*b)*",'00 Encuesta'!$E$2:$E$511,"*a)*",'00 Encuesta'!$T$2:$T$511,"*b)*")</f>
        <v>4</v>
      </c>
      <c r="Q145" s="52">
        <f>P145/$Q$6*100</f>
        <v>23.52941176470588</v>
      </c>
      <c r="R145" s="53">
        <f>COUNTIFS('00 Encuesta'!$B$2:$B$511,"*b)*",'00 Encuesta'!$C$2:$C$511,"*b)*",'00 Encuesta'!$E$2:$E$511,"*b)*",'00 Encuesta'!$T$2:$T$511,"*b)*")</f>
        <v>1</v>
      </c>
      <c r="S145" s="52">
        <f>R145/$Q$7*100</f>
        <v>6.666666666666667</v>
      </c>
      <c r="T145" s="3"/>
      <c r="U145" s="51">
        <f>W145+Y145</f>
        <v>0</v>
      </c>
      <c r="V145" s="52" t="e">
        <f>U145/$X$5*100</f>
        <v>#DIV/0!</v>
      </c>
      <c r="W145" s="53">
        <f>COUNTIFS('00 Encuesta'!$B$2:$B$511,"*b)*",'00 Encuesta'!$C$2:$C$511,"*d)*",'00 Encuesta'!$E$2:$E$511,"*a)*",'00 Encuesta'!$T$2:$T$511,"*b)*")</f>
        <v>0</v>
      </c>
      <c r="X145" s="52" t="e">
        <f>W145/$X$6*100</f>
        <v>#DIV/0!</v>
      </c>
      <c r="Y145" s="53">
        <f>COUNTIFS('00 Encuesta'!$B$2:$B$511,"*b)*",'00 Encuesta'!$C$2:$C$511,"*d)*",'00 Encuesta'!$E$2:$E$511,"*b)*",'00 Encuesta'!$T$2:$T$511,"*b)*")</f>
        <v>0</v>
      </c>
      <c r="Z145" s="52" t="e">
        <f>Y145/$X$7*100</f>
        <v>#DIV/0!</v>
      </c>
      <c r="AA145" s="3"/>
      <c r="AB145" s="62">
        <f>G145+N145+U145</f>
        <v>14</v>
      </c>
      <c r="AC145" s="52">
        <f>AB145*100/$AC$5</f>
        <v>20</v>
      </c>
      <c r="AD145" s="7"/>
      <c r="AE145" s="7"/>
      <c r="AF145" s="9" t="str">
        <f t="shared" si="173"/>
        <v>b) Suficiente</v>
      </c>
      <c r="AG145" s="72">
        <f>J145</f>
        <v>23.809523809523807</v>
      </c>
      <c r="AH145" s="72">
        <f>L145</f>
        <v>23.52941176470588</v>
      </c>
      <c r="AI145" s="73">
        <f>H145</f>
        <v>23.684210526315788</v>
      </c>
      <c r="AJ145" s="73"/>
      <c r="AK145" s="76">
        <f>Q145</f>
        <v>23.52941176470588</v>
      </c>
      <c r="AL145" s="76">
        <f>S145</f>
        <v>6.666666666666667</v>
      </c>
      <c r="AM145" s="76">
        <f>O145</f>
        <v>15.625</v>
      </c>
      <c r="AN145" s="76"/>
      <c r="AO145" s="81" t="e">
        <f>X145</f>
        <v>#DIV/0!</v>
      </c>
      <c r="AP145" s="81" t="e">
        <f>Z145</f>
        <v>#DIV/0!</v>
      </c>
      <c r="AQ145" s="81" t="e">
        <f>V145</f>
        <v>#DIV/0!</v>
      </c>
      <c r="AR145" s="7"/>
      <c r="AS145" s="76">
        <f t="shared" si="174"/>
        <v>20</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ht="15" x14ac:dyDescent="0.25">
      <c r="A146" s="8" t="s">
        <v>20</v>
      </c>
      <c r="B146" s="9" t="s">
        <v>104</v>
      </c>
      <c r="C146" s="7"/>
      <c r="D146" s="7"/>
      <c r="E146" s="7"/>
      <c r="F146" s="71">
        <v>33.33</v>
      </c>
      <c r="G146" s="51">
        <f>I146+K146</f>
        <v>1</v>
      </c>
      <c r="H146" s="52">
        <f>G146/$J$5*100</f>
        <v>2.6315789473684208</v>
      </c>
      <c r="I146" s="53">
        <f>COUNTIFS('00 Encuesta'!$B$2:$B$511,"*b)*",'00 Encuesta'!$C$2:$C$511,"*a)*",'00 Encuesta'!$E$2:$E$511,"*a)*",'00 Encuesta'!$T$2:$T$511,"*c)*")</f>
        <v>1</v>
      </c>
      <c r="J146" s="52">
        <f>I146/$J$6*100</f>
        <v>4.7619047619047619</v>
      </c>
      <c r="K146" s="53">
        <f>COUNTIFS('00 Encuesta'!$B$2:$B$511,"*b)*",'00 Encuesta'!$C$2:$C$511,"*a)*",'00 Encuesta'!$E$2:$E$511,"*b)*",'00 Encuesta'!$T$2:$T$511,"*c)*")</f>
        <v>0</v>
      </c>
      <c r="L146" s="52">
        <f>K146/$J$7*100</f>
        <v>0</v>
      </c>
      <c r="M146" s="23"/>
      <c r="N146" s="51">
        <f>P146+R146</f>
        <v>1</v>
      </c>
      <c r="O146" s="52">
        <f>N146/$Q$5*100</f>
        <v>3.125</v>
      </c>
      <c r="P146" s="53">
        <f>COUNTIFS('00 Encuesta'!$B$2:$B$511,"*b)*",'00 Encuesta'!$C$2:$C$511,"*b)*",'00 Encuesta'!$E$2:$E$511,"*a)*",'00 Encuesta'!$T$2:$T$511,"*c)*")</f>
        <v>1</v>
      </c>
      <c r="Q146" s="52">
        <f>P146/$Q$6*100</f>
        <v>5.8823529411764701</v>
      </c>
      <c r="R146" s="53">
        <f>COUNTIFS('00 Encuesta'!$B$2:$B$511,"*b)*",'00 Encuesta'!$C$2:$C$511,"*b)*",'00 Encuesta'!$E$2:$E$511,"*b)*",'00 Encuesta'!$T$2:$T$511,"*c)*")</f>
        <v>0</v>
      </c>
      <c r="S146" s="52">
        <f>R146/$Q$7*100</f>
        <v>0</v>
      </c>
      <c r="T146" s="3"/>
      <c r="U146" s="51">
        <f>W146+Y146</f>
        <v>0</v>
      </c>
      <c r="V146" s="52" t="e">
        <f>U146/$X$5*100</f>
        <v>#DIV/0!</v>
      </c>
      <c r="W146" s="53">
        <f>COUNTIFS('00 Encuesta'!$B$2:$B$511,"*b)*",'00 Encuesta'!$C$2:$C$511,"*d)*",'00 Encuesta'!$E$2:$E$511,"*a)*",'00 Encuesta'!$T$2:$T$511,"*c)*")</f>
        <v>0</v>
      </c>
      <c r="X146" s="52" t="e">
        <f>W146/$X$6*100</f>
        <v>#DIV/0!</v>
      </c>
      <c r="Y146" s="53">
        <f>COUNTIFS('00 Encuesta'!$B$2:$B$511,"*b)*",'00 Encuesta'!$C$2:$C$511,"*d)*",'00 Encuesta'!$E$2:$E$511,"*b)*",'00 Encuesta'!$T$2:$T$511,"*c)*")</f>
        <v>0</v>
      </c>
      <c r="Z146" s="52" t="e">
        <f>Y146/$X$7*100</f>
        <v>#DIV/0!</v>
      </c>
      <c r="AA146" s="3"/>
      <c r="AB146" s="62">
        <f>G146+N146+U146</f>
        <v>2</v>
      </c>
      <c r="AC146" s="52">
        <f>AB146*100/$AC$5</f>
        <v>2.8571428571428572</v>
      </c>
      <c r="AD146" s="7"/>
      <c r="AE146" s="7"/>
      <c r="AF146" s="9" t="str">
        <f t="shared" si="173"/>
        <v>c) Poco</v>
      </c>
      <c r="AG146" s="72">
        <f>J146</f>
        <v>4.7619047619047619</v>
      </c>
      <c r="AH146" s="72">
        <f>L146</f>
        <v>0</v>
      </c>
      <c r="AI146" s="73">
        <f>H146</f>
        <v>2.6315789473684208</v>
      </c>
      <c r="AJ146" s="73"/>
      <c r="AK146" s="76">
        <f>Q146</f>
        <v>5.8823529411764701</v>
      </c>
      <c r="AL146" s="76">
        <f>S146</f>
        <v>0</v>
      </c>
      <c r="AM146" s="76">
        <f>O146</f>
        <v>3.125</v>
      </c>
      <c r="AN146" s="76"/>
      <c r="AO146" s="81" t="e">
        <f>X146</f>
        <v>#DIV/0!</v>
      </c>
      <c r="AP146" s="81" t="e">
        <f>Z146</f>
        <v>#DIV/0!</v>
      </c>
      <c r="AQ146" s="81" t="e">
        <f>V146</f>
        <v>#DIV/0!</v>
      </c>
      <c r="AR146" s="7"/>
      <c r="AS146" s="76">
        <f t="shared" si="174"/>
        <v>2.8571428571428572</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ht="15" x14ac:dyDescent="0.25">
      <c r="A147" s="8" t="s">
        <v>21</v>
      </c>
      <c r="B147" s="9" t="s">
        <v>105</v>
      </c>
      <c r="C147" s="7"/>
      <c r="D147" s="7"/>
      <c r="E147" s="7"/>
      <c r="F147" s="71">
        <v>0</v>
      </c>
      <c r="G147" s="51">
        <f>I147+K147</f>
        <v>1</v>
      </c>
      <c r="H147" s="52">
        <f>G147/$J$5*100</f>
        <v>2.6315789473684208</v>
      </c>
      <c r="I147" s="53">
        <f>COUNTIFS('00 Encuesta'!$B$2:$B$511,"*b)*",'00 Encuesta'!$C$2:$C$511,"*a)*",'00 Encuesta'!$E$2:$E$511,"*a)*",'00 Encuesta'!$T$2:$T$511,"*d)*")</f>
        <v>0</v>
      </c>
      <c r="J147" s="52">
        <f>I147/$J$6*100</f>
        <v>0</v>
      </c>
      <c r="K147" s="53">
        <f>COUNTIFS('00 Encuesta'!$B$2:$B$511,"*b)*",'00 Encuesta'!$C$2:$C$511,"*a)*",'00 Encuesta'!$E$2:$E$511,"*b)*",'00 Encuesta'!$T$2:$T$511,"*d)*")</f>
        <v>1</v>
      </c>
      <c r="L147" s="52">
        <f>K147/$J$7*100</f>
        <v>5.8823529411764701</v>
      </c>
      <c r="M147" s="23"/>
      <c r="N147" s="51">
        <f>P147+R147</f>
        <v>0</v>
      </c>
      <c r="O147" s="52">
        <f>N147/$Q$5*100</f>
        <v>0</v>
      </c>
      <c r="P147" s="53">
        <f>COUNTIFS('00 Encuesta'!$B$2:$B$511,"*b)*",'00 Encuesta'!$C$2:$C$511,"*b)*",'00 Encuesta'!$E$2:$E$511,"*a)*",'00 Encuesta'!$T$2:$T$511,"*d)*")</f>
        <v>0</v>
      </c>
      <c r="Q147" s="52">
        <f>P147/$Q$6*100</f>
        <v>0</v>
      </c>
      <c r="R147" s="53">
        <f>COUNTIFS('00 Encuesta'!$B$2:$B$511,"*b)*",'00 Encuesta'!$C$2:$C$511,"*b)*",'00 Encuesta'!$E$2:$E$511,"*b)*",'00 Encuesta'!$T$2:$T$511,"*d)*")</f>
        <v>0</v>
      </c>
      <c r="S147" s="52">
        <f>R147/$Q$7*100</f>
        <v>0</v>
      </c>
      <c r="T147" s="3"/>
      <c r="U147" s="51">
        <f>W147+Y147</f>
        <v>0</v>
      </c>
      <c r="V147" s="52" t="e">
        <f>U147/$X$5*100</f>
        <v>#DIV/0!</v>
      </c>
      <c r="W147" s="53">
        <f>COUNTIFS('00 Encuesta'!$B$2:$B$511,"*b)*",'00 Encuesta'!$C$2:$C$511,"*d)*",'00 Encuesta'!$E$2:$E$511,"*a)*",'00 Encuesta'!$T$2:$T$511,"*d)*")</f>
        <v>0</v>
      </c>
      <c r="X147" s="52" t="e">
        <f>W147/$X$6*100</f>
        <v>#DIV/0!</v>
      </c>
      <c r="Y147" s="53">
        <f>COUNTIFS('00 Encuesta'!$B$2:$B$511,"*b)*",'00 Encuesta'!$C$2:$C$511,"*d)*",'00 Encuesta'!$E$2:$E$511,"*b)*",'00 Encuesta'!$T$2:$T$511,"*d)*")</f>
        <v>0</v>
      </c>
      <c r="Z147" s="52" t="e">
        <f>Y147/$X$7*100</f>
        <v>#DIV/0!</v>
      </c>
      <c r="AA147" s="3"/>
      <c r="AB147" s="62">
        <f>G147+N147+U147</f>
        <v>1</v>
      </c>
      <c r="AC147" s="52">
        <f>AB147*100/$AC$5</f>
        <v>1.4285714285714286</v>
      </c>
      <c r="AD147" s="7"/>
      <c r="AE147" s="7"/>
      <c r="AF147" s="9" t="str">
        <f t="shared" si="173"/>
        <v>d) Nada</v>
      </c>
      <c r="AG147" s="72">
        <f>J147</f>
        <v>0</v>
      </c>
      <c r="AH147" s="72">
        <f>L147</f>
        <v>5.8823529411764701</v>
      </c>
      <c r="AI147" s="73">
        <f>H147</f>
        <v>2.6315789473684208</v>
      </c>
      <c r="AJ147" s="73"/>
      <c r="AK147" s="76">
        <f>Q147</f>
        <v>0</v>
      </c>
      <c r="AL147" s="76">
        <f>S147</f>
        <v>0</v>
      </c>
      <c r="AM147" s="76">
        <f>O147</f>
        <v>0</v>
      </c>
      <c r="AN147" s="76"/>
      <c r="AO147" s="81" t="e">
        <f>X147</f>
        <v>#DIV/0!</v>
      </c>
      <c r="AP147" s="81" t="e">
        <f>Z147</f>
        <v>#DIV/0!</v>
      </c>
      <c r="AQ147" s="81" t="e">
        <f>V147</f>
        <v>#DIV/0!</v>
      </c>
      <c r="AR147" s="7"/>
      <c r="AS147" s="76">
        <f t="shared" si="174"/>
        <v>1.4285714285714286</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ht="15" x14ac:dyDescent="0.25">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f>N148/$Q$5*100</f>
        <v>0</v>
      </c>
      <c r="P148" s="53"/>
      <c r="Q148" s="52">
        <f>P148/$Q$6*100</f>
        <v>0</v>
      </c>
      <c r="R148" s="53"/>
      <c r="S148" s="52">
        <f>R148/$Q$7*100</f>
        <v>0</v>
      </c>
      <c r="T148" s="3"/>
      <c r="U148" s="51">
        <f>W148+Y148</f>
        <v>0</v>
      </c>
      <c r="V148" s="52" t="e">
        <f>U148/$X$5*100</f>
        <v>#DIV/0!</v>
      </c>
      <c r="W148" s="53"/>
      <c r="X148" s="52" t="e">
        <f>W148/$X$6*100</f>
        <v>#DIV/0!</v>
      </c>
      <c r="Y148" s="53"/>
      <c r="Z148" s="52" t="e">
        <f>Y148/$X$7*100</f>
        <v>#DIV/0!</v>
      </c>
      <c r="AA148" s="3"/>
      <c r="AB148" s="62">
        <f>G148+N148+U148</f>
        <v>0</v>
      </c>
      <c r="AC148" s="52">
        <f>AB148*100/$AC$5</f>
        <v>0</v>
      </c>
      <c r="AD148" s="7"/>
      <c r="AE148" s="7"/>
      <c r="AF148" s="9" t="str">
        <f t="shared" si="173"/>
        <v>S/R Sin Respuesta</v>
      </c>
      <c r="AG148" s="72">
        <f>J148</f>
        <v>0</v>
      </c>
      <c r="AH148" s="72">
        <f>L148</f>
        <v>0</v>
      </c>
      <c r="AI148" s="73">
        <f>H148</f>
        <v>0</v>
      </c>
      <c r="AJ148" s="73"/>
      <c r="AK148" s="76">
        <f>Q148</f>
        <v>0</v>
      </c>
      <c r="AL148" s="76">
        <f>S148</f>
        <v>0</v>
      </c>
      <c r="AM148" s="76">
        <f>O148</f>
        <v>0</v>
      </c>
      <c r="AN148" s="76"/>
      <c r="AO148" s="81" t="e">
        <f>X148</f>
        <v>#DIV/0!</v>
      </c>
      <c r="AP148" s="81" t="e">
        <f>Z148</f>
        <v>#DIV/0!</v>
      </c>
      <c r="AQ148" s="81" t="e">
        <f>V148</f>
        <v>#DIV/0!</v>
      </c>
      <c r="AR148" s="7"/>
      <c r="AS148" s="76">
        <f t="shared" si="174"/>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ht="15" x14ac:dyDescent="0.25">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87.717368421052626</v>
      </c>
      <c r="AH149" s="82">
        <f>($F144*K144+$F145*K145+$F146*K146+$F147*K147)/(+K144+K145+K146+K147)</f>
        <v>85.414999999999992</v>
      </c>
      <c r="AI149" s="82">
        <f>($F144*G144+$F145*G145+$F146*G146+$F147*G147)/(G144+G145+G146+G147)</f>
        <v>86.664857142857144</v>
      </c>
      <c r="AJ149" s="82"/>
      <c r="AK149" s="82">
        <f>($F144*P144+$F145*P145+$F146*P146+$F147*P147)/(P144+P145+P146+P147)</f>
        <v>87.498124999999987</v>
      </c>
      <c r="AL149" s="82">
        <f>($F144*R144+$F145*R145+$F146*R146+$F147*R147)/(R144+R145+R146+R147)</f>
        <v>97.777333333333345</v>
      </c>
      <c r="AM149" s="82">
        <f>($F144*N144+$F145*N145+$F146*N146+$F147*N147)/(N144+N145+N146+N147)</f>
        <v>92.471935483870965</v>
      </c>
      <c r="AN149" s="82"/>
      <c r="AO149" s="82" t="e">
        <f>($F144*W144+$F145*W145+$F146*W146+$F147*W147)/(W144+W145+W146+W147)</f>
        <v>#DIV/0!</v>
      </c>
      <c r="AP149" s="82" t="e">
        <f>($F144*Y144+$F145*Y145+$F146*Y146+$F147*Y147)/(Y144+Y145+Y146+Y147)</f>
        <v>#DIV/0!</v>
      </c>
      <c r="AQ149" s="82" t="e">
        <f>($F144*U144+$F145*U145+$F146*U146+$F147*U147)/(U144+U145+U146+U147)</f>
        <v>#DIV/0!</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ht="15" x14ac:dyDescent="0.25">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ht="15" x14ac:dyDescent="0.25">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ht="15" x14ac:dyDescent="0.25">
      <c r="A153" s="8" t="s">
        <v>17</v>
      </c>
      <c r="B153" s="9" t="s">
        <v>114</v>
      </c>
      <c r="C153" s="7"/>
      <c r="D153" s="7"/>
      <c r="E153" s="7"/>
      <c r="F153" s="71"/>
      <c r="G153" s="51">
        <f t="shared" ref="G153:G164" si="175">I153+K153</f>
        <v>32</v>
      </c>
      <c r="H153" s="52">
        <f t="shared" ref="H153:H164" si="176">G153/$J$5*100</f>
        <v>84.210526315789465</v>
      </c>
      <c r="I153" s="53">
        <f>COUNTIFS('00 Encuesta'!$B$2:$B$511,"*b)*",'00 Encuesta'!$C$2:$C$511,"*a)*",'00 Encuesta'!$E$2:$E$511,"*a)*",'00 Encuesta'!$U$2:$U$511,"*a)*")</f>
        <v>17</v>
      </c>
      <c r="J153" s="52">
        <f t="shared" ref="J153:J164" si="177">I153/$J$6*100</f>
        <v>80.952380952380949</v>
      </c>
      <c r="K153" s="53">
        <f>COUNTIFS('00 Encuesta'!$B$2:$B$511,"*b)*",'00 Encuesta'!$C$2:$C$511,"*a)*",'00 Encuesta'!$E$2:$E$511,"*b)*",'00 Encuesta'!$U$2:$U$511,"*a)*")</f>
        <v>15</v>
      </c>
      <c r="L153" s="52">
        <f t="shared" ref="L153:L164" si="178">K153/$J$7*100</f>
        <v>88.235294117647058</v>
      </c>
      <c r="M153" s="23"/>
      <c r="N153" s="51">
        <f t="shared" ref="N153:N164" si="179">P153+R153</f>
        <v>27</v>
      </c>
      <c r="O153" s="52">
        <f t="shared" ref="O153:O164" si="180">N153/$Q$5*100</f>
        <v>84.375</v>
      </c>
      <c r="P153" s="53">
        <f>COUNTIFS('00 Encuesta'!$B$2:$B$511,"*b)*",'00 Encuesta'!$C$2:$C$511,"*b)*",'00 Encuesta'!$E$2:$E$511,"*a)*",'00 Encuesta'!$U$2:$U$511,"*a)*")</f>
        <v>15</v>
      </c>
      <c r="Q153" s="52">
        <f t="shared" ref="Q153:Q164" si="181">P153/$Q$6*100</f>
        <v>88.235294117647058</v>
      </c>
      <c r="R153" s="53">
        <f>COUNTIFS('00 Encuesta'!$B$2:$B$511,"*b)*",'00 Encuesta'!$C$2:$C$511,"*b)*",'00 Encuesta'!$E$2:$E$511,"*b)*",'00 Encuesta'!$U$2:$U$511,"*a)*")</f>
        <v>12</v>
      </c>
      <c r="S153" s="52">
        <f t="shared" ref="S153:S164" si="182">R153/$Q$7*100</f>
        <v>80</v>
      </c>
      <c r="T153" s="3"/>
      <c r="U153" s="51">
        <f t="shared" ref="U153:U164" si="183">W153+Y153</f>
        <v>0</v>
      </c>
      <c r="V153" s="52" t="e">
        <f t="shared" ref="V153:V164" si="184">U153/$X$5*100</f>
        <v>#DIV/0!</v>
      </c>
      <c r="W153" s="53">
        <f>COUNTIFS('00 Encuesta'!$B$2:$B$511,"*b)*",'00 Encuesta'!$C$2:$C$511,"*d)*",'00 Encuesta'!$E$2:$E$511,"*a)*",'00 Encuesta'!$U$2:$U$511,"*a)*")</f>
        <v>0</v>
      </c>
      <c r="X153" s="52" t="e">
        <f t="shared" ref="X153:X164" si="185">W153/$X$6*100</f>
        <v>#DIV/0!</v>
      </c>
      <c r="Y153" s="53">
        <f>COUNTIFS('00 Encuesta'!$B$2:$B$511,"*b)*",'00 Encuesta'!$C$2:$C$511,"*d)*",'00 Encuesta'!$E$2:$E$511,"*b)*",'00 Encuesta'!$U$2:$U$511,"*a)*")</f>
        <v>0</v>
      </c>
      <c r="Z153" s="52" t="e">
        <f t="shared" ref="Z153:Z164" si="186">Y153/$X$7*100</f>
        <v>#DIV/0!</v>
      </c>
      <c r="AA153" s="3"/>
      <c r="AB153" s="62">
        <f t="shared" ref="AB153:AB164" si="187">G153+N153+U153</f>
        <v>59</v>
      </c>
      <c r="AC153" s="52">
        <f t="shared" ref="AC153:AC164" si="188">AB153*100/$AC$5</f>
        <v>84.285714285714292</v>
      </c>
      <c r="AD153" s="7"/>
      <c r="AE153" s="7"/>
      <c r="AF153" s="9" t="str">
        <f t="shared" ref="AF153:AF165" si="189">A153&amp;" "&amp;B153</f>
        <v>a) La iglesia</v>
      </c>
      <c r="AG153" s="72">
        <f t="shared" ref="AG153:AG165" si="190">J153</f>
        <v>80.952380952380949</v>
      </c>
      <c r="AH153" s="72">
        <f t="shared" ref="AH153:AH165" si="191">L153</f>
        <v>88.235294117647058</v>
      </c>
      <c r="AI153" s="73">
        <f t="shared" ref="AI153:AI165" si="192">H153</f>
        <v>84.210526315789465</v>
      </c>
      <c r="AJ153" s="73"/>
      <c r="AK153" s="76">
        <f t="shared" ref="AK153:AK165" si="193">Q153</f>
        <v>88.235294117647058</v>
      </c>
      <c r="AL153" s="76">
        <f t="shared" ref="AL153:AL165" si="194">S153</f>
        <v>80</v>
      </c>
      <c r="AM153" s="76">
        <f t="shared" ref="AM153:AM165" si="195">O153</f>
        <v>84.375</v>
      </c>
      <c r="AN153" s="76"/>
      <c r="AO153" s="81" t="e">
        <f t="shared" ref="AO153:AO165" si="196">X153</f>
        <v>#DIV/0!</v>
      </c>
      <c r="AP153" s="81" t="e">
        <f t="shared" ref="AP153:AP165" si="197">Z153</f>
        <v>#DIV/0!</v>
      </c>
      <c r="AQ153" s="81" t="e">
        <f t="shared" ref="AQ153:AQ165" si="198">V153</f>
        <v>#DIV/0!</v>
      </c>
      <c r="AR153" s="7"/>
      <c r="AS153" s="76">
        <f t="shared" si="174"/>
        <v>84.285714285714292</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ht="15" x14ac:dyDescent="0.25">
      <c r="A154" s="8" t="s">
        <v>18</v>
      </c>
      <c r="B154" s="9" t="s">
        <v>115</v>
      </c>
      <c r="C154" s="7"/>
      <c r="D154" s="7"/>
      <c r="E154" s="7"/>
      <c r="F154" s="71"/>
      <c r="G154" s="51">
        <f t="shared" si="175"/>
        <v>18</v>
      </c>
      <c r="H154" s="52">
        <f t="shared" si="176"/>
        <v>47.368421052631575</v>
      </c>
      <c r="I154" s="53">
        <f>COUNTIFS('00 Encuesta'!$B$2:$B$511,"*b)*",'00 Encuesta'!$C$2:$C$511,"*a)*",'00 Encuesta'!$E$2:$E$511,"*a)*",'00 Encuesta'!$U$2:$U$511,"*b)*")</f>
        <v>10</v>
      </c>
      <c r="J154" s="52">
        <f t="shared" si="177"/>
        <v>47.619047619047613</v>
      </c>
      <c r="K154" s="53">
        <f>COUNTIFS('00 Encuesta'!$B$2:$B$511,"*b)*",'00 Encuesta'!$C$2:$C$511,"*a)*",'00 Encuesta'!$E$2:$E$511,"*b)*",'00 Encuesta'!$U$2:$U$511,"*b)*")</f>
        <v>8</v>
      </c>
      <c r="L154" s="52">
        <f t="shared" si="178"/>
        <v>47.058823529411761</v>
      </c>
      <c r="M154" s="23"/>
      <c r="N154" s="51">
        <f t="shared" si="179"/>
        <v>13</v>
      </c>
      <c r="O154" s="52">
        <f t="shared" si="180"/>
        <v>40.625</v>
      </c>
      <c r="P154" s="53">
        <f>COUNTIFS('00 Encuesta'!$B$2:$B$511,"*b)*",'00 Encuesta'!$C$2:$C$511,"*b)*",'00 Encuesta'!$E$2:$E$511,"*a)*",'00 Encuesta'!$U$2:$U$511,"*b)*")</f>
        <v>8</v>
      </c>
      <c r="Q154" s="52">
        <f t="shared" si="181"/>
        <v>47.058823529411761</v>
      </c>
      <c r="R154" s="53">
        <f>COUNTIFS('00 Encuesta'!$B$2:$B$511,"*b)*",'00 Encuesta'!$C$2:$C$511,"*b)*",'00 Encuesta'!$E$2:$E$511,"*b)*",'00 Encuesta'!$U$2:$U$511,"*b)*")</f>
        <v>5</v>
      </c>
      <c r="S154" s="52">
        <f t="shared" si="182"/>
        <v>33.333333333333329</v>
      </c>
      <c r="T154" s="3"/>
      <c r="U154" s="51">
        <f t="shared" si="183"/>
        <v>0</v>
      </c>
      <c r="V154" s="52" t="e">
        <f t="shared" si="184"/>
        <v>#DIV/0!</v>
      </c>
      <c r="W154" s="53">
        <f>COUNTIFS('00 Encuesta'!$B$2:$B$511,"*b)*",'00 Encuesta'!$C$2:$C$511,"*d)*",'00 Encuesta'!$E$2:$E$511,"*a)*",'00 Encuesta'!$U$2:$U$511,"*b)*")</f>
        <v>0</v>
      </c>
      <c r="X154" s="52" t="e">
        <f t="shared" si="185"/>
        <v>#DIV/0!</v>
      </c>
      <c r="Y154" s="53">
        <f>COUNTIFS('00 Encuesta'!$B$2:$B$511,"*b)*",'00 Encuesta'!$C$2:$C$511,"*d)*",'00 Encuesta'!$E$2:$E$511,"*b)*",'00 Encuesta'!$U$2:$U$511,"*b)*")</f>
        <v>0</v>
      </c>
      <c r="Z154" s="52" t="e">
        <f t="shared" si="186"/>
        <v>#DIV/0!</v>
      </c>
      <c r="AA154" s="3"/>
      <c r="AB154" s="62">
        <f t="shared" si="187"/>
        <v>31</v>
      </c>
      <c r="AC154" s="52">
        <f t="shared" si="188"/>
        <v>44.285714285714285</v>
      </c>
      <c r="AD154" s="7"/>
      <c r="AE154" s="7"/>
      <c r="AF154" s="9" t="str">
        <f t="shared" si="189"/>
        <v>b) La naturaleza</v>
      </c>
      <c r="AG154" s="72">
        <f t="shared" si="190"/>
        <v>47.619047619047613</v>
      </c>
      <c r="AH154" s="72">
        <f t="shared" si="191"/>
        <v>47.058823529411761</v>
      </c>
      <c r="AI154" s="73">
        <f t="shared" si="192"/>
        <v>47.368421052631575</v>
      </c>
      <c r="AJ154" s="73"/>
      <c r="AK154" s="76">
        <f t="shared" si="193"/>
        <v>47.058823529411761</v>
      </c>
      <c r="AL154" s="76">
        <f t="shared" si="194"/>
        <v>33.333333333333329</v>
      </c>
      <c r="AM154" s="76">
        <f t="shared" si="195"/>
        <v>40.625</v>
      </c>
      <c r="AN154" s="76"/>
      <c r="AO154" s="81" t="e">
        <f t="shared" si="196"/>
        <v>#DIV/0!</v>
      </c>
      <c r="AP154" s="81" t="e">
        <f t="shared" si="197"/>
        <v>#DIV/0!</v>
      </c>
      <c r="AQ154" s="81" t="e">
        <f t="shared" si="198"/>
        <v>#DIV/0!</v>
      </c>
      <c r="AR154" s="7"/>
      <c r="AS154" s="76">
        <f t="shared" si="174"/>
        <v>44.285714285714285</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9</v>
      </c>
      <c r="H155" s="52">
        <f t="shared" si="176"/>
        <v>23.684210526315788</v>
      </c>
      <c r="I155" s="53">
        <f>COUNTIFS('00 Encuesta'!$B$2:$B$511,"*b)*",'00 Encuesta'!$C$2:$C$511,"*a)*",'00 Encuesta'!$E$2:$E$511,"*a)*",'00 Encuesta'!$U$2:$U$511,"*c)*")</f>
        <v>5</v>
      </c>
      <c r="J155" s="52">
        <f t="shared" si="177"/>
        <v>23.809523809523807</v>
      </c>
      <c r="K155" s="53">
        <f>COUNTIFS('00 Encuesta'!$B$2:$B$511,"*b)*",'00 Encuesta'!$C$2:$C$511,"*a)*",'00 Encuesta'!$E$2:$E$511,"*b)*",'00 Encuesta'!$U$2:$U$511,"*c)*")</f>
        <v>4</v>
      </c>
      <c r="L155" s="52">
        <f t="shared" si="178"/>
        <v>23.52941176470588</v>
      </c>
      <c r="M155" s="23"/>
      <c r="N155" s="51">
        <f t="shared" si="179"/>
        <v>10</v>
      </c>
      <c r="O155" s="52">
        <f t="shared" si="180"/>
        <v>31.25</v>
      </c>
      <c r="P155" s="53">
        <f>COUNTIFS('00 Encuesta'!$B$2:$B$511,"*b)*",'00 Encuesta'!$C$2:$C$511,"*b)*",'00 Encuesta'!$E$2:$E$511,"*a)*",'00 Encuesta'!$U$2:$U$511,"*c)*")</f>
        <v>7</v>
      </c>
      <c r="Q155" s="52">
        <f t="shared" si="181"/>
        <v>41.17647058823529</v>
      </c>
      <c r="R155" s="53">
        <f>COUNTIFS('00 Encuesta'!$B$2:$B$511,"*b)*",'00 Encuesta'!$C$2:$C$511,"*b)*",'00 Encuesta'!$E$2:$E$511,"*b)*",'00 Encuesta'!$U$2:$U$511,"*c)*")</f>
        <v>3</v>
      </c>
      <c r="S155" s="52">
        <f t="shared" si="182"/>
        <v>20</v>
      </c>
      <c r="T155" s="3"/>
      <c r="U155" s="51">
        <f t="shared" si="183"/>
        <v>0</v>
      </c>
      <c r="V155" s="52" t="e">
        <f t="shared" si="184"/>
        <v>#DIV/0!</v>
      </c>
      <c r="W155" s="53">
        <f>COUNTIFS('00 Encuesta'!$B$2:$B$511,"*b)*",'00 Encuesta'!$C$2:$C$511,"*d)*",'00 Encuesta'!$E$2:$E$511,"*a)*",'00 Encuesta'!$U$2:$U$511,"*c)*")</f>
        <v>0</v>
      </c>
      <c r="X155" s="52" t="e">
        <f t="shared" si="185"/>
        <v>#DIV/0!</v>
      </c>
      <c r="Y155" s="53">
        <f>COUNTIFS('00 Encuesta'!$B$2:$B$511,"*b)*",'00 Encuesta'!$C$2:$C$511,"*d)*",'00 Encuesta'!$E$2:$E$511,"*b)*",'00 Encuesta'!$U$2:$U$511,"*c)*")</f>
        <v>0</v>
      </c>
      <c r="Z155" s="52" t="e">
        <f t="shared" si="186"/>
        <v>#DIV/0!</v>
      </c>
      <c r="AA155" s="3"/>
      <c r="AB155" s="62">
        <f t="shared" si="187"/>
        <v>19</v>
      </c>
      <c r="AC155" s="52">
        <f t="shared" si="188"/>
        <v>27.142857142857142</v>
      </c>
      <c r="AD155" s="7"/>
      <c r="AE155" s="7"/>
      <c r="AF155" s="9" t="str">
        <f t="shared" si="189"/>
        <v>c) El salón de clase</v>
      </c>
      <c r="AG155" s="72">
        <f t="shared" si="190"/>
        <v>23.809523809523807</v>
      </c>
      <c r="AH155" s="72">
        <f t="shared" si="191"/>
        <v>23.52941176470588</v>
      </c>
      <c r="AI155" s="73">
        <f t="shared" si="192"/>
        <v>23.684210526315788</v>
      </c>
      <c r="AJ155" s="73"/>
      <c r="AK155" s="76">
        <f t="shared" si="193"/>
        <v>41.17647058823529</v>
      </c>
      <c r="AL155" s="76">
        <f t="shared" si="194"/>
        <v>20</v>
      </c>
      <c r="AM155" s="76">
        <f t="shared" si="195"/>
        <v>31.25</v>
      </c>
      <c r="AN155" s="76"/>
      <c r="AO155" s="81" t="e">
        <f t="shared" si="196"/>
        <v>#DIV/0!</v>
      </c>
      <c r="AP155" s="81" t="e">
        <f t="shared" si="197"/>
        <v>#DIV/0!</v>
      </c>
      <c r="AQ155" s="81" t="e">
        <f t="shared" si="198"/>
        <v>#DIV/0!</v>
      </c>
      <c r="AR155" s="7"/>
      <c r="AS155" s="76">
        <f t="shared" si="174"/>
        <v>27.142857142857142</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ht="15" x14ac:dyDescent="0.25">
      <c r="A156" s="8" t="s">
        <v>21</v>
      </c>
      <c r="B156" s="9" t="s">
        <v>117</v>
      </c>
      <c r="C156" s="7"/>
      <c r="D156" s="7"/>
      <c r="E156" s="7"/>
      <c r="F156" s="71"/>
      <c r="G156" s="51">
        <f t="shared" si="175"/>
        <v>15</v>
      </c>
      <c r="H156" s="52">
        <f t="shared" si="176"/>
        <v>39.473684210526315</v>
      </c>
      <c r="I156" s="53">
        <f>COUNTIFS('00 Encuesta'!$B$2:$B$511,"*b)*",'00 Encuesta'!$C$2:$C$511,"*a)*",'00 Encuesta'!$E$2:$E$511,"*a)*",'00 Encuesta'!$U$2:$U$511,"*d)*")</f>
        <v>8</v>
      </c>
      <c r="J156" s="52">
        <f t="shared" si="177"/>
        <v>38.095238095238095</v>
      </c>
      <c r="K156" s="53">
        <f>COUNTIFS('00 Encuesta'!$B$2:$B$511,"*b)*",'00 Encuesta'!$C$2:$C$511,"*a)*",'00 Encuesta'!$E$2:$E$511,"*b)*",'00 Encuesta'!$U$2:$U$511,"*d)*")</f>
        <v>7</v>
      </c>
      <c r="L156" s="52">
        <f t="shared" si="178"/>
        <v>41.17647058823529</v>
      </c>
      <c r="M156" s="23"/>
      <c r="N156" s="51">
        <f t="shared" si="179"/>
        <v>15</v>
      </c>
      <c r="O156" s="52">
        <f t="shared" si="180"/>
        <v>46.875</v>
      </c>
      <c r="P156" s="53">
        <f>COUNTIFS('00 Encuesta'!$B$2:$B$511,"*b)*",'00 Encuesta'!$C$2:$C$511,"*b)*",'00 Encuesta'!$E$2:$E$511,"*a)*",'00 Encuesta'!$U$2:$U$511,"*d)*")</f>
        <v>7</v>
      </c>
      <c r="Q156" s="52">
        <f t="shared" si="181"/>
        <v>41.17647058823529</v>
      </c>
      <c r="R156" s="53">
        <f>COUNTIFS('00 Encuesta'!$B$2:$B$511,"*b)*",'00 Encuesta'!$C$2:$C$511,"*b)*",'00 Encuesta'!$E$2:$E$511,"*b)*",'00 Encuesta'!$U$2:$U$511,"*d)*")</f>
        <v>8</v>
      </c>
      <c r="S156" s="52">
        <f t="shared" si="182"/>
        <v>53.333333333333336</v>
      </c>
      <c r="T156" s="3"/>
      <c r="U156" s="51">
        <f t="shared" si="183"/>
        <v>0</v>
      </c>
      <c r="V156" s="52" t="e">
        <f t="shared" si="184"/>
        <v>#DIV/0!</v>
      </c>
      <c r="W156" s="53">
        <f>COUNTIFS('00 Encuesta'!$B$2:$B$511,"*b)*",'00 Encuesta'!$C$2:$C$511,"*d)*",'00 Encuesta'!$E$2:$E$511,"*a)*",'00 Encuesta'!$U$2:$U$511,"*d)*")</f>
        <v>0</v>
      </c>
      <c r="X156" s="52" t="e">
        <f t="shared" si="185"/>
        <v>#DIV/0!</v>
      </c>
      <c r="Y156" s="53">
        <f>COUNTIFS('00 Encuesta'!$B$2:$B$511,"*b)*",'00 Encuesta'!$C$2:$C$511,"*d)*",'00 Encuesta'!$E$2:$E$511,"*b)*",'00 Encuesta'!$U$2:$U$511,"*d)*")</f>
        <v>0</v>
      </c>
      <c r="Z156" s="52" t="e">
        <f t="shared" si="186"/>
        <v>#DIV/0!</v>
      </c>
      <c r="AA156" s="3"/>
      <c r="AB156" s="62">
        <f t="shared" si="187"/>
        <v>30</v>
      </c>
      <c r="AC156" s="52">
        <f t="shared" si="188"/>
        <v>42.857142857142854</v>
      </c>
      <c r="AD156" s="7"/>
      <c r="AE156" s="7"/>
      <c r="AF156" s="9" t="str">
        <f t="shared" si="189"/>
        <v>d) Las convivencias</v>
      </c>
      <c r="AG156" s="72">
        <f t="shared" si="190"/>
        <v>38.095238095238095</v>
      </c>
      <c r="AH156" s="72">
        <f t="shared" si="191"/>
        <v>41.17647058823529</v>
      </c>
      <c r="AI156" s="73">
        <f t="shared" si="192"/>
        <v>39.473684210526315</v>
      </c>
      <c r="AJ156" s="73"/>
      <c r="AK156" s="76">
        <f t="shared" si="193"/>
        <v>41.17647058823529</v>
      </c>
      <c r="AL156" s="76">
        <f t="shared" si="194"/>
        <v>53.333333333333336</v>
      </c>
      <c r="AM156" s="76">
        <f t="shared" si="195"/>
        <v>46.875</v>
      </c>
      <c r="AN156" s="76"/>
      <c r="AO156" s="81" t="e">
        <f t="shared" si="196"/>
        <v>#DIV/0!</v>
      </c>
      <c r="AP156" s="81" t="e">
        <f t="shared" si="197"/>
        <v>#DIV/0!</v>
      </c>
      <c r="AQ156" s="81" t="e">
        <f t="shared" si="198"/>
        <v>#DIV/0!</v>
      </c>
      <c r="AR156" s="7"/>
      <c r="AS156" s="76">
        <f t="shared" si="174"/>
        <v>42.857142857142854</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ht="15" x14ac:dyDescent="0.25">
      <c r="A157" s="8" t="s">
        <v>22</v>
      </c>
      <c r="B157" s="9" t="s">
        <v>81</v>
      </c>
      <c r="C157" s="7"/>
      <c r="D157" s="7"/>
      <c r="E157" s="7"/>
      <c r="F157" s="71"/>
      <c r="G157" s="51">
        <f t="shared" si="175"/>
        <v>10</v>
      </c>
      <c r="H157" s="52">
        <f t="shared" si="176"/>
        <v>26.315789473684209</v>
      </c>
      <c r="I157" s="53">
        <f>COUNTIFS('00 Encuesta'!$B$2:$B$511,"*b)*",'00 Encuesta'!$C$2:$C$511,"*a)*",'00 Encuesta'!$E$2:$E$511,"*a)*",'00 Encuesta'!$U$2:$U$511,"*e)*")</f>
        <v>6</v>
      </c>
      <c r="J157" s="52">
        <f t="shared" si="177"/>
        <v>28.571428571428569</v>
      </c>
      <c r="K157" s="53">
        <f>COUNTIFS('00 Encuesta'!$B$2:$B$511,"*b)*",'00 Encuesta'!$C$2:$C$511,"*a)*",'00 Encuesta'!$E$2:$E$511,"*b)*",'00 Encuesta'!$U$2:$U$511,"*e)*")</f>
        <v>4</v>
      </c>
      <c r="L157" s="52">
        <f t="shared" si="178"/>
        <v>23.52941176470588</v>
      </c>
      <c r="M157" s="23"/>
      <c r="N157" s="51">
        <f t="shared" si="179"/>
        <v>9</v>
      </c>
      <c r="O157" s="52">
        <f t="shared" si="180"/>
        <v>28.125</v>
      </c>
      <c r="P157" s="53">
        <f>COUNTIFS('00 Encuesta'!$B$2:$B$511,"*b)*",'00 Encuesta'!$C$2:$C$511,"*b)*",'00 Encuesta'!$E$2:$E$511,"*a)*",'00 Encuesta'!$U$2:$U$511,"*e)*")</f>
        <v>7</v>
      </c>
      <c r="Q157" s="52">
        <f t="shared" si="181"/>
        <v>41.17647058823529</v>
      </c>
      <c r="R157" s="53">
        <f>COUNTIFS('00 Encuesta'!$B$2:$B$511,"*b)*",'00 Encuesta'!$C$2:$C$511,"*b)*",'00 Encuesta'!$E$2:$E$511,"*b)*",'00 Encuesta'!$U$2:$U$511,"*e)*")</f>
        <v>2</v>
      </c>
      <c r="S157" s="52">
        <f t="shared" si="182"/>
        <v>13.333333333333334</v>
      </c>
      <c r="T157" s="3"/>
      <c r="U157" s="51">
        <f t="shared" si="183"/>
        <v>0</v>
      </c>
      <c r="V157" s="52" t="e">
        <f t="shared" si="184"/>
        <v>#DIV/0!</v>
      </c>
      <c r="W157" s="53">
        <f>COUNTIFS('00 Encuesta'!$B$2:$B$511,"*b)*",'00 Encuesta'!$C$2:$C$511,"*d)*",'00 Encuesta'!$E$2:$E$511,"*a)*",'00 Encuesta'!$U$2:$U$511,"*e)*")</f>
        <v>0</v>
      </c>
      <c r="X157" s="52" t="e">
        <f t="shared" si="185"/>
        <v>#DIV/0!</v>
      </c>
      <c r="Y157" s="53">
        <f>COUNTIFS('00 Encuesta'!$B$2:$B$511,"*b)*",'00 Encuesta'!$C$2:$C$511,"*d)*",'00 Encuesta'!$E$2:$E$511,"*b)*",'00 Encuesta'!$U$2:$U$511,"*e)*")</f>
        <v>0</v>
      </c>
      <c r="Z157" s="52" t="e">
        <f t="shared" si="186"/>
        <v>#DIV/0!</v>
      </c>
      <c r="AA157" s="3"/>
      <c r="AB157" s="62">
        <f t="shared" si="187"/>
        <v>19</v>
      </c>
      <c r="AC157" s="52">
        <f t="shared" si="188"/>
        <v>27.142857142857142</v>
      </c>
      <c r="AD157" s="7"/>
      <c r="AE157" s="7"/>
      <c r="AF157" s="9" t="str">
        <f t="shared" si="189"/>
        <v>e) Los amigos</v>
      </c>
      <c r="AG157" s="72">
        <f t="shared" si="190"/>
        <v>28.571428571428569</v>
      </c>
      <c r="AH157" s="72">
        <f t="shared" si="191"/>
        <v>23.52941176470588</v>
      </c>
      <c r="AI157" s="73">
        <f t="shared" si="192"/>
        <v>26.315789473684209</v>
      </c>
      <c r="AJ157" s="73"/>
      <c r="AK157" s="76">
        <f t="shared" si="193"/>
        <v>41.17647058823529</v>
      </c>
      <c r="AL157" s="76">
        <f t="shared" si="194"/>
        <v>13.333333333333334</v>
      </c>
      <c r="AM157" s="76">
        <f t="shared" si="195"/>
        <v>28.125</v>
      </c>
      <c r="AN157" s="76"/>
      <c r="AO157" s="81" t="e">
        <f t="shared" si="196"/>
        <v>#DIV/0!</v>
      </c>
      <c r="AP157" s="81" t="e">
        <f t="shared" si="197"/>
        <v>#DIV/0!</v>
      </c>
      <c r="AQ157" s="81" t="e">
        <f t="shared" si="198"/>
        <v>#DIV/0!</v>
      </c>
      <c r="AR157" s="7"/>
      <c r="AS157" s="76">
        <f t="shared" si="174"/>
        <v>27.142857142857142</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ht="15" x14ac:dyDescent="0.25">
      <c r="A158" s="8" t="s">
        <v>45</v>
      </c>
      <c r="B158" s="9" t="s">
        <v>118</v>
      </c>
      <c r="C158" s="7"/>
      <c r="D158" s="7"/>
      <c r="E158" s="7"/>
      <c r="F158" s="71"/>
      <c r="G158" s="51">
        <f t="shared" si="175"/>
        <v>7</v>
      </c>
      <c r="H158" s="52">
        <f t="shared" si="176"/>
        <v>18.421052631578945</v>
      </c>
      <c r="I158" s="53">
        <f>COUNTIFS('00 Encuesta'!$B$2:$B$511,"*b)*",'00 Encuesta'!$C$2:$C$511,"*a)*",'00 Encuesta'!$E$2:$E$511,"*a)*",'00 Encuesta'!$U$2:$U$511,"*f)*")</f>
        <v>4</v>
      </c>
      <c r="J158" s="52">
        <f t="shared" si="177"/>
        <v>19.047619047619047</v>
      </c>
      <c r="K158" s="53">
        <f>COUNTIFS('00 Encuesta'!$B$2:$B$511,"*b)*",'00 Encuesta'!$C$2:$C$511,"*a)*",'00 Encuesta'!$E$2:$E$511,"*b)*",'00 Encuesta'!$U$2:$U$511,"*f)*")</f>
        <v>3</v>
      </c>
      <c r="L158" s="52">
        <f t="shared" si="178"/>
        <v>17.647058823529413</v>
      </c>
      <c r="M158" s="23"/>
      <c r="N158" s="51">
        <f t="shared" si="179"/>
        <v>5</v>
      </c>
      <c r="O158" s="52">
        <f t="shared" si="180"/>
        <v>15.625</v>
      </c>
      <c r="P158" s="53">
        <f>COUNTIFS('00 Encuesta'!$B$2:$B$511,"*b)*",'00 Encuesta'!$C$2:$C$511,"*b)*",'00 Encuesta'!$E$2:$E$511,"*a)*",'00 Encuesta'!$U$2:$U$511,"*f)*")</f>
        <v>2</v>
      </c>
      <c r="Q158" s="52">
        <f t="shared" si="181"/>
        <v>11.76470588235294</v>
      </c>
      <c r="R158" s="53">
        <f>COUNTIFS('00 Encuesta'!$B$2:$B$511,"*b)*",'00 Encuesta'!$C$2:$C$511,"*b)*",'00 Encuesta'!$E$2:$E$511,"*b)*",'00 Encuesta'!$U$2:$U$511,"*f)*")</f>
        <v>3</v>
      </c>
      <c r="S158" s="52">
        <f t="shared" si="182"/>
        <v>20</v>
      </c>
      <c r="T158" s="3"/>
      <c r="U158" s="51">
        <f t="shared" si="183"/>
        <v>0</v>
      </c>
      <c r="V158" s="52" t="e">
        <f t="shared" si="184"/>
        <v>#DIV/0!</v>
      </c>
      <c r="W158" s="53">
        <f>COUNTIFS('00 Encuesta'!$B$2:$B$511,"*b)*",'00 Encuesta'!$C$2:$C$511,"*d)*",'00 Encuesta'!$E$2:$E$511,"*a)*",'00 Encuesta'!$U$2:$U$511,"*f)*")</f>
        <v>0</v>
      </c>
      <c r="X158" s="52" t="e">
        <f t="shared" si="185"/>
        <v>#DIV/0!</v>
      </c>
      <c r="Y158" s="53">
        <f>COUNTIFS('00 Encuesta'!$B$2:$B$511,"*b)*",'00 Encuesta'!$C$2:$C$511,"*d)*",'00 Encuesta'!$E$2:$E$511,"*b)*",'00 Encuesta'!$U$2:$U$511,"*f)*")</f>
        <v>0</v>
      </c>
      <c r="Z158" s="52" t="e">
        <f t="shared" si="186"/>
        <v>#DIV/0!</v>
      </c>
      <c r="AA158" s="3"/>
      <c r="AB158" s="62">
        <f t="shared" si="187"/>
        <v>12</v>
      </c>
      <c r="AC158" s="52">
        <f t="shared" si="188"/>
        <v>17.142857142857142</v>
      </c>
      <c r="AD158" s="7"/>
      <c r="AE158" s="7"/>
      <c r="AF158" s="9" t="str">
        <f t="shared" si="189"/>
        <v>f) Todas las personas</v>
      </c>
      <c r="AG158" s="72">
        <f t="shared" si="190"/>
        <v>19.047619047619047</v>
      </c>
      <c r="AH158" s="72">
        <f t="shared" si="191"/>
        <v>17.647058823529413</v>
      </c>
      <c r="AI158" s="73">
        <f t="shared" si="192"/>
        <v>18.421052631578945</v>
      </c>
      <c r="AJ158" s="73"/>
      <c r="AK158" s="76">
        <f t="shared" si="193"/>
        <v>11.76470588235294</v>
      </c>
      <c r="AL158" s="76">
        <f t="shared" si="194"/>
        <v>20</v>
      </c>
      <c r="AM158" s="76">
        <f t="shared" si="195"/>
        <v>15.625</v>
      </c>
      <c r="AN158" s="76"/>
      <c r="AO158" s="81" t="e">
        <f t="shared" si="196"/>
        <v>#DIV/0!</v>
      </c>
      <c r="AP158" s="81" t="e">
        <f t="shared" si="197"/>
        <v>#DIV/0!</v>
      </c>
      <c r="AQ158" s="81" t="e">
        <f t="shared" si="198"/>
        <v>#DIV/0!</v>
      </c>
      <c r="AR158" s="7"/>
      <c r="AS158" s="76">
        <f t="shared" si="174"/>
        <v>17.142857142857142</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ht="15" x14ac:dyDescent="0.25">
      <c r="A159" s="8" t="s">
        <v>61</v>
      </c>
      <c r="B159" s="9" t="s">
        <v>119</v>
      </c>
      <c r="C159" s="7"/>
      <c r="D159" s="7"/>
      <c r="E159" s="56"/>
      <c r="F159" s="71"/>
      <c r="G159" s="51">
        <f t="shared" si="175"/>
        <v>19</v>
      </c>
      <c r="H159" s="52">
        <f t="shared" si="176"/>
        <v>50</v>
      </c>
      <c r="I159" s="53">
        <f>COUNTIFS('00 Encuesta'!$B$2:$B$511,"*b)*",'00 Encuesta'!$C$2:$C$511,"*a)*",'00 Encuesta'!$E$2:$E$511,"*a)*",'00 Encuesta'!$U$2:$U$511,"*g)*")</f>
        <v>10</v>
      </c>
      <c r="J159" s="52">
        <f t="shared" si="177"/>
        <v>47.619047619047613</v>
      </c>
      <c r="K159" s="53">
        <f>COUNTIFS('00 Encuesta'!$B$2:$B$511,"*b)*",'00 Encuesta'!$C$2:$C$511,"*a)*",'00 Encuesta'!$E$2:$E$511,"*b)*",'00 Encuesta'!$U$2:$U$511,"*g)*")</f>
        <v>9</v>
      </c>
      <c r="L159" s="52">
        <f t="shared" si="178"/>
        <v>52.941176470588239</v>
      </c>
      <c r="M159" s="23"/>
      <c r="N159" s="51">
        <f t="shared" si="179"/>
        <v>19</v>
      </c>
      <c r="O159" s="52">
        <f t="shared" si="180"/>
        <v>59.375</v>
      </c>
      <c r="P159" s="53">
        <f>COUNTIFS('00 Encuesta'!$B$2:$B$511,"*b)*",'00 Encuesta'!$C$2:$C$511,"*b)*",'00 Encuesta'!$E$2:$E$511,"*a)*",'00 Encuesta'!$U$2:$U$511,"*g)*")</f>
        <v>11</v>
      </c>
      <c r="Q159" s="52">
        <f t="shared" si="181"/>
        <v>64.705882352941174</v>
      </c>
      <c r="R159" s="53">
        <f>COUNTIFS('00 Encuesta'!$B$2:$B$511,"*b)*",'00 Encuesta'!$C$2:$C$511,"*b)*",'00 Encuesta'!$E$2:$E$511,"*b)*",'00 Encuesta'!$U$2:$U$511,"*g)*")</f>
        <v>8</v>
      </c>
      <c r="S159" s="52">
        <f t="shared" si="182"/>
        <v>53.333333333333336</v>
      </c>
      <c r="T159" s="3"/>
      <c r="U159" s="51">
        <f t="shared" si="183"/>
        <v>0</v>
      </c>
      <c r="V159" s="52" t="e">
        <f t="shared" si="184"/>
        <v>#DIV/0!</v>
      </c>
      <c r="W159" s="53">
        <f>COUNTIFS('00 Encuesta'!$B$2:$B$511,"*b)*",'00 Encuesta'!$C$2:$C$511,"*d)*",'00 Encuesta'!$E$2:$E$511,"*a)*",'00 Encuesta'!$U$2:$U$511,"*g)*")</f>
        <v>0</v>
      </c>
      <c r="X159" s="52" t="e">
        <f t="shared" si="185"/>
        <v>#DIV/0!</v>
      </c>
      <c r="Y159" s="53">
        <f>COUNTIFS('00 Encuesta'!$B$2:$B$511,"*b)*",'00 Encuesta'!$C$2:$C$511,"*d)*",'00 Encuesta'!$E$2:$E$511,"*b)*",'00 Encuesta'!$U$2:$U$511,"*g)*")</f>
        <v>0</v>
      </c>
      <c r="Z159" s="52" t="e">
        <f t="shared" si="186"/>
        <v>#DIV/0!</v>
      </c>
      <c r="AA159" s="3"/>
      <c r="AB159" s="62">
        <f t="shared" si="187"/>
        <v>38</v>
      </c>
      <c r="AC159" s="52">
        <f t="shared" si="188"/>
        <v>54.285714285714285</v>
      </c>
      <c r="AD159" s="7"/>
      <c r="AE159" s="7"/>
      <c r="AF159" s="9" t="str">
        <f t="shared" si="189"/>
        <v>g) Mi familia</v>
      </c>
      <c r="AG159" s="72">
        <f t="shared" si="190"/>
        <v>47.619047619047613</v>
      </c>
      <c r="AH159" s="72">
        <f t="shared" si="191"/>
        <v>52.941176470588239</v>
      </c>
      <c r="AI159" s="73">
        <f t="shared" si="192"/>
        <v>50</v>
      </c>
      <c r="AJ159" s="73"/>
      <c r="AK159" s="76">
        <f t="shared" si="193"/>
        <v>64.705882352941174</v>
      </c>
      <c r="AL159" s="76">
        <f t="shared" si="194"/>
        <v>53.333333333333336</v>
      </c>
      <c r="AM159" s="76">
        <f t="shared" si="195"/>
        <v>59.375</v>
      </c>
      <c r="AN159" s="76"/>
      <c r="AO159" s="81" t="e">
        <f t="shared" si="196"/>
        <v>#DIV/0!</v>
      </c>
      <c r="AP159" s="81" t="e">
        <f t="shared" si="197"/>
        <v>#DIV/0!</v>
      </c>
      <c r="AQ159" s="81" t="e">
        <f t="shared" si="198"/>
        <v>#DIV/0!</v>
      </c>
      <c r="AR159" s="7"/>
      <c r="AS159" s="76">
        <f t="shared" si="174"/>
        <v>54.285714285714285</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ht="15" x14ac:dyDescent="0.25">
      <c r="A160" s="8" t="s">
        <v>63</v>
      </c>
      <c r="B160" s="9" t="s">
        <v>120</v>
      </c>
      <c r="C160" s="7"/>
      <c r="D160" s="7"/>
      <c r="E160" s="7"/>
      <c r="F160" s="71"/>
      <c r="G160" s="51">
        <f t="shared" si="175"/>
        <v>12</v>
      </c>
      <c r="H160" s="52">
        <f t="shared" si="176"/>
        <v>31.578947368421051</v>
      </c>
      <c r="I160" s="53">
        <f>COUNTIFS('00 Encuesta'!$B$2:$B$511,"*b)*",'00 Encuesta'!$C$2:$C$511,"*a)*",'00 Encuesta'!$E$2:$E$511,"*a)*",'00 Encuesta'!$U$2:$U$511,"*h)*")</f>
        <v>9</v>
      </c>
      <c r="J160" s="52">
        <f t="shared" si="177"/>
        <v>42.857142857142854</v>
      </c>
      <c r="K160" s="53">
        <f>COUNTIFS('00 Encuesta'!$B$2:$B$511,"*b)*",'00 Encuesta'!$C$2:$C$511,"*a)*",'00 Encuesta'!$E$2:$E$511,"*b)*",'00 Encuesta'!$U$2:$U$511,"*h)*")</f>
        <v>3</v>
      </c>
      <c r="L160" s="52">
        <f t="shared" si="178"/>
        <v>17.647058823529413</v>
      </c>
      <c r="M160" s="23"/>
      <c r="N160" s="51">
        <f t="shared" si="179"/>
        <v>11</v>
      </c>
      <c r="O160" s="52">
        <f t="shared" si="180"/>
        <v>34.375</v>
      </c>
      <c r="P160" s="53">
        <f>COUNTIFS('00 Encuesta'!$B$2:$B$511,"*b)*",'00 Encuesta'!$C$2:$C$511,"*b)*",'00 Encuesta'!$E$2:$E$511,"*a)*",'00 Encuesta'!$U$2:$U$511,"*h)*")</f>
        <v>5</v>
      </c>
      <c r="Q160" s="52">
        <f t="shared" si="181"/>
        <v>29.411764705882355</v>
      </c>
      <c r="R160" s="53">
        <f>COUNTIFS('00 Encuesta'!$B$2:$B$511,"*b)*",'00 Encuesta'!$C$2:$C$511,"*b)*",'00 Encuesta'!$E$2:$E$511,"*b)*",'00 Encuesta'!$U$2:$U$511,"*h)*")</f>
        <v>6</v>
      </c>
      <c r="S160" s="52">
        <f t="shared" si="182"/>
        <v>40</v>
      </c>
      <c r="T160" s="3"/>
      <c r="U160" s="51">
        <f t="shared" si="183"/>
        <v>0</v>
      </c>
      <c r="V160" s="52" t="e">
        <f t="shared" si="184"/>
        <v>#DIV/0!</v>
      </c>
      <c r="W160" s="53">
        <f>COUNTIFS('00 Encuesta'!$B$2:$B$511,"*b)*",'00 Encuesta'!$C$2:$C$511,"*d)*",'00 Encuesta'!$E$2:$E$511,"*a)*",'00 Encuesta'!$U$2:$U$511,"*h)*")</f>
        <v>0</v>
      </c>
      <c r="X160" s="52" t="e">
        <f t="shared" si="185"/>
        <v>#DIV/0!</v>
      </c>
      <c r="Y160" s="53">
        <f>COUNTIFS('00 Encuesta'!$B$2:$B$511,"*b)*",'00 Encuesta'!$C$2:$C$511,"*d)*",'00 Encuesta'!$E$2:$E$511,"*b)*",'00 Encuesta'!$U$2:$U$511,"*h)*")</f>
        <v>0</v>
      </c>
      <c r="Z160" s="52" t="e">
        <f t="shared" si="186"/>
        <v>#DIV/0!</v>
      </c>
      <c r="AA160" s="3"/>
      <c r="AB160" s="62">
        <f t="shared" si="187"/>
        <v>23</v>
      </c>
      <c r="AC160" s="52">
        <f t="shared" si="188"/>
        <v>32.857142857142854</v>
      </c>
      <c r="AD160" s="7"/>
      <c r="AE160" s="7"/>
      <c r="AF160" s="9" t="str">
        <f t="shared" si="189"/>
        <v>h) Algunas personas cercanas a dios</v>
      </c>
      <c r="AG160" s="72">
        <f t="shared" si="190"/>
        <v>42.857142857142854</v>
      </c>
      <c r="AH160" s="72">
        <f t="shared" si="191"/>
        <v>17.647058823529413</v>
      </c>
      <c r="AI160" s="73">
        <f t="shared" si="192"/>
        <v>31.578947368421051</v>
      </c>
      <c r="AJ160" s="73"/>
      <c r="AK160" s="76">
        <f t="shared" si="193"/>
        <v>29.411764705882355</v>
      </c>
      <c r="AL160" s="76">
        <f t="shared" si="194"/>
        <v>40</v>
      </c>
      <c r="AM160" s="76">
        <f t="shared" si="195"/>
        <v>34.375</v>
      </c>
      <c r="AN160" s="76"/>
      <c r="AO160" s="81" t="e">
        <f t="shared" si="196"/>
        <v>#DIV/0!</v>
      </c>
      <c r="AP160" s="81" t="e">
        <f t="shared" si="197"/>
        <v>#DIV/0!</v>
      </c>
      <c r="AQ160" s="81" t="e">
        <f t="shared" si="198"/>
        <v>#DIV/0!</v>
      </c>
      <c r="AR160" s="7"/>
      <c r="AS160" s="76">
        <f t="shared" si="174"/>
        <v>32.857142857142854</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ht="15" x14ac:dyDescent="0.25">
      <c r="A161" s="8" t="s">
        <v>65</v>
      </c>
      <c r="B161" s="9" t="s">
        <v>121</v>
      </c>
      <c r="C161" s="7"/>
      <c r="D161" s="7"/>
      <c r="E161" s="7"/>
      <c r="F161" s="71"/>
      <c r="G161" s="51">
        <f t="shared" si="175"/>
        <v>9</v>
      </c>
      <c r="H161" s="52">
        <f t="shared" si="176"/>
        <v>23.684210526315788</v>
      </c>
      <c r="I161" s="53">
        <f>COUNTIFS('00 Encuesta'!$B$2:$B$511,"*b)*",'00 Encuesta'!$C$2:$C$511,"*a)*",'00 Encuesta'!$E$2:$E$511,"*a)*",'00 Encuesta'!$U$2:$U$511,"*i)*")</f>
        <v>6</v>
      </c>
      <c r="J161" s="52">
        <f t="shared" si="177"/>
        <v>28.571428571428569</v>
      </c>
      <c r="K161" s="53">
        <f>COUNTIFS('00 Encuesta'!$B$2:$B$511,"*b)*",'00 Encuesta'!$C$2:$C$511,"*a)*",'00 Encuesta'!$E$2:$E$511,"*b)*",'00 Encuesta'!$U$2:$U$511,"*i)*")</f>
        <v>3</v>
      </c>
      <c r="L161" s="52">
        <f t="shared" si="178"/>
        <v>17.647058823529413</v>
      </c>
      <c r="M161" s="23"/>
      <c r="N161" s="51">
        <f t="shared" si="179"/>
        <v>11</v>
      </c>
      <c r="O161" s="52">
        <f t="shared" si="180"/>
        <v>34.375</v>
      </c>
      <c r="P161" s="53">
        <f>COUNTIFS('00 Encuesta'!$B$2:$B$511,"*b)*",'00 Encuesta'!$C$2:$C$511,"*b)*",'00 Encuesta'!$E$2:$E$511,"*a)*",'00 Encuesta'!$U$2:$U$511,"*i)*")</f>
        <v>8</v>
      </c>
      <c r="Q161" s="52">
        <f t="shared" si="181"/>
        <v>47.058823529411761</v>
      </c>
      <c r="R161" s="53">
        <f>COUNTIFS('00 Encuesta'!$B$2:$B$511,"*b)*",'00 Encuesta'!$C$2:$C$511,"*b)*",'00 Encuesta'!$E$2:$E$511,"*b)*",'00 Encuesta'!$U$2:$U$511,"*i)*")</f>
        <v>3</v>
      </c>
      <c r="S161" s="52">
        <f t="shared" si="182"/>
        <v>20</v>
      </c>
      <c r="T161" s="3"/>
      <c r="U161" s="51">
        <f t="shared" si="183"/>
        <v>0</v>
      </c>
      <c r="V161" s="52" t="e">
        <f t="shared" si="184"/>
        <v>#DIV/0!</v>
      </c>
      <c r="W161" s="53">
        <f>COUNTIFS('00 Encuesta'!$B$2:$B$511,"*b)*",'00 Encuesta'!$C$2:$C$511,"*d)*",'00 Encuesta'!$E$2:$E$511,"*a)*",'00 Encuesta'!$U$2:$U$511,"*i)*")</f>
        <v>0</v>
      </c>
      <c r="X161" s="52" t="e">
        <f t="shared" si="185"/>
        <v>#DIV/0!</v>
      </c>
      <c r="Y161" s="53">
        <f>COUNTIFS('00 Encuesta'!$B$2:$B$511,"*b)*",'00 Encuesta'!$C$2:$C$511,"*d)*",'00 Encuesta'!$E$2:$E$511,"*b)*",'00 Encuesta'!$U$2:$U$511,"*i)*")</f>
        <v>0</v>
      </c>
      <c r="Z161" s="52" t="e">
        <f t="shared" si="186"/>
        <v>#DIV/0!</v>
      </c>
      <c r="AA161" s="3"/>
      <c r="AB161" s="62">
        <f t="shared" si="187"/>
        <v>20</v>
      </c>
      <c r="AC161" s="52">
        <f t="shared" si="188"/>
        <v>28.571428571428573</v>
      </c>
      <c r="AD161" s="7"/>
      <c r="AE161" s="7"/>
      <c r="AF161" s="9" t="str">
        <f t="shared" si="189"/>
        <v>i) Los necesitados</v>
      </c>
      <c r="AG161" s="72">
        <f t="shared" si="190"/>
        <v>28.571428571428569</v>
      </c>
      <c r="AH161" s="72">
        <f t="shared" si="191"/>
        <v>17.647058823529413</v>
      </c>
      <c r="AI161" s="73">
        <f t="shared" si="192"/>
        <v>23.684210526315788</v>
      </c>
      <c r="AJ161" s="73"/>
      <c r="AK161" s="76">
        <f t="shared" si="193"/>
        <v>47.058823529411761</v>
      </c>
      <c r="AL161" s="76">
        <f t="shared" si="194"/>
        <v>20</v>
      </c>
      <c r="AM161" s="76">
        <f t="shared" si="195"/>
        <v>34.375</v>
      </c>
      <c r="AN161" s="76"/>
      <c r="AO161" s="81" t="e">
        <f t="shared" si="196"/>
        <v>#DIV/0!</v>
      </c>
      <c r="AP161" s="81" t="e">
        <f t="shared" si="197"/>
        <v>#DIV/0!</v>
      </c>
      <c r="AQ161" s="81" t="e">
        <f t="shared" si="198"/>
        <v>#DIV/0!</v>
      </c>
      <c r="AR161" s="7"/>
      <c r="AS161" s="76">
        <f t="shared" si="174"/>
        <v>28.571428571428573</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ht="15" x14ac:dyDescent="0.25">
      <c r="A162" s="8" t="s">
        <v>67</v>
      </c>
      <c r="B162" s="9" t="s">
        <v>122</v>
      </c>
      <c r="C162" s="7"/>
      <c r="D162" s="7"/>
      <c r="E162" s="7"/>
      <c r="F162" s="71"/>
      <c r="G162" s="51">
        <f t="shared" si="175"/>
        <v>12</v>
      </c>
      <c r="H162" s="52">
        <f t="shared" si="176"/>
        <v>31.578947368421051</v>
      </c>
      <c r="I162" s="53">
        <f>COUNTIFS('00 Encuesta'!$B$2:$B$511,"*b)*",'00 Encuesta'!$C$2:$C$511,"*a)*",'00 Encuesta'!$E$2:$E$511,"*a)*",'00 Encuesta'!$U$2:$U$511,"*j)*")</f>
        <v>5</v>
      </c>
      <c r="J162" s="52">
        <f t="shared" si="177"/>
        <v>23.809523809523807</v>
      </c>
      <c r="K162" s="53">
        <f>COUNTIFS('00 Encuesta'!$B$2:$B$511,"*b)*",'00 Encuesta'!$C$2:$C$511,"*a)*",'00 Encuesta'!$E$2:$E$511,"*b)*",'00 Encuesta'!$U$2:$U$511,"*j)*")</f>
        <v>7</v>
      </c>
      <c r="L162" s="52">
        <f t="shared" si="178"/>
        <v>41.17647058823529</v>
      </c>
      <c r="M162" s="23"/>
      <c r="N162" s="51">
        <f t="shared" si="179"/>
        <v>9</v>
      </c>
      <c r="O162" s="52">
        <f t="shared" si="180"/>
        <v>28.125</v>
      </c>
      <c r="P162" s="53">
        <f>COUNTIFS('00 Encuesta'!$B$2:$B$511,"*b)*",'00 Encuesta'!$C$2:$C$511,"*b)*",'00 Encuesta'!$E$2:$E$511,"*a)*",'00 Encuesta'!$U$2:$U$511,"*j)*")</f>
        <v>3</v>
      </c>
      <c r="Q162" s="52">
        <f t="shared" si="181"/>
        <v>17.647058823529413</v>
      </c>
      <c r="R162" s="53">
        <f>COUNTIFS('00 Encuesta'!$B$2:$B$511,"*b)*",'00 Encuesta'!$C$2:$C$511,"*b)*",'00 Encuesta'!$E$2:$E$511,"*b)*",'00 Encuesta'!$U$2:$U$511,"*j)*")</f>
        <v>6</v>
      </c>
      <c r="S162" s="52">
        <f t="shared" si="182"/>
        <v>40</v>
      </c>
      <c r="T162" s="3"/>
      <c r="U162" s="51">
        <f t="shared" si="183"/>
        <v>0</v>
      </c>
      <c r="V162" s="52" t="e">
        <f t="shared" si="184"/>
        <v>#DIV/0!</v>
      </c>
      <c r="W162" s="53">
        <f>COUNTIFS('00 Encuesta'!$B$2:$B$511,"*b)*",'00 Encuesta'!$C$2:$C$511,"*d)*",'00 Encuesta'!$E$2:$E$511,"*a)*",'00 Encuesta'!$U$2:$U$511,"*j)*")</f>
        <v>0</v>
      </c>
      <c r="X162" s="52" t="e">
        <f t="shared" si="185"/>
        <v>#DIV/0!</v>
      </c>
      <c r="Y162" s="53">
        <f>COUNTIFS('00 Encuesta'!$B$2:$B$511,"*b)*",'00 Encuesta'!$C$2:$C$511,"*d)*",'00 Encuesta'!$E$2:$E$511,"*b)*",'00 Encuesta'!$U$2:$U$511,"*j)*")</f>
        <v>0</v>
      </c>
      <c r="Z162" s="52" t="e">
        <f t="shared" si="186"/>
        <v>#DIV/0!</v>
      </c>
      <c r="AA162" s="3"/>
      <c r="AB162" s="62">
        <f t="shared" si="187"/>
        <v>21</v>
      </c>
      <c r="AC162" s="52">
        <f t="shared" si="188"/>
        <v>30</v>
      </c>
      <c r="AD162" s="7"/>
      <c r="AE162" s="7"/>
      <c r="AF162" s="9" t="str">
        <f t="shared" si="189"/>
        <v>j) Todas partes</v>
      </c>
      <c r="AG162" s="72">
        <f t="shared" si="190"/>
        <v>23.809523809523807</v>
      </c>
      <c r="AH162" s="72">
        <f t="shared" si="191"/>
        <v>41.17647058823529</v>
      </c>
      <c r="AI162" s="73">
        <f t="shared" si="192"/>
        <v>31.578947368421051</v>
      </c>
      <c r="AJ162" s="73"/>
      <c r="AK162" s="76">
        <f t="shared" si="193"/>
        <v>17.647058823529413</v>
      </c>
      <c r="AL162" s="76">
        <f t="shared" si="194"/>
        <v>40</v>
      </c>
      <c r="AM162" s="76">
        <f t="shared" si="195"/>
        <v>28.125</v>
      </c>
      <c r="AN162" s="76"/>
      <c r="AO162" s="81" t="e">
        <f t="shared" si="196"/>
        <v>#DIV/0!</v>
      </c>
      <c r="AP162" s="81" t="e">
        <f t="shared" si="197"/>
        <v>#DIV/0!</v>
      </c>
      <c r="AQ162" s="81" t="e">
        <f t="shared" si="198"/>
        <v>#DIV/0!</v>
      </c>
      <c r="AR162" s="7"/>
      <c r="AS162" s="76">
        <f t="shared" si="174"/>
        <v>30</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22</v>
      </c>
      <c r="H163" s="52">
        <f t="shared" si="176"/>
        <v>57.894736842105267</v>
      </c>
      <c r="I163" s="53">
        <f>COUNTIFS('00 Encuesta'!$B$2:$B$511,"*b)*",'00 Encuesta'!$C$2:$C$511,"*a)*",'00 Encuesta'!$E$2:$E$511,"*a)*",'00 Encuesta'!$U$2:$U$511,"*k)*")</f>
        <v>11</v>
      </c>
      <c r="J163" s="52">
        <f t="shared" si="177"/>
        <v>52.380952380952387</v>
      </c>
      <c r="K163" s="53">
        <f>COUNTIFS('00 Encuesta'!$B$2:$B$511,"*b)*",'00 Encuesta'!$C$2:$C$511,"*a)*",'00 Encuesta'!$E$2:$E$511,"*b)*",'00 Encuesta'!$U$2:$U$511,"*k)*")</f>
        <v>11</v>
      </c>
      <c r="L163" s="52">
        <f t="shared" si="178"/>
        <v>64.705882352941174</v>
      </c>
      <c r="M163" s="23"/>
      <c r="N163" s="51">
        <f t="shared" si="179"/>
        <v>22</v>
      </c>
      <c r="O163" s="52">
        <f t="shared" si="180"/>
        <v>68.75</v>
      </c>
      <c r="P163" s="53">
        <f>COUNTIFS('00 Encuesta'!$B$2:$B$511,"*b)*",'00 Encuesta'!$C$2:$C$511,"*b)*",'00 Encuesta'!$E$2:$E$511,"*a)*",'00 Encuesta'!$U$2:$U$511,"*k)*")</f>
        <v>11</v>
      </c>
      <c r="Q163" s="52">
        <f t="shared" si="181"/>
        <v>64.705882352941174</v>
      </c>
      <c r="R163" s="53">
        <f>COUNTIFS('00 Encuesta'!$B$2:$B$511,"*b)*",'00 Encuesta'!$C$2:$C$511,"*b)*",'00 Encuesta'!$E$2:$E$511,"*b)*",'00 Encuesta'!$U$2:$U$511,"*k)*")</f>
        <v>11</v>
      </c>
      <c r="S163" s="52">
        <f t="shared" si="182"/>
        <v>73.333333333333329</v>
      </c>
      <c r="T163" s="3"/>
      <c r="U163" s="51">
        <f t="shared" si="183"/>
        <v>0</v>
      </c>
      <c r="V163" s="52" t="e">
        <f t="shared" si="184"/>
        <v>#DIV/0!</v>
      </c>
      <c r="W163" s="53">
        <f>COUNTIFS('00 Encuesta'!$B$2:$B$511,"*b)*",'00 Encuesta'!$C$2:$C$511,"*d)*",'00 Encuesta'!$E$2:$E$511,"*a)*",'00 Encuesta'!$U$2:$U$511,"*k)*")</f>
        <v>0</v>
      </c>
      <c r="X163" s="52" t="e">
        <f t="shared" si="185"/>
        <v>#DIV/0!</v>
      </c>
      <c r="Y163" s="53">
        <f>COUNTIFS('00 Encuesta'!$B$2:$B$511,"*b)*",'00 Encuesta'!$C$2:$C$511,"*d)*",'00 Encuesta'!$E$2:$E$511,"*b)*",'00 Encuesta'!$U$2:$U$511,"*k)*")</f>
        <v>0</v>
      </c>
      <c r="Z163" s="52" t="e">
        <f t="shared" si="186"/>
        <v>#DIV/0!</v>
      </c>
      <c r="AA163" s="3"/>
      <c r="AB163" s="62">
        <f t="shared" si="187"/>
        <v>44</v>
      </c>
      <c r="AC163" s="52">
        <f t="shared" si="188"/>
        <v>62.857142857142854</v>
      </c>
      <c r="AD163" s="7"/>
      <c r="AE163" s="7"/>
      <c r="AF163" s="9" t="str">
        <f t="shared" si="189"/>
        <v>k) Oración</v>
      </c>
      <c r="AG163" s="72">
        <f t="shared" si="190"/>
        <v>52.380952380952387</v>
      </c>
      <c r="AH163" s="72">
        <f t="shared" si="191"/>
        <v>64.705882352941174</v>
      </c>
      <c r="AI163" s="73">
        <f t="shared" si="192"/>
        <v>57.894736842105267</v>
      </c>
      <c r="AJ163" s="73"/>
      <c r="AK163" s="76">
        <f t="shared" si="193"/>
        <v>64.705882352941174</v>
      </c>
      <c r="AL163" s="76">
        <f t="shared" si="194"/>
        <v>73.333333333333329</v>
      </c>
      <c r="AM163" s="76">
        <f t="shared" si="195"/>
        <v>68.75</v>
      </c>
      <c r="AN163" s="76"/>
      <c r="AO163" s="81" t="e">
        <f t="shared" si="196"/>
        <v>#DIV/0!</v>
      </c>
      <c r="AP163" s="81" t="e">
        <f t="shared" si="197"/>
        <v>#DIV/0!</v>
      </c>
      <c r="AQ163" s="81" t="e">
        <f t="shared" si="198"/>
        <v>#DIV/0!</v>
      </c>
      <c r="AR163" s="7"/>
      <c r="AS163" s="76">
        <f t="shared" si="174"/>
        <v>62.857142857142854</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ht="15.75" x14ac:dyDescent="0.3">
      <c r="A164" s="1" t="s">
        <v>124</v>
      </c>
      <c r="B164" s="2" t="s">
        <v>125</v>
      </c>
      <c r="C164" s="3"/>
      <c r="D164" s="7"/>
      <c r="E164" s="7"/>
      <c r="F164" s="71"/>
      <c r="G164" s="51">
        <f t="shared" si="175"/>
        <v>15</v>
      </c>
      <c r="H164" s="52">
        <f t="shared" si="176"/>
        <v>39.473684210526315</v>
      </c>
      <c r="I164" s="53">
        <f>COUNTIFS('00 Encuesta'!$B$2:$B$511,"*b)*",'00 Encuesta'!$C$2:$C$511,"*a)*",'00 Encuesta'!$E$2:$E$511,"*a)*",'00 Encuesta'!$U$2:$U$511,"*l)*")</f>
        <v>8</v>
      </c>
      <c r="J164" s="52">
        <f t="shared" si="177"/>
        <v>38.095238095238095</v>
      </c>
      <c r="K164" s="53">
        <f>COUNTIFS('00 Encuesta'!$B$2:$B$511,"*b)*",'00 Encuesta'!$C$2:$C$511,"*a)*",'00 Encuesta'!$E$2:$E$511,"*b)*",'00 Encuesta'!$U$2:$U$511,"*l)*")</f>
        <v>7</v>
      </c>
      <c r="L164" s="52">
        <f t="shared" si="178"/>
        <v>41.17647058823529</v>
      </c>
      <c r="M164" s="23"/>
      <c r="N164" s="51">
        <f t="shared" si="179"/>
        <v>12</v>
      </c>
      <c r="O164" s="52">
        <f t="shared" si="180"/>
        <v>37.5</v>
      </c>
      <c r="P164" s="53">
        <f>COUNTIFS('00 Encuesta'!$B$2:$B$511,"*b)*",'00 Encuesta'!$C$2:$C$511,"*b)*",'00 Encuesta'!$E$2:$E$511,"*a)*",'00 Encuesta'!$U$2:$U$511,"*l)*")</f>
        <v>6</v>
      </c>
      <c r="Q164" s="52">
        <f t="shared" si="181"/>
        <v>35.294117647058826</v>
      </c>
      <c r="R164" s="53">
        <f>COUNTIFS('00 Encuesta'!$B$2:$B$511,"*b)*",'00 Encuesta'!$C$2:$C$511,"*b)*",'00 Encuesta'!$E$2:$E$511,"*b)*",'00 Encuesta'!$U$2:$U$511,"*l)*")</f>
        <v>6</v>
      </c>
      <c r="S164" s="52">
        <f t="shared" si="182"/>
        <v>40</v>
      </c>
      <c r="T164" s="3"/>
      <c r="U164" s="51">
        <f t="shared" si="183"/>
        <v>0</v>
      </c>
      <c r="V164" s="52" t="e">
        <f t="shared" si="184"/>
        <v>#DIV/0!</v>
      </c>
      <c r="W164" s="53">
        <f>COUNTIFS('00 Encuesta'!$B$2:$B$511,"*b)*",'00 Encuesta'!$C$2:$C$511,"*d)*",'00 Encuesta'!$E$2:$E$511,"*a)*",'00 Encuesta'!$U$2:$U$511,"*l)*")</f>
        <v>0</v>
      </c>
      <c r="X164" s="52" t="e">
        <f t="shared" si="185"/>
        <v>#DIV/0!</v>
      </c>
      <c r="Y164" s="53">
        <f>COUNTIFS('00 Encuesta'!$B$2:$B$511,"*b)*",'00 Encuesta'!$C$2:$C$511,"*d)*",'00 Encuesta'!$E$2:$E$511,"*b)*",'00 Encuesta'!$U$2:$U$511,"*l)*")</f>
        <v>0</v>
      </c>
      <c r="Z164" s="52" t="e">
        <f t="shared" si="186"/>
        <v>#DIV/0!</v>
      </c>
      <c r="AA164" s="3"/>
      <c r="AB164" s="62">
        <f t="shared" si="187"/>
        <v>27</v>
      </c>
      <c r="AC164" s="52">
        <f t="shared" si="188"/>
        <v>38.571428571428569</v>
      </c>
      <c r="AD164" s="7"/>
      <c r="AE164" s="7"/>
      <c r="AF164" s="9" t="str">
        <f t="shared" si="189"/>
        <v>l) Sacramentos</v>
      </c>
      <c r="AG164" s="72">
        <f t="shared" si="190"/>
        <v>38.095238095238095</v>
      </c>
      <c r="AH164" s="72">
        <f t="shared" si="191"/>
        <v>41.17647058823529</v>
      </c>
      <c r="AI164" s="73">
        <f t="shared" si="192"/>
        <v>39.473684210526315</v>
      </c>
      <c r="AJ164" s="73"/>
      <c r="AK164" s="76">
        <f t="shared" si="193"/>
        <v>35.294117647058826</v>
      </c>
      <c r="AL164" s="76">
        <f t="shared" si="194"/>
        <v>40</v>
      </c>
      <c r="AM164" s="76">
        <f t="shared" si="195"/>
        <v>37.5</v>
      </c>
      <c r="AN164" s="76"/>
      <c r="AO164" s="81" t="e">
        <f t="shared" si="196"/>
        <v>#DIV/0!</v>
      </c>
      <c r="AP164" s="81" t="e">
        <f t="shared" si="197"/>
        <v>#DIV/0!</v>
      </c>
      <c r="AQ164" s="81" t="e">
        <f t="shared" si="198"/>
        <v>#DIV/0!</v>
      </c>
      <c r="AR164" s="7"/>
      <c r="AS164" s="76">
        <f t="shared" si="174"/>
        <v>38.571428571428569</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ht="15" x14ac:dyDescent="0.25">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ht="15" x14ac:dyDescent="0.25">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10</v>
      </c>
      <c r="H168" s="52">
        <f>G168/$J$5*100</f>
        <v>26.315789473684209</v>
      </c>
      <c r="I168" s="53">
        <f>COUNTIFS('00 Encuesta'!$B$2:$B$511,"*b)*",'00 Encuesta'!$C$2:$C$511,"*a)*",'00 Encuesta'!$E$2:$E$511,"*a)*",'00 Encuesta'!$V$2:$V$511,"*a)*")</f>
        <v>3</v>
      </c>
      <c r="J168" s="52">
        <f>I168/$J$6*100</f>
        <v>14.285714285714285</v>
      </c>
      <c r="K168" s="53">
        <f>COUNTIFS('00 Encuesta'!$B$2:$B$511,"*b)*",'00 Encuesta'!$C$2:$C$511,"*a)*",'00 Encuesta'!$E$2:$E$511,"*b)*",'00 Encuesta'!$V$2:$V$511,"*a)*")</f>
        <v>7</v>
      </c>
      <c r="L168" s="52">
        <f>K168/$J$7*100</f>
        <v>41.17647058823529</v>
      </c>
      <c r="M168" s="23"/>
      <c r="N168" s="51">
        <f>P168+R168</f>
        <v>9</v>
      </c>
      <c r="O168" s="52">
        <f>N168/$Q$5*100</f>
        <v>28.125</v>
      </c>
      <c r="P168" s="53">
        <f>COUNTIFS('00 Encuesta'!$B$2:$B$511,"*b)*",'00 Encuesta'!$C$2:$C$511,"*b)*",'00 Encuesta'!$E$2:$E$511,"*a)*",'00 Encuesta'!$V$2:$V$511,"*a)*")</f>
        <v>3</v>
      </c>
      <c r="Q168" s="52">
        <f>P168/$Q$6*100</f>
        <v>17.647058823529413</v>
      </c>
      <c r="R168" s="53">
        <f>COUNTIFS('00 Encuesta'!$B$2:$B$511,"*b)*",'00 Encuesta'!$C$2:$C$511,"*b)*",'00 Encuesta'!$E$2:$E$511,"*b)*",'00 Encuesta'!$V$2:$V$511,"*a)*")</f>
        <v>6</v>
      </c>
      <c r="S168" s="52">
        <f>R168/$Q$7*100</f>
        <v>40</v>
      </c>
      <c r="T168" s="3"/>
      <c r="U168" s="51">
        <f>W168+Y168</f>
        <v>0</v>
      </c>
      <c r="V168" s="52" t="e">
        <f>U168/$X$5*100</f>
        <v>#DIV/0!</v>
      </c>
      <c r="W168" s="53">
        <f>COUNTIFS('00 Encuesta'!$B$2:$B$511,"*b)*",'00 Encuesta'!$C$2:$C$511,"*d)*",'00 Encuesta'!$E$2:$E$511,"*a)*",'00 Encuesta'!$V$2:$V$511,"*a)*")</f>
        <v>0</v>
      </c>
      <c r="X168" s="52" t="e">
        <f>W168/$X$6*100</f>
        <v>#DIV/0!</v>
      </c>
      <c r="Y168" s="53">
        <f>COUNTIFS('00 Encuesta'!$B$2:$B$511,"*b)*",'00 Encuesta'!$C$2:$C$511,"*d)*",'00 Encuesta'!$E$2:$E$511,"*b)*",'00 Encuesta'!$V$2:$V$511,"*a)*")</f>
        <v>0</v>
      </c>
      <c r="Z168" s="52" t="e">
        <f>Y168/$X$7*100</f>
        <v>#DIV/0!</v>
      </c>
      <c r="AA168" s="3"/>
      <c r="AB168" s="62">
        <f>G168+N168+U168</f>
        <v>19</v>
      </c>
      <c r="AC168" s="52">
        <f>AB168*100/$AC$5</f>
        <v>27.142857142857142</v>
      </c>
      <c r="AD168" s="3"/>
      <c r="AE168" s="3"/>
      <c r="AF168" s="9" t="str">
        <f t="shared" si="199"/>
        <v>a) Suelo rezar por convicción o porque me gusta</v>
      </c>
      <c r="AG168" s="72">
        <f>J168</f>
        <v>14.285714285714285</v>
      </c>
      <c r="AH168" s="72">
        <f>L168</f>
        <v>41.17647058823529</v>
      </c>
      <c r="AI168" s="73">
        <f>H168</f>
        <v>26.315789473684209</v>
      </c>
      <c r="AJ168" s="73"/>
      <c r="AK168" s="76">
        <f>Q168</f>
        <v>17.647058823529413</v>
      </c>
      <c r="AL168" s="76">
        <f>S168</f>
        <v>40</v>
      </c>
      <c r="AM168" s="76">
        <f>O168</f>
        <v>28.125</v>
      </c>
      <c r="AN168" s="76"/>
      <c r="AO168" s="81" t="e">
        <f>X168</f>
        <v>#DIV/0!</v>
      </c>
      <c r="AP168" s="81" t="e">
        <f>Z168</f>
        <v>#DIV/0!</v>
      </c>
      <c r="AQ168" s="81" t="e">
        <f>V168</f>
        <v>#DIV/0!</v>
      </c>
      <c r="AR168" s="3"/>
      <c r="AS168" s="76">
        <f t="shared" si="174"/>
        <v>27.142857142857142</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ht="15" x14ac:dyDescent="0.25">
      <c r="A169" s="8" t="s">
        <v>18</v>
      </c>
      <c r="B169" s="9" t="s">
        <v>128</v>
      </c>
      <c r="C169" s="7"/>
      <c r="D169" s="7"/>
      <c r="E169" s="7"/>
      <c r="F169" s="71"/>
      <c r="G169" s="51">
        <f>I169+K169</f>
        <v>18</v>
      </c>
      <c r="H169" s="52">
        <f>G169/$J$5*100</f>
        <v>47.368421052631575</v>
      </c>
      <c r="I169" s="53">
        <f>COUNTIFS('00 Encuesta'!$B$2:$B$511,"*b)*",'00 Encuesta'!$C$2:$C$511,"*a)*",'00 Encuesta'!$E$2:$E$511,"*a)*",'00 Encuesta'!$V$2:$V$511,"*b)*")</f>
        <v>13</v>
      </c>
      <c r="J169" s="52">
        <f>I169/$J$6*100</f>
        <v>61.904761904761905</v>
      </c>
      <c r="K169" s="53">
        <f>COUNTIFS('00 Encuesta'!$B$2:$B$511,"*b)*",'00 Encuesta'!$C$2:$C$511,"*a)*",'00 Encuesta'!$E$2:$E$511,"*b)*",'00 Encuesta'!$V$2:$V$511,"*b)*")</f>
        <v>5</v>
      </c>
      <c r="L169" s="52">
        <f>K169/$J$7*100</f>
        <v>29.411764705882355</v>
      </c>
      <c r="M169" s="23"/>
      <c r="N169" s="51">
        <f>P169+R169</f>
        <v>16</v>
      </c>
      <c r="O169" s="52">
        <f>N169/$Q$5*100</f>
        <v>50</v>
      </c>
      <c r="P169" s="53">
        <f>COUNTIFS('00 Encuesta'!$B$2:$B$511,"*b)*",'00 Encuesta'!$C$2:$C$511,"*b)*",'00 Encuesta'!$E$2:$E$511,"*a)*",'00 Encuesta'!$V$2:$V$511,"*b)*")</f>
        <v>9</v>
      </c>
      <c r="Q169" s="52">
        <f>P169/$Q$6*100</f>
        <v>52.941176470588239</v>
      </c>
      <c r="R169" s="53">
        <f>COUNTIFS('00 Encuesta'!$B$2:$B$511,"*b)*",'00 Encuesta'!$C$2:$C$511,"*b)*",'00 Encuesta'!$E$2:$E$511,"*b)*",'00 Encuesta'!$V$2:$V$511,"*b)*")</f>
        <v>7</v>
      </c>
      <c r="S169" s="52">
        <f>R169/$Q$7*100</f>
        <v>46.666666666666664</v>
      </c>
      <c r="T169" s="3"/>
      <c r="U169" s="51">
        <f>W169+Y169</f>
        <v>0</v>
      </c>
      <c r="V169" s="52" t="e">
        <f>U169/$X$5*100</f>
        <v>#DIV/0!</v>
      </c>
      <c r="W169" s="53">
        <f>COUNTIFS('00 Encuesta'!$B$2:$B$511,"*b)*",'00 Encuesta'!$C$2:$C$511,"*d)*",'00 Encuesta'!$E$2:$E$511,"*a)*",'00 Encuesta'!$V$2:$V$511,"*b)*")</f>
        <v>0</v>
      </c>
      <c r="X169" s="52" t="e">
        <f>W169/$X$6*100</f>
        <v>#DIV/0!</v>
      </c>
      <c r="Y169" s="53">
        <f>COUNTIFS('00 Encuesta'!$B$2:$B$511,"*b)*",'00 Encuesta'!$C$2:$C$511,"*d)*",'00 Encuesta'!$E$2:$E$511,"*b)*",'00 Encuesta'!$V$2:$V$511,"*b)*")</f>
        <v>0</v>
      </c>
      <c r="Z169" s="52" t="e">
        <f>Y169/$X$7*100</f>
        <v>#DIV/0!</v>
      </c>
      <c r="AA169" s="3"/>
      <c r="AB169" s="62">
        <f>G169+N169+U169</f>
        <v>34</v>
      </c>
      <c r="AC169" s="52">
        <f>AB169*100/$AC$5</f>
        <v>48.571428571428569</v>
      </c>
      <c r="AD169" s="7"/>
      <c r="AE169" s="7"/>
      <c r="AF169" s="9" t="str">
        <f t="shared" si="199"/>
        <v>b) Rezo por costumbre</v>
      </c>
      <c r="AG169" s="72">
        <f>J169</f>
        <v>61.904761904761905</v>
      </c>
      <c r="AH169" s="72">
        <f>L169</f>
        <v>29.411764705882355</v>
      </c>
      <c r="AI169" s="73">
        <f>H169</f>
        <v>47.368421052631575</v>
      </c>
      <c r="AJ169" s="73"/>
      <c r="AK169" s="76">
        <f>Q169</f>
        <v>52.941176470588239</v>
      </c>
      <c r="AL169" s="76">
        <f>S169</f>
        <v>46.666666666666664</v>
      </c>
      <c r="AM169" s="76">
        <f>O169</f>
        <v>50</v>
      </c>
      <c r="AN169" s="76"/>
      <c r="AO169" s="81" t="e">
        <f>X169</f>
        <v>#DIV/0!</v>
      </c>
      <c r="AP169" s="81" t="e">
        <f>Z169</f>
        <v>#DIV/0!</v>
      </c>
      <c r="AQ169" s="81" t="e">
        <f>V169</f>
        <v>#DIV/0!</v>
      </c>
      <c r="AR169" s="3"/>
      <c r="AS169" s="76">
        <f t="shared" si="174"/>
        <v>48.571428571428569</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5</v>
      </c>
      <c r="H170" s="52">
        <f>G170/$J$5*100</f>
        <v>13.157894736842104</v>
      </c>
      <c r="I170" s="53">
        <f>COUNTIFS('00 Encuesta'!$B$2:$B$511,"*b)*",'00 Encuesta'!$C$2:$C$511,"*a)*",'00 Encuesta'!$E$2:$E$511,"*a)*",'00 Encuesta'!$V$2:$V$511,"*c)*")</f>
        <v>3</v>
      </c>
      <c r="J170" s="52">
        <f>I170/$J$6*100</f>
        <v>14.285714285714285</v>
      </c>
      <c r="K170" s="53">
        <f>COUNTIFS('00 Encuesta'!$B$2:$B$511,"*b)*",'00 Encuesta'!$C$2:$C$511,"*a)*",'00 Encuesta'!$E$2:$E$511,"*b)*",'00 Encuesta'!$V$2:$V$511,"*c)*")</f>
        <v>2</v>
      </c>
      <c r="L170" s="52">
        <f>K170/$J$7*100</f>
        <v>11.76470588235294</v>
      </c>
      <c r="M170" s="23"/>
      <c r="N170" s="51">
        <f>P170+R170</f>
        <v>6</v>
      </c>
      <c r="O170" s="52">
        <f>N170/$Q$5*100</f>
        <v>18.75</v>
      </c>
      <c r="P170" s="53">
        <f>COUNTIFS('00 Encuesta'!$B$2:$B$511,"*b)*",'00 Encuesta'!$C$2:$C$511,"*b)*",'00 Encuesta'!$E$2:$E$511,"*a)*",'00 Encuesta'!$V$2:$V$511,"*c)*")</f>
        <v>4</v>
      </c>
      <c r="Q170" s="52">
        <f>P170/$Q$6*100</f>
        <v>23.52941176470588</v>
      </c>
      <c r="R170" s="53">
        <f>COUNTIFS('00 Encuesta'!$B$2:$B$511,"*b)*",'00 Encuesta'!$C$2:$C$511,"*b)*",'00 Encuesta'!$E$2:$E$511,"*b)*",'00 Encuesta'!$V$2:$V$511,"*c)*")</f>
        <v>2</v>
      </c>
      <c r="S170" s="52">
        <f>R170/$Q$7*100</f>
        <v>13.333333333333334</v>
      </c>
      <c r="T170" s="3"/>
      <c r="U170" s="51">
        <f>W170+Y170</f>
        <v>0</v>
      </c>
      <c r="V170" s="52" t="e">
        <f>U170/$X$5*100</f>
        <v>#DIV/0!</v>
      </c>
      <c r="W170" s="53">
        <f>COUNTIFS('00 Encuesta'!$B$2:$B$511,"*b)*",'00 Encuesta'!$C$2:$C$511,"*d)*",'00 Encuesta'!$E$2:$E$511,"*a)*",'00 Encuesta'!$V$2:$V$511,"*c)*")</f>
        <v>0</v>
      </c>
      <c r="X170" s="52" t="e">
        <f>W170/$X$6*100</f>
        <v>#DIV/0!</v>
      </c>
      <c r="Y170" s="53">
        <f>COUNTIFS('00 Encuesta'!$B$2:$B$511,"*b)*",'00 Encuesta'!$C$2:$C$511,"*d)*",'00 Encuesta'!$E$2:$E$511,"*b)*",'00 Encuesta'!$V$2:$V$511,"*c)*")</f>
        <v>0</v>
      </c>
      <c r="Z170" s="52" t="e">
        <f>Y170/$X$7*100</f>
        <v>#DIV/0!</v>
      </c>
      <c r="AA170" s="3"/>
      <c r="AB170" s="62">
        <f>G170+N170+U170</f>
        <v>11</v>
      </c>
      <c r="AC170" s="52">
        <f>AB170*100/$AC$5</f>
        <v>15.714285714285714</v>
      </c>
      <c r="AD170" s="7"/>
      <c r="AE170" s="7"/>
      <c r="AF170" s="9" t="str">
        <f t="shared" si="199"/>
        <v>c) Rezo solo en situación de dificultad</v>
      </c>
      <c r="AG170" s="72">
        <f>J170</f>
        <v>14.285714285714285</v>
      </c>
      <c r="AH170" s="72">
        <f>L170</f>
        <v>11.76470588235294</v>
      </c>
      <c r="AI170" s="73">
        <f>H170</f>
        <v>13.157894736842104</v>
      </c>
      <c r="AJ170" s="73"/>
      <c r="AK170" s="76">
        <f>Q170</f>
        <v>23.52941176470588</v>
      </c>
      <c r="AL170" s="76">
        <f>S170</f>
        <v>13.333333333333334</v>
      </c>
      <c r="AM170" s="76">
        <f>O170</f>
        <v>18.75</v>
      </c>
      <c r="AN170" s="76"/>
      <c r="AO170" s="81" t="e">
        <f>X170</f>
        <v>#DIV/0!</v>
      </c>
      <c r="AP170" s="81" t="e">
        <f>Z170</f>
        <v>#DIV/0!</v>
      </c>
      <c r="AQ170" s="81" t="e">
        <f>V170</f>
        <v>#DIV/0!</v>
      </c>
      <c r="AR170" s="7"/>
      <c r="AS170" s="76">
        <f t="shared" si="174"/>
        <v>15.714285714285714</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ht="15" x14ac:dyDescent="0.25">
      <c r="A171" s="8" t="s">
        <v>21</v>
      </c>
      <c r="B171" s="9" t="s">
        <v>130</v>
      </c>
      <c r="C171" s="7"/>
      <c r="D171" s="7"/>
      <c r="E171" s="7"/>
      <c r="F171" s="71"/>
      <c r="G171" s="51">
        <f>I171+K171</f>
        <v>1</v>
      </c>
      <c r="H171" s="52">
        <f>G171/$J$5*100</f>
        <v>2.6315789473684208</v>
      </c>
      <c r="I171" s="53">
        <f>COUNTIFS('00 Encuesta'!$B$2:$B$511,"*b)*",'00 Encuesta'!$C$2:$C$511,"*a)*",'00 Encuesta'!$E$2:$E$511,"*a)*",'00 Encuesta'!$V$2:$V$511,"*d)*")</f>
        <v>0</v>
      </c>
      <c r="J171" s="52">
        <f>I171/$J$6*100</f>
        <v>0</v>
      </c>
      <c r="K171" s="53">
        <f>COUNTIFS('00 Encuesta'!$B$2:$B$511,"*b)*",'00 Encuesta'!$C$2:$C$511,"*a)*",'00 Encuesta'!$E$2:$E$511,"*b)*",'00 Encuesta'!$V$2:$V$511,"*d)*")</f>
        <v>1</v>
      </c>
      <c r="L171" s="52">
        <f>K171/$J$7*100</f>
        <v>5.8823529411764701</v>
      </c>
      <c r="M171" s="23"/>
      <c r="N171" s="51">
        <f>P171+R171</f>
        <v>1</v>
      </c>
      <c r="O171" s="52">
        <f>N171/$Q$5*100</f>
        <v>3.125</v>
      </c>
      <c r="P171" s="53">
        <f>COUNTIFS('00 Encuesta'!$B$2:$B$511,"*b)*",'00 Encuesta'!$C$2:$C$511,"*b)*",'00 Encuesta'!$E$2:$E$511,"*a)*",'00 Encuesta'!$V$2:$V$511,"*d)*")</f>
        <v>1</v>
      </c>
      <c r="Q171" s="52">
        <f>P171/$Q$6*100</f>
        <v>5.8823529411764701</v>
      </c>
      <c r="R171" s="53">
        <f>COUNTIFS('00 Encuesta'!$B$2:$B$511,"*b)*",'00 Encuesta'!$C$2:$C$511,"*b)*",'00 Encuesta'!$E$2:$E$511,"*b)*",'00 Encuesta'!$V$2:$V$511,"*d)*")</f>
        <v>0</v>
      </c>
      <c r="S171" s="52">
        <f>R171/$Q$7*100</f>
        <v>0</v>
      </c>
      <c r="T171" s="3"/>
      <c r="U171" s="51">
        <f>W171+Y171</f>
        <v>0</v>
      </c>
      <c r="V171" s="52" t="e">
        <f>U171/$X$5*100</f>
        <v>#DIV/0!</v>
      </c>
      <c r="W171" s="53">
        <f>COUNTIFS('00 Encuesta'!$B$2:$B$511,"*b)*",'00 Encuesta'!$C$2:$C$511,"*d)*",'00 Encuesta'!$E$2:$E$511,"*a)*",'00 Encuesta'!$V$2:$V$511,"*d)*")</f>
        <v>0</v>
      </c>
      <c r="X171" s="52" t="e">
        <f>W171/$X$6*100</f>
        <v>#DIV/0!</v>
      </c>
      <c r="Y171" s="53">
        <f>COUNTIFS('00 Encuesta'!$B$2:$B$511,"*b)*",'00 Encuesta'!$C$2:$C$511,"*d)*",'00 Encuesta'!$E$2:$E$511,"*b)*",'00 Encuesta'!$V$2:$V$511,"*d)*")</f>
        <v>0</v>
      </c>
      <c r="Z171" s="52" t="e">
        <f>Y171/$X$7*100</f>
        <v>#DIV/0!</v>
      </c>
      <c r="AA171" s="3"/>
      <c r="AB171" s="62">
        <f>G171+N171+U171</f>
        <v>2</v>
      </c>
      <c r="AC171" s="52">
        <f>AB171*100/$AC$5</f>
        <v>2.8571428571428572</v>
      </c>
      <c r="AD171" s="3"/>
      <c r="AE171" s="3"/>
      <c r="AF171" s="9" t="str">
        <f t="shared" si="199"/>
        <v>d) No rezo nunca</v>
      </c>
      <c r="AG171" s="72">
        <f>J171</f>
        <v>0</v>
      </c>
      <c r="AH171" s="72">
        <f>L171</f>
        <v>5.8823529411764701</v>
      </c>
      <c r="AI171" s="73">
        <f>H171</f>
        <v>2.6315789473684208</v>
      </c>
      <c r="AJ171" s="73"/>
      <c r="AK171" s="76">
        <f>Q171</f>
        <v>5.8823529411764701</v>
      </c>
      <c r="AL171" s="76">
        <f>S171</f>
        <v>0</v>
      </c>
      <c r="AM171" s="76">
        <f>O171</f>
        <v>3.125</v>
      </c>
      <c r="AN171" s="76"/>
      <c r="AO171" s="81" t="e">
        <f>X171</f>
        <v>#DIV/0!</v>
      </c>
      <c r="AP171" s="81" t="e">
        <f>Z171</f>
        <v>#DIV/0!</v>
      </c>
      <c r="AQ171" s="81" t="e">
        <f>V171</f>
        <v>#DIV/0!</v>
      </c>
      <c r="AR171" s="7"/>
      <c r="AS171" s="76">
        <f t="shared" si="174"/>
        <v>2.8571428571428572</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ht="15" x14ac:dyDescent="0.25">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f>N172/$Q$5*100</f>
        <v>0</v>
      </c>
      <c r="P172" s="53"/>
      <c r="Q172" s="52">
        <f>P172/$Q$6*100</f>
        <v>0</v>
      </c>
      <c r="R172" s="53"/>
      <c r="S172" s="52">
        <f>R172/$Q$7*100</f>
        <v>0</v>
      </c>
      <c r="T172" s="3"/>
      <c r="U172" s="51">
        <f>W172+Y172</f>
        <v>0</v>
      </c>
      <c r="V172" s="52" t="e">
        <f>U172/$X$5*100</f>
        <v>#DIV/0!</v>
      </c>
      <c r="W172" s="53"/>
      <c r="X172" s="52" t="e">
        <f>W172/$X$6*100</f>
        <v>#DIV/0!</v>
      </c>
      <c r="Y172" s="53"/>
      <c r="Z172" s="52" t="e">
        <f>Y172/$X$7*100</f>
        <v>#DIV/0!</v>
      </c>
      <c r="AA172" s="3"/>
      <c r="AB172" s="62">
        <f>G172+N172+U172</f>
        <v>0</v>
      </c>
      <c r="AC172" s="52">
        <f>AB172*100/$AC$5</f>
        <v>0</v>
      </c>
      <c r="AD172" s="3"/>
      <c r="AE172" s="3"/>
      <c r="AF172" s="9" t="str">
        <f t="shared" si="199"/>
        <v>S/R Sin Respuesta</v>
      </c>
      <c r="AG172" s="72">
        <f>J172</f>
        <v>0</v>
      </c>
      <c r="AH172" s="72">
        <f>L172</f>
        <v>0</v>
      </c>
      <c r="AI172" s="73">
        <f>H172</f>
        <v>0</v>
      </c>
      <c r="AJ172" s="73"/>
      <c r="AK172" s="76">
        <f>Q172</f>
        <v>0</v>
      </c>
      <c r="AL172" s="76">
        <f>S172</f>
        <v>0</v>
      </c>
      <c r="AM172" s="76">
        <f>O172</f>
        <v>0</v>
      </c>
      <c r="AN172" s="76"/>
      <c r="AO172" s="81" t="e">
        <f>X172</f>
        <v>#DIV/0!</v>
      </c>
      <c r="AP172" s="81" t="e">
        <f>Z172</f>
        <v>#DIV/0!</v>
      </c>
      <c r="AQ172" s="81" t="e">
        <f>V172</f>
        <v>#DIV/0!</v>
      </c>
      <c r="AR172" s="3"/>
      <c r="AS172" s="76">
        <f t="shared" si="174"/>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ht="15" x14ac:dyDescent="0.25">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ht="15" x14ac:dyDescent="0.25">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ht="15" x14ac:dyDescent="0.25">
      <c r="A175" s="8" t="s">
        <v>17</v>
      </c>
      <c r="B175" s="9" t="s">
        <v>132</v>
      </c>
      <c r="C175" s="7"/>
      <c r="D175" s="7"/>
      <c r="E175" s="7"/>
      <c r="F175" s="71"/>
      <c r="G175" s="51">
        <f>I175+K175</f>
        <v>1</v>
      </c>
      <c r="H175" s="52">
        <f>G175/$J$5*100</f>
        <v>2.6315789473684208</v>
      </c>
      <c r="I175" s="53">
        <f>COUNTIFS('00 Encuesta'!$B$2:$B$511,"*b)*",'00 Encuesta'!$C$2:$C$511,"*a)*",'00 Encuesta'!$E$2:$E$511,"*a)*",'00 Encuesta'!$W$2:$W$511,"*a)*")</f>
        <v>1</v>
      </c>
      <c r="J175" s="52">
        <f>I175/$J$6*100</f>
        <v>4.7619047619047619</v>
      </c>
      <c r="K175" s="53">
        <f>COUNTIFS('00 Encuesta'!$B$2:$B$511,"*b)*",'00 Encuesta'!$C$2:$C$511,"*a)*",'00 Encuesta'!$E$2:$E$511,"*b)*",'00 Encuesta'!$W$2:$W$511,"*a)*")</f>
        <v>0</v>
      </c>
      <c r="L175" s="52">
        <f>K175/$J$7*100</f>
        <v>0</v>
      </c>
      <c r="M175" s="23"/>
      <c r="N175" s="51">
        <f>P175+R175</f>
        <v>1</v>
      </c>
      <c r="O175" s="52">
        <f>N175/$Q$5*100</f>
        <v>3.125</v>
      </c>
      <c r="P175" s="53">
        <f>COUNTIFS('00 Encuesta'!$B$2:$B$511,"*b)*",'00 Encuesta'!$C$2:$C$511,"*b)*",'00 Encuesta'!$E$2:$E$511,"*a)*",'00 Encuesta'!$W$2:$W$511,"*a)*")</f>
        <v>0</v>
      </c>
      <c r="Q175" s="52">
        <f>P175/$Q$6*100</f>
        <v>0</v>
      </c>
      <c r="R175" s="53">
        <f>COUNTIFS('00 Encuesta'!$B$2:$B$511,"*b)*",'00 Encuesta'!$C$2:$C$511,"*b)*",'00 Encuesta'!$E$2:$E$511,"*b)*",'00 Encuesta'!$W$2:$W$511,"*a)*")</f>
        <v>1</v>
      </c>
      <c r="S175" s="52">
        <f>R175/$Q$7*100</f>
        <v>6.666666666666667</v>
      </c>
      <c r="T175" s="3"/>
      <c r="U175" s="51">
        <f>W175+Y175</f>
        <v>0</v>
      </c>
      <c r="V175" s="52" t="e">
        <f>U175/$X$5*100</f>
        <v>#DIV/0!</v>
      </c>
      <c r="W175" s="53">
        <f>COUNTIFS('00 Encuesta'!$B$2:$B$511,"*b)*",'00 Encuesta'!$C$2:$C$511,"*d)*",'00 Encuesta'!$E$2:$E$511,"*a)*",'00 Encuesta'!$W$2:$W$511,"*a)*")</f>
        <v>0</v>
      </c>
      <c r="X175" s="52" t="e">
        <f>W175/$X$6*100</f>
        <v>#DIV/0!</v>
      </c>
      <c r="Y175" s="53">
        <f>COUNTIFS('00 Encuesta'!$B$2:$B$511,"*b)*",'00 Encuesta'!$C$2:$C$511,"*d)*",'00 Encuesta'!$E$2:$E$511,"*b)*",'00 Encuesta'!$W$2:$W$511,"*a)*")</f>
        <v>0</v>
      </c>
      <c r="Z175" s="52" t="e">
        <f>Y175/$X$7*100</f>
        <v>#DIV/0!</v>
      </c>
      <c r="AA175" s="3"/>
      <c r="AB175" s="62">
        <f>G175+N175+U175</f>
        <v>2</v>
      </c>
      <c r="AC175" s="52">
        <f>AB175*100/$AC$5</f>
        <v>2.8571428571428572</v>
      </c>
      <c r="AD175" s="3"/>
      <c r="AE175" s="3"/>
      <c r="AF175" s="9" t="str">
        <f t="shared" si="200"/>
        <v>a) Todos los domingos</v>
      </c>
      <c r="AG175" s="72">
        <f>J175</f>
        <v>4.7619047619047619</v>
      </c>
      <c r="AH175" s="72">
        <f>L175</f>
        <v>0</v>
      </c>
      <c r="AI175" s="73">
        <f>H175</f>
        <v>2.6315789473684208</v>
      </c>
      <c r="AJ175" s="73"/>
      <c r="AK175" s="76">
        <f>Q175</f>
        <v>0</v>
      </c>
      <c r="AL175" s="76">
        <f>S175</f>
        <v>6.666666666666667</v>
      </c>
      <c r="AM175" s="76">
        <f>O175</f>
        <v>3.125</v>
      </c>
      <c r="AN175" s="76"/>
      <c r="AO175" s="81" t="e">
        <f>X175</f>
        <v>#DIV/0!</v>
      </c>
      <c r="AP175" s="81" t="e">
        <f>Z175</f>
        <v>#DIV/0!</v>
      </c>
      <c r="AQ175" s="81" t="e">
        <f>V175</f>
        <v>#DIV/0!</v>
      </c>
      <c r="AR175" s="3"/>
      <c r="AS175" s="76">
        <f t="shared" si="174"/>
        <v>2.8571428571428572</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ht="15" x14ac:dyDescent="0.25">
      <c r="A176" s="8" t="s">
        <v>18</v>
      </c>
      <c r="B176" s="9" t="s">
        <v>133</v>
      </c>
      <c r="C176" s="7"/>
      <c r="D176" s="7"/>
      <c r="E176" s="7"/>
      <c r="F176" s="71"/>
      <c r="G176" s="51">
        <f>I176+K176</f>
        <v>17</v>
      </c>
      <c r="H176" s="52">
        <f>G176/$J$5*100</f>
        <v>44.736842105263158</v>
      </c>
      <c r="I176" s="53">
        <f>COUNTIFS('00 Encuesta'!$B$2:$B$511,"*b)*",'00 Encuesta'!$C$2:$C$511,"*a)*",'00 Encuesta'!$E$2:$E$511,"*a)*",'00 Encuesta'!$W$2:$W$511,"*b)*")</f>
        <v>10</v>
      </c>
      <c r="J176" s="52">
        <f>I176/$J$6*100</f>
        <v>47.619047619047613</v>
      </c>
      <c r="K176" s="53">
        <f>COUNTIFS('00 Encuesta'!$B$2:$B$511,"*b)*",'00 Encuesta'!$C$2:$C$511,"*a)*",'00 Encuesta'!$E$2:$E$511,"*b)*",'00 Encuesta'!$W$2:$W$511,"*b)*")</f>
        <v>7</v>
      </c>
      <c r="L176" s="52">
        <f>K176/$J$7*100</f>
        <v>41.17647058823529</v>
      </c>
      <c r="M176" s="23"/>
      <c r="N176" s="51">
        <f>P176+R176</f>
        <v>16</v>
      </c>
      <c r="O176" s="52">
        <f>N176/$Q$5*100</f>
        <v>50</v>
      </c>
      <c r="P176" s="53">
        <f>COUNTIFS('00 Encuesta'!$B$2:$B$511,"*b)*",'00 Encuesta'!$C$2:$C$511,"*b)*",'00 Encuesta'!$E$2:$E$511,"*a)*",'00 Encuesta'!$W$2:$W$511,"*b)*")</f>
        <v>10</v>
      </c>
      <c r="Q176" s="52">
        <f>P176/$Q$6*100</f>
        <v>58.82352941176471</v>
      </c>
      <c r="R176" s="53">
        <f>COUNTIFS('00 Encuesta'!$B$2:$B$511,"*b)*",'00 Encuesta'!$C$2:$C$511,"*b)*",'00 Encuesta'!$E$2:$E$511,"*b)*",'00 Encuesta'!$W$2:$W$511,"*b)*")</f>
        <v>6</v>
      </c>
      <c r="S176" s="52">
        <f>R176/$Q$7*100</f>
        <v>40</v>
      </c>
      <c r="T176" s="3"/>
      <c r="U176" s="51">
        <f>W176+Y176</f>
        <v>0</v>
      </c>
      <c r="V176" s="52" t="e">
        <f>U176/$X$5*100</f>
        <v>#DIV/0!</v>
      </c>
      <c r="W176" s="53">
        <f>COUNTIFS('00 Encuesta'!$B$2:$B$511,"*b)*",'00 Encuesta'!$C$2:$C$511,"*d)*",'00 Encuesta'!$E$2:$E$511,"*a)*",'00 Encuesta'!$W$2:$W$511,"*b)*")</f>
        <v>0</v>
      </c>
      <c r="X176" s="52" t="e">
        <f>W176/$X$6*100</f>
        <v>#DIV/0!</v>
      </c>
      <c r="Y176" s="53">
        <f>COUNTIFS('00 Encuesta'!$B$2:$B$511,"*b)*",'00 Encuesta'!$C$2:$C$511,"*d)*",'00 Encuesta'!$E$2:$E$511,"*b)*",'00 Encuesta'!$W$2:$W$511,"*b)*")</f>
        <v>0</v>
      </c>
      <c r="Z176" s="52" t="e">
        <f>Y176/$X$7*100</f>
        <v>#DIV/0!</v>
      </c>
      <c r="AA176" s="3"/>
      <c r="AB176" s="62">
        <f>G176+N176+U176</f>
        <v>33</v>
      </c>
      <c r="AC176" s="52">
        <f>AB176*100/$AC$5</f>
        <v>47.142857142857146</v>
      </c>
      <c r="AD176" s="3"/>
      <c r="AE176" s="3"/>
      <c r="AF176" s="9" t="str">
        <f t="shared" si="200"/>
        <v>b) Algunos domingos</v>
      </c>
      <c r="AG176" s="72">
        <f>J176</f>
        <v>47.619047619047613</v>
      </c>
      <c r="AH176" s="72">
        <f>L176</f>
        <v>41.17647058823529</v>
      </c>
      <c r="AI176" s="73">
        <f>H176</f>
        <v>44.736842105263158</v>
      </c>
      <c r="AJ176" s="73"/>
      <c r="AK176" s="76">
        <f>Q176</f>
        <v>58.82352941176471</v>
      </c>
      <c r="AL176" s="76">
        <f>S176</f>
        <v>40</v>
      </c>
      <c r="AM176" s="76">
        <f>O176</f>
        <v>50</v>
      </c>
      <c r="AN176" s="76"/>
      <c r="AO176" s="81" t="e">
        <f>X176</f>
        <v>#DIV/0!</v>
      </c>
      <c r="AP176" s="81" t="e">
        <f>Z176</f>
        <v>#DIV/0!</v>
      </c>
      <c r="AQ176" s="81" t="e">
        <f>V176</f>
        <v>#DIV/0!</v>
      </c>
      <c r="AR176" s="3"/>
      <c r="AS176" s="76">
        <f t="shared" si="174"/>
        <v>47.142857142857146</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15</v>
      </c>
      <c r="H177" s="52">
        <f>G177/$J$5*100</f>
        <v>39.473684210526315</v>
      </c>
      <c r="I177" s="53">
        <f>COUNTIFS('00 Encuesta'!$B$2:$B$511,"*b)*",'00 Encuesta'!$C$2:$C$511,"*a)*",'00 Encuesta'!$E$2:$E$511,"*a)*",'00 Encuesta'!$W$2:$W$511,"*c)*")</f>
        <v>7</v>
      </c>
      <c r="J177" s="52">
        <f>I177/$J$6*100</f>
        <v>33.333333333333329</v>
      </c>
      <c r="K177" s="53">
        <f>COUNTIFS('00 Encuesta'!$B$2:$B$511,"*b)*",'00 Encuesta'!$C$2:$C$511,"*a)*",'00 Encuesta'!$E$2:$E$511,"*b)*",'00 Encuesta'!$W$2:$W$511,"*c)*")</f>
        <v>8</v>
      </c>
      <c r="L177" s="52">
        <f>K177/$J$7*100</f>
        <v>47.058823529411761</v>
      </c>
      <c r="M177" s="23"/>
      <c r="N177" s="51">
        <f>P177+R177</f>
        <v>11</v>
      </c>
      <c r="O177" s="52">
        <f>N177/$Q$5*100</f>
        <v>34.375</v>
      </c>
      <c r="P177" s="53">
        <f>COUNTIFS('00 Encuesta'!$B$2:$B$511,"*b)*",'00 Encuesta'!$C$2:$C$511,"*b)*",'00 Encuesta'!$E$2:$E$511,"*a)*",'00 Encuesta'!$W$2:$W$511,"*c)*")</f>
        <v>5</v>
      </c>
      <c r="Q177" s="52">
        <f>P177/$Q$6*100</f>
        <v>29.411764705882355</v>
      </c>
      <c r="R177" s="53">
        <f>COUNTIFS('00 Encuesta'!$B$2:$B$511,"*b)*",'00 Encuesta'!$C$2:$C$511,"*b)*",'00 Encuesta'!$E$2:$E$511,"*b)*",'00 Encuesta'!$W$2:$W$511,"*c)*")</f>
        <v>6</v>
      </c>
      <c r="S177" s="52">
        <f>R177/$Q$7*100</f>
        <v>40</v>
      </c>
      <c r="T177" s="3"/>
      <c r="U177" s="51">
        <f>W177+Y177</f>
        <v>0</v>
      </c>
      <c r="V177" s="52" t="e">
        <f>U177/$X$5*100</f>
        <v>#DIV/0!</v>
      </c>
      <c r="W177" s="53">
        <f>COUNTIFS('00 Encuesta'!$B$2:$B$511,"*b)*",'00 Encuesta'!$C$2:$C$511,"*d)*",'00 Encuesta'!$E$2:$E$511,"*a)*",'00 Encuesta'!$W$2:$W$511,"*c)*")</f>
        <v>0</v>
      </c>
      <c r="X177" s="52" t="e">
        <f>W177/$X$6*100</f>
        <v>#DIV/0!</v>
      </c>
      <c r="Y177" s="53">
        <f>COUNTIFS('00 Encuesta'!$B$2:$B$511,"*b)*",'00 Encuesta'!$C$2:$C$511,"*d)*",'00 Encuesta'!$E$2:$E$511,"*b)*",'00 Encuesta'!$W$2:$W$511,"*c)*")</f>
        <v>0</v>
      </c>
      <c r="Z177" s="52" t="e">
        <f>Y177/$X$7*100</f>
        <v>#DIV/0!</v>
      </c>
      <c r="AA177" s="3"/>
      <c r="AB177" s="62">
        <f>G177+N177+U177</f>
        <v>26</v>
      </c>
      <c r="AC177" s="52">
        <f>AB177*100/$AC$5</f>
        <v>37.142857142857146</v>
      </c>
      <c r="AD177" s="3"/>
      <c r="AE177" s="3"/>
      <c r="AF177" s="9" t="str">
        <f t="shared" si="200"/>
        <v>c) Sólo en fechas especiales</v>
      </c>
      <c r="AG177" s="72">
        <f>J177</f>
        <v>33.333333333333329</v>
      </c>
      <c r="AH177" s="72">
        <f>L177</f>
        <v>47.058823529411761</v>
      </c>
      <c r="AI177" s="73">
        <f>H177</f>
        <v>39.473684210526315</v>
      </c>
      <c r="AJ177" s="73"/>
      <c r="AK177" s="76">
        <f>Q177</f>
        <v>29.411764705882355</v>
      </c>
      <c r="AL177" s="76">
        <f>S177</f>
        <v>40</v>
      </c>
      <c r="AM177" s="76">
        <f>O177</f>
        <v>34.375</v>
      </c>
      <c r="AN177" s="76"/>
      <c r="AO177" s="81" t="e">
        <f>X177</f>
        <v>#DIV/0!</v>
      </c>
      <c r="AP177" s="81" t="e">
        <f>Z177</f>
        <v>#DIV/0!</v>
      </c>
      <c r="AQ177" s="81" t="e">
        <f>V177</f>
        <v>#DIV/0!</v>
      </c>
      <c r="AR177" s="3"/>
      <c r="AS177" s="76">
        <f t="shared" si="174"/>
        <v>37.142857142857146</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ht="15" x14ac:dyDescent="0.25">
      <c r="A178" s="8" t="s">
        <v>21</v>
      </c>
      <c r="B178" s="9" t="s">
        <v>135</v>
      </c>
      <c r="C178" s="7"/>
      <c r="D178" s="7"/>
      <c r="E178" s="7"/>
      <c r="F178" s="71"/>
      <c r="G178" s="51">
        <f>I178+K178</f>
        <v>0</v>
      </c>
      <c r="H178" s="52">
        <f>G178/$J$5*100</f>
        <v>0</v>
      </c>
      <c r="I178" s="53">
        <f>COUNTIFS('00 Encuesta'!$B$2:$B$511,"*b)*",'00 Encuesta'!$C$2:$C$511,"*a)*",'00 Encuesta'!$E$2:$E$511,"*a)*",'00 Encuesta'!$W$2:$W$511,"*d)*")</f>
        <v>0</v>
      </c>
      <c r="J178" s="52">
        <f>I178/$J$6*100</f>
        <v>0</v>
      </c>
      <c r="K178" s="53">
        <f>COUNTIFS('00 Encuesta'!$B$2:$B$511,"*b)*",'00 Encuesta'!$C$2:$C$511,"*a)*",'00 Encuesta'!$E$2:$E$511,"*b)*",'00 Encuesta'!$W$2:$W$511,"*d)*")</f>
        <v>0</v>
      </c>
      <c r="L178" s="52">
        <f>K178/$J$7*100</f>
        <v>0</v>
      </c>
      <c r="M178" s="23"/>
      <c r="N178" s="51">
        <f>P178+R178</f>
        <v>4</v>
      </c>
      <c r="O178" s="52">
        <f>N178/$Q$5*100</f>
        <v>12.5</v>
      </c>
      <c r="P178" s="53">
        <f>COUNTIFS('00 Encuesta'!$B$2:$B$511,"*b)*",'00 Encuesta'!$C$2:$C$511,"*b)*",'00 Encuesta'!$E$2:$E$511,"*a)*",'00 Encuesta'!$W$2:$W$511,"*d)*")</f>
        <v>2</v>
      </c>
      <c r="Q178" s="52">
        <f>P178/$Q$6*100</f>
        <v>11.76470588235294</v>
      </c>
      <c r="R178" s="53">
        <f>COUNTIFS('00 Encuesta'!$B$2:$B$511,"*b)*",'00 Encuesta'!$C$2:$C$511,"*b)*",'00 Encuesta'!$E$2:$E$511,"*b)*",'00 Encuesta'!$W$2:$W$511,"*d)*")</f>
        <v>2</v>
      </c>
      <c r="S178" s="52">
        <f>R178/$Q$7*100</f>
        <v>13.333333333333334</v>
      </c>
      <c r="T178" s="3"/>
      <c r="U178" s="51">
        <f>W178+Y178</f>
        <v>0</v>
      </c>
      <c r="V178" s="52" t="e">
        <f>U178/$X$5*100</f>
        <v>#DIV/0!</v>
      </c>
      <c r="W178" s="53">
        <f>COUNTIFS('00 Encuesta'!$B$2:$B$511,"*b)*",'00 Encuesta'!$C$2:$C$511,"*d)*",'00 Encuesta'!$E$2:$E$511,"*a)*",'00 Encuesta'!$W$2:$W$511,"*d)*")</f>
        <v>0</v>
      </c>
      <c r="X178" s="52" t="e">
        <f>W178/$X$6*100</f>
        <v>#DIV/0!</v>
      </c>
      <c r="Y178" s="53">
        <f>COUNTIFS('00 Encuesta'!$B$2:$B$511,"*b)*",'00 Encuesta'!$C$2:$C$511,"*d)*",'00 Encuesta'!$E$2:$E$511,"*b)*",'00 Encuesta'!$W$2:$W$511,"*d)*")</f>
        <v>0</v>
      </c>
      <c r="Z178" s="52" t="e">
        <f>Y178/$X$7*100</f>
        <v>#DIV/0!</v>
      </c>
      <c r="AA178" s="3"/>
      <c r="AB178" s="62">
        <f>G178+N178+U178</f>
        <v>4</v>
      </c>
      <c r="AC178" s="52">
        <f>AB178*100/$AC$5</f>
        <v>5.7142857142857144</v>
      </c>
      <c r="AD178" s="7"/>
      <c r="AE178" s="7"/>
      <c r="AF178" s="9" t="str">
        <f t="shared" si="200"/>
        <v>d) Nunca</v>
      </c>
      <c r="AG178" s="72">
        <f>J178</f>
        <v>0</v>
      </c>
      <c r="AH178" s="72">
        <f>L178</f>
        <v>0</v>
      </c>
      <c r="AI178" s="73">
        <f>H178</f>
        <v>0</v>
      </c>
      <c r="AJ178" s="73"/>
      <c r="AK178" s="76">
        <f>Q178</f>
        <v>11.76470588235294</v>
      </c>
      <c r="AL178" s="76">
        <f>S178</f>
        <v>13.333333333333334</v>
      </c>
      <c r="AM178" s="76">
        <f>O178</f>
        <v>12.5</v>
      </c>
      <c r="AN178" s="76"/>
      <c r="AO178" s="81" t="e">
        <f>X178</f>
        <v>#DIV/0!</v>
      </c>
      <c r="AP178" s="81" t="e">
        <f>Z178</f>
        <v>#DIV/0!</v>
      </c>
      <c r="AQ178" s="81" t="e">
        <f>V178</f>
        <v>#DIV/0!</v>
      </c>
      <c r="AR178" s="3"/>
      <c r="AS178" s="76">
        <f t="shared" si="174"/>
        <v>5.7142857142857144</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ht="15" x14ac:dyDescent="0.25">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f>N179/$Q$5*100</f>
        <v>0</v>
      </c>
      <c r="P179" s="53"/>
      <c r="Q179" s="52">
        <f>P179/$Q$6*100</f>
        <v>0</v>
      </c>
      <c r="R179" s="53"/>
      <c r="S179" s="52">
        <f>R179/$Q$7*100</f>
        <v>0</v>
      </c>
      <c r="T179" s="3"/>
      <c r="U179" s="51">
        <f>W179+Y179</f>
        <v>0</v>
      </c>
      <c r="V179" s="52" t="e">
        <f>U179/$X$5*100</f>
        <v>#DIV/0!</v>
      </c>
      <c r="W179" s="53"/>
      <c r="X179" s="52" t="e">
        <f>W179/$X$6*100</f>
        <v>#DIV/0!</v>
      </c>
      <c r="Y179" s="53"/>
      <c r="Z179" s="52" t="e">
        <f>Y179/$X$7*100</f>
        <v>#DIV/0!</v>
      </c>
      <c r="AA179" s="3"/>
      <c r="AB179" s="62">
        <f>G179+N179+U179</f>
        <v>0</v>
      </c>
      <c r="AC179" s="52">
        <f>AB179*100/$AC$5</f>
        <v>0</v>
      </c>
      <c r="AD179" s="3"/>
      <c r="AE179" s="3"/>
      <c r="AF179" s="9" t="str">
        <f t="shared" si="200"/>
        <v>S/R Sin Respuesta</v>
      </c>
      <c r="AG179" s="72">
        <f>J179</f>
        <v>0</v>
      </c>
      <c r="AH179" s="72">
        <f>L179</f>
        <v>0</v>
      </c>
      <c r="AI179" s="73">
        <f>H179</f>
        <v>0</v>
      </c>
      <c r="AJ179" s="73"/>
      <c r="AK179" s="76">
        <f>Q179</f>
        <v>0</v>
      </c>
      <c r="AL179" s="76">
        <f>S179</f>
        <v>0</v>
      </c>
      <c r="AM179" s="76">
        <f>O179</f>
        <v>0</v>
      </c>
      <c r="AN179" s="76"/>
      <c r="AO179" s="81" t="e">
        <f>X179</f>
        <v>#DIV/0!</v>
      </c>
      <c r="AP179" s="81" t="e">
        <f>Z179</f>
        <v>#DIV/0!</v>
      </c>
      <c r="AQ179" s="81" t="e">
        <f>V179</f>
        <v>#DIV/0!</v>
      </c>
      <c r="AR179" s="7"/>
      <c r="AS179" s="76">
        <f t="shared" si="174"/>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ht="15" x14ac:dyDescent="0.25">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ht="15" x14ac:dyDescent="0.25">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8</v>
      </c>
      <c r="H182" s="52">
        <f t="shared" ref="H182:H191" si="202">G182/$J$5*100</f>
        <v>21.052631578947366</v>
      </c>
      <c r="I182" s="53">
        <f>COUNTIFS('00 Encuesta'!$B$2:$B$511,"*b)*",'00 Encuesta'!$C$2:$C$511,"*a)*",'00 Encuesta'!$E$2:$E$511,"*a)*",'00 Encuesta'!$X$2:$X$511,"*a)*")</f>
        <v>5</v>
      </c>
      <c r="J182" s="52">
        <f t="shared" ref="J182:J191" si="203">I182/$J$6*100</f>
        <v>23.809523809523807</v>
      </c>
      <c r="K182" s="53">
        <f>COUNTIFS('00 Encuesta'!$B$2:$B$511,"*b)*",'00 Encuesta'!$C$2:$C$511,"*a)*",'00 Encuesta'!$E$2:$E$511,"*b)*",'00 Encuesta'!$X$2:$X$511,"*a)*")</f>
        <v>3</v>
      </c>
      <c r="L182" s="52">
        <f t="shared" ref="L182:L191" si="204">K182/$J$7*100</f>
        <v>17.647058823529413</v>
      </c>
      <c r="M182" s="23"/>
      <c r="N182" s="51">
        <f t="shared" ref="N182:N191" si="205">P182+R182</f>
        <v>9</v>
      </c>
      <c r="O182" s="52">
        <f t="shared" ref="O182:O191" si="206">N182/$Q$5*100</f>
        <v>28.125</v>
      </c>
      <c r="P182" s="53">
        <f>COUNTIFS('00 Encuesta'!$B$2:$B$511,"*b)*",'00 Encuesta'!$C$2:$C$511,"*b)*",'00 Encuesta'!$E$2:$E$511,"*a)*",'00 Encuesta'!$X$2:$X$511,"*a)*")</f>
        <v>5</v>
      </c>
      <c r="Q182" s="52">
        <f t="shared" ref="Q182:Q191" si="207">P182/$Q$6*100</f>
        <v>29.411764705882355</v>
      </c>
      <c r="R182" s="53">
        <f>COUNTIFS('00 Encuesta'!$B$2:$B$511,"*b)*",'00 Encuesta'!$C$2:$C$511,"*b)*",'00 Encuesta'!$E$2:$E$511,"*b)*",'00 Encuesta'!$X$2:$X$511,"*a)*")</f>
        <v>4</v>
      </c>
      <c r="S182" s="52">
        <f t="shared" ref="S182:S191" si="208">R182/$Q$7*100</f>
        <v>26.666666666666668</v>
      </c>
      <c r="T182" s="3"/>
      <c r="U182" s="51">
        <f t="shared" ref="U182:U191" si="209">W182+Y182</f>
        <v>0</v>
      </c>
      <c r="V182" s="52" t="e">
        <f t="shared" ref="V182:V191" si="210">U182/$X$5*100</f>
        <v>#DIV/0!</v>
      </c>
      <c r="W182" s="53">
        <f>COUNTIFS('00 Encuesta'!$B$2:$B$511,"*b)*",'00 Encuesta'!$C$2:$C$511,"*d)*",'00 Encuesta'!$E$2:$E$511,"*a)*",'00 Encuesta'!$X$2:$X$511,"*a)*")</f>
        <v>0</v>
      </c>
      <c r="X182" s="52" t="e">
        <f t="shared" ref="X182:X191" si="211">W182/$X$6*100</f>
        <v>#DIV/0!</v>
      </c>
      <c r="Y182" s="53">
        <f>COUNTIFS('00 Encuesta'!$B$2:$B$511,"*b)*",'00 Encuesta'!$C$2:$C$511,"*d)*",'00 Encuesta'!$E$2:$E$511,"*b)*",'00 Encuesta'!$X$2:$X$511,"*a)*")</f>
        <v>0</v>
      </c>
      <c r="Z182" s="52" t="e">
        <f t="shared" ref="Z182:Z191" si="212">Y182/$X$7*100</f>
        <v>#DIV/0!</v>
      </c>
      <c r="AA182" s="3"/>
      <c r="AB182" s="62">
        <f t="shared" ref="AB182:AB191" si="213">G182+N182+U182</f>
        <v>17</v>
      </c>
      <c r="AC182" s="52">
        <f t="shared" ref="AC182:AC191" si="214">AB182*100/$AC$5</f>
        <v>24.285714285714285</v>
      </c>
      <c r="AD182" s="3"/>
      <c r="AE182" s="3"/>
      <c r="AF182" s="9" t="str">
        <f t="shared" ref="AF182:AF191" si="215">A182&amp;" "&amp;B182</f>
        <v>a) Suelo llevar una cruz o algún objeto religioso</v>
      </c>
      <c r="AG182" s="72">
        <f t="shared" ref="AG182:AG191" si="216">J182</f>
        <v>23.809523809523807</v>
      </c>
      <c r="AH182" s="72">
        <f t="shared" ref="AH182:AH191" si="217">L182</f>
        <v>17.647058823529413</v>
      </c>
      <c r="AI182" s="73">
        <f t="shared" ref="AI182:AI191" si="218">H182</f>
        <v>21.052631578947366</v>
      </c>
      <c r="AJ182" s="73"/>
      <c r="AK182" s="76">
        <f t="shared" ref="AK182:AK191" si="219">Q182</f>
        <v>29.411764705882355</v>
      </c>
      <c r="AL182" s="76">
        <f t="shared" ref="AL182:AL191" si="220">S182</f>
        <v>26.666666666666668</v>
      </c>
      <c r="AM182" s="76">
        <f t="shared" ref="AM182:AM191" si="221">O182</f>
        <v>28.125</v>
      </c>
      <c r="AN182" s="76"/>
      <c r="AO182" s="81" t="e">
        <f t="shared" ref="AO182:AO191" si="222">X182</f>
        <v>#DIV/0!</v>
      </c>
      <c r="AP182" s="81" t="e">
        <f t="shared" ref="AP182:AP191" si="223">Z182</f>
        <v>#DIV/0!</v>
      </c>
      <c r="AQ182" s="81" t="e">
        <f t="shared" ref="AQ182:AQ191" si="224">V182</f>
        <v>#DIV/0!</v>
      </c>
      <c r="AR182" s="3"/>
      <c r="AS182" s="76">
        <f t="shared" si="174"/>
        <v>24.285714285714285</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ht="15" x14ac:dyDescent="0.25">
      <c r="A183" s="8" t="s">
        <v>18</v>
      </c>
      <c r="B183" s="9" t="s">
        <v>138</v>
      </c>
      <c r="C183" s="7"/>
      <c r="D183" s="7"/>
      <c r="E183" s="7"/>
      <c r="F183" s="71"/>
      <c r="G183" s="51">
        <f t="shared" si="201"/>
        <v>7</v>
      </c>
      <c r="H183" s="52">
        <f t="shared" si="202"/>
        <v>18.421052631578945</v>
      </c>
      <c r="I183" s="53">
        <f>COUNTIFS('00 Encuesta'!$B$2:$B$511,"*b)*",'00 Encuesta'!$C$2:$C$511,"*a)*",'00 Encuesta'!$E$2:$E$511,"*a)*",'00 Encuesta'!$X$2:$X$511,"*b)*")</f>
        <v>4</v>
      </c>
      <c r="J183" s="52">
        <f t="shared" si="203"/>
        <v>19.047619047619047</v>
      </c>
      <c r="K183" s="53">
        <f>COUNTIFS('00 Encuesta'!$B$2:$B$511,"*b)*",'00 Encuesta'!$C$2:$C$511,"*a)*",'00 Encuesta'!$E$2:$E$511,"*b)*",'00 Encuesta'!$X$2:$X$511,"*b)*")</f>
        <v>3</v>
      </c>
      <c r="L183" s="52">
        <f t="shared" si="204"/>
        <v>17.647058823529413</v>
      </c>
      <c r="M183" s="23"/>
      <c r="N183" s="51">
        <f t="shared" si="205"/>
        <v>4</v>
      </c>
      <c r="O183" s="52">
        <f t="shared" si="206"/>
        <v>12.5</v>
      </c>
      <c r="P183" s="53">
        <f>COUNTIFS('00 Encuesta'!$B$2:$B$511,"*b)*",'00 Encuesta'!$C$2:$C$511,"*b)*",'00 Encuesta'!$E$2:$E$511,"*a)*",'00 Encuesta'!$X$2:$X$511,"*b)*")</f>
        <v>4</v>
      </c>
      <c r="Q183" s="52">
        <f t="shared" si="207"/>
        <v>23.52941176470588</v>
      </c>
      <c r="R183" s="53">
        <f>COUNTIFS('00 Encuesta'!$B$2:$B$511,"*b)*",'00 Encuesta'!$C$2:$C$511,"*b)*",'00 Encuesta'!$E$2:$E$511,"*b)*",'00 Encuesta'!$X$2:$X$511,"*b)*")</f>
        <v>0</v>
      </c>
      <c r="S183" s="52">
        <f t="shared" si="208"/>
        <v>0</v>
      </c>
      <c r="T183" s="3"/>
      <c r="U183" s="51">
        <f t="shared" si="209"/>
        <v>0</v>
      </c>
      <c r="V183" s="52" t="e">
        <f t="shared" si="210"/>
        <v>#DIV/0!</v>
      </c>
      <c r="W183" s="53">
        <f>COUNTIFS('00 Encuesta'!$B$2:$B$511,"*b)*",'00 Encuesta'!$C$2:$C$511,"*d)*",'00 Encuesta'!$E$2:$E$511,"*a)*",'00 Encuesta'!$X$2:$X$511,"*b)*")</f>
        <v>0</v>
      </c>
      <c r="X183" s="52" t="e">
        <f t="shared" si="211"/>
        <v>#DIV/0!</v>
      </c>
      <c r="Y183" s="53">
        <f>COUNTIFS('00 Encuesta'!$B$2:$B$511,"*b)*",'00 Encuesta'!$C$2:$C$511,"*d)*",'00 Encuesta'!$E$2:$E$511,"*b)*",'00 Encuesta'!$X$2:$X$511,"*b)*")</f>
        <v>0</v>
      </c>
      <c r="Z183" s="52" t="e">
        <f t="shared" si="212"/>
        <v>#DIV/0!</v>
      </c>
      <c r="AA183" s="3"/>
      <c r="AB183" s="62">
        <f t="shared" si="213"/>
        <v>11</v>
      </c>
      <c r="AC183" s="52">
        <f t="shared" si="214"/>
        <v>15.714285714285714</v>
      </c>
      <c r="AD183" s="3"/>
      <c r="AE183" s="3"/>
      <c r="AF183" s="9" t="str">
        <f t="shared" si="215"/>
        <v>b) Suelo bendecir los alimentos antes de comer</v>
      </c>
      <c r="AG183" s="72">
        <f t="shared" si="216"/>
        <v>19.047619047619047</v>
      </c>
      <c r="AH183" s="72">
        <f t="shared" si="217"/>
        <v>17.647058823529413</v>
      </c>
      <c r="AI183" s="73">
        <f t="shared" si="218"/>
        <v>18.421052631578945</v>
      </c>
      <c r="AJ183" s="73"/>
      <c r="AK183" s="76">
        <f t="shared" si="219"/>
        <v>23.52941176470588</v>
      </c>
      <c r="AL183" s="76">
        <f t="shared" si="220"/>
        <v>0</v>
      </c>
      <c r="AM183" s="76">
        <f t="shared" si="221"/>
        <v>12.5</v>
      </c>
      <c r="AN183" s="76"/>
      <c r="AO183" s="81" t="e">
        <f t="shared" si="222"/>
        <v>#DIV/0!</v>
      </c>
      <c r="AP183" s="81" t="e">
        <f t="shared" si="223"/>
        <v>#DIV/0!</v>
      </c>
      <c r="AQ183" s="81" t="e">
        <f t="shared" si="224"/>
        <v>#DIV/0!</v>
      </c>
      <c r="AR183" s="3"/>
      <c r="AS183" s="76">
        <f t="shared" si="174"/>
        <v>15.714285714285714</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ht="15" x14ac:dyDescent="0.25">
      <c r="A184" s="8" t="s">
        <v>20</v>
      </c>
      <c r="B184" s="9" t="s">
        <v>139</v>
      </c>
      <c r="C184" s="7"/>
      <c r="D184" s="7"/>
      <c r="E184" s="7"/>
      <c r="F184" s="71"/>
      <c r="G184" s="51">
        <f t="shared" si="201"/>
        <v>11</v>
      </c>
      <c r="H184" s="52">
        <f t="shared" si="202"/>
        <v>28.947368421052634</v>
      </c>
      <c r="I184" s="53">
        <f>COUNTIFS('00 Encuesta'!$B$2:$B$511,"*b)*",'00 Encuesta'!$C$2:$C$511,"*a)*",'00 Encuesta'!$E$2:$E$511,"*a)*",'00 Encuesta'!$X$2:$X$511,"*c)*")</f>
        <v>4</v>
      </c>
      <c r="J184" s="52">
        <f t="shared" si="203"/>
        <v>19.047619047619047</v>
      </c>
      <c r="K184" s="53">
        <f>COUNTIFS('00 Encuesta'!$B$2:$B$511,"*b)*",'00 Encuesta'!$C$2:$C$511,"*a)*",'00 Encuesta'!$E$2:$E$511,"*b)*",'00 Encuesta'!$X$2:$X$511,"*c)*")</f>
        <v>7</v>
      </c>
      <c r="L184" s="52">
        <f t="shared" si="204"/>
        <v>41.17647058823529</v>
      </c>
      <c r="M184" s="23"/>
      <c r="N184" s="51">
        <f t="shared" si="205"/>
        <v>14</v>
      </c>
      <c r="O184" s="52">
        <f t="shared" si="206"/>
        <v>43.75</v>
      </c>
      <c r="P184" s="53">
        <f>COUNTIFS('00 Encuesta'!$B$2:$B$511,"*b)*",'00 Encuesta'!$C$2:$C$511,"*b)*",'00 Encuesta'!$E$2:$E$511,"*a)*",'00 Encuesta'!$X$2:$X$511,"*c)*")</f>
        <v>10</v>
      </c>
      <c r="Q184" s="52">
        <f t="shared" si="207"/>
        <v>58.82352941176471</v>
      </c>
      <c r="R184" s="53">
        <f>COUNTIFS('00 Encuesta'!$B$2:$B$511,"*b)*",'00 Encuesta'!$C$2:$C$511,"*b)*",'00 Encuesta'!$E$2:$E$511,"*b)*",'00 Encuesta'!$X$2:$X$511,"*c)*")</f>
        <v>4</v>
      </c>
      <c r="S184" s="52">
        <f t="shared" si="208"/>
        <v>26.666666666666668</v>
      </c>
      <c r="T184" s="3"/>
      <c r="U184" s="51">
        <f t="shared" si="209"/>
        <v>0</v>
      </c>
      <c r="V184" s="52" t="e">
        <f t="shared" si="210"/>
        <v>#DIV/0!</v>
      </c>
      <c r="W184" s="53">
        <f>COUNTIFS('00 Encuesta'!$B$2:$B$511,"*b)*",'00 Encuesta'!$C$2:$C$511,"*d)*",'00 Encuesta'!$E$2:$E$511,"*a)*",'00 Encuesta'!$X$2:$X$511,"*c)*")</f>
        <v>0</v>
      </c>
      <c r="X184" s="52" t="e">
        <f t="shared" si="211"/>
        <v>#DIV/0!</v>
      </c>
      <c r="Y184" s="53">
        <f>COUNTIFS('00 Encuesta'!$B$2:$B$511,"*b)*",'00 Encuesta'!$C$2:$C$511,"*d)*",'00 Encuesta'!$E$2:$E$511,"*b)*",'00 Encuesta'!$X$2:$X$511,"*c)*")</f>
        <v>0</v>
      </c>
      <c r="Z184" s="52" t="e">
        <f t="shared" si="212"/>
        <v>#DIV/0!</v>
      </c>
      <c r="AA184" s="3"/>
      <c r="AB184" s="62">
        <f t="shared" si="213"/>
        <v>25</v>
      </c>
      <c r="AC184" s="52">
        <f t="shared" si="214"/>
        <v>35.714285714285715</v>
      </c>
      <c r="AD184" s="3"/>
      <c r="AE184" s="3"/>
      <c r="AF184" s="9" t="str">
        <f t="shared" si="215"/>
        <v>c) Suelo ir los domingos y otras fechas especiales a la iglesia</v>
      </c>
      <c r="AG184" s="72">
        <f t="shared" si="216"/>
        <v>19.047619047619047</v>
      </c>
      <c r="AH184" s="72">
        <f t="shared" si="217"/>
        <v>41.17647058823529</v>
      </c>
      <c r="AI184" s="73">
        <f t="shared" si="218"/>
        <v>28.947368421052634</v>
      </c>
      <c r="AJ184" s="73"/>
      <c r="AK184" s="76">
        <f t="shared" si="219"/>
        <v>58.82352941176471</v>
      </c>
      <c r="AL184" s="76">
        <f t="shared" si="220"/>
        <v>26.666666666666668</v>
      </c>
      <c r="AM184" s="76">
        <f t="shared" si="221"/>
        <v>43.75</v>
      </c>
      <c r="AN184" s="76"/>
      <c r="AO184" s="81" t="e">
        <f t="shared" si="222"/>
        <v>#DIV/0!</v>
      </c>
      <c r="AP184" s="81" t="e">
        <f t="shared" si="223"/>
        <v>#DIV/0!</v>
      </c>
      <c r="AQ184" s="81" t="e">
        <f t="shared" si="224"/>
        <v>#DIV/0!</v>
      </c>
      <c r="AR184" s="3"/>
      <c r="AS184" s="76">
        <f t="shared" si="174"/>
        <v>35.714285714285715</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20</v>
      </c>
      <c r="H185" s="52">
        <f t="shared" si="202"/>
        <v>52.631578947368418</v>
      </c>
      <c r="I185" s="53">
        <f>COUNTIFS('00 Encuesta'!$B$2:$B$511,"*b)*",'00 Encuesta'!$C$2:$C$511,"*a)*",'00 Encuesta'!$E$2:$E$511,"*a)*",'00 Encuesta'!$X$2:$X$511,"*d)*")</f>
        <v>10</v>
      </c>
      <c r="J185" s="52">
        <f t="shared" si="203"/>
        <v>47.619047619047613</v>
      </c>
      <c r="K185" s="53">
        <f>COUNTIFS('00 Encuesta'!$B$2:$B$511,"*b)*",'00 Encuesta'!$C$2:$C$511,"*a)*",'00 Encuesta'!$E$2:$E$511,"*b)*",'00 Encuesta'!$X$2:$X$511,"*d)*")</f>
        <v>10</v>
      </c>
      <c r="L185" s="52">
        <f t="shared" si="204"/>
        <v>58.82352941176471</v>
      </c>
      <c r="M185" s="23"/>
      <c r="N185" s="51">
        <f t="shared" si="205"/>
        <v>15</v>
      </c>
      <c r="O185" s="52">
        <f t="shared" si="206"/>
        <v>46.875</v>
      </c>
      <c r="P185" s="53">
        <f>COUNTIFS('00 Encuesta'!$B$2:$B$511,"*b)*",'00 Encuesta'!$C$2:$C$511,"*b)*",'00 Encuesta'!$E$2:$E$511,"*a)*",'00 Encuesta'!$X$2:$X$511,"*d)*")</f>
        <v>4</v>
      </c>
      <c r="Q185" s="52">
        <f t="shared" si="207"/>
        <v>23.52941176470588</v>
      </c>
      <c r="R185" s="53">
        <f>COUNTIFS('00 Encuesta'!$B$2:$B$511,"*b)*",'00 Encuesta'!$C$2:$C$511,"*b)*",'00 Encuesta'!$E$2:$E$511,"*b)*",'00 Encuesta'!$X$2:$X$511,"*d)*")</f>
        <v>11</v>
      </c>
      <c r="S185" s="52">
        <f t="shared" si="208"/>
        <v>73.333333333333329</v>
      </c>
      <c r="T185" s="3"/>
      <c r="U185" s="51">
        <f t="shared" si="209"/>
        <v>0</v>
      </c>
      <c r="V185" s="52" t="e">
        <f t="shared" si="210"/>
        <v>#DIV/0!</v>
      </c>
      <c r="W185" s="53">
        <f>COUNTIFS('00 Encuesta'!$B$2:$B$511,"*b)*",'00 Encuesta'!$C$2:$C$511,"*d)*",'00 Encuesta'!$E$2:$E$511,"*a)*",'00 Encuesta'!$X$2:$X$511,"*d)*")</f>
        <v>0</v>
      </c>
      <c r="X185" s="52" t="e">
        <f t="shared" si="211"/>
        <v>#DIV/0!</v>
      </c>
      <c r="Y185" s="53">
        <f>COUNTIFS('00 Encuesta'!$B$2:$B$511,"*b)*",'00 Encuesta'!$C$2:$C$511,"*d)*",'00 Encuesta'!$E$2:$E$511,"*b)*",'00 Encuesta'!$X$2:$X$511,"*d)*")</f>
        <v>0</v>
      </c>
      <c r="Z185" s="52" t="e">
        <f t="shared" si="212"/>
        <v>#DIV/0!</v>
      </c>
      <c r="AA185" s="3"/>
      <c r="AB185" s="62">
        <f t="shared" si="213"/>
        <v>35</v>
      </c>
      <c r="AC185" s="52">
        <f t="shared" si="214"/>
        <v>50</v>
      </c>
      <c r="AD185" s="3"/>
      <c r="AE185" s="3"/>
      <c r="AF185" s="9" t="str">
        <f t="shared" si="215"/>
        <v>d) Suelo orar todos los días</v>
      </c>
      <c r="AG185" s="72">
        <f t="shared" si="216"/>
        <v>47.619047619047613</v>
      </c>
      <c r="AH185" s="72">
        <f t="shared" si="217"/>
        <v>58.82352941176471</v>
      </c>
      <c r="AI185" s="73">
        <f t="shared" si="218"/>
        <v>52.631578947368418</v>
      </c>
      <c r="AJ185" s="73"/>
      <c r="AK185" s="76">
        <f t="shared" si="219"/>
        <v>23.52941176470588</v>
      </c>
      <c r="AL185" s="76">
        <f t="shared" si="220"/>
        <v>73.333333333333329</v>
      </c>
      <c r="AM185" s="76">
        <f t="shared" si="221"/>
        <v>46.875</v>
      </c>
      <c r="AN185" s="76"/>
      <c r="AO185" s="81" t="e">
        <f t="shared" si="222"/>
        <v>#DIV/0!</v>
      </c>
      <c r="AP185" s="81" t="e">
        <f t="shared" si="223"/>
        <v>#DIV/0!</v>
      </c>
      <c r="AQ185" s="81" t="e">
        <f t="shared" si="224"/>
        <v>#DIV/0!</v>
      </c>
      <c r="AR185" s="3"/>
      <c r="AS185" s="76">
        <f t="shared" si="174"/>
        <v>50</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ht="15.75" x14ac:dyDescent="0.3">
      <c r="A186" s="1" t="s">
        <v>22</v>
      </c>
      <c r="B186" s="2" t="s">
        <v>141</v>
      </c>
      <c r="C186" s="3"/>
      <c r="D186" s="7"/>
      <c r="E186" s="7"/>
      <c r="F186" s="71"/>
      <c r="G186" s="51">
        <f t="shared" si="201"/>
        <v>17</v>
      </c>
      <c r="H186" s="52">
        <f t="shared" si="202"/>
        <v>44.736842105263158</v>
      </c>
      <c r="I186" s="53">
        <f>COUNTIFS('00 Encuesta'!$B$2:$B$511,"*b)*",'00 Encuesta'!$C$2:$C$511,"*a)*",'00 Encuesta'!$E$2:$E$511,"*a)*",'00 Encuesta'!$X$2:$X$511,"*e)*")</f>
        <v>9</v>
      </c>
      <c r="J186" s="52">
        <f t="shared" si="203"/>
        <v>42.857142857142854</v>
      </c>
      <c r="K186" s="53">
        <f>COUNTIFS('00 Encuesta'!$B$2:$B$511,"*b)*",'00 Encuesta'!$C$2:$C$511,"*a)*",'00 Encuesta'!$E$2:$E$511,"*b)*",'00 Encuesta'!$X$2:$X$511,"*e)*")</f>
        <v>8</v>
      </c>
      <c r="L186" s="52">
        <f t="shared" si="204"/>
        <v>47.058823529411761</v>
      </c>
      <c r="M186" s="23"/>
      <c r="N186" s="51">
        <f t="shared" si="205"/>
        <v>16</v>
      </c>
      <c r="O186" s="52">
        <f t="shared" si="206"/>
        <v>50</v>
      </c>
      <c r="P186" s="53">
        <f>COUNTIFS('00 Encuesta'!$B$2:$B$511,"*b)*",'00 Encuesta'!$C$2:$C$511,"*b)*",'00 Encuesta'!$E$2:$E$511,"*a)*",'00 Encuesta'!$X$2:$X$511,"*e)*")</f>
        <v>12</v>
      </c>
      <c r="Q186" s="52">
        <f t="shared" si="207"/>
        <v>70.588235294117652</v>
      </c>
      <c r="R186" s="53">
        <f>COUNTIFS('00 Encuesta'!$B$2:$B$511,"*b)*",'00 Encuesta'!$C$2:$C$511,"*b)*",'00 Encuesta'!$E$2:$E$511,"*b)*",'00 Encuesta'!$X$2:$X$511,"*e)*")</f>
        <v>4</v>
      </c>
      <c r="S186" s="52">
        <f t="shared" si="208"/>
        <v>26.666666666666668</v>
      </c>
      <c r="T186" s="3"/>
      <c r="U186" s="51">
        <f t="shared" si="209"/>
        <v>0</v>
      </c>
      <c r="V186" s="52" t="e">
        <f t="shared" si="210"/>
        <v>#DIV/0!</v>
      </c>
      <c r="W186" s="53">
        <f>COUNTIFS('00 Encuesta'!$B$2:$B$511,"*b)*",'00 Encuesta'!$C$2:$C$511,"*d)*",'00 Encuesta'!$E$2:$E$511,"*a)*",'00 Encuesta'!$X$2:$X$511,"*e)*")</f>
        <v>0</v>
      </c>
      <c r="X186" s="52" t="e">
        <f t="shared" si="211"/>
        <v>#DIV/0!</v>
      </c>
      <c r="Y186" s="53">
        <f>COUNTIFS('00 Encuesta'!$B$2:$B$511,"*b)*",'00 Encuesta'!$C$2:$C$511,"*d)*",'00 Encuesta'!$E$2:$E$511,"*b)*",'00 Encuesta'!$X$2:$X$511,"*e)*")</f>
        <v>0</v>
      </c>
      <c r="Z186" s="52" t="e">
        <f t="shared" si="212"/>
        <v>#DIV/0!</v>
      </c>
      <c r="AA186" s="3"/>
      <c r="AB186" s="62">
        <f t="shared" si="213"/>
        <v>33</v>
      </c>
      <c r="AC186" s="52">
        <f t="shared" si="214"/>
        <v>47.142857142857146</v>
      </c>
      <c r="AD186" s="7"/>
      <c r="AE186" s="7"/>
      <c r="AF186" s="9" t="str">
        <f t="shared" si="215"/>
        <v>e) Voy a misa en las fechas de mis familiares difuntos</v>
      </c>
      <c r="AG186" s="72">
        <f t="shared" si="216"/>
        <v>42.857142857142854</v>
      </c>
      <c r="AH186" s="72">
        <f t="shared" si="217"/>
        <v>47.058823529411761</v>
      </c>
      <c r="AI186" s="73">
        <f t="shared" si="218"/>
        <v>44.736842105263158</v>
      </c>
      <c r="AJ186" s="73"/>
      <c r="AK186" s="76">
        <f t="shared" si="219"/>
        <v>70.588235294117652</v>
      </c>
      <c r="AL186" s="76">
        <f t="shared" si="220"/>
        <v>26.666666666666668</v>
      </c>
      <c r="AM186" s="76">
        <f t="shared" si="221"/>
        <v>50</v>
      </c>
      <c r="AN186" s="76"/>
      <c r="AO186" s="81" t="e">
        <f t="shared" si="222"/>
        <v>#DIV/0!</v>
      </c>
      <c r="AP186" s="81" t="e">
        <f t="shared" si="223"/>
        <v>#DIV/0!</v>
      </c>
      <c r="AQ186" s="81" t="e">
        <f t="shared" si="224"/>
        <v>#DIV/0!</v>
      </c>
      <c r="AR186" s="3"/>
      <c r="AS186" s="76">
        <f t="shared" si="174"/>
        <v>47.142857142857146</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16</v>
      </c>
      <c r="H187" s="52">
        <f t="shared" si="202"/>
        <v>42.105263157894733</v>
      </c>
      <c r="I187" s="53">
        <f>COUNTIFS('00 Encuesta'!$B$2:$B$511,"*b)*",'00 Encuesta'!$C$2:$C$511,"*a)*",'00 Encuesta'!$E$2:$E$511,"*a)*",'00 Encuesta'!$X$2:$X$511,"*f)*")</f>
        <v>8</v>
      </c>
      <c r="J187" s="52">
        <f t="shared" si="203"/>
        <v>38.095238095238095</v>
      </c>
      <c r="K187" s="53">
        <f>COUNTIFS('00 Encuesta'!$B$2:$B$511,"*b)*",'00 Encuesta'!$C$2:$C$511,"*a)*",'00 Encuesta'!$E$2:$E$511,"*b)*",'00 Encuesta'!$X$2:$X$511,"*f)*")</f>
        <v>8</v>
      </c>
      <c r="L187" s="52">
        <f t="shared" si="204"/>
        <v>47.058823529411761</v>
      </c>
      <c r="M187" s="23"/>
      <c r="N187" s="51">
        <f t="shared" si="205"/>
        <v>11</v>
      </c>
      <c r="O187" s="52">
        <f t="shared" si="206"/>
        <v>34.375</v>
      </c>
      <c r="P187" s="53">
        <f>COUNTIFS('00 Encuesta'!$B$2:$B$511,"*b)*",'00 Encuesta'!$C$2:$C$511,"*b)*",'00 Encuesta'!$E$2:$E$511,"*a)*",'00 Encuesta'!$X$2:$X$511,"*f)*")</f>
        <v>6</v>
      </c>
      <c r="Q187" s="52">
        <f t="shared" si="207"/>
        <v>35.294117647058826</v>
      </c>
      <c r="R187" s="53">
        <f>COUNTIFS('00 Encuesta'!$B$2:$B$511,"*b)*",'00 Encuesta'!$C$2:$C$511,"*b)*",'00 Encuesta'!$E$2:$E$511,"*b)*",'00 Encuesta'!$X$2:$X$511,"*f)*")</f>
        <v>5</v>
      </c>
      <c r="S187" s="52">
        <f t="shared" si="208"/>
        <v>33.333333333333329</v>
      </c>
      <c r="T187" s="3"/>
      <c r="U187" s="51">
        <f t="shared" si="209"/>
        <v>0</v>
      </c>
      <c r="V187" s="52" t="e">
        <f t="shared" si="210"/>
        <v>#DIV/0!</v>
      </c>
      <c r="W187" s="53">
        <f>COUNTIFS('00 Encuesta'!$B$2:$B$511,"*b)*",'00 Encuesta'!$C$2:$C$511,"*d)*",'00 Encuesta'!$E$2:$E$511,"*a)*",'00 Encuesta'!$X$2:$X$511,"*f)*")</f>
        <v>0</v>
      </c>
      <c r="X187" s="52" t="e">
        <f t="shared" si="211"/>
        <v>#DIV/0!</v>
      </c>
      <c r="Y187" s="53">
        <f>COUNTIFS('00 Encuesta'!$B$2:$B$511,"*b)*",'00 Encuesta'!$C$2:$C$511,"*d)*",'00 Encuesta'!$E$2:$E$511,"*b)*",'00 Encuesta'!$X$2:$X$511,"*f)*")</f>
        <v>0</v>
      </c>
      <c r="Z187" s="52" t="e">
        <f t="shared" si="212"/>
        <v>#DIV/0!</v>
      </c>
      <c r="AA187" s="3"/>
      <c r="AB187" s="62">
        <f t="shared" si="213"/>
        <v>27</v>
      </c>
      <c r="AC187" s="52">
        <f t="shared" si="214"/>
        <v>38.571428571428569</v>
      </c>
      <c r="AD187" s="7"/>
      <c r="AE187" s="7"/>
      <c r="AF187" s="9" t="str">
        <f t="shared" si="215"/>
        <v>f) En alguna ocasión he rezado el rosario</v>
      </c>
      <c r="AG187" s="72">
        <f t="shared" si="216"/>
        <v>38.095238095238095</v>
      </c>
      <c r="AH187" s="72">
        <f t="shared" si="217"/>
        <v>47.058823529411761</v>
      </c>
      <c r="AI187" s="73">
        <f t="shared" si="218"/>
        <v>42.105263157894733</v>
      </c>
      <c r="AJ187" s="73"/>
      <c r="AK187" s="76">
        <f t="shared" si="219"/>
        <v>35.294117647058826</v>
      </c>
      <c r="AL187" s="76">
        <f t="shared" si="220"/>
        <v>33.333333333333329</v>
      </c>
      <c r="AM187" s="76">
        <f t="shared" si="221"/>
        <v>34.375</v>
      </c>
      <c r="AN187" s="76"/>
      <c r="AO187" s="81" t="e">
        <f t="shared" si="222"/>
        <v>#DIV/0!</v>
      </c>
      <c r="AP187" s="81" t="e">
        <f t="shared" si="223"/>
        <v>#DIV/0!</v>
      </c>
      <c r="AQ187" s="81" t="e">
        <f t="shared" si="224"/>
        <v>#DIV/0!</v>
      </c>
      <c r="AR187" s="7"/>
      <c r="AS187" s="76">
        <f t="shared" si="174"/>
        <v>38.571428571428569</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6</v>
      </c>
      <c r="H188" s="52">
        <f t="shared" si="202"/>
        <v>15.789473684210526</v>
      </c>
      <c r="I188" s="53">
        <f>COUNTIFS('00 Encuesta'!$B$2:$B$511,"*b)*",'00 Encuesta'!$C$2:$C$511,"*a)*",'00 Encuesta'!$E$2:$E$511,"*a)*",'00 Encuesta'!$X$2:$X$511,"*g)*")</f>
        <v>3</v>
      </c>
      <c r="J188" s="52">
        <f t="shared" si="203"/>
        <v>14.285714285714285</v>
      </c>
      <c r="K188" s="53">
        <f>COUNTIFS('00 Encuesta'!$B$2:$B$511,"*b)*",'00 Encuesta'!$C$2:$C$511,"*a)*",'00 Encuesta'!$E$2:$E$511,"*b)*",'00 Encuesta'!$X$2:$X$511,"*g)*")</f>
        <v>3</v>
      </c>
      <c r="L188" s="52">
        <f t="shared" si="204"/>
        <v>17.647058823529413</v>
      </c>
      <c r="M188" s="23"/>
      <c r="N188" s="51">
        <f t="shared" si="205"/>
        <v>9</v>
      </c>
      <c r="O188" s="52">
        <f t="shared" si="206"/>
        <v>28.125</v>
      </c>
      <c r="P188" s="53">
        <f>COUNTIFS('00 Encuesta'!$B$2:$B$511,"*b)*",'00 Encuesta'!$C$2:$C$511,"*b)*",'00 Encuesta'!$E$2:$E$511,"*a)*",'00 Encuesta'!$X$2:$X$511,"*g)*")</f>
        <v>6</v>
      </c>
      <c r="Q188" s="52">
        <f t="shared" si="207"/>
        <v>35.294117647058826</v>
      </c>
      <c r="R188" s="53">
        <f>COUNTIFS('00 Encuesta'!$B$2:$B$511,"*b)*",'00 Encuesta'!$C$2:$C$511,"*b)*",'00 Encuesta'!$E$2:$E$511,"*b)*",'00 Encuesta'!$X$2:$X$511,"*g)*")</f>
        <v>3</v>
      </c>
      <c r="S188" s="52">
        <f t="shared" si="208"/>
        <v>20</v>
      </c>
      <c r="T188" s="3"/>
      <c r="U188" s="51">
        <f t="shared" si="209"/>
        <v>0</v>
      </c>
      <c r="V188" s="52" t="e">
        <f t="shared" si="210"/>
        <v>#DIV/0!</v>
      </c>
      <c r="W188" s="53">
        <f>COUNTIFS('00 Encuesta'!$B$2:$B$511,"*b)*",'00 Encuesta'!$C$2:$C$511,"*d)*",'00 Encuesta'!$E$2:$E$511,"*a)*",'00 Encuesta'!$X$2:$X$511,"*g)*")</f>
        <v>0</v>
      </c>
      <c r="X188" s="52" t="e">
        <f t="shared" si="211"/>
        <v>#DIV/0!</v>
      </c>
      <c r="Y188" s="53">
        <f>COUNTIFS('00 Encuesta'!$B$2:$B$511,"*b)*",'00 Encuesta'!$C$2:$C$511,"*d)*",'00 Encuesta'!$E$2:$E$511,"*b)*",'00 Encuesta'!$X$2:$X$511,"*g)*")</f>
        <v>0</v>
      </c>
      <c r="Z188" s="52" t="e">
        <f t="shared" si="212"/>
        <v>#DIV/0!</v>
      </c>
      <c r="AA188" s="3"/>
      <c r="AB188" s="62">
        <f t="shared" si="213"/>
        <v>15</v>
      </c>
      <c r="AC188" s="52">
        <f t="shared" si="214"/>
        <v>21.428571428571427</v>
      </c>
      <c r="AD188" s="7"/>
      <c r="AE188" s="7"/>
      <c r="AF188" s="9" t="str">
        <f t="shared" si="215"/>
        <v>g) En ocasiones, en mi casa tenemos una oración familiar</v>
      </c>
      <c r="AG188" s="72">
        <f t="shared" si="216"/>
        <v>14.285714285714285</v>
      </c>
      <c r="AH188" s="72">
        <f t="shared" si="217"/>
        <v>17.647058823529413</v>
      </c>
      <c r="AI188" s="73">
        <f t="shared" si="218"/>
        <v>15.789473684210526</v>
      </c>
      <c r="AJ188" s="73"/>
      <c r="AK188" s="76">
        <f t="shared" si="219"/>
        <v>35.294117647058826</v>
      </c>
      <c r="AL188" s="76">
        <f t="shared" si="220"/>
        <v>20</v>
      </c>
      <c r="AM188" s="76">
        <f t="shared" si="221"/>
        <v>28.125</v>
      </c>
      <c r="AN188" s="76"/>
      <c r="AO188" s="81" t="e">
        <f t="shared" si="222"/>
        <v>#DIV/0!</v>
      </c>
      <c r="AP188" s="81" t="e">
        <f t="shared" si="223"/>
        <v>#DIV/0!</v>
      </c>
      <c r="AQ188" s="81" t="e">
        <f t="shared" si="224"/>
        <v>#DIV/0!</v>
      </c>
      <c r="AR188" s="7"/>
      <c r="AS188" s="76">
        <f t="shared" si="174"/>
        <v>21.428571428571427</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ht="15" x14ac:dyDescent="0.25">
      <c r="A189" s="8" t="s">
        <v>63</v>
      </c>
      <c r="B189" s="9" t="s">
        <v>144</v>
      </c>
      <c r="C189" s="7"/>
      <c r="D189" s="7"/>
      <c r="E189" s="7"/>
      <c r="F189" s="71"/>
      <c r="G189" s="51">
        <f t="shared" si="201"/>
        <v>11</v>
      </c>
      <c r="H189" s="52">
        <f t="shared" si="202"/>
        <v>28.947368421052634</v>
      </c>
      <c r="I189" s="53">
        <f>COUNTIFS('00 Encuesta'!$B$2:$B$511,"*b)*",'00 Encuesta'!$C$2:$C$511,"*a)*",'00 Encuesta'!$E$2:$E$511,"*a)*",'00 Encuesta'!$X$2:$X$511,"*h)*")</f>
        <v>5</v>
      </c>
      <c r="J189" s="52">
        <f t="shared" si="203"/>
        <v>23.809523809523807</v>
      </c>
      <c r="K189" s="53">
        <f>COUNTIFS('00 Encuesta'!$B$2:$B$511,"*b)*",'00 Encuesta'!$C$2:$C$511,"*a)*",'00 Encuesta'!$E$2:$E$511,"*b)*",'00 Encuesta'!$X$2:$X$511,"*h)*")</f>
        <v>6</v>
      </c>
      <c r="L189" s="52">
        <f t="shared" si="204"/>
        <v>35.294117647058826</v>
      </c>
      <c r="M189" s="23"/>
      <c r="N189" s="51">
        <f t="shared" si="205"/>
        <v>8</v>
      </c>
      <c r="O189" s="52">
        <f t="shared" si="206"/>
        <v>25</v>
      </c>
      <c r="P189" s="53">
        <f>COUNTIFS('00 Encuesta'!$B$2:$B$511,"*b)*",'00 Encuesta'!$C$2:$C$511,"*b)*",'00 Encuesta'!$E$2:$E$511,"*a)*",'00 Encuesta'!$X$2:$X$511,"*h)*")</f>
        <v>4</v>
      </c>
      <c r="Q189" s="52">
        <f t="shared" si="207"/>
        <v>23.52941176470588</v>
      </c>
      <c r="R189" s="53">
        <f>COUNTIFS('00 Encuesta'!$B$2:$B$511,"*b)*",'00 Encuesta'!$C$2:$C$511,"*b)*",'00 Encuesta'!$E$2:$E$511,"*b)*",'00 Encuesta'!$X$2:$X$511,"*h)*")</f>
        <v>4</v>
      </c>
      <c r="S189" s="52">
        <f t="shared" si="208"/>
        <v>26.666666666666668</v>
      </c>
      <c r="T189" s="3"/>
      <c r="U189" s="51">
        <f t="shared" si="209"/>
        <v>0</v>
      </c>
      <c r="V189" s="52" t="e">
        <f t="shared" si="210"/>
        <v>#DIV/0!</v>
      </c>
      <c r="W189" s="53">
        <f>COUNTIFS('00 Encuesta'!$B$2:$B$511,"*b)*",'00 Encuesta'!$C$2:$C$511,"*d)*",'00 Encuesta'!$E$2:$E$511,"*a)*",'00 Encuesta'!$X$2:$X$511,"*h)*")</f>
        <v>0</v>
      </c>
      <c r="X189" s="52" t="e">
        <f t="shared" si="211"/>
        <v>#DIV/0!</v>
      </c>
      <c r="Y189" s="53">
        <f>COUNTIFS('00 Encuesta'!$B$2:$B$511,"*b)*",'00 Encuesta'!$C$2:$C$511,"*d)*",'00 Encuesta'!$E$2:$E$511,"*b)*",'00 Encuesta'!$X$2:$X$511,"*h)*")</f>
        <v>0</v>
      </c>
      <c r="Z189" s="52" t="e">
        <f t="shared" si="212"/>
        <v>#DIV/0!</v>
      </c>
      <c r="AA189" s="3"/>
      <c r="AB189" s="62">
        <f t="shared" si="213"/>
        <v>19</v>
      </c>
      <c r="AC189" s="52">
        <f t="shared" si="214"/>
        <v>27.142857142857142</v>
      </c>
      <c r="AD189" s="7"/>
      <c r="AE189" s="7"/>
      <c r="AF189" s="9" t="str">
        <f t="shared" si="215"/>
        <v>h) En Semana Santa asisto a las procesiones</v>
      </c>
      <c r="AG189" s="72">
        <f t="shared" si="216"/>
        <v>23.809523809523807</v>
      </c>
      <c r="AH189" s="72">
        <f t="shared" si="217"/>
        <v>35.294117647058826</v>
      </c>
      <c r="AI189" s="73">
        <f t="shared" si="218"/>
        <v>28.947368421052634</v>
      </c>
      <c r="AJ189" s="73"/>
      <c r="AK189" s="76">
        <f t="shared" si="219"/>
        <v>23.52941176470588</v>
      </c>
      <c r="AL189" s="76">
        <f t="shared" si="220"/>
        <v>26.666666666666668</v>
      </c>
      <c r="AM189" s="76">
        <f t="shared" si="221"/>
        <v>25</v>
      </c>
      <c r="AN189" s="76"/>
      <c r="AO189" s="81" t="e">
        <f t="shared" si="222"/>
        <v>#DIV/0!</v>
      </c>
      <c r="AP189" s="81" t="e">
        <f t="shared" si="223"/>
        <v>#DIV/0!</v>
      </c>
      <c r="AQ189" s="81" t="e">
        <f t="shared" si="224"/>
        <v>#DIV/0!</v>
      </c>
      <c r="AR189" s="7"/>
      <c r="AS189" s="76">
        <f t="shared" si="174"/>
        <v>27.142857142857142</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ht="15" x14ac:dyDescent="0.25">
      <c r="A190" s="8" t="s">
        <v>65</v>
      </c>
      <c r="B190" s="9" t="s">
        <v>145</v>
      </c>
      <c r="C190" s="7"/>
      <c r="D190" s="7"/>
      <c r="E190" s="7"/>
      <c r="F190" s="71"/>
      <c r="G190" s="51">
        <f t="shared" si="201"/>
        <v>17</v>
      </c>
      <c r="H190" s="52">
        <f t="shared" si="202"/>
        <v>44.736842105263158</v>
      </c>
      <c r="I190" s="53">
        <f>COUNTIFS('00 Encuesta'!$B$2:$B$511,"*b)*",'00 Encuesta'!$C$2:$C$511,"*a)*",'00 Encuesta'!$E$2:$E$511,"*a)*",'00 Encuesta'!$X$2:$X$511,"*i)*")</f>
        <v>6</v>
      </c>
      <c r="J190" s="52">
        <f t="shared" si="203"/>
        <v>28.571428571428569</v>
      </c>
      <c r="K190" s="53">
        <f>COUNTIFS('00 Encuesta'!$B$2:$B$511,"*b)*",'00 Encuesta'!$C$2:$C$511,"*a)*",'00 Encuesta'!$E$2:$E$511,"*b)*",'00 Encuesta'!$X$2:$X$511,"*i)*")</f>
        <v>11</v>
      </c>
      <c r="L190" s="52">
        <f t="shared" si="204"/>
        <v>64.705882352941174</v>
      </c>
      <c r="M190" s="23"/>
      <c r="N190" s="51">
        <f t="shared" si="205"/>
        <v>21</v>
      </c>
      <c r="O190" s="52">
        <f t="shared" si="206"/>
        <v>65.625</v>
      </c>
      <c r="P190" s="53">
        <f>COUNTIFS('00 Encuesta'!$B$2:$B$511,"*b)*",'00 Encuesta'!$C$2:$C$511,"*b)*",'00 Encuesta'!$E$2:$E$511,"*a)*",'00 Encuesta'!$X$2:$X$511,"*i)*")</f>
        <v>10</v>
      </c>
      <c r="Q190" s="52">
        <f t="shared" si="207"/>
        <v>58.82352941176471</v>
      </c>
      <c r="R190" s="53">
        <f>COUNTIFS('00 Encuesta'!$B$2:$B$511,"*b)*",'00 Encuesta'!$C$2:$C$511,"*b)*",'00 Encuesta'!$E$2:$E$511,"*b)*",'00 Encuesta'!$X$2:$X$511,"*i)*")</f>
        <v>11</v>
      </c>
      <c r="S190" s="52">
        <f t="shared" si="208"/>
        <v>73.333333333333329</v>
      </c>
      <c r="T190" s="3"/>
      <c r="U190" s="51">
        <f t="shared" si="209"/>
        <v>0</v>
      </c>
      <c r="V190" s="52" t="e">
        <f t="shared" si="210"/>
        <v>#DIV/0!</v>
      </c>
      <c r="W190" s="53">
        <f>COUNTIFS('00 Encuesta'!$B$2:$B$511,"*b)*",'00 Encuesta'!$C$2:$C$511,"*d)*",'00 Encuesta'!$E$2:$E$511,"*a)*",'00 Encuesta'!$X$2:$X$511,"*i)*")</f>
        <v>0</v>
      </c>
      <c r="X190" s="52" t="e">
        <f t="shared" si="211"/>
        <v>#DIV/0!</v>
      </c>
      <c r="Y190" s="53">
        <f>COUNTIFS('00 Encuesta'!$B$2:$B$511,"*b)*",'00 Encuesta'!$C$2:$C$511,"*d)*",'00 Encuesta'!$E$2:$E$511,"*b)*",'00 Encuesta'!$X$2:$X$511,"*i)*")</f>
        <v>0</v>
      </c>
      <c r="Z190" s="52" t="e">
        <f t="shared" si="212"/>
        <v>#DIV/0!</v>
      </c>
      <c r="AA190" s="3"/>
      <c r="AB190" s="62">
        <f t="shared" si="213"/>
        <v>38</v>
      </c>
      <c r="AC190" s="52">
        <f t="shared" si="214"/>
        <v>54.285714285714285</v>
      </c>
      <c r="AD190" s="7"/>
      <c r="AE190" s="7"/>
      <c r="AF190" s="9" t="str">
        <f t="shared" si="215"/>
        <v>i) Tengo en mi cuarto alguna imagen religiosa</v>
      </c>
      <c r="AG190" s="72">
        <f t="shared" si="216"/>
        <v>28.571428571428569</v>
      </c>
      <c r="AH190" s="72">
        <f t="shared" si="217"/>
        <v>64.705882352941174</v>
      </c>
      <c r="AI190" s="73">
        <f t="shared" si="218"/>
        <v>44.736842105263158</v>
      </c>
      <c r="AJ190" s="73"/>
      <c r="AK190" s="76">
        <f t="shared" si="219"/>
        <v>58.82352941176471</v>
      </c>
      <c r="AL190" s="76">
        <f t="shared" si="220"/>
        <v>73.333333333333329</v>
      </c>
      <c r="AM190" s="76">
        <f t="shared" si="221"/>
        <v>65.625</v>
      </c>
      <c r="AN190" s="76"/>
      <c r="AO190" s="81" t="e">
        <f t="shared" si="222"/>
        <v>#DIV/0!</v>
      </c>
      <c r="AP190" s="81" t="e">
        <f t="shared" si="223"/>
        <v>#DIV/0!</v>
      </c>
      <c r="AQ190" s="81" t="e">
        <f t="shared" si="224"/>
        <v>#DIV/0!</v>
      </c>
      <c r="AR190" s="7"/>
      <c r="AS190" s="76">
        <f t="shared" si="174"/>
        <v>54.285714285714285</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ht="15" x14ac:dyDescent="0.25">
      <c r="A191" s="8" t="s">
        <v>23</v>
      </c>
      <c r="B191" s="9" t="s">
        <v>24</v>
      </c>
      <c r="C191" s="7"/>
      <c r="D191" s="7"/>
      <c r="E191" s="7"/>
      <c r="F191" s="71"/>
      <c r="G191" s="51">
        <f t="shared" si="201"/>
        <v>0</v>
      </c>
      <c r="H191" s="52">
        <f t="shared" si="202"/>
        <v>0</v>
      </c>
      <c r="I191" s="53"/>
      <c r="J191" s="52">
        <f t="shared" si="203"/>
        <v>0</v>
      </c>
      <c r="K191" s="53"/>
      <c r="L191" s="52">
        <f t="shared" si="204"/>
        <v>0</v>
      </c>
      <c r="M191" s="23"/>
      <c r="N191" s="51">
        <f t="shared" si="205"/>
        <v>0</v>
      </c>
      <c r="O191" s="52">
        <f t="shared" si="206"/>
        <v>0</v>
      </c>
      <c r="P191" s="53"/>
      <c r="Q191" s="52">
        <f t="shared" si="207"/>
        <v>0</v>
      </c>
      <c r="R191" s="53"/>
      <c r="S191" s="52">
        <f t="shared" si="208"/>
        <v>0</v>
      </c>
      <c r="T191" s="3"/>
      <c r="U191" s="51">
        <f t="shared" si="209"/>
        <v>0</v>
      </c>
      <c r="V191" s="52" t="e">
        <f t="shared" si="210"/>
        <v>#DIV/0!</v>
      </c>
      <c r="W191" s="53"/>
      <c r="X191" s="52" t="e">
        <f t="shared" si="211"/>
        <v>#DIV/0!</v>
      </c>
      <c r="Y191" s="53"/>
      <c r="Z191" s="52" t="e">
        <f t="shared" si="212"/>
        <v>#DIV/0!</v>
      </c>
      <c r="AA191" s="3"/>
      <c r="AB191" s="62">
        <f t="shared" si="213"/>
        <v>0</v>
      </c>
      <c r="AC191" s="52">
        <f t="shared" si="214"/>
        <v>0</v>
      </c>
      <c r="AD191" s="7"/>
      <c r="AE191" s="7"/>
      <c r="AF191" s="9" t="str">
        <f t="shared" si="215"/>
        <v>S/R Sin Respuesta</v>
      </c>
      <c r="AG191" s="72">
        <f t="shared" si="216"/>
        <v>0</v>
      </c>
      <c r="AH191" s="72">
        <f t="shared" si="217"/>
        <v>0</v>
      </c>
      <c r="AI191" s="73">
        <f t="shared" si="218"/>
        <v>0</v>
      </c>
      <c r="AJ191" s="73"/>
      <c r="AK191" s="76">
        <f t="shared" si="219"/>
        <v>0</v>
      </c>
      <c r="AL191" s="76">
        <f t="shared" si="220"/>
        <v>0</v>
      </c>
      <c r="AM191" s="76">
        <f t="shared" si="221"/>
        <v>0</v>
      </c>
      <c r="AN191" s="76"/>
      <c r="AO191" s="81" t="e">
        <f t="shared" si="222"/>
        <v>#DIV/0!</v>
      </c>
      <c r="AP191" s="81" t="e">
        <f t="shared" si="223"/>
        <v>#DIV/0!</v>
      </c>
      <c r="AQ191" s="81" t="e">
        <f t="shared" si="224"/>
        <v>#DIV/0!</v>
      </c>
      <c r="AR191" s="7"/>
      <c r="AS191" s="76">
        <f t="shared" si="174"/>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ht="15" x14ac:dyDescent="0.25">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ht="15" x14ac:dyDescent="0.25">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ht="15" x14ac:dyDescent="0.25">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ht="15" x14ac:dyDescent="0.25">
      <c r="A195" s="8" t="s">
        <v>17</v>
      </c>
      <c r="B195" s="9" t="s">
        <v>147</v>
      </c>
      <c r="C195" s="7"/>
      <c r="D195" s="7"/>
      <c r="E195" s="7"/>
      <c r="F195" s="71"/>
      <c r="G195" s="51">
        <f>I195+K195</f>
        <v>24</v>
      </c>
      <c r="H195" s="52">
        <f>G195/$J$5*100</f>
        <v>63.157894736842103</v>
      </c>
      <c r="I195" s="53">
        <f>COUNTIFS('00 Encuesta'!$B$2:$B$511,"*b)*",'00 Encuesta'!$C$2:$C$511,"*a)*",'00 Encuesta'!$E$2:$E$511,"*a)*",'00 Encuesta'!$Y$2:$Y$511,"*a)*")</f>
        <v>12</v>
      </c>
      <c r="J195" s="52">
        <f>I195/$J$6*100</f>
        <v>57.142857142857139</v>
      </c>
      <c r="K195" s="53">
        <f>COUNTIFS('00 Encuesta'!$B$2:$B$511,"*b)*",'00 Encuesta'!$C$2:$C$511,"*a)*",'00 Encuesta'!$E$2:$E$511,"*b)*",'00 Encuesta'!$Y$2:$Y$511,"*a)*")</f>
        <v>12</v>
      </c>
      <c r="L195" s="52">
        <f>K195/$J$7*100</f>
        <v>70.588235294117652</v>
      </c>
      <c r="M195" s="23"/>
      <c r="N195" s="51">
        <f>P195+R195</f>
        <v>17</v>
      </c>
      <c r="O195" s="52">
        <f>N195/$Q$5*100</f>
        <v>53.125</v>
      </c>
      <c r="P195" s="53">
        <f>COUNTIFS('00 Encuesta'!$B$2:$B$511,"*b)*",'00 Encuesta'!$C$2:$C$511,"*b)*",'00 Encuesta'!$E$2:$E$511,"*a)*",'00 Encuesta'!$Y$2:$Y$511,"*a)*")</f>
        <v>13</v>
      </c>
      <c r="Q195" s="52">
        <f>P195/$Q$6*100</f>
        <v>76.470588235294116</v>
      </c>
      <c r="R195" s="53">
        <f>COUNTIFS('00 Encuesta'!$B$2:$B$511,"*b)*",'00 Encuesta'!$C$2:$C$511,"*b)*",'00 Encuesta'!$E$2:$E$511,"*b)*",'00 Encuesta'!$Y$2:$Y$511,"*a)*")</f>
        <v>4</v>
      </c>
      <c r="S195" s="52">
        <f>R195/$Q$7*100</f>
        <v>26.666666666666668</v>
      </c>
      <c r="T195" s="3"/>
      <c r="U195" s="51">
        <f>W195+Y195</f>
        <v>0</v>
      </c>
      <c r="V195" s="52" t="e">
        <f>U195/$X$5*100</f>
        <v>#DIV/0!</v>
      </c>
      <c r="W195" s="53">
        <f>COUNTIFS('00 Encuesta'!$B$2:$B$511,"*b)*",'00 Encuesta'!$C$2:$C$511,"*d)*",'00 Encuesta'!$E$2:$E$511,"*a)*",'00 Encuesta'!$Y$2:$Y$511,"*a)*")</f>
        <v>0</v>
      </c>
      <c r="X195" s="52" t="e">
        <f>W195/$X$6*100</f>
        <v>#DIV/0!</v>
      </c>
      <c r="Y195" s="53">
        <f>COUNTIFS('00 Encuesta'!$B$2:$B$511,"*b)*",'00 Encuesta'!$C$2:$C$511,"*d)*",'00 Encuesta'!$E$2:$E$511,"*b)*",'00 Encuesta'!$Y$2:$Y$511,"*a)*")</f>
        <v>0</v>
      </c>
      <c r="Z195" s="52" t="e">
        <f>Y195/$X$7*100</f>
        <v>#DIV/0!</v>
      </c>
      <c r="AA195" s="3"/>
      <c r="AB195" s="62">
        <f>G195+N195+U195</f>
        <v>41</v>
      </c>
      <c r="AC195" s="52">
        <f>AB195*100/$AC$5</f>
        <v>58.571428571428569</v>
      </c>
      <c r="AD195" s="3"/>
      <c r="AE195" s="3"/>
      <c r="AF195" s="9" t="str">
        <f t="shared" si="225"/>
        <v>a) Deportivo</v>
      </c>
      <c r="AG195" s="72">
        <f>J195</f>
        <v>57.142857142857139</v>
      </c>
      <c r="AH195" s="72">
        <f>L195</f>
        <v>70.588235294117652</v>
      </c>
      <c r="AI195" s="73">
        <f>H195</f>
        <v>63.157894736842103</v>
      </c>
      <c r="AJ195" s="73"/>
      <c r="AK195" s="76">
        <f>Q195</f>
        <v>76.470588235294116</v>
      </c>
      <c r="AL195" s="76">
        <f>S195</f>
        <v>26.666666666666668</v>
      </c>
      <c r="AM195" s="76">
        <f>O195</f>
        <v>53.125</v>
      </c>
      <c r="AN195" s="76"/>
      <c r="AO195" s="81" t="e">
        <f>X195</f>
        <v>#DIV/0!</v>
      </c>
      <c r="AP195" s="81" t="e">
        <f>Z195</f>
        <v>#DIV/0!</v>
      </c>
      <c r="AQ195" s="81" t="e">
        <f>V195</f>
        <v>#DIV/0!</v>
      </c>
      <c r="AR195" s="3"/>
      <c r="AS195" s="76">
        <f t="shared" si="174"/>
        <v>58.571428571428569</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5</v>
      </c>
      <c r="H196" s="52">
        <f>G196/$J$5*100</f>
        <v>13.157894736842104</v>
      </c>
      <c r="I196" s="53">
        <f>COUNTIFS('00 Encuesta'!$B$2:$B$511,"*b)*",'00 Encuesta'!$C$2:$C$511,"*a)*",'00 Encuesta'!$E$2:$E$511,"*a)*",'00 Encuesta'!$Y$2:$Y$511,"*b)*")</f>
        <v>2</v>
      </c>
      <c r="J196" s="52">
        <f>I196/$J$6*100</f>
        <v>9.5238095238095237</v>
      </c>
      <c r="K196" s="53">
        <f>COUNTIFS('00 Encuesta'!$B$2:$B$511,"*b)*",'00 Encuesta'!$C$2:$C$511,"*a)*",'00 Encuesta'!$E$2:$E$511,"*b)*",'00 Encuesta'!$Y$2:$Y$511,"*b)*")</f>
        <v>3</v>
      </c>
      <c r="L196" s="52">
        <f>K196/$J$7*100</f>
        <v>17.647058823529413</v>
      </c>
      <c r="M196" s="23"/>
      <c r="N196" s="51">
        <f>P196+R196</f>
        <v>5</v>
      </c>
      <c r="O196" s="52">
        <f>N196/$Q$5*100</f>
        <v>15.625</v>
      </c>
      <c r="P196" s="53">
        <f>COUNTIFS('00 Encuesta'!$B$2:$B$511,"*b)*",'00 Encuesta'!$C$2:$C$511,"*b)*",'00 Encuesta'!$E$2:$E$511,"*a)*",'00 Encuesta'!$Y$2:$Y$511,"*b)*")</f>
        <v>2</v>
      </c>
      <c r="Q196" s="52">
        <f>P196/$Q$6*100</f>
        <v>11.76470588235294</v>
      </c>
      <c r="R196" s="53">
        <f>COUNTIFS('00 Encuesta'!$B$2:$B$511,"*b)*",'00 Encuesta'!$C$2:$C$511,"*b)*",'00 Encuesta'!$E$2:$E$511,"*b)*",'00 Encuesta'!$Y$2:$Y$511,"*b)*")</f>
        <v>3</v>
      </c>
      <c r="S196" s="52">
        <f>R196/$Q$7*100</f>
        <v>20</v>
      </c>
      <c r="T196" s="3"/>
      <c r="U196" s="51">
        <f>W196+Y196</f>
        <v>0</v>
      </c>
      <c r="V196" s="52" t="e">
        <f>U196/$X$5*100</f>
        <v>#DIV/0!</v>
      </c>
      <c r="W196" s="53">
        <f>COUNTIFS('00 Encuesta'!$B$2:$B$511,"*b)*",'00 Encuesta'!$C$2:$C$511,"*d)*",'00 Encuesta'!$E$2:$E$511,"*a)*",'00 Encuesta'!$Y$2:$Y$511,"*b)*")</f>
        <v>0</v>
      </c>
      <c r="X196" s="52" t="e">
        <f>W196/$X$6*100</f>
        <v>#DIV/0!</v>
      </c>
      <c r="Y196" s="53">
        <f>COUNTIFS('00 Encuesta'!$B$2:$B$511,"*b)*",'00 Encuesta'!$C$2:$C$511,"*d)*",'00 Encuesta'!$E$2:$E$511,"*b)*",'00 Encuesta'!$Y$2:$Y$511,"*b)*")</f>
        <v>0</v>
      </c>
      <c r="Z196" s="52" t="e">
        <f>Y196/$X$7*100</f>
        <v>#DIV/0!</v>
      </c>
      <c r="AA196" s="3"/>
      <c r="AB196" s="62">
        <f>G196+N196+U196</f>
        <v>10</v>
      </c>
      <c r="AC196" s="52">
        <f>AB196*100/$AC$5</f>
        <v>14.285714285714286</v>
      </c>
      <c r="AD196" s="3"/>
      <c r="AE196" s="3"/>
      <c r="AF196" s="9" t="str">
        <f t="shared" si="225"/>
        <v>b) Cultural (folklórico, musicales, danzas, scout, banda marcial...)</v>
      </c>
      <c r="AG196" s="72">
        <f>J196</f>
        <v>9.5238095238095237</v>
      </c>
      <c r="AH196" s="72">
        <f>L196</f>
        <v>17.647058823529413</v>
      </c>
      <c r="AI196" s="73">
        <f>H196</f>
        <v>13.157894736842104</v>
      </c>
      <c r="AJ196" s="73"/>
      <c r="AK196" s="76">
        <f>Q196</f>
        <v>11.76470588235294</v>
      </c>
      <c r="AL196" s="76">
        <f>S196</f>
        <v>20</v>
      </c>
      <c r="AM196" s="76">
        <f>O196</f>
        <v>15.625</v>
      </c>
      <c r="AN196" s="76"/>
      <c r="AO196" s="81" t="e">
        <f>X196</f>
        <v>#DIV/0!</v>
      </c>
      <c r="AP196" s="81" t="e">
        <f>Z196</f>
        <v>#DIV/0!</v>
      </c>
      <c r="AQ196" s="81" t="e">
        <f>V196</f>
        <v>#DIV/0!</v>
      </c>
      <c r="AR196" s="3"/>
      <c r="AS196" s="76">
        <f t="shared" si="174"/>
        <v>14.285714285714286</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ht="15" x14ac:dyDescent="0.25">
      <c r="A197" s="8" t="s">
        <v>20</v>
      </c>
      <c r="B197" s="9" t="s">
        <v>149</v>
      </c>
      <c r="C197" s="7"/>
      <c r="D197" s="7"/>
      <c r="E197" s="7"/>
      <c r="F197" s="71"/>
      <c r="G197" s="51">
        <f>I197+K197</f>
        <v>3</v>
      </c>
      <c r="H197" s="52">
        <f>G197/$J$5*100</f>
        <v>7.8947368421052628</v>
      </c>
      <c r="I197" s="53">
        <f>COUNTIFS('00 Encuesta'!$B$2:$B$511,"*b)*",'00 Encuesta'!$C$2:$C$511,"*a)*",'00 Encuesta'!$E$2:$E$511,"*a)*",'00 Encuesta'!$Y$2:$Y$511,"*c)*")</f>
        <v>2</v>
      </c>
      <c r="J197" s="52">
        <f>I197/$J$6*100</f>
        <v>9.5238095238095237</v>
      </c>
      <c r="K197" s="53">
        <f>COUNTIFS('00 Encuesta'!$B$2:$B$511,"*b)*",'00 Encuesta'!$C$2:$C$511,"*a)*",'00 Encuesta'!$E$2:$E$511,"*b)*",'00 Encuesta'!$Y$2:$Y$511,"*c)*")</f>
        <v>1</v>
      </c>
      <c r="L197" s="52">
        <f>K197/$J$7*100</f>
        <v>5.8823529411764701</v>
      </c>
      <c r="M197" s="23"/>
      <c r="N197" s="51">
        <f>P197+R197</f>
        <v>1</v>
      </c>
      <c r="O197" s="52">
        <f>N197/$Q$5*100</f>
        <v>3.125</v>
      </c>
      <c r="P197" s="53">
        <f>COUNTIFS('00 Encuesta'!$B$2:$B$511,"*b)*",'00 Encuesta'!$C$2:$C$511,"*b)*",'00 Encuesta'!$E$2:$E$511,"*a)*",'00 Encuesta'!$Y$2:$Y$511,"*c)*")</f>
        <v>0</v>
      </c>
      <c r="Q197" s="52">
        <f>P197/$Q$6*100</f>
        <v>0</v>
      </c>
      <c r="R197" s="53">
        <f>COUNTIFS('00 Encuesta'!$B$2:$B$511,"*b)*",'00 Encuesta'!$C$2:$C$511,"*b)*",'00 Encuesta'!$E$2:$E$511,"*b)*",'00 Encuesta'!$Y$2:$Y$511,"*c)*")</f>
        <v>1</v>
      </c>
      <c r="S197" s="52">
        <f>R197/$Q$7*100</f>
        <v>6.666666666666667</v>
      </c>
      <c r="T197" s="3"/>
      <c r="U197" s="51">
        <f>W197+Y197</f>
        <v>0</v>
      </c>
      <c r="V197" s="52" t="e">
        <f>U197/$X$5*100</f>
        <v>#DIV/0!</v>
      </c>
      <c r="W197" s="53">
        <f>COUNTIFS('00 Encuesta'!$B$2:$B$511,"*b)*",'00 Encuesta'!$C$2:$C$511,"*d)*",'00 Encuesta'!$E$2:$E$511,"*a)*",'00 Encuesta'!$Y$2:$Y$511,"*c)*")</f>
        <v>0</v>
      </c>
      <c r="X197" s="52" t="e">
        <f>W197/$X$6*100</f>
        <v>#DIV/0!</v>
      </c>
      <c r="Y197" s="53">
        <f>COUNTIFS('00 Encuesta'!$B$2:$B$511,"*b)*",'00 Encuesta'!$C$2:$C$511,"*d)*",'00 Encuesta'!$E$2:$E$511,"*b)*",'00 Encuesta'!$Y$2:$Y$511,"*c)*")</f>
        <v>0</v>
      </c>
      <c r="Z197" s="52" t="e">
        <f>Y197/$X$7*100</f>
        <v>#DIV/0!</v>
      </c>
      <c r="AA197" s="3"/>
      <c r="AB197" s="62">
        <f>G197+N197+U197</f>
        <v>4</v>
      </c>
      <c r="AC197" s="52">
        <f>AB197*100/$AC$5</f>
        <v>5.7142857142857144</v>
      </c>
      <c r="AD197" s="3"/>
      <c r="AE197" s="3"/>
      <c r="AF197" s="9" t="str">
        <f t="shared" si="225"/>
        <v>c) Religioso o parroquial</v>
      </c>
      <c r="AG197" s="72">
        <f>J197</f>
        <v>9.5238095238095237</v>
      </c>
      <c r="AH197" s="72">
        <f>L197</f>
        <v>5.8823529411764701</v>
      </c>
      <c r="AI197" s="73">
        <f>H197</f>
        <v>7.8947368421052628</v>
      </c>
      <c r="AJ197" s="73"/>
      <c r="AK197" s="76">
        <f>Q197</f>
        <v>0</v>
      </c>
      <c r="AL197" s="76">
        <f>S197</f>
        <v>6.666666666666667</v>
      </c>
      <c r="AM197" s="76">
        <f>O197</f>
        <v>3.125</v>
      </c>
      <c r="AN197" s="76"/>
      <c r="AO197" s="81" t="e">
        <f>X197</f>
        <v>#DIV/0!</v>
      </c>
      <c r="AP197" s="81" t="e">
        <f>Z197</f>
        <v>#DIV/0!</v>
      </c>
      <c r="AQ197" s="81" t="e">
        <f>V197</f>
        <v>#DIV/0!</v>
      </c>
      <c r="AR197" s="3"/>
      <c r="AS197" s="76">
        <f t="shared" si="174"/>
        <v>5.7142857142857144</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ht="15" x14ac:dyDescent="0.25">
      <c r="A198" s="8" t="s">
        <v>21</v>
      </c>
      <c r="B198" s="9" t="s">
        <v>150</v>
      </c>
      <c r="C198" s="7"/>
      <c r="D198" s="7"/>
      <c r="E198" s="7"/>
      <c r="F198" s="71"/>
      <c r="G198" s="51">
        <f>I198+K198</f>
        <v>10</v>
      </c>
      <c r="H198" s="52">
        <f>G198/$J$5*100</f>
        <v>26.315789473684209</v>
      </c>
      <c r="I198" s="53">
        <f>COUNTIFS('00 Encuesta'!$B$2:$B$511,"*b)*",'00 Encuesta'!$C$2:$C$511,"*a)*",'00 Encuesta'!$E$2:$E$511,"*a)*",'00 Encuesta'!$Y$2:$Y$511,"*d)*")</f>
        <v>7</v>
      </c>
      <c r="J198" s="52">
        <f>I198/$J$6*100</f>
        <v>33.333333333333329</v>
      </c>
      <c r="K198" s="53">
        <f>COUNTIFS('00 Encuesta'!$B$2:$B$511,"*b)*",'00 Encuesta'!$C$2:$C$511,"*a)*",'00 Encuesta'!$E$2:$E$511,"*b)*",'00 Encuesta'!$Y$2:$Y$511,"*d)*")</f>
        <v>3</v>
      </c>
      <c r="L198" s="52">
        <f>K198/$J$7*100</f>
        <v>17.647058823529413</v>
      </c>
      <c r="M198" s="23"/>
      <c r="N198" s="51">
        <f>P198+R198</f>
        <v>11</v>
      </c>
      <c r="O198" s="52">
        <f>N198/$Q$5*100</f>
        <v>34.375</v>
      </c>
      <c r="P198" s="53">
        <f>COUNTIFS('00 Encuesta'!$B$2:$B$511,"*b)*",'00 Encuesta'!$C$2:$C$511,"*b)*",'00 Encuesta'!$E$2:$E$511,"*a)*",'00 Encuesta'!$Y$2:$Y$511,"*d)*")</f>
        <v>2</v>
      </c>
      <c r="Q198" s="52">
        <f>P198/$Q$6*100</f>
        <v>11.76470588235294</v>
      </c>
      <c r="R198" s="53">
        <f>COUNTIFS('00 Encuesta'!$B$2:$B$511,"*b)*",'00 Encuesta'!$C$2:$C$511,"*b)*",'00 Encuesta'!$E$2:$E$511,"*b)*",'00 Encuesta'!$Y$2:$Y$511,"*d)*")</f>
        <v>9</v>
      </c>
      <c r="S198" s="52">
        <f>R198/$Q$7*100</f>
        <v>60</v>
      </c>
      <c r="T198" s="3"/>
      <c r="U198" s="51">
        <f>W198+Y198</f>
        <v>0</v>
      </c>
      <c r="V198" s="52" t="e">
        <f>U198/$X$5*100</f>
        <v>#DIV/0!</v>
      </c>
      <c r="W198" s="53">
        <f>COUNTIFS('00 Encuesta'!$B$2:$B$511,"*b)*",'00 Encuesta'!$C$2:$C$511,"*d)*",'00 Encuesta'!$E$2:$E$511,"*a)*",'00 Encuesta'!$Y$2:$Y$511,"*d)*")</f>
        <v>0</v>
      </c>
      <c r="X198" s="52" t="e">
        <f>W198/$X$6*100</f>
        <v>#DIV/0!</v>
      </c>
      <c r="Y198" s="53">
        <f>COUNTIFS('00 Encuesta'!$B$2:$B$511,"*b)*",'00 Encuesta'!$C$2:$C$511,"*d)*",'00 Encuesta'!$E$2:$E$511,"*b)*",'00 Encuesta'!$Y$2:$Y$511,"*d)*")</f>
        <v>0</v>
      </c>
      <c r="Z198" s="52" t="e">
        <f>Y198/$X$7*100</f>
        <v>#DIV/0!</v>
      </c>
      <c r="AA198" s="3"/>
      <c r="AB198" s="62">
        <f>G198+N198+U198</f>
        <v>21</v>
      </c>
      <c r="AC198" s="52">
        <f>AB198*100/$AC$5</f>
        <v>30</v>
      </c>
      <c r="AD198" s="3"/>
      <c r="AE198" s="3"/>
      <c r="AF198" s="9" t="str">
        <f t="shared" si="225"/>
        <v>d) No pertenezco a ninguno.</v>
      </c>
      <c r="AG198" s="72">
        <f>J198</f>
        <v>33.333333333333329</v>
      </c>
      <c r="AH198" s="72">
        <f>L198</f>
        <v>17.647058823529413</v>
      </c>
      <c r="AI198" s="73">
        <f>H198</f>
        <v>26.315789473684209</v>
      </c>
      <c r="AJ198" s="73"/>
      <c r="AK198" s="76">
        <f>Q198</f>
        <v>11.76470588235294</v>
      </c>
      <c r="AL198" s="76">
        <f>S198</f>
        <v>60</v>
      </c>
      <c r="AM198" s="76">
        <f>O198</f>
        <v>34.375</v>
      </c>
      <c r="AN198" s="76"/>
      <c r="AO198" s="81" t="e">
        <f>X198</f>
        <v>#DIV/0!</v>
      </c>
      <c r="AP198" s="81" t="e">
        <f>Z198</f>
        <v>#DIV/0!</v>
      </c>
      <c r="AQ198" s="81" t="e">
        <f>V198</f>
        <v>#DIV/0!</v>
      </c>
      <c r="AR198" s="3"/>
      <c r="AS198" s="76">
        <f t="shared" si="174"/>
        <v>30</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ht="15" x14ac:dyDescent="0.25">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f>N199/$Q$5*100</f>
        <v>0</v>
      </c>
      <c r="P199" s="53"/>
      <c r="Q199" s="52">
        <f>P199/$Q$6*100</f>
        <v>0</v>
      </c>
      <c r="R199" s="53"/>
      <c r="S199" s="52">
        <f>R199/$Q$7*100</f>
        <v>0</v>
      </c>
      <c r="T199" s="3"/>
      <c r="U199" s="51">
        <f>W199+Y199</f>
        <v>0</v>
      </c>
      <c r="V199" s="52" t="e">
        <f>U199/$X$5*100</f>
        <v>#DIV/0!</v>
      </c>
      <c r="W199" s="53"/>
      <c r="X199" s="52" t="e">
        <f>W199/$X$6*100</f>
        <v>#DIV/0!</v>
      </c>
      <c r="Y199" s="53"/>
      <c r="Z199" s="52" t="e">
        <f>Y199/$X$7*100</f>
        <v>#DIV/0!</v>
      </c>
      <c r="AA199" s="3"/>
      <c r="AB199" s="62">
        <f>G199+N199+U199</f>
        <v>0</v>
      </c>
      <c r="AC199" s="52">
        <f>AB199*100/$AC$5</f>
        <v>0</v>
      </c>
      <c r="AD199" s="3"/>
      <c r="AE199" s="3"/>
      <c r="AF199" s="9" t="str">
        <f t="shared" si="225"/>
        <v>S/R Sin Respuesta</v>
      </c>
      <c r="AG199" s="72">
        <f>J199</f>
        <v>0</v>
      </c>
      <c r="AH199" s="72">
        <f>L199</f>
        <v>0</v>
      </c>
      <c r="AI199" s="73">
        <f>H199</f>
        <v>0</v>
      </c>
      <c r="AJ199" s="73"/>
      <c r="AK199" s="76">
        <f>Q199</f>
        <v>0</v>
      </c>
      <c r="AL199" s="76">
        <f>S199</f>
        <v>0</v>
      </c>
      <c r="AM199" s="76">
        <f>O199</f>
        <v>0</v>
      </c>
      <c r="AN199" s="76"/>
      <c r="AO199" s="81" t="e">
        <f>X199</f>
        <v>#DIV/0!</v>
      </c>
      <c r="AP199" s="81" t="e">
        <f>Z199</f>
        <v>#DIV/0!</v>
      </c>
      <c r="AQ199" s="81" t="e">
        <f>V199</f>
        <v>#DIV/0!</v>
      </c>
      <c r="AR199" s="3"/>
      <c r="AS199" s="76">
        <f t="shared" si="174"/>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ht="15" x14ac:dyDescent="0.25">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ht="15" x14ac:dyDescent="0.25">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ht="15" x14ac:dyDescent="0.25">
      <c r="A202" s="8" t="s">
        <v>17</v>
      </c>
      <c r="B202" s="9" t="s">
        <v>152</v>
      </c>
      <c r="C202" s="7"/>
      <c r="D202" s="7"/>
      <c r="E202" s="7"/>
      <c r="F202" s="71"/>
      <c r="G202" s="51">
        <f>I202+K202</f>
        <v>12</v>
      </c>
      <c r="H202" s="52">
        <f>G202/$J$5*100</f>
        <v>31.578947368421051</v>
      </c>
      <c r="I202" s="53">
        <f>COUNTIFS('00 Encuesta'!$B$2:$B$511,"*b)*",'00 Encuesta'!$C$2:$C$511,"*a)*",'00 Encuesta'!$E$2:$E$511,"*a)*",'00 Encuesta'!$Z$2:$Z$511,"*a)*")</f>
        <v>7</v>
      </c>
      <c r="J202" s="52">
        <f>I202/$J$6*100</f>
        <v>33.333333333333329</v>
      </c>
      <c r="K202" s="53">
        <f>COUNTIFS('00 Encuesta'!$B$2:$B$511,"*b)*",'00 Encuesta'!$C$2:$C$511,"*a)*",'00 Encuesta'!$E$2:$E$511,"*b)*",'00 Encuesta'!$Z$2:$Z$511,"*a)*")</f>
        <v>5</v>
      </c>
      <c r="L202" s="52">
        <f>K202/$J$7*100</f>
        <v>29.411764705882355</v>
      </c>
      <c r="M202" s="23"/>
      <c r="N202" s="51">
        <f>P202+R202</f>
        <v>7</v>
      </c>
      <c r="O202" s="52">
        <f>N202/$Q$5*100</f>
        <v>21.875</v>
      </c>
      <c r="P202" s="53">
        <f>COUNTIFS('00 Encuesta'!$B$2:$B$511,"*b)*",'00 Encuesta'!$C$2:$C$511,"*b)*",'00 Encuesta'!$E$2:$E$511,"*a)*",'00 Encuesta'!$Z$2:$Z$511,"*a)*")</f>
        <v>5</v>
      </c>
      <c r="Q202" s="52">
        <f>P202/$Q$6*100</f>
        <v>29.411764705882355</v>
      </c>
      <c r="R202" s="53">
        <f>COUNTIFS('00 Encuesta'!$B$2:$B$511,"*b)*",'00 Encuesta'!$C$2:$C$511,"*b)*",'00 Encuesta'!$E$2:$E$511,"*b)*",'00 Encuesta'!$Z$2:$Z$511,"*a)*")</f>
        <v>2</v>
      </c>
      <c r="S202" s="52">
        <f>R202/$Q$7*100</f>
        <v>13.333333333333334</v>
      </c>
      <c r="T202" s="3"/>
      <c r="U202" s="51">
        <f>W202+Y202</f>
        <v>0</v>
      </c>
      <c r="V202" s="52" t="e">
        <f>U202/$X$5*100</f>
        <v>#DIV/0!</v>
      </c>
      <c r="W202" s="53">
        <f>COUNTIFS('00 Encuesta'!$B$2:$B$511,"*b)*",'00 Encuesta'!$C$2:$C$511,"*d)*",'00 Encuesta'!$E$2:$E$511,"*a)*",'00 Encuesta'!$Z$2:$Z$511,"*a)*")</f>
        <v>0</v>
      </c>
      <c r="X202" s="52" t="e">
        <f>W202/$X$6*100</f>
        <v>#DIV/0!</v>
      </c>
      <c r="Y202" s="53">
        <f>COUNTIFS('00 Encuesta'!$B$2:$B$511,"*b)*",'00 Encuesta'!$C$2:$C$511,"*d)*",'00 Encuesta'!$E$2:$E$511,"*b)*",'00 Encuesta'!$Z$2:$Z$511,"*a)*")</f>
        <v>0</v>
      </c>
      <c r="Z202" s="52" t="e">
        <f>Y202/$X$7*100</f>
        <v>#DIV/0!</v>
      </c>
      <c r="AA202" s="3"/>
      <c r="AB202" s="62">
        <f>G202+N202+U202</f>
        <v>19</v>
      </c>
      <c r="AC202" s="52">
        <f>AB202*100/$AC$5</f>
        <v>27.142857142857142</v>
      </c>
      <c r="AD202" s="3"/>
      <c r="AE202" s="3"/>
      <c r="AF202" s="9" t="str">
        <f t="shared" si="226"/>
        <v>a) Un grupo donde profundizo mi fe</v>
      </c>
      <c r="AG202" s="72">
        <f>J202</f>
        <v>33.333333333333329</v>
      </c>
      <c r="AH202" s="72">
        <f>L202</f>
        <v>29.411764705882355</v>
      </c>
      <c r="AI202" s="73">
        <f>H202</f>
        <v>31.578947368421051</v>
      </c>
      <c r="AJ202" s="73"/>
      <c r="AK202" s="76">
        <f>Q202</f>
        <v>29.411764705882355</v>
      </c>
      <c r="AL202" s="76">
        <f>S202</f>
        <v>13.333333333333334</v>
      </c>
      <c r="AM202" s="76">
        <f>O202</f>
        <v>21.875</v>
      </c>
      <c r="AN202" s="76"/>
      <c r="AO202" s="81" t="e">
        <f>X202</f>
        <v>#DIV/0!</v>
      </c>
      <c r="AP202" s="81" t="e">
        <f>Z202</f>
        <v>#DIV/0!</v>
      </c>
      <c r="AQ202" s="81" t="e">
        <f>V202</f>
        <v>#DIV/0!</v>
      </c>
      <c r="AR202" s="3"/>
      <c r="AS202" s="76">
        <f t="shared" si="174"/>
        <v>27.142857142857142</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4</v>
      </c>
      <c r="H203" s="52">
        <f>G203/$J$5*100</f>
        <v>10.526315789473683</v>
      </c>
      <c r="I203" s="53">
        <f>COUNTIFS('00 Encuesta'!$B$2:$B$511,"*b)*",'00 Encuesta'!$C$2:$C$511,"*a)*",'00 Encuesta'!$E$2:$E$511,"*a)*",'00 Encuesta'!$Z$2:$Z$511,"*b)*")</f>
        <v>4</v>
      </c>
      <c r="J203" s="52">
        <f>I203/$J$6*100</f>
        <v>19.047619047619047</v>
      </c>
      <c r="K203" s="53">
        <f>COUNTIFS('00 Encuesta'!$B$2:$B$511,"*b)*",'00 Encuesta'!$C$2:$C$511,"*a)*",'00 Encuesta'!$E$2:$E$511,"*b)*",'00 Encuesta'!$Z$2:$Z$511,"*b)*")</f>
        <v>0</v>
      </c>
      <c r="L203" s="52">
        <f>K203/$J$7*100</f>
        <v>0</v>
      </c>
      <c r="M203" s="23"/>
      <c r="N203" s="51">
        <f>P203+R203</f>
        <v>2</v>
      </c>
      <c r="O203" s="52">
        <f>N203/$Q$5*100</f>
        <v>6.25</v>
      </c>
      <c r="P203" s="53">
        <f>COUNTIFS('00 Encuesta'!$B$2:$B$511,"*b)*",'00 Encuesta'!$C$2:$C$511,"*b)*",'00 Encuesta'!$E$2:$E$511,"*a)*",'00 Encuesta'!$Z$2:$Z$511,"*b)*")</f>
        <v>1</v>
      </c>
      <c r="Q203" s="52">
        <f>P203/$Q$6*100</f>
        <v>5.8823529411764701</v>
      </c>
      <c r="R203" s="53">
        <f>COUNTIFS('00 Encuesta'!$B$2:$B$511,"*b)*",'00 Encuesta'!$C$2:$C$511,"*b)*",'00 Encuesta'!$E$2:$E$511,"*b)*",'00 Encuesta'!$Z$2:$Z$511,"*b)*")</f>
        <v>1</v>
      </c>
      <c r="S203" s="52">
        <f>R203/$Q$7*100</f>
        <v>6.666666666666667</v>
      </c>
      <c r="T203" s="3"/>
      <c r="U203" s="51">
        <f>W203+Y203</f>
        <v>0</v>
      </c>
      <c r="V203" s="52" t="e">
        <f>U203/$X$5*100</f>
        <v>#DIV/0!</v>
      </c>
      <c r="W203" s="53">
        <f>COUNTIFS('00 Encuesta'!$B$2:$B$511,"*b)*",'00 Encuesta'!$C$2:$C$511,"*d)*",'00 Encuesta'!$E$2:$E$511,"*a)*",'00 Encuesta'!$Z$2:$Z$511,"*b)*")</f>
        <v>0</v>
      </c>
      <c r="X203" s="52" t="e">
        <f>W203/$X$6*100</f>
        <v>#DIV/0!</v>
      </c>
      <c r="Y203" s="53">
        <f>COUNTIFS('00 Encuesta'!$B$2:$B$511,"*b)*",'00 Encuesta'!$C$2:$C$511,"*d)*",'00 Encuesta'!$E$2:$E$511,"*b)*",'00 Encuesta'!$Z$2:$Z$511,"*b)*")</f>
        <v>0</v>
      </c>
      <c r="Z203" s="52" t="e">
        <f>Y203/$X$7*100</f>
        <v>#DIV/0!</v>
      </c>
      <c r="AA203" s="3"/>
      <c r="AB203" s="62">
        <f>G203+N203+U203</f>
        <v>6</v>
      </c>
      <c r="AC203" s="52">
        <f>AB203*100/$AC$5</f>
        <v>8.5714285714285712</v>
      </c>
      <c r="AD203" s="3"/>
      <c r="AE203" s="3"/>
      <c r="AF203" s="9" t="str">
        <f t="shared" si="226"/>
        <v>b) Un lugar donde comparto con mis compañeros</v>
      </c>
      <c r="AG203" s="72">
        <f>J203</f>
        <v>19.047619047619047</v>
      </c>
      <c r="AH203" s="72">
        <f>L203</f>
        <v>0</v>
      </c>
      <c r="AI203" s="73">
        <f>H203</f>
        <v>10.526315789473683</v>
      </c>
      <c r="AJ203" s="73"/>
      <c r="AK203" s="76">
        <f>Q203</f>
        <v>5.8823529411764701</v>
      </c>
      <c r="AL203" s="76">
        <f>S203</f>
        <v>6.666666666666667</v>
      </c>
      <c r="AM203" s="76">
        <f>O203</f>
        <v>6.25</v>
      </c>
      <c r="AN203" s="76"/>
      <c r="AO203" s="81" t="e">
        <f>X203</f>
        <v>#DIV/0!</v>
      </c>
      <c r="AP203" s="81" t="e">
        <f>Z203</f>
        <v>#DIV/0!</v>
      </c>
      <c r="AQ203" s="81" t="e">
        <f>V203</f>
        <v>#DIV/0!</v>
      </c>
      <c r="AR203" s="3"/>
      <c r="AS203" s="76">
        <f t="shared" si="174"/>
        <v>8.5714285714285712</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ht="15" x14ac:dyDescent="0.25">
      <c r="A204" s="8" t="s">
        <v>20</v>
      </c>
      <c r="B204" s="9" t="s">
        <v>154</v>
      </c>
      <c r="C204" s="7"/>
      <c r="D204" s="7"/>
      <c r="E204" s="7"/>
      <c r="F204" s="71"/>
      <c r="G204" s="51">
        <f>I204+K204</f>
        <v>5</v>
      </c>
      <c r="H204" s="52">
        <f>G204/$J$5*100</f>
        <v>13.157894736842104</v>
      </c>
      <c r="I204" s="53">
        <f>COUNTIFS('00 Encuesta'!$B$2:$B$511,"*b)*",'00 Encuesta'!$C$2:$C$511,"*a)*",'00 Encuesta'!$E$2:$E$511,"*a)*",'00 Encuesta'!$Z$2:$Z$511,"*c)*")</f>
        <v>1</v>
      </c>
      <c r="J204" s="52">
        <f>I204/$J$6*100</f>
        <v>4.7619047619047619</v>
      </c>
      <c r="K204" s="53">
        <f>COUNTIFS('00 Encuesta'!$B$2:$B$511,"*b)*",'00 Encuesta'!$C$2:$C$511,"*a)*",'00 Encuesta'!$E$2:$E$511,"*b)*",'00 Encuesta'!$Z$2:$Z$511,"*c)*")</f>
        <v>4</v>
      </c>
      <c r="L204" s="52">
        <f>K204/$J$7*100</f>
        <v>23.52941176470588</v>
      </c>
      <c r="M204" s="23"/>
      <c r="N204" s="51">
        <f>P204+R204</f>
        <v>0</v>
      </c>
      <c r="O204" s="52">
        <f>N204/$Q$5*100</f>
        <v>0</v>
      </c>
      <c r="P204" s="53">
        <f>COUNTIFS('00 Encuesta'!$B$2:$B$511,"*b)*",'00 Encuesta'!$C$2:$C$511,"*b)*",'00 Encuesta'!$E$2:$E$511,"*a)*",'00 Encuesta'!$Z$2:$Z$511,"*c)*")</f>
        <v>0</v>
      </c>
      <c r="Q204" s="52">
        <f>P204/$Q$6*100</f>
        <v>0</v>
      </c>
      <c r="R204" s="53">
        <f>COUNTIFS('00 Encuesta'!$B$2:$B$511,"*b)*",'00 Encuesta'!$C$2:$C$511,"*b)*",'00 Encuesta'!$E$2:$E$511,"*b)*",'00 Encuesta'!$Z$2:$Z$511,"*c)*")</f>
        <v>0</v>
      </c>
      <c r="S204" s="52">
        <f>R204/$Q$7*100</f>
        <v>0</v>
      </c>
      <c r="T204" s="3"/>
      <c r="U204" s="51">
        <f>W204+Y204</f>
        <v>0</v>
      </c>
      <c r="V204" s="52" t="e">
        <f>U204/$X$5*100</f>
        <v>#DIV/0!</v>
      </c>
      <c r="W204" s="53">
        <f>COUNTIFS('00 Encuesta'!$B$2:$B$511,"*b)*",'00 Encuesta'!$C$2:$C$511,"*d)*",'00 Encuesta'!$E$2:$E$511,"*a)*",'00 Encuesta'!$Z$2:$Z$511,"*c)*")</f>
        <v>0</v>
      </c>
      <c r="X204" s="52" t="e">
        <f>W204/$X$6*100</f>
        <v>#DIV/0!</v>
      </c>
      <c r="Y204" s="53">
        <f>COUNTIFS('00 Encuesta'!$B$2:$B$511,"*b)*",'00 Encuesta'!$C$2:$C$511,"*d)*",'00 Encuesta'!$E$2:$E$511,"*b)*",'00 Encuesta'!$Z$2:$Z$511,"*c)*")</f>
        <v>0</v>
      </c>
      <c r="Z204" s="52" t="e">
        <f>Y204/$X$7*100</f>
        <v>#DIV/0!</v>
      </c>
      <c r="AA204" s="3"/>
      <c r="AB204" s="62">
        <f>G204+N204+U204</f>
        <v>5</v>
      </c>
      <c r="AC204" s="52">
        <f>AB204*100/$AC$5</f>
        <v>7.1428571428571432</v>
      </c>
      <c r="AD204" s="3"/>
      <c r="AE204" s="3"/>
      <c r="AF204" s="9" t="str">
        <f t="shared" si="226"/>
        <v>c) Un lugar donde me lo paso bien</v>
      </c>
      <c r="AG204" s="72">
        <f>J204</f>
        <v>4.7619047619047619</v>
      </c>
      <c r="AH204" s="72">
        <f>L204</f>
        <v>23.52941176470588</v>
      </c>
      <c r="AI204" s="73">
        <f>H204</f>
        <v>13.157894736842104</v>
      </c>
      <c r="AJ204" s="73"/>
      <c r="AK204" s="76">
        <f>Q204</f>
        <v>0</v>
      </c>
      <c r="AL204" s="76">
        <f>S204</f>
        <v>0</v>
      </c>
      <c r="AM204" s="76">
        <f>O204</f>
        <v>0</v>
      </c>
      <c r="AN204" s="76"/>
      <c r="AO204" s="81" t="e">
        <f>X204</f>
        <v>#DIV/0!</v>
      </c>
      <c r="AP204" s="81" t="e">
        <f>Z204</f>
        <v>#DIV/0!</v>
      </c>
      <c r="AQ204" s="81" t="e">
        <f>V204</f>
        <v>#DIV/0!</v>
      </c>
      <c r="AR204" s="3"/>
      <c r="AS204" s="76">
        <f t="shared" si="174"/>
        <v>7.1428571428571432</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ht="15" x14ac:dyDescent="0.25">
      <c r="A205" s="8" t="s">
        <v>21</v>
      </c>
      <c r="B205" s="9" t="s">
        <v>155</v>
      </c>
      <c r="C205" s="7"/>
      <c r="D205" s="7"/>
      <c r="E205" s="7"/>
      <c r="F205" s="71"/>
      <c r="G205" s="51">
        <f>I205+K205</f>
        <v>14</v>
      </c>
      <c r="H205" s="52">
        <f>G205/$J$5*100</f>
        <v>36.84210526315789</v>
      </c>
      <c r="I205" s="53">
        <f>COUNTIFS('00 Encuesta'!$B$2:$B$511,"*b)*",'00 Encuesta'!$C$2:$C$511,"*a)*",'00 Encuesta'!$E$2:$E$511,"*a)*",'00 Encuesta'!$Z$2:$Z$511,"*d)*")</f>
        <v>7</v>
      </c>
      <c r="J205" s="52">
        <f>I205/$J$6*100</f>
        <v>33.333333333333329</v>
      </c>
      <c r="K205" s="53">
        <f>COUNTIFS('00 Encuesta'!$B$2:$B$511,"*b)*",'00 Encuesta'!$C$2:$C$511,"*a)*",'00 Encuesta'!$E$2:$E$511,"*b)*",'00 Encuesta'!$Z$2:$Z$511,"*d)*")</f>
        <v>7</v>
      </c>
      <c r="L205" s="52">
        <f>K205/$J$7*100</f>
        <v>41.17647058823529</v>
      </c>
      <c r="M205" s="23"/>
      <c r="N205" s="51">
        <f>P205+R205</f>
        <v>20</v>
      </c>
      <c r="O205" s="52">
        <f>N205/$Q$5*100</f>
        <v>62.5</v>
      </c>
      <c r="P205" s="53">
        <f>COUNTIFS('00 Encuesta'!$B$2:$B$511,"*b)*",'00 Encuesta'!$C$2:$C$511,"*b)*",'00 Encuesta'!$E$2:$E$511,"*a)*",'00 Encuesta'!$Z$2:$Z$511,"*d)*")</f>
        <v>8</v>
      </c>
      <c r="Q205" s="52">
        <f>P205/$Q$6*100</f>
        <v>47.058823529411761</v>
      </c>
      <c r="R205" s="53">
        <f>COUNTIFS('00 Encuesta'!$B$2:$B$511,"*b)*",'00 Encuesta'!$C$2:$C$511,"*b)*",'00 Encuesta'!$E$2:$E$511,"*b)*",'00 Encuesta'!$Z$2:$Z$511,"*d)*")</f>
        <v>12</v>
      </c>
      <c r="S205" s="52">
        <f>R205/$Q$7*100</f>
        <v>80</v>
      </c>
      <c r="T205" s="3"/>
      <c r="U205" s="51">
        <f>W205+Y205</f>
        <v>0</v>
      </c>
      <c r="V205" s="52" t="e">
        <f>U205/$X$5*100</f>
        <v>#DIV/0!</v>
      </c>
      <c r="W205" s="53">
        <f>COUNTIFS('00 Encuesta'!$B$2:$B$511,"*b)*",'00 Encuesta'!$C$2:$C$511,"*d)*",'00 Encuesta'!$E$2:$E$511,"*a)*",'00 Encuesta'!$Z$2:$Z$511,"*d)*")</f>
        <v>0</v>
      </c>
      <c r="X205" s="52" t="e">
        <f>W205/$X$6*100</f>
        <v>#DIV/0!</v>
      </c>
      <c r="Y205" s="53">
        <f>COUNTIFS('00 Encuesta'!$B$2:$B$511,"*b)*",'00 Encuesta'!$C$2:$C$511,"*d)*",'00 Encuesta'!$E$2:$E$511,"*b)*",'00 Encuesta'!$Z$2:$Z$511,"*d)*")</f>
        <v>0</v>
      </c>
      <c r="Z205" s="52" t="e">
        <f>Y205/$X$7*100</f>
        <v>#DIV/0!</v>
      </c>
      <c r="AA205" s="3"/>
      <c r="AB205" s="62">
        <f>G205+N205+U205</f>
        <v>34</v>
      </c>
      <c r="AC205" s="52">
        <f>AB205*100/$AC$5</f>
        <v>48.571428571428569</v>
      </c>
      <c r="AD205" s="3"/>
      <c r="AE205" s="3"/>
      <c r="AF205" s="9" t="str">
        <f t="shared" si="226"/>
        <v>d) No pertenezco a grupos juveniles cristianos</v>
      </c>
      <c r="AG205" s="72">
        <f>J205</f>
        <v>33.333333333333329</v>
      </c>
      <c r="AH205" s="72">
        <f>L205</f>
        <v>41.17647058823529</v>
      </c>
      <c r="AI205" s="73">
        <f>H205</f>
        <v>36.84210526315789</v>
      </c>
      <c r="AJ205" s="73"/>
      <c r="AK205" s="76">
        <f>Q205</f>
        <v>47.058823529411761</v>
      </c>
      <c r="AL205" s="76">
        <f>S205</f>
        <v>80</v>
      </c>
      <c r="AM205" s="76">
        <f>O205</f>
        <v>62.5</v>
      </c>
      <c r="AN205" s="76"/>
      <c r="AO205" s="81" t="e">
        <f>X205</f>
        <v>#DIV/0!</v>
      </c>
      <c r="AP205" s="81" t="e">
        <f>Z205</f>
        <v>#DIV/0!</v>
      </c>
      <c r="AQ205" s="81" t="e">
        <f>V205</f>
        <v>#DIV/0!</v>
      </c>
      <c r="AR205" s="3"/>
      <c r="AS205" s="76">
        <f t="shared" si="174"/>
        <v>48.571428571428569</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ht="15" x14ac:dyDescent="0.25">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f>N206/$Q$5*100</f>
        <v>0</v>
      </c>
      <c r="P206" s="53"/>
      <c r="Q206" s="52">
        <f>P206/$Q$6*100</f>
        <v>0</v>
      </c>
      <c r="R206" s="53"/>
      <c r="S206" s="52">
        <f>R206/$Q$7*100</f>
        <v>0</v>
      </c>
      <c r="T206" s="3"/>
      <c r="U206" s="51">
        <f>W206+Y206</f>
        <v>0</v>
      </c>
      <c r="V206" s="52" t="e">
        <f>U206/$X$5*100</f>
        <v>#DIV/0!</v>
      </c>
      <c r="W206" s="53"/>
      <c r="X206" s="52" t="e">
        <f>W206/$X$6*100</f>
        <v>#DIV/0!</v>
      </c>
      <c r="Y206" s="53"/>
      <c r="Z206" s="52" t="e">
        <f>Y206/$X$7*100</f>
        <v>#DIV/0!</v>
      </c>
      <c r="AA206" s="3"/>
      <c r="AB206" s="62">
        <f>G206+N206+U206</f>
        <v>0</v>
      </c>
      <c r="AC206" s="52">
        <f>AB206*100/$AC$5</f>
        <v>0</v>
      </c>
      <c r="AD206" s="3"/>
      <c r="AE206" s="3"/>
      <c r="AF206" s="9" t="str">
        <f t="shared" si="226"/>
        <v>S/R Sin Respuesta</v>
      </c>
      <c r="AG206" s="72">
        <f>J206</f>
        <v>0</v>
      </c>
      <c r="AH206" s="72">
        <f>L206</f>
        <v>0</v>
      </c>
      <c r="AI206" s="73">
        <f>H206</f>
        <v>0</v>
      </c>
      <c r="AJ206" s="73"/>
      <c r="AK206" s="76">
        <f>Q206</f>
        <v>0</v>
      </c>
      <c r="AL206" s="76">
        <f>S206</f>
        <v>0</v>
      </c>
      <c r="AM206" s="76">
        <f>O206</f>
        <v>0</v>
      </c>
      <c r="AN206" s="76"/>
      <c r="AO206" s="81" t="e">
        <f>X206</f>
        <v>#DIV/0!</v>
      </c>
      <c r="AP206" s="81" t="e">
        <f>Z206</f>
        <v>#DIV/0!</v>
      </c>
      <c r="AQ206" s="81" t="e">
        <f>V206</f>
        <v>#DIV/0!</v>
      </c>
      <c r="AR206" s="3"/>
      <c r="AS206" s="76">
        <f t="shared" si="174"/>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ht="15" x14ac:dyDescent="0.25">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ht="15" x14ac:dyDescent="0.25">
      <c r="A209" s="8" t="s">
        <v>17</v>
      </c>
      <c r="B209" s="9" t="s">
        <v>49</v>
      </c>
      <c r="C209" s="7"/>
      <c r="D209" s="7"/>
      <c r="E209" s="7"/>
      <c r="F209" s="71"/>
      <c r="G209" s="51">
        <f>I209+K209</f>
        <v>2</v>
      </c>
      <c r="H209" s="52">
        <f>G209/$J$5*100</f>
        <v>5.2631578947368416</v>
      </c>
      <c r="I209" s="53">
        <f>COUNTIFS('00 Encuesta'!$B$2:$B$511,"*b)*",'00 Encuesta'!$C$2:$C$511,"*a)*",'00 Encuesta'!$E$2:$E$511,"*a)*",'00 Encuesta'!$AA$2:$AA$511,"*a)*")</f>
        <v>2</v>
      </c>
      <c r="J209" s="52">
        <f>I209/$J$6*100</f>
        <v>9.5238095238095237</v>
      </c>
      <c r="K209" s="53">
        <f>COUNTIFS('00 Encuesta'!$B$2:$B$511,"*b)*",'00 Encuesta'!$C$2:$C$511,"*a)*",'00 Encuesta'!$E$2:$E$511,"*b)*",'00 Encuesta'!$AA$2:$AA$511,"*a)*")</f>
        <v>0</v>
      </c>
      <c r="L209" s="52">
        <f>K209/$J$7*100</f>
        <v>0</v>
      </c>
      <c r="M209" s="23"/>
      <c r="N209" s="51">
        <f>P209+R209</f>
        <v>4</v>
      </c>
      <c r="O209" s="52">
        <f>N209/$Q$5*100</f>
        <v>12.5</v>
      </c>
      <c r="P209" s="53">
        <f>COUNTIFS('00 Encuesta'!$B$2:$B$511,"*b)*",'00 Encuesta'!$C$2:$C$511,"*b)*",'00 Encuesta'!$E$2:$E$511,"*a)*",'00 Encuesta'!$AA$2:$AA$511,"*a)*")</f>
        <v>3</v>
      </c>
      <c r="Q209" s="52">
        <f>P209/$Q$6*100</f>
        <v>17.647058823529413</v>
      </c>
      <c r="R209" s="53">
        <f>COUNTIFS('00 Encuesta'!$B$2:$B$511,"*b)*",'00 Encuesta'!$C$2:$C$511,"*b)*",'00 Encuesta'!$E$2:$E$511,"*b)*",'00 Encuesta'!$AA$2:$AA$511,"*a)*")</f>
        <v>1</v>
      </c>
      <c r="S209" s="52">
        <f>R209/$Q$7*100</f>
        <v>6.666666666666667</v>
      </c>
      <c r="T209" s="3"/>
      <c r="U209" s="51">
        <f>W209+Y209</f>
        <v>0</v>
      </c>
      <c r="V209" s="52" t="e">
        <f>U209/$X$5*100</f>
        <v>#DIV/0!</v>
      </c>
      <c r="W209" s="53">
        <f>COUNTIFS('00 Encuesta'!$B$2:$B$511,"*b)*",'00 Encuesta'!$C$2:$C$511,"*d)*",'00 Encuesta'!$E$2:$E$511,"*a)*",'00 Encuesta'!$AA$2:$AA$511,"*a)*")</f>
        <v>0</v>
      </c>
      <c r="X209" s="52" t="e">
        <f>W209/$X$6*100</f>
        <v>#DIV/0!</v>
      </c>
      <c r="Y209" s="53">
        <f>COUNTIFS('00 Encuesta'!$B$2:$B$511,"*b)*",'00 Encuesta'!$C$2:$C$511,"*d)*",'00 Encuesta'!$E$2:$E$511,"*b)*",'00 Encuesta'!$AA$2:$AA$511,"*a)*")</f>
        <v>0</v>
      </c>
      <c r="Z209" s="52" t="e">
        <f>Y209/$X$7*100</f>
        <v>#DIV/0!</v>
      </c>
      <c r="AA209" s="3"/>
      <c r="AB209" s="62">
        <f>G209+N209+U209</f>
        <v>6</v>
      </c>
      <c r="AC209" s="52">
        <f>AB209*100/$AC$5</f>
        <v>8.5714285714285712</v>
      </c>
      <c r="AD209" s="3"/>
      <c r="AE209" s="3"/>
      <c r="AF209" s="9" t="str">
        <f>A209&amp;" "&amp;B209</f>
        <v>a) Si</v>
      </c>
      <c r="AG209" s="72">
        <f>J209</f>
        <v>9.5238095238095237</v>
      </c>
      <c r="AH209" s="72">
        <f>L209</f>
        <v>0</v>
      </c>
      <c r="AI209" s="73">
        <f>H209</f>
        <v>5.2631578947368416</v>
      </c>
      <c r="AJ209" s="73"/>
      <c r="AK209" s="76">
        <f>Q209</f>
        <v>17.647058823529413</v>
      </c>
      <c r="AL209" s="76">
        <f>S209</f>
        <v>6.666666666666667</v>
      </c>
      <c r="AM209" s="76">
        <f>O209</f>
        <v>12.5</v>
      </c>
      <c r="AN209" s="76"/>
      <c r="AO209" s="81" t="e">
        <f>X209</f>
        <v>#DIV/0!</v>
      </c>
      <c r="AP209" s="81" t="e">
        <f>Z209</f>
        <v>#DIV/0!</v>
      </c>
      <c r="AQ209" s="81" t="e">
        <f>V209</f>
        <v>#DIV/0!</v>
      </c>
      <c r="AR209" s="3"/>
      <c r="AS209" s="76">
        <f t="shared" ref="AS209:AS270" si="227">AC209</f>
        <v>8.5714285714285712</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ht="15" x14ac:dyDescent="0.25">
      <c r="A210" s="8" t="s">
        <v>18</v>
      </c>
      <c r="B210" s="9" t="s">
        <v>50</v>
      </c>
      <c r="C210" s="7"/>
      <c r="D210" s="7"/>
      <c r="E210" s="7"/>
      <c r="F210" s="71"/>
      <c r="G210" s="51">
        <f>I210+K210</f>
        <v>30</v>
      </c>
      <c r="H210" s="52">
        <f>G210/$J$5*100</f>
        <v>78.94736842105263</v>
      </c>
      <c r="I210" s="53">
        <f>COUNTIFS('00 Encuesta'!$B$2:$B$511,"*b)*",'00 Encuesta'!$C$2:$C$511,"*a)*",'00 Encuesta'!$E$2:$E$511,"*a)*",'00 Encuesta'!$AA$2:$AA$511,"*b)*")</f>
        <v>14</v>
      </c>
      <c r="J210" s="52">
        <f>I210/$J$6*100</f>
        <v>66.666666666666657</v>
      </c>
      <c r="K210" s="53">
        <f>COUNTIFS('00 Encuesta'!$B$2:$B$511,"*b)*",'00 Encuesta'!$C$2:$C$511,"*a)*",'00 Encuesta'!$E$2:$E$511,"*b)*",'00 Encuesta'!$AA$2:$AA$511,"*b)*")</f>
        <v>16</v>
      </c>
      <c r="L210" s="52">
        <f>K210/$J$7*100</f>
        <v>94.117647058823522</v>
      </c>
      <c r="M210" s="23"/>
      <c r="N210" s="51">
        <f>P210+R210</f>
        <v>22</v>
      </c>
      <c r="O210" s="52">
        <f>N210/$Q$5*100</f>
        <v>68.75</v>
      </c>
      <c r="P210" s="53">
        <f>COUNTIFS('00 Encuesta'!$B$2:$B$511,"*b)*",'00 Encuesta'!$C$2:$C$511,"*b)*",'00 Encuesta'!$E$2:$E$511,"*a)*",'00 Encuesta'!$AA$2:$AA$511,"*b)*")</f>
        <v>11</v>
      </c>
      <c r="Q210" s="52">
        <f>P210/$Q$6*100</f>
        <v>64.705882352941174</v>
      </c>
      <c r="R210" s="53">
        <f>COUNTIFS('00 Encuesta'!$B$2:$B$511,"*b)*",'00 Encuesta'!$C$2:$C$511,"*b)*",'00 Encuesta'!$E$2:$E$511,"*b)*",'00 Encuesta'!$AA$2:$AA$511,"*b)*")</f>
        <v>11</v>
      </c>
      <c r="S210" s="52">
        <f>R210/$Q$7*100</f>
        <v>73.333333333333329</v>
      </c>
      <c r="T210" s="3"/>
      <c r="U210" s="51">
        <f>W210+Y210</f>
        <v>0</v>
      </c>
      <c r="V210" s="52" t="e">
        <f>U210/$X$5*100</f>
        <v>#DIV/0!</v>
      </c>
      <c r="W210" s="53">
        <f>COUNTIFS('00 Encuesta'!$B$2:$B$511,"*b)*",'00 Encuesta'!$C$2:$C$511,"*d)*",'00 Encuesta'!$E$2:$E$511,"*a)*",'00 Encuesta'!$AA$2:$AA$511,"*b)*")</f>
        <v>0</v>
      </c>
      <c r="X210" s="52" t="e">
        <f>W210/$X$6*100</f>
        <v>#DIV/0!</v>
      </c>
      <c r="Y210" s="53">
        <f>COUNTIFS('00 Encuesta'!$B$2:$B$511,"*b)*",'00 Encuesta'!$C$2:$C$511,"*d)*",'00 Encuesta'!$E$2:$E$511,"*b)*",'00 Encuesta'!$AA$2:$AA$511,"*b)*")</f>
        <v>0</v>
      </c>
      <c r="Z210" s="52" t="e">
        <f>Y210/$X$7*100</f>
        <v>#DIV/0!</v>
      </c>
      <c r="AA210" s="3"/>
      <c r="AB210" s="62">
        <f>G210+N210+U210</f>
        <v>52</v>
      </c>
      <c r="AC210" s="52">
        <f>AB210*100/$AC$5</f>
        <v>74.285714285714292</v>
      </c>
      <c r="AD210" s="3"/>
      <c r="AE210" s="3"/>
      <c r="AF210" s="9" t="str">
        <f>A210&amp;" "&amp;B210</f>
        <v>b) No</v>
      </c>
      <c r="AG210" s="72">
        <f>J210</f>
        <v>66.666666666666657</v>
      </c>
      <c r="AH210" s="72">
        <f>L210</f>
        <v>94.117647058823522</v>
      </c>
      <c r="AI210" s="73">
        <f>H210</f>
        <v>78.94736842105263</v>
      </c>
      <c r="AJ210" s="73"/>
      <c r="AK210" s="76">
        <f>Q210</f>
        <v>64.705882352941174</v>
      </c>
      <c r="AL210" s="76">
        <f>S210</f>
        <v>73.333333333333329</v>
      </c>
      <c r="AM210" s="76">
        <f>O210</f>
        <v>68.75</v>
      </c>
      <c r="AN210" s="76"/>
      <c r="AO210" s="81" t="e">
        <f>X210</f>
        <v>#DIV/0!</v>
      </c>
      <c r="AP210" s="81" t="e">
        <f>Z210</f>
        <v>#DIV/0!</v>
      </c>
      <c r="AQ210" s="81" t="e">
        <f>V210</f>
        <v>#DIV/0!</v>
      </c>
      <c r="AR210" s="3"/>
      <c r="AS210" s="76">
        <f t="shared" si="227"/>
        <v>74.285714285714292</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ht="15" x14ac:dyDescent="0.25">
      <c r="A211" s="8" t="s">
        <v>20</v>
      </c>
      <c r="B211" s="9" t="s">
        <v>51</v>
      </c>
      <c r="C211" s="7"/>
      <c r="D211" s="7"/>
      <c r="E211" s="7"/>
      <c r="F211" s="71"/>
      <c r="G211" s="51">
        <f>I211+K211</f>
        <v>2</v>
      </c>
      <c r="H211" s="52">
        <f>G211/$J$5*100</f>
        <v>5.2631578947368416</v>
      </c>
      <c r="I211" s="53">
        <f>COUNTIFS('00 Encuesta'!$B$2:$B$511,"*b)*",'00 Encuesta'!$C$2:$C$511,"*a)*",'00 Encuesta'!$E$2:$E$511,"*a)*",'00 Encuesta'!$AA$2:$AA$511,"*c)*")</f>
        <v>2</v>
      </c>
      <c r="J211" s="52">
        <f>I211/$J$6*100</f>
        <v>9.5238095238095237</v>
      </c>
      <c r="K211" s="53">
        <f>COUNTIFS('00 Encuesta'!$B$2:$B$511,"*b)*",'00 Encuesta'!$C$2:$C$511,"*a)*",'00 Encuesta'!$E$2:$E$511,"*b)*",'00 Encuesta'!$AA$2:$AA$511,"*c)*")</f>
        <v>0</v>
      </c>
      <c r="L211" s="52">
        <f>K211/$J$7*100</f>
        <v>0</v>
      </c>
      <c r="M211" s="23"/>
      <c r="N211" s="51">
        <f>P211+R211</f>
        <v>4</v>
      </c>
      <c r="O211" s="52">
        <f>N211/$Q$5*100</f>
        <v>12.5</v>
      </c>
      <c r="P211" s="53">
        <f>COUNTIFS('00 Encuesta'!$B$2:$B$511,"*b)*",'00 Encuesta'!$C$2:$C$511,"*b)*",'00 Encuesta'!$E$2:$E$511,"*a)*",'00 Encuesta'!$AA$2:$AA$511,"*c)*")</f>
        <v>1</v>
      </c>
      <c r="Q211" s="52">
        <f>P211/$Q$6*100</f>
        <v>5.8823529411764701</v>
      </c>
      <c r="R211" s="53">
        <f>COUNTIFS('00 Encuesta'!$B$2:$B$511,"*b)*",'00 Encuesta'!$C$2:$C$511,"*b)*",'00 Encuesta'!$E$2:$E$511,"*b)*",'00 Encuesta'!$AA$2:$AA$511,"*c)*")</f>
        <v>3</v>
      </c>
      <c r="S211" s="52">
        <f>R211/$Q$7*100</f>
        <v>20</v>
      </c>
      <c r="T211" s="3"/>
      <c r="U211" s="51">
        <f>W211+Y211</f>
        <v>0</v>
      </c>
      <c r="V211" s="52" t="e">
        <f>U211/$X$5*100</f>
        <v>#DIV/0!</v>
      </c>
      <c r="W211" s="53">
        <f>COUNTIFS('00 Encuesta'!$B$2:$B$511,"*b)*",'00 Encuesta'!$C$2:$C$511,"*d)*",'00 Encuesta'!$E$2:$E$511,"*a)*",'00 Encuesta'!$AA$2:$AA$511,"*c)*")</f>
        <v>0</v>
      </c>
      <c r="X211" s="52" t="e">
        <f>W211/$X$6*100</f>
        <v>#DIV/0!</v>
      </c>
      <c r="Y211" s="53">
        <f>COUNTIFS('00 Encuesta'!$B$2:$B$511,"*b)*",'00 Encuesta'!$C$2:$C$511,"*d)*",'00 Encuesta'!$E$2:$E$511,"*b)*",'00 Encuesta'!$AA$2:$AA$511,"*c)*")</f>
        <v>0</v>
      </c>
      <c r="Z211" s="52" t="e">
        <f>Y211/$X$7*100</f>
        <v>#DIV/0!</v>
      </c>
      <c r="AA211" s="3"/>
      <c r="AB211" s="62">
        <f>G211+N211+U211</f>
        <v>6</v>
      </c>
      <c r="AC211" s="52">
        <f>AB211*100/$AC$5</f>
        <v>8.5714285714285712</v>
      </c>
      <c r="AD211" s="3"/>
      <c r="AE211" s="3"/>
      <c r="AF211" s="9" t="str">
        <f>A211&amp;" "&amp;B211</f>
        <v>c) Algo</v>
      </c>
      <c r="AG211" s="72">
        <f>J211</f>
        <v>9.5238095238095237</v>
      </c>
      <c r="AH211" s="72">
        <f>L211</f>
        <v>0</v>
      </c>
      <c r="AI211" s="73">
        <f>H211</f>
        <v>5.2631578947368416</v>
      </c>
      <c r="AJ211" s="73"/>
      <c r="AK211" s="76">
        <f>Q211</f>
        <v>5.8823529411764701</v>
      </c>
      <c r="AL211" s="76">
        <f>S211</f>
        <v>20</v>
      </c>
      <c r="AM211" s="76">
        <f>O211</f>
        <v>12.5</v>
      </c>
      <c r="AN211" s="76"/>
      <c r="AO211" s="81" t="e">
        <f>X211</f>
        <v>#DIV/0!</v>
      </c>
      <c r="AP211" s="81" t="e">
        <f>Z211</f>
        <v>#DIV/0!</v>
      </c>
      <c r="AQ211" s="81" t="e">
        <f>V211</f>
        <v>#DIV/0!</v>
      </c>
      <c r="AR211" s="3"/>
      <c r="AS211" s="76">
        <f t="shared" si="227"/>
        <v>8.5714285714285712</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ht="15" x14ac:dyDescent="0.25">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f>N212/$Q$5*100</f>
        <v>0</v>
      </c>
      <c r="P212" s="53"/>
      <c r="Q212" s="52">
        <f>P212/$Q$6*100</f>
        <v>0</v>
      </c>
      <c r="R212" s="53"/>
      <c r="S212" s="52">
        <f>R212/$Q$7*100</f>
        <v>0</v>
      </c>
      <c r="T212" s="3"/>
      <c r="U212" s="51">
        <f>W212+Y212</f>
        <v>0</v>
      </c>
      <c r="V212" s="52" t="e">
        <f>U212/$X$5*100</f>
        <v>#DIV/0!</v>
      </c>
      <c r="W212" s="53"/>
      <c r="X212" s="52" t="e">
        <f>W212/$X$6*100</f>
        <v>#DIV/0!</v>
      </c>
      <c r="Y212" s="53"/>
      <c r="Z212" s="52" t="e">
        <f>Y212/$X$7*100</f>
        <v>#DIV/0!</v>
      </c>
      <c r="AA212" s="3"/>
      <c r="AB212" s="62">
        <f>G212+N212+U212</f>
        <v>0</v>
      </c>
      <c r="AC212" s="52">
        <f>AB212*100/$AC$5</f>
        <v>0</v>
      </c>
      <c r="AD212" s="3"/>
      <c r="AE212" s="3"/>
      <c r="AF212" s="9" t="str">
        <f>A212&amp;" "&amp;B212</f>
        <v>S/R Sin Respuesta</v>
      </c>
      <c r="AG212" s="72">
        <f>J212</f>
        <v>0</v>
      </c>
      <c r="AH212" s="72">
        <f>L212</f>
        <v>0</v>
      </c>
      <c r="AI212" s="73">
        <f>H212</f>
        <v>0</v>
      </c>
      <c r="AJ212" s="73"/>
      <c r="AK212" s="76">
        <f>Q212</f>
        <v>0</v>
      </c>
      <c r="AL212" s="76">
        <f>S212</f>
        <v>0</v>
      </c>
      <c r="AM212" s="76">
        <f>O212</f>
        <v>0</v>
      </c>
      <c r="AN212" s="76"/>
      <c r="AO212" s="81" t="e">
        <f>X212</f>
        <v>#DIV/0!</v>
      </c>
      <c r="AP212" s="81" t="e">
        <f>Z212</f>
        <v>#DIV/0!</v>
      </c>
      <c r="AQ212" s="81" t="e">
        <f>V212</f>
        <v>#DIV/0!</v>
      </c>
      <c r="AR212" s="3"/>
      <c r="AS212" s="76">
        <f t="shared" si="227"/>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ht="15" x14ac:dyDescent="0.25">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ht="15" x14ac:dyDescent="0.25">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ht="15" x14ac:dyDescent="0.25">
      <c r="A215" s="8" t="s">
        <v>17</v>
      </c>
      <c r="B215" s="9" t="s">
        <v>49</v>
      </c>
      <c r="C215" s="7"/>
      <c r="D215" s="7"/>
      <c r="E215" s="7"/>
      <c r="F215" s="71"/>
      <c r="G215" s="51">
        <f>I215+K215</f>
        <v>1</v>
      </c>
      <c r="H215" s="52">
        <f>G215/$J$5*100</f>
        <v>2.6315789473684208</v>
      </c>
      <c r="I215" s="53">
        <f>COUNTIFS('00 Encuesta'!$B$2:$B$511,"*b)*",'00 Encuesta'!$C$2:$C$511,"*a)*",'00 Encuesta'!$E$2:$E$511,"*a)*",'00 Encuesta'!$AB$2:$AB$511,"*a)*")</f>
        <v>1</v>
      </c>
      <c r="J215" s="52">
        <f>I215/$J$6*100</f>
        <v>4.7619047619047619</v>
      </c>
      <c r="K215" s="53">
        <f>COUNTIFS('00 Encuesta'!$B$2:$B$511,"*b)*",'00 Encuesta'!$C$2:$C$511,"*a)*",'00 Encuesta'!$E$2:$E$511,"*b)*",'00 Encuesta'!$AB$2:$AB$511,"*a)*")</f>
        <v>0</v>
      </c>
      <c r="L215" s="52">
        <f>K215/$J$7*100</f>
        <v>0</v>
      </c>
      <c r="M215" s="23"/>
      <c r="N215" s="51">
        <f>P215+R215</f>
        <v>0</v>
      </c>
      <c r="O215" s="52">
        <f>N215/$Q$5*100</f>
        <v>0</v>
      </c>
      <c r="P215" s="53">
        <f>COUNTIFS('00 Encuesta'!$B$2:$B$511,"*b)*",'00 Encuesta'!$C$2:$C$511,"*b)*",'00 Encuesta'!$E$2:$E$511,"*a)*",'00 Encuesta'!$AB$2:$AB$511,"*a)*")</f>
        <v>0</v>
      </c>
      <c r="Q215" s="52">
        <f>P215/$Q$6*100</f>
        <v>0</v>
      </c>
      <c r="R215" s="53">
        <f>COUNTIFS('00 Encuesta'!$B$2:$B$511,"*b)*",'00 Encuesta'!$C$2:$C$511,"*b)*",'00 Encuesta'!$E$2:$E$511,"*b)*",'00 Encuesta'!$AB$2:$AB$511,"*a)*")</f>
        <v>0</v>
      </c>
      <c r="S215" s="52">
        <f>R215/$Q$7*100</f>
        <v>0</v>
      </c>
      <c r="T215" s="3"/>
      <c r="U215" s="51">
        <f>W215+Y215</f>
        <v>0</v>
      </c>
      <c r="V215" s="52" t="e">
        <f>U215/$X$5*100</f>
        <v>#DIV/0!</v>
      </c>
      <c r="W215" s="53">
        <f>COUNTIFS('00 Encuesta'!$B$2:$B$511,"*b)*",'00 Encuesta'!$C$2:$C$511,"*d)*",'00 Encuesta'!$E$2:$E$511,"*a)*",'00 Encuesta'!$AB$2:$AB$511,"*a)*")</f>
        <v>0</v>
      </c>
      <c r="X215" s="52" t="e">
        <f>W215/$X$6*100</f>
        <v>#DIV/0!</v>
      </c>
      <c r="Y215" s="53">
        <f>COUNTIFS('00 Encuesta'!$B$2:$B$511,"*b)*",'00 Encuesta'!$C$2:$C$511,"*d)*",'00 Encuesta'!$E$2:$E$511,"*b)*",'00 Encuesta'!$AB$2:$AB$511,"*a)*")</f>
        <v>0</v>
      </c>
      <c r="Z215" s="52" t="e">
        <f>Y215/$X$7*100</f>
        <v>#DIV/0!</v>
      </c>
      <c r="AA215" s="3"/>
      <c r="AB215" s="62">
        <f>G215+N215+U215</f>
        <v>1</v>
      </c>
      <c r="AC215" s="52">
        <f>AB215*100/$AC$5</f>
        <v>1.4285714285714286</v>
      </c>
      <c r="AD215" s="3"/>
      <c r="AE215" s="3"/>
      <c r="AF215" s="9" t="str">
        <f>A215&amp;" "&amp;B215</f>
        <v>a) Si</v>
      </c>
      <c r="AG215" s="72">
        <f>J215</f>
        <v>4.7619047619047619</v>
      </c>
      <c r="AH215" s="72">
        <f>L215</f>
        <v>0</v>
      </c>
      <c r="AI215" s="73">
        <f>H215</f>
        <v>2.6315789473684208</v>
      </c>
      <c r="AJ215" s="73"/>
      <c r="AK215" s="76">
        <f>Q215</f>
        <v>0</v>
      </c>
      <c r="AL215" s="76">
        <f>S215</f>
        <v>0</v>
      </c>
      <c r="AM215" s="76">
        <f>O215</f>
        <v>0</v>
      </c>
      <c r="AN215" s="76"/>
      <c r="AO215" s="81" t="e">
        <f>X215</f>
        <v>#DIV/0!</v>
      </c>
      <c r="AP215" s="81" t="e">
        <f>Z215</f>
        <v>#DIV/0!</v>
      </c>
      <c r="AQ215" s="81" t="e">
        <f>V215</f>
        <v>#DIV/0!</v>
      </c>
      <c r="AR215" s="3"/>
      <c r="AS215" s="76">
        <f t="shared" si="227"/>
        <v>1.4285714285714286</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ht="15" x14ac:dyDescent="0.25">
      <c r="A216" s="8" t="s">
        <v>18</v>
      </c>
      <c r="B216" s="9" t="s">
        <v>50</v>
      </c>
      <c r="C216" s="7"/>
      <c r="D216" s="7"/>
      <c r="E216" s="7"/>
      <c r="F216" s="71"/>
      <c r="G216" s="51">
        <f>I216+K216</f>
        <v>30</v>
      </c>
      <c r="H216" s="52">
        <f>G216/$J$5*100</f>
        <v>78.94736842105263</v>
      </c>
      <c r="I216" s="53">
        <f>COUNTIFS('00 Encuesta'!$B$2:$B$511,"*b)*",'00 Encuesta'!$C$2:$C$511,"*a)*",'00 Encuesta'!$E$2:$E$511,"*a)*",'00 Encuesta'!$AB$2:$AB$511,"*b)*")</f>
        <v>14</v>
      </c>
      <c r="J216" s="52">
        <f>I216/$J$6*100</f>
        <v>66.666666666666657</v>
      </c>
      <c r="K216" s="53">
        <f>COUNTIFS('00 Encuesta'!$B$2:$B$511,"*b)*",'00 Encuesta'!$C$2:$C$511,"*a)*",'00 Encuesta'!$E$2:$E$511,"*b)*",'00 Encuesta'!$AB$2:$AB$511,"*b)*")</f>
        <v>16</v>
      </c>
      <c r="L216" s="52">
        <f>K216/$J$7*100</f>
        <v>94.117647058823522</v>
      </c>
      <c r="M216" s="23"/>
      <c r="N216" s="51">
        <f>P216+R216</f>
        <v>29</v>
      </c>
      <c r="O216" s="52">
        <f>N216/$Q$5*100</f>
        <v>90.625</v>
      </c>
      <c r="P216" s="53">
        <f>COUNTIFS('00 Encuesta'!$B$2:$B$511,"*b)*",'00 Encuesta'!$C$2:$C$511,"*b)*",'00 Encuesta'!$E$2:$E$511,"*a)*",'00 Encuesta'!$AB$2:$AB$511,"*b)*")</f>
        <v>15</v>
      </c>
      <c r="Q216" s="52">
        <f>P216/$Q$6*100</f>
        <v>88.235294117647058</v>
      </c>
      <c r="R216" s="53">
        <f>COUNTIFS('00 Encuesta'!$B$2:$B$511,"*b)*",'00 Encuesta'!$C$2:$C$511,"*b)*",'00 Encuesta'!$E$2:$E$511,"*b)*",'00 Encuesta'!$AB$2:$AB$511,"*b)*")</f>
        <v>14</v>
      </c>
      <c r="S216" s="52">
        <f>R216/$Q$7*100</f>
        <v>93.333333333333329</v>
      </c>
      <c r="T216" s="3"/>
      <c r="U216" s="51">
        <f>W216+Y216</f>
        <v>0</v>
      </c>
      <c r="V216" s="52" t="e">
        <f>U216/$X$5*100</f>
        <v>#DIV/0!</v>
      </c>
      <c r="W216" s="53">
        <f>COUNTIFS('00 Encuesta'!$B$2:$B$511,"*b)*",'00 Encuesta'!$C$2:$C$511,"*d)*",'00 Encuesta'!$E$2:$E$511,"*a)*",'00 Encuesta'!$AB$2:$AB$511,"*b)*")</f>
        <v>0</v>
      </c>
      <c r="X216" s="52" t="e">
        <f>W216/$X$6*100</f>
        <v>#DIV/0!</v>
      </c>
      <c r="Y216" s="53">
        <f>COUNTIFS('00 Encuesta'!$B$2:$B$511,"*b)*",'00 Encuesta'!$C$2:$C$511,"*d)*",'00 Encuesta'!$E$2:$E$511,"*b)*",'00 Encuesta'!$AB$2:$AB$511,"*b)*")</f>
        <v>0</v>
      </c>
      <c r="Z216" s="52" t="e">
        <f>Y216/$X$7*100</f>
        <v>#DIV/0!</v>
      </c>
      <c r="AA216" s="3"/>
      <c r="AB216" s="62">
        <f>G216+N216+U216</f>
        <v>59</v>
      </c>
      <c r="AC216" s="52">
        <f>AB216*100/$AC$5</f>
        <v>84.285714285714292</v>
      </c>
      <c r="AD216" s="3"/>
      <c r="AE216" s="3"/>
      <c r="AF216" s="9" t="str">
        <f>A216&amp;" "&amp;B216</f>
        <v>b) No</v>
      </c>
      <c r="AG216" s="72">
        <f>J216</f>
        <v>66.666666666666657</v>
      </c>
      <c r="AH216" s="72">
        <f>L216</f>
        <v>94.117647058823522</v>
      </c>
      <c r="AI216" s="73">
        <f>H216</f>
        <v>78.94736842105263</v>
      </c>
      <c r="AJ216" s="73"/>
      <c r="AK216" s="76">
        <f>Q216</f>
        <v>88.235294117647058</v>
      </c>
      <c r="AL216" s="76">
        <f>S216</f>
        <v>93.333333333333329</v>
      </c>
      <c r="AM216" s="76">
        <f>O216</f>
        <v>90.625</v>
      </c>
      <c r="AN216" s="76"/>
      <c r="AO216" s="81" t="e">
        <f>X216</f>
        <v>#DIV/0!</v>
      </c>
      <c r="AP216" s="81" t="e">
        <f>Z216</f>
        <v>#DIV/0!</v>
      </c>
      <c r="AQ216" s="81" t="e">
        <f>V216</f>
        <v>#DIV/0!</v>
      </c>
      <c r="AR216" s="3"/>
      <c r="AS216" s="76">
        <f t="shared" si="227"/>
        <v>84.285714285714292</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ht="15" x14ac:dyDescent="0.25">
      <c r="A217" s="8" t="s">
        <v>20</v>
      </c>
      <c r="B217" s="9" t="s">
        <v>51</v>
      </c>
      <c r="C217" s="7"/>
      <c r="D217" s="7"/>
      <c r="E217" s="7"/>
      <c r="F217" s="71"/>
      <c r="G217" s="51">
        <f>I217+K217</f>
        <v>1</v>
      </c>
      <c r="H217" s="52">
        <f>G217/$J$5*100</f>
        <v>2.6315789473684208</v>
      </c>
      <c r="I217" s="53">
        <f>COUNTIFS('00 Encuesta'!$B$2:$B$511,"*b)*",'00 Encuesta'!$C$2:$C$511,"*a)*",'00 Encuesta'!$E$2:$E$511,"*a)*",'00 Encuesta'!$AB$2:$AB$511,"*c)*")</f>
        <v>1</v>
      </c>
      <c r="J217" s="52">
        <f>I217/$J$6*100</f>
        <v>4.7619047619047619</v>
      </c>
      <c r="K217" s="53">
        <f>COUNTIFS('00 Encuesta'!$B$2:$B$511,"*b)*",'00 Encuesta'!$C$2:$C$511,"*a)*",'00 Encuesta'!$E$2:$E$511,"*b)*",'00 Encuesta'!$AB$2:$AB$511,"*c)*")</f>
        <v>0</v>
      </c>
      <c r="L217" s="52">
        <f>K217/$J$7*100</f>
        <v>0</v>
      </c>
      <c r="M217" s="23"/>
      <c r="N217" s="51">
        <f>P217+R217</f>
        <v>1</v>
      </c>
      <c r="O217" s="52">
        <f>N217/$Q$5*100</f>
        <v>3.125</v>
      </c>
      <c r="P217" s="53">
        <f>COUNTIFS('00 Encuesta'!$B$2:$B$511,"*b)*",'00 Encuesta'!$C$2:$C$511,"*b)*",'00 Encuesta'!$E$2:$E$511,"*a)*",'00 Encuesta'!$AB$2:$AB$511,"*c)*")</f>
        <v>0</v>
      </c>
      <c r="Q217" s="52">
        <f>P217/$Q$6*100</f>
        <v>0</v>
      </c>
      <c r="R217" s="53">
        <f>COUNTIFS('00 Encuesta'!$B$2:$B$511,"*b)*",'00 Encuesta'!$C$2:$C$511,"*b)*",'00 Encuesta'!$E$2:$E$511,"*b)*",'00 Encuesta'!$AB$2:$AB$511,"*c)*")</f>
        <v>1</v>
      </c>
      <c r="S217" s="52">
        <f>R217/$Q$7*100</f>
        <v>6.666666666666667</v>
      </c>
      <c r="T217" s="3"/>
      <c r="U217" s="51">
        <f>W217+Y217</f>
        <v>0</v>
      </c>
      <c r="V217" s="52" t="e">
        <f>U217/$X$5*100</f>
        <v>#DIV/0!</v>
      </c>
      <c r="W217" s="53">
        <f>COUNTIFS('00 Encuesta'!$B$2:$B$511,"*b)*",'00 Encuesta'!$C$2:$C$511,"*d)*",'00 Encuesta'!$E$2:$E$511,"*a)*",'00 Encuesta'!$AB$2:$AB$511,"*c)*")</f>
        <v>0</v>
      </c>
      <c r="X217" s="52" t="e">
        <f>W217/$X$6*100</f>
        <v>#DIV/0!</v>
      </c>
      <c r="Y217" s="53">
        <f>COUNTIFS('00 Encuesta'!$B$2:$B$511,"*b)*",'00 Encuesta'!$C$2:$C$511,"*d)*",'00 Encuesta'!$E$2:$E$511,"*b)*",'00 Encuesta'!$AB$2:$AB$511,"*c)*")</f>
        <v>0</v>
      </c>
      <c r="Z217" s="52" t="e">
        <f>Y217/$X$7*100</f>
        <v>#DIV/0!</v>
      </c>
      <c r="AA217" s="3"/>
      <c r="AB217" s="62">
        <f>G217+N217+U217</f>
        <v>2</v>
      </c>
      <c r="AC217" s="52">
        <f>AB217*100/$AC$5</f>
        <v>2.8571428571428572</v>
      </c>
      <c r="AD217" s="3"/>
      <c r="AE217" s="3"/>
      <c r="AF217" s="9" t="str">
        <f>A217&amp;" "&amp;B217</f>
        <v>c) Algo</v>
      </c>
      <c r="AG217" s="72">
        <f>J217</f>
        <v>4.7619047619047619</v>
      </c>
      <c r="AH217" s="72">
        <f>L217</f>
        <v>0</v>
      </c>
      <c r="AI217" s="73">
        <f>H217</f>
        <v>2.6315789473684208</v>
      </c>
      <c r="AJ217" s="73"/>
      <c r="AK217" s="76">
        <f>Q217</f>
        <v>0</v>
      </c>
      <c r="AL217" s="76">
        <f>S217</f>
        <v>6.666666666666667</v>
      </c>
      <c r="AM217" s="76">
        <f>O217</f>
        <v>3.125</v>
      </c>
      <c r="AN217" s="76"/>
      <c r="AO217" s="81" t="e">
        <f>X217</f>
        <v>#DIV/0!</v>
      </c>
      <c r="AP217" s="81" t="e">
        <f>Z217</f>
        <v>#DIV/0!</v>
      </c>
      <c r="AQ217" s="81" t="e">
        <f>V217</f>
        <v>#DIV/0!</v>
      </c>
      <c r="AR217" s="3"/>
      <c r="AS217" s="76">
        <f t="shared" si="227"/>
        <v>2.8571428571428572</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ht="15" x14ac:dyDescent="0.25">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f>N218/$Q$5*100</f>
        <v>0</v>
      </c>
      <c r="P218" s="53"/>
      <c r="Q218" s="52">
        <f>P218/$Q$6*100</f>
        <v>0</v>
      </c>
      <c r="R218" s="53"/>
      <c r="S218" s="52">
        <f>R218/$Q$7*100</f>
        <v>0</v>
      </c>
      <c r="T218" s="3"/>
      <c r="U218" s="51">
        <f>W218+Y218</f>
        <v>0</v>
      </c>
      <c r="V218" s="52" t="e">
        <f>U218/$X$5*100</f>
        <v>#DIV/0!</v>
      </c>
      <c r="W218" s="53"/>
      <c r="X218" s="52" t="e">
        <f>W218/$X$6*100</f>
        <v>#DIV/0!</v>
      </c>
      <c r="Y218" s="53"/>
      <c r="Z218" s="52" t="e">
        <f>Y218/$X$7*100</f>
        <v>#DIV/0!</v>
      </c>
      <c r="AA218" s="3"/>
      <c r="AB218" s="62">
        <f>G218+N218+U218</f>
        <v>0</v>
      </c>
      <c r="AC218" s="52">
        <f>AB218*100/$AC$5</f>
        <v>0</v>
      </c>
      <c r="AD218" s="3"/>
      <c r="AE218" s="3"/>
      <c r="AF218" s="9" t="str">
        <f>A218&amp;" "&amp;B218</f>
        <v>S/R Sin respuesta</v>
      </c>
      <c r="AG218" s="72">
        <f>J218</f>
        <v>0</v>
      </c>
      <c r="AH218" s="72">
        <f>L218</f>
        <v>0</v>
      </c>
      <c r="AI218" s="73">
        <f>H218</f>
        <v>0</v>
      </c>
      <c r="AJ218" s="73"/>
      <c r="AK218" s="76">
        <f>Q218</f>
        <v>0</v>
      </c>
      <c r="AL218" s="76">
        <f>S218</f>
        <v>0</v>
      </c>
      <c r="AM218" s="76">
        <f>O218</f>
        <v>0</v>
      </c>
      <c r="AN218" s="76"/>
      <c r="AO218" s="81" t="e">
        <f>X218</f>
        <v>#DIV/0!</v>
      </c>
      <c r="AP218" s="81" t="e">
        <f>Z218</f>
        <v>#DIV/0!</v>
      </c>
      <c r="AQ218" s="81" t="e">
        <f>V218</f>
        <v>#DIV/0!</v>
      </c>
      <c r="AR218" s="3"/>
      <c r="AS218" s="76">
        <f t="shared" si="227"/>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ht="15" x14ac:dyDescent="0.25">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ht="15" x14ac:dyDescent="0.25">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ht="15" x14ac:dyDescent="0.25">
      <c r="A222" s="8" t="s">
        <v>17</v>
      </c>
      <c r="B222" s="9" t="s">
        <v>160</v>
      </c>
      <c r="C222" s="7"/>
      <c r="D222" s="7"/>
      <c r="E222" s="7"/>
      <c r="F222" s="71"/>
      <c r="G222" s="51">
        <f t="shared" ref="G222:G232" si="228">I222+K222</f>
        <v>16</v>
      </c>
      <c r="H222" s="52">
        <f t="shared" ref="H222:H232" si="229">G222/$J$5*100</f>
        <v>42.105263157894733</v>
      </c>
      <c r="I222" s="53">
        <f>COUNTIFS('00 Encuesta'!$B$2:$B$511,"*b)*",'00 Encuesta'!$C$2:$C$511,"*a)*",'00 Encuesta'!$E$2:$E$511,"*a)*",'00 Encuesta'!$AC$2:$AC$511,"*a)*")</f>
        <v>8</v>
      </c>
      <c r="J222" s="52">
        <f t="shared" ref="J222:J232" si="230">I222/$J$6*100</f>
        <v>38.095238095238095</v>
      </c>
      <c r="K222" s="53">
        <f>COUNTIFS('00 Encuesta'!$B$2:$B$511,"*b)*",'00 Encuesta'!$C$2:$C$511,"*a)*",'00 Encuesta'!$E$2:$E$511,"*b)*",'00 Encuesta'!$AC$2:$AC$511,"*a)*")</f>
        <v>8</v>
      </c>
      <c r="L222" s="52">
        <f t="shared" ref="L222:L232" si="231">K222/$J$7*100</f>
        <v>47.058823529411761</v>
      </c>
      <c r="M222" s="23"/>
      <c r="N222" s="51">
        <f t="shared" ref="N222:N232" si="232">P222+R222</f>
        <v>14</v>
      </c>
      <c r="O222" s="52">
        <f t="shared" ref="O222:O232" si="233">N222/$Q$5*100</f>
        <v>43.75</v>
      </c>
      <c r="P222" s="53">
        <f>COUNTIFS('00 Encuesta'!$B$2:$B$511,"*b)*",'00 Encuesta'!$C$2:$C$511,"*b)*",'00 Encuesta'!$E$2:$E$511,"*a)*",'00 Encuesta'!$AC$2:$AC$511,"*a)*")</f>
        <v>4</v>
      </c>
      <c r="Q222" s="52">
        <f t="shared" ref="Q222:Q232" si="234">P222/$Q$6*100</f>
        <v>23.52941176470588</v>
      </c>
      <c r="R222" s="53">
        <f>COUNTIFS('00 Encuesta'!$B$2:$B$511,"*b)*",'00 Encuesta'!$C$2:$C$511,"*b)*",'00 Encuesta'!$E$2:$E$511,"*b)*",'00 Encuesta'!$AC$2:$AC$511,"*a)*")</f>
        <v>10</v>
      </c>
      <c r="S222" s="52">
        <f t="shared" ref="S222:S232" si="235">R222/$Q$7*100</f>
        <v>66.666666666666657</v>
      </c>
      <c r="T222" s="3"/>
      <c r="U222" s="51">
        <f t="shared" ref="U222:U232" si="236">W222+Y222</f>
        <v>0</v>
      </c>
      <c r="V222" s="52" t="e">
        <f t="shared" ref="V222:V232" si="237">U222/$X$5*100</f>
        <v>#DIV/0!</v>
      </c>
      <c r="W222" s="53">
        <f>COUNTIFS('00 Encuesta'!$B$2:$B$511,"*b)*",'00 Encuesta'!$C$2:$C$511,"*d)*",'00 Encuesta'!$E$2:$E$511,"*a)*",'00 Encuesta'!$AC$2:$AC$511,"*a)*")</f>
        <v>0</v>
      </c>
      <c r="X222" s="52" t="e">
        <f t="shared" ref="X222:X232" si="238">W222/$X$6*100</f>
        <v>#DIV/0!</v>
      </c>
      <c r="Y222" s="53">
        <f>COUNTIFS('00 Encuesta'!$B$2:$B$511,"*b)*",'00 Encuesta'!$C$2:$C$511,"*d)*",'00 Encuesta'!$E$2:$E$511,"*b)*",'00 Encuesta'!$AC$2:$AC$511,"*a)*")</f>
        <v>0</v>
      </c>
      <c r="Z222" s="52" t="e">
        <f t="shared" ref="Z222:Z232" si="239">Y222/$X$7*100</f>
        <v>#DIV/0!</v>
      </c>
      <c r="AA222" s="3"/>
      <c r="AB222" s="62">
        <f t="shared" ref="AB222:AB232" si="240">G222+N222+U222</f>
        <v>30</v>
      </c>
      <c r="AC222" s="52">
        <f t="shared" ref="AC222:AC232" si="241">AB222*100/$AC$5</f>
        <v>42.857142857142854</v>
      </c>
      <c r="AD222" s="3"/>
      <c r="AE222" s="3"/>
      <c r="AF222" s="9" t="str">
        <f t="shared" ref="AF222:AF232" si="242">A222&amp;" "&amp;B222</f>
        <v>a) Medicina</v>
      </c>
      <c r="AG222" s="72">
        <f t="shared" ref="AG222:AG232" si="243">J222</f>
        <v>38.095238095238095</v>
      </c>
      <c r="AH222" s="72">
        <f t="shared" ref="AH222:AH232" si="244">L222</f>
        <v>47.058823529411761</v>
      </c>
      <c r="AI222" s="73">
        <f t="shared" ref="AI222:AI232" si="245">H222</f>
        <v>42.105263157894733</v>
      </c>
      <c r="AJ222" s="73"/>
      <c r="AK222" s="76">
        <f t="shared" ref="AK222:AK232" si="246">Q222</f>
        <v>23.52941176470588</v>
      </c>
      <c r="AL222" s="76">
        <f t="shared" ref="AL222:AL232" si="247">S222</f>
        <v>66.666666666666657</v>
      </c>
      <c r="AM222" s="76">
        <f t="shared" ref="AM222:AM232" si="248">O222</f>
        <v>43.75</v>
      </c>
      <c r="AN222" s="76"/>
      <c r="AO222" s="81" t="e">
        <f t="shared" ref="AO222:AO232" si="249">X222</f>
        <v>#DIV/0!</v>
      </c>
      <c r="AP222" s="81" t="e">
        <f t="shared" ref="AP222:AP232" si="250">Z222</f>
        <v>#DIV/0!</v>
      </c>
      <c r="AQ222" s="81" t="e">
        <f t="shared" ref="AQ222:AQ232" si="251">V222</f>
        <v>#DIV/0!</v>
      </c>
      <c r="AR222" s="3"/>
      <c r="AS222" s="76">
        <f t="shared" si="227"/>
        <v>42.857142857142854</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ht="15" x14ac:dyDescent="0.25">
      <c r="A223" s="8" t="s">
        <v>18</v>
      </c>
      <c r="B223" s="9" t="s">
        <v>161</v>
      </c>
      <c r="C223" s="7"/>
      <c r="D223" s="7"/>
      <c r="E223" s="7"/>
      <c r="F223" s="71"/>
      <c r="G223" s="51">
        <f t="shared" si="228"/>
        <v>5</v>
      </c>
      <c r="H223" s="52">
        <f t="shared" si="229"/>
        <v>13.157894736842104</v>
      </c>
      <c r="I223" s="53">
        <f>COUNTIFS('00 Encuesta'!$B$2:$B$511,"*b)*",'00 Encuesta'!$C$2:$C$511,"*a)*",'00 Encuesta'!$E$2:$E$511,"*a)*",'00 Encuesta'!$AC$2:$AC$511,"*b)*")</f>
        <v>4</v>
      </c>
      <c r="J223" s="52">
        <f t="shared" si="230"/>
        <v>19.047619047619047</v>
      </c>
      <c r="K223" s="53">
        <f>COUNTIFS('00 Encuesta'!$B$2:$B$511,"*b)*",'00 Encuesta'!$C$2:$C$511,"*a)*",'00 Encuesta'!$E$2:$E$511,"*b)*",'00 Encuesta'!$AC$2:$AC$511,"*b)*")</f>
        <v>1</v>
      </c>
      <c r="L223" s="52">
        <f t="shared" si="231"/>
        <v>5.8823529411764701</v>
      </c>
      <c r="M223" s="23"/>
      <c r="N223" s="51">
        <f t="shared" si="232"/>
        <v>5</v>
      </c>
      <c r="O223" s="52">
        <f t="shared" si="233"/>
        <v>15.625</v>
      </c>
      <c r="P223" s="53">
        <f>COUNTIFS('00 Encuesta'!$B$2:$B$511,"*b)*",'00 Encuesta'!$C$2:$C$511,"*b)*",'00 Encuesta'!$E$2:$E$511,"*a)*",'00 Encuesta'!$AC$2:$AC$511,"*b)*")</f>
        <v>0</v>
      </c>
      <c r="Q223" s="52">
        <f t="shared" si="234"/>
        <v>0</v>
      </c>
      <c r="R223" s="53">
        <f>COUNTIFS('00 Encuesta'!$B$2:$B$511,"*b)*",'00 Encuesta'!$C$2:$C$511,"*b)*",'00 Encuesta'!$E$2:$E$511,"*b)*",'00 Encuesta'!$AC$2:$AC$511,"*b)*")</f>
        <v>5</v>
      </c>
      <c r="S223" s="52">
        <f t="shared" si="235"/>
        <v>33.333333333333329</v>
      </c>
      <c r="T223" s="3"/>
      <c r="U223" s="51">
        <f t="shared" si="236"/>
        <v>0</v>
      </c>
      <c r="V223" s="52" t="e">
        <f t="shared" si="237"/>
        <v>#DIV/0!</v>
      </c>
      <c r="W223" s="53">
        <f>COUNTIFS('00 Encuesta'!$B$2:$B$511,"*b)*",'00 Encuesta'!$C$2:$C$511,"*d)*",'00 Encuesta'!$E$2:$E$511,"*a)*",'00 Encuesta'!$AC$2:$AC$511,"*b)*")</f>
        <v>0</v>
      </c>
      <c r="X223" s="52" t="e">
        <f t="shared" si="238"/>
        <v>#DIV/0!</v>
      </c>
      <c r="Y223" s="53">
        <f>COUNTIFS('00 Encuesta'!$B$2:$B$511,"*b)*",'00 Encuesta'!$C$2:$C$511,"*d)*",'00 Encuesta'!$E$2:$E$511,"*b)*",'00 Encuesta'!$AC$2:$AC$511,"*b)*")</f>
        <v>0</v>
      </c>
      <c r="Z223" s="52" t="e">
        <f t="shared" si="239"/>
        <v>#DIV/0!</v>
      </c>
      <c r="AA223" s="3"/>
      <c r="AB223" s="62">
        <f t="shared" si="240"/>
        <v>10</v>
      </c>
      <c r="AC223" s="52">
        <f t="shared" si="241"/>
        <v>14.285714285714286</v>
      </c>
      <c r="AD223" s="3"/>
      <c r="AE223" s="3"/>
      <c r="AF223" s="9" t="str">
        <f t="shared" si="242"/>
        <v>b) Docencia</v>
      </c>
      <c r="AG223" s="72">
        <f t="shared" si="243"/>
        <v>19.047619047619047</v>
      </c>
      <c r="AH223" s="72">
        <f t="shared" si="244"/>
        <v>5.8823529411764701</v>
      </c>
      <c r="AI223" s="73">
        <f t="shared" si="245"/>
        <v>13.157894736842104</v>
      </c>
      <c r="AJ223" s="73"/>
      <c r="AK223" s="76">
        <f t="shared" si="246"/>
        <v>0</v>
      </c>
      <c r="AL223" s="76">
        <f t="shared" si="247"/>
        <v>33.333333333333329</v>
      </c>
      <c r="AM223" s="76">
        <f t="shared" si="248"/>
        <v>15.625</v>
      </c>
      <c r="AN223" s="76"/>
      <c r="AO223" s="81" t="e">
        <f t="shared" si="249"/>
        <v>#DIV/0!</v>
      </c>
      <c r="AP223" s="81" t="e">
        <f t="shared" si="250"/>
        <v>#DIV/0!</v>
      </c>
      <c r="AQ223" s="81" t="e">
        <f t="shared" si="251"/>
        <v>#DIV/0!</v>
      </c>
      <c r="AR223" s="3"/>
      <c r="AS223" s="76">
        <f t="shared" si="227"/>
        <v>14.285714285714286</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ht="15" x14ac:dyDescent="0.25">
      <c r="A224" s="8" t="s">
        <v>20</v>
      </c>
      <c r="B224" s="9" t="s">
        <v>162</v>
      </c>
      <c r="C224" s="7"/>
      <c r="D224" s="7"/>
      <c r="E224" s="7"/>
      <c r="F224" s="71"/>
      <c r="G224" s="51">
        <f t="shared" si="228"/>
        <v>0</v>
      </c>
      <c r="H224" s="52">
        <f t="shared" si="229"/>
        <v>0</v>
      </c>
      <c r="I224" s="53">
        <f>COUNTIFS('00 Encuesta'!$B$2:$B$511,"*b)*",'00 Encuesta'!$C$2:$C$511,"*a)*",'00 Encuesta'!$E$2:$E$511,"*a)*",'00 Encuesta'!$AC$2:$AC$511,"*c)*")</f>
        <v>0</v>
      </c>
      <c r="J224" s="52">
        <f t="shared" si="230"/>
        <v>0</v>
      </c>
      <c r="K224" s="53">
        <f>COUNTIFS('00 Encuesta'!$B$2:$B$511,"*b)*",'00 Encuesta'!$C$2:$C$511,"*a)*",'00 Encuesta'!$E$2:$E$511,"*b)*",'00 Encuesta'!$AC$2:$AC$511,"*c)*")</f>
        <v>0</v>
      </c>
      <c r="L224" s="52">
        <f t="shared" si="231"/>
        <v>0</v>
      </c>
      <c r="M224" s="23"/>
      <c r="N224" s="51">
        <f t="shared" si="232"/>
        <v>3</v>
      </c>
      <c r="O224" s="52">
        <f t="shared" si="233"/>
        <v>9.375</v>
      </c>
      <c r="P224" s="53">
        <f>COUNTIFS('00 Encuesta'!$B$2:$B$511,"*b)*",'00 Encuesta'!$C$2:$C$511,"*b)*",'00 Encuesta'!$E$2:$E$511,"*a)*",'00 Encuesta'!$AC$2:$AC$511,"*c)*")</f>
        <v>1</v>
      </c>
      <c r="Q224" s="52">
        <f t="shared" si="234"/>
        <v>5.8823529411764701</v>
      </c>
      <c r="R224" s="53">
        <f>COUNTIFS('00 Encuesta'!$B$2:$B$511,"*b)*",'00 Encuesta'!$C$2:$C$511,"*b)*",'00 Encuesta'!$E$2:$E$511,"*b)*",'00 Encuesta'!$AC$2:$AC$511,"*c)*")</f>
        <v>2</v>
      </c>
      <c r="S224" s="52">
        <f t="shared" si="235"/>
        <v>13.333333333333334</v>
      </c>
      <c r="T224" s="3"/>
      <c r="U224" s="51">
        <f t="shared" si="236"/>
        <v>0</v>
      </c>
      <c r="V224" s="52" t="e">
        <f t="shared" si="237"/>
        <v>#DIV/0!</v>
      </c>
      <c r="W224" s="53">
        <f>COUNTIFS('00 Encuesta'!$B$2:$B$511,"*b)*",'00 Encuesta'!$C$2:$C$511,"*d)*",'00 Encuesta'!$E$2:$E$511,"*a)*",'00 Encuesta'!$AC$2:$AC$511,"*c)*")</f>
        <v>0</v>
      </c>
      <c r="X224" s="52" t="e">
        <f t="shared" si="238"/>
        <v>#DIV/0!</v>
      </c>
      <c r="Y224" s="53">
        <f>COUNTIFS('00 Encuesta'!$B$2:$B$511,"*b)*",'00 Encuesta'!$C$2:$C$511,"*d)*",'00 Encuesta'!$E$2:$E$511,"*b)*",'00 Encuesta'!$AC$2:$AC$511,"*c)*")</f>
        <v>0</v>
      </c>
      <c r="Z224" s="52" t="e">
        <f t="shared" si="239"/>
        <v>#DIV/0!</v>
      </c>
      <c r="AA224" s="3"/>
      <c r="AB224" s="62">
        <f t="shared" si="240"/>
        <v>3</v>
      </c>
      <c r="AC224" s="52">
        <f t="shared" si="241"/>
        <v>4.2857142857142856</v>
      </c>
      <c r="AD224" s="3"/>
      <c r="AE224" s="3"/>
      <c r="AF224" s="9" t="str">
        <f t="shared" si="242"/>
        <v>c) Sacerdocio o hermana religiosa</v>
      </c>
      <c r="AG224" s="72">
        <f t="shared" si="243"/>
        <v>0</v>
      </c>
      <c r="AH224" s="72">
        <f t="shared" si="244"/>
        <v>0</v>
      </c>
      <c r="AI224" s="73">
        <f t="shared" si="245"/>
        <v>0</v>
      </c>
      <c r="AJ224" s="73"/>
      <c r="AK224" s="76">
        <f t="shared" si="246"/>
        <v>5.8823529411764701</v>
      </c>
      <c r="AL224" s="76">
        <f t="shared" si="247"/>
        <v>13.333333333333334</v>
      </c>
      <c r="AM224" s="76">
        <f t="shared" si="248"/>
        <v>9.375</v>
      </c>
      <c r="AN224" s="76"/>
      <c r="AO224" s="81" t="e">
        <f t="shared" si="249"/>
        <v>#DIV/0!</v>
      </c>
      <c r="AP224" s="81" t="e">
        <f t="shared" si="250"/>
        <v>#DIV/0!</v>
      </c>
      <c r="AQ224" s="81" t="e">
        <f t="shared" si="251"/>
        <v>#DIV/0!</v>
      </c>
      <c r="AR224" s="3"/>
      <c r="AS224" s="76">
        <f t="shared" si="227"/>
        <v>4.2857142857142856</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9</v>
      </c>
      <c r="H225" s="52">
        <f t="shared" si="229"/>
        <v>23.684210526315788</v>
      </c>
      <c r="I225" s="53">
        <f>COUNTIFS('00 Encuesta'!$B$2:$B$511,"*b)*",'00 Encuesta'!$C$2:$C$511,"*a)*",'00 Encuesta'!$E$2:$E$511,"*a)*",'00 Encuesta'!$AC$2:$AC$511,"*d)*")</f>
        <v>6</v>
      </c>
      <c r="J225" s="52">
        <f t="shared" si="230"/>
        <v>28.571428571428569</v>
      </c>
      <c r="K225" s="53">
        <f>COUNTIFS('00 Encuesta'!$B$2:$B$511,"*b)*",'00 Encuesta'!$C$2:$C$511,"*a)*",'00 Encuesta'!$E$2:$E$511,"*b)*",'00 Encuesta'!$AC$2:$AC$511,"*d)*")</f>
        <v>3</v>
      </c>
      <c r="L225" s="52">
        <f t="shared" si="231"/>
        <v>17.647058823529413</v>
      </c>
      <c r="M225" s="23"/>
      <c r="N225" s="51">
        <f t="shared" si="232"/>
        <v>7</v>
      </c>
      <c r="O225" s="52">
        <f t="shared" si="233"/>
        <v>21.875</v>
      </c>
      <c r="P225" s="53">
        <f>COUNTIFS('00 Encuesta'!$B$2:$B$511,"*b)*",'00 Encuesta'!$C$2:$C$511,"*b)*",'00 Encuesta'!$E$2:$E$511,"*a)*",'00 Encuesta'!$AC$2:$AC$511,"*d)*")</f>
        <v>7</v>
      </c>
      <c r="Q225" s="52">
        <f t="shared" si="234"/>
        <v>41.17647058823529</v>
      </c>
      <c r="R225" s="53">
        <f>COUNTIFS('00 Encuesta'!$B$2:$B$511,"*b)*",'00 Encuesta'!$C$2:$C$511,"*b)*",'00 Encuesta'!$E$2:$E$511,"*b)*",'00 Encuesta'!$AC$2:$AC$511,"*d)*")</f>
        <v>0</v>
      </c>
      <c r="S225" s="52">
        <f t="shared" si="235"/>
        <v>0</v>
      </c>
      <c r="T225" s="3"/>
      <c r="U225" s="51">
        <f t="shared" si="236"/>
        <v>0</v>
      </c>
      <c r="V225" s="52" t="e">
        <f t="shared" si="237"/>
        <v>#DIV/0!</v>
      </c>
      <c r="W225" s="53">
        <f>COUNTIFS('00 Encuesta'!$B$2:$B$511,"*b)*",'00 Encuesta'!$C$2:$C$511,"*d)*",'00 Encuesta'!$E$2:$E$511,"*a)*",'00 Encuesta'!$AC$2:$AC$511,"*d)*")</f>
        <v>0</v>
      </c>
      <c r="X225" s="52" t="e">
        <f t="shared" si="238"/>
        <v>#DIV/0!</v>
      </c>
      <c r="Y225" s="53">
        <f>COUNTIFS('00 Encuesta'!$B$2:$B$511,"*b)*",'00 Encuesta'!$C$2:$C$511,"*d)*",'00 Encuesta'!$E$2:$E$511,"*b)*",'00 Encuesta'!$AC$2:$AC$511,"*d)*")</f>
        <v>0</v>
      </c>
      <c r="Z225" s="52" t="e">
        <f t="shared" si="239"/>
        <v>#DIV/0!</v>
      </c>
      <c r="AA225" s="3"/>
      <c r="AB225" s="62">
        <f t="shared" si="240"/>
        <v>16</v>
      </c>
      <c r="AC225" s="52">
        <f t="shared" si="241"/>
        <v>22.857142857142858</v>
      </c>
      <c r="AD225" s="3"/>
      <c r="AE225" s="3"/>
      <c r="AF225" s="9" t="str">
        <f t="shared" si="242"/>
        <v>d) Ingeniería</v>
      </c>
      <c r="AG225" s="72">
        <f t="shared" si="243"/>
        <v>28.571428571428569</v>
      </c>
      <c r="AH225" s="72">
        <f t="shared" si="244"/>
        <v>17.647058823529413</v>
      </c>
      <c r="AI225" s="73">
        <f t="shared" si="245"/>
        <v>23.684210526315788</v>
      </c>
      <c r="AJ225" s="73"/>
      <c r="AK225" s="76">
        <f t="shared" si="246"/>
        <v>41.17647058823529</v>
      </c>
      <c r="AL225" s="76">
        <f t="shared" si="247"/>
        <v>0</v>
      </c>
      <c r="AM225" s="76">
        <f t="shared" si="248"/>
        <v>21.875</v>
      </c>
      <c r="AN225" s="76"/>
      <c r="AO225" s="81" t="e">
        <f t="shared" si="249"/>
        <v>#DIV/0!</v>
      </c>
      <c r="AP225" s="81" t="e">
        <f t="shared" si="250"/>
        <v>#DIV/0!</v>
      </c>
      <c r="AQ225" s="81" t="e">
        <f t="shared" si="251"/>
        <v>#DIV/0!</v>
      </c>
      <c r="AR225" s="3"/>
      <c r="AS225" s="76">
        <f t="shared" si="227"/>
        <v>22.857142857142858</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ht="15" x14ac:dyDescent="0.25">
      <c r="A226" s="8" t="s">
        <v>22</v>
      </c>
      <c r="B226" s="9" t="s">
        <v>164</v>
      </c>
      <c r="C226" s="7"/>
      <c r="D226" s="7"/>
      <c r="E226" s="7"/>
      <c r="F226" s="71"/>
      <c r="G226" s="51">
        <f t="shared" si="228"/>
        <v>5</v>
      </c>
      <c r="H226" s="52">
        <f t="shared" si="229"/>
        <v>13.157894736842104</v>
      </c>
      <c r="I226" s="53">
        <f>COUNTIFS('00 Encuesta'!$B$2:$B$511,"*b)*",'00 Encuesta'!$C$2:$C$511,"*a)*",'00 Encuesta'!$E$2:$E$511,"*a)*",'00 Encuesta'!$AC$2:$AC$511,"*e)*")</f>
        <v>4</v>
      </c>
      <c r="J226" s="52">
        <f t="shared" si="230"/>
        <v>19.047619047619047</v>
      </c>
      <c r="K226" s="53">
        <f>COUNTIFS('00 Encuesta'!$B$2:$B$511,"*b)*",'00 Encuesta'!$C$2:$C$511,"*a)*",'00 Encuesta'!$E$2:$E$511,"*b)*",'00 Encuesta'!$AC$2:$AC$511,"*e)*")</f>
        <v>1</v>
      </c>
      <c r="L226" s="52">
        <f t="shared" si="231"/>
        <v>5.8823529411764701</v>
      </c>
      <c r="M226" s="23"/>
      <c r="N226" s="51">
        <f t="shared" si="232"/>
        <v>5</v>
      </c>
      <c r="O226" s="52">
        <f t="shared" si="233"/>
        <v>15.625</v>
      </c>
      <c r="P226" s="53">
        <f>COUNTIFS('00 Encuesta'!$B$2:$B$511,"*b)*",'00 Encuesta'!$C$2:$C$511,"*b)*",'00 Encuesta'!$E$2:$E$511,"*a)*",'00 Encuesta'!$AC$2:$AC$511,"*e)*")</f>
        <v>4</v>
      </c>
      <c r="Q226" s="52">
        <f t="shared" si="234"/>
        <v>23.52941176470588</v>
      </c>
      <c r="R226" s="53">
        <f>COUNTIFS('00 Encuesta'!$B$2:$B$511,"*b)*",'00 Encuesta'!$C$2:$C$511,"*b)*",'00 Encuesta'!$E$2:$E$511,"*b)*",'00 Encuesta'!$AC$2:$AC$511,"*e)*")</f>
        <v>1</v>
      </c>
      <c r="S226" s="52">
        <f t="shared" si="235"/>
        <v>6.666666666666667</v>
      </c>
      <c r="T226" s="3"/>
      <c r="U226" s="51">
        <f t="shared" si="236"/>
        <v>0</v>
      </c>
      <c r="V226" s="52" t="e">
        <f t="shared" si="237"/>
        <v>#DIV/0!</v>
      </c>
      <c r="W226" s="53">
        <f>COUNTIFS('00 Encuesta'!$B$2:$B$511,"*b)*",'00 Encuesta'!$C$2:$C$511,"*d)*",'00 Encuesta'!$E$2:$E$511,"*a)*",'00 Encuesta'!$AC$2:$AC$511,"*e)*")</f>
        <v>0</v>
      </c>
      <c r="X226" s="52" t="e">
        <f t="shared" si="238"/>
        <v>#DIV/0!</v>
      </c>
      <c r="Y226" s="53">
        <f>COUNTIFS('00 Encuesta'!$B$2:$B$511,"*b)*",'00 Encuesta'!$C$2:$C$511,"*d)*",'00 Encuesta'!$E$2:$E$511,"*b)*",'00 Encuesta'!$AC$2:$AC$511,"*e)*")</f>
        <v>0</v>
      </c>
      <c r="Z226" s="52" t="e">
        <f t="shared" si="239"/>
        <v>#DIV/0!</v>
      </c>
      <c r="AA226" s="3"/>
      <c r="AB226" s="62">
        <f t="shared" si="240"/>
        <v>10</v>
      </c>
      <c r="AC226" s="52">
        <f t="shared" si="241"/>
        <v>14.285714285714286</v>
      </c>
      <c r="AD226" s="3"/>
      <c r="AE226" s="3"/>
      <c r="AF226" s="9" t="str">
        <f t="shared" si="242"/>
        <v>e) Derecho</v>
      </c>
      <c r="AG226" s="72">
        <f t="shared" si="243"/>
        <v>19.047619047619047</v>
      </c>
      <c r="AH226" s="72">
        <f t="shared" si="244"/>
        <v>5.8823529411764701</v>
      </c>
      <c r="AI226" s="73">
        <f t="shared" si="245"/>
        <v>13.157894736842104</v>
      </c>
      <c r="AJ226" s="73"/>
      <c r="AK226" s="76">
        <f t="shared" si="246"/>
        <v>23.52941176470588</v>
      </c>
      <c r="AL226" s="76">
        <f t="shared" si="247"/>
        <v>6.666666666666667</v>
      </c>
      <c r="AM226" s="76">
        <f t="shared" si="248"/>
        <v>15.625</v>
      </c>
      <c r="AN226" s="76"/>
      <c r="AO226" s="81" t="e">
        <f t="shared" si="249"/>
        <v>#DIV/0!</v>
      </c>
      <c r="AP226" s="81" t="e">
        <f t="shared" si="250"/>
        <v>#DIV/0!</v>
      </c>
      <c r="AQ226" s="81" t="e">
        <f t="shared" si="251"/>
        <v>#DIV/0!</v>
      </c>
      <c r="AR226" s="3"/>
      <c r="AS226" s="76">
        <f t="shared" si="227"/>
        <v>14.285714285714286</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ht="15.75" x14ac:dyDescent="0.3">
      <c r="A227" s="1" t="s">
        <v>45</v>
      </c>
      <c r="B227" s="2" t="s">
        <v>165</v>
      </c>
      <c r="C227" s="3"/>
      <c r="D227" s="7"/>
      <c r="E227" s="7"/>
      <c r="F227" s="71"/>
      <c r="G227" s="51">
        <f t="shared" si="228"/>
        <v>1</v>
      </c>
      <c r="H227" s="52">
        <f t="shared" si="229"/>
        <v>2.6315789473684208</v>
      </c>
      <c r="I227" s="53">
        <f>COUNTIFS('00 Encuesta'!$B$2:$B$511,"*b)*",'00 Encuesta'!$C$2:$C$511,"*a)*",'00 Encuesta'!$E$2:$E$511,"*a)*",'00 Encuesta'!$AC$2:$AC$511,"*f)*")</f>
        <v>1</v>
      </c>
      <c r="J227" s="52">
        <f t="shared" si="230"/>
        <v>4.7619047619047619</v>
      </c>
      <c r="K227" s="53">
        <f>COUNTIFS('00 Encuesta'!$B$2:$B$511,"*b)*",'00 Encuesta'!$C$2:$C$511,"*a)*",'00 Encuesta'!$E$2:$E$511,"*b)*",'00 Encuesta'!$AC$2:$AC$511,"*f)*")</f>
        <v>0</v>
      </c>
      <c r="L227" s="52">
        <f t="shared" si="231"/>
        <v>0</v>
      </c>
      <c r="M227" s="23"/>
      <c r="N227" s="51">
        <f t="shared" si="232"/>
        <v>0</v>
      </c>
      <c r="O227" s="52">
        <f t="shared" si="233"/>
        <v>0</v>
      </c>
      <c r="P227" s="53">
        <f>COUNTIFS('00 Encuesta'!$B$2:$B$511,"*b)*",'00 Encuesta'!$C$2:$C$511,"*b)*",'00 Encuesta'!$E$2:$E$511,"*a)*",'00 Encuesta'!$AC$2:$AC$511,"*f)*")</f>
        <v>0</v>
      </c>
      <c r="Q227" s="52">
        <f t="shared" si="234"/>
        <v>0</v>
      </c>
      <c r="R227" s="53">
        <f>COUNTIFS('00 Encuesta'!$B$2:$B$511,"*b)*",'00 Encuesta'!$C$2:$C$511,"*b)*",'00 Encuesta'!$E$2:$E$511,"*b)*",'00 Encuesta'!$AC$2:$AC$511,"*f)*")</f>
        <v>0</v>
      </c>
      <c r="S227" s="52">
        <f t="shared" si="235"/>
        <v>0</v>
      </c>
      <c r="T227" s="3"/>
      <c r="U227" s="51">
        <f t="shared" si="236"/>
        <v>0</v>
      </c>
      <c r="V227" s="52" t="e">
        <f t="shared" si="237"/>
        <v>#DIV/0!</v>
      </c>
      <c r="W227" s="53">
        <f>COUNTIFS('00 Encuesta'!$B$2:$B$511,"*b)*",'00 Encuesta'!$C$2:$C$511,"*d)*",'00 Encuesta'!$E$2:$E$511,"*a)*",'00 Encuesta'!$AC$2:$AC$511,"*f)*")</f>
        <v>0</v>
      </c>
      <c r="X227" s="52" t="e">
        <f t="shared" si="238"/>
        <v>#DIV/0!</v>
      </c>
      <c r="Y227" s="53">
        <f>COUNTIFS('00 Encuesta'!$B$2:$B$511,"*b)*",'00 Encuesta'!$C$2:$C$511,"*d)*",'00 Encuesta'!$E$2:$E$511,"*b)*",'00 Encuesta'!$AC$2:$AC$511,"*f)*")</f>
        <v>0</v>
      </c>
      <c r="Z227" s="52" t="e">
        <f t="shared" si="239"/>
        <v>#DIV/0!</v>
      </c>
      <c r="AA227" s="3"/>
      <c r="AB227" s="62">
        <f t="shared" si="240"/>
        <v>1</v>
      </c>
      <c r="AC227" s="52">
        <f t="shared" si="241"/>
        <v>1.4285714285714286</v>
      </c>
      <c r="AD227" s="3"/>
      <c r="AE227" s="3"/>
      <c r="AF227" s="9" t="str">
        <f t="shared" si="242"/>
        <v>f) Ciencias policiales o artes militares</v>
      </c>
      <c r="AG227" s="72">
        <f t="shared" si="243"/>
        <v>4.7619047619047619</v>
      </c>
      <c r="AH227" s="72">
        <f t="shared" si="244"/>
        <v>0</v>
      </c>
      <c r="AI227" s="73">
        <f t="shared" si="245"/>
        <v>2.6315789473684208</v>
      </c>
      <c r="AJ227" s="73"/>
      <c r="AK227" s="76">
        <f t="shared" si="246"/>
        <v>0</v>
      </c>
      <c r="AL227" s="76">
        <f t="shared" si="247"/>
        <v>0</v>
      </c>
      <c r="AM227" s="76">
        <f t="shared" si="248"/>
        <v>0</v>
      </c>
      <c r="AN227" s="76"/>
      <c r="AO227" s="81" t="e">
        <f t="shared" si="249"/>
        <v>#DIV/0!</v>
      </c>
      <c r="AP227" s="81" t="e">
        <f t="shared" si="250"/>
        <v>#DIV/0!</v>
      </c>
      <c r="AQ227" s="81" t="e">
        <f t="shared" si="251"/>
        <v>#DIV/0!</v>
      </c>
      <c r="AR227" s="3"/>
      <c r="AS227" s="76">
        <f t="shared" si="227"/>
        <v>1.4285714285714286</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ht="15.75" x14ac:dyDescent="0.3">
      <c r="A228" s="1" t="s">
        <v>61</v>
      </c>
      <c r="B228" s="2" t="s">
        <v>166</v>
      </c>
      <c r="C228" s="3"/>
      <c r="D228" s="7"/>
      <c r="E228" s="7"/>
      <c r="F228" s="71"/>
      <c r="G228" s="51">
        <f t="shared" si="228"/>
        <v>8</v>
      </c>
      <c r="H228" s="52">
        <f t="shared" si="229"/>
        <v>21.052631578947366</v>
      </c>
      <c r="I228" s="53">
        <f>COUNTIFS('00 Encuesta'!$B$2:$B$511,"*b)*",'00 Encuesta'!$C$2:$C$511,"*a)*",'00 Encuesta'!$E$2:$E$511,"*a)*",'00 Encuesta'!$AC$2:$AC$511,"*g)*")</f>
        <v>4</v>
      </c>
      <c r="J228" s="52">
        <f t="shared" si="230"/>
        <v>19.047619047619047</v>
      </c>
      <c r="K228" s="53">
        <f>COUNTIFS('00 Encuesta'!$B$2:$B$511,"*b)*",'00 Encuesta'!$C$2:$C$511,"*a)*",'00 Encuesta'!$E$2:$E$511,"*b)*",'00 Encuesta'!$AC$2:$AC$511,"*g)*")</f>
        <v>4</v>
      </c>
      <c r="L228" s="52">
        <f t="shared" si="231"/>
        <v>23.52941176470588</v>
      </c>
      <c r="M228" s="23"/>
      <c r="N228" s="51">
        <f t="shared" si="232"/>
        <v>5</v>
      </c>
      <c r="O228" s="52">
        <f t="shared" si="233"/>
        <v>15.625</v>
      </c>
      <c r="P228" s="53">
        <f>COUNTIFS('00 Encuesta'!$B$2:$B$511,"*b)*",'00 Encuesta'!$C$2:$C$511,"*b)*",'00 Encuesta'!$E$2:$E$511,"*a)*",'00 Encuesta'!$AC$2:$AC$511,"*g)*")</f>
        <v>1</v>
      </c>
      <c r="Q228" s="52">
        <f t="shared" si="234"/>
        <v>5.8823529411764701</v>
      </c>
      <c r="R228" s="53">
        <f>COUNTIFS('00 Encuesta'!$B$2:$B$511,"*b)*",'00 Encuesta'!$C$2:$C$511,"*b)*",'00 Encuesta'!$E$2:$E$511,"*b)*",'00 Encuesta'!$AC$2:$AC$511,"*g)*")</f>
        <v>4</v>
      </c>
      <c r="S228" s="52">
        <f t="shared" si="235"/>
        <v>26.666666666666668</v>
      </c>
      <c r="T228" s="3"/>
      <c r="U228" s="51">
        <f t="shared" si="236"/>
        <v>0</v>
      </c>
      <c r="V228" s="52" t="e">
        <f t="shared" si="237"/>
        <v>#DIV/0!</v>
      </c>
      <c r="W228" s="53">
        <f>COUNTIFS('00 Encuesta'!$B$2:$B$511,"*b)*",'00 Encuesta'!$C$2:$C$511,"*d)*",'00 Encuesta'!$E$2:$E$511,"*a)*",'00 Encuesta'!$AC$2:$AC$511,"*g)*")</f>
        <v>0</v>
      </c>
      <c r="X228" s="52" t="e">
        <f t="shared" si="238"/>
        <v>#DIV/0!</v>
      </c>
      <c r="Y228" s="53">
        <f>COUNTIFS('00 Encuesta'!$B$2:$B$511,"*b)*",'00 Encuesta'!$C$2:$C$511,"*d)*",'00 Encuesta'!$E$2:$E$511,"*b)*",'00 Encuesta'!$AC$2:$AC$511,"*g)*")</f>
        <v>0</v>
      </c>
      <c r="Z228" s="52" t="e">
        <f t="shared" si="239"/>
        <v>#DIV/0!</v>
      </c>
      <c r="AA228" s="3"/>
      <c r="AB228" s="62">
        <f t="shared" si="240"/>
        <v>13</v>
      </c>
      <c r="AC228" s="52">
        <f t="shared" si="241"/>
        <v>18.571428571428573</v>
      </c>
      <c r="AD228" s="3"/>
      <c r="AE228" s="3"/>
      <c r="AF228" s="9" t="str">
        <f t="shared" si="242"/>
        <v>g) Artista</v>
      </c>
      <c r="AG228" s="72">
        <f t="shared" si="243"/>
        <v>19.047619047619047</v>
      </c>
      <c r="AH228" s="72">
        <f t="shared" si="244"/>
        <v>23.52941176470588</v>
      </c>
      <c r="AI228" s="73">
        <f t="shared" si="245"/>
        <v>21.052631578947366</v>
      </c>
      <c r="AJ228" s="73"/>
      <c r="AK228" s="76">
        <f t="shared" si="246"/>
        <v>5.8823529411764701</v>
      </c>
      <c r="AL228" s="76">
        <f t="shared" si="247"/>
        <v>26.666666666666668</v>
      </c>
      <c r="AM228" s="76">
        <f t="shared" si="248"/>
        <v>15.625</v>
      </c>
      <c r="AN228" s="76"/>
      <c r="AO228" s="81" t="e">
        <f t="shared" si="249"/>
        <v>#DIV/0!</v>
      </c>
      <c r="AP228" s="81" t="e">
        <f t="shared" si="250"/>
        <v>#DIV/0!</v>
      </c>
      <c r="AQ228" s="81" t="e">
        <f t="shared" si="251"/>
        <v>#DIV/0!</v>
      </c>
      <c r="AR228" s="3"/>
      <c r="AS228" s="76">
        <f t="shared" si="227"/>
        <v>18.571428571428573</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1</v>
      </c>
      <c r="H229" s="52">
        <f t="shared" si="229"/>
        <v>2.6315789473684208</v>
      </c>
      <c r="I229" s="53">
        <f>COUNTIFS('00 Encuesta'!$B$2:$B$511,"*b)*",'00 Encuesta'!$C$2:$C$511,"*a)*",'00 Encuesta'!$E$2:$E$511,"*a)*",'00 Encuesta'!$AC$2:$AC$511,"*h)*")</f>
        <v>1</v>
      </c>
      <c r="J229" s="52">
        <f t="shared" si="230"/>
        <v>4.7619047619047619</v>
      </c>
      <c r="K229" s="53">
        <f>COUNTIFS('00 Encuesta'!$B$2:$B$511,"*b)*",'00 Encuesta'!$C$2:$C$511,"*a)*",'00 Encuesta'!$E$2:$E$511,"*b)*",'00 Encuesta'!$AC$2:$AC$511,"*h)*")</f>
        <v>0</v>
      </c>
      <c r="L229" s="52">
        <f t="shared" si="231"/>
        <v>0</v>
      </c>
      <c r="M229" s="23"/>
      <c r="N229" s="51">
        <f t="shared" si="232"/>
        <v>1</v>
      </c>
      <c r="O229" s="52">
        <f t="shared" si="233"/>
        <v>3.125</v>
      </c>
      <c r="P229" s="53">
        <f>COUNTIFS('00 Encuesta'!$B$2:$B$511,"*b)*",'00 Encuesta'!$C$2:$C$511,"*b)*",'00 Encuesta'!$E$2:$E$511,"*a)*",'00 Encuesta'!$AC$2:$AC$511,"*h)*")</f>
        <v>1</v>
      </c>
      <c r="Q229" s="52">
        <f t="shared" si="234"/>
        <v>5.8823529411764701</v>
      </c>
      <c r="R229" s="53">
        <f>COUNTIFS('00 Encuesta'!$B$2:$B$511,"*b)*",'00 Encuesta'!$C$2:$C$511,"*b)*",'00 Encuesta'!$E$2:$E$511,"*b)*",'00 Encuesta'!$AC$2:$AC$511,"*h)*")</f>
        <v>0</v>
      </c>
      <c r="S229" s="52">
        <f t="shared" si="235"/>
        <v>0</v>
      </c>
      <c r="T229" s="3"/>
      <c r="U229" s="51">
        <f t="shared" si="236"/>
        <v>0</v>
      </c>
      <c r="V229" s="52" t="e">
        <f t="shared" si="237"/>
        <v>#DIV/0!</v>
      </c>
      <c r="W229" s="53">
        <f>COUNTIFS('00 Encuesta'!$B$2:$B$511,"*b)*",'00 Encuesta'!$C$2:$C$511,"*d)*",'00 Encuesta'!$E$2:$E$511,"*a)*",'00 Encuesta'!$AC$2:$AC$511,"*h)*")</f>
        <v>0</v>
      </c>
      <c r="X229" s="52" t="e">
        <f t="shared" si="238"/>
        <v>#DIV/0!</v>
      </c>
      <c r="Y229" s="53">
        <f>COUNTIFS('00 Encuesta'!$B$2:$B$511,"*b)*",'00 Encuesta'!$C$2:$C$511,"*d)*",'00 Encuesta'!$E$2:$E$511,"*b)*",'00 Encuesta'!$AC$2:$AC$511,"*h)*")</f>
        <v>0</v>
      </c>
      <c r="Z229" s="52" t="e">
        <f t="shared" si="239"/>
        <v>#DIV/0!</v>
      </c>
      <c r="AA229" s="3"/>
      <c r="AB229" s="62">
        <f t="shared" si="240"/>
        <v>2</v>
      </c>
      <c r="AC229" s="52">
        <f t="shared" si="241"/>
        <v>2.8571428571428572</v>
      </c>
      <c r="AD229" s="3"/>
      <c r="AE229" s="3"/>
      <c r="AF229" s="9" t="str">
        <f t="shared" si="242"/>
        <v>h) Ciencias Políticas</v>
      </c>
      <c r="AG229" s="72">
        <f t="shared" si="243"/>
        <v>4.7619047619047619</v>
      </c>
      <c r="AH229" s="72">
        <f t="shared" si="244"/>
        <v>0</v>
      </c>
      <c r="AI229" s="73">
        <f t="shared" si="245"/>
        <v>2.6315789473684208</v>
      </c>
      <c r="AJ229" s="73"/>
      <c r="AK229" s="76">
        <f t="shared" si="246"/>
        <v>5.8823529411764701</v>
      </c>
      <c r="AL229" s="76">
        <f t="shared" si="247"/>
        <v>0</v>
      </c>
      <c r="AM229" s="76">
        <f t="shared" si="248"/>
        <v>3.125</v>
      </c>
      <c r="AN229" s="76"/>
      <c r="AO229" s="81" t="e">
        <f t="shared" si="249"/>
        <v>#DIV/0!</v>
      </c>
      <c r="AP229" s="81" t="e">
        <f t="shared" si="250"/>
        <v>#DIV/0!</v>
      </c>
      <c r="AQ229" s="81" t="e">
        <f t="shared" si="251"/>
        <v>#DIV/0!</v>
      </c>
      <c r="AR229" s="3"/>
      <c r="AS229" s="76">
        <f t="shared" si="227"/>
        <v>2.8571428571428572</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ht="15" x14ac:dyDescent="0.25">
      <c r="A230" s="84" t="s">
        <v>65</v>
      </c>
      <c r="B230" s="9" t="s">
        <v>168</v>
      </c>
      <c r="C230" s="7"/>
      <c r="D230" s="7"/>
      <c r="E230" s="7"/>
      <c r="F230" s="71"/>
      <c r="G230" s="51">
        <f t="shared" si="228"/>
        <v>2</v>
      </c>
      <c r="H230" s="52">
        <f t="shared" si="229"/>
        <v>5.2631578947368416</v>
      </c>
      <c r="I230" s="53">
        <f>COUNTIFS('00 Encuesta'!$B$2:$B$511,"*b)*",'00 Encuesta'!$C$2:$C$511,"*a)*",'00 Encuesta'!$E$2:$E$511,"*a)*",'00 Encuesta'!$AC$2:$AC$511,"*i)*")</f>
        <v>2</v>
      </c>
      <c r="J230" s="52">
        <f t="shared" si="230"/>
        <v>9.5238095238095237</v>
      </c>
      <c r="K230" s="53">
        <f>COUNTIFS('00 Encuesta'!$B$2:$B$511,"*b)*",'00 Encuesta'!$C$2:$C$511,"*a)*",'00 Encuesta'!$E$2:$E$511,"*b)*",'00 Encuesta'!$AC$2:$AC$511,"*i)*")</f>
        <v>0</v>
      </c>
      <c r="L230" s="52">
        <f t="shared" si="231"/>
        <v>0</v>
      </c>
      <c r="M230" s="23"/>
      <c r="N230" s="51">
        <f t="shared" si="232"/>
        <v>7</v>
      </c>
      <c r="O230" s="52">
        <f t="shared" si="233"/>
        <v>21.875</v>
      </c>
      <c r="P230" s="53">
        <f>COUNTIFS('00 Encuesta'!$B$2:$B$511,"*b)*",'00 Encuesta'!$C$2:$C$511,"*b)*",'00 Encuesta'!$E$2:$E$511,"*a)*",'00 Encuesta'!$AC$2:$AC$511,"*i)*")</f>
        <v>4</v>
      </c>
      <c r="Q230" s="52">
        <f t="shared" si="234"/>
        <v>23.52941176470588</v>
      </c>
      <c r="R230" s="53">
        <f>COUNTIFS('00 Encuesta'!$B$2:$B$511,"*b)*",'00 Encuesta'!$C$2:$C$511,"*b)*",'00 Encuesta'!$E$2:$E$511,"*b)*",'00 Encuesta'!$AC$2:$AC$511,"*i)*")</f>
        <v>3</v>
      </c>
      <c r="S230" s="52">
        <f t="shared" si="235"/>
        <v>20</v>
      </c>
      <c r="T230" s="3"/>
      <c r="U230" s="51">
        <f t="shared" si="236"/>
        <v>0</v>
      </c>
      <c r="V230" s="52" t="e">
        <f t="shared" si="237"/>
        <v>#DIV/0!</v>
      </c>
      <c r="W230" s="53">
        <f>COUNTIFS('00 Encuesta'!$B$2:$B$511,"*b)*",'00 Encuesta'!$C$2:$C$511,"*d)*",'00 Encuesta'!$E$2:$E$511,"*a)*",'00 Encuesta'!$AC$2:$AC$511,"*i)*")</f>
        <v>0</v>
      </c>
      <c r="X230" s="52" t="e">
        <f t="shared" si="238"/>
        <v>#DIV/0!</v>
      </c>
      <c r="Y230" s="53">
        <f>COUNTIFS('00 Encuesta'!$B$2:$B$511,"*b)*",'00 Encuesta'!$C$2:$C$511,"*d)*",'00 Encuesta'!$E$2:$E$511,"*b)*",'00 Encuesta'!$AC$2:$AC$511,"*i)*")</f>
        <v>0</v>
      </c>
      <c r="Z230" s="52" t="e">
        <f t="shared" si="239"/>
        <v>#DIV/0!</v>
      </c>
      <c r="AA230" s="3"/>
      <c r="AB230" s="62">
        <f t="shared" si="240"/>
        <v>9</v>
      </c>
      <c r="AC230" s="52">
        <f t="shared" si="241"/>
        <v>12.857142857142858</v>
      </c>
      <c r="AD230" s="3"/>
      <c r="AE230" s="3"/>
      <c r="AF230" s="9" t="str">
        <f t="shared" si="242"/>
        <v>i) Comerciante</v>
      </c>
      <c r="AG230" s="72">
        <f t="shared" si="243"/>
        <v>9.5238095238095237</v>
      </c>
      <c r="AH230" s="72">
        <f t="shared" si="244"/>
        <v>0</v>
      </c>
      <c r="AI230" s="73">
        <f t="shared" si="245"/>
        <v>5.2631578947368416</v>
      </c>
      <c r="AJ230" s="73"/>
      <c r="AK230" s="76">
        <f t="shared" si="246"/>
        <v>23.52941176470588</v>
      </c>
      <c r="AL230" s="76">
        <f t="shared" si="247"/>
        <v>20</v>
      </c>
      <c r="AM230" s="76">
        <f t="shared" si="248"/>
        <v>21.875</v>
      </c>
      <c r="AN230" s="76"/>
      <c r="AO230" s="81" t="e">
        <f t="shared" si="249"/>
        <v>#DIV/0!</v>
      </c>
      <c r="AP230" s="81" t="e">
        <f t="shared" si="250"/>
        <v>#DIV/0!</v>
      </c>
      <c r="AQ230" s="81" t="e">
        <f t="shared" si="251"/>
        <v>#DIV/0!</v>
      </c>
      <c r="AR230" s="3"/>
      <c r="AS230" s="76">
        <f t="shared" si="227"/>
        <v>12.857142857142858</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ht="15" x14ac:dyDescent="0.25">
      <c r="A231" s="84" t="s">
        <v>67</v>
      </c>
      <c r="B231" s="9" t="s">
        <v>169</v>
      </c>
      <c r="C231" s="7"/>
      <c r="D231" s="7"/>
      <c r="E231" s="7"/>
      <c r="F231" s="71"/>
      <c r="G231" s="51">
        <f t="shared" si="228"/>
        <v>2</v>
      </c>
      <c r="H231" s="52">
        <f t="shared" si="229"/>
        <v>5.2631578947368416</v>
      </c>
      <c r="I231" s="53">
        <f>COUNTIFS('00 Encuesta'!$B$2:$B$511,"*b)*",'00 Encuesta'!$C$2:$C$511,"*a)*",'00 Encuesta'!$E$2:$E$511,"*a)*",'00 Encuesta'!$AC$2:$AC$511,"*j)*")</f>
        <v>1</v>
      </c>
      <c r="J231" s="52">
        <f t="shared" si="230"/>
        <v>4.7619047619047619</v>
      </c>
      <c r="K231" s="53">
        <f>COUNTIFS('00 Encuesta'!$B$2:$B$511,"*b)*",'00 Encuesta'!$C$2:$C$511,"*a)*",'00 Encuesta'!$E$2:$E$511,"*b)*",'00 Encuesta'!$AC$2:$AC$511,"*j)*")</f>
        <v>1</v>
      </c>
      <c r="L231" s="52">
        <f t="shared" si="231"/>
        <v>5.8823529411764701</v>
      </c>
      <c r="M231" s="23"/>
      <c r="N231" s="51">
        <f t="shared" si="232"/>
        <v>1</v>
      </c>
      <c r="O231" s="52">
        <f t="shared" si="233"/>
        <v>3.125</v>
      </c>
      <c r="P231" s="53">
        <f>COUNTIFS('00 Encuesta'!$B$2:$B$511,"*b)*",'00 Encuesta'!$C$2:$C$511,"*b)*",'00 Encuesta'!$E$2:$E$511,"*a)*",'00 Encuesta'!$AC$2:$AC$511,"*j)*")</f>
        <v>1</v>
      </c>
      <c r="Q231" s="52">
        <f t="shared" si="234"/>
        <v>5.8823529411764701</v>
      </c>
      <c r="R231" s="53">
        <f>COUNTIFS('00 Encuesta'!$B$2:$B$511,"*b)*",'00 Encuesta'!$C$2:$C$511,"*b)*",'00 Encuesta'!$E$2:$E$511,"*b)*",'00 Encuesta'!$AC$2:$AC$511,"*j)*")</f>
        <v>0</v>
      </c>
      <c r="S231" s="52">
        <f t="shared" si="235"/>
        <v>0</v>
      </c>
      <c r="T231" s="3"/>
      <c r="U231" s="51">
        <f t="shared" si="236"/>
        <v>0</v>
      </c>
      <c r="V231" s="52" t="e">
        <f t="shared" si="237"/>
        <v>#DIV/0!</v>
      </c>
      <c r="W231" s="53">
        <f>COUNTIFS('00 Encuesta'!$B$2:$B$511,"*b)*",'00 Encuesta'!$C$2:$C$511,"*d)*",'00 Encuesta'!$E$2:$E$511,"*a)*",'00 Encuesta'!$AC$2:$AC$511,"*j)*")</f>
        <v>0</v>
      </c>
      <c r="X231" s="52" t="e">
        <f t="shared" si="238"/>
        <v>#DIV/0!</v>
      </c>
      <c r="Y231" s="53">
        <f>COUNTIFS('00 Encuesta'!$B$2:$B$511,"*b)*",'00 Encuesta'!$C$2:$C$511,"*d)*",'00 Encuesta'!$E$2:$E$511,"*b)*",'00 Encuesta'!$AC$2:$AC$511,"*j)*")</f>
        <v>0</v>
      </c>
      <c r="Z231" s="52" t="e">
        <f t="shared" si="239"/>
        <v>#DIV/0!</v>
      </c>
      <c r="AA231" s="3"/>
      <c r="AB231" s="62">
        <f t="shared" si="240"/>
        <v>3</v>
      </c>
      <c r="AC231" s="52">
        <f t="shared" si="241"/>
        <v>4.2857142857142856</v>
      </c>
      <c r="AD231" s="3"/>
      <c r="AE231" s="3"/>
      <c r="AF231" s="9" t="str">
        <f t="shared" si="242"/>
        <v>j) Trabajador calificado</v>
      </c>
      <c r="AG231" s="72">
        <f t="shared" si="243"/>
        <v>4.7619047619047619</v>
      </c>
      <c r="AH231" s="72">
        <f t="shared" si="244"/>
        <v>5.8823529411764701</v>
      </c>
      <c r="AI231" s="73">
        <f t="shared" si="245"/>
        <v>5.2631578947368416</v>
      </c>
      <c r="AJ231" s="73"/>
      <c r="AK231" s="76">
        <f t="shared" si="246"/>
        <v>5.8823529411764701</v>
      </c>
      <c r="AL231" s="76">
        <f t="shared" si="247"/>
        <v>0</v>
      </c>
      <c r="AM231" s="76">
        <f t="shared" si="248"/>
        <v>3.125</v>
      </c>
      <c r="AN231" s="76"/>
      <c r="AO231" s="81" t="e">
        <f t="shared" si="249"/>
        <v>#DIV/0!</v>
      </c>
      <c r="AP231" s="81" t="e">
        <f t="shared" si="250"/>
        <v>#DIV/0!</v>
      </c>
      <c r="AQ231" s="81" t="e">
        <f t="shared" si="251"/>
        <v>#DIV/0!</v>
      </c>
      <c r="AR231" s="3"/>
      <c r="AS231" s="76">
        <f t="shared" si="227"/>
        <v>4.2857142857142856</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ht="15" x14ac:dyDescent="0.25">
      <c r="A232" s="8" t="s">
        <v>23</v>
      </c>
      <c r="B232" s="9" t="s">
        <v>158</v>
      </c>
      <c r="C232" s="7"/>
      <c r="D232" s="7"/>
      <c r="E232" s="7"/>
      <c r="F232" s="71"/>
      <c r="G232" s="51">
        <f t="shared" si="228"/>
        <v>0</v>
      </c>
      <c r="H232" s="52">
        <f t="shared" si="229"/>
        <v>0</v>
      </c>
      <c r="I232" s="53"/>
      <c r="J232" s="52">
        <f t="shared" si="230"/>
        <v>0</v>
      </c>
      <c r="K232" s="53"/>
      <c r="L232" s="52">
        <f t="shared" si="231"/>
        <v>0</v>
      </c>
      <c r="M232" s="23"/>
      <c r="N232" s="51">
        <f t="shared" si="232"/>
        <v>0</v>
      </c>
      <c r="O232" s="52">
        <f t="shared" si="233"/>
        <v>0</v>
      </c>
      <c r="P232" s="53"/>
      <c r="Q232" s="52">
        <f t="shared" si="234"/>
        <v>0</v>
      </c>
      <c r="R232" s="53"/>
      <c r="S232" s="52">
        <f t="shared" si="235"/>
        <v>0</v>
      </c>
      <c r="T232" s="3"/>
      <c r="U232" s="51">
        <f t="shared" si="236"/>
        <v>0</v>
      </c>
      <c r="V232" s="52" t="e">
        <f t="shared" si="237"/>
        <v>#DIV/0!</v>
      </c>
      <c r="W232" s="53"/>
      <c r="X232" s="52" t="e">
        <f t="shared" si="238"/>
        <v>#DIV/0!</v>
      </c>
      <c r="Y232" s="53"/>
      <c r="Z232" s="52" t="e">
        <f t="shared" si="239"/>
        <v>#DIV/0!</v>
      </c>
      <c r="AA232" s="3"/>
      <c r="AB232" s="62">
        <f t="shared" si="240"/>
        <v>0</v>
      </c>
      <c r="AC232" s="52">
        <f t="shared" si="241"/>
        <v>0</v>
      </c>
      <c r="AD232" s="3"/>
      <c r="AE232" s="3"/>
      <c r="AF232" s="9" t="str">
        <f t="shared" si="242"/>
        <v>S/R Sin respuesta</v>
      </c>
      <c r="AG232" s="72">
        <f t="shared" si="243"/>
        <v>0</v>
      </c>
      <c r="AH232" s="72">
        <f t="shared" si="244"/>
        <v>0</v>
      </c>
      <c r="AI232" s="73">
        <f t="shared" si="245"/>
        <v>0</v>
      </c>
      <c r="AJ232" s="73"/>
      <c r="AK232" s="76">
        <f t="shared" si="246"/>
        <v>0</v>
      </c>
      <c r="AL232" s="76">
        <f t="shared" si="247"/>
        <v>0</v>
      </c>
      <c r="AM232" s="76">
        <f t="shared" si="248"/>
        <v>0</v>
      </c>
      <c r="AN232" s="76"/>
      <c r="AO232" s="81" t="e">
        <f t="shared" si="249"/>
        <v>#DIV/0!</v>
      </c>
      <c r="AP232" s="81" t="e">
        <f t="shared" si="250"/>
        <v>#DIV/0!</v>
      </c>
      <c r="AQ232" s="81" t="e">
        <f t="shared" si="251"/>
        <v>#DIV/0!</v>
      </c>
      <c r="AR232" s="3"/>
      <c r="AS232" s="76">
        <f t="shared" si="227"/>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ht="15" x14ac:dyDescent="0.25">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ht="15" x14ac:dyDescent="0.25">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ht="15" x14ac:dyDescent="0.25">
      <c r="A235" s="8" t="s">
        <v>17</v>
      </c>
      <c r="B235" s="9" t="s">
        <v>171</v>
      </c>
      <c r="C235" s="7"/>
      <c r="D235" s="7"/>
      <c r="E235" s="7"/>
      <c r="F235" s="71"/>
      <c r="G235" s="51">
        <f t="shared" ref="G235:G241" si="252">I235+K235</f>
        <v>9</v>
      </c>
      <c r="H235" s="52">
        <f t="shared" ref="H235:H241" si="253">G235/$J$5*100</f>
        <v>23.684210526315788</v>
      </c>
      <c r="I235" s="53">
        <f>COUNTIFS('00 Encuesta'!$B$2:$B$511,"*b)*",'00 Encuesta'!$C$2:$C$511,"*a)*",'00 Encuesta'!$E$2:$E$511,"*a)*",'00 Encuesta'!$AE$2:$AE$511,"*a)*")</f>
        <v>6</v>
      </c>
      <c r="J235" s="52">
        <f t="shared" ref="J235:J241" si="254">I235/$J$6*100</f>
        <v>28.571428571428569</v>
      </c>
      <c r="K235" s="53">
        <f>COUNTIFS('00 Encuesta'!$B$2:$B$511,"*b)*",'00 Encuesta'!$C$2:$C$511,"*a)*",'00 Encuesta'!$E$2:$E$511,"*b)*",'00 Encuesta'!$AE$2:$AE$511,"*a)*")</f>
        <v>3</v>
      </c>
      <c r="L235" s="52">
        <f t="shared" ref="L235:L241" si="255">K235/$J$7*100</f>
        <v>17.647058823529413</v>
      </c>
      <c r="M235" s="23"/>
      <c r="N235" s="51">
        <f t="shared" ref="N235:N241" si="256">P235+R235</f>
        <v>1</v>
      </c>
      <c r="O235" s="52">
        <f t="shared" ref="O235:O241" si="257">N235/$Q$5*100</f>
        <v>3.125</v>
      </c>
      <c r="P235" s="53">
        <f>COUNTIFS('00 Encuesta'!$B$2:$B$511,"*b)*",'00 Encuesta'!$C$2:$C$511,"*b)*",'00 Encuesta'!$E$2:$E$511,"*a)*",'00 Encuesta'!$AE$2:$AE$511,"*a)*")</f>
        <v>1</v>
      </c>
      <c r="Q235" s="52">
        <f t="shared" ref="Q235:Q241" si="258">P235/$Q$6*100</f>
        <v>5.8823529411764701</v>
      </c>
      <c r="R235" s="53">
        <f>COUNTIFS('00 Encuesta'!$B$2:$B$511,"*b)*",'00 Encuesta'!$C$2:$C$511,"*b)*",'00 Encuesta'!$E$2:$E$511,"*b)*",'00 Encuesta'!$AE$2:$AE$511,"*a)*")</f>
        <v>0</v>
      </c>
      <c r="S235" s="52">
        <f t="shared" ref="S235:S241" si="259">R235/$Q$7*100</f>
        <v>0</v>
      </c>
      <c r="T235" s="3"/>
      <c r="U235" s="51">
        <f t="shared" ref="U235:U241" si="260">W235+Y235</f>
        <v>0</v>
      </c>
      <c r="V235" s="52" t="e">
        <f t="shared" ref="V235:V241" si="261">U235/$X$5*100</f>
        <v>#DIV/0!</v>
      </c>
      <c r="W235" s="53">
        <f>COUNTIFS('00 Encuesta'!$B$2:$B$511,"*b)*",'00 Encuesta'!$C$2:$C$511,"*d)*",'00 Encuesta'!$E$2:$E$511,"*a)*",'00 Encuesta'!$AE$2:$AE$511,"*a)*")</f>
        <v>0</v>
      </c>
      <c r="X235" s="52" t="e">
        <f t="shared" ref="X235:X241" si="262">W235/$X$6*100</f>
        <v>#DIV/0!</v>
      </c>
      <c r="Y235" s="53">
        <f>COUNTIFS('00 Encuesta'!$B$2:$B$511,"*b)*",'00 Encuesta'!$C$2:$C$511,"*d)*",'00 Encuesta'!$E$2:$E$511,"*b)*",'00 Encuesta'!$AE$2:$AE$511,"*a)*")</f>
        <v>0</v>
      </c>
      <c r="Z235" s="52" t="e">
        <f t="shared" ref="Z235:Z241" si="263">Y235/$X$7*100</f>
        <v>#DIV/0!</v>
      </c>
      <c r="AA235" s="3"/>
      <c r="AB235" s="62">
        <f t="shared" ref="AB235:AB241" si="264">G235+N235+U235</f>
        <v>10</v>
      </c>
      <c r="AC235" s="52">
        <f t="shared" ref="AC235:AC241" si="265">AB235*100/$AC$5</f>
        <v>14.285714285714286</v>
      </c>
      <c r="AD235" s="3"/>
      <c r="AE235" s="3"/>
      <c r="AF235" s="9" t="str">
        <f t="shared" ref="AF235:AF241" si="266">A235&amp;" "&amp;B235</f>
        <v>a) Ganar mucho dinero</v>
      </c>
      <c r="AG235" s="72">
        <f t="shared" ref="AG235:AG241" si="267">J235</f>
        <v>28.571428571428569</v>
      </c>
      <c r="AH235" s="72">
        <f t="shared" ref="AH235:AH241" si="268">L235</f>
        <v>17.647058823529413</v>
      </c>
      <c r="AI235" s="73">
        <f t="shared" ref="AI235:AI241" si="269">H235</f>
        <v>23.684210526315788</v>
      </c>
      <c r="AJ235" s="73"/>
      <c r="AK235" s="76">
        <f t="shared" ref="AK235:AK241" si="270">Q235</f>
        <v>5.8823529411764701</v>
      </c>
      <c r="AL235" s="76">
        <f t="shared" ref="AL235:AL241" si="271">S235</f>
        <v>0</v>
      </c>
      <c r="AM235" s="76">
        <f t="shared" ref="AM235:AM241" si="272">O235</f>
        <v>3.125</v>
      </c>
      <c r="AN235" s="76"/>
      <c r="AO235" s="81" t="e">
        <f t="shared" ref="AO235:AO241" si="273">X235</f>
        <v>#DIV/0!</v>
      </c>
      <c r="AP235" s="81" t="e">
        <f t="shared" ref="AP235:AP241" si="274">Z235</f>
        <v>#DIV/0!</v>
      </c>
      <c r="AQ235" s="81" t="e">
        <f t="shared" ref="AQ235:AQ241" si="275">V235</f>
        <v>#DIV/0!</v>
      </c>
      <c r="AR235" s="3"/>
      <c r="AS235" s="76">
        <f t="shared" si="227"/>
        <v>14.285714285714286</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5</v>
      </c>
      <c r="H236" s="52">
        <f t="shared" si="253"/>
        <v>13.157894736842104</v>
      </c>
      <c r="I236" s="53">
        <f>COUNTIFS('00 Encuesta'!$B$2:$B$511,"*b)*",'00 Encuesta'!$C$2:$C$511,"*a)*",'00 Encuesta'!$E$2:$E$511,"*a)*",'00 Encuesta'!$AE$2:$AE$511,"*b)*")</f>
        <v>2</v>
      </c>
      <c r="J236" s="52">
        <f t="shared" si="254"/>
        <v>9.5238095238095237</v>
      </c>
      <c r="K236" s="53">
        <f>COUNTIFS('00 Encuesta'!$B$2:$B$511,"*b)*",'00 Encuesta'!$C$2:$C$511,"*a)*",'00 Encuesta'!$E$2:$E$511,"*b)*",'00 Encuesta'!$AE$2:$AE$511,"*b)*")</f>
        <v>3</v>
      </c>
      <c r="L236" s="52">
        <f t="shared" si="255"/>
        <v>17.647058823529413</v>
      </c>
      <c r="M236" s="23"/>
      <c r="N236" s="51">
        <f t="shared" si="256"/>
        <v>7</v>
      </c>
      <c r="O236" s="52">
        <f t="shared" si="257"/>
        <v>21.875</v>
      </c>
      <c r="P236" s="53">
        <f>COUNTIFS('00 Encuesta'!$B$2:$B$511,"*b)*",'00 Encuesta'!$C$2:$C$511,"*b)*",'00 Encuesta'!$E$2:$E$511,"*a)*",'00 Encuesta'!$AE$2:$AE$511,"*b)*")</f>
        <v>5</v>
      </c>
      <c r="Q236" s="52">
        <f t="shared" si="258"/>
        <v>29.411764705882355</v>
      </c>
      <c r="R236" s="53">
        <f>COUNTIFS('00 Encuesta'!$B$2:$B$511,"*b)*",'00 Encuesta'!$C$2:$C$511,"*b)*",'00 Encuesta'!$E$2:$E$511,"*b)*",'00 Encuesta'!$AE$2:$AE$511,"*b)*")</f>
        <v>2</v>
      </c>
      <c r="S236" s="52">
        <f t="shared" si="259"/>
        <v>13.333333333333334</v>
      </c>
      <c r="T236" s="3"/>
      <c r="U236" s="51">
        <f t="shared" si="260"/>
        <v>0</v>
      </c>
      <c r="V236" s="52" t="e">
        <f t="shared" si="261"/>
        <v>#DIV/0!</v>
      </c>
      <c r="W236" s="53">
        <f>COUNTIFS('00 Encuesta'!$B$2:$B$511,"*b)*",'00 Encuesta'!$C$2:$C$511,"*d)*",'00 Encuesta'!$E$2:$E$511,"*a)*",'00 Encuesta'!$AE$2:$AE$511,"*b)*")</f>
        <v>0</v>
      </c>
      <c r="X236" s="52" t="e">
        <f t="shared" si="262"/>
        <v>#DIV/0!</v>
      </c>
      <c r="Y236" s="53">
        <f>COUNTIFS('00 Encuesta'!$B$2:$B$511,"*b)*",'00 Encuesta'!$C$2:$C$511,"*d)*",'00 Encuesta'!$E$2:$E$511,"*b)*",'00 Encuesta'!$AE$2:$AE$511,"*b)*")</f>
        <v>0</v>
      </c>
      <c r="Z236" s="52" t="e">
        <f t="shared" si="263"/>
        <v>#DIV/0!</v>
      </c>
      <c r="AA236" s="3"/>
      <c r="AB236" s="62">
        <f t="shared" si="264"/>
        <v>12</v>
      </c>
      <c r="AC236" s="52">
        <f t="shared" si="265"/>
        <v>17.142857142857142</v>
      </c>
      <c r="AD236" s="3"/>
      <c r="AE236" s="3"/>
      <c r="AF236" s="9" t="str">
        <f t="shared" si="266"/>
        <v>b) Tener una buena posición social, ser importante</v>
      </c>
      <c r="AG236" s="72">
        <f t="shared" si="267"/>
        <v>9.5238095238095237</v>
      </c>
      <c r="AH236" s="72">
        <f t="shared" si="268"/>
        <v>17.647058823529413</v>
      </c>
      <c r="AI236" s="73">
        <f t="shared" si="269"/>
        <v>13.157894736842104</v>
      </c>
      <c r="AJ236" s="73"/>
      <c r="AK236" s="76">
        <f t="shared" si="270"/>
        <v>29.411764705882355</v>
      </c>
      <c r="AL236" s="76">
        <f t="shared" si="271"/>
        <v>13.333333333333334</v>
      </c>
      <c r="AM236" s="76">
        <f t="shared" si="272"/>
        <v>21.875</v>
      </c>
      <c r="AN236" s="76"/>
      <c r="AO236" s="81" t="e">
        <f t="shared" si="273"/>
        <v>#DIV/0!</v>
      </c>
      <c r="AP236" s="81" t="e">
        <f t="shared" si="274"/>
        <v>#DIV/0!</v>
      </c>
      <c r="AQ236" s="81" t="e">
        <f t="shared" si="275"/>
        <v>#DIV/0!</v>
      </c>
      <c r="AR236" s="3"/>
      <c r="AS236" s="76">
        <f t="shared" si="227"/>
        <v>17.142857142857142</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ht="15" x14ac:dyDescent="0.25">
      <c r="A237" s="8" t="s">
        <v>20</v>
      </c>
      <c r="B237" s="9" t="s">
        <v>173</v>
      </c>
      <c r="C237" s="7"/>
      <c r="D237" s="7"/>
      <c r="E237" s="7"/>
      <c r="F237" s="71"/>
      <c r="G237" s="51">
        <f t="shared" si="252"/>
        <v>12</v>
      </c>
      <c r="H237" s="52">
        <f t="shared" si="253"/>
        <v>31.578947368421051</v>
      </c>
      <c r="I237" s="53">
        <f>COUNTIFS('00 Encuesta'!$B$2:$B$511,"*b)*",'00 Encuesta'!$C$2:$C$511,"*a)*",'00 Encuesta'!$E$2:$E$511,"*a)*",'00 Encuesta'!$AE$2:$AE$511,"*c)*")</f>
        <v>6</v>
      </c>
      <c r="J237" s="52">
        <f t="shared" si="254"/>
        <v>28.571428571428569</v>
      </c>
      <c r="K237" s="53">
        <f>COUNTIFS('00 Encuesta'!$B$2:$B$511,"*b)*",'00 Encuesta'!$C$2:$C$511,"*a)*",'00 Encuesta'!$E$2:$E$511,"*b)*",'00 Encuesta'!$AE$2:$AE$511,"*c)*")</f>
        <v>6</v>
      </c>
      <c r="L237" s="52">
        <f t="shared" si="255"/>
        <v>35.294117647058826</v>
      </c>
      <c r="M237" s="23"/>
      <c r="N237" s="51">
        <f t="shared" si="256"/>
        <v>7</v>
      </c>
      <c r="O237" s="52">
        <f t="shared" si="257"/>
        <v>21.875</v>
      </c>
      <c r="P237" s="53">
        <f>COUNTIFS('00 Encuesta'!$B$2:$B$511,"*b)*",'00 Encuesta'!$C$2:$C$511,"*b)*",'00 Encuesta'!$E$2:$E$511,"*a)*",'00 Encuesta'!$AE$2:$AE$511,"*c)*")</f>
        <v>3</v>
      </c>
      <c r="Q237" s="52">
        <f t="shared" si="258"/>
        <v>17.647058823529413</v>
      </c>
      <c r="R237" s="53">
        <f>COUNTIFS('00 Encuesta'!$B$2:$B$511,"*b)*",'00 Encuesta'!$C$2:$C$511,"*b)*",'00 Encuesta'!$E$2:$E$511,"*b)*",'00 Encuesta'!$AE$2:$AE$511,"*c)*")</f>
        <v>4</v>
      </c>
      <c r="S237" s="52">
        <f t="shared" si="259"/>
        <v>26.666666666666668</v>
      </c>
      <c r="T237" s="3"/>
      <c r="U237" s="51">
        <f t="shared" si="260"/>
        <v>0</v>
      </c>
      <c r="V237" s="52" t="e">
        <f t="shared" si="261"/>
        <v>#DIV/0!</v>
      </c>
      <c r="W237" s="53">
        <f>COUNTIFS('00 Encuesta'!$B$2:$B$511,"*b)*",'00 Encuesta'!$C$2:$C$511,"*d)*",'00 Encuesta'!$E$2:$E$511,"*a)*",'00 Encuesta'!$AE$2:$AE$511,"*c)*")</f>
        <v>0</v>
      </c>
      <c r="X237" s="52" t="e">
        <f t="shared" si="262"/>
        <v>#DIV/0!</v>
      </c>
      <c r="Y237" s="53">
        <f>COUNTIFS('00 Encuesta'!$B$2:$B$511,"*b)*",'00 Encuesta'!$C$2:$C$511,"*d)*",'00 Encuesta'!$E$2:$E$511,"*b)*",'00 Encuesta'!$AE$2:$AE$511,"*c)*")</f>
        <v>0</v>
      </c>
      <c r="Z237" s="52" t="e">
        <f t="shared" si="263"/>
        <v>#DIV/0!</v>
      </c>
      <c r="AA237" s="3"/>
      <c r="AB237" s="62">
        <f t="shared" si="264"/>
        <v>19</v>
      </c>
      <c r="AC237" s="52">
        <f t="shared" si="265"/>
        <v>27.142857142857142</v>
      </c>
      <c r="AD237" s="3"/>
      <c r="AE237" s="3"/>
      <c r="AF237" s="9" t="str">
        <f t="shared" si="266"/>
        <v>c) Ser un excelente profesional</v>
      </c>
      <c r="AG237" s="72">
        <f t="shared" si="267"/>
        <v>28.571428571428569</v>
      </c>
      <c r="AH237" s="72">
        <f t="shared" si="268"/>
        <v>35.294117647058826</v>
      </c>
      <c r="AI237" s="73">
        <f t="shared" si="269"/>
        <v>31.578947368421051</v>
      </c>
      <c r="AJ237" s="73"/>
      <c r="AK237" s="76">
        <f t="shared" si="270"/>
        <v>17.647058823529413</v>
      </c>
      <c r="AL237" s="76">
        <f t="shared" si="271"/>
        <v>26.666666666666668</v>
      </c>
      <c r="AM237" s="76">
        <f t="shared" si="272"/>
        <v>21.875</v>
      </c>
      <c r="AN237" s="76"/>
      <c r="AO237" s="81" t="e">
        <f t="shared" si="273"/>
        <v>#DIV/0!</v>
      </c>
      <c r="AP237" s="81" t="e">
        <f t="shared" si="274"/>
        <v>#DIV/0!</v>
      </c>
      <c r="AQ237" s="81" t="e">
        <f t="shared" si="275"/>
        <v>#DIV/0!</v>
      </c>
      <c r="AR237" s="3"/>
      <c r="AS237" s="76">
        <f t="shared" si="227"/>
        <v>27.142857142857142</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ht="15" x14ac:dyDescent="0.25">
      <c r="A238" s="8" t="s">
        <v>21</v>
      </c>
      <c r="B238" s="9" t="s">
        <v>174</v>
      </c>
      <c r="C238" s="7"/>
      <c r="D238" s="7"/>
      <c r="E238" s="7"/>
      <c r="F238" s="71"/>
      <c r="G238" s="51">
        <f t="shared" si="252"/>
        <v>2</v>
      </c>
      <c r="H238" s="52">
        <f t="shared" si="253"/>
        <v>5.2631578947368416</v>
      </c>
      <c r="I238" s="53">
        <f>COUNTIFS('00 Encuesta'!$B$2:$B$511,"*b)*",'00 Encuesta'!$C$2:$C$511,"*a)*",'00 Encuesta'!$E$2:$E$511,"*a)*",'00 Encuesta'!$AE$2:$AE$511,"*d)*")</f>
        <v>1</v>
      </c>
      <c r="J238" s="52">
        <f t="shared" si="254"/>
        <v>4.7619047619047619</v>
      </c>
      <c r="K238" s="53">
        <f>COUNTIFS('00 Encuesta'!$B$2:$B$511,"*b)*",'00 Encuesta'!$C$2:$C$511,"*a)*",'00 Encuesta'!$E$2:$E$511,"*b)*",'00 Encuesta'!$AE$2:$AE$511,"*d)*")</f>
        <v>1</v>
      </c>
      <c r="L238" s="52">
        <f t="shared" si="255"/>
        <v>5.8823529411764701</v>
      </c>
      <c r="M238" s="23"/>
      <c r="N238" s="51">
        <f t="shared" si="256"/>
        <v>7</v>
      </c>
      <c r="O238" s="52">
        <f t="shared" si="257"/>
        <v>21.875</v>
      </c>
      <c r="P238" s="53">
        <f>COUNTIFS('00 Encuesta'!$B$2:$B$511,"*b)*",'00 Encuesta'!$C$2:$C$511,"*b)*",'00 Encuesta'!$E$2:$E$511,"*a)*",'00 Encuesta'!$AE$2:$AE$511,"*d)*")</f>
        <v>2</v>
      </c>
      <c r="Q238" s="52">
        <f t="shared" si="258"/>
        <v>11.76470588235294</v>
      </c>
      <c r="R238" s="53">
        <f>COUNTIFS('00 Encuesta'!$B$2:$B$511,"*b)*",'00 Encuesta'!$C$2:$C$511,"*b)*",'00 Encuesta'!$E$2:$E$511,"*b)*",'00 Encuesta'!$AE$2:$AE$511,"*d)*")</f>
        <v>5</v>
      </c>
      <c r="S238" s="52">
        <f t="shared" si="259"/>
        <v>33.333333333333329</v>
      </c>
      <c r="T238" s="3"/>
      <c r="U238" s="51">
        <f t="shared" si="260"/>
        <v>0</v>
      </c>
      <c r="V238" s="52" t="e">
        <f t="shared" si="261"/>
        <v>#DIV/0!</v>
      </c>
      <c r="W238" s="53">
        <f>COUNTIFS('00 Encuesta'!$B$2:$B$511,"*b)*",'00 Encuesta'!$C$2:$C$511,"*d)*",'00 Encuesta'!$E$2:$E$511,"*a)*",'00 Encuesta'!$AE$2:$AE$511,"*d)*")</f>
        <v>0</v>
      </c>
      <c r="X238" s="52" t="e">
        <f t="shared" si="262"/>
        <v>#DIV/0!</v>
      </c>
      <c r="Y238" s="53">
        <f>COUNTIFS('00 Encuesta'!$B$2:$B$511,"*b)*",'00 Encuesta'!$C$2:$C$511,"*d)*",'00 Encuesta'!$E$2:$E$511,"*b)*",'00 Encuesta'!$AE$2:$AE$511,"*d)*")</f>
        <v>0</v>
      </c>
      <c r="Z238" s="52" t="e">
        <f t="shared" si="263"/>
        <v>#DIV/0!</v>
      </c>
      <c r="AA238" s="3"/>
      <c r="AB238" s="62">
        <f t="shared" si="264"/>
        <v>9</v>
      </c>
      <c r="AC238" s="52">
        <f t="shared" si="265"/>
        <v>12.857142857142858</v>
      </c>
      <c r="AD238" s="3"/>
      <c r="AE238" s="3"/>
      <c r="AF238" s="9" t="str">
        <f t="shared" si="266"/>
        <v>d) Desarrollarme personalmente</v>
      </c>
      <c r="AG238" s="72">
        <f t="shared" si="267"/>
        <v>4.7619047619047619</v>
      </c>
      <c r="AH238" s="72">
        <f t="shared" si="268"/>
        <v>5.8823529411764701</v>
      </c>
      <c r="AI238" s="73">
        <f t="shared" si="269"/>
        <v>5.2631578947368416</v>
      </c>
      <c r="AJ238" s="73"/>
      <c r="AK238" s="76">
        <f t="shared" si="270"/>
        <v>11.76470588235294</v>
      </c>
      <c r="AL238" s="76">
        <f t="shared" si="271"/>
        <v>33.333333333333329</v>
      </c>
      <c r="AM238" s="76">
        <f t="shared" si="272"/>
        <v>21.875</v>
      </c>
      <c r="AN238" s="76"/>
      <c r="AO238" s="81" t="e">
        <f t="shared" si="273"/>
        <v>#DIV/0!</v>
      </c>
      <c r="AP238" s="81" t="e">
        <f t="shared" si="274"/>
        <v>#DIV/0!</v>
      </c>
      <c r="AQ238" s="81" t="e">
        <f t="shared" si="275"/>
        <v>#DIV/0!</v>
      </c>
      <c r="AR238" s="3"/>
      <c r="AS238" s="76">
        <f t="shared" si="227"/>
        <v>12.857142857142858</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3</v>
      </c>
      <c r="H239" s="52">
        <f t="shared" si="253"/>
        <v>7.8947368421052628</v>
      </c>
      <c r="I239" s="53">
        <f>COUNTIFS('00 Encuesta'!$B$2:$B$511,"*b)*",'00 Encuesta'!$C$2:$C$511,"*a)*",'00 Encuesta'!$E$2:$E$511,"*a)*",'00 Encuesta'!$AE$2:$AE$511,"*e)*")</f>
        <v>1</v>
      </c>
      <c r="J239" s="52">
        <f t="shared" si="254"/>
        <v>4.7619047619047619</v>
      </c>
      <c r="K239" s="53">
        <f>COUNTIFS('00 Encuesta'!$B$2:$B$511,"*b)*",'00 Encuesta'!$C$2:$C$511,"*a)*",'00 Encuesta'!$E$2:$E$511,"*b)*",'00 Encuesta'!$AE$2:$AE$511,"*e)*")</f>
        <v>2</v>
      </c>
      <c r="L239" s="52">
        <f t="shared" si="255"/>
        <v>11.76470588235294</v>
      </c>
      <c r="M239" s="23"/>
      <c r="N239" s="51">
        <f t="shared" si="256"/>
        <v>7</v>
      </c>
      <c r="O239" s="52">
        <f t="shared" si="257"/>
        <v>21.875</v>
      </c>
      <c r="P239" s="53">
        <f>COUNTIFS('00 Encuesta'!$B$2:$B$511,"*b)*",'00 Encuesta'!$C$2:$C$511,"*b)*",'00 Encuesta'!$E$2:$E$511,"*a)*",'00 Encuesta'!$AE$2:$AE$511,"*e)*")</f>
        <v>4</v>
      </c>
      <c r="Q239" s="52">
        <f t="shared" si="258"/>
        <v>23.52941176470588</v>
      </c>
      <c r="R239" s="53">
        <f>COUNTIFS('00 Encuesta'!$B$2:$B$511,"*b)*",'00 Encuesta'!$C$2:$C$511,"*b)*",'00 Encuesta'!$E$2:$E$511,"*b)*",'00 Encuesta'!$AE$2:$AE$511,"*e)*")</f>
        <v>3</v>
      </c>
      <c r="S239" s="52">
        <f t="shared" si="259"/>
        <v>20</v>
      </c>
      <c r="T239" s="3"/>
      <c r="U239" s="51">
        <f t="shared" si="260"/>
        <v>0</v>
      </c>
      <c r="V239" s="52" t="e">
        <f t="shared" si="261"/>
        <v>#DIV/0!</v>
      </c>
      <c r="W239" s="53">
        <f>COUNTIFS('00 Encuesta'!$B$2:$B$511,"*b)*",'00 Encuesta'!$C$2:$C$511,"*d)*",'00 Encuesta'!$E$2:$E$511,"*a)*",'00 Encuesta'!$AE$2:$AE$511,"*e)*")</f>
        <v>0</v>
      </c>
      <c r="X239" s="52" t="e">
        <f t="shared" si="262"/>
        <v>#DIV/0!</v>
      </c>
      <c r="Y239" s="53">
        <f>COUNTIFS('00 Encuesta'!$B$2:$B$511,"*b)*",'00 Encuesta'!$C$2:$C$511,"*d)*",'00 Encuesta'!$E$2:$E$511,"*b)*",'00 Encuesta'!$AE$2:$AE$511,"*e)*")</f>
        <v>0</v>
      </c>
      <c r="Z239" s="52" t="e">
        <f t="shared" si="263"/>
        <v>#DIV/0!</v>
      </c>
      <c r="AA239" s="3"/>
      <c r="AB239" s="62">
        <f t="shared" si="264"/>
        <v>10</v>
      </c>
      <c r="AC239" s="52">
        <f t="shared" si="265"/>
        <v>14.285714285714286</v>
      </c>
      <c r="AD239" s="3"/>
      <c r="AE239" s="3"/>
      <c r="AF239" s="9" t="str">
        <f t="shared" si="266"/>
        <v>e) Servir a los demás</v>
      </c>
      <c r="AG239" s="72">
        <f t="shared" si="267"/>
        <v>4.7619047619047619</v>
      </c>
      <c r="AH239" s="72">
        <f t="shared" si="268"/>
        <v>11.76470588235294</v>
      </c>
      <c r="AI239" s="73">
        <f t="shared" si="269"/>
        <v>7.8947368421052628</v>
      </c>
      <c r="AJ239" s="73"/>
      <c r="AK239" s="76">
        <f t="shared" si="270"/>
        <v>23.52941176470588</v>
      </c>
      <c r="AL239" s="76">
        <f t="shared" si="271"/>
        <v>20</v>
      </c>
      <c r="AM239" s="76">
        <f t="shared" si="272"/>
        <v>21.875</v>
      </c>
      <c r="AN239" s="76"/>
      <c r="AO239" s="81" t="e">
        <f t="shared" si="273"/>
        <v>#DIV/0!</v>
      </c>
      <c r="AP239" s="81" t="e">
        <f t="shared" si="274"/>
        <v>#DIV/0!</v>
      </c>
      <c r="AQ239" s="81" t="e">
        <f t="shared" si="275"/>
        <v>#DIV/0!</v>
      </c>
      <c r="AR239" s="3"/>
      <c r="AS239" s="76">
        <f t="shared" si="227"/>
        <v>14.285714285714286</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ht="15" x14ac:dyDescent="0.25">
      <c r="A240" s="8" t="s">
        <v>45</v>
      </c>
      <c r="B240" s="9" t="s">
        <v>176</v>
      </c>
      <c r="C240" s="7"/>
      <c r="D240" s="7"/>
      <c r="E240" s="7"/>
      <c r="F240" s="71"/>
      <c r="G240" s="51">
        <f t="shared" si="252"/>
        <v>2</v>
      </c>
      <c r="H240" s="52">
        <f t="shared" si="253"/>
        <v>5.2631578947368416</v>
      </c>
      <c r="I240" s="53">
        <f>COUNTIFS('00 Encuesta'!$B$2:$B$511,"*b)*",'00 Encuesta'!$C$2:$C$511,"*a)*",'00 Encuesta'!$E$2:$E$511,"*a)*",'00 Encuesta'!$AE$2:$AE$511,"*f)*")</f>
        <v>1</v>
      </c>
      <c r="J240" s="52">
        <f t="shared" si="254"/>
        <v>4.7619047619047619</v>
      </c>
      <c r="K240" s="53">
        <f>COUNTIFS('00 Encuesta'!$B$2:$B$511,"*b)*",'00 Encuesta'!$C$2:$C$511,"*a)*",'00 Encuesta'!$E$2:$E$511,"*b)*",'00 Encuesta'!$AE$2:$AE$511,"*f)*")</f>
        <v>1</v>
      </c>
      <c r="L240" s="52">
        <f t="shared" si="255"/>
        <v>5.8823529411764701</v>
      </c>
      <c r="M240" s="23"/>
      <c r="N240" s="51">
        <f t="shared" si="256"/>
        <v>1</v>
      </c>
      <c r="O240" s="52">
        <f t="shared" si="257"/>
        <v>3.125</v>
      </c>
      <c r="P240" s="53">
        <f>COUNTIFS('00 Encuesta'!$B$2:$B$511,"*b)*",'00 Encuesta'!$C$2:$C$511,"*b)*",'00 Encuesta'!$E$2:$E$511,"*a)*",'00 Encuesta'!$AE$2:$AE$511,"*f)*")</f>
        <v>0</v>
      </c>
      <c r="Q240" s="52">
        <f t="shared" si="258"/>
        <v>0</v>
      </c>
      <c r="R240" s="53">
        <f>COUNTIFS('00 Encuesta'!$B$2:$B$511,"*b)*",'00 Encuesta'!$C$2:$C$511,"*b)*",'00 Encuesta'!$E$2:$E$511,"*b)*",'00 Encuesta'!$AE$2:$AE$511,"*f)*")</f>
        <v>1</v>
      </c>
      <c r="S240" s="52">
        <f t="shared" si="259"/>
        <v>6.666666666666667</v>
      </c>
      <c r="T240" s="3"/>
      <c r="U240" s="51">
        <f t="shared" si="260"/>
        <v>0</v>
      </c>
      <c r="V240" s="52" t="e">
        <f t="shared" si="261"/>
        <v>#DIV/0!</v>
      </c>
      <c r="W240" s="53">
        <f>COUNTIFS('00 Encuesta'!$B$2:$B$511,"*b)*",'00 Encuesta'!$C$2:$C$511,"*d)*",'00 Encuesta'!$E$2:$E$511,"*a)*",'00 Encuesta'!$AE$2:$AE$511,"*f)*")</f>
        <v>0</v>
      </c>
      <c r="X240" s="52" t="e">
        <f t="shared" si="262"/>
        <v>#DIV/0!</v>
      </c>
      <c r="Y240" s="53">
        <f>COUNTIFS('00 Encuesta'!$B$2:$B$511,"*b)*",'00 Encuesta'!$C$2:$C$511,"*d)*",'00 Encuesta'!$E$2:$E$511,"*b)*",'00 Encuesta'!$AE$2:$AE$511,"*f)*")</f>
        <v>0</v>
      </c>
      <c r="Z240" s="52" t="e">
        <f t="shared" si="263"/>
        <v>#DIV/0!</v>
      </c>
      <c r="AA240" s="3"/>
      <c r="AB240" s="62">
        <f t="shared" si="264"/>
        <v>3</v>
      </c>
      <c r="AC240" s="52">
        <f t="shared" si="265"/>
        <v>4.2857142857142856</v>
      </c>
      <c r="AD240" s="3"/>
      <c r="AE240" s="3"/>
      <c r="AF240" s="9" t="str">
        <f t="shared" si="266"/>
        <v>f) Ejecutar una tarea conforme a mi fe</v>
      </c>
      <c r="AG240" s="72">
        <f t="shared" si="267"/>
        <v>4.7619047619047619</v>
      </c>
      <c r="AH240" s="72">
        <f t="shared" si="268"/>
        <v>5.8823529411764701</v>
      </c>
      <c r="AI240" s="73">
        <f t="shared" si="269"/>
        <v>5.2631578947368416</v>
      </c>
      <c r="AJ240" s="73"/>
      <c r="AK240" s="76">
        <f t="shared" si="270"/>
        <v>0</v>
      </c>
      <c r="AL240" s="76">
        <f t="shared" si="271"/>
        <v>6.666666666666667</v>
      </c>
      <c r="AM240" s="76">
        <f t="shared" si="272"/>
        <v>3.125</v>
      </c>
      <c r="AN240" s="76"/>
      <c r="AO240" s="81" t="e">
        <f t="shared" si="273"/>
        <v>#DIV/0!</v>
      </c>
      <c r="AP240" s="81" t="e">
        <f t="shared" si="274"/>
        <v>#DIV/0!</v>
      </c>
      <c r="AQ240" s="81" t="e">
        <f t="shared" si="275"/>
        <v>#DIV/0!</v>
      </c>
      <c r="AR240" s="3"/>
      <c r="AS240" s="76">
        <f t="shared" si="227"/>
        <v>4.2857142857142856</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ht="15" x14ac:dyDescent="0.25">
      <c r="A241" s="8" t="s">
        <v>23</v>
      </c>
      <c r="B241" s="9" t="s">
        <v>24</v>
      </c>
      <c r="C241" s="7"/>
      <c r="D241" s="7"/>
      <c r="E241" s="7"/>
      <c r="F241" s="71"/>
      <c r="G241" s="51">
        <f t="shared" si="252"/>
        <v>0</v>
      </c>
      <c r="H241" s="52">
        <f t="shared" si="253"/>
        <v>0</v>
      </c>
      <c r="I241" s="53"/>
      <c r="J241" s="52">
        <f t="shared" si="254"/>
        <v>0</v>
      </c>
      <c r="K241" s="53"/>
      <c r="L241" s="52">
        <f t="shared" si="255"/>
        <v>0</v>
      </c>
      <c r="M241" s="23"/>
      <c r="N241" s="51">
        <f t="shared" si="256"/>
        <v>0</v>
      </c>
      <c r="O241" s="52">
        <f t="shared" si="257"/>
        <v>0</v>
      </c>
      <c r="P241" s="53"/>
      <c r="Q241" s="52">
        <f t="shared" si="258"/>
        <v>0</v>
      </c>
      <c r="R241" s="53"/>
      <c r="S241" s="52">
        <f t="shared" si="259"/>
        <v>0</v>
      </c>
      <c r="T241" s="3"/>
      <c r="U241" s="51">
        <f t="shared" si="260"/>
        <v>0</v>
      </c>
      <c r="V241" s="52" t="e">
        <f t="shared" si="261"/>
        <v>#DIV/0!</v>
      </c>
      <c r="W241" s="53"/>
      <c r="X241" s="52" t="e">
        <f t="shared" si="262"/>
        <v>#DIV/0!</v>
      </c>
      <c r="Y241" s="53"/>
      <c r="Z241" s="52" t="e">
        <f t="shared" si="263"/>
        <v>#DIV/0!</v>
      </c>
      <c r="AA241" s="3"/>
      <c r="AB241" s="62">
        <f t="shared" si="264"/>
        <v>0</v>
      </c>
      <c r="AC241" s="52">
        <f t="shared" si="265"/>
        <v>0</v>
      </c>
      <c r="AD241" s="3"/>
      <c r="AE241" s="3"/>
      <c r="AF241" s="9" t="str">
        <f t="shared" si="266"/>
        <v>S/R Sin Respuesta</v>
      </c>
      <c r="AG241" s="72">
        <f t="shared" si="267"/>
        <v>0</v>
      </c>
      <c r="AH241" s="72">
        <f t="shared" si="268"/>
        <v>0</v>
      </c>
      <c r="AI241" s="73">
        <f t="shared" si="269"/>
        <v>0</v>
      </c>
      <c r="AJ241" s="73"/>
      <c r="AK241" s="76">
        <f t="shared" si="270"/>
        <v>0</v>
      </c>
      <c r="AL241" s="76">
        <f t="shared" si="271"/>
        <v>0</v>
      </c>
      <c r="AM241" s="76">
        <f t="shared" si="272"/>
        <v>0</v>
      </c>
      <c r="AN241" s="76"/>
      <c r="AO241" s="81" t="e">
        <f t="shared" si="273"/>
        <v>#DIV/0!</v>
      </c>
      <c r="AP241" s="81" t="e">
        <f t="shared" si="274"/>
        <v>#DIV/0!</v>
      </c>
      <c r="AQ241" s="81" t="e">
        <f t="shared" si="275"/>
        <v>#DIV/0!</v>
      </c>
      <c r="AR241" s="3"/>
      <c r="AS241" s="76">
        <f t="shared" si="227"/>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ht="15.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ht="15" x14ac:dyDescent="0.25">
      <c r="A244" s="8" t="s">
        <v>17</v>
      </c>
      <c r="B244" s="9" t="s">
        <v>178</v>
      </c>
      <c r="C244" s="7"/>
      <c r="D244" s="7"/>
      <c r="E244" s="7"/>
      <c r="F244" s="71">
        <v>0</v>
      </c>
      <c r="G244" s="51">
        <f t="shared" ref="G244:G249" si="276">I244+K244</f>
        <v>1</v>
      </c>
      <c r="H244" s="52">
        <f t="shared" ref="H244:H249" si="277">G244/$J$5*100</f>
        <v>2.6315789473684208</v>
      </c>
      <c r="I244" s="53">
        <f>COUNTIFS('00 Encuesta'!$B$2:$B$511,"*b)*",'00 Encuesta'!$C$2:$C$511,"*a)*",'00 Encuesta'!$E$2:$E$511,"*a)*",'00 Encuesta'!$AF$2:$AF$511,"*a)*")</f>
        <v>0</v>
      </c>
      <c r="J244" s="52">
        <f t="shared" ref="J244:J249" si="278">I244/$J$6*100</f>
        <v>0</v>
      </c>
      <c r="K244" s="53">
        <f>COUNTIFS('00 Encuesta'!$B$2:$B$511,"*b)*",'00 Encuesta'!$C$2:$C$511,"*a)*",'00 Encuesta'!$E$2:$E$511,"*b)*",'00 Encuesta'!$AF$2:$AF$511,"*a)*")</f>
        <v>1</v>
      </c>
      <c r="L244" s="52">
        <f>K244/$J$7*100</f>
        <v>5.8823529411764701</v>
      </c>
      <c r="M244" s="23"/>
      <c r="N244" s="51">
        <f>P244+R244</f>
        <v>0</v>
      </c>
      <c r="O244" s="52">
        <f>N244/$Q$5*100</f>
        <v>0</v>
      </c>
      <c r="P244" s="53">
        <f>COUNTIFS('00 Encuesta'!$B$2:$B$511,"*b)*",'00 Encuesta'!$C$2:$C$511,"*b)*",'00 Encuesta'!$E$2:$E$511,"*a)*",'00 Encuesta'!$AF$2:$AF$511,"*a)*")</f>
        <v>0</v>
      </c>
      <c r="Q244" s="52">
        <f>P244/$Q$6*100</f>
        <v>0</v>
      </c>
      <c r="R244" s="53">
        <f>COUNTIFS('00 Encuesta'!$B$2:$B$511,"*b)*",'00 Encuesta'!$C$2:$C$511,"*b)*",'00 Encuesta'!$E$2:$E$511,"*b)*",'00 Encuesta'!$AF$2:$AF$511,"*a)*")</f>
        <v>0</v>
      </c>
      <c r="S244" s="52">
        <f>R244/$Q$7*100</f>
        <v>0</v>
      </c>
      <c r="T244" s="3"/>
      <c r="U244" s="51">
        <f>W244+Y244</f>
        <v>0</v>
      </c>
      <c r="V244" s="52" t="e">
        <f>U244/$X$5*100</f>
        <v>#DIV/0!</v>
      </c>
      <c r="W244" s="53">
        <f>COUNTIFS('00 Encuesta'!$B$2:$B$511,"*b)*",'00 Encuesta'!$C$2:$C$511,"*d)*",'00 Encuesta'!$E$2:$E$511,"*a)*",'00 Encuesta'!$AF$2:$AF$511,"*a)*")</f>
        <v>0</v>
      </c>
      <c r="X244" s="52" t="e">
        <f>W244/$X$6*100</f>
        <v>#DIV/0!</v>
      </c>
      <c r="Y244" s="53">
        <f>COUNTIFS('00 Encuesta'!$B$2:$B$511,"*b)*",'00 Encuesta'!$C$2:$C$511,"*d)*",'00 Encuesta'!$E$2:$E$511,"*b)*",'00 Encuesta'!$AF$2:$AF$511,"*a)*")</f>
        <v>0</v>
      </c>
      <c r="Z244" s="52" t="e">
        <f t="shared" ref="Z244:Z249" si="279">Y244/$X$7*100</f>
        <v>#DIV/0!</v>
      </c>
      <c r="AA244" s="3"/>
      <c r="AB244" s="62">
        <f t="shared" ref="AB244:AB249" si="280">G244+N244+U244</f>
        <v>1</v>
      </c>
      <c r="AC244" s="52">
        <f t="shared" ref="AC244:AC249" si="281">AB244*100/$AC$5</f>
        <v>1.4285714285714286</v>
      </c>
      <c r="AD244" s="3"/>
      <c r="AE244" s="3"/>
      <c r="AF244" s="9" t="str">
        <f t="shared" ref="AF244:AF249" si="282">A244&amp;" "&amp;B244</f>
        <v>a) No, en absoluto</v>
      </c>
      <c r="AG244" s="72">
        <f t="shared" ref="AG244:AG249" si="283">J244</f>
        <v>0</v>
      </c>
      <c r="AH244" s="72">
        <f t="shared" ref="AH244:AH249" si="284">L244</f>
        <v>5.8823529411764701</v>
      </c>
      <c r="AI244" s="73">
        <f t="shared" ref="AI244:AI249" si="285">H244</f>
        <v>2.6315789473684208</v>
      </c>
      <c r="AJ244" s="73"/>
      <c r="AK244" s="76">
        <f t="shared" ref="AK244:AK249" si="286">Q244</f>
        <v>0</v>
      </c>
      <c r="AL244" s="76">
        <f t="shared" ref="AL244:AL249" si="287">S244</f>
        <v>0</v>
      </c>
      <c r="AM244" s="76">
        <f t="shared" ref="AM244:AM249" si="288">O244</f>
        <v>0</v>
      </c>
      <c r="AN244" s="76"/>
      <c r="AO244" s="81" t="e">
        <f t="shared" ref="AO244:AO249" si="289">X244</f>
        <v>#DIV/0!</v>
      </c>
      <c r="AP244" s="81" t="e">
        <f t="shared" ref="AP244:AP249" si="290">Z244</f>
        <v>#DIV/0!</v>
      </c>
      <c r="AQ244" s="81" t="e">
        <f t="shared" ref="AQ244:AQ249" si="291">V244</f>
        <v>#DIV/0!</v>
      </c>
      <c r="AR244" s="3"/>
      <c r="AS244" s="76">
        <f t="shared" si="227"/>
        <v>1.4285714285714286</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ht="15" x14ac:dyDescent="0.25">
      <c r="A245" s="8" t="s">
        <v>18</v>
      </c>
      <c r="B245" s="9" t="s">
        <v>104</v>
      </c>
      <c r="C245" s="7"/>
      <c r="D245" s="7"/>
      <c r="E245" s="7"/>
      <c r="F245" s="71">
        <v>33.33</v>
      </c>
      <c r="G245" s="51">
        <f t="shared" si="276"/>
        <v>14</v>
      </c>
      <c r="H245" s="52">
        <f t="shared" si="277"/>
        <v>36.84210526315789</v>
      </c>
      <c r="I245" s="53">
        <f>COUNTIFS('00 Encuesta'!$B$2:$B$511,"*b)*",'00 Encuesta'!$C$2:$C$511,"*a)*",'00 Encuesta'!$E$2:$E$511,"*a)*",'00 Encuesta'!$AF$2:$AF$511,"*b)*")</f>
        <v>7</v>
      </c>
      <c r="J245" s="52">
        <f t="shared" si="278"/>
        <v>33.333333333333329</v>
      </c>
      <c r="K245" s="53">
        <f>COUNTIFS('00 Encuesta'!$B$2:$B$511,"*b)*",'00 Encuesta'!$C$2:$C$511,"*a)*",'00 Encuesta'!$E$2:$E$511,"*b)*",'00 Encuesta'!$AF$2:$AF$511,"*b)*")</f>
        <v>7</v>
      </c>
      <c r="L245" s="52">
        <f>K245/$J$7*100</f>
        <v>41.17647058823529</v>
      </c>
      <c r="M245" s="23"/>
      <c r="N245" s="51">
        <f>P245+R245</f>
        <v>6</v>
      </c>
      <c r="O245" s="52">
        <f>N245/$Q$5*100</f>
        <v>18.75</v>
      </c>
      <c r="P245" s="53">
        <f>COUNTIFS('00 Encuesta'!$B$2:$B$511,"*b)*",'00 Encuesta'!$C$2:$C$511,"*b)*",'00 Encuesta'!$E$2:$E$511,"*a)*",'00 Encuesta'!$AF$2:$AF$511,"*b)*")</f>
        <v>3</v>
      </c>
      <c r="Q245" s="52">
        <f>P245/$Q$6*100</f>
        <v>17.647058823529413</v>
      </c>
      <c r="R245" s="53">
        <f>COUNTIFS('00 Encuesta'!$B$2:$B$511,"*b)*",'00 Encuesta'!$C$2:$C$511,"*b)*",'00 Encuesta'!$E$2:$E$511,"*b)*",'00 Encuesta'!$AF$2:$AF$511,"*b)*")</f>
        <v>3</v>
      </c>
      <c r="S245" s="52">
        <f>R245/$Q$7*100</f>
        <v>20</v>
      </c>
      <c r="T245" s="3"/>
      <c r="U245" s="51">
        <f>W245+Y245</f>
        <v>0</v>
      </c>
      <c r="V245" s="52" t="e">
        <f>U245/$X$5*100</f>
        <v>#DIV/0!</v>
      </c>
      <c r="W245" s="53">
        <f>COUNTIFS('00 Encuesta'!$B$2:$B$511,"*b)*",'00 Encuesta'!$C$2:$C$511,"*d)*",'00 Encuesta'!$E$2:$E$511,"*a)*",'00 Encuesta'!$AF$2:$AF$511,"*b)*")</f>
        <v>0</v>
      </c>
      <c r="X245" s="52" t="e">
        <f>W245/$X$6*100</f>
        <v>#DIV/0!</v>
      </c>
      <c r="Y245" s="53">
        <f>COUNTIFS('00 Encuesta'!$B$2:$B$511,"*b)*",'00 Encuesta'!$C$2:$C$511,"*d)*",'00 Encuesta'!$E$2:$E$511,"*b)*",'00 Encuesta'!$AF$2:$AF$511,"*b)*")</f>
        <v>0</v>
      </c>
      <c r="Z245" s="52" t="e">
        <f t="shared" si="279"/>
        <v>#DIV/0!</v>
      </c>
      <c r="AA245" s="3"/>
      <c r="AB245" s="62">
        <f t="shared" si="280"/>
        <v>20</v>
      </c>
      <c r="AC245" s="52">
        <f t="shared" si="281"/>
        <v>28.571428571428573</v>
      </c>
      <c r="AD245" s="3"/>
      <c r="AE245" s="3"/>
      <c r="AF245" s="9" t="str">
        <f t="shared" si="282"/>
        <v>b) Poco</v>
      </c>
      <c r="AG245" s="72">
        <f t="shared" si="283"/>
        <v>33.333333333333329</v>
      </c>
      <c r="AH245" s="72">
        <f t="shared" si="284"/>
        <v>41.17647058823529</v>
      </c>
      <c r="AI245" s="73">
        <f t="shared" si="285"/>
        <v>36.84210526315789</v>
      </c>
      <c r="AJ245" s="73"/>
      <c r="AK245" s="76">
        <f t="shared" si="286"/>
        <v>17.647058823529413</v>
      </c>
      <c r="AL245" s="76">
        <f t="shared" si="287"/>
        <v>20</v>
      </c>
      <c r="AM245" s="76">
        <f t="shared" si="288"/>
        <v>18.75</v>
      </c>
      <c r="AN245" s="76"/>
      <c r="AO245" s="81" t="e">
        <f t="shared" si="289"/>
        <v>#DIV/0!</v>
      </c>
      <c r="AP245" s="81" t="e">
        <f t="shared" si="290"/>
        <v>#DIV/0!</v>
      </c>
      <c r="AQ245" s="81" t="e">
        <f t="shared" si="291"/>
        <v>#DIV/0!</v>
      </c>
      <c r="AR245" s="3"/>
      <c r="AS245" s="76">
        <f t="shared" si="227"/>
        <v>28.571428571428573</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ht="15" x14ac:dyDescent="0.25">
      <c r="A246" s="8" t="s">
        <v>20</v>
      </c>
      <c r="B246" s="9" t="s">
        <v>179</v>
      </c>
      <c r="C246" s="7"/>
      <c r="D246" s="7"/>
      <c r="E246" s="7"/>
      <c r="F246" s="71">
        <v>66.66</v>
      </c>
      <c r="G246" s="51">
        <f t="shared" si="276"/>
        <v>7</v>
      </c>
      <c r="H246" s="52">
        <f t="shared" si="277"/>
        <v>18.421052631578945</v>
      </c>
      <c r="I246" s="53">
        <f>COUNTIFS('00 Encuesta'!$B$2:$B$511,"*b)*",'00 Encuesta'!$C$2:$C$511,"*a)*",'00 Encuesta'!$E$2:$E$511,"*a)*",'00 Encuesta'!$AF$2:$AF$511,"*c)*")</f>
        <v>4</v>
      </c>
      <c r="J246" s="52">
        <f t="shared" si="278"/>
        <v>19.047619047619047</v>
      </c>
      <c r="K246" s="53">
        <f>COUNTIFS('00 Encuesta'!$B$2:$B$511,"*b)*",'00 Encuesta'!$C$2:$C$511,"*a)*",'00 Encuesta'!$E$2:$E$511,"*b)*",'00 Encuesta'!$AF$2:$AF$511,"*c)*")</f>
        <v>3</v>
      </c>
      <c r="L246" s="52">
        <f>K246/$J$7*100</f>
        <v>17.647058823529413</v>
      </c>
      <c r="M246" s="23"/>
      <c r="N246" s="51">
        <f>P246+R246</f>
        <v>17</v>
      </c>
      <c r="O246" s="52">
        <f>N246/$Q$5*100</f>
        <v>53.125</v>
      </c>
      <c r="P246" s="53">
        <f>COUNTIFS('00 Encuesta'!$B$2:$B$511,"*b)*",'00 Encuesta'!$C$2:$C$511,"*b)*",'00 Encuesta'!$E$2:$E$511,"*a)*",'00 Encuesta'!$AF$2:$AF$511,"*c)*")</f>
        <v>8</v>
      </c>
      <c r="Q246" s="52">
        <f>P246/$Q$6*100</f>
        <v>47.058823529411761</v>
      </c>
      <c r="R246" s="53">
        <f>COUNTIFS('00 Encuesta'!$B$2:$B$511,"*b)*",'00 Encuesta'!$C$2:$C$511,"*b)*",'00 Encuesta'!$E$2:$E$511,"*b)*",'00 Encuesta'!$AF$2:$AF$511,"*c)*")</f>
        <v>9</v>
      </c>
      <c r="S246" s="52">
        <f>R246/$Q$7*100</f>
        <v>60</v>
      </c>
      <c r="T246" s="3"/>
      <c r="U246" s="51">
        <f>W246+Y246</f>
        <v>0</v>
      </c>
      <c r="V246" s="52" t="e">
        <f>U246/$X$5*100</f>
        <v>#DIV/0!</v>
      </c>
      <c r="W246" s="53">
        <f>COUNTIFS('00 Encuesta'!$B$2:$B$511,"*b)*",'00 Encuesta'!$C$2:$C$511,"*d)*",'00 Encuesta'!$E$2:$E$511,"*a)*",'00 Encuesta'!$AF$2:$AF$511,"*c)*")</f>
        <v>0</v>
      </c>
      <c r="X246" s="52" t="e">
        <f>W246/$X$6*100</f>
        <v>#DIV/0!</v>
      </c>
      <c r="Y246" s="53">
        <f>COUNTIFS('00 Encuesta'!$B$2:$B$511,"*b)*",'00 Encuesta'!$C$2:$C$511,"*d)*",'00 Encuesta'!$E$2:$E$511,"*b)*",'00 Encuesta'!$AF$2:$AF$511,"*c)*")</f>
        <v>0</v>
      </c>
      <c r="Z246" s="52" t="e">
        <f t="shared" si="279"/>
        <v>#DIV/0!</v>
      </c>
      <c r="AA246" s="3"/>
      <c r="AB246" s="62">
        <f t="shared" si="280"/>
        <v>24</v>
      </c>
      <c r="AC246" s="52">
        <f t="shared" si="281"/>
        <v>34.285714285714285</v>
      </c>
      <c r="AD246" s="3"/>
      <c r="AE246" s="3"/>
      <c r="AF246" s="9" t="str">
        <f t="shared" si="282"/>
        <v>c) Bastante</v>
      </c>
      <c r="AG246" s="72">
        <f t="shared" si="283"/>
        <v>19.047619047619047</v>
      </c>
      <c r="AH246" s="72">
        <f t="shared" si="284"/>
        <v>17.647058823529413</v>
      </c>
      <c r="AI246" s="73">
        <f t="shared" si="285"/>
        <v>18.421052631578945</v>
      </c>
      <c r="AJ246" s="73"/>
      <c r="AK246" s="76">
        <f t="shared" si="286"/>
        <v>47.058823529411761</v>
      </c>
      <c r="AL246" s="76">
        <f t="shared" si="287"/>
        <v>60</v>
      </c>
      <c r="AM246" s="76">
        <f t="shared" si="288"/>
        <v>53.125</v>
      </c>
      <c r="AN246" s="76"/>
      <c r="AO246" s="81" t="e">
        <f t="shared" si="289"/>
        <v>#DIV/0!</v>
      </c>
      <c r="AP246" s="81" t="e">
        <f t="shared" si="290"/>
        <v>#DIV/0!</v>
      </c>
      <c r="AQ246" s="81" t="e">
        <f t="shared" si="291"/>
        <v>#DIV/0!</v>
      </c>
      <c r="AR246" s="3"/>
      <c r="AS246" s="76">
        <f t="shared" si="227"/>
        <v>34.285714285714285</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4</v>
      </c>
      <c r="H247" s="52">
        <f t="shared" si="277"/>
        <v>10.526315789473683</v>
      </c>
      <c r="I247" s="53">
        <f>COUNTIFS('00 Encuesta'!$B$2:$B$511,"*b)*",'00 Encuesta'!$C$2:$C$511,"*a)*",'00 Encuesta'!$E$2:$E$511,"*a)*",'00 Encuesta'!$AF$2:$AF$511,"*d)*")</f>
        <v>3</v>
      </c>
      <c r="J247" s="52">
        <f t="shared" si="278"/>
        <v>14.285714285714285</v>
      </c>
      <c r="K247" s="53">
        <f>COUNTIFS('00 Encuesta'!$B$2:$B$511,"*b)*",'00 Encuesta'!$C$2:$C$511,"*a)*",'00 Encuesta'!$E$2:$E$511,"*b)*",'00 Encuesta'!$AF$2:$AF$511,"*d)*")</f>
        <v>1</v>
      </c>
      <c r="L247" s="52">
        <f>K247/$J$7*100</f>
        <v>5.8823529411764701</v>
      </c>
      <c r="M247" s="23"/>
      <c r="N247" s="51">
        <f>P247+R247</f>
        <v>5</v>
      </c>
      <c r="O247" s="52">
        <f>N247/$Q$5*100</f>
        <v>15.625</v>
      </c>
      <c r="P247" s="53">
        <f>COUNTIFS('00 Encuesta'!$B$2:$B$511,"*b)*",'00 Encuesta'!$C$2:$C$511,"*b)*",'00 Encuesta'!$E$2:$E$511,"*a)*",'00 Encuesta'!$AF$2:$AF$511,"*d)*")</f>
        <v>4</v>
      </c>
      <c r="Q247" s="52">
        <f>P247/$Q$6*100</f>
        <v>23.52941176470588</v>
      </c>
      <c r="R247" s="53">
        <f>COUNTIFS('00 Encuesta'!$B$2:$B$511,"*b)*",'00 Encuesta'!$C$2:$C$511,"*b)*",'00 Encuesta'!$E$2:$E$511,"*b)*",'00 Encuesta'!$AF$2:$AF$511,"*d)*")</f>
        <v>1</v>
      </c>
      <c r="S247" s="52">
        <f>R247/$Q$7*100</f>
        <v>6.666666666666667</v>
      </c>
      <c r="T247" s="3"/>
      <c r="U247" s="51">
        <f>W247+Y247</f>
        <v>0</v>
      </c>
      <c r="V247" s="52" t="e">
        <f>U247/$X$5*100</f>
        <v>#DIV/0!</v>
      </c>
      <c r="W247" s="53">
        <f>COUNTIFS('00 Encuesta'!$B$2:$B$511,"*b)*",'00 Encuesta'!$C$2:$C$511,"*d)*",'00 Encuesta'!$E$2:$E$511,"*a)*",'00 Encuesta'!$AF$2:$AF$511,"*d)*")</f>
        <v>0</v>
      </c>
      <c r="X247" s="52" t="e">
        <f>W247/$X$6*100</f>
        <v>#DIV/0!</v>
      </c>
      <c r="Y247" s="53">
        <f>COUNTIFS('00 Encuesta'!$B$2:$B$511,"*b)*",'00 Encuesta'!$C$2:$C$511,"*d)*",'00 Encuesta'!$E$2:$E$511,"*b)*",'00 Encuesta'!$AF$2:$AF$511,"*d)*")</f>
        <v>0</v>
      </c>
      <c r="Z247" s="52" t="e">
        <f t="shared" si="279"/>
        <v>#DIV/0!</v>
      </c>
      <c r="AA247" s="3"/>
      <c r="AB247" s="62">
        <f t="shared" si="280"/>
        <v>9</v>
      </c>
      <c r="AC247" s="52">
        <f t="shared" si="281"/>
        <v>12.857142857142858</v>
      </c>
      <c r="AD247" s="3"/>
      <c r="AE247" s="3"/>
      <c r="AF247" s="9" t="str">
        <f t="shared" si="282"/>
        <v>d) Mucho o muchísimo</v>
      </c>
      <c r="AG247" s="72">
        <f t="shared" si="283"/>
        <v>14.285714285714285</v>
      </c>
      <c r="AH247" s="72">
        <f t="shared" si="284"/>
        <v>5.8823529411764701</v>
      </c>
      <c r="AI247" s="73">
        <f t="shared" si="285"/>
        <v>10.526315789473683</v>
      </c>
      <c r="AJ247" s="73"/>
      <c r="AK247" s="76">
        <f t="shared" si="286"/>
        <v>23.52941176470588</v>
      </c>
      <c r="AL247" s="76">
        <f t="shared" si="287"/>
        <v>6.666666666666667</v>
      </c>
      <c r="AM247" s="76">
        <f t="shared" si="288"/>
        <v>15.625</v>
      </c>
      <c r="AN247" s="76"/>
      <c r="AO247" s="81" t="e">
        <f t="shared" si="289"/>
        <v>#DIV/0!</v>
      </c>
      <c r="AP247" s="81" t="e">
        <f t="shared" si="290"/>
        <v>#DIV/0!</v>
      </c>
      <c r="AQ247" s="81" t="e">
        <f t="shared" si="291"/>
        <v>#DIV/0!</v>
      </c>
      <c r="AR247" s="3"/>
      <c r="AS247" s="76">
        <f t="shared" si="227"/>
        <v>12.857142857142858</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9</v>
      </c>
      <c r="H248" s="52">
        <f t="shared" si="277"/>
        <v>23.684210526315788</v>
      </c>
      <c r="I248" s="53">
        <f>COUNTIFS('00 Encuesta'!$B$2:$B$511,"*b)*",'00 Encuesta'!$C$2:$C$511,"*a)*",'00 Encuesta'!$E$2:$E$511,"*a)*",'00 Encuesta'!$AF$2:$AF$511,"*e)*")</f>
        <v>5</v>
      </c>
      <c r="J248" s="52">
        <f t="shared" si="278"/>
        <v>23.809523809523807</v>
      </c>
      <c r="K248" s="53">
        <f>COUNTIFS('00 Encuesta'!$B$2:$B$511,"*b)*",'00 Encuesta'!$C$2:$C$511,"*a)*",'00 Encuesta'!$E$2:$E$511,"*b)*",'00 Encuesta'!$AF$2:$AF$511,"*e)*")</f>
        <v>4</v>
      </c>
      <c r="L248" s="52">
        <f>K248/$J$7*100</f>
        <v>23.52941176470588</v>
      </c>
      <c r="M248" s="23"/>
      <c r="N248" s="51">
        <f>P248+R248</f>
        <v>2</v>
      </c>
      <c r="O248" s="52">
        <f>N248/$Q$5*100</f>
        <v>6.25</v>
      </c>
      <c r="P248" s="53">
        <f>COUNTIFS('00 Encuesta'!$B$2:$B$511,"*b)*",'00 Encuesta'!$C$2:$C$511,"*b)*",'00 Encuesta'!$E$2:$E$511,"*a)*",'00 Encuesta'!$AF$2:$AF$511,"*e)*")</f>
        <v>0</v>
      </c>
      <c r="Q248" s="52">
        <f>P248/$Q$6*100</f>
        <v>0</v>
      </c>
      <c r="R248" s="53">
        <f>COUNTIFS('00 Encuesta'!$B$2:$B$511,"*b)*",'00 Encuesta'!$C$2:$C$511,"*b)*",'00 Encuesta'!$E$2:$E$511,"*b)*",'00 Encuesta'!$AF$2:$AF$511,"*e)*")</f>
        <v>2</v>
      </c>
      <c r="S248" s="52">
        <f>R248/$Q$7*100</f>
        <v>13.333333333333334</v>
      </c>
      <c r="T248" s="3"/>
      <c r="U248" s="51">
        <f>W248+Y248</f>
        <v>0</v>
      </c>
      <c r="V248" s="52" t="e">
        <f>U248/$X$5*100</f>
        <v>#DIV/0!</v>
      </c>
      <c r="W248" s="53">
        <f>COUNTIFS('00 Encuesta'!$B$2:$B$511,"*b)*",'00 Encuesta'!$C$2:$C$511,"*d)*",'00 Encuesta'!$E$2:$E$511,"*a)*",'00 Encuesta'!$AF$2:$AF$511,"*e)*")</f>
        <v>0</v>
      </c>
      <c r="X248" s="52" t="e">
        <f>W248/$X$6*100</f>
        <v>#DIV/0!</v>
      </c>
      <c r="Y248" s="53">
        <f>COUNTIFS('00 Encuesta'!$B$2:$B$511,"*b)*",'00 Encuesta'!$C$2:$C$511,"*d)*",'00 Encuesta'!$E$2:$E$511,"*b)*",'00 Encuesta'!$AF$2:$AF$511,"*e)*")</f>
        <v>0</v>
      </c>
      <c r="Z248" s="52" t="e">
        <f t="shared" si="279"/>
        <v>#DIV/0!</v>
      </c>
      <c r="AA248" s="3"/>
      <c r="AB248" s="62">
        <f t="shared" si="280"/>
        <v>11</v>
      </c>
      <c r="AC248" s="52">
        <f t="shared" si="281"/>
        <v>15.714285714285714</v>
      </c>
      <c r="AD248" s="3"/>
      <c r="AE248" s="3"/>
      <c r="AF248" s="9" t="str">
        <f t="shared" si="282"/>
        <v>e) No sé</v>
      </c>
      <c r="AG248" s="72">
        <f t="shared" si="283"/>
        <v>23.809523809523807</v>
      </c>
      <c r="AH248" s="72">
        <f t="shared" si="284"/>
        <v>23.52941176470588</v>
      </c>
      <c r="AI248" s="73">
        <f t="shared" si="285"/>
        <v>23.684210526315788</v>
      </c>
      <c r="AJ248" s="73"/>
      <c r="AK248" s="76">
        <f t="shared" si="286"/>
        <v>0</v>
      </c>
      <c r="AL248" s="76">
        <f t="shared" si="287"/>
        <v>13.333333333333334</v>
      </c>
      <c r="AM248" s="76">
        <f t="shared" si="288"/>
        <v>6.25</v>
      </c>
      <c r="AN248" s="76"/>
      <c r="AO248" s="81" t="e">
        <f t="shared" si="289"/>
        <v>#DIV/0!</v>
      </c>
      <c r="AP248" s="81" t="e">
        <f t="shared" si="290"/>
        <v>#DIV/0!</v>
      </c>
      <c r="AQ248" s="81" t="e">
        <f t="shared" si="291"/>
        <v>#DIV/0!</v>
      </c>
      <c r="AR248" s="3"/>
      <c r="AS248" s="76">
        <f t="shared" si="227"/>
        <v>15.714285714285714</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ht="15" x14ac:dyDescent="0.25">
      <c r="A249" s="8" t="s">
        <v>23</v>
      </c>
      <c r="B249" s="9" t="s">
        <v>24</v>
      </c>
      <c r="C249" s="7"/>
      <c r="D249" s="7"/>
      <c r="E249" s="7"/>
      <c r="F249" s="71"/>
      <c r="G249" s="51">
        <f t="shared" si="276"/>
        <v>0</v>
      </c>
      <c r="H249" s="52">
        <f t="shared" si="277"/>
        <v>0</v>
      </c>
      <c r="I249" s="53"/>
      <c r="J249" s="52">
        <f t="shared" si="278"/>
        <v>0</v>
      </c>
      <c r="K249" s="53"/>
      <c r="L249" s="52">
        <f t="shared" ref="L249" si="292">K249/$J$7*100</f>
        <v>0</v>
      </c>
      <c r="M249" s="23"/>
      <c r="N249" s="51">
        <f t="shared" ref="N249" si="293">P249+R249</f>
        <v>0</v>
      </c>
      <c r="O249" s="52">
        <f t="shared" ref="O249" si="294">N249/$Q$5*100</f>
        <v>0</v>
      </c>
      <c r="P249" s="53"/>
      <c r="Q249" s="52">
        <f t="shared" ref="Q249" si="295">P249/$Q$6*100</f>
        <v>0</v>
      </c>
      <c r="R249" s="53"/>
      <c r="S249" s="52">
        <f t="shared" ref="S249" si="296">R249/$Q$7*100</f>
        <v>0</v>
      </c>
      <c r="T249" s="3"/>
      <c r="U249" s="51">
        <f t="shared" ref="U249" si="297">W249+Y249</f>
        <v>0</v>
      </c>
      <c r="V249" s="52" t="e">
        <f t="shared" ref="V249" si="298">U249/$X$5*100</f>
        <v>#DIV/0!</v>
      </c>
      <c r="W249" s="53"/>
      <c r="X249" s="52" t="e">
        <f t="shared" ref="X249" si="299">W249/$X$6*100</f>
        <v>#DIV/0!</v>
      </c>
      <c r="Y249" s="53"/>
      <c r="Z249" s="52" t="e">
        <f t="shared" si="279"/>
        <v>#DIV/0!</v>
      </c>
      <c r="AA249" s="3"/>
      <c r="AB249" s="62">
        <f t="shared" si="280"/>
        <v>0</v>
      </c>
      <c r="AC249" s="52">
        <f t="shared" si="281"/>
        <v>0</v>
      </c>
      <c r="AD249" s="3"/>
      <c r="AE249" s="3"/>
      <c r="AF249" s="9" t="str">
        <f t="shared" si="282"/>
        <v>S/R Sin Respuesta</v>
      </c>
      <c r="AG249" s="72">
        <f t="shared" si="283"/>
        <v>0</v>
      </c>
      <c r="AH249" s="72">
        <f t="shared" si="284"/>
        <v>0</v>
      </c>
      <c r="AI249" s="73">
        <f t="shared" si="285"/>
        <v>0</v>
      </c>
      <c r="AJ249" s="73"/>
      <c r="AK249" s="76">
        <f t="shared" si="286"/>
        <v>0</v>
      </c>
      <c r="AL249" s="76">
        <f t="shared" si="287"/>
        <v>0</v>
      </c>
      <c r="AM249" s="76">
        <f t="shared" si="288"/>
        <v>0</v>
      </c>
      <c r="AN249" s="76"/>
      <c r="AO249" s="81" t="e">
        <f t="shared" si="289"/>
        <v>#DIV/0!</v>
      </c>
      <c r="AP249" s="81" t="e">
        <f t="shared" si="290"/>
        <v>#DIV/0!</v>
      </c>
      <c r="AQ249" s="81" t="e">
        <f t="shared" si="291"/>
        <v>#DIV/0!</v>
      </c>
      <c r="AR249" s="3"/>
      <c r="AS249" s="76">
        <f t="shared" si="227"/>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ht="15" x14ac:dyDescent="0.25">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57.13928571428572</v>
      </c>
      <c r="AH250" s="82">
        <f>($F245*K245+$F246*K246+$F247*K247+$F244*K244)/(+K245+K246+K247+K244)</f>
        <v>44.44083333333333</v>
      </c>
      <c r="AI250" s="82">
        <f>($F245*G245+$F246*G246+$F247*G247+$F244*G244)/(G245+G246+G247+G244)</f>
        <v>51.278461538461542</v>
      </c>
      <c r="AJ250" s="82"/>
      <c r="AK250" s="82">
        <f>($F245*P245+$F246*P246+$F247*P247+$F248*P248)/(P245+P246+P247+P248)</f>
        <v>68.884666666666661</v>
      </c>
      <c r="AL250" s="82">
        <f>($F245*R245+$F246*R246+$F247*R247+$F248*R248)/(R245+R246+R247+R248)</f>
        <v>53.328666666666663</v>
      </c>
      <c r="AM250" s="82">
        <f>($F245*N245+$F246*N246+$F247*N247+$F248*N248)/(N245+N246+N247+N248)</f>
        <v>61.106666666666669</v>
      </c>
      <c r="AN250" s="82"/>
      <c r="AO250" s="82" t="e">
        <f>($F245*W245+$F246*W246+$F247*W247+$F244*W244)/(W245+W246+W247+W244)</f>
        <v>#DIV/0!</v>
      </c>
      <c r="AP250" s="82" t="e">
        <f>($F245*Y245+$F246*Y246+$F247*Y247+$F244*Y244)/(Y245+Y246+Y247+Y244)</f>
        <v>#DIV/0!</v>
      </c>
      <c r="AQ250" s="82" t="e">
        <f>($F245*U245+$F246*U246+$F247*U247+$F244*U244)/(U245+U246+U247+U244)</f>
        <v>#DIV/0!</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ht="15" x14ac:dyDescent="0.25">
      <c r="A252" s="8" t="s">
        <v>17</v>
      </c>
      <c r="B252" s="9" t="s">
        <v>182</v>
      </c>
      <c r="C252" s="7"/>
      <c r="D252" s="7"/>
      <c r="E252" s="7"/>
      <c r="F252" s="71"/>
      <c r="G252" s="51">
        <f t="shared" ref="G252:G261" si="300">I252+K252</f>
        <v>23</v>
      </c>
      <c r="H252" s="52">
        <f t="shared" ref="H252:H261" si="301">G252/$J$5*100</f>
        <v>60.526315789473685</v>
      </c>
      <c r="I252" s="53">
        <f>COUNTIFS('00 Encuesta'!$B$2:$B$511,"*b)*",'00 Encuesta'!$C$2:$C$511,"*a)*",'00 Encuesta'!$E$2:$E$511,"*a)*",'00 Encuesta'!$AG$2:$AG$511,"*a)*")</f>
        <v>14</v>
      </c>
      <c r="J252" s="52">
        <f t="shared" ref="J252:J261" si="302">I252/$J$6*100</f>
        <v>66.666666666666657</v>
      </c>
      <c r="K252" s="53">
        <f>COUNTIFS('00 Encuesta'!$B$2:$B$511,"*b)*",'00 Encuesta'!$C$2:$C$511,"*a)*",'00 Encuesta'!$E$2:$E$511,"*b)*",'00 Encuesta'!$AG$2:$AG$511,"*a)*")</f>
        <v>9</v>
      </c>
      <c r="L252" s="52">
        <f t="shared" ref="L252:L261" si="303">K252/$J$7*100</f>
        <v>52.941176470588239</v>
      </c>
      <c r="M252" s="23"/>
      <c r="N252" s="51">
        <f t="shared" ref="N252:N261" si="304">P252+R252</f>
        <v>11</v>
      </c>
      <c r="O252" s="52">
        <f t="shared" ref="O252:O261" si="305">N252/$Q$5*100</f>
        <v>34.375</v>
      </c>
      <c r="P252" s="53">
        <f>COUNTIFS('00 Encuesta'!$B$2:$B$511,"*b)*",'00 Encuesta'!$C$2:$C$511,"*b)*",'00 Encuesta'!$E$2:$E$511,"*a)*",'00 Encuesta'!$AG$2:$AG$511,"*a)*")</f>
        <v>9</v>
      </c>
      <c r="Q252" s="52">
        <f t="shared" ref="Q252:Q261" si="306">P252/$Q$6*100</f>
        <v>52.941176470588239</v>
      </c>
      <c r="R252" s="53">
        <f>COUNTIFS('00 Encuesta'!$B$2:$B$511,"*b)*",'00 Encuesta'!$C$2:$C$511,"*b)*",'00 Encuesta'!$E$2:$E$511,"*b)*",'00 Encuesta'!$AG$2:$AG$511,"*a)*")</f>
        <v>2</v>
      </c>
      <c r="S252" s="52">
        <f t="shared" ref="S252:S261" si="307">R252/$Q$7*100</f>
        <v>13.333333333333334</v>
      </c>
      <c r="T252" s="3"/>
      <c r="U252" s="51">
        <f t="shared" ref="U252:U261" si="308">W252+Y252</f>
        <v>0</v>
      </c>
      <c r="V252" s="52" t="e">
        <f t="shared" ref="V252:V261" si="309">U252/$X$5*100</f>
        <v>#DIV/0!</v>
      </c>
      <c r="W252" s="53">
        <f>COUNTIFS('00 Encuesta'!$B$2:$B$511,"*b)*",'00 Encuesta'!$C$2:$C$511,"*d)*",'00 Encuesta'!$E$2:$E$511,"*a)*",'00 Encuesta'!$AG$2:$AG$511,"*a)*")</f>
        <v>0</v>
      </c>
      <c r="X252" s="52" t="e">
        <f t="shared" ref="X252:X261" si="310">W252/$X$6*100</f>
        <v>#DIV/0!</v>
      </c>
      <c r="Y252" s="53">
        <f>COUNTIFS('00 Encuesta'!$B$2:$B$511,"*b)*",'00 Encuesta'!$C$2:$C$511,"*d)*",'00 Encuesta'!$E$2:$E$511,"*b)*",'00 Encuesta'!$AG$2:$AG$511,"*a)*")</f>
        <v>0</v>
      </c>
      <c r="Z252" s="52" t="e">
        <f t="shared" ref="Z252:Z261" si="311">Y252/$X$7*100</f>
        <v>#DIV/0!</v>
      </c>
      <c r="AA252" s="3"/>
      <c r="AB252" s="62">
        <f t="shared" ref="AB252:AB261" si="312">G252+N252+U252</f>
        <v>34</v>
      </c>
      <c r="AC252" s="52">
        <f t="shared" ref="AC252:AC261" si="313">AB252*100/$AC$5</f>
        <v>48.571428571428569</v>
      </c>
      <c r="AD252" s="3"/>
      <c r="AE252" s="3"/>
      <c r="AF252" s="9" t="str">
        <f t="shared" ref="AF252:AF261" si="314">A252&amp;" "&amp;B252</f>
        <v>a) Los deportes y diversiones</v>
      </c>
      <c r="AG252" s="72">
        <f t="shared" ref="AG252:AG261" si="315">J252</f>
        <v>66.666666666666657</v>
      </c>
      <c r="AH252" s="72">
        <f t="shared" ref="AH252:AH261" si="316">L252</f>
        <v>52.941176470588239</v>
      </c>
      <c r="AI252" s="73">
        <f t="shared" ref="AI252:AI261" si="317">H252</f>
        <v>60.526315789473685</v>
      </c>
      <c r="AJ252" s="73"/>
      <c r="AK252" s="76">
        <f t="shared" ref="AK252:AK261" si="318">Q252</f>
        <v>52.941176470588239</v>
      </c>
      <c r="AL252" s="76">
        <f t="shared" ref="AL252:AL261" si="319">S252</f>
        <v>13.333333333333334</v>
      </c>
      <c r="AM252" s="76">
        <f t="shared" ref="AM252:AM261" si="320">O252</f>
        <v>34.375</v>
      </c>
      <c r="AN252" s="76"/>
      <c r="AO252" s="81" t="e">
        <f t="shared" ref="AO252:AO261" si="321">X252</f>
        <v>#DIV/0!</v>
      </c>
      <c r="AP252" s="81" t="e">
        <f t="shared" ref="AP252:AP261" si="322">Z252</f>
        <v>#DIV/0!</v>
      </c>
      <c r="AQ252" s="81" t="e">
        <f t="shared" ref="AQ252:AQ261" si="323">V252</f>
        <v>#DIV/0!</v>
      </c>
      <c r="AR252" s="3"/>
      <c r="AS252" s="76">
        <f t="shared" si="227"/>
        <v>48.571428571428569</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ht="15" x14ac:dyDescent="0.25">
      <c r="A253" s="8" t="s">
        <v>18</v>
      </c>
      <c r="B253" s="9" t="s">
        <v>183</v>
      </c>
      <c r="C253" s="7"/>
      <c r="D253" s="7"/>
      <c r="E253" s="7"/>
      <c r="F253" s="71"/>
      <c r="G253" s="51">
        <f t="shared" si="300"/>
        <v>13</v>
      </c>
      <c r="H253" s="52">
        <f t="shared" si="301"/>
        <v>34.210526315789473</v>
      </c>
      <c r="I253" s="53">
        <f>COUNTIFS('00 Encuesta'!$B$2:$B$511,"*b)*",'00 Encuesta'!$C$2:$C$511,"*a)*",'00 Encuesta'!$E$2:$E$511,"*a)*",'00 Encuesta'!$AG$2:$AG$511,"*b)*")</f>
        <v>7</v>
      </c>
      <c r="J253" s="52">
        <f t="shared" si="302"/>
        <v>33.333333333333329</v>
      </c>
      <c r="K253" s="53">
        <f>COUNTIFS('00 Encuesta'!$B$2:$B$511,"*b)*",'00 Encuesta'!$C$2:$C$511,"*a)*",'00 Encuesta'!$E$2:$E$511,"*b)*",'00 Encuesta'!$AG$2:$AG$511,"*b)*")</f>
        <v>6</v>
      </c>
      <c r="L253" s="52">
        <f t="shared" si="303"/>
        <v>35.294117647058826</v>
      </c>
      <c r="M253" s="23"/>
      <c r="N253" s="51">
        <f t="shared" si="304"/>
        <v>12</v>
      </c>
      <c r="O253" s="52">
        <f t="shared" si="305"/>
        <v>37.5</v>
      </c>
      <c r="P253" s="53">
        <f>COUNTIFS('00 Encuesta'!$B$2:$B$511,"*b)*",'00 Encuesta'!$C$2:$C$511,"*b)*",'00 Encuesta'!$E$2:$E$511,"*a)*",'00 Encuesta'!$AG$2:$AG$511,"*b)*")</f>
        <v>4</v>
      </c>
      <c r="Q253" s="52">
        <f t="shared" si="306"/>
        <v>23.52941176470588</v>
      </c>
      <c r="R253" s="53">
        <f>COUNTIFS('00 Encuesta'!$B$2:$B$511,"*b)*",'00 Encuesta'!$C$2:$C$511,"*b)*",'00 Encuesta'!$E$2:$E$511,"*b)*",'00 Encuesta'!$AG$2:$AG$511,"*b)*")</f>
        <v>8</v>
      </c>
      <c r="S253" s="52">
        <f t="shared" si="307"/>
        <v>53.333333333333336</v>
      </c>
      <c r="T253" s="3"/>
      <c r="U253" s="51">
        <f t="shared" si="308"/>
        <v>0</v>
      </c>
      <c r="V253" s="52" t="e">
        <f t="shared" si="309"/>
        <v>#DIV/0!</v>
      </c>
      <c r="W253" s="53">
        <f>COUNTIFS('00 Encuesta'!$B$2:$B$511,"*b)*",'00 Encuesta'!$C$2:$C$511,"*d)*",'00 Encuesta'!$E$2:$E$511,"*a)*",'00 Encuesta'!$AG$2:$AG$511,"*b)*")</f>
        <v>0</v>
      </c>
      <c r="X253" s="52" t="e">
        <f t="shared" si="310"/>
        <v>#DIV/0!</v>
      </c>
      <c r="Y253" s="53">
        <f>COUNTIFS('00 Encuesta'!$B$2:$B$511,"*b)*",'00 Encuesta'!$C$2:$C$511,"*d)*",'00 Encuesta'!$E$2:$E$511,"*b)*",'00 Encuesta'!$AG$2:$AG$511,"*b)*")</f>
        <v>0</v>
      </c>
      <c r="Z253" s="52" t="e">
        <f t="shared" si="311"/>
        <v>#DIV/0!</v>
      </c>
      <c r="AA253" s="3"/>
      <c r="AB253" s="62">
        <f t="shared" si="312"/>
        <v>25</v>
      </c>
      <c r="AC253" s="52">
        <f t="shared" si="313"/>
        <v>35.714285714285715</v>
      </c>
      <c r="AD253" s="3"/>
      <c r="AE253" s="3"/>
      <c r="AF253" s="9" t="str">
        <f t="shared" si="314"/>
        <v>b) El ambiente de estudio y de trabajo</v>
      </c>
      <c r="AG253" s="72">
        <f t="shared" si="315"/>
        <v>33.333333333333329</v>
      </c>
      <c r="AH253" s="72">
        <f t="shared" si="316"/>
        <v>35.294117647058826</v>
      </c>
      <c r="AI253" s="73">
        <f t="shared" si="317"/>
        <v>34.210526315789473</v>
      </c>
      <c r="AJ253" s="73"/>
      <c r="AK253" s="76">
        <f t="shared" si="318"/>
        <v>23.52941176470588</v>
      </c>
      <c r="AL253" s="76">
        <f t="shared" si="319"/>
        <v>53.333333333333336</v>
      </c>
      <c r="AM253" s="76">
        <f t="shared" si="320"/>
        <v>37.5</v>
      </c>
      <c r="AN253" s="76"/>
      <c r="AO253" s="81" t="e">
        <f t="shared" si="321"/>
        <v>#DIV/0!</v>
      </c>
      <c r="AP253" s="81" t="e">
        <f t="shared" si="322"/>
        <v>#DIV/0!</v>
      </c>
      <c r="AQ253" s="81" t="e">
        <f t="shared" si="323"/>
        <v>#DIV/0!</v>
      </c>
      <c r="AR253" s="3"/>
      <c r="AS253" s="76">
        <f t="shared" si="227"/>
        <v>35.714285714285715</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ht="15" x14ac:dyDescent="0.25">
      <c r="A254" s="8" t="s">
        <v>20</v>
      </c>
      <c r="B254" s="9" t="s">
        <v>184</v>
      </c>
      <c r="C254" s="7"/>
      <c r="D254" s="7"/>
      <c r="E254" s="7"/>
      <c r="F254" s="71"/>
      <c r="G254" s="51">
        <f t="shared" si="300"/>
        <v>7</v>
      </c>
      <c r="H254" s="52">
        <f t="shared" si="301"/>
        <v>18.421052631578945</v>
      </c>
      <c r="I254" s="53">
        <f>COUNTIFS('00 Encuesta'!$B$2:$B$511,"*b)*",'00 Encuesta'!$C$2:$C$511,"*a)*",'00 Encuesta'!$E$2:$E$511,"*a)*",'00 Encuesta'!$AG$2:$AG$511,"*c)*")</f>
        <v>2</v>
      </c>
      <c r="J254" s="52">
        <f t="shared" si="302"/>
        <v>9.5238095238095237</v>
      </c>
      <c r="K254" s="53">
        <f>COUNTIFS('00 Encuesta'!$B$2:$B$511,"*b)*",'00 Encuesta'!$C$2:$C$511,"*a)*",'00 Encuesta'!$E$2:$E$511,"*b)*",'00 Encuesta'!$AG$2:$AG$511,"*c)*")</f>
        <v>5</v>
      </c>
      <c r="L254" s="52">
        <f t="shared" si="303"/>
        <v>29.411764705882355</v>
      </c>
      <c r="M254" s="23"/>
      <c r="N254" s="51">
        <f t="shared" si="304"/>
        <v>6</v>
      </c>
      <c r="O254" s="52">
        <f t="shared" si="305"/>
        <v>18.75</v>
      </c>
      <c r="P254" s="53">
        <f>COUNTIFS('00 Encuesta'!$B$2:$B$511,"*b)*",'00 Encuesta'!$C$2:$C$511,"*b)*",'00 Encuesta'!$E$2:$E$511,"*a)*",'00 Encuesta'!$AG$2:$AG$511,"*c)*")</f>
        <v>3</v>
      </c>
      <c r="Q254" s="52">
        <f t="shared" si="306"/>
        <v>17.647058823529413</v>
      </c>
      <c r="R254" s="53">
        <f>COUNTIFS('00 Encuesta'!$B$2:$B$511,"*b)*",'00 Encuesta'!$C$2:$C$511,"*b)*",'00 Encuesta'!$E$2:$E$511,"*b)*",'00 Encuesta'!$AG$2:$AG$511,"*c)*")</f>
        <v>3</v>
      </c>
      <c r="S254" s="52">
        <f t="shared" si="307"/>
        <v>20</v>
      </c>
      <c r="T254" s="3"/>
      <c r="U254" s="51">
        <f t="shared" si="308"/>
        <v>0</v>
      </c>
      <c r="V254" s="52" t="e">
        <f t="shared" si="309"/>
        <v>#DIV/0!</v>
      </c>
      <c r="W254" s="53">
        <f>COUNTIFS('00 Encuesta'!$B$2:$B$511,"*b)*",'00 Encuesta'!$C$2:$C$511,"*d)*",'00 Encuesta'!$E$2:$E$511,"*a)*",'00 Encuesta'!$AG$2:$AG$511,"*c)*")</f>
        <v>0</v>
      </c>
      <c r="X254" s="52" t="e">
        <f t="shared" si="310"/>
        <v>#DIV/0!</v>
      </c>
      <c r="Y254" s="53">
        <f>COUNTIFS('00 Encuesta'!$B$2:$B$511,"*b)*",'00 Encuesta'!$C$2:$C$511,"*d)*",'00 Encuesta'!$E$2:$E$511,"*b)*",'00 Encuesta'!$AG$2:$AG$511,"*c)*")</f>
        <v>0</v>
      </c>
      <c r="Z254" s="52" t="e">
        <f t="shared" si="311"/>
        <v>#DIV/0!</v>
      </c>
      <c r="AA254" s="3"/>
      <c r="AB254" s="62">
        <f t="shared" si="312"/>
        <v>13</v>
      </c>
      <c r="AC254" s="52">
        <f t="shared" si="313"/>
        <v>18.571428571428573</v>
      </c>
      <c r="AD254" s="3"/>
      <c r="AE254" s="3"/>
      <c r="AF254" s="9" t="str">
        <f t="shared" si="314"/>
        <v>c) Las instalaciones del colegio</v>
      </c>
      <c r="AG254" s="72">
        <f t="shared" si="315"/>
        <v>9.5238095238095237</v>
      </c>
      <c r="AH254" s="72">
        <f t="shared" si="316"/>
        <v>29.411764705882355</v>
      </c>
      <c r="AI254" s="73">
        <f t="shared" si="317"/>
        <v>18.421052631578945</v>
      </c>
      <c r="AJ254" s="73"/>
      <c r="AK254" s="76">
        <f t="shared" si="318"/>
        <v>17.647058823529413</v>
      </c>
      <c r="AL254" s="76">
        <f t="shared" si="319"/>
        <v>20</v>
      </c>
      <c r="AM254" s="76">
        <f t="shared" si="320"/>
        <v>18.75</v>
      </c>
      <c r="AN254" s="76"/>
      <c r="AO254" s="81" t="e">
        <f t="shared" si="321"/>
        <v>#DIV/0!</v>
      </c>
      <c r="AP254" s="81" t="e">
        <f t="shared" si="322"/>
        <v>#DIV/0!</v>
      </c>
      <c r="AQ254" s="81" t="e">
        <f t="shared" si="323"/>
        <v>#DIV/0!</v>
      </c>
      <c r="AR254" s="3"/>
      <c r="AS254" s="76">
        <f t="shared" si="227"/>
        <v>18.571428571428573</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ht="15" x14ac:dyDescent="0.25">
      <c r="A255" s="8" t="s">
        <v>21</v>
      </c>
      <c r="B255" s="9" t="s">
        <v>185</v>
      </c>
      <c r="C255" s="7"/>
      <c r="D255" s="7"/>
      <c r="E255" s="7"/>
      <c r="F255" s="71"/>
      <c r="G255" s="51">
        <f t="shared" si="300"/>
        <v>0</v>
      </c>
      <c r="H255" s="52">
        <f t="shared" si="301"/>
        <v>0</v>
      </c>
      <c r="I255" s="53">
        <f>COUNTIFS('00 Encuesta'!$B$2:$B$511,"*b)*",'00 Encuesta'!$C$2:$C$511,"*a)*",'00 Encuesta'!$E$2:$E$511,"*a)*",'00 Encuesta'!$AG$2:$AG$511,"*d)*")</f>
        <v>0</v>
      </c>
      <c r="J255" s="52">
        <f t="shared" si="302"/>
        <v>0</v>
      </c>
      <c r="K255" s="53">
        <f>COUNTIFS('00 Encuesta'!$B$2:$B$511,"*b)*",'00 Encuesta'!$C$2:$C$511,"*a)*",'00 Encuesta'!$E$2:$E$511,"*b)*",'00 Encuesta'!$AG$2:$AG$511,"*d)*")</f>
        <v>0</v>
      </c>
      <c r="L255" s="52">
        <f t="shared" si="303"/>
        <v>0</v>
      </c>
      <c r="M255" s="23"/>
      <c r="N255" s="51">
        <f t="shared" si="304"/>
        <v>0</v>
      </c>
      <c r="O255" s="52">
        <f t="shared" si="305"/>
        <v>0</v>
      </c>
      <c r="P255" s="53">
        <f>COUNTIFS('00 Encuesta'!$B$2:$B$511,"*b)*",'00 Encuesta'!$C$2:$C$511,"*b)*",'00 Encuesta'!$E$2:$E$511,"*a)*",'00 Encuesta'!$AG$2:$AG$511,"*d)*")</f>
        <v>0</v>
      </c>
      <c r="Q255" s="52">
        <f t="shared" si="306"/>
        <v>0</v>
      </c>
      <c r="R255" s="53">
        <f>COUNTIFS('00 Encuesta'!$B$2:$B$511,"*b)*",'00 Encuesta'!$C$2:$C$511,"*b)*",'00 Encuesta'!$E$2:$E$511,"*b)*",'00 Encuesta'!$AG$2:$AG$511,"*d)*")</f>
        <v>0</v>
      </c>
      <c r="S255" s="52">
        <f t="shared" si="307"/>
        <v>0</v>
      </c>
      <c r="T255" s="3"/>
      <c r="U255" s="51">
        <f t="shared" si="308"/>
        <v>0</v>
      </c>
      <c r="V255" s="52" t="e">
        <f t="shared" si="309"/>
        <v>#DIV/0!</v>
      </c>
      <c r="W255" s="53">
        <f>COUNTIFS('00 Encuesta'!$B$2:$B$511,"*b)*",'00 Encuesta'!$C$2:$C$511,"*d)*",'00 Encuesta'!$E$2:$E$511,"*a)*",'00 Encuesta'!$AG$2:$AG$511,"*d)*")</f>
        <v>0</v>
      </c>
      <c r="X255" s="52" t="e">
        <f t="shared" si="310"/>
        <v>#DIV/0!</v>
      </c>
      <c r="Y255" s="53">
        <f>COUNTIFS('00 Encuesta'!$B$2:$B$511,"*b)*",'00 Encuesta'!$C$2:$C$511,"*d)*",'00 Encuesta'!$E$2:$E$511,"*b)*",'00 Encuesta'!$AG$2:$AG$511,"*d)*")</f>
        <v>0</v>
      </c>
      <c r="Z255" s="52" t="e">
        <f t="shared" si="311"/>
        <v>#DIV/0!</v>
      </c>
      <c r="AA255" s="3"/>
      <c r="AB255" s="62">
        <f t="shared" si="312"/>
        <v>0</v>
      </c>
      <c r="AC255" s="52">
        <f t="shared" si="313"/>
        <v>0</v>
      </c>
      <c r="AD255" s="3"/>
      <c r="AE255" s="3"/>
      <c r="AF255" s="9" t="str">
        <f t="shared" si="314"/>
        <v>d) Los grupos juveniles cristianos</v>
      </c>
      <c r="AG255" s="72">
        <f t="shared" si="315"/>
        <v>0</v>
      </c>
      <c r="AH255" s="72">
        <f t="shared" si="316"/>
        <v>0</v>
      </c>
      <c r="AI255" s="73">
        <f t="shared" si="317"/>
        <v>0</v>
      </c>
      <c r="AJ255" s="73"/>
      <c r="AK255" s="76">
        <f t="shared" si="318"/>
        <v>0</v>
      </c>
      <c r="AL255" s="76">
        <f t="shared" si="319"/>
        <v>0</v>
      </c>
      <c r="AM255" s="76">
        <f t="shared" si="320"/>
        <v>0</v>
      </c>
      <c r="AN255" s="76"/>
      <c r="AO255" s="81" t="e">
        <f t="shared" si="321"/>
        <v>#DIV/0!</v>
      </c>
      <c r="AP255" s="81" t="e">
        <f t="shared" si="322"/>
        <v>#DIV/0!</v>
      </c>
      <c r="AQ255" s="81" t="e">
        <f t="shared" si="323"/>
        <v>#DIV/0!</v>
      </c>
      <c r="AR255" s="3"/>
      <c r="AS255" s="76">
        <f t="shared" si="227"/>
        <v>0</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ht="15" x14ac:dyDescent="0.25">
      <c r="A256" s="8" t="s">
        <v>22</v>
      </c>
      <c r="B256" s="9" t="s">
        <v>186</v>
      </c>
      <c r="C256" s="7"/>
      <c r="D256" s="7"/>
      <c r="E256" s="7"/>
      <c r="F256" s="71"/>
      <c r="G256" s="51">
        <f t="shared" si="300"/>
        <v>0</v>
      </c>
      <c r="H256" s="52">
        <f t="shared" si="301"/>
        <v>0</v>
      </c>
      <c r="I256" s="53">
        <f>COUNTIFS('00 Encuesta'!$B$2:$B$511,"*b)*",'00 Encuesta'!$C$2:$C$511,"*a)*",'00 Encuesta'!$E$2:$E$511,"*a)*",'00 Encuesta'!$AG$2:$AG$511,"*e)*")</f>
        <v>0</v>
      </c>
      <c r="J256" s="52">
        <f t="shared" si="302"/>
        <v>0</v>
      </c>
      <c r="K256" s="53">
        <f>COUNTIFS('00 Encuesta'!$B$2:$B$511,"*b)*",'00 Encuesta'!$C$2:$C$511,"*a)*",'00 Encuesta'!$E$2:$E$511,"*b)*",'00 Encuesta'!$AG$2:$AG$511,"*e)*")</f>
        <v>0</v>
      </c>
      <c r="L256" s="52">
        <f t="shared" si="303"/>
        <v>0</v>
      </c>
      <c r="M256" s="23"/>
      <c r="N256" s="51">
        <f t="shared" si="304"/>
        <v>6</v>
      </c>
      <c r="O256" s="52">
        <f t="shared" si="305"/>
        <v>18.75</v>
      </c>
      <c r="P256" s="53">
        <f>COUNTIFS('00 Encuesta'!$B$2:$B$511,"*b)*",'00 Encuesta'!$C$2:$C$511,"*b)*",'00 Encuesta'!$E$2:$E$511,"*a)*",'00 Encuesta'!$AG$2:$AG$511,"*e)*")</f>
        <v>0</v>
      </c>
      <c r="Q256" s="52">
        <f t="shared" si="306"/>
        <v>0</v>
      </c>
      <c r="R256" s="53">
        <f>COUNTIFS('00 Encuesta'!$B$2:$B$511,"*b)*",'00 Encuesta'!$C$2:$C$511,"*b)*",'00 Encuesta'!$E$2:$E$511,"*b)*",'00 Encuesta'!$AG$2:$AG$511,"*e)*")</f>
        <v>6</v>
      </c>
      <c r="S256" s="52">
        <f t="shared" si="307"/>
        <v>40</v>
      </c>
      <c r="T256" s="3"/>
      <c r="U256" s="51">
        <f t="shared" si="308"/>
        <v>0</v>
      </c>
      <c r="V256" s="52" t="e">
        <f t="shared" si="309"/>
        <v>#DIV/0!</v>
      </c>
      <c r="W256" s="53">
        <f>COUNTIFS('00 Encuesta'!$B$2:$B$511,"*b)*",'00 Encuesta'!$C$2:$C$511,"*d)*",'00 Encuesta'!$E$2:$E$511,"*a)*",'00 Encuesta'!$AG$2:$AG$511,"*e)*")</f>
        <v>0</v>
      </c>
      <c r="X256" s="52" t="e">
        <f t="shared" si="310"/>
        <v>#DIV/0!</v>
      </c>
      <c r="Y256" s="53">
        <f>COUNTIFS('00 Encuesta'!$B$2:$B$511,"*b)*",'00 Encuesta'!$C$2:$C$511,"*d)*",'00 Encuesta'!$E$2:$E$511,"*b)*",'00 Encuesta'!$AG$2:$AG$511,"*e)*")</f>
        <v>0</v>
      </c>
      <c r="Z256" s="52" t="e">
        <f t="shared" si="311"/>
        <v>#DIV/0!</v>
      </c>
      <c r="AA256" s="3"/>
      <c r="AB256" s="62">
        <f t="shared" si="312"/>
        <v>6</v>
      </c>
      <c r="AC256" s="52">
        <f t="shared" si="313"/>
        <v>8.5714285714285712</v>
      </c>
      <c r="AD256" s="3"/>
      <c r="AE256" s="3"/>
      <c r="AF256" s="9" t="str">
        <f t="shared" si="314"/>
        <v>e) La mayor posibilidad de vivir mi fe</v>
      </c>
      <c r="AG256" s="72">
        <f t="shared" si="315"/>
        <v>0</v>
      </c>
      <c r="AH256" s="72">
        <f t="shared" si="316"/>
        <v>0</v>
      </c>
      <c r="AI256" s="73">
        <f t="shared" si="317"/>
        <v>0</v>
      </c>
      <c r="AJ256" s="73"/>
      <c r="AK256" s="76">
        <f t="shared" si="318"/>
        <v>0</v>
      </c>
      <c r="AL256" s="76">
        <f t="shared" si="319"/>
        <v>40</v>
      </c>
      <c r="AM256" s="76">
        <f t="shared" si="320"/>
        <v>18.75</v>
      </c>
      <c r="AN256" s="76"/>
      <c r="AO256" s="81" t="e">
        <f t="shared" si="321"/>
        <v>#DIV/0!</v>
      </c>
      <c r="AP256" s="81" t="e">
        <f t="shared" si="322"/>
        <v>#DIV/0!</v>
      </c>
      <c r="AQ256" s="81" t="e">
        <f t="shared" si="323"/>
        <v>#DIV/0!</v>
      </c>
      <c r="AR256" s="3"/>
      <c r="AS256" s="76">
        <f t="shared" si="227"/>
        <v>8.5714285714285712</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ht="15" x14ac:dyDescent="0.25">
      <c r="A257" s="8" t="s">
        <v>45</v>
      </c>
      <c r="B257" s="9" t="s">
        <v>187</v>
      </c>
      <c r="C257" s="7"/>
      <c r="D257" s="7"/>
      <c r="E257" s="7"/>
      <c r="F257" s="71"/>
      <c r="G257" s="51">
        <f t="shared" si="300"/>
        <v>2</v>
      </c>
      <c r="H257" s="52">
        <f t="shared" si="301"/>
        <v>5.2631578947368416</v>
      </c>
      <c r="I257" s="53">
        <f>COUNTIFS('00 Encuesta'!$B$2:$B$511,"*b)*",'00 Encuesta'!$C$2:$C$511,"*a)*",'00 Encuesta'!$E$2:$E$511,"*a)*",'00 Encuesta'!$AG$2:$AG$511,"*f)*")</f>
        <v>1</v>
      </c>
      <c r="J257" s="52">
        <f t="shared" si="302"/>
        <v>4.7619047619047619</v>
      </c>
      <c r="K257" s="53">
        <f>COUNTIFS('00 Encuesta'!$B$2:$B$511,"*b)*",'00 Encuesta'!$C$2:$C$511,"*a)*",'00 Encuesta'!$E$2:$E$511,"*b)*",'00 Encuesta'!$AG$2:$AG$511,"*f)*")</f>
        <v>1</v>
      </c>
      <c r="L257" s="52">
        <f t="shared" si="303"/>
        <v>5.8823529411764701</v>
      </c>
      <c r="M257" s="23"/>
      <c r="N257" s="51">
        <f t="shared" si="304"/>
        <v>4</v>
      </c>
      <c r="O257" s="52">
        <f t="shared" si="305"/>
        <v>12.5</v>
      </c>
      <c r="P257" s="53">
        <f>COUNTIFS('00 Encuesta'!$B$2:$B$511,"*b)*",'00 Encuesta'!$C$2:$C$511,"*b)*",'00 Encuesta'!$E$2:$E$511,"*a)*",'00 Encuesta'!$AG$2:$AG$511,"*f)*")</f>
        <v>2</v>
      </c>
      <c r="Q257" s="52">
        <f t="shared" si="306"/>
        <v>11.76470588235294</v>
      </c>
      <c r="R257" s="53">
        <f>COUNTIFS('00 Encuesta'!$B$2:$B$511,"*b)*",'00 Encuesta'!$C$2:$C$511,"*b)*",'00 Encuesta'!$E$2:$E$511,"*b)*",'00 Encuesta'!$AG$2:$AG$511,"*f)*")</f>
        <v>2</v>
      </c>
      <c r="S257" s="52">
        <f t="shared" si="307"/>
        <v>13.333333333333334</v>
      </c>
      <c r="T257" s="3"/>
      <c r="U257" s="51">
        <f t="shared" si="308"/>
        <v>0</v>
      </c>
      <c r="V257" s="52" t="e">
        <f t="shared" si="309"/>
        <v>#DIV/0!</v>
      </c>
      <c r="W257" s="53">
        <f>COUNTIFS('00 Encuesta'!$B$2:$B$511,"*b)*",'00 Encuesta'!$C$2:$C$511,"*d)*",'00 Encuesta'!$E$2:$E$511,"*a)*",'00 Encuesta'!$AG$2:$AG$511,"*f)*")</f>
        <v>0</v>
      </c>
      <c r="X257" s="52" t="e">
        <f t="shared" si="310"/>
        <v>#DIV/0!</v>
      </c>
      <c r="Y257" s="53">
        <f>COUNTIFS('00 Encuesta'!$B$2:$B$511,"*b)*",'00 Encuesta'!$C$2:$C$511,"*d)*",'00 Encuesta'!$E$2:$E$511,"*b)*",'00 Encuesta'!$AG$2:$AG$511,"*f)*")</f>
        <v>0</v>
      </c>
      <c r="Z257" s="52" t="e">
        <f t="shared" si="311"/>
        <v>#DIV/0!</v>
      </c>
      <c r="AA257" s="3"/>
      <c r="AB257" s="62">
        <f t="shared" si="312"/>
        <v>6</v>
      </c>
      <c r="AC257" s="52">
        <f t="shared" si="313"/>
        <v>8.5714285714285712</v>
      </c>
      <c r="AD257" s="3"/>
      <c r="AE257" s="3"/>
      <c r="AF257" s="9" t="str">
        <f t="shared" si="314"/>
        <v>f) La igualdad de trato que se da a todos</v>
      </c>
      <c r="AG257" s="72">
        <f t="shared" si="315"/>
        <v>4.7619047619047619</v>
      </c>
      <c r="AH257" s="72">
        <f t="shared" si="316"/>
        <v>5.8823529411764701</v>
      </c>
      <c r="AI257" s="73">
        <f t="shared" si="317"/>
        <v>5.2631578947368416</v>
      </c>
      <c r="AJ257" s="73"/>
      <c r="AK257" s="76">
        <f t="shared" si="318"/>
        <v>11.76470588235294</v>
      </c>
      <c r="AL257" s="76">
        <f t="shared" si="319"/>
        <v>13.333333333333334</v>
      </c>
      <c r="AM257" s="76">
        <f t="shared" si="320"/>
        <v>12.5</v>
      </c>
      <c r="AN257" s="76"/>
      <c r="AO257" s="81" t="e">
        <f t="shared" si="321"/>
        <v>#DIV/0!</v>
      </c>
      <c r="AP257" s="81" t="e">
        <f t="shared" si="322"/>
        <v>#DIV/0!</v>
      </c>
      <c r="AQ257" s="81" t="e">
        <f t="shared" si="323"/>
        <v>#DIV/0!</v>
      </c>
      <c r="AR257" s="3"/>
      <c r="AS257" s="76">
        <f t="shared" si="227"/>
        <v>8.5714285714285712</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4</v>
      </c>
      <c r="H258" s="52">
        <f t="shared" si="301"/>
        <v>10.526315789473683</v>
      </c>
      <c r="I258" s="53">
        <f>COUNTIFS('00 Encuesta'!$B$2:$B$511,"*b)*",'00 Encuesta'!$C$2:$C$511,"*a)*",'00 Encuesta'!$E$2:$E$511,"*a)*",'00 Encuesta'!$AG$2:$AG$511,"*g)*")</f>
        <v>2</v>
      </c>
      <c r="J258" s="52">
        <f t="shared" si="302"/>
        <v>9.5238095238095237</v>
      </c>
      <c r="K258" s="53">
        <f>COUNTIFS('00 Encuesta'!$B$2:$B$511,"*b)*",'00 Encuesta'!$C$2:$C$511,"*a)*",'00 Encuesta'!$E$2:$E$511,"*b)*",'00 Encuesta'!$AG$2:$AG$511,"*g)*")</f>
        <v>2</v>
      </c>
      <c r="L258" s="52">
        <f t="shared" si="303"/>
        <v>11.76470588235294</v>
      </c>
      <c r="M258" s="23"/>
      <c r="N258" s="51">
        <f t="shared" si="304"/>
        <v>4</v>
      </c>
      <c r="O258" s="52">
        <f t="shared" si="305"/>
        <v>12.5</v>
      </c>
      <c r="P258" s="53">
        <f>COUNTIFS('00 Encuesta'!$B$2:$B$511,"*b)*",'00 Encuesta'!$C$2:$C$511,"*b)*",'00 Encuesta'!$E$2:$E$511,"*a)*",'00 Encuesta'!$AG$2:$AG$511,"*g)*")</f>
        <v>2</v>
      </c>
      <c r="Q258" s="52">
        <f t="shared" si="306"/>
        <v>11.76470588235294</v>
      </c>
      <c r="R258" s="53">
        <f>COUNTIFS('00 Encuesta'!$B$2:$B$511,"*b)*",'00 Encuesta'!$C$2:$C$511,"*b)*",'00 Encuesta'!$E$2:$E$511,"*b)*",'00 Encuesta'!$AG$2:$AG$511,"*g)*")</f>
        <v>2</v>
      </c>
      <c r="S258" s="52">
        <f t="shared" si="307"/>
        <v>13.333333333333334</v>
      </c>
      <c r="T258" s="3"/>
      <c r="U258" s="51">
        <f t="shared" si="308"/>
        <v>0</v>
      </c>
      <c r="V258" s="52" t="e">
        <f t="shared" si="309"/>
        <v>#DIV/0!</v>
      </c>
      <c r="W258" s="53">
        <f>COUNTIFS('00 Encuesta'!$B$2:$B$511,"*b)*",'00 Encuesta'!$C$2:$C$511,"*d)*",'00 Encuesta'!$E$2:$E$511,"*a)*",'00 Encuesta'!$AG$2:$AG$511,"*g)*")</f>
        <v>0</v>
      </c>
      <c r="X258" s="52" t="e">
        <f t="shared" si="310"/>
        <v>#DIV/0!</v>
      </c>
      <c r="Y258" s="53">
        <f>COUNTIFS('00 Encuesta'!$B$2:$B$511,"*b)*",'00 Encuesta'!$C$2:$C$511,"*d)*",'00 Encuesta'!$E$2:$E$511,"*b)*",'00 Encuesta'!$AG$2:$AG$511,"*g)*")</f>
        <v>0</v>
      </c>
      <c r="Z258" s="52" t="e">
        <f t="shared" si="311"/>
        <v>#DIV/0!</v>
      </c>
      <c r="AA258" s="3"/>
      <c r="AB258" s="62">
        <f t="shared" si="312"/>
        <v>8</v>
      </c>
      <c r="AC258" s="52">
        <f t="shared" si="313"/>
        <v>11.428571428571429</v>
      </c>
      <c r="AD258" s="3"/>
      <c r="AE258" s="3"/>
      <c r="AF258" s="9" t="str">
        <f t="shared" si="314"/>
        <v>g) La relación con los docentes</v>
      </c>
      <c r="AG258" s="72">
        <f t="shared" si="315"/>
        <v>9.5238095238095237</v>
      </c>
      <c r="AH258" s="72">
        <f t="shared" si="316"/>
        <v>11.76470588235294</v>
      </c>
      <c r="AI258" s="73">
        <f t="shared" si="317"/>
        <v>10.526315789473683</v>
      </c>
      <c r="AJ258" s="73"/>
      <c r="AK258" s="76">
        <f t="shared" si="318"/>
        <v>11.76470588235294</v>
      </c>
      <c r="AL258" s="76">
        <f t="shared" si="319"/>
        <v>13.333333333333334</v>
      </c>
      <c r="AM258" s="76">
        <f t="shared" si="320"/>
        <v>12.5</v>
      </c>
      <c r="AN258" s="76"/>
      <c r="AO258" s="81" t="e">
        <f t="shared" si="321"/>
        <v>#DIV/0!</v>
      </c>
      <c r="AP258" s="81" t="e">
        <f t="shared" si="322"/>
        <v>#DIV/0!</v>
      </c>
      <c r="AQ258" s="81" t="e">
        <f t="shared" si="323"/>
        <v>#DIV/0!</v>
      </c>
      <c r="AR258" s="3"/>
      <c r="AS258" s="76">
        <f t="shared" si="227"/>
        <v>11.428571428571429</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ht="15" x14ac:dyDescent="0.25">
      <c r="A259" s="8" t="s">
        <v>63</v>
      </c>
      <c r="B259" s="9" t="s">
        <v>189</v>
      </c>
      <c r="C259" s="7"/>
      <c r="D259" s="7"/>
      <c r="E259" s="7"/>
      <c r="F259" s="71"/>
      <c r="G259" s="51">
        <f t="shared" si="300"/>
        <v>3</v>
      </c>
      <c r="H259" s="52">
        <f t="shared" si="301"/>
        <v>7.8947368421052628</v>
      </c>
      <c r="I259" s="53">
        <f>COUNTIFS('00 Encuesta'!$B$2:$B$511,"*b)*",'00 Encuesta'!$C$2:$C$511,"*a)*",'00 Encuesta'!$E$2:$E$511,"*a)*",'00 Encuesta'!$AG$2:$AG$511,"*h)*")</f>
        <v>1</v>
      </c>
      <c r="J259" s="52">
        <f t="shared" si="302"/>
        <v>4.7619047619047619</v>
      </c>
      <c r="K259" s="53">
        <f>COUNTIFS('00 Encuesta'!$B$2:$B$511,"*b)*",'00 Encuesta'!$C$2:$C$511,"*a)*",'00 Encuesta'!$E$2:$E$511,"*b)*",'00 Encuesta'!$AG$2:$AG$511,"*h)*")</f>
        <v>2</v>
      </c>
      <c r="L259" s="52">
        <f t="shared" si="303"/>
        <v>11.76470588235294</v>
      </c>
      <c r="M259" s="23"/>
      <c r="N259" s="51">
        <f t="shared" si="304"/>
        <v>4</v>
      </c>
      <c r="O259" s="52">
        <f t="shared" si="305"/>
        <v>12.5</v>
      </c>
      <c r="P259" s="53">
        <f>COUNTIFS('00 Encuesta'!$B$2:$B$511,"*b)*",'00 Encuesta'!$C$2:$C$511,"*b)*",'00 Encuesta'!$E$2:$E$511,"*a)*",'00 Encuesta'!$AG$2:$AG$511,"*h)*")</f>
        <v>4</v>
      </c>
      <c r="Q259" s="52">
        <f t="shared" si="306"/>
        <v>23.52941176470588</v>
      </c>
      <c r="R259" s="53">
        <f>COUNTIFS('00 Encuesta'!$B$2:$B$511,"*b)*",'00 Encuesta'!$C$2:$C$511,"*b)*",'00 Encuesta'!$E$2:$E$511,"*b)*",'00 Encuesta'!$AG$2:$AG$511,"*h)*")</f>
        <v>0</v>
      </c>
      <c r="S259" s="52">
        <f t="shared" si="307"/>
        <v>0</v>
      </c>
      <c r="T259" s="3"/>
      <c r="U259" s="51">
        <f t="shared" si="308"/>
        <v>0</v>
      </c>
      <c r="V259" s="52" t="e">
        <f t="shared" si="309"/>
        <v>#DIV/0!</v>
      </c>
      <c r="W259" s="53">
        <f>COUNTIFS('00 Encuesta'!$B$2:$B$511,"*b)*",'00 Encuesta'!$C$2:$C$511,"*d)*",'00 Encuesta'!$E$2:$E$511,"*a)*",'00 Encuesta'!$AG$2:$AG$511,"*h)*")</f>
        <v>0</v>
      </c>
      <c r="X259" s="52" t="e">
        <f t="shared" si="310"/>
        <v>#DIV/0!</v>
      </c>
      <c r="Y259" s="53">
        <f>COUNTIFS('00 Encuesta'!$B$2:$B$511,"*b)*",'00 Encuesta'!$C$2:$C$511,"*d)*",'00 Encuesta'!$E$2:$E$511,"*b)*",'00 Encuesta'!$AG$2:$AG$511,"*h)*")</f>
        <v>0</v>
      </c>
      <c r="Z259" s="52" t="e">
        <f t="shared" si="311"/>
        <v>#DIV/0!</v>
      </c>
      <c r="AA259" s="3"/>
      <c r="AB259" s="62">
        <f t="shared" si="312"/>
        <v>7</v>
      </c>
      <c r="AC259" s="52">
        <f t="shared" si="313"/>
        <v>10</v>
      </c>
      <c r="AD259" s="3"/>
      <c r="AE259" s="3"/>
      <c r="AF259" s="9" t="str">
        <f t="shared" si="314"/>
        <v>h) Las actividades extraescolares</v>
      </c>
      <c r="AG259" s="72">
        <f t="shared" si="315"/>
        <v>4.7619047619047619</v>
      </c>
      <c r="AH259" s="72">
        <f t="shared" si="316"/>
        <v>11.76470588235294</v>
      </c>
      <c r="AI259" s="73">
        <f t="shared" si="317"/>
        <v>7.8947368421052628</v>
      </c>
      <c r="AJ259" s="73"/>
      <c r="AK259" s="76">
        <f t="shared" si="318"/>
        <v>23.52941176470588</v>
      </c>
      <c r="AL259" s="76">
        <f t="shared" si="319"/>
        <v>0</v>
      </c>
      <c r="AM259" s="76">
        <f t="shared" si="320"/>
        <v>12.5</v>
      </c>
      <c r="AN259" s="76"/>
      <c r="AO259" s="81" t="e">
        <f t="shared" si="321"/>
        <v>#DIV/0!</v>
      </c>
      <c r="AP259" s="81" t="e">
        <f t="shared" si="322"/>
        <v>#DIV/0!</v>
      </c>
      <c r="AQ259" s="81" t="e">
        <f t="shared" si="323"/>
        <v>#DIV/0!</v>
      </c>
      <c r="AR259" s="3"/>
      <c r="AS259" s="76">
        <f t="shared" si="227"/>
        <v>10</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ht="15" x14ac:dyDescent="0.25">
      <c r="A260" s="8" t="s">
        <v>65</v>
      </c>
      <c r="B260" s="9" t="s">
        <v>190</v>
      </c>
      <c r="C260" s="7"/>
      <c r="D260" s="7"/>
      <c r="E260" s="7"/>
      <c r="F260" s="71"/>
      <c r="G260" s="51">
        <f t="shared" si="300"/>
        <v>6</v>
      </c>
      <c r="H260" s="52">
        <f t="shared" si="301"/>
        <v>15.789473684210526</v>
      </c>
      <c r="I260" s="53">
        <f>COUNTIFS('00 Encuesta'!$B$2:$B$511,"*b)*",'00 Encuesta'!$C$2:$C$511,"*a)*",'00 Encuesta'!$E$2:$E$511,"*a)*",'00 Encuesta'!$AG$2:$AG$511,"*i)*")</f>
        <v>3</v>
      </c>
      <c r="J260" s="52">
        <f t="shared" si="302"/>
        <v>14.285714285714285</v>
      </c>
      <c r="K260" s="53">
        <f>COUNTIFS('00 Encuesta'!$B$2:$B$511,"*b)*",'00 Encuesta'!$C$2:$C$511,"*a)*",'00 Encuesta'!$E$2:$E$511,"*b)*",'00 Encuesta'!$AG$2:$AG$511,"*i)*")</f>
        <v>3</v>
      </c>
      <c r="L260" s="52">
        <f t="shared" si="303"/>
        <v>17.647058823529413</v>
      </c>
      <c r="M260" s="23"/>
      <c r="N260" s="51">
        <f t="shared" si="304"/>
        <v>3</v>
      </c>
      <c r="O260" s="52">
        <f t="shared" si="305"/>
        <v>9.375</v>
      </c>
      <c r="P260" s="53">
        <f>COUNTIFS('00 Encuesta'!$B$2:$B$511,"*b)*",'00 Encuesta'!$C$2:$C$511,"*b)*",'00 Encuesta'!$E$2:$E$511,"*a)*",'00 Encuesta'!$AG$2:$AG$511,"*i)*")</f>
        <v>2</v>
      </c>
      <c r="Q260" s="52">
        <f t="shared" si="306"/>
        <v>11.76470588235294</v>
      </c>
      <c r="R260" s="53">
        <f>COUNTIFS('00 Encuesta'!$B$2:$B$511,"*b)*",'00 Encuesta'!$C$2:$C$511,"*b)*",'00 Encuesta'!$E$2:$E$511,"*b)*",'00 Encuesta'!$AG$2:$AG$511,"*i)*")</f>
        <v>1</v>
      </c>
      <c r="S260" s="52">
        <f t="shared" si="307"/>
        <v>6.666666666666667</v>
      </c>
      <c r="T260" s="3"/>
      <c r="U260" s="51">
        <f t="shared" si="308"/>
        <v>0</v>
      </c>
      <c r="V260" s="52" t="e">
        <f t="shared" si="309"/>
        <v>#DIV/0!</v>
      </c>
      <c r="W260" s="53">
        <f>COUNTIFS('00 Encuesta'!$B$2:$B$511,"*b)*",'00 Encuesta'!$C$2:$C$511,"*d)*",'00 Encuesta'!$E$2:$E$511,"*a)*",'00 Encuesta'!$AG$2:$AG$511,"*i)*")</f>
        <v>0</v>
      </c>
      <c r="X260" s="52" t="e">
        <f t="shared" si="310"/>
        <v>#DIV/0!</v>
      </c>
      <c r="Y260" s="53">
        <f>COUNTIFS('00 Encuesta'!$B$2:$B$511,"*b)*",'00 Encuesta'!$C$2:$C$511,"*d)*",'00 Encuesta'!$E$2:$E$511,"*b)*",'00 Encuesta'!$AG$2:$AG$511,"*i)*")</f>
        <v>0</v>
      </c>
      <c r="Z260" s="52" t="e">
        <f t="shared" si="311"/>
        <v>#DIV/0!</v>
      </c>
      <c r="AA260" s="3"/>
      <c r="AB260" s="62">
        <f t="shared" si="312"/>
        <v>9</v>
      </c>
      <c r="AC260" s="52">
        <f t="shared" si="313"/>
        <v>12.857142857142858</v>
      </c>
      <c r="AD260" s="3"/>
      <c r="AE260" s="3"/>
      <c r="AF260" s="9" t="str">
        <f t="shared" si="314"/>
        <v>i) No me gusta nada</v>
      </c>
      <c r="AG260" s="72">
        <f t="shared" si="315"/>
        <v>14.285714285714285</v>
      </c>
      <c r="AH260" s="72">
        <f t="shared" si="316"/>
        <v>17.647058823529413</v>
      </c>
      <c r="AI260" s="73">
        <f t="shared" si="317"/>
        <v>15.789473684210526</v>
      </c>
      <c r="AJ260" s="73"/>
      <c r="AK260" s="76">
        <f t="shared" si="318"/>
        <v>11.76470588235294</v>
      </c>
      <c r="AL260" s="76">
        <f t="shared" si="319"/>
        <v>6.666666666666667</v>
      </c>
      <c r="AM260" s="76">
        <f t="shared" si="320"/>
        <v>9.375</v>
      </c>
      <c r="AN260" s="76"/>
      <c r="AO260" s="81" t="e">
        <f t="shared" si="321"/>
        <v>#DIV/0!</v>
      </c>
      <c r="AP260" s="81" t="e">
        <f t="shared" si="322"/>
        <v>#DIV/0!</v>
      </c>
      <c r="AQ260" s="81" t="e">
        <f t="shared" si="323"/>
        <v>#DIV/0!</v>
      </c>
      <c r="AR260" s="3"/>
      <c r="AS260" s="76">
        <f t="shared" si="227"/>
        <v>12.857142857142858</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ht="15" x14ac:dyDescent="0.25">
      <c r="A261" s="8" t="s">
        <v>23</v>
      </c>
      <c r="B261" s="9" t="s">
        <v>24</v>
      </c>
      <c r="C261" s="7"/>
      <c r="D261" s="7"/>
      <c r="E261" s="7"/>
      <c r="F261" s="71"/>
      <c r="G261" s="51">
        <f t="shared" si="300"/>
        <v>0</v>
      </c>
      <c r="H261" s="52">
        <f t="shared" si="301"/>
        <v>0</v>
      </c>
      <c r="I261" s="53"/>
      <c r="J261" s="52">
        <f t="shared" si="302"/>
        <v>0</v>
      </c>
      <c r="K261" s="53"/>
      <c r="L261" s="52">
        <f t="shared" si="303"/>
        <v>0</v>
      </c>
      <c r="M261" s="23"/>
      <c r="N261" s="51">
        <f t="shared" si="304"/>
        <v>0</v>
      </c>
      <c r="O261" s="52">
        <f t="shared" si="305"/>
        <v>0</v>
      </c>
      <c r="P261" s="53"/>
      <c r="Q261" s="52">
        <f t="shared" si="306"/>
        <v>0</v>
      </c>
      <c r="R261" s="53"/>
      <c r="S261" s="52">
        <f t="shared" si="307"/>
        <v>0</v>
      </c>
      <c r="T261" s="3"/>
      <c r="U261" s="51">
        <f t="shared" si="308"/>
        <v>0</v>
      </c>
      <c r="V261" s="52" t="e">
        <f t="shared" si="309"/>
        <v>#DIV/0!</v>
      </c>
      <c r="W261" s="53"/>
      <c r="X261" s="52" t="e">
        <f t="shared" si="310"/>
        <v>#DIV/0!</v>
      </c>
      <c r="Y261" s="53"/>
      <c r="Z261" s="52" t="e">
        <f t="shared" si="311"/>
        <v>#DIV/0!</v>
      </c>
      <c r="AA261" s="3"/>
      <c r="AB261" s="62">
        <f t="shared" si="312"/>
        <v>0</v>
      </c>
      <c r="AC261" s="52">
        <f t="shared" si="313"/>
        <v>0</v>
      </c>
      <c r="AD261" s="3"/>
      <c r="AE261" s="3"/>
      <c r="AF261" s="9" t="str">
        <f t="shared" si="314"/>
        <v>S/R Sin Respuesta</v>
      </c>
      <c r="AG261" s="72">
        <f t="shared" si="315"/>
        <v>0</v>
      </c>
      <c r="AH261" s="72">
        <f t="shared" si="316"/>
        <v>0</v>
      </c>
      <c r="AI261" s="73">
        <f t="shared" si="317"/>
        <v>0</v>
      </c>
      <c r="AJ261" s="73"/>
      <c r="AK261" s="76">
        <f t="shared" si="318"/>
        <v>0</v>
      </c>
      <c r="AL261" s="76">
        <f t="shared" si="319"/>
        <v>0</v>
      </c>
      <c r="AM261" s="76">
        <f t="shared" si="320"/>
        <v>0</v>
      </c>
      <c r="AN261" s="76"/>
      <c r="AO261" s="81" t="e">
        <f t="shared" si="321"/>
        <v>#DIV/0!</v>
      </c>
      <c r="AP261" s="81" t="e">
        <f t="shared" si="322"/>
        <v>#DIV/0!</v>
      </c>
      <c r="AQ261" s="81" t="e">
        <f t="shared" si="323"/>
        <v>#DIV/0!</v>
      </c>
      <c r="AR261" s="3"/>
      <c r="AS261" s="76">
        <f t="shared" si="227"/>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ht="15" x14ac:dyDescent="0.25">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ht="15" x14ac:dyDescent="0.25">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ht="15" x14ac:dyDescent="0.25">
      <c r="A264" s="8" t="s">
        <v>17</v>
      </c>
      <c r="B264" s="9" t="s">
        <v>192</v>
      </c>
      <c r="C264" s="7"/>
      <c r="D264" s="7"/>
      <c r="E264" s="7"/>
      <c r="F264" s="71"/>
      <c r="G264" s="51">
        <f t="shared" ref="G264:G270" si="324">I264+K264</f>
        <v>6</v>
      </c>
      <c r="H264" s="52">
        <f t="shared" ref="H264:H270" si="325">G264/$J$5*100</f>
        <v>15.789473684210526</v>
      </c>
      <c r="I264" s="53">
        <f>COUNTIFS('00 Encuesta'!$B$2:$B$511,"*b)*",'00 Encuesta'!$C$2:$C$511,"*a)*",'00 Encuesta'!$E$2:$E$511,"*a)*",'00 Encuesta'!$AI$2:$AI$511,"*a)*")</f>
        <v>1</v>
      </c>
      <c r="J264" s="52">
        <f t="shared" ref="J264:J270" si="326">I264/$J$6*100</f>
        <v>4.7619047619047619</v>
      </c>
      <c r="K264" s="53">
        <f>COUNTIFS('00 Encuesta'!$B$2:$B$511,"*b)*",'00 Encuesta'!$C$2:$C$511,"*a)*",'00 Encuesta'!$E$2:$E$511,"*b)*",'00 Encuesta'!$AI$2:$AI$511,"*a)*")</f>
        <v>5</v>
      </c>
      <c r="L264" s="52">
        <f t="shared" ref="L264:L270" si="327">K264/$J$7*100</f>
        <v>29.411764705882355</v>
      </c>
      <c r="M264" s="23"/>
      <c r="N264" s="51">
        <f t="shared" ref="N264:N270" si="328">P264+R264</f>
        <v>5</v>
      </c>
      <c r="O264" s="52">
        <f t="shared" ref="O264:O270" si="329">N264/$Q$5*100</f>
        <v>15.625</v>
      </c>
      <c r="P264" s="53">
        <f>COUNTIFS('00 Encuesta'!$B$2:$B$511,"*b)*",'00 Encuesta'!$C$2:$C$511,"*b)*",'00 Encuesta'!$E$2:$E$511,"*a)*",'00 Encuesta'!$AI$2:$AI$511,"*a)*")</f>
        <v>3</v>
      </c>
      <c r="Q264" s="52">
        <f t="shared" ref="Q264:Q270" si="330">P264/$Q$6*100</f>
        <v>17.647058823529413</v>
      </c>
      <c r="R264" s="53">
        <f>COUNTIFS('00 Encuesta'!$B$2:$B$511,"*b)*",'00 Encuesta'!$C$2:$C$511,"*b)*",'00 Encuesta'!$E$2:$E$511,"*b)*",'00 Encuesta'!$AI$2:$AI$511,"*a)*")</f>
        <v>2</v>
      </c>
      <c r="S264" s="52">
        <f t="shared" ref="S264:S270" si="331">R264/$Q$7*100</f>
        <v>13.333333333333334</v>
      </c>
      <c r="T264" s="3"/>
      <c r="U264" s="51">
        <f t="shared" ref="U264:U270" si="332">W264+Y264</f>
        <v>0</v>
      </c>
      <c r="V264" s="52" t="e">
        <f t="shared" ref="V264:V270" si="333">U264/$X$5*100</f>
        <v>#DIV/0!</v>
      </c>
      <c r="W264" s="53">
        <f>COUNTIFS('00 Encuesta'!$B$2:$B$511,"*b)*",'00 Encuesta'!$C$2:$C$511,"*d)*",'00 Encuesta'!$E$2:$E$511,"*a)*",'00 Encuesta'!$AI$2:$AI$511,"*a)*")</f>
        <v>0</v>
      </c>
      <c r="X264" s="52" t="e">
        <f t="shared" ref="X264:X270" si="334">W264/$X$6*100</f>
        <v>#DIV/0!</v>
      </c>
      <c r="Y264" s="53">
        <f>COUNTIFS('00 Encuesta'!$B$2:$B$511,"*b)*",'00 Encuesta'!$C$2:$C$511,"*d)*",'00 Encuesta'!$E$2:$E$511,"*b)*",'00 Encuesta'!$AI$2:$AI$511,"*a)*")</f>
        <v>0</v>
      </c>
      <c r="Z264" s="52" t="e">
        <f t="shared" ref="Z264:Z270" si="335">Y264/$X$7*100</f>
        <v>#DIV/0!</v>
      </c>
      <c r="AA264" s="3"/>
      <c r="AB264" s="62">
        <f t="shared" ref="AB264:AB270" si="336">G264+N264+U264</f>
        <v>11</v>
      </c>
      <c r="AC264" s="52">
        <f t="shared" ref="AC264:AC270" si="337">AB264*100/$AC$5</f>
        <v>15.714285714285714</v>
      </c>
      <c r="AD264" s="3"/>
      <c r="AE264" s="3"/>
      <c r="AF264" s="9" t="str">
        <f t="shared" ref="AF264:AF270" si="338">A264&amp;" "&amp;B264</f>
        <v>a) De 0 a 2 horas</v>
      </c>
      <c r="AG264" s="72">
        <f t="shared" ref="AG264:AG270" si="339">J264</f>
        <v>4.7619047619047619</v>
      </c>
      <c r="AH264" s="72">
        <f t="shared" ref="AH264:AH270" si="340">L264</f>
        <v>29.411764705882355</v>
      </c>
      <c r="AI264" s="73">
        <f t="shared" ref="AI264:AI270" si="341">H264</f>
        <v>15.789473684210526</v>
      </c>
      <c r="AJ264" s="73"/>
      <c r="AK264" s="76">
        <f t="shared" ref="AK264:AK270" si="342">Q264</f>
        <v>17.647058823529413</v>
      </c>
      <c r="AL264" s="76">
        <f t="shared" ref="AL264:AL270" si="343">S264</f>
        <v>13.333333333333334</v>
      </c>
      <c r="AM264" s="76">
        <f t="shared" ref="AM264:AM270" si="344">O264</f>
        <v>15.625</v>
      </c>
      <c r="AN264" s="76"/>
      <c r="AO264" s="81" t="e">
        <f t="shared" ref="AO264:AO270" si="345">X264</f>
        <v>#DIV/0!</v>
      </c>
      <c r="AP264" s="81" t="e">
        <f t="shared" ref="AP264:AP270" si="346">Z264</f>
        <v>#DIV/0!</v>
      </c>
      <c r="AQ264" s="81" t="e">
        <f t="shared" ref="AQ264:AQ270" si="347">V264</f>
        <v>#DIV/0!</v>
      </c>
      <c r="AR264" s="3"/>
      <c r="AS264" s="76">
        <f t="shared" si="227"/>
        <v>15.714285714285714</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ht="15" x14ac:dyDescent="0.25">
      <c r="A265" s="8" t="s">
        <v>18</v>
      </c>
      <c r="B265" s="9" t="s">
        <v>193</v>
      </c>
      <c r="C265" s="7"/>
      <c r="D265" s="7"/>
      <c r="E265" s="7"/>
      <c r="F265" s="71"/>
      <c r="G265" s="51">
        <f t="shared" si="324"/>
        <v>11</v>
      </c>
      <c r="H265" s="52">
        <f t="shared" si="325"/>
        <v>28.947368421052634</v>
      </c>
      <c r="I265" s="53">
        <f>COUNTIFS('00 Encuesta'!$B$2:$B$511,"*b)*",'00 Encuesta'!$C$2:$C$511,"*a)*",'00 Encuesta'!$E$2:$E$511,"*a)*",'00 Encuesta'!$AI$2:$AI$511,"*b)*")</f>
        <v>5</v>
      </c>
      <c r="J265" s="52">
        <f t="shared" si="326"/>
        <v>23.809523809523807</v>
      </c>
      <c r="K265" s="53">
        <f>COUNTIFS('00 Encuesta'!$B$2:$B$511,"*b)*",'00 Encuesta'!$C$2:$C$511,"*a)*",'00 Encuesta'!$E$2:$E$511,"*b)*",'00 Encuesta'!$AI$2:$AI$511,"*b)*")</f>
        <v>6</v>
      </c>
      <c r="L265" s="52">
        <f t="shared" si="327"/>
        <v>35.294117647058826</v>
      </c>
      <c r="M265" s="23"/>
      <c r="N265" s="51">
        <f t="shared" si="328"/>
        <v>10</v>
      </c>
      <c r="O265" s="52">
        <f t="shared" si="329"/>
        <v>31.25</v>
      </c>
      <c r="P265" s="53">
        <f>COUNTIFS('00 Encuesta'!$B$2:$B$511,"*b)*",'00 Encuesta'!$C$2:$C$511,"*b)*",'00 Encuesta'!$E$2:$E$511,"*a)*",'00 Encuesta'!$AI$2:$AI$511,"*b)*")</f>
        <v>6</v>
      </c>
      <c r="Q265" s="52">
        <f t="shared" si="330"/>
        <v>35.294117647058826</v>
      </c>
      <c r="R265" s="53">
        <f>COUNTIFS('00 Encuesta'!$B$2:$B$511,"*b)*",'00 Encuesta'!$C$2:$C$511,"*b)*",'00 Encuesta'!$E$2:$E$511,"*b)*",'00 Encuesta'!$AI$2:$AI$511,"*b)*")</f>
        <v>4</v>
      </c>
      <c r="S265" s="52">
        <f t="shared" si="331"/>
        <v>26.666666666666668</v>
      </c>
      <c r="T265" s="3"/>
      <c r="U265" s="51">
        <f t="shared" si="332"/>
        <v>0</v>
      </c>
      <c r="V265" s="52" t="e">
        <f t="shared" si="333"/>
        <v>#DIV/0!</v>
      </c>
      <c r="W265" s="53">
        <f>COUNTIFS('00 Encuesta'!$B$2:$B$511,"*b)*",'00 Encuesta'!$C$2:$C$511,"*d)*",'00 Encuesta'!$E$2:$E$511,"*a)*",'00 Encuesta'!$AI$2:$AI$511,"*b)*")</f>
        <v>0</v>
      </c>
      <c r="X265" s="52" t="e">
        <f t="shared" si="334"/>
        <v>#DIV/0!</v>
      </c>
      <c r="Y265" s="53">
        <f>COUNTIFS('00 Encuesta'!$B$2:$B$511,"*b)*",'00 Encuesta'!$C$2:$C$511,"*d)*",'00 Encuesta'!$E$2:$E$511,"*b)*",'00 Encuesta'!$AI$2:$AI$511,"*b)*")</f>
        <v>0</v>
      </c>
      <c r="Z265" s="52" t="e">
        <f t="shared" si="335"/>
        <v>#DIV/0!</v>
      </c>
      <c r="AA265" s="3"/>
      <c r="AB265" s="62">
        <f t="shared" si="336"/>
        <v>21</v>
      </c>
      <c r="AC265" s="52">
        <f t="shared" si="337"/>
        <v>30</v>
      </c>
      <c r="AD265" s="3"/>
      <c r="AE265" s="3"/>
      <c r="AF265" s="9" t="str">
        <f t="shared" si="338"/>
        <v>b) De 3 a 4 horas</v>
      </c>
      <c r="AG265" s="72">
        <f t="shared" si="339"/>
        <v>23.809523809523807</v>
      </c>
      <c r="AH265" s="72">
        <f t="shared" si="340"/>
        <v>35.294117647058826</v>
      </c>
      <c r="AI265" s="73">
        <f t="shared" si="341"/>
        <v>28.947368421052634</v>
      </c>
      <c r="AJ265" s="73"/>
      <c r="AK265" s="76">
        <f t="shared" si="342"/>
        <v>35.294117647058826</v>
      </c>
      <c r="AL265" s="76">
        <f t="shared" si="343"/>
        <v>26.666666666666668</v>
      </c>
      <c r="AM265" s="76">
        <f t="shared" si="344"/>
        <v>31.25</v>
      </c>
      <c r="AN265" s="76"/>
      <c r="AO265" s="81" t="e">
        <f t="shared" si="345"/>
        <v>#DIV/0!</v>
      </c>
      <c r="AP265" s="81" t="e">
        <f t="shared" si="346"/>
        <v>#DIV/0!</v>
      </c>
      <c r="AQ265" s="81" t="e">
        <f t="shared" si="347"/>
        <v>#DIV/0!</v>
      </c>
      <c r="AR265" s="3"/>
      <c r="AS265" s="76">
        <f t="shared" si="227"/>
        <v>30</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ht="15" x14ac:dyDescent="0.25">
      <c r="A266" s="8" t="s">
        <v>20</v>
      </c>
      <c r="B266" s="9" t="s">
        <v>194</v>
      </c>
      <c r="C266" s="7"/>
      <c r="D266" s="7"/>
      <c r="E266" s="7"/>
      <c r="F266" s="71"/>
      <c r="G266" s="51">
        <f t="shared" si="324"/>
        <v>7</v>
      </c>
      <c r="H266" s="52">
        <f t="shared" si="325"/>
        <v>18.421052631578945</v>
      </c>
      <c r="I266" s="53">
        <f>COUNTIFS('00 Encuesta'!$B$2:$B$511,"*b)*",'00 Encuesta'!$C$2:$C$511,"*a)*",'00 Encuesta'!$E$2:$E$511,"*a)*",'00 Encuesta'!$AI$2:$AI$511,"*c)*")</f>
        <v>5</v>
      </c>
      <c r="J266" s="52">
        <f t="shared" si="326"/>
        <v>23.809523809523807</v>
      </c>
      <c r="K266" s="53">
        <f>COUNTIFS('00 Encuesta'!$B$2:$B$511,"*b)*",'00 Encuesta'!$C$2:$C$511,"*a)*",'00 Encuesta'!$E$2:$E$511,"*b)*",'00 Encuesta'!$AI$2:$AI$511,"*c)*")</f>
        <v>2</v>
      </c>
      <c r="L266" s="52">
        <f t="shared" si="327"/>
        <v>11.76470588235294</v>
      </c>
      <c r="M266" s="23"/>
      <c r="N266" s="51">
        <f t="shared" si="328"/>
        <v>5</v>
      </c>
      <c r="O266" s="52">
        <f t="shared" si="329"/>
        <v>15.625</v>
      </c>
      <c r="P266" s="53">
        <f>COUNTIFS('00 Encuesta'!$B$2:$B$511,"*b)*",'00 Encuesta'!$C$2:$C$511,"*b)*",'00 Encuesta'!$E$2:$E$511,"*a)*",'00 Encuesta'!$AI$2:$AI$511,"*c)*")</f>
        <v>0</v>
      </c>
      <c r="Q266" s="52">
        <f t="shared" si="330"/>
        <v>0</v>
      </c>
      <c r="R266" s="53">
        <f>COUNTIFS('00 Encuesta'!$B$2:$B$511,"*b)*",'00 Encuesta'!$C$2:$C$511,"*b)*",'00 Encuesta'!$E$2:$E$511,"*b)*",'00 Encuesta'!$AI$2:$AI$511,"*c)*")</f>
        <v>5</v>
      </c>
      <c r="S266" s="52">
        <f t="shared" si="331"/>
        <v>33.333333333333329</v>
      </c>
      <c r="T266" s="3"/>
      <c r="U266" s="51">
        <f t="shared" si="332"/>
        <v>0</v>
      </c>
      <c r="V266" s="52" t="e">
        <f t="shared" si="333"/>
        <v>#DIV/0!</v>
      </c>
      <c r="W266" s="53">
        <f>COUNTIFS('00 Encuesta'!$B$2:$B$511,"*b)*",'00 Encuesta'!$C$2:$C$511,"*d)*",'00 Encuesta'!$E$2:$E$511,"*a)*",'00 Encuesta'!$AI$2:$AI$511,"*c)*")</f>
        <v>0</v>
      </c>
      <c r="X266" s="52" t="e">
        <f t="shared" si="334"/>
        <v>#DIV/0!</v>
      </c>
      <c r="Y266" s="53">
        <f>COUNTIFS('00 Encuesta'!$B$2:$B$511,"*b)*",'00 Encuesta'!$C$2:$C$511,"*d)*",'00 Encuesta'!$E$2:$E$511,"*b)*",'00 Encuesta'!$AI$2:$AI$511,"*c)*")</f>
        <v>0</v>
      </c>
      <c r="Z266" s="52" t="e">
        <f t="shared" si="335"/>
        <v>#DIV/0!</v>
      </c>
      <c r="AA266" s="3"/>
      <c r="AB266" s="62">
        <f t="shared" si="336"/>
        <v>12</v>
      </c>
      <c r="AC266" s="52">
        <f t="shared" si="337"/>
        <v>17.142857142857142</v>
      </c>
      <c r="AD266" s="3"/>
      <c r="AE266" s="3"/>
      <c r="AF266" s="9" t="str">
        <f t="shared" si="338"/>
        <v>c) De 5 a 6 horas</v>
      </c>
      <c r="AG266" s="72">
        <f t="shared" si="339"/>
        <v>23.809523809523807</v>
      </c>
      <c r="AH266" s="72">
        <f t="shared" si="340"/>
        <v>11.76470588235294</v>
      </c>
      <c r="AI266" s="73">
        <f t="shared" si="341"/>
        <v>18.421052631578945</v>
      </c>
      <c r="AJ266" s="73"/>
      <c r="AK266" s="76">
        <f t="shared" si="342"/>
        <v>0</v>
      </c>
      <c r="AL266" s="76">
        <f t="shared" si="343"/>
        <v>33.333333333333329</v>
      </c>
      <c r="AM266" s="76">
        <f t="shared" si="344"/>
        <v>15.625</v>
      </c>
      <c r="AN266" s="76"/>
      <c r="AO266" s="81" t="e">
        <f t="shared" si="345"/>
        <v>#DIV/0!</v>
      </c>
      <c r="AP266" s="81" t="e">
        <f t="shared" si="346"/>
        <v>#DIV/0!</v>
      </c>
      <c r="AQ266" s="81" t="e">
        <f t="shared" si="347"/>
        <v>#DIV/0!</v>
      </c>
      <c r="AR266" s="3"/>
      <c r="AS266" s="76">
        <f t="shared" si="227"/>
        <v>17.142857142857142</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ht="15" x14ac:dyDescent="0.25">
      <c r="A267" s="8" t="s">
        <v>21</v>
      </c>
      <c r="B267" s="9" t="s">
        <v>195</v>
      </c>
      <c r="C267" s="7"/>
      <c r="D267" s="7"/>
      <c r="E267" s="7"/>
      <c r="F267" s="71"/>
      <c r="G267" s="51">
        <f t="shared" si="324"/>
        <v>3</v>
      </c>
      <c r="H267" s="52">
        <f t="shared" si="325"/>
        <v>7.8947368421052628</v>
      </c>
      <c r="I267" s="53">
        <f>COUNTIFS('00 Encuesta'!$B$2:$B$511,"*b)*",'00 Encuesta'!$C$2:$C$511,"*a)*",'00 Encuesta'!$E$2:$E$511,"*a)*",'00 Encuesta'!$AI$2:$AI$511,"*d)*")</f>
        <v>3</v>
      </c>
      <c r="J267" s="52">
        <f t="shared" si="326"/>
        <v>14.285714285714285</v>
      </c>
      <c r="K267" s="53">
        <f>COUNTIFS('00 Encuesta'!$B$2:$B$511,"*b)*",'00 Encuesta'!$C$2:$C$511,"*a)*",'00 Encuesta'!$E$2:$E$511,"*b)*",'00 Encuesta'!$AI$2:$AI$511,"*d)*")</f>
        <v>0</v>
      </c>
      <c r="L267" s="52">
        <f t="shared" si="327"/>
        <v>0</v>
      </c>
      <c r="M267" s="23"/>
      <c r="N267" s="51">
        <f t="shared" si="328"/>
        <v>7</v>
      </c>
      <c r="O267" s="52">
        <f t="shared" si="329"/>
        <v>21.875</v>
      </c>
      <c r="P267" s="53">
        <f>COUNTIFS('00 Encuesta'!$B$2:$B$511,"*b)*",'00 Encuesta'!$C$2:$C$511,"*b)*",'00 Encuesta'!$E$2:$E$511,"*a)*",'00 Encuesta'!$AI$2:$AI$511,"*d)*")</f>
        <v>5</v>
      </c>
      <c r="Q267" s="52">
        <f t="shared" si="330"/>
        <v>29.411764705882355</v>
      </c>
      <c r="R267" s="53">
        <f>COUNTIFS('00 Encuesta'!$B$2:$B$511,"*b)*",'00 Encuesta'!$C$2:$C$511,"*b)*",'00 Encuesta'!$E$2:$E$511,"*b)*",'00 Encuesta'!$AI$2:$AI$511,"*d)*")</f>
        <v>2</v>
      </c>
      <c r="S267" s="52">
        <f t="shared" si="331"/>
        <v>13.333333333333334</v>
      </c>
      <c r="T267" s="3"/>
      <c r="U267" s="51">
        <f t="shared" si="332"/>
        <v>0</v>
      </c>
      <c r="V267" s="52" t="e">
        <f t="shared" si="333"/>
        <v>#DIV/0!</v>
      </c>
      <c r="W267" s="53">
        <f>COUNTIFS('00 Encuesta'!$B$2:$B$511,"*b)*",'00 Encuesta'!$C$2:$C$511,"*d)*",'00 Encuesta'!$E$2:$E$511,"*a)*",'00 Encuesta'!$AI$2:$AI$511,"*d)*")</f>
        <v>0</v>
      </c>
      <c r="X267" s="52" t="e">
        <f t="shared" si="334"/>
        <v>#DIV/0!</v>
      </c>
      <c r="Y267" s="53">
        <f>COUNTIFS('00 Encuesta'!$B$2:$B$511,"*b)*",'00 Encuesta'!$C$2:$C$511,"*d)*",'00 Encuesta'!$E$2:$E$511,"*b)*",'00 Encuesta'!$AI$2:$AI$511,"*d)*")</f>
        <v>0</v>
      </c>
      <c r="Z267" s="52" t="e">
        <f t="shared" si="335"/>
        <v>#DIV/0!</v>
      </c>
      <c r="AA267" s="3"/>
      <c r="AB267" s="62">
        <f t="shared" si="336"/>
        <v>10</v>
      </c>
      <c r="AC267" s="52">
        <f t="shared" si="337"/>
        <v>14.285714285714286</v>
      </c>
      <c r="AD267" s="3"/>
      <c r="AE267" s="3"/>
      <c r="AF267" s="9" t="str">
        <f t="shared" si="338"/>
        <v>d) De 7 a 8 horas</v>
      </c>
      <c r="AG267" s="72">
        <f t="shared" si="339"/>
        <v>14.285714285714285</v>
      </c>
      <c r="AH267" s="72">
        <f t="shared" si="340"/>
        <v>0</v>
      </c>
      <c r="AI267" s="73">
        <f t="shared" si="341"/>
        <v>7.8947368421052628</v>
      </c>
      <c r="AJ267" s="73"/>
      <c r="AK267" s="76">
        <f t="shared" si="342"/>
        <v>29.411764705882355</v>
      </c>
      <c r="AL267" s="76">
        <f t="shared" si="343"/>
        <v>13.333333333333334</v>
      </c>
      <c r="AM267" s="76">
        <f t="shared" si="344"/>
        <v>21.875</v>
      </c>
      <c r="AN267" s="76"/>
      <c r="AO267" s="81" t="e">
        <f t="shared" si="345"/>
        <v>#DIV/0!</v>
      </c>
      <c r="AP267" s="81" t="e">
        <f t="shared" si="346"/>
        <v>#DIV/0!</v>
      </c>
      <c r="AQ267" s="81" t="e">
        <f t="shared" si="347"/>
        <v>#DIV/0!</v>
      </c>
      <c r="AR267" s="3"/>
      <c r="AS267" s="76">
        <f t="shared" si="227"/>
        <v>14.285714285714286</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ht="15" x14ac:dyDescent="0.25">
      <c r="A268" s="8" t="s">
        <v>22</v>
      </c>
      <c r="B268" s="9" t="s">
        <v>196</v>
      </c>
      <c r="C268" s="7"/>
      <c r="D268" s="7"/>
      <c r="E268" s="7"/>
      <c r="F268" s="71"/>
      <c r="G268" s="51">
        <f t="shared" si="324"/>
        <v>3</v>
      </c>
      <c r="H268" s="52">
        <f t="shared" si="325"/>
        <v>7.8947368421052628</v>
      </c>
      <c r="I268" s="53">
        <f>COUNTIFS('00 Encuesta'!$B$2:$B$511,"*b)*",'00 Encuesta'!$C$2:$C$511,"*a)*",'00 Encuesta'!$E$2:$E$511,"*a)*",'00 Encuesta'!$AI$2:$AI$511,"*e)*")</f>
        <v>3</v>
      </c>
      <c r="J268" s="52">
        <f t="shared" si="326"/>
        <v>14.285714285714285</v>
      </c>
      <c r="K268" s="53">
        <f>COUNTIFS('00 Encuesta'!$B$2:$B$511,"*b)*",'00 Encuesta'!$C$2:$C$511,"*a)*",'00 Encuesta'!$E$2:$E$511,"*b)*",'00 Encuesta'!$AI$2:$AI$511,"*e)*")</f>
        <v>0</v>
      </c>
      <c r="L268" s="52">
        <f t="shared" si="327"/>
        <v>0</v>
      </c>
      <c r="M268" s="23"/>
      <c r="N268" s="51">
        <f t="shared" si="328"/>
        <v>0</v>
      </c>
      <c r="O268" s="52">
        <f t="shared" si="329"/>
        <v>0</v>
      </c>
      <c r="P268" s="53">
        <f>COUNTIFS('00 Encuesta'!$B$2:$B$511,"*b)*",'00 Encuesta'!$C$2:$C$511,"*b)*",'00 Encuesta'!$E$2:$E$511,"*a)*",'00 Encuesta'!$AI$2:$AI$511,"*e)*")</f>
        <v>0</v>
      </c>
      <c r="Q268" s="52">
        <f t="shared" si="330"/>
        <v>0</v>
      </c>
      <c r="R268" s="53">
        <f>COUNTIFS('00 Encuesta'!$B$2:$B$511,"*b)*",'00 Encuesta'!$C$2:$C$511,"*b)*",'00 Encuesta'!$E$2:$E$511,"*b)*",'00 Encuesta'!$AI$2:$AI$511,"*e)*")</f>
        <v>0</v>
      </c>
      <c r="S268" s="52">
        <f t="shared" si="331"/>
        <v>0</v>
      </c>
      <c r="T268" s="3"/>
      <c r="U268" s="51">
        <f t="shared" si="332"/>
        <v>0</v>
      </c>
      <c r="V268" s="52" t="e">
        <f t="shared" si="333"/>
        <v>#DIV/0!</v>
      </c>
      <c r="W268" s="53">
        <f>COUNTIFS('00 Encuesta'!$B$2:$B$511,"*b)*",'00 Encuesta'!$C$2:$C$511,"*d)*",'00 Encuesta'!$E$2:$E$511,"*a)*",'00 Encuesta'!$AI$2:$AI$511,"*e)*")</f>
        <v>0</v>
      </c>
      <c r="X268" s="52" t="e">
        <f t="shared" si="334"/>
        <v>#DIV/0!</v>
      </c>
      <c r="Y268" s="53">
        <f>COUNTIFS('00 Encuesta'!$B$2:$B$511,"*b)*",'00 Encuesta'!$C$2:$C$511,"*d)*",'00 Encuesta'!$E$2:$E$511,"*b)*",'00 Encuesta'!$AI$2:$AI$511,"*e)*")</f>
        <v>0</v>
      </c>
      <c r="Z268" s="52" t="e">
        <f t="shared" si="335"/>
        <v>#DIV/0!</v>
      </c>
      <c r="AA268" s="3"/>
      <c r="AB268" s="62">
        <f t="shared" si="336"/>
        <v>3</v>
      </c>
      <c r="AC268" s="52">
        <f t="shared" si="337"/>
        <v>4.2857142857142856</v>
      </c>
      <c r="AD268" s="3"/>
      <c r="AE268" s="3"/>
      <c r="AF268" s="9" t="str">
        <f t="shared" si="338"/>
        <v>e) De 9 a 10 horas</v>
      </c>
      <c r="AG268" s="72">
        <f t="shared" si="339"/>
        <v>14.285714285714285</v>
      </c>
      <c r="AH268" s="72">
        <f t="shared" si="340"/>
        <v>0</v>
      </c>
      <c r="AI268" s="73">
        <f t="shared" si="341"/>
        <v>7.8947368421052628</v>
      </c>
      <c r="AJ268" s="73"/>
      <c r="AK268" s="76">
        <f t="shared" si="342"/>
        <v>0</v>
      </c>
      <c r="AL268" s="76">
        <f t="shared" si="343"/>
        <v>0</v>
      </c>
      <c r="AM268" s="76">
        <f t="shared" si="344"/>
        <v>0</v>
      </c>
      <c r="AN268" s="76"/>
      <c r="AO268" s="81" t="e">
        <f t="shared" si="345"/>
        <v>#DIV/0!</v>
      </c>
      <c r="AP268" s="81" t="e">
        <f t="shared" si="346"/>
        <v>#DIV/0!</v>
      </c>
      <c r="AQ268" s="81" t="e">
        <f t="shared" si="347"/>
        <v>#DIV/0!</v>
      </c>
      <c r="AR268" s="3"/>
      <c r="AS268" s="76">
        <f t="shared" si="227"/>
        <v>4.2857142857142856</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ht="15" x14ac:dyDescent="0.25">
      <c r="A269" s="8" t="s">
        <v>45</v>
      </c>
      <c r="B269" s="9" t="s">
        <v>197</v>
      </c>
      <c r="C269" s="7"/>
      <c r="D269" s="7"/>
      <c r="E269" s="7"/>
      <c r="F269" s="71"/>
      <c r="G269" s="51">
        <f t="shared" si="324"/>
        <v>5</v>
      </c>
      <c r="H269" s="52">
        <f t="shared" si="325"/>
        <v>13.157894736842104</v>
      </c>
      <c r="I269" s="53">
        <f>COUNTIFS('00 Encuesta'!$B$2:$B$511,"*b)*",'00 Encuesta'!$C$2:$C$511,"*a)*",'00 Encuesta'!$E$2:$E$511,"*a)*",'00 Encuesta'!$AI$2:$AI$511,"*f)*")</f>
        <v>2</v>
      </c>
      <c r="J269" s="52">
        <f t="shared" si="326"/>
        <v>9.5238095238095237</v>
      </c>
      <c r="K269" s="53">
        <f>COUNTIFS('00 Encuesta'!$B$2:$B$511,"*b)*",'00 Encuesta'!$C$2:$C$511,"*a)*",'00 Encuesta'!$E$2:$E$511,"*b)*",'00 Encuesta'!$AI$2:$AI$511,"*f)*")</f>
        <v>3</v>
      </c>
      <c r="L269" s="52">
        <f t="shared" si="327"/>
        <v>17.647058823529413</v>
      </c>
      <c r="M269" s="23"/>
      <c r="N269" s="51">
        <f t="shared" si="328"/>
        <v>2</v>
      </c>
      <c r="O269" s="52">
        <f t="shared" si="329"/>
        <v>6.25</v>
      </c>
      <c r="P269" s="53">
        <f>COUNTIFS('00 Encuesta'!$B$2:$B$511,"*b)*",'00 Encuesta'!$C$2:$C$511,"*b)*",'00 Encuesta'!$E$2:$E$511,"*a)*",'00 Encuesta'!$AI$2:$AI$511,"*f)*")</f>
        <v>0</v>
      </c>
      <c r="Q269" s="52">
        <f t="shared" si="330"/>
        <v>0</v>
      </c>
      <c r="R269" s="53">
        <f>COUNTIFS('00 Encuesta'!$B$2:$B$511,"*b)*",'00 Encuesta'!$C$2:$C$511,"*b)*",'00 Encuesta'!$E$2:$E$511,"*b)*",'00 Encuesta'!$AI$2:$AI$511,"*f)*")</f>
        <v>2</v>
      </c>
      <c r="S269" s="52">
        <f t="shared" si="331"/>
        <v>13.333333333333334</v>
      </c>
      <c r="T269" s="3"/>
      <c r="U269" s="51">
        <f t="shared" si="332"/>
        <v>0</v>
      </c>
      <c r="V269" s="52" t="e">
        <f t="shared" si="333"/>
        <v>#DIV/0!</v>
      </c>
      <c r="W269" s="53">
        <f>COUNTIFS('00 Encuesta'!$B$2:$B$511,"*b)*",'00 Encuesta'!$C$2:$C$511,"*d)*",'00 Encuesta'!$E$2:$E$511,"*a)*",'00 Encuesta'!$AI$2:$AI$511,"*f)*")</f>
        <v>0</v>
      </c>
      <c r="X269" s="52" t="e">
        <f t="shared" si="334"/>
        <v>#DIV/0!</v>
      </c>
      <c r="Y269" s="53">
        <f>COUNTIFS('00 Encuesta'!$B$2:$B$511,"*b)*",'00 Encuesta'!$C$2:$C$511,"*d)*",'00 Encuesta'!$E$2:$E$511,"*b)*",'00 Encuesta'!$AI$2:$AI$511,"*f)*")</f>
        <v>0</v>
      </c>
      <c r="Z269" s="52" t="e">
        <f t="shared" si="335"/>
        <v>#DIV/0!</v>
      </c>
      <c r="AA269" s="3"/>
      <c r="AB269" s="62">
        <f t="shared" si="336"/>
        <v>7</v>
      </c>
      <c r="AC269" s="52">
        <f t="shared" si="337"/>
        <v>10</v>
      </c>
      <c r="AD269" s="3"/>
      <c r="AE269" s="3"/>
      <c r="AF269" s="9" t="str">
        <f t="shared" si="338"/>
        <v>f) Mas de 11 horas</v>
      </c>
      <c r="AG269" s="72">
        <f t="shared" si="339"/>
        <v>9.5238095238095237</v>
      </c>
      <c r="AH269" s="72">
        <f t="shared" si="340"/>
        <v>17.647058823529413</v>
      </c>
      <c r="AI269" s="73">
        <f t="shared" si="341"/>
        <v>13.157894736842104</v>
      </c>
      <c r="AJ269" s="73"/>
      <c r="AK269" s="76">
        <f t="shared" si="342"/>
        <v>0</v>
      </c>
      <c r="AL269" s="76">
        <f t="shared" si="343"/>
        <v>13.333333333333334</v>
      </c>
      <c r="AM269" s="76">
        <f t="shared" si="344"/>
        <v>6.25</v>
      </c>
      <c r="AN269" s="76"/>
      <c r="AO269" s="81" t="e">
        <f t="shared" si="345"/>
        <v>#DIV/0!</v>
      </c>
      <c r="AP269" s="81" t="e">
        <f t="shared" si="346"/>
        <v>#DIV/0!</v>
      </c>
      <c r="AQ269" s="81" t="e">
        <f t="shared" si="347"/>
        <v>#DIV/0!</v>
      </c>
      <c r="AR269" s="3"/>
      <c r="AS269" s="76">
        <f t="shared" si="227"/>
        <v>10</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ht="15" x14ac:dyDescent="0.25">
      <c r="A270" s="8" t="s">
        <v>23</v>
      </c>
      <c r="B270" s="9" t="s">
        <v>24</v>
      </c>
      <c r="C270" s="7"/>
      <c r="D270" s="7"/>
      <c r="E270" s="7"/>
      <c r="F270" s="71"/>
      <c r="G270" s="51">
        <f t="shared" si="324"/>
        <v>0</v>
      </c>
      <c r="H270" s="52">
        <f t="shared" si="325"/>
        <v>0</v>
      </c>
      <c r="I270" s="53"/>
      <c r="J270" s="52">
        <f t="shared" si="326"/>
        <v>0</v>
      </c>
      <c r="K270" s="53"/>
      <c r="L270" s="52">
        <f t="shared" si="327"/>
        <v>0</v>
      </c>
      <c r="M270" s="23"/>
      <c r="N270" s="51">
        <f t="shared" si="328"/>
        <v>0</v>
      </c>
      <c r="O270" s="52">
        <f t="shared" si="329"/>
        <v>0</v>
      </c>
      <c r="P270" s="53"/>
      <c r="Q270" s="52">
        <f t="shared" si="330"/>
        <v>0</v>
      </c>
      <c r="R270" s="53"/>
      <c r="S270" s="52">
        <f t="shared" si="331"/>
        <v>0</v>
      </c>
      <c r="T270" s="3"/>
      <c r="U270" s="51">
        <f t="shared" si="332"/>
        <v>0</v>
      </c>
      <c r="V270" s="52" t="e">
        <f t="shared" si="333"/>
        <v>#DIV/0!</v>
      </c>
      <c r="W270" s="53"/>
      <c r="X270" s="52" t="e">
        <f t="shared" si="334"/>
        <v>#DIV/0!</v>
      </c>
      <c r="Y270" s="53"/>
      <c r="Z270" s="52" t="e">
        <f t="shared" si="335"/>
        <v>#DIV/0!</v>
      </c>
      <c r="AA270" s="3"/>
      <c r="AB270" s="62">
        <f t="shared" si="336"/>
        <v>0</v>
      </c>
      <c r="AC270" s="52">
        <f t="shared" si="337"/>
        <v>0</v>
      </c>
      <c r="AD270" s="3"/>
      <c r="AE270" s="3"/>
      <c r="AF270" s="9" t="str">
        <f t="shared" si="338"/>
        <v>S/R Sin Respuesta</v>
      </c>
      <c r="AG270" s="72">
        <f t="shared" si="339"/>
        <v>0</v>
      </c>
      <c r="AH270" s="72">
        <f t="shared" si="340"/>
        <v>0</v>
      </c>
      <c r="AI270" s="73">
        <f t="shared" si="341"/>
        <v>0</v>
      </c>
      <c r="AJ270" s="73"/>
      <c r="AK270" s="76">
        <f t="shared" si="342"/>
        <v>0</v>
      </c>
      <c r="AL270" s="76">
        <f t="shared" si="343"/>
        <v>0</v>
      </c>
      <c r="AM270" s="76">
        <f t="shared" si="344"/>
        <v>0</v>
      </c>
      <c r="AN270" s="76"/>
      <c r="AO270" s="81" t="e">
        <f t="shared" si="345"/>
        <v>#DIV/0!</v>
      </c>
      <c r="AP270" s="81" t="e">
        <f t="shared" si="346"/>
        <v>#DIV/0!</v>
      </c>
      <c r="AQ270" s="81" t="e">
        <f t="shared" si="347"/>
        <v>#DIV/0!</v>
      </c>
      <c r="AR270" s="3"/>
      <c r="AS270" s="76">
        <f t="shared" si="227"/>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ht="15" x14ac:dyDescent="0.25">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ht="15" x14ac:dyDescent="0.25">
      <c r="A273" s="8" t="s">
        <v>17</v>
      </c>
      <c r="B273" s="85" t="s">
        <v>199</v>
      </c>
      <c r="C273" s="7"/>
      <c r="D273" s="7"/>
      <c r="E273" s="7"/>
      <c r="F273" s="71"/>
      <c r="G273" s="51">
        <f t="shared" ref="G273:G286" si="348">I273+K273</f>
        <v>4</v>
      </c>
      <c r="H273" s="52">
        <f t="shared" ref="H273:H286" si="349">G273/$J$5*100</f>
        <v>10.526315789473683</v>
      </c>
      <c r="I273" s="53">
        <f>COUNTIFS('00 Encuesta'!$B$2:$B$511,"*b)*",'00 Encuesta'!$C$2:$C$511,"*a)*",'00 Encuesta'!$E$2:$E$511,"*a)*",'00 Encuesta'!$AJ$2:$AJ$511,"*a)*")</f>
        <v>3</v>
      </c>
      <c r="J273" s="52">
        <f t="shared" ref="J273:J286" si="350">I273/$J$6*100</f>
        <v>14.285714285714285</v>
      </c>
      <c r="K273" s="53">
        <f>COUNTIFS('00 Encuesta'!$B$2:$B$511,"*b)*",'00 Encuesta'!$C$2:$C$511,"*a)*",'00 Encuesta'!$E$2:$E$511,"*b)*",'00 Encuesta'!$AJ$2:$AJ$511,"*a)*")</f>
        <v>1</v>
      </c>
      <c r="L273" s="52">
        <f t="shared" ref="L273:L286" si="351">K273/$J$7*100</f>
        <v>5.8823529411764701</v>
      </c>
      <c r="M273" s="23"/>
      <c r="N273" s="51">
        <f t="shared" ref="N273:N286" si="352">P273+R273</f>
        <v>2</v>
      </c>
      <c r="O273" s="52">
        <f t="shared" ref="O273:O286" si="353">N273/$Q$5*100</f>
        <v>6.25</v>
      </c>
      <c r="P273" s="53">
        <f>COUNTIFS('00 Encuesta'!$B$2:$B$511,"*b)*",'00 Encuesta'!$C$2:$C$511,"*b)*",'00 Encuesta'!$E$2:$E$511,"*a)*",'00 Encuesta'!$AJ$2:$AJ$511,"*a)*")</f>
        <v>1</v>
      </c>
      <c r="Q273" s="52">
        <f t="shared" ref="Q273:Q286" si="354">P273/$Q$6*100</f>
        <v>5.8823529411764701</v>
      </c>
      <c r="R273" s="53">
        <f>COUNTIFS('00 Encuesta'!$B$2:$B$511,"*b)*",'00 Encuesta'!$C$2:$C$511,"*b)*",'00 Encuesta'!$E$2:$E$511,"*b)*",'00 Encuesta'!$AJ$2:$AJ$511,"*a)*")</f>
        <v>1</v>
      </c>
      <c r="S273" s="52">
        <f t="shared" ref="S273:S286" si="355">R273/$Q$7*100</f>
        <v>6.666666666666667</v>
      </c>
      <c r="T273" s="3"/>
      <c r="U273" s="51">
        <f t="shared" ref="U273:U286" si="356">W273+Y273</f>
        <v>0</v>
      </c>
      <c r="V273" s="52" t="e">
        <f t="shared" ref="V273:V286" si="357">U273/$X$5*100</f>
        <v>#DIV/0!</v>
      </c>
      <c r="W273" s="53">
        <f>COUNTIFS('00 Encuesta'!$B$2:$B$511,"*b)*",'00 Encuesta'!$C$2:$C$511,"*d)*",'00 Encuesta'!$E$2:$E$511,"*a)*",'00 Encuesta'!$AJ$2:$AJ$511,"*a)*")</f>
        <v>0</v>
      </c>
      <c r="X273" s="52" t="e">
        <f t="shared" ref="X273:X286" si="358">W273/$X$6*100</f>
        <v>#DIV/0!</v>
      </c>
      <c r="Y273" s="53">
        <f>COUNTIFS('00 Encuesta'!$B$2:$B$511,"*b)*",'00 Encuesta'!$C$2:$C$511,"*d)*",'00 Encuesta'!$E$2:$E$511,"*b)*",'00 Encuesta'!$AJ$2:$AJ$511,"*a)*")</f>
        <v>0</v>
      </c>
      <c r="Z273" s="52" t="e">
        <f t="shared" ref="Z273:Z286" si="359">Y273/$X$7*100</f>
        <v>#DIV/0!</v>
      </c>
      <c r="AA273" s="3"/>
      <c r="AB273" s="62">
        <f t="shared" ref="AB273:AB286" si="360">G273+N273+U273</f>
        <v>6</v>
      </c>
      <c r="AC273" s="52">
        <f t="shared" ref="AC273:AC286" si="361">AB273*100/$AC$5</f>
        <v>8.5714285714285712</v>
      </c>
      <c r="AD273" s="3"/>
      <c r="AE273" s="3"/>
      <c r="AF273" s="9" t="str">
        <f t="shared" ref="AF273:AF287" si="362">A273&amp;" "&amp;B273</f>
        <v>a) Me divierto con juegos para computadoras</v>
      </c>
      <c r="AG273" s="72">
        <f>J273</f>
        <v>14.285714285714285</v>
      </c>
      <c r="AH273" s="72">
        <f>L273</f>
        <v>5.8823529411764701</v>
      </c>
      <c r="AI273" s="73">
        <f>H273</f>
        <v>10.526315789473683</v>
      </c>
      <c r="AJ273" s="73"/>
      <c r="AK273" s="76">
        <f t="shared" ref="AK273:AK287" si="363">Q273</f>
        <v>5.8823529411764701</v>
      </c>
      <c r="AL273" s="76">
        <f t="shared" ref="AL273:AL287" si="364">S273</f>
        <v>6.666666666666667</v>
      </c>
      <c r="AM273" s="76">
        <f t="shared" ref="AM273:AM287" si="365">O273</f>
        <v>6.25</v>
      </c>
      <c r="AN273" s="76"/>
      <c r="AO273" s="81" t="e">
        <f t="shared" ref="AO273:AO287" si="366">X273</f>
        <v>#DIV/0!</v>
      </c>
      <c r="AP273" s="81" t="e">
        <f t="shared" ref="AP273:AP287" si="367">Z273</f>
        <v>#DIV/0!</v>
      </c>
      <c r="AQ273" s="81" t="e">
        <f t="shared" ref="AQ273:AQ287" si="368">V273</f>
        <v>#DIV/0!</v>
      </c>
      <c r="AR273" s="3"/>
      <c r="AS273" s="76">
        <f t="shared" ref="AS273:AS342" si="369">AC273</f>
        <v>8.5714285714285712</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ht="15" x14ac:dyDescent="0.25">
      <c r="A274" s="8" t="s">
        <v>18</v>
      </c>
      <c r="B274" s="85" t="s">
        <v>200</v>
      </c>
      <c r="C274" s="7"/>
      <c r="D274" s="7"/>
      <c r="E274" s="7"/>
      <c r="F274" s="71"/>
      <c r="G274" s="51">
        <f t="shared" si="348"/>
        <v>13</v>
      </c>
      <c r="H274" s="52">
        <f t="shared" si="349"/>
        <v>34.210526315789473</v>
      </c>
      <c r="I274" s="53">
        <f>COUNTIFS('00 Encuesta'!$B$2:$B$511,"*b)*",'00 Encuesta'!$C$2:$C$511,"*a)*",'00 Encuesta'!$E$2:$E$511,"*a)*",'00 Encuesta'!$AJ$2:$AJ$511,"*b)*")</f>
        <v>9</v>
      </c>
      <c r="J274" s="52">
        <f t="shared" si="350"/>
        <v>42.857142857142854</v>
      </c>
      <c r="K274" s="53">
        <f>COUNTIFS('00 Encuesta'!$B$2:$B$511,"*b)*",'00 Encuesta'!$C$2:$C$511,"*a)*",'00 Encuesta'!$E$2:$E$511,"*b)*",'00 Encuesta'!$AJ$2:$AJ$511,"*b)*")</f>
        <v>4</v>
      </c>
      <c r="L274" s="52">
        <f t="shared" si="351"/>
        <v>23.52941176470588</v>
      </c>
      <c r="M274" s="23"/>
      <c r="N274" s="51">
        <f t="shared" si="352"/>
        <v>3</v>
      </c>
      <c r="O274" s="52">
        <f t="shared" si="353"/>
        <v>9.375</v>
      </c>
      <c r="P274" s="53">
        <f>COUNTIFS('00 Encuesta'!$B$2:$B$511,"*b)*",'00 Encuesta'!$C$2:$C$511,"*b)*",'00 Encuesta'!$E$2:$E$511,"*a)*",'00 Encuesta'!$AJ$2:$AJ$511,"*b)*")</f>
        <v>2</v>
      </c>
      <c r="Q274" s="52">
        <f t="shared" si="354"/>
        <v>11.76470588235294</v>
      </c>
      <c r="R274" s="53">
        <f>COUNTIFS('00 Encuesta'!$B$2:$B$511,"*b)*",'00 Encuesta'!$C$2:$C$511,"*b)*",'00 Encuesta'!$E$2:$E$511,"*b)*",'00 Encuesta'!$AJ$2:$AJ$511,"*b)*")</f>
        <v>1</v>
      </c>
      <c r="S274" s="52">
        <f t="shared" si="355"/>
        <v>6.666666666666667</v>
      </c>
      <c r="T274" s="3"/>
      <c r="U274" s="51">
        <f t="shared" si="356"/>
        <v>0</v>
      </c>
      <c r="V274" s="52" t="e">
        <f t="shared" si="357"/>
        <v>#DIV/0!</v>
      </c>
      <c r="W274" s="53">
        <f>COUNTIFS('00 Encuesta'!$B$2:$B$511,"*b)*",'00 Encuesta'!$C$2:$C$511,"*d)*",'00 Encuesta'!$E$2:$E$511,"*a)*",'00 Encuesta'!$AJ$2:$AJ$511,"*b)*")</f>
        <v>0</v>
      </c>
      <c r="X274" s="52" t="e">
        <f t="shared" si="358"/>
        <v>#DIV/0!</v>
      </c>
      <c r="Y274" s="53">
        <f>COUNTIFS('00 Encuesta'!$B$2:$B$511,"*b)*",'00 Encuesta'!$C$2:$C$511,"*d)*",'00 Encuesta'!$E$2:$E$511,"*b)*",'00 Encuesta'!$AJ$2:$AJ$511,"*b)*")</f>
        <v>0</v>
      </c>
      <c r="Z274" s="52" t="e">
        <f t="shared" si="359"/>
        <v>#DIV/0!</v>
      </c>
      <c r="AA274" s="3"/>
      <c r="AB274" s="62">
        <f t="shared" si="360"/>
        <v>16</v>
      </c>
      <c r="AC274" s="52">
        <f t="shared" si="361"/>
        <v>22.857142857142858</v>
      </c>
      <c r="AD274" s="3"/>
      <c r="AE274" s="3"/>
      <c r="AF274" s="9" t="str">
        <f t="shared" si="362"/>
        <v>b) Navego en Internet</v>
      </c>
      <c r="AG274" s="72">
        <f t="shared" ref="AG274:AG287" si="370">J274</f>
        <v>42.857142857142854</v>
      </c>
      <c r="AH274" s="72">
        <f t="shared" ref="AH274:AH287" si="371">L274</f>
        <v>23.52941176470588</v>
      </c>
      <c r="AI274" s="73">
        <f t="shared" ref="AI274:AI287" si="372">H274</f>
        <v>34.210526315789473</v>
      </c>
      <c r="AJ274" s="73"/>
      <c r="AK274" s="76">
        <f t="shared" si="363"/>
        <v>11.76470588235294</v>
      </c>
      <c r="AL274" s="76">
        <f t="shared" si="364"/>
        <v>6.666666666666667</v>
      </c>
      <c r="AM274" s="76">
        <f t="shared" si="365"/>
        <v>9.375</v>
      </c>
      <c r="AN274" s="76"/>
      <c r="AO274" s="81" t="e">
        <f t="shared" si="366"/>
        <v>#DIV/0!</v>
      </c>
      <c r="AP274" s="81" t="e">
        <f t="shared" si="367"/>
        <v>#DIV/0!</v>
      </c>
      <c r="AQ274" s="81" t="e">
        <f t="shared" si="368"/>
        <v>#DIV/0!</v>
      </c>
      <c r="AR274" s="3"/>
      <c r="AS274" s="76">
        <f t="shared" si="369"/>
        <v>22.857142857142858</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0</v>
      </c>
      <c r="H275" s="52">
        <f t="shared" si="349"/>
        <v>0</v>
      </c>
      <c r="I275" s="53">
        <f>COUNTIFS('00 Encuesta'!$B$2:$B$511,"*b)*",'00 Encuesta'!$C$2:$C$511,"*a)*",'00 Encuesta'!$E$2:$E$511,"*a)*",'00 Encuesta'!$AJ$2:$AJ$511,"*c)*")</f>
        <v>0</v>
      </c>
      <c r="J275" s="52">
        <f t="shared" si="350"/>
        <v>0</v>
      </c>
      <c r="K275" s="53">
        <f>COUNTIFS('00 Encuesta'!$B$2:$B$511,"*b)*",'00 Encuesta'!$C$2:$C$511,"*a)*",'00 Encuesta'!$E$2:$E$511,"*b)*",'00 Encuesta'!$AJ$2:$AJ$511,"*c)*")</f>
        <v>0</v>
      </c>
      <c r="L275" s="52">
        <f t="shared" si="351"/>
        <v>0</v>
      </c>
      <c r="M275" s="23"/>
      <c r="N275" s="51">
        <f t="shared" si="352"/>
        <v>1</v>
      </c>
      <c r="O275" s="52">
        <f t="shared" si="353"/>
        <v>3.125</v>
      </c>
      <c r="P275" s="53">
        <f>COUNTIFS('00 Encuesta'!$B$2:$B$511,"*b)*",'00 Encuesta'!$C$2:$C$511,"*b)*",'00 Encuesta'!$E$2:$E$511,"*a)*",'00 Encuesta'!$AJ$2:$AJ$511,"*c)*")</f>
        <v>1</v>
      </c>
      <c r="Q275" s="52">
        <f t="shared" si="354"/>
        <v>5.8823529411764701</v>
      </c>
      <c r="R275" s="53">
        <f>COUNTIFS('00 Encuesta'!$B$2:$B$511,"*b)*",'00 Encuesta'!$C$2:$C$511,"*b)*",'00 Encuesta'!$E$2:$E$511,"*b)*",'00 Encuesta'!$AJ$2:$AJ$511,"*c)*")</f>
        <v>0</v>
      </c>
      <c r="S275" s="52">
        <f t="shared" si="355"/>
        <v>0</v>
      </c>
      <c r="T275" s="3"/>
      <c r="U275" s="51">
        <f t="shared" si="356"/>
        <v>0</v>
      </c>
      <c r="V275" s="52" t="e">
        <f t="shared" si="357"/>
        <v>#DIV/0!</v>
      </c>
      <c r="W275" s="53">
        <f>COUNTIFS('00 Encuesta'!$B$2:$B$511,"*b)*",'00 Encuesta'!$C$2:$C$511,"*d)*",'00 Encuesta'!$E$2:$E$511,"*a)*",'00 Encuesta'!$AJ$2:$AJ$511,"*c)*")</f>
        <v>0</v>
      </c>
      <c r="X275" s="52" t="e">
        <f t="shared" si="358"/>
        <v>#DIV/0!</v>
      </c>
      <c r="Y275" s="53">
        <f>COUNTIFS('00 Encuesta'!$B$2:$B$511,"*b)*",'00 Encuesta'!$C$2:$C$511,"*d)*",'00 Encuesta'!$E$2:$E$511,"*b)*",'00 Encuesta'!$AJ$2:$AJ$511,"*c)*")</f>
        <v>0</v>
      </c>
      <c r="Z275" s="52" t="e">
        <f t="shared" si="359"/>
        <v>#DIV/0!</v>
      </c>
      <c r="AA275" s="3"/>
      <c r="AB275" s="62">
        <f t="shared" si="360"/>
        <v>1</v>
      </c>
      <c r="AC275" s="52">
        <f t="shared" si="361"/>
        <v>1.4285714285714286</v>
      </c>
      <c r="AD275" s="3"/>
      <c r="AE275" s="3"/>
      <c r="AF275" s="9" t="str">
        <f t="shared" si="362"/>
        <v>c) Suelo ir a centros de video (máquinas de juegos)</v>
      </c>
      <c r="AG275" s="72">
        <f t="shared" si="370"/>
        <v>0</v>
      </c>
      <c r="AH275" s="72">
        <f t="shared" si="371"/>
        <v>0</v>
      </c>
      <c r="AI275" s="73">
        <f t="shared" si="372"/>
        <v>0</v>
      </c>
      <c r="AJ275" s="73"/>
      <c r="AK275" s="76">
        <f t="shared" si="363"/>
        <v>5.8823529411764701</v>
      </c>
      <c r="AL275" s="76">
        <f t="shared" si="364"/>
        <v>0</v>
      </c>
      <c r="AM275" s="76">
        <f t="shared" si="365"/>
        <v>3.125</v>
      </c>
      <c r="AN275" s="76"/>
      <c r="AO275" s="81" t="e">
        <f t="shared" si="366"/>
        <v>#DIV/0!</v>
      </c>
      <c r="AP275" s="81" t="e">
        <f t="shared" si="367"/>
        <v>#DIV/0!</v>
      </c>
      <c r="AQ275" s="81" t="e">
        <f t="shared" si="368"/>
        <v>#DIV/0!</v>
      </c>
      <c r="AR275" s="3"/>
      <c r="AS275" s="76">
        <f t="shared" si="369"/>
        <v>1.4285714285714286</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ht="15" x14ac:dyDescent="0.25">
      <c r="A276" s="8" t="s">
        <v>21</v>
      </c>
      <c r="B276" s="85" t="s">
        <v>202</v>
      </c>
      <c r="C276" s="7"/>
      <c r="D276" s="7"/>
      <c r="E276" s="7"/>
      <c r="F276" s="71"/>
      <c r="G276" s="51">
        <f t="shared" si="348"/>
        <v>6</v>
      </c>
      <c r="H276" s="52">
        <f t="shared" si="349"/>
        <v>15.789473684210526</v>
      </c>
      <c r="I276" s="53">
        <f>COUNTIFS('00 Encuesta'!$B$2:$B$511,"*b)*",'00 Encuesta'!$C$2:$C$511,"*a)*",'00 Encuesta'!$E$2:$E$511,"*a)*",'00 Encuesta'!$AJ$2:$AJ$511,"*d)*")</f>
        <v>4</v>
      </c>
      <c r="J276" s="52">
        <f t="shared" si="350"/>
        <v>19.047619047619047</v>
      </c>
      <c r="K276" s="53">
        <f>COUNTIFS('00 Encuesta'!$B$2:$B$511,"*b)*",'00 Encuesta'!$C$2:$C$511,"*a)*",'00 Encuesta'!$E$2:$E$511,"*b)*",'00 Encuesta'!$AJ$2:$AJ$511,"*d)*")</f>
        <v>2</v>
      </c>
      <c r="L276" s="52">
        <f t="shared" si="351"/>
        <v>11.76470588235294</v>
      </c>
      <c r="M276" s="23"/>
      <c r="N276" s="51">
        <f t="shared" si="352"/>
        <v>4</v>
      </c>
      <c r="O276" s="52">
        <f t="shared" si="353"/>
        <v>12.5</v>
      </c>
      <c r="P276" s="53">
        <f>COUNTIFS('00 Encuesta'!$B$2:$B$511,"*b)*",'00 Encuesta'!$C$2:$C$511,"*b)*",'00 Encuesta'!$E$2:$E$511,"*a)*",'00 Encuesta'!$AJ$2:$AJ$511,"*d)*")</f>
        <v>2</v>
      </c>
      <c r="Q276" s="52">
        <f t="shared" si="354"/>
        <v>11.76470588235294</v>
      </c>
      <c r="R276" s="53">
        <f>COUNTIFS('00 Encuesta'!$B$2:$B$511,"*b)*",'00 Encuesta'!$C$2:$C$511,"*b)*",'00 Encuesta'!$E$2:$E$511,"*b)*",'00 Encuesta'!$AJ$2:$AJ$511,"*d)*")</f>
        <v>2</v>
      </c>
      <c r="S276" s="52">
        <f t="shared" si="355"/>
        <v>13.333333333333334</v>
      </c>
      <c r="T276" s="3"/>
      <c r="U276" s="51">
        <f t="shared" si="356"/>
        <v>0</v>
      </c>
      <c r="V276" s="52" t="e">
        <f t="shared" si="357"/>
        <v>#DIV/0!</v>
      </c>
      <c r="W276" s="53">
        <f>COUNTIFS('00 Encuesta'!$B$2:$B$511,"*b)*",'00 Encuesta'!$C$2:$C$511,"*d)*",'00 Encuesta'!$E$2:$E$511,"*a)*",'00 Encuesta'!$AJ$2:$AJ$511,"*d)*")</f>
        <v>0</v>
      </c>
      <c r="X276" s="52" t="e">
        <f t="shared" si="358"/>
        <v>#DIV/0!</v>
      </c>
      <c r="Y276" s="53">
        <f>COUNTIFS('00 Encuesta'!$B$2:$B$511,"*b)*",'00 Encuesta'!$C$2:$C$511,"*d)*",'00 Encuesta'!$E$2:$E$511,"*b)*",'00 Encuesta'!$AJ$2:$AJ$511,"*d)*")</f>
        <v>0</v>
      </c>
      <c r="Z276" s="52" t="e">
        <f t="shared" si="359"/>
        <v>#DIV/0!</v>
      </c>
      <c r="AA276" s="3"/>
      <c r="AB276" s="62">
        <f t="shared" si="360"/>
        <v>10</v>
      </c>
      <c r="AC276" s="52">
        <f t="shared" si="361"/>
        <v>14.285714285714286</v>
      </c>
      <c r="AD276" s="3"/>
      <c r="AE276" s="3"/>
      <c r="AF276" s="9" t="str">
        <f t="shared" si="362"/>
        <v>d) Estoy la mayor parte del tiempo en la casa sin hacer nada</v>
      </c>
      <c r="AG276" s="72">
        <f t="shared" si="370"/>
        <v>19.047619047619047</v>
      </c>
      <c r="AH276" s="72">
        <f t="shared" si="371"/>
        <v>11.76470588235294</v>
      </c>
      <c r="AI276" s="73">
        <f t="shared" si="372"/>
        <v>15.789473684210526</v>
      </c>
      <c r="AJ276" s="73"/>
      <c r="AK276" s="76">
        <f t="shared" si="363"/>
        <v>11.76470588235294</v>
      </c>
      <c r="AL276" s="76">
        <f t="shared" si="364"/>
        <v>13.333333333333334</v>
      </c>
      <c r="AM276" s="76">
        <f t="shared" si="365"/>
        <v>12.5</v>
      </c>
      <c r="AN276" s="76"/>
      <c r="AO276" s="81" t="e">
        <f t="shared" si="366"/>
        <v>#DIV/0!</v>
      </c>
      <c r="AP276" s="81" t="e">
        <f t="shared" si="367"/>
        <v>#DIV/0!</v>
      </c>
      <c r="AQ276" s="81" t="e">
        <f t="shared" si="368"/>
        <v>#DIV/0!</v>
      </c>
      <c r="AR276" s="3"/>
      <c r="AS276" s="76">
        <f t="shared" si="369"/>
        <v>14.285714285714286</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1</v>
      </c>
      <c r="H277" s="52">
        <f t="shared" si="349"/>
        <v>2.6315789473684208</v>
      </c>
      <c r="I277" s="53">
        <f>COUNTIFS('00 Encuesta'!$B$2:$B$511,"*b)*",'00 Encuesta'!$C$2:$C$511,"*a)*",'00 Encuesta'!$E$2:$E$511,"*a)*",'00 Encuesta'!$AJ$2:$AJ$511,"*e)*")</f>
        <v>1</v>
      </c>
      <c r="J277" s="52">
        <f t="shared" si="350"/>
        <v>4.7619047619047619</v>
      </c>
      <c r="K277" s="53">
        <f>COUNTIFS('00 Encuesta'!$B$2:$B$511,"*b)*",'00 Encuesta'!$C$2:$C$511,"*a)*",'00 Encuesta'!$E$2:$E$511,"*b)*",'00 Encuesta'!$AJ$2:$AJ$511,"*e)*")</f>
        <v>0</v>
      </c>
      <c r="L277" s="52">
        <f t="shared" si="351"/>
        <v>0</v>
      </c>
      <c r="M277" s="23"/>
      <c r="N277" s="51">
        <f t="shared" si="352"/>
        <v>3</v>
      </c>
      <c r="O277" s="52">
        <f t="shared" si="353"/>
        <v>9.375</v>
      </c>
      <c r="P277" s="53">
        <f>COUNTIFS('00 Encuesta'!$B$2:$B$511,"*b)*",'00 Encuesta'!$C$2:$C$511,"*b)*",'00 Encuesta'!$E$2:$E$511,"*a)*",'00 Encuesta'!$AJ$2:$AJ$511,"*e)*")</f>
        <v>2</v>
      </c>
      <c r="Q277" s="52">
        <f t="shared" si="354"/>
        <v>11.76470588235294</v>
      </c>
      <c r="R277" s="53">
        <f>COUNTIFS('00 Encuesta'!$B$2:$B$511,"*b)*",'00 Encuesta'!$C$2:$C$511,"*b)*",'00 Encuesta'!$E$2:$E$511,"*b)*",'00 Encuesta'!$AJ$2:$AJ$511,"*e)*")</f>
        <v>1</v>
      </c>
      <c r="S277" s="52">
        <f t="shared" si="355"/>
        <v>6.666666666666667</v>
      </c>
      <c r="T277" s="3"/>
      <c r="U277" s="51">
        <f t="shared" si="356"/>
        <v>0</v>
      </c>
      <c r="V277" s="52" t="e">
        <f t="shared" si="357"/>
        <v>#DIV/0!</v>
      </c>
      <c r="W277" s="53">
        <f>COUNTIFS('00 Encuesta'!$B$2:$B$511,"*b)*",'00 Encuesta'!$C$2:$C$511,"*d)*",'00 Encuesta'!$E$2:$E$511,"*a)*",'00 Encuesta'!$AJ$2:$AJ$511,"*e)*")</f>
        <v>0</v>
      </c>
      <c r="X277" s="52" t="e">
        <f t="shared" si="358"/>
        <v>#DIV/0!</v>
      </c>
      <c r="Y277" s="53">
        <f>COUNTIFS('00 Encuesta'!$B$2:$B$511,"*b)*",'00 Encuesta'!$C$2:$C$511,"*d)*",'00 Encuesta'!$E$2:$E$511,"*b)*",'00 Encuesta'!$AJ$2:$AJ$511,"*e)*")</f>
        <v>0</v>
      </c>
      <c r="Z277" s="52" t="e">
        <f t="shared" si="359"/>
        <v>#DIV/0!</v>
      </c>
      <c r="AA277" s="3"/>
      <c r="AB277" s="62">
        <f t="shared" si="360"/>
        <v>4</v>
      </c>
      <c r="AC277" s="52">
        <f t="shared" si="361"/>
        <v>5.7142857142857144</v>
      </c>
      <c r="AD277" s="3"/>
      <c r="AE277" s="3"/>
      <c r="AF277" s="9" t="str">
        <f t="shared" si="362"/>
        <v>e) Suelo ir a algún parque</v>
      </c>
      <c r="AG277" s="72">
        <f t="shared" si="370"/>
        <v>4.7619047619047619</v>
      </c>
      <c r="AH277" s="72">
        <f t="shared" si="371"/>
        <v>0</v>
      </c>
      <c r="AI277" s="73">
        <f t="shared" si="372"/>
        <v>2.6315789473684208</v>
      </c>
      <c r="AJ277" s="73"/>
      <c r="AK277" s="76">
        <f t="shared" si="363"/>
        <v>11.76470588235294</v>
      </c>
      <c r="AL277" s="76">
        <f t="shared" si="364"/>
        <v>6.666666666666667</v>
      </c>
      <c r="AM277" s="76">
        <f t="shared" si="365"/>
        <v>9.375</v>
      </c>
      <c r="AN277" s="76"/>
      <c r="AO277" s="81" t="e">
        <f t="shared" si="366"/>
        <v>#DIV/0!</v>
      </c>
      <c r="AP277" s="81" t="e">
        <f t="shared" si="367"/>
        <v>#DIV/0!</v>
      </c>
      <c r="AQ277" s="81" t="e">
        <f t="shared" si="368"/>
        <v>#DIV/0!</v>
      </c>
      <c r="AR277" s="3"/>
      <c r="AS277" s="76">
        <f t="shared" si="369"/>
        <v>5.7142857142857144</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ht="15" x14ac:dyDescent="0.25">
      <c r="A278" s="8" t="s">
        <v>45</v>
      </c>
      <c r="B278" s="85" t="s">
        <v>204</v>
      </c>
      <c r="C278" s="7"/>
      <c r="D278" s="7"/>
      <c r="E278" s="7"/>
      <c r="F278" s="71"/>
      <c r="G278" s="51">
        <f t="shared" si="348"/>
        <v>1</v>
      </c>
      <c r="H278" s="52">
        <f t="shared" si="349"/>
        <v>2.6315789473684208</v>
      </c>
      <c r="I278" s="53">
        <f>COUNTIFS('00 Encuesta'!$B$2:$B$511,"*b)*",'00 Encuesta'!$C$2:$C$511,"*a)*",'00 Encuesta'!$E$2:$E$511,"*a)*",'00 Encuesta'!$AJ$2:$AJ$511,"*f)*")</f>
        <v>1</v>
      </c>
      <c r="J278" s="52">
        <f t="shared" si="350"/>
        <v>4.7619047619047619</v>
      </c>
      <c r="K278" s="53">
        <f>COUNTIFS('00 Encuesta'!$B$2:$B$511,"*b)*",'00 Encuesta'!$C$2:$C$511,"*a)*",'00 Encuesta'!$E$2:$E$511,"*b)*",'00 Encuesta'!$AJ$2:$AJ$511,"*f)*")</f>
        <v>0</v>
      </c>
      <c r="L278" s="52">
        <f t="shared" si="351"/>
        <v>0</v>
      </c>
      <c r="M278" s="23"/>
      <c r="N278" s="51">
        <f t="shared" si="352"/>
        <v>1</v>
      </c>
      <c r="O278" s="52">
        <f t="shared" si="353"/>
        <v>3.125</v>
      </c>
      <c r="P278" s="53">
        <f>COUNTIFS('00 Encuesta'!$B$2:$B$511,"*b)*",'00 Encuesta'!$C$2:$C$511,"*b)*",'00 Encuesta'!$E$2:$E$511,"*a)*",'00 Encuesta'!$AJ$2:$AJ$511,"*f)*")</f>
        <v>1</v>
      </c>
      <c r="Q278" s="52">
        <f t="shared" si="354"/>
        <v>5.8823529411764701</v>
      </c>
      <c r="R278" s="53">
        <f>COUNTIFS('00 Encuesta'!$B$2:$B$511,"*b)*",'00 Encuesta'!$C$2:$C$511,"*b)*",'00 Encuesta'!$E$2:$E$511,"*b)*",'00 Encuesta'!$AJ$2:$AJ$511,"*f)*")</f>
        <v>0</v>
      </c>
      <c r="S278" s="52">
        <f t="shared" si="355"/>
        <v>0</v>
      </c>
      <c r="T278" s="3"/>
      <c r="U278" s="51">
        <f t="shared" si="356"/>
        <v>0</v>
      </c>
      <c r="V278" s="52" t="e">
        <f t="shared" si="357"/>
        <v>#DIV/0!</v>
      </c>
      <c r="W278" s="53">
        <f>COUNTIFS('00 Encuesta'!$B$2:$B$511,"*b)*",'00 Encuesta'!$C$2:$C$511,"*d)*",'00 Encuesta'!$E$2:$E$511,"*a)*",'00 Encuesta'!$AJ$2:$AJ$511,"*f)*")</f>
        <v>0</v>
      </c>
      <c r="X278" s="52" t="e">
        <f t="shared" si="358"/>
        <v>#DIV/0!</v>
      </c>
      <c r="Y278" s="53">
        <f>COUNTIFS('00 Encuesta'!$B$2:$B$511,"*b)*",'00 Encuesta'!$C$2:$C$511,"*d)*",'00 Encuesta'!$E$2:$E$511,"*b)*",'00 Encuesta'!$AJ$2:$AJ$511,"*f)*")</f>
        <v>0</v>
      </c>
      <c r="Z278" s="52" t="e">
        <f t="shared" si="359"/>
        <v>#DIV/0!</v>
      </c>
      <c r="AA278" s="3"/>
      <c r="AB278" s="62">
        <f t="shared" si="360"/>
        <v>2</v>
      </c>
      <c r="AC278" s="52">
        <f t="shared" si="361"/>
        <v>2.8571428571428572</v>
      </c>
      <c r="AD278" s="3"/>
      <c r="AE278" s="3"/>
      <c r="AF278" s="9" t="str">
        <f t="shared" si="362"/>
        <v>f) Toco un instrumento musical</v>
      </c>
      <c r="AG278" s="72">
        <f t="shared" si="370"/>
        <v>4.7619047619047619</v>
      </c>
      <c r="AH278" s="72">
        <f t="shared" si="371"/>
        <v>0</v>
      </c>
      <c r="AI278" s="73">
        <f t="shared" si="372"/>
        <v>2.6315789473684208</v>
      </c>
      <c r="AJ278" s="73"/>
      <c r="AK278" s="76">
        <f t="shared" si="363"/>
        <v>5.8823529411764701</v>
      </c>
      <c r="AL278" s="76">
        <f t="shared" si="364"/>
        <v>0</v>
      </c>
      <c r="AM278" s="76">
        <f t="shared" si="365"/>
        <v>3.125</v>
      </c>
      <c r="AN278" s="76"/>
      <c r="AO278" s="81" t="e">
        <f t="shared" si="366"/>
        <v>#DIV/0!</v>
      </c>
      <c r="AP278" s="81" t="e">
        <f t="shared" si="367"/>
        <v>#DIV/0!</v>
      </c>
      <c r="AQ278" s="81" t="e">
        <f t="shared" si="368"/>
        <v>#DIV/0!</v>
      </c>
      <c r="AR278" s="3"/>
      <c r="AS278" s="76">
        <f t="shared" si="369"/>
        <v>2.8571428571428572</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ht="15.75" x14ac:dyDescent="0.3">
      <c r="A279" s="1" t="s">
        <v>61</v>
      </c>
      <c r="B279" s="2" t="s">
        <v>205</v>
      </c>
      <c r="C279" s="3"/>
      <c r="D279" s="7"/>
      <c r="E279" s="7"/>
      <c r="F279" s="71"/>
      <c r="G279" s="51">
        <f t="shared" si="348"/>
        <v>1</v>
      </c>
      <c r="H279" s="52">
        <f t="shared" si="349"/>
        <v>2.6315789473684208</v>
      </c>
      <c r="I279" s="53">
        <f>COUNTIFS('00 Encuesta'!$B$2:$B$511,"*b)*",'00 Encuesta'!$C$2:$C$511,"*a)*",'00 Encuesta'!$E$2:$E$511,"*a)*",'00 Encuesta'!$AJ$2:$AJ$511,"*g)*")</f>
        <v>0</v>
      </c>
      <c r="J279" s="52">
        <f t="shared" si="350"/>
        <v>0</v>
      </c>
      <c r="K279" s="53">
        <f>COUNTIFS('00 Encuesta'!$B$2:$B$511,"*b)*",'00 Encuesta'!$C$2:$C$511,"*a)*",'00 Encuesta'!$E$2:$E$511,"*b)*",'00 Encuesta'!$AJ$2:$AJ$511,"*g)*")</f>
        <v>1</v>
      </c>
      <c r="L279" s="52">
        <f t="shared" si="351"/>
        <v>5.8823529411764701</v>
      </c>
      <c r="M279" s="23"/>
      <c r="N279" s="51">
        <f t="shared" si="352"/>
        <v>4</v>
      </c>
      <c r="O279" s="52">
        <f t="shared" si="353"/>
        <v>12.5</v>
      </c>
      <c r="P279" s="53">
        <f>COUNTIFS('00 Encuesta'!$B$2:$B$511,"*b)*",'00 Encuesta'!$C$2:$C$511,"*b)*",'00 Encuesta'!$E$2:$E$511,"*a)*",'00 Encuesta'!$AJ$2:$AJ$511,"*g)*")</f>
        <v>3</v>
      </c>
      <c r="Q279" s="52">
        <f t="shared" si="354"/>
        <v>17.647058823529413</v>
      </c>
      <c r="R279" s="53">
        <f>COUNTIFS('00 Encuesta'!$B$2:$B$511,"*b)*",'00 Encuesta'!$C$2:$C$511,"*b)*",'00 Encuesta'!$E$2:$E$511,"*b)*",'00 Encuesta'!$AJ$2:$AJ$511,"*g)*")</f>
        <v>1</v>
      </c>
      <c r="S279" s="52">
        <f t="shared" si="355"/>
        <v>6.666666666666667</v>
      </c>
      <c r="T279" s="3"/>
      <c r="U279" s="51">
        <f t="shared" si="356"/>
        <v>0</v>
      </c>
      <c r="V279" s="52" t="e">
        <f t="shared" si="357"/>
        <v>#DIV/0!</v>
      </c>
      <c r="W279" s="53">
        <f>COUNTIFS('00 Encuesta'!$B$2:$B$511,"*b)*",'00 Encuesta'!$C$2:$C$511,"*d)*",'00 Encuesta'!$E$2:$E$511,"*a)*",'00 Encuesta'!$AJ$2:$AJ$511,"*g)*")</f>
        <v>0</v>
      </c>
      <c r="X279" s="52" t="e">
        <f t="shared" si="358"/>
        <v>#DIV/0!</v>
      </c>
      <c r="Y279" s="53">
        <f>COUNTIFS('00 Encuesta'!$B$2:$B$511,"*b)*",'00 Encuesta'!$C$2:$C$511,"*d)*",'00 Encuesta'!$E$2:$E$511,"*b)*",'00 Encuesta'!$AJ$2:$AJ$511,"*g)*")</f>
        <v>0</v>
      </c>
      <c r="Z279" s="52" t="e">
        <f t="shared" si="359"/>
        <v>#DIV/0!</v>
      </c>
      <c r="AA279" s="3"/>
      <c r="AB279" s="62">
        <f t="shared" si="360"/>
        <v>5</v>
      </c>
      <c r="AC279" s="52">
        <f t="shared" si="361"/>
        <v>7.1428571428571432</v>
      </c>
      <c r="AD279" s="3"/>
      <c r="AE279" s="3"/>
      <c r="AF279" s="9" t="str">
        <f t="shared" si="362"/>
        <v>g) Suelo ir a discotecas o fiestas</v>
      </c>
      <c r="AG279" s="72">
        <f t="shared" si="370"/>
        <v>0</v>
      </c>
      <c r="AH279" s="72">
        <f t="shared" si="371"/>
        <v>5.8823529411764701</v>
      </c>
      <c r="AI279" s="73">
        <f t="shared" si="372"/>
        <v>2.6315789473684208</v>
      </c>
      <c r="AJ279" s="73"/>
      <c r="AK279" s="76">
        <f t="shared" si="363"/>
        <v>17.647058823529413</v>
      </c>
      <c r="AL279" s="76">
        <f t="shared" si="364"/>
        <v>6.666666666666667</v>
      </c>
      <c r="AM279" s="76">
        <f t="shared" si="365"/>
        <v>12.5</v>
      </c>
      <c r="AN279" s="76"/>
      <c r="AO279" s="81" t="e">
        <f t="shared" si="366"/>
        <v>#DIV/0!</v>
      </c>
      <c r="AP279" s="81" t="e">
        <f t="shared" si="367"/>
        <v>#DIV/0!</v>
      </c>
      <c r="AQ279" s="81" t="e">
        <f t="shared" si="368"/>
        <v>#DIV/0!</v>
      </c>
      <c r="AR279" s="3"/>
      <c r="AS279" s="76">
        <f t="shared" si="369"/>
        <v>7.1428571428571432</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ht="15.75" x14ac:dyDescent="0.3">
      <c r="A280" s="1" t="s">
        <v>63</v>
      </c>
      <c r="B280" s="2" t="s">
        <v>206</v>
      </c>
      <c r="C280" s="3"/>
      <c r="D280" s="7"/>
      <c r="E280" s="7"/>
      <c r="F280" s="71"/>
      <c r="G280" s="51">
        <f t="shared" si="348"/>
        <v>2</v>
      </c>
      <c r="H280" s="52">
        <f t="shared" si="349"/>
        <v>5.2631578947368416</v>
      </c>
      <c r="I280" s="53">
        <f>COUNTIFS('00 Encuesta'!$B$2:$B$511,"*b)*",'00 Encuesta'!$C$2:$C$511,"*a)*",'00 Encuesta'!$E$2:$E$511,"*a)*",'00 Encuesta'!$AJ$2:$AJ$511,"*h)*")</f>
        <v>0</v>
      </c>
      <c r="J280" s="52">
        <f t="shared" si="350"/>
        <v>0</v>
      </c>
      <c r="K280" s="53">
        <f>COUNTIFS('00 Encuesta'!$B$2:$B$511,"*b)*",'00 Encuesta'!$C$2:$C$511,"*a)*",'00 Encuesta'!$E$2:$E$511,"*b)*",'00 Encuesta'!$AJ$2:$AJ$511,"*h)*")</f>
        <v>2</v>
      </c>
      <c r="L280" s="52">
        <f t="shared" si="351"/>
        <v>11.76470588235294</v>
      </c>
      <c r="M280" s="23"/>
      <c r="N280" s="51">
        <f t="shared" si="352"/>
        <v>5</v>
      </c>
      <c r="O280" s="52">
        <f t="shared" si="353"/>
        <v>15.625</v>
      </c>
      <c r="P280" s="53">
        <f>COUNTIFS('00 Encuesta'!$B$2:$B$511,"*b)*",'00 Encuesta'!$C$2:$C$511,"*b)*",'00 Encuesta'!$E$2:$E$511,"*a)*",'00 Encuesta'!$AJ$2:$AJ$511,"*h)*")</f>
        <v>2</v>
      </c>
      <c r="Q280" s="52">
        <f t="shared" si="354"/>
        <v>11.76470588235294</v>
      </c>
      <c r="R280" s="53">
        <f>COUNTIFS('00 Encuesta'!$B$2:$B$511,"*b)*",'00 Encuesta'!$C$2:$C$511,"*b)*",'00 Encuesta'!$E$2:$E$511,"*b)*",'00 Encuesta'!$AJ$2:$AJ$511,"*h)*")</f>
        <v>3</v>
      </c>
      <c r="S280" s="52">
        <f t="shared" si="355"/>
        <v>20</v>
      </c>
      <c r="T280" s="3"/>
      <c r="U280" s="51">
        <f t="shared" si="356"/>
        <v>0</v>
      </c>
      <c r="V280" s="52" t="e">
        <f t="shared" si="357"/>
        <v>#DIV/0!</v>
      </c>
      <c r="W280" s="53">
        <f>COUNTIFS('00 Encuesta'!$B$2:$B$511,"*b)*",'00 Encuesta'!$C$2:$C$511,"*d)*",'00 Encuesta'!$E$2:$E$511,"*a)*",'00 Encuesta'!$AJ$2:$AJ$511,"*h)*")</f>
        <v>0</v>
      </c>
      <c r="X280" s="52" t="e">
        <f t="shared" si="358"/>
        <v>#DIV/0!</v>
      </c>
      <c r="Y280" s="53">
        <f>COUNTIFS('00 Encuesta'!$B$2:$B$511,"*b)*",'00 Encuesta'!$C$2:$C$511,"*d)*",'00 Encuesta'!$E$2:$E$511,"*b)*",'00 Encuesta'!$AJ$2:$AJ$511,"*h)*")</f>
        <v>0</v>
      </c>
      <c r="Z280" s="52" t="e">
        <f t="shared" si="359"/>
        <v>#DIV/0!</v>
      </c>
      <c r="AA280" s="3"/>
      <c r="AB280" s="62">
        <f t="shared" si="360"/>
        <v>7</v>
      </c>
      <c r="AC280" s="52">
        <f t="shared" si="361"/>
        <v>10</v>
      </c>
      <c r="AD280" s="3"/>
      <c r="AE280" s="3"/>
      <c r="AF280" s="9" t="str">
        <f t="shared" si="362"/>
        <v>h) Suelo ir al cine</v>
      </c>
      <c r="AG280" s="72">
        <f t="shared" si="370"/>
        <v>0</v>
      </c>
      <c r="AH280" s="72">
        <f t="shared" si="371"/>
        <v>11.76470588235294</v>
      </c>
      <c r="AI280" s="73">
        <f t="shared" si="372"/>
        <v>5.2631578947368416</v>
      </c>
      <c r="AJ280" s="73"/>
      <c r="AK280" s="76">
        <f t="shared" si="363"/>
        <v>11.76470588235294</v>
      </c>
      <c r="AL280" s="76">
        <f t="shared" si="364"/>
        <v>20</v>
      </c>
      <c r="AM280" s="76">
        <f t="shared" si="365"/>
        <v>15.625</v>
      </c>
      <c r="AN280" s="76"/>
      <c r="AO280" s="81" t="e">
        <f t="shared" si="366"/>
        <v>#DIV/0!</v>
      </c>
      <c r="AP280" s="81" t="e">
        <f t="shared" si="367"/>
        <v>#DIV/0!</v>
      </c>
      <c r="AQ280" s="81" t="e">
        <f t="shared" si="368"/>
        <v>#DIV/0!</v>
      </c>
      <c r="AR280" s="3"/>
      <c r="AS280" s="76">
        <f t="shared" si="369"/>
        <v>10</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ht="15" x14ac:dyDescent="0.25">
      <c r="A281" s="8" t="s">
        <v>65</v>
      </c>
      <c r="B281" s="9" t="s">
        <v>207</v>
      </c>
      <c r="C281" s="7"/>
      <c r="D281" s="7"/>
      <c r="E281" s="7"/>
      <c r="F281" s="71"/>
      <c r="G281" s="51">
        <f t="shared" si="348"/>
        <v>6</v>
      </c>
      <c r="H281" s="52">
        <f t="shared" si="349"/>
        <v>15.789473684210526</v>
      </c>
      <c r="I281" s="53">
        <f>COUNTIFS('00 Encuesta'!$B$2:$B$511,"*b)*",'00 Encuesta'!$C$2:$C$511,"*a)*",'00 Encuesta'!$E$2:$E$511,"*a)*",'00 Encuesta'!$AJ$2:$AJ$511,"*i)*")</f>
        <v>4</v>
      </c>
      <c r="J281" s="52">
        <f t="shared" si="350"/>
        <v>19.047619047619047</v>
      </c>
      <c r="K281" s="53">
        <f>COUNTIFS('00 Encuesta'!$B$2:$B$511,"*b)*",'00 Encuesta'!$C$2:$C$511,"*a)*",'00 Encuesta'!$E$2:$E$511,"*b)*",'00 Encuesta'!$AJ$2:$AJ$511,"*i)*")</f>
        <v>2</v>
      </c>
      <c r="L281" s="52">
        <f t="shared" si="351"/>
        <v>11.76470588235294</v>
      </c>
      <c r="M281" s="23"/>
      <c r="N281" s="51">
        <f t="shared" si="352"/>
        <v>2</v>
      </c>
      <c r="O281" s="52">
        <f t="shared" si="353"/>
        <v>6.25</v>
      </c>
      <c r="P281" s="53">
        <f>COUNTIFS('00 Encuesta'!$B$2:$B$511,"*b)*",'00 Encuesta'!$C$2:$C$511,"*b)*",'00 Encuesta'!$E$2:$E$511,"*a)*",'00 Encuesta'!$AJ$2:$AJ$511,"*i)*")</f>
        <v>0</v>
      </c>
      <c r="Q281" s="52">
        <f t="shared" si="354"/>
        <v>0</v>
      </c>
      <c r="R281" s="53">
        <f>COUNTIFS('00 Encuesta'!$B$2:$B$511,"*b)*",'00 Encuesta'!$C$2:$C$511,"*b)*",'00 Encuesta'!$E$2:$E$511,"*b)*",'00 Encuesta'!$AJ$2:$AJ$511,"*i)*")</f>
        <v>2</v>
      </c>
      <c r="S281" s="52">
        <f t="shared" si="355"/>
        <v>13.333333333333334</v>
      </c>
      <c r="T281" s="3"/>
      <c r="U281" s="51">
        <f t="shared" si="356"/>
        <v>0</v>
      </c>
      <c r="V281" s="52" t="e">
        <f t="shared" si="357"/>
        <v>#DIV/0!</v>
      </c>
      <c r="W281" s="53">
        <f>COUNTIFS('00 Encuesta'!$B$2:$B$511,"*b)*",'00 Encuesta'!$C$2:$C$511,"*d)*",'00 Encuesta'!$E$2:$E$511,"*a)*",'00 Encuesta'!$AJ$2:$AJ$511,"*i)*")</f>
        <v>0</v>
      </c>
      <c r="X281" s="52" t="e">
        <f t="shared" si="358"/>
        <v>#DIV/0!</v>
      </c>
      <c r="Y281" s="53">
        <f>COUNTIFS('00 Encuesta'!$B$2:$B$511,"*b)*",'00 Encuesta'!$C$2:$C$511,"*d)*",'00 Encuesta'!$E$2:$E$511,"*b)*",'00 Encuesta'!$AJ$2:$AJ$511,"*i)*")</f>
        <v>0</v>
      </c>
      <c r="Z281" s="52" t="e">
        <f t="shared" si="359"/>
        <v>#DIV/0!</v>
      </c>
      <c r="AA281" s="3"/>
      <c r="AB281" s="62">
        <f t="shared" si="360"/>
        <v>8</v>
      </c>
      <c r="AC281" s="52">
        <f t="shared" si="361"/>
        <v>11.428571428571429</v>
      </c>
      <c r="AD281" s="3"/>
      <c r="AE281" s="3"/>
      <c r="AF281" s="9" t="str">
        <f t="shared" si="362"/>
        <v>i) Leo revistas o libros</v>
      </c>
      <c r="AG281" s="72">
        <f t="shared" si="370"/>
        <v>19.047619047619047</v>
      </c>
      <c r="AH281" s="72">
        <f t="shared" si="371"/>
        <v>11.76470588235294</v>
      </c>
      <c r="AI281" s="73">
        <f t="shared" si="372"/>
        <v>15.789473684210526</v>
      </c>
      <c r="AJ281" s="73"/>
      <c r="AK281" s="76">
        <f t="shared" si="363"/>
        <v>0</v>
      </c>
      <c r="AL281" s="76">
        <f t="shared" si="364"/>
        <v>13.333333333333334</v>
      </c>
      <c r="AM281" s="76">
        <f t="shared" si="365"/>
        <v>6.25</v>
      </c>
      <c r="AN281" s="76"/>
      <c r="AO281" s="81" t="e">
        <f t="shared" si="366"/>
        <v>#DIV/0!</v>
      </c>
      <c r="AP281" s="81" t="e">
        <f t="shared" si="367"/>
        <v>#DIV/0!</v>
      </c>
      <c r="AQ281" s="81" t="e">
        <f t="shared" si="368"/>
        <v>#DIV/0!</v>
      </c>
      <c r="AR281" s="3"/>
      <c r="AS281" s="76">
        <f t="shared" si="369"/>
        <v>11.428571428571429</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0</v>
      </c>
      <c r="H282" s="52">
        <f t="shared" si="349"/>
        <v>0</v>
      </c>
      <c r="I282" s="53">
        <f>COUNTIFS('00 Encuesta'!$B$2:$B$511,"*b)*",'00 Encuesta'!$C$2:$C$511,"*a)*",'00 Encuesta'!$E$2:$E$511,"*a)*",'00 Encuesta'!$AJ$2:$AJ$511,"*j)*")</f>
        <v>0</v>
      </c>
      <c r="J282" s="52">
        <f t="shared" si="350"/>
        <v>0</v>
      </c>
      <c r="K282" s="53">
        <f>COUNTIFS('00 Encuesta'!$B$2:$B$511,"*b)*",'00 Encuesta'!$C$2:$C$511,"*a)*",'00 Encuesta'!$E$2:$E$511,"*b)*",'00 Encuesta'!$AJ$2:$AJ$511,"*j)*")</f>
        <v>0</v>
      </c>
      <c r="L282" s="52">
        <f t="shared" si="351"/>
        <v>0</v>
      </c>
      <c r="M282" s="23"/>
      <c r="N282" s="51">
        <f t="shared" si="352"/>
        <v>1</v>
      </c>
      <c r="O282" s="52">
        <f t="shared" si="353"/>
        <v>3.125</v>
      </c>
      <c r="P282" s="53">
        <f>COUNTIFS('00 Encuesta'!$B$2:$B$511,"*b)*",'00 Encuesta'!$C$2:$C$511,"*b)*",'00 Encuesta'!$E$2:$E$511,"*a)*",'00 Encuesta'!$AJ$2:$AJ$511,"*j)*")</f>
        <v>0</v>
      </c>
      <c r="Q282" s="52">
        <f t="shared" si="354"/>
        <v>0</v>
      </c>
      <c r="R282" s="53">
        <f>COUNTIFS('00 Encuesta'!$B$2:$B$511,"*b)*",'00 Encuesta'!$C$2:$C$511,"*b)*",'00 Encuesta'!$E$2:$E$511,"*b)*",'00 Encuesta'!$AJ$2:$AJ$511,"*j)*")</f>
        <v>1</v>
      </c>
      <c r="S282" s="52">
        <f t="shared" si="355"/>
        <v>6.666666666666667</v>
      </c>
      <c r="T282" s="3"/>
      <c r="U282" s="51">
        <f t="shared" si="356"/>
        <v>0</v>
      </c>
      <c r="V282" s="52" t="e">
        <f t="shared" si="357"/>
        <v>#DIV/0!</v>
      </c>
      <c r="W282" s="53">
        <f>COUNTIFS('00 Encuesta'!$B$2:$B$511,"*b)*",'00 Encuesta'!$C$2:$C$511,"*d)*",'00 Encuesta'!$E$2:$E$511,"*a)*",'00 Encuesta'!$AJ$2:$AJ$511,"*j)*")</f>
        <v>0</v>
      </c>
      <c r="X282" s="52" t="e">
        <f t="shared" si="358"/>
        <v>#DIV/0!</v>
      </c>
      <c r="Y282" s="53">
        <f>COUNTIFS('00 Encuesta'!$B$2:$B$511,"*b)*",'00 Encuesta'!$C$2:$C$511,"*d)*",'00 Encuesta'!$E$2:$E$511,"*b)*",'00 Encuesta'!$AJ$2:$AJ$511,"*j)*")</f>
        <v>0</v>
      </c>
      <c r="Z282" s="52" t="e">
        <f t="shared" si="359"/>
        <v>#DIV/0!</v>
      </c>
      <c r="AA282" s="3"/>
      <c r="AB282" s="62">
        <f t="shared" si="360"/>
        <v>1</v>
      </c>
      <c r="AC282" s="52">
        <f t="shared" si="361"/>
        <v>1.4285714285714286</v>
      </c>
      <c r="AD282" s="3"/>
      <c r="AE282" s="3"/>
      <c r="AF282" s="9" t="str">
        <f t="shared" si="362"/>
        <v>j) Estoy en algún grupo juvenil</v>
      </c>
      <c r="AG282" s="72">
        <f t="shared" si="370"/>
        <v>0</v>
      </c>
      <c r="AH282" s="72">
        <f t="shared" si="371"/>
        <v>0</v>
      </c>
      <c r="AI282" s="73">
        <f t="shared" si="372"/>
        <v>0</v>
      </c>
      <c r="AJ282" s="73"/>
      <c r="AK282" s="76">
        <f t="shared" si="363"/>
        <v>0</v>
      </c>
      <c r="AL282" s="76">
        <f t="shared" si="364"/>
        <v>6.666666666666667</v>
      </c>
      <c r="AM282" s="76">
        <f t="shared" si="365"/>
        <v>3.125</v>
      </c>
      <c r="AN282" s="76"/>
      <c r="AO282" s="81" t="e">
        <f t="shared" si="366"/>
        <v>#DIV/0!</v>
      </c>
      <c r="AP282" s="81" t="e">
        <f t="shared" si="367"/>
        <v>#DIV/0!</v>
      </c>
      <c r="AQ282" s="81" t="e">
        <f t="shared" si="368"/>
        <v>#DIV/0!</v>
      </c>
      <c r="AR282" s="3"/>
      <c r="AS282" s="76">
        <f t="shared" si="369"/>
        <v>1.4285714285714286</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15</v>
      </c>
      <c r="H283" s="52">
        <f t="shared" si="349"/>
        <v>39.473684210526315</v>
      </c>
      <c r="I283" s="53">
        <f>COUNTIFS('00 Encuesta'!$B$2:$B$511,"*b)*",'00 Encuesta'!$C$2:$C$511,"*a)*",'00 Encuesta'!$E$2:$E$511,"*a)*",'00 Encuesta'!$AJ$2:$AJ$511,"*k)*")</f>
        <v>6</v>
      </c>
      <c r="J283" s="52">
        <f t="shared" si="350"/>
        <v>28.571428571428569</v>
      </c>
      <c r="K283" s="53">
        <f>COUNTIFS('00 Encuesta'!$B$2:$B$511,"*b)*",'00 Encuesta'!$C$2:$C$511,"*a)*",'00 Encuesta'!$E$2:$E$511,"*b)*",'00 Encuesta'!$AJ$2:$AJ$511,"*k)*")</f>
        <v>9</v>
      </c>
      <c r="L283" s="52">
        <f t="shared" si="351"/>
        <v>52.941176470588239</v>
      </c>
      <c r="M283" s="23"/>
      <c r="N283" s="51">
        <f t="shared" si="352"/>
        <v>10</v>
      </c>
      <c r="O283" s="52">
        <f t="shared" si="353"/>
        <v>31.25</v>
      </c>
      <c r="P283" s="53">
        <f>COUNTIFS('00 Encuesta'!$B$2:$B$511,"*b)*",'00 Encuesta'!$C$2:$C$511,"*b)*",'00 Encuesta'!$E$2:$E$511,"*a)*",'00 Encuesta'!$AJ$2:$AJ$511,"*k)*")</f>
        <v>7</v>
      </c>
      <c r="Q283" s="52">
        <f t="shared" si="354"/>
        <v>41.17647058823529</v>
      </c>
      <c r="R283" s="53">
        <f>COUNTIFS('00 Encuesta'!$B$2:$B$511,"*b)*",'00 Encuesta'!$C$2:$C$511,"*b)*",'00 Encuesta'!$E$2:$E$511,"*b)*",'00 Encuesta'!$AJ$2:$AJ$511,"*k)*")</f>
        <v>3</v>
      </c>
      <c r="S283" s="52">
        <f t="shared" si="355"/>
        <v>20</v>
      </c>
      <c r="T283" s="3"/>
      <c r="U283" s="51">
        <f t="shared" si="356"/>
        <v>0</v>
      </c>
      <c r="V283" s="52" t="e">
        <f t="shared" si="357"/>
        <v>#DIV/0!</v>
      </c>
      <c r="W283" s="53">
        <f>COUNTIFS('00 Encuesta'!$B$2:$B$511,"*b)*",'00 Encuesta'!$C$2:$C$511,"*d)*",'00 Encuesta'!$E$2:$E$511,"*a)*",'00 Encuesta'!$AJ$2:$AJ$511,"*k)*")</f>
        <v>0</v>
      </c>
      <c r="X283" s="52" t="e">
        <f t="shared" si="358"/>
        <v>#DIV/0!</v>
      </c>
      <c r="Y283" s="53">
        <f>COUNTIFS('00 Encuesta'!$B$2:$B$511,"*b)*",'00 Encuesta'!$C$2:$C$511,"*d)*",'00 Encuesta'!$E$2:$E$511,"*b)*",'00 Encuesta'!$AJ$2:$AJ$511,"*k)*")</f>
        <v>0</v>
      </c>
      <c r="Z283" s="52" t="e">
        <f t="shared" si="359"/>
        <v>#DIV/0!</v>
      </c>
      <c r="AA283" s="3"/>
      <c r="AB283" s="62">
        <f t="shared" si="360"/>
        <v>25</v>
      </c>
      <c r="AC283" s="52">
        <f t="shared" si="361"/>
        <v>35.714285714285715</v>
      </c>
      <c r="AD283" s="3"/>
      <c r="AE283" s="3"/>
      <c r="AF283" s="9" t="str">
        <f t="shared" si="362"/>
        <v>k) Practico algún deporte</v>
      </c>
      <c r="AG283" s="72">
        <f t="shared" si="370"/>
        <v>28.571428571428569</v>
      </c>
      <c r="AH283" s="72">
        <f t="shared" si="371"/>
        <v>52.941176470588239</v>
      </c>
      <c r="AI283" s="73">
        <f t="shared" si="372"/>
        <v>39.473684210526315</v>
      </c>
      <c r="AJ283" s="73"/>
      <c r="AK283" s="76">
        <f t="shared" si="363"/>
        <v>41.17647058823529</v>
      </c>
      <c r="AL283" s="76">
        <f t="shared" si="364"/>
        <v>20</v>
      </c>
      <c r="AM283" s="76">
        <f t="shared" si="365"/>
        <v>31.25</v>
      </c>
      <c r="AN283" s="76"/>
      <c r="AO283" s="81" t="e">
        <f t="shared" si="366"/>
        <v>#DIV/0!</v>
      </c>
      <c r="AP283" s="81" t="e">
        <f t="shared" si="367"/>
        <v>#DIV/0!</v>
      </c>
      <c r="AQ283" s="81" t="e">
        <f t="shared" si="368"/>
        <v>#DIV/0!</v>
      </c>
      <c r="AR283" s="3"/>
      <c r="AS283" s="76">
        <f t="shared" si="369"/>
        <v>35.714285714285715</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10</v>
      </c>
      <c r="H284" s="52">
        <f t="shared" si="349"/>
        <v>26.315789473684209</v>
      </c>
      <c r="I284" s="53">
        <f>COUNTIFS('00 Encuesta'!$B$2:$B$511,"*b)*",'00 Encuesta'!$C$2:$C$511,"*a)*",'00 Encuesta'!$E$2:$E$511,"*a)*",'00 Encuesta'!$AJ$2:$AJ$511,"*l)*")</f>
        <v>5</v>
      </c>
      <c r="J284" s="52">
        <f t="shared" si="350"/>
        <v>23.809523809523807</v>
      </c>
      <c r="K284" s="53">
        <f>COUNTIFS('00 Encuesta'!$B$2:$B$511,"*b)*",'00 Encuesta'!$C$2:$C$511,"*a)*",'00 Encuesta'!$E$2:$E$511,"*b)*",'00 Encuesta'!$AJ$2:$AJ$511,"*l)*")</f>
        <v>5</v>
      </c>
      <c r="L284" s="52">
        <f t="shared" si="351"/>
        <v>29.411764705882355</v>
      </c>
      <c r="M284" s="23"/>
      <c r="N284" s="51">
        <f t="shared" si="352"/>
        <v>11</v>
      </c>
      <c r="O284" s="52">
        <f t="shared" si="353"/>
        <v>34.375</v>
      </c>
      <c r="P284" s="53">
        <f>COUNTIFS('00 Encuesta'!$B$2:$B$511,"*b)*",'00 Encuesta'!$C$2:$C$511,"*b)*",'00 Encuesta'!$E$2:$E$511,"*a)*",'00 Encuesta'!$AJ$2:$AJ$511,"*l)*")</f>
        <v>3</v>
      </c>
      <c r="Q284" s="52">
        <f t="shared" si="354"/>
        <v>17.647058823529413</v>
      </c>
      <c r="R284" s="53">
        <f>COUNTIFS('00 Encuesta'!$B$2:$B$511,"*b)*",'00 Encuesta'!$C$2:$C$511,"*b)*",'00 Encuesta'!$E$2:$E$511,"*b)*",'00 Encuesta'!$AJ$2:$AJ$511,"*l)*")</f>
        <v>8</v>
      </c>
      <c r="S284" s="52">
        <f t="shared" si="355"/>
        <v>53.333333333333336</v>
      </c>
      <c r="T284" s="3"/>
      <c r="U284" s="51">
        <f t="shared" si="356"/>
        <v>0</v>
      </c>
      <c r="V284" s="52" t="e">
        <f t="shared" si="357"/>
        <v>#DIV/0!</v>
      </c>
      <c r="W284" s="53">
        <f>COUNTIFS('00 Encuesta'!$B$2:$B$511,"*b)*",'00 Encuesta'!$C$2:$C$511,"*d)*",'00 Encuesta'!$E$2:$E$511,"*a)*",'00 Encuesta'!$AJ$2:$AJ$511,"*l)*")</f>
        <v>0</v>
      </c>
      <c r="X284" s="52" t="e">
        <f t="shared" si="358"/>
        <v>#DIV/0!</v>
      </c>
      <c r="Y284" s="53">
        <f>COUNTIFS('00 Encuesta'!$B$2:$B$511,"*b)*",'00 Encuesta'!$C$2:$C$511,"*d)*",'00 Encuesta'!$E$2:$E$511,"*b)*",'00 Encuesta'!$AJ$2:$AJ$511,"*l)*")</f>
        <v>0</v>
      </c>
      <c r="Z284" s="52" t="e">
        <f t="shared" si="359"/>
        <v>#DIV/0!</v>
      </c>
      <c r="AA284" s="3"/>
      <c r="AB284" s="62">
        <f t="shared" si="360"/>
        <v>21</v>
      </c>
      <c r="AC284" s="52">
        <f t="shared" si="361"/>
        <v>30</v>
      </c>
      <c r="AD284" s="3"/>
      <c r="AE284" s="3"/>
      <c r="AF284" s="9" t="str">
        <f t="shared" si="362"/>
        <v>l) Escuho música y/o veo videos musicales</v>
      </c>
      <c r="AG284" s="72">
        <f t="shared" si="370"/>
        <v>23.809523809523807</v>
      </c>
      <c r="AH284" s="72">
        <f t="shared" si="371"/>
        <v>29.411764705882355</v>
      </c>
      <c r="AI284" s="73">
        <f t="shared" si="372"/>
        <v>26.315789473684209</v>
      </c>
      <c r="AJ284" s="73"/>
      <c r="AK284" s="76">
        <f t="shared" si="363"/>
        <v>17.647058823529413</v>
      </c>
      <c r="AL284" s="76">
        <f t="shared" si="364"/>
        <v>53.333333333333336</v>
      </c>
      <c r="AM284" s="76">
        <f t="shared" si="365"/>
        <v>34.375</v>
      </c>
      <c r="AN284" s="76"/>
      <c r="AO284" s="81" t="e">
        <f t="shared" si="366"/>
        <v>#DIV/0!</v>
      </c>
      <c r="AP284" s="81" t="e">
        <f t="shared" si="367"/>
        <v>#DIV/0!</v>
      </c>
      <c r="AQ284" s="81" t="e">
        <f t="shared" si="368"/>
        <v>#DIV/0!</v>
      </c>
      <c r="AR284" s="3"/>
      <c r="AS284" s="76">
        <f t="shared" si="369"/>
        <v>30</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13</v>
      </c>
      <c r="H285" s="52">
        <f t="shared" si="349"/>
        <v>34.210526315789473</v>
      </c>
      <c r="I285" s="53">
        <f>COUNTIFS('00 Encuesta'!$B$2:$B$511,"*b)*",'00 Encuesta'!$C$2:$C$511,"*a)*",'00 Encuesta'!$E$2:$E$511,"*a)*",'00 Encuesta'!$AJ$2:$AJ$511,"*m)*")</f>
        <v>8</v>
      </c>
      <c r="J285" s="52">
        <f t="shared" si="350"/>
        <v>38.095238095238095</v>
      </c>
      <c r="K285" s="53">
        <f>COUNTIFS('00 Encuesta'!$B$2:$B$511,"*b)*",'00 Encuesta'!$C$2:$C$511,"*a)*",'00 Encuesta'!$E$2:$E$511,"*b)*",'00 Encuesta'!$AJ$2:$AJ$511,"*m)*")</f>
        <v>5</v>
      </c>
      <c r="L285" s="52">
        <f t="shared" si="351"/>
        <v>29.411764705882355</v>
      </c>
      <c r="M285" s="23"/>
      <c r="N285" s="51">
        <f t="shared" si="352"/>
        <v>7</v>
      </c>
      <c r="O285" s="52">
        <f t="shared" si="353"/>
        <v>21.875</v>
      </c>
      <c r="P285" s="53">
        <f>COUNTIFS('00 Encuesta'!$B$2:$B$511,"*b)*",'00 Encuesta'!$C$2:$C$511,"*b)*",'00 Encuesta'!$E$2:$E$511,"*a)*",'00 Encuesta'!$AJ$2:$AJ$511,"*m)*")</f>
        <v>3</v>
      </c>
      <c r="Q285" s="52">
        <f t="shared" si="354"/>
        <v>17.647058823529413</v>
      </c>
      <c r="R285" s="53">
        <f>COUNTIFS('00 Encuesta'!$B$2:$B$511,"*b)*",'00 Encuesta'!$C$2:$C$511,"*b)*",'00 Encuesta'!$E$2:$E$511,"*b)*",'00 Encuesta'!$AJ$2:$AJ$511,"*m)*")</f>
        <v>4</v>
      </c>
      <c r="S285" s="52">
        <f t="shared" si="355"/>
        <v>26.666666666666668</v>
      </c>
      <c r="T285" s="3"/>
      <c r="U285" s="51">
        <f t="shared" si="356"/>
        <v>0</v>
      </c>
      <c r="V285" s="52" t="e">
        <f t="shared" si="357"/>
        <v>#DIV/0!</v>
      </c>
      <c r="W285" s="53">
        <f>COUNTIFS('00 Encuesta'!$B$2:$B$511,"*b)*",'00 Encuesta'!$C$2:$C$511,"*d)*",'00 Encuesta'!$E$2:$E$511,"*a)*",'00 Encuesta'!$AJ$2:$AJ$511,"*m)*")</f>
        <v>0</v>
      </c>
      <c r="X285" s="52" t="e">
        <f t="shared" si="358"/>
        <v>#DIV/0!</v>
      </c>
      <c r="Y285" s="53">
        <f>COUNTIFS('00 Encuesta'!$B$2:$B$511,"*b)*",'00 Encuesta'!$C$2:$C$511,"*d)*",'00 Encuesta'!$E$2:$E$511,"*b)*",'00 Encuesta'!$AJ$2:$AJ$511,"*m)*")</f>
        <v>0</v>
      </c>
      <c r="Z285" s="52" t="e">
        <f t="shared" si="359"/>
        <v>#DIV/0!</v>
      </c>
      <c r="AA285" s="3"/>
      <c r="AB285" s="62">
        <f t="shared" si="360"/>
        <v>20</v>
      </c>
      <c r="AC285" s="52">
        <f t="shared" si="361"/>
        <v>28.571428571428573</v>
      </c>
      <c r="AD285" s="3"/>
      <c r="AE285" s="3"/>
      <c r="AF285" s="9" t="str">
        <f t="shared" si="362"/>
        <v>m) Veo televisión y/o películas</v>
      </c>
      <c r="AG285" s="72">
        <f t="shared" si="370"/>
        <v>38.095238095238095</v>
      </c>
      <c r="AH285" s="72">
        <f t="shared" si="371"/>
        <v>29.411764705882355</v>
      </c>
      <c r="AI285" s="73">
        <f t="shared" si="372"/>
        <v>34.210526315789473</v>
      </c>
      <c r="AJ285" s="73"/>
      <c r="AK285" s="76">
        <f t="shared" si="363"/>
        <v>17.647058823529413</v>
      </c>
      <c r="AL285" s="76">
        <f t="shared" si="364"/>
        <v>26.666666666666668</v>
      </c>
      <c r="AM285" s="76">
        <f t="shared" si="365"/>
        <v>21.875</v>
      </c>
      <c r="AN285" s="76"/>
      <c r="AO285" s="81" t="e">
        <f t="shared" si="366"/>
        <v>#DIV/0!</v>
      </c>
      <c r="AP285" s="81" t="e">
        <f t="shared" si="367"/>
        <v>#DIV/0!</v>
      </c>
      <c r="AQ285" s="81" t="e">
        <f t="shared" si="368"/>
        <v>#DIV/0!</v>
      </c>
      <c r="AR285" s="3"/>
      <c r="AS285" s="76">
        <f t="shared" si="369"/>
        <v>28.571428571428573</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ht="15" x14ac:dyDescent="0.25">
      <c r="A286" s="8" t="s">
        <v>213</v>
      </c>
      <c r="B286" s="9" t="s">
        <v>214</v>
      </c>
      <c r="C286" s="7"/>
      <c r="D286" s="7"/>
      <c r="E286" s="7"/>
      <c r="F286" s="71"/>
      <c r="G286" s="51">
        <f t="shared" si="348"/>
        <v>7</v>
      </c>
      <c r="H286" s="52">
        <f t="shared" si="349"/>
        <v>18.421052631578945</v>
      </c>
      <c r="I286" s="53">
        <f>COUNTIFS('00 Encuesta'!$B$2:$B$511,"*b)*",'00 Encuesta'!$C$2:$C$511,"*a)*",'00 Encuesta'!$E$2:$E$511,"*a)*",'00 Encuesta'!$AJ$2:$AJ$511,"*n)*")</f>
        <v>3</v>
      </c>
      <c r="J286" s="52">
        <f t="shared" si="350"/>
        <v>14.285714285714285</v>
      </c>
      <c r="K286" s="53">
        <f>COUNTIFS('00 Encuesta'!$B$2:$B$511,"*b)*",'00 Encuesta'!$C$2:$C$511,"*a)*",'00 Encuesta'!$E$2:$E$511,"*b)*",'00 Encuesta'!$AJ$2:$AJ$511,"*n)*")</f>
        <v>4</v>
      </c>
      <c r="L286" s="52">
        <f t="shared" si="351"/>
        <v>23.52941176470588</v>
      </c>
      <c r="M286" s="23"/>
      <c r="N286" s="51">
        <f t="shared" si="352"/>
        <v>16</v>
      </c>
      <c r="O286" s="52">
        <f t="shared" si="353"/>
        <v>50</v>
      </c>
      <c r="P286" s="53">
        <f>COUNTIFS('00 Encuesta'!$B$2:$B$511,"*b)*",'00 Encuesta'!$C$2:$C$511,"*b)*",'00 Encuesta'!$E$2:$E$511,"*a)*",'00 Encuesta'!$AJ$2:$AJ$511,"*n)*")</f>
        <v>9</v>
      </c>
      <c r="Q286" s="52">
        <f t="shared" si="354"/>
        <v>52.941176470588239</v>
      </c>
      <c r="R286" s="53">
        <f>COUNTIFS('00 Encuesta'!$B$2:$B$511,"*b)*",'00 Encuesta'!$C$2:$C$511,"*b)*",'00 Encuesta'!$E$2:$E$511,"*b)*",'00 Encuesta'!$AJ$2:$AJ$511,"*n)*")</f>
        <v>7</v>
      </c>
      <c r="S286" s="52">
        <f t="shared" si="355"/>
        <v>46.666666666666664</v>
      </c>
      <c r="T286" s="3"/>
      <c r="U286" s="51">
        <f t="shared" si="356"/>
        <v>0</v>
      </c>
      <c r="V286" s="52" t="e">
        <f t="shared" si="357"/>
        <v>#DIV/0!</v>
      </c>
      <c r="W286" s="53">
        <f>COUNTIFS('00 Encuesta'!$B$2:$B$511,"*b)*",'00 Encuesta'!$C$2:$C$511,"*d)*",'00 Encuesta'!$E$2:$E$511,"*a)*",'00 Encuesta'!$AJ$2:$AJ$511,"*n)*")</f>
        <v>0</v>
      </c>
      <c r="X286" s="52" t="e">
        <f t="shared" si="358"/>
        <v>#DIV/0!</v>
      </c>
      <c r="Y286" s="53">
        <f>COUNTIFS('00 Encuesta'!$B$2:$B$511,"*b)*",'00 Encuesta'!$C$2:$C$511,"*d)*",'00 Encuesta'!$E$2:$E$511,"*b)*",'00 Encuesta'!$AJ$2:$AJ$511,"*n)*")</f>
        <v>0</v>
      </c>
      <c r="Z286" s="52" t="e">
        <f t="shared" si="359"/>
        <v>#DIV/0!</v>
      </c>
      <c r="AA286" s="3"/>
      <c r="AB286" s="62">
        <f t="shared" si="360"/>
        <v>23</v>
      </c>
      <c r="AC286" s="52">
        <f t="shared" si="361"/>
        <v>32.857142857142854</v>
      </c>
      <c r="AD286" s="3"/>
      <c r="AE286" s="3"/>
      <c r="AF286" s="9" t="str">
        <f t="shared" si="362"/>
        <v>n) Estoy conversando con los amigos/as</v>
      </c>
      <c r="AG286" s="72">
        <f t="shared" si="370"/>
        <v>14.285714285714285</v>
      </c>
      <c r="AH286" s="72">
        <f t="shared" si="371"/>
        <v>23.52941176470588</v>
      </c>
      <c r="AI286" s="73">
        <f t="shared" si="372"/>
        <v>18.421052631578945</v>
      </c>
      <c r="AJ286" s="73"/>
      <c r="AK286" s="76">
        <f t="shared" si="363"/>
        <v>52.941176470588239</v>
      </c>
      <c r="AL286" s="76">
        <f t="shared" si="364"/>
        <v>46.666666666666664</v>
      </c>
      <c r="AM286" s="76">
        <f t="shared" si="365"/>
        <v>50</v>
      </c>
      <c r="AN286" s="76"/>
      <c r="AO286" s="81" t="e">
        <f t="shared" si="366"/>
        <v>#DIV/0!</v>
      </c>
      <c r="AP286" s="81" t="e">
        <f t="shared" si="367"/>
        <v>#DIV/0!</v>
      </c>
      <c r="AQ286" s="81" t="e">
        <f t="shared" si="368"/>
        <v>#DIV/0!</v>
      </c>
      <c r="AR286" s="3"/>
      <c r="AS286" s="76">
        <f t="shared" si="369"/>
        <v>32.857142857142854</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ht="15" x14ac:dyDescent="0.25">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ht="15" x14ac:dyDescent="0.25">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ht="15" x14ac:dyDescent="0.25">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ht="15" x14ac:dyDescent="0.25">
      <c r="A290" s="8" t="s">
        <v>17</v>
      </c>
      <c r="B290" s="9" t="s">
        <v>216</v>
      </c>
      <c r="C290" s="7"/>
      <c r="D290" s="7"/>
      <c r="E290" s="7"/>
      <c r="F290" s="71">
        <v>100</v>
      </c>
      <c r="G290" s="51">
        <f t="shared" ref="G290:G295" si="373">I290+K290</f>
        <v>6</v>
      </c>
      <c r="H290" s="52">
        <f t="shared" ref="H290:H295" si="374">G290/$J$5*100</f>
        <v>15.789473684210526</v>
      </c>
      <c r="I290" s="53">
        <f>COUNTIFS('00 Encuesta'!$B$2:$B$511,"*b)*",'00 Encuesta'!$C$2:$C$511,"*a)*",'00 Encuesta'!$E$2:$E$511,"*a)*",'00 Encuesta'!$AL$2:$AL$511,"*a)*")</f>
        <v>4</v>
      </c>
      <c r="J290" s="52">
        <f t="shared" ref="J290:J295" si="375">I290/$J$6*100</f>
        <v>19.047619047619047</v>
      </c>
      <c r="K290" s="53">
        <f>COUNTIFS('00 Encuesta'!$B$2:$B$511,"*b)*",'00 Encuesta'!$C$2:$C$511,"*a)*",'00 Encuesta'!$E$2:$E$511,"*b)*",'00 Encuesta'!$AL$2:$AL$511,"*a)*")</f>
        <v>2</v>
      </c>
      <c r="L290" s="52">
        <f>K290/$J$7*100</f>
        <v>11.76470588235294</v>
      </c>
      <c r="M290" s="23"/>
      <c r="N290" s="51">
        <f>P290+R290</f>
        <v>2</v>
      </c>
      <c r="O290" s="52">
        <f>N290/$Q$5*100</f>
        <v>6.25</v>
      </c>
      <c r="P290" s="53">
        <f>COUNTIFS('00 Encuesta'!$B$2:$B$511,"*b)*",'00 Encuesta'!$C$2:$C$511,"*b)*",'00 Encuesta'!$E$2:$E$511,"*a)*",'00 Encuesta'!$AL$2:$AL$511,"*a)*")</f>
        <v>1</v>
      </c>
      <c r="Q290" s="52">
        <f>P290/$Q$6*100</f>
        <v>5.8823529411764701</v>
      </c>
      <c r="R290" s="53">
        <f>COUNTIFS('00 Encuesta'!$B$2:$B$511,"*b)*",'00 Encuesta'!$C$2:$C$511,"*b)*",'00 Encuesta'!$E$2:$E$511,"*b)*",'00 Encuesta'!$AL$2:$AL$511,"*a)*")</f>
        <v>1</v>
      </c>
      <c r="S290" s="52">
        <f>R290/$Q$7*100</f>
        <v>6.666666666666667</v>
      </c>
      <c r="T290" s="3"/>
      <c r="U290" s="51">
        <f>W290+Y290</f>
        <v>0</v>
      </c>
      <c r="V290" s="52" t="e">
        <f>U290/$X$5*100</f>
        <v>#DIV/0!</v>
      </c>
      <c r="W290" s="53">
        <f>COUNTIFS('00 Encuesta'!$B$2:$B$511,"*b)*",'00 Encuesta'!$C$2:$C$511,"*d)*",'00 Encuesta'!$E$2:$E$511,"*a)*",'00 Encuesta'!$AL$2:$AL$511,"*a)*")</f>
        <v>0</v>
      </c>
      <c r="X290" s="52" t="e">
        <f>W290/$X$6*100</f>
        <v>#DIV/0!</v>
      </c>
      <c r="Y290" s="53">
        <f>COUNTIFS('00 Encuesta'!$B$2:$B$511,"*b)*",'00 Encuesta'!$C$2:$C$511,"*d)*",'00 Encuesta'!$E$2:$E$511,"*b)*",'00 Encuesta'!$AL$2:$AL$511,"*a)*")</f>
        <v>0</v>
      </c>
      <c r="Z290" s="52" t="e">
        <f t="shared" ref="Z290:Z295" si="376">Y290/$X$7*100</f>
        <v>#DIV/0!</v>
      </c>
      <c r="AA290" s="3"/>
      <c r="AB290" s="62">
        <f t="shared" ref="AB290:AB295" si="377">G290+N290+U290</f>
        <v>8</v>
      </c>
      <c r="AC290" s="52">
        <f t="shared" ref="AC290:AC295" si="378">AB290*100/$AC$5</f>
        <v>11.428571428571429</v>
      </c>
      <c r="AD290" s="3"/>
      <c r="AE290" s="3"/>
      <c r="AF290" s="9" t="str">
        <f t="shared" ref="AF290:AF295" si="379">A290&amp;" "&amp;B290</f>
        <v>a) Muy bueno</v>
      </c>
      <c r="AG290" s="72">
        <f t="shared" ref="AG290:AG295" si="380">J290</f>
        <v>19.047619047619047</v>
      </c>
      <c r="AH290" s="72">
        <f t="shared" ref="AH290:AH295" si="381">L290</f>
        <v>11.76470588235294</v>
      </c>
      <c r="AI290" s="73">
        <f t="shared" ref="AI290:AI295" si="382">H290</f>
        <v>15.789473684210526</v>
      </c>
      <c r="AJ290" s="73"/>
      <c r="AK290" s="76">
        <f t="shared" ref="AK290:AK295" si="383">Q290</f>
        <v>5.8823529411764701</v>
      </c>
      <c r="AL290" s="76">
        <f t="shared" ref="AL290:AL295" si="384">S290</f>
        <v>6.666666666666667</v>
      </c>
      <c r="AM290" s="76">
        <f t="shared" ref="AM290:AM295" si="385">O290</f>
        <v>6.25</v>
      </c>
      <c r="AN290" s="76"/>
      <c r="AO290" s="81" t="e">
        <f t="shared" ref="AO290:AO295" si="386">X290</f>
        <v>#DIV/0!</v>
      </c>
      <c r="AP290" s="81" t="e">
        <f t="shared" ref="AP290:AP295" si="387">Z290</f>
        <v>#DIV/0!</v>
      </c>
      <c r="AQ290" s="81" t="e">
        <f t="shared" ref="AQ290:AQ295" si="388">V290</f>
        <v>#DIV/0!</v>
      </c>
      <c r="AR290" s="3"/>
      <c r="AS290" s="76">
        <f t="shared" si="369"/>
        <v>11.428571428571429</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ht="15" x14ac:dyDescent="0.25">
      <c r="A291" s="8" t="s">
        <v>18</v>
      </c>
      <c r="B291" s="9" t="s">
        <v>217</v>
      </c>
      <c r="C291" s="7"/>
      <c r="D291" s="7"/>
      <c r="E291" s="7"/>
      <c r="F291" s="71">
        <v>75</v>
      </c>
      <c r="G291" s="51">
        <f t="shared" si="373"/>
        <v>12</v>
      </c>
      <c r="H291" s="52">
        <f t="shared" si="374"/>
        <v>31.578947368421051</v>
      </c>
      <c r="I291" s="53">
        <f>COUNTIFS('00 Encuesta'!$B$2:$B$511,"*b)*",'00 Encuesta'!$C$2:$C$511,"*a)*",'00 Encuesta'!$E$2:$E$511,"*a)*",'00 Encuesta'!$AL$2:$AL$511,"*b)*")</f>
        <v>8</v>
      </c>
      <c r="J291" s="52">
        <f t="shared" si="375"/>
        <v>38.095238095238095</v>
      </c>
      <c r="K291" s="53">
        <f>COUNTIFS('00 Encuesta'!$B$2:$B$511,"*b)*",'00 Encuesta'!$C$2:$C$511,"*a)*",'00 Encuesta'!$E$2:$E$511,"*b)*",'00 Encuesta'!$AL$2:$AL$511,"*b)*")</f>
        <v>4</v>
      </c>
      <c r="L291" s="52">
        <f>K291/$J$7*100</f>
        <v>23.52941176470588</v>
      </c>
      <c r="M291" s="23"/>
      <c r="N291" s="51">
        <f>P291+R291</f>
        <v>15</v>
      </c>
      <c r="O291" s="52">
        <f>N291/$Q$5*100</f>
        <v>46.875</v>
      </c>
      <c r="P291" s="53">
        <f>COUNTIFS('00 Encuesta'!$B$2:$B$511,"*b)*",'00 Encuesta'!$C$2:$C$511,"*b)*",'00 Encuesta'!$E$2:$E$511,"*a)*",'00 Encuesta'!$AL$2:$AL$511,"*b)*")</f>
        <v>8</v>
      </c>
      <c r="Q291" s="52">
        <f>P291/$Q$6*100</f>
        <v>47.058823529411761</v>
      </c>
      <c r="R291" s="53">
        <f>COUNTIFS('00 Encuesta'!$B$2:$B$511,"*b)*",'00 Encuesta'!$C$2:$C$511,"*b)*",'00 Encuesta'!$E$2:$E$511,"*b)*",'00 Encuesta'!$AL$2:$AL$511,"*b)*")</f>
        <v>7</v>
      </c>
      <c r="S291" s="52">
        <f>R291/$Q$7*100</f>
        <v>46.666666666666664</v>
      </c>
      <c r="T291" s="3"/>
      <c r="U291" s="51">
        <f>W291+Y291</f>
        <v>0</v>
      </c>
      <c r="V291" s="52" t="e">
        <f>U291/$X$5*100</f>
        <v>#DIV/0!</v>
      </c>
      <c r="W291" s="53">
        <f>COUNTIFS('00 Encuesta'!$B$2:$B$511,"*b)*",'00 Encuesta'!$C$2:$C$511,"*d)*",'00 Encuesta'!$E$2:$E$511,"*a)*",'00 Encuesta'!$AL$2:$AL$511,"*b)*")</f>
        <v>0</v>
      </c>
      <c r="X291" s="52" t="e">
        <f>W291/$X$6*100</f>
        <v>#DIV/0!</v>
      </c>
      <c r="Y291" s="53">
        <f>COUNTIFS('00 Encuesta'!$B$2:$B$511,"*b)*",'00 Encuesta'!$C$2:$C$511,"*d)*",'00 Encuesta'!$E$2:$E$511,"*b)*",'00 Encuesta'!$AL$2:$AL$511,"*b)*")</f>
        <v>0</v>
      </c>
      <c r="Z291" s="52" t="e">
        <f t="shared" si="376"/>
        <v>#DIV/0!</v>
      </c>
      <c r="AA291" s="3"/>
      <c r="AB291" s="62">
        <f t="shared" si="377"/>
        <v>27</v>
      </c>
      <c r="AC291" s="52">
        <f t="shared" si="378"/>
        <v>38.571428571428569</v>
      </c>
      <c r="AD291" s="3"/>
      <c r="AE291" s="3"/>
      <c r="AF291" s="9" t="str">
        <f t="shared" si="379"/>
        <v>b) Bueno</v>
      </c>
      <c r="AG291" s="72">
        <f t="shared" si="380"/>
        <v>38.095238095238095</v>
      </c>
      <c r="AH291" s="72">
        <f t="shared" si="381"/>
        <v>23.52941176470588</v>
      </c>
      <c r="AI291" s="73">
        <f t="shared" si="382"/>
        <v>31.578947368421051</v>
      </c>
      <c r="AJ291" s="73"/>
      <c r="AK291" s="76">
        <f t="shared" si="383"/>
        <v>47.058823529411761</v>
      </c>
      <c r="AL291" s="76">
        <f t="shared" si="384"/>
        <v>46.666666666666664</v>
      </c>
      <c r="AM291" s="76">
        <f t="shared" si="385"/>
        <v>46.875</v>
      </c>
      <c r="AN291" s="76"/>
      <c r="AO291" s="81" t="e">
        <f t="shared" si="386"/>
        <v>#DIV/0!</v>
      </c>
      <c r="AP291" s="81" t="e">
        <f t="shared" si="387"/>
        <v>#DIV/0!</v>
      </c>
      <c r="AQ291" s="81" t="e">
        <f t="shared" si="388"/>
        <v>#DIV/0!</v>
      </c>
      <c r="AR291" s="3"/>
      <c r="AS291" s="76">
        <f t="shared" si="369"/>
        <v>38.571428571428569</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ht="15" x14ac:dyDescent="0.25">
      <c r="A292" s="8" t="s">
        <v>20</v>
      </c>
      <c r="B292" s="9" t="s">
        <v>218</v>
      </c>
      <c r="C292" s="7"/>
      <c r="D292" s="7"/>
      <c r="E292" s="7"/>
      <c r="F292" s="71">
        <v>50</v>
      </c>
      <c r="G292" s="51">
        <f t="shared" si="373"/>
        <v>10</v>
      </c>
      <c r="H292" s="52">
        <f t="shared" si="374"/>
        <v>26.315789473684209</v>
      </c>
      <c r="I292" s="53">
        <f>COUNTIFS('00 Encuesta'!$B$2:$B$511,"*b)*",'00 Encuesta'!$C$2:$C$511,"*a)*",'00 Encuesta'!$E$2:$E$511,"*a)*",'00 Encuesta'!$AL$2:$AL$511,"*c)*")</f>
        <v>5</v>
      </c>
      <c r="J292" s="52">
        <f t="shared" si="375"/>
        <v>23.809523809523807</v>
      </c>
      <c r="K292" s="53">
        <f>COUNTIFS('00 Encuesta'!$B$2:$B$511,"*b)*",'00 Encuesta'!$C$2:$C$511,"*a)*",'00 Encuesta'!$E$2:$E$511,"*b)*",'00 Encuesta'!$AL$2:$AL$511,"*c)*")</f>
        <v>5</v>
      </c>
      <c r="L292" s="52">
        <f>K292/$J$7*100</f>
        <v>29.411764705882355</v>
      </c>
      <c r="M292" s="23"/>
      <c r="N292" s="51">
        <f>P292+R292</f>
        <v>9</v>
      </c>
      <c r="O292" s="52">
        <f>N292/$Q$5*100</f>
        <v>28.125</v>
      </c>
      <c r="P292" s="53">
        <f>COUNTIFS('00 Encuesta'!$B$2:$B$511,"*b)*",'00 Encuesta'!$C$2:$C$511,"*b)*",'00 Encuesta'!$E$2:$E$511,"*a)*",'00 Encuesta'!$AL$2:$AL$511,"*c)*")</f>
        <v>4</v>
      </c>
      <c r="Q292" s="52">
        <f>P292/$Q$6*100</f>
        <v>23.52941176470588</v>
      </c>
      <c r="R292" s="53">
        <f>COUNTIFS('00 Encuesta'!$B$2:$B$511,"*b)*",'00 Encuesta'!$C$2:$C$511,"*b)*",'00 Encuesta'!$E$2:$E$511,"*b)*",'00 Encuesta'!$AL$2:$AL$511,"*c)*")</f>
        <v>5</v>
      </c>
      <c r="S292" s="52">
        <f>R292/$Q$7*100</f>
        <v>33.333333333333329</v>
      </c>
      <c r="T292" s="3"/>
      <c r="U292" s="51">
        <f>W292+Y292</f>
        <v>0</v>
      </c>
      <c r="V292" s="52" t="e">
        <f>U292/$X$5*100</f>
        <v>#DIV/0!</v>
      </c>
      <c r="W292" s="53">
        <f>COUNTIFS('00 Encuesta'!$B$2:$B$511,"*b)*",'00 Encuesta'!$C$2:$C$511,"*d)*",'00 Encuesta'!$E$2:$E$511,"*a)*",'00 Encuesta'!$AL$2:$AL$511,"*c)*")</f>
        <v>0</v>
      </c>
      <c r="X292" s="52" t="e">
        <f>W292/$X$6*100</f>
        <v>#DIV/0!</v>
      </c>
      <c r="Y292" s="53">
        <f>COUNTIFS('00 Encuesta'!$B$2:$B$511,"*b)*",'00 Encuesta'!$C$2:$C$511,"*d)*",'00 Encuesta'!$E$2:$E$511,"*b)*",'00 Encuesta'!$AL$2:$AL$511,"*c)*")</f>
        <v>0</v>
      </c>
      <c r="Z292" s="52" t="e">
        <f t="shared" si="376"/>
        <v>#DIV/0!</v>
      </c>
      <c r="AA292" s="3"/>
      <c r="AB292" s="62">
        <f t="shared" si="377"/>
        <v>19</v>
      </c>
      <c r="AC292" s="52">
        <f t="shared" si="378"/>
        <v>27.142857142857142</v>
      </c>
      <c r="AD292" s="3"/>
      <c r="AE292" s="3"/>
      <c r="AF292" s="9" t="str">
        <f t="shared" si="379"/>
        <v>c) Regular</v>
      </c>
      <c r="AG292" s="72">
        <f t="shared" si="380"/>
        <v>23.809523809523807</v>
      </c>
      <c r="AH292" s="72">
        <f t="shared" si="381"/>
        <v>29.411764705882355</v>
      </c>
      <c r="AI292" s="73">
        <f t="shared" si="382"/>
        <v>26.315789473684209</v>
      </c>
      <c r="AJ292" s="73"/>
      <c r="AK292" s="76">
        <f t="shared" si="383"/>
        <v>23.52941176470588</v>
      </c>
      <c r="AL292" s="76">
        <f t="shared" si="384"/>
        <v>33.333333333333329</v>
      </c>
      <c r="AM292" s="76">
        <f t="shared" si="385"/>
        <v>28.125</v>
      </c>
      <c r="AN292" s="76"/>
      <c r="AO292" s="81" t="e">
        <f t="shared" si="386"/>
        <v>#DIV/0!</v>
      </c>
      <c r="AP292" s="81" t="e">
        <f t="shared" si="387"/>
        <v>#DIV/0!</v>
      </c>
      <c r="AQ292" s="81" t="e">
        <f t="shared" si="388"/>
        <v>#DIV/0!</v>
      </c>
      <c r="AR292" s="3"/>
      <c r="AS292" s="76">
        <f t="shared" si="369"/>
        <v>27.142857142857142</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ht="15" x14ac:dyDescent="0.25">
      <c r="A293" s="8" t="s">
        <v>21</v>
      </c>
      <c r="B293" s="9" t="s">
        <v>219</v>
      </c>
      <c r="C293" s="7"/>
      <c r="D293" s="7"/>
      <c r="E293" s="7"/>
      <c r="F293" s="71">
        <v>25</v>
      </c>
      <c r="G293" s="51">
        <f t="shared" si="373"/>
        <v>2</v>
      </c>
      <c r="H293" s="52">
        <f t="shared" si="374"/>
        <v>5.2631578947368416</v>
      </c>
      <c r="I293" s="53">
        <f>COUNTIFS('00 Encuesta'!$B$2:$B$511,"*b)*",'00 Encuesta'!$C$2:$C$511,"*a)*",'00 Encuesta'!$E$2:$E$511,"*a)*",'00 Encuesta'!$AL$2:$AL$511,"*d)*")</f>
        <v>0</v>
      </c>
      <c r="J293" s="52">
        <f t="shared" si="375"/>
        <v>0</v>
      </c>
      <c r="K293" s="53">
        <f>COUNTIFS('00 Encuesta'!$B$2:$B$511,"*b)*",'00 Encuesta'!$C$2:$C$511,"*a)*",'00 Encuesta'!$E$2:$E$511,"*b)*",'00 Encuesta'!$AL$2:$AL$511,"*d)*")</f>
        <v>2</v>
      </c>
      <c r="L293" s="52">
        <f>K293/$J$7*100</f>
        <v>11.76470588235294</v>
      </c>
      <c r="M293" s="23"/>
      <c r="N293" s="51">
        <f>P293+R293</f>
        <v>1</v>
      </c>
      <c r="O293" s="52">
        <f>N293/$Q$5*100</f>
        <v>3.125</v>
      </c>
      <c r="P293" s="53">
        <f>COUNTIFS('00 Encuesta'!$B$2:$B$511,"*b)*",'00 Encuesta'!$C$2:$C$511,"*b)*",'00 Encuesta'!$E$2:$E$511,"*a)*",'00 Encuesta'!$AL$2:$AL$511,"*d)*")</f>
        <v>0</v>
      </c>
      <c r="Q293" s="52">
        <f>P293/$Q$6*100</f>
        <v>0</v>
      </c>
      <c r="R293" s="53">
        <f>COUNTIFS('00 Encuesta'!$B$2:$B$511,"*b)*",'00 Encuesta'!$C$2:$C$511,"*b)*",'00 Encuesta'!$E$2:$E$511,"*b)*",'00 Encuesta'!$AL$2:$AL$511,"*d)*")</f>
        <v>1</v>
      </c>
      <c r="S293" s="52">
        <f>R293/$Q$7*100</f>
        <v>6.666666666666667</v>
      </c>
      <c r="T293" s="3"/>
      <c r="U293" s="51">
        <f>W293+Y293</f>
        <v>0</v>
      </c>
      <c r="V293" s="52" t="e">
        <f>U293/$X$5*100</f>
        <v>#DIV/0!</v>
      </c>
      <c r="W293" s="53">
        <f>COUNTIFS('00 Encuesta'!$B$2:$B$511,"*b)*",'00 Encuesta'!$C$2:$C$511,"*d)*",'00 Encuesta'!$E$2:$E$511,"*a)*",'00 Encuesta'!$AL$2:$AL$511,"*d)*")</f>
        <v>0</v>
      </c>
      <c r="X293" s="52" t="e">
        <f>W293/$X$6*100</f>
        <v>#DIV/0!</v>
      </c>
      <c r="Y293" s="53">
        <f>COUNTIFS('00 Encuesta'!$B$2:$B$511,"*b)*",'00 Encuesta'!$C$2:$C$511,"*d)*",'00 Encuesta'!$E$2:$E$511,"*b)*",'00 Encuesta'!$AL$2:$AL$511,"*d)*")</f>
        <v>0</v>
      </c>
      <c r="Z293" s="52" t="e">
        <f t="shared" si="376"/>
        <v>#DIV/0!</v>
      </c>
      <c r="AA293" s="3"/>
      <c r="AB293" s="62">
        <f t="shared" si="377"/>
        <v>3</v>
      </c>
      <c r="AC293" s="52">
        <f t="shared" si="378"/>
        <v>4.2857142857142856</v>
      </c>
      <c r="AD293" s="3"/>
      <c r="AE293" s="3"/>
      <c r="AF293" s="9" t="str">
        <f t="shared" si="379"/>
        <v>d) Deficiente</v>
      </c>
      <c r="AG293" s="72">
        <f t="shared" si="380"/>
        <v>0</v>
      </c>
      <c r="AH293" s="72">
        <f t="shared" si="381"/>
        <v>11.76470588235294</v>
      </c>
      <c r="AI293" s="73">
        <f t="shared" si="382"/>
        <v>5.2631578947368416</v>
      </c>
      <c r="AJ293" s="73"/>
      <c r="AK293" s="76">
        <f t="shared" si="383"/>
        <v>0</v>
      </c>
      <c r="AL293" s="76">
        <f t="shared" si="384"/>
        <v>6.666666666666667</v>
      </c>
      <c r="AM293" s="76">
        <f t="shared" si="385"/>
        <v>3.125</v>
      </c>
      <c r="AN293" s="76"/>
      <c r="AO293" s="81" t="e">
        <f t="shared" si="386"/>
        <v>#DIV/0!</v>
      </c>
      <c r="AP293" s="81" t="e">
        <f t="shared" si="387"/>
        <v>#DIV/0!</v>
      </c>
      <c r="AQ293" s="81" t="e">
        <f t="shared" si="388"/>
        <v>#DIV/0!</v>
      </c>
      <c r="AR293" s="3"/>
      <c r="AS293" s="76">
        <f t="shared" si="369"/>
        <v>4.2857142857142856</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ht="15" x14ac:dyDescent="0.25">
      <c r="A294" s="8" t="s">
        <v>22</v>
      </c>
      <c r="B294" s="9" t="s">
        <v>220</v>
      </c>
      <c r="C294" s="7"/>
      <c r="D294" s="7"/>
      <c r="E294" s="7"/>
      <c r="F294" s="71">
        <v>0</v>
      </c>
      <c r="G294" s="51">
        <f t="shared" si="373"/>
        <v>4</v>
      </c>
      <c r="H294" s="52">
        <f t="shared" si="374"/>
        <v>10.526315789473683</v>
      </c>
      <c r="I294" s="53">
        <f>COUNTIFS('00 Encuesta'!$B$2:$B$511,"*b)*",'00 Encuesta'!$C$2:$C$511,"*a)*",'00 Encuesta'!$E$2:$E$511,"*a)*",'00 Encuesta'!$AL$2:$AL$511,"*e)*")</f>
        <v>1</v>
      </c>
      <c r="J294" s="52">
        <f t="shared" si="375"/>
        <v>4.7619047619047619</v>
      </c>
      <c r="K294" s="53">
        <f>COUNTIFS('00 Encuesta'!$B$2:$B$511,"*b)*",'00 Encuesta'!$C$2:$C$511,"*a)*",'00 Encuesta'!$E$2:$E$511,"*b)*",'00 Encuesta'!$AL$2:$AL$511,"*e)*")</f>
        <v>3</v>
      </c>
      <c r="L294" s="52">
        <f>K294/$J$7*100</f>
        <v>17.647058823529413</v>
      </c>
      <c r="M294" s="23"/>
      <c r="N294" s="51">
        <f>P294+R294</f>
        <v>1</v>
      </c>
      <c r="O294" s="52">
        <f>N294/$Q$5*100</f>
        <v>3.125</v>
      </c>
      <c r="P294" s="53">
        <f>COUNTIFS('00 Encuesta'!$B$2:$B$511,"*b)*",'00 Encuesta'!$C$2:$C$511,"*b)*",'00 Encuesta'!$E$2:$E$511,"*a)*",'00 Encuesta'!$AL$2:$AL$511,"*e)*")</f>
        <v>0</v>
      </c>
      <c r="Q294" s="52">
        <f>P294/$Q$6*100</f>
        <v>0</v>
      </c>
      <c r="R294" s="53">
        <f>COUNTIFS('00 Encuesta'!$B$2:$B$511,"*b)*",'00 Encuesta'!$C$2:$C$511,"*b)*",'00 Encuesta'!$E$2:$E$511,"*b)*",'00 Encuesta'!$AL$2:$AL$511,"*e)*")</f>
        <v>1</v>
      </c>
      <c r="S294" s="52">
        <f>R294/$Q$7*100</f>
        <v>6.666666666666667</v>
      </c>
      <c r="T294" s="3"/>
      <c r="U294" s="51">
        <f>W294+Y294</f>
        <v>0</v>
      </c>
      <c r="V294" s="52" t="e">
        <f>U294/$X$5*100</f>
        <v>#DIV/0!</v>
      </c>
      <c r="W294" s="53">
        <f>COUNTIFS('00 Encuesta'!$B$2:$B$511,"*b)*",'00 Encuesta'!$C$2:$C$511,"*d)*",'00 Encuesta'!$E$2:$E$511,"*a)*",'00 Encuesta'!$AL$2:$AL$511,"*e)*")</f>
        <v>0</v>
      </c>
      <c r="X294" s="52" t="e">
        <f>W294/$X$6*100</f>
        <v>#DIV/0!</v>
      </c>
      <c r="Y294" s="53">
        <f>COUNTIFS('00 Encuesta'!$B$2:$B$511,"*b)*",'00 Encuesta'!$C$2:$C$511,"*d)*",'00 Encuesta'!$E$2:$E$511,"*b)*",'00 Encuesta'!$AL$2:$AL$511,"*e)*")</f>
        <v>0</v>
      </c>
      <c r="Z294" s="52" t="e">
        <f t="shared" si="376"/>
        <v>#DIV/0!</v>
      </c>
      <c r="AA294" s="3"/>
      <c r="AB294" s="62">
        <f t="shared" si="377"/>
        <v>5</v>
      </c>
      <c r="AC294" s="52">
        <f t="shared" si="378"/>
        <v>7.1428571428571432</v>
      </c>
      <c r="AD294" s="3"/>
      <c r="AE294" s="3"/>
      <c r="AF294" s="9" t="str">
        <f t="shared" si="379"/>
        <v>e) Muy deficiente</v>
      </c>
      <c r="AG294" s="72">
        <f t="shared" si="380"/>
        <v>4.7619047619047619</v>
      </c>
      <c r="AH294" s="72">
        <f t="shared" si="381"/>
        <v>17.647058823529413</v>
      </c>
      <c r="AI294" s="73">
        <f t="shared" si="382"/>
        <v>10.526315789473683</v>
      </c>
      <c r="AJ294" s="73"/>
      <c r="AK294" s="76">
        <f t="shared" si="383"/>
        <v>0</v>
      </c>
      <c r="AL294" s="76">
        <f t="shared" si="384"/>
        <v>6.666666666666667</v>
      </c>
      <c r="AM294" s="76">
        <f t="shared" si="385"/>
        <v>3.125</v>
      </c>
      <c r="AN294" s="76"/>
      <c r="AO294" s="81" t="e">
        <f t="shared" si="386"/>
        <v>#DIV/0!</v>
      </c>
      <c r="AP294" s="81" t="e">
        <f t="shared" si="387"/>
        <v>#DIV/0!</v>
      </c>
      <c r="AQ294" s="81" t="e">
        <f t="shared" si="388"/>
        <v>#DIV/0!</v>
      </c>
      <c r="AR294" s="3"/>
      <c r="AS294" s="76">
        <f t="shared" si="369"/>
        <v>7.1428571428571432</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ht="15" x14ac:dyDescent="0.25">
      <c r="A295" s="8" t="s">
        <v>23</v>
      </c>
      <c r="B295" s="9" t="s">
        <v>24</v>
      </c>
      <c r="C295" s="7"/>
      <c r="D295" s="7"/>
      <c r="E295" s="7"/>
      <c r="F295" s="71"/>
      <c r="G295" s="51">
        <f t="shared" si="373"/>
        <v>0</v>
      </c>
      <c r="H295" s="52">
        <f t="shared" si="374"/>
        <v>0</v>
      </c>
      <c r="I295" s="53"/>
      <c r="J295" s="52">
        <f t="shared" si="375"/>
        <v>0</v>
      </c>
      <c r="K295" s="53"/>
      <c r="L295" s="52">
        <f t="shared" ref="L295" si="389">K295/$J$7*100</f>
        <v>0</v>
      </c>
      <c r="M295" s="23"/>
      <c r="N295" s="51">
        <f t="shared" ref="N295" si="390">P295+R295</f>
        <v>0</v>
      </c>
      <c r="O295" s="52">
        <f t="shared" ref="O295" si="391">N295/$Q$5*100</f>
        <v>0</v>
      </c>
      <c r="P295" s="53"/>
      <c r="Q295" s="52">
        <f t="shared" ref="Q295" si="392">P295/$Q$6*100</f>
        <v>0</v>
      </c>
      <c r="R295" s="53"/>
      <c r="S295" s="52">
        <f t="shared" ref="S295" si="393">R295/$Q$7*100</f>
        <v>0</v>
      </c>
      <c r="T295" s="3"/>
      <c r="U295" s="51">
        <f t="shared" ref="U295" si="394">W295+Y295</f>
        <v>0</v>
      </c>
      <c r="V295" s="52" t="e">
        <f t="shared" ref="V295" si="395">U295/$X$5*100</f>
        <v>#DIV/0!</v>
      </c>
      <c r="W295" s="53"/>
      <c r="X295" s="52" t="e">
        <f t="shared" ref="X295" si="396">W295/$X$6*100</f>
        <v>#DIV/0!</v>
      </c>
      <c r="Y295" s="53"/>
      <c r="Z295" s="52" t="e">
        <f t="shared" si="376"/>
        <v>#DIV/0!</v>
      </c>
      <c r="AA295" s="3"/>
      <c r="AB295" s="62">
        <f t="shared" si="377"/>
        <v>0</v>
      </c>
      <c r="AC295" s="52">
        <f t="shared" si="378"/>
        <v>0</v>
      </c>
      <c r="AD295" s="3"/>
      <c r="AE295" s="3"/>
      <c r="AF295" s="9" t="str">
        <f t="shared" si="379"/>
        <v>S/R Sin Respuesta</v>
      </c>
      <c r="AG295" s="72">
        <f t="shared" si="380"/>
        <v>0</v>
      </c>
      <c r="AH295" s="72">
        <f t="shared" si="381"/>
        <v>0</v>
      </c>
      <c r="AI295" s="73">
        <f t="shared" si="382"/>
        <v>0</v>
      </c>
      <c r="AJ295" s="73"/>
      <c r="AK295" s="76">
        <f t="shared" si="383"/>
        <v>0</v>
      </c>
      <c r="AL295" s="76">
        <f t="shared" si="384"/>
        <v>0</v>
      </c>
      <c r="AM295" s="76">
        <f t="shared" si="385"/>
        <v>0</v>
      </c>
      <c r="AN295" s="76"/>
      <c r="AO295" s="81" t="e">
        <f t="shared" si="386"/>
        <v>#DIV/0!</v>
      </c>
      <c r="AP295" s="81" t="e">
        <f t="shared" si="387"/>
        <v>#DIV/0!</v>
      </c>
      <c r="AQ295" s="81" t="e">
        <f t="shared" si="388"/>
        <v>#DIV/0!</v>
      </c>
      <c r="AR295" s="3"/>
      <c r="AS295" s="76">
        <f t="shared" si="369"/>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ht="15" x14ac:dyDescent="0.25">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69.444444444444443</v>
      </c>
      <c r="AH296" s="82">
        <f>($F290*K290+$F291*K291+$F292*K292+$F293*K293+$F294*K294)/(K290+K291+K292+K293+K294)</f>
        <v>50</v>
      </c>
      <c r="AI296" s="82">
        <f>($F290*G290+$F291*G291+$F292*G292+$F293*G293+$F294*G294)/(G290+G291+G292+G293+G294)</f>
        <v>60.294117647058826</v>
      </c>
      <c r="AJ296" s="82"/>
      <c r="AK296" s="82">
        <f>($F290*Q290+$F291*Q291+$F292*Q292+$F293*Q293+$F294*Q294)/(Q290+Q291+Q292+Q293+Q294)</f>
        <v>69.230769230769212</v>
      </c>
      <c r="AL296" s="82">
        <f>($F290*S290+$F291*S291+$F292*S292+$F293*S293+$F294*S294)/(S290+S291+S292+S293+S294)</f>
        <v>60.000000000000007</v>
      </c>
      <c r="AM296" s="82">
        <f>($F290*O290+$F291*O291+$F292*O292+$F293*O293+$F294*O294)/(O290+O291+O292+O293+O294)</f>
        <v>64.285714285714292</v>
      </c>
      <c r="AN296" s="82"/>
      <c r="AO296" s="82" t="e">
        <f>($F290*W290+$F291*W291+$F292*W292+$F293*W293+$F294*W294)/(W290+W291+W292+W293+W294)</f>
        <v>#DIV/0!</v>
      </c>
      <c r="AP296" s="82" t="e">
        <f>($F290*Y290+$F291*Y291+$F292*Y292+$F293*Y293+$F294*Y294)/(Y290+Y291+Y292+Y293+Y294)</f>
        <v>#DIV/0!</v>
      </c>
      <c r="AQ296" s="82" t="e">
        <f>($F290*U290+$F291*U291+$F292*U292+$F293*U293+$F294*U294)/(U290+U291+U292+U293+U294)</f>
        <v>#DIV/0!</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ht="15" x14ac:dyDescent="0.25">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ht="15" x14ac:dyDescent="0.25">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ht="15" x14ac:dyDescent="0.25">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ht="15" x14ac:dyDescent="0.25">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ht="15" x14ac:dyDescent="0.25">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ht="15" x14ac:dyDescent="0.25">
      <c r="A305" s="8" t="s">
        <v>17</v>
      </c>
      <c r="B305" s="9" t="s">
        <v>229</v>
      </c>
      <c r="C305" s="7"/>
      <c r="D305" s="7"/>
      <c r="E305" s="7"/>
      <c r="F305" s="71">
        <v>100</v>
      </c>
      <c r="G305" s="51">
        <f t="shared" ref="G305:G310" si="397">I305+K305</f>
        <v>2</v>
      </c>
      <c r="H305" s="52">
        <f t="shared" ref="H305:H310" si="398">G305/$J$5*100</f>
        <v>5.2631578947368416</v>
      </c>
      <c r="I305" s="53">
        <f>COUNTIFS('00 Encuesta'!$B$2:$B$511,"*b)*",'00 Encuesta'!$C$2:$C$511,"*a)*",'00 Encuesta'!$E$2:$E$511,"*a)*",'00 Encuesta'!$AM$2:$AM$511,"*a)*")</f>
        <v>2</v>
      </c>
      <c r="J305" s="52">
        <f t="shared" ref="J305:J310" si="399">I305/$J$6*100</f>
        <v>9.5238095238095237</v>
      </c>
      <c r="K305" s="53">
        <f>COUNTIFS('00 Encuesta'!$B$2:$B$511,"*b)*",'00 Encuesta'!$C$2:$C$511,"*a)*",'00 Encuesta'!$E$2:$E$511,"*b)*",'00 Encuesta'!$AM$2:$AM$511,"*a)*")</f>
        <v>0</v>
      </c>
      <c r="L305" s="52">
        <f t="shared" ref="L305:L310" si="400">K305/$J$7*100</f>
        <v>0</v>
      </c>
      <c r="M305" s="23"/>
      <c r="N305" s="51">
        <f t="shared" ref="N305:N310" si="401">P305+R305</f>
        <v>0</v>
      </c>
      <c r="O305" s="52">
        <f t="shared" ref="O305:O310" si="402">N305/$Q$5*100</f>
        <v>0</v>
      </c>
      <c r="P305" s="53">
        <f>COUNTIFS('00 Encuesta'!$B$2:$B$511,"*b)*",'00 Encuesta'!$C$2:$C$511,"*b)*",'00 Encuesta'!$E$2:$E$511,"*a)*",'00 Encuesta'!$AM$2:$AM$511,"*a)*")</f>
        <v>0</v>
      </c>
      <c r="Q305" s="52">
        <f t="shared" ref="Q305:Q310" si="403">P305/$Q$6*100</f>
        <v>0</v>
      </c>
      <c r="R305" s="53">
        <f>COUNTIFS('00 Encuesta'!$B$2:$B$511,"*b)*",'00 Encuesta'!$C$2:$C$511,"*b)*",'00 Encuesta'!$E$2:$E$511,"*b)*",'00 Encuesta'!$AM$2:$AM$511,"*a)*")</f>
        <v>0</v>
      </c>
      <c r="S305" s="52">
        <f t="shared" ref="S305:S310" si="404">R305/$Q$7*100</f>
        <v>0</v>
      </c>
      <c r="T305" s="3"/>
      <c r="U305" s="51">
        <f t="shared" ref="U305:U310" si="405">W305+Y305</f>
        <v>0</v>
      </c>
      <c r="V305" s="52" t="e">
        <f t="shared" ref="V305:V310" si="406">U305/$X$5*100</f>
        <v>#DIV/0!</v>
      </c>
      <c r="W305" s="53">
        <f>COUNTIFS('00 Encuesta'!$B$2:$B$511,"*b)*",'00 Encuesta'!$C$2:$C$511,"*d)*",'00 Encuesta'!$E$2:$E$511,"*a)*",'00 Encuesta'!$AM$2:$AM$511,"*a)*")</f>
        <v>0</v>
      </c>
      <c r="X305" s="52" t="e">
        <f t="shared" ref="X305:X310" si="407">W305/$X$6*100</f>
        <v>#DIV/0!</v>
      </c>
      <c r="Y305" s="53">
        <f>COUNTIFS('00 Encuesta'!$B$2:$B$511,"*b)*",'00 Encuesta'!$C$2:$C$511,"*d)*",'00 Encuesta'!$E$2:$E$511,"*b)*",'00 Encuesta'!$AM$2:$AM$511,"*a)*")</f>
        <v>0</v>
      </c>
      <c r="Z305" s="52" t="e">
        <f t="shared" ref="Z305:Z310" si="408">Y305/$X$7*100</f>
        <v>#DIV/0!</v>
      </c>
      <c r="AA305" s="3"/>
      <c r="AB305" s="62">
        <f t="shared" ref="AB305:AB310" si="409">G305+N305+U305</f>
        <v>2</v>
      </c>
      <c r="AC305" s="52">
        <f t="shared" ref="AC305:AC310" si="410">AB305*100/$AC$5</f>
        <v>2.8571428571428572</v>
      </c>
      <c r="AD305" s="3"/>
      <c r="AE305" s="3"/>
      <c r="AF305" s="9" t="str">
        <f t="shared" ref="AF305:AF310" si="411">A305&amp;" "&amp;B305</f>
        <v>a) Muy buena</v>
      </c>
      <c r="AG305" s="72">
        <f t="shared" ref="AG305:AG310" si="412">J305</f>
        <v>9.5238095238095237</v>
      </c>
      <c r="AH305" s="72">
        <f t="shared" ref="AH305:AH310" si="413">L305</f>
        <v>0</v>
      </c>
      <c r="AI305" s="73">
        <f t="shared" ref="AI305:AI310" si="414">H305</f>
        <v>5.2631578947368416</v>
      </c>
      <c r="AJ305" s="73"/>
      <c r="AK305" s="76">
        <f t="shared" ref="AK305:AK310" si="415">Q305</f>
        <v>0</v>
      </c>
      <c r="AL305" s="76">
        <f t="shared" ref="AL305:AL310" si="416">S305</f>
        <v>0</v>
      </c>
      <c r="AM305" s="76">
        <f t="shared" ref="AM305:AM310" si="417">O305</f>
        <v>0</v>
      </c>
      <c r="AN305" s="76"/>
      <c r="AO305" s="81" t="e">
        <f t="shared" ref="AO305:AO310" si="418">X305</f>
        <v>#DIV/0!</v>
      </c>
      <c r="AP305" s="81" t="e">
        <f t="shared" ref="AP305:AP310" si="419">Z305</f>
        <v>#DIV/0!</v>
      </c>
      <c r="AQ305" s="81" t="e">
        <f t="shared" ref="AQ305:AQ310" si="420">V305</f>
        <v>#DIV/0!</v>
      </c>
      <c r="AR305" s="3"/>
      <c r="AS305" s="76">
        <f t="shared" si="369"/>
        <v>2.8571428571428572</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ht="15" x14ac:dyDescent="0.25">
      <c r="A306" s="8" t="s">
        <v>18</v>
      </c>
      <c r="B306" s="9" t="s">
        <v>230</v>
      </c>
      <c r="C306" s="7"/>
      <c r="D306" s="7"/>
      <c r="E306" s="7"/>
      <c r="F306" s="71">
        <v>75</v>
      </c>
      <c r="G306" s="51">
        <f t="shared" si="397"/>
        <v>18</v>
      </c>
      <c r="H306" s="52">
        <f t="shared" si="398"/>
        <v>47.368421052631575</v>
      </c>
      <c r="I306" s="53">
        <f>COUNTIFS('00 Encuesta'!$B$2:$B$511,"*b)*",'00 Encuesta'!$C$2:$C$511,"*a)*",'00 Encuesta'!$E$2:$E$511,"*a)*",'00 Encuesta'!$AM$2:$AM$511,"*b)*")</f>
        <v>11</v>
      </c>
      <c r="J306" s="52">
        <f t="shared" si="399"/>
        <v>52.380952380952387</v>
      </c>
      <c r="K306" s="53">
        <f>COUNTIFS('00 Encuesta'!$B$2:$B$511,"*b)*",'00 Encuesta'!$C$2:$C$511,"*a)*",'00 Encuesta'!$E$2:$E$511,"*b)*",'00 Encuesta'!$AM$2:$AM$511,"*b)*")</f>
        <v>7</v>
      </c>
      <c r="L306" s="52">
        <f t="shared" si="400"/>
        <v>41.17647058823529</v>
      </c>
      <c r="M306" s="23"/>
      <c r="N306" s="51">
        <f t="shared" si="401"/>
        <v>6</v>
      </c>
      <c r="O306" s="52">
        <f t="shared" si="402"/>
        <v>18.75</v>
      </c>
      <c r="P306" s="53">
        <f>COUNTIFS('00 Encuesta'!$B$2:$B$511,"*b)*",'00 Encuesta'!$C$2:$C$511,"*b)*",'00 Encuesta'!$E$2:$E$511,"*a)*",'00 Encuesta'!$AM$2:$AM$511,"*b)*")</f>
        <v>4</v>
      </c>
      <c r="Q306" s="52">
        <f t="shared" si="403"/>
        <v>23.52941176470588</v>
      </c>
      <c r="R306" s="53">
        <f>COUNTIFS('00 Encuesta'!$B$2:$B$511,"*b)*",'00 Encuesta'!$C$2:$C$511,"*b)*",'00 Encuesta'!$E$2:$E$511,"*b)*",'00 Encuesta'!$AM$2:$AM$511,"*b)*")</f>
        <v>2</v>
      </c>
      <c r="S306" s="52">
        <f t="shared" si="404"/>
        <v>13.333333333333334</v>
      </c>
      <c r="T306" s="3"/>
      <c r="U306" s="51">
        <f t="shared" si="405"/>
        <v>0</v>
      </c>
      <c r="V306" s="52" t="e">
        <f t="shared" si="406"/>
        <v>#DIV/0!</v>
      </c>
      <c r="W306" s="53">
        <f>COUNTIFS('00 Encuesta'!$B$2:$B$511,"*b)*",'00 Encuesta'!$C$2:$C$511,"*d)*",'00 Encuesta'!$E$2:$E$511,"*a)*",'00 Encuesta'!$AM$2:$AM$511,"*b)*")</f>
        <v>0</v>
      </c>
      <c r="X306" s="52" t="e">
        <f t="shared" si="407"/>
        <v>#DIV/0!</v>
      </c>
      <c r="Y306" s="53">
        <f>COUNTIFS('00 Encuesta'!$B$2:$B$511,"*b)*",'00 Encuesta'!$C$2:$C$511,"*d)*",'00 Encuesta'!$E$2:$E$511,"*b)*",'00 Encuesta'!$AM$2:$AM$511,"*b)*")</f>
        <v>0</v>
      </c>
      <c r="Z306" s="52" t="e">
        <f t="shared" si="408"/>
        <v>#DIV/0!</v>
      </c>
      <c r="AA306" s="3"/>
      <c r="AB306" s="62">
        <f t="shared" si="409"/>
        <v>24</v>
      </c>
      <c r="AC306" s="52">
        <f t="shared" si="410"/>
        <v>34.285714285714285</v>
      </c>
      <c r="AD306" s="3"/>
      <c r="AE306" s="3"/>
      <c r="AF306" s="9" t="str">
        <f t="shared" si="411"/>
        <v>b) Buena</v>
      </c>
      <c r="AG306" s="72">
        <f t="shared" si="412"/>
        <v>52.380952380952387</v>
      </c>
      <c r="AH306" s="72">
        <f t="shared" si="413"/>
        <v>41.17647058823529</v>
      </c>
      <c r="AI306" s="73">
        <f t="shared" si="414"/>
        <v>47.368421052631575</v>
      </c>
      <c r="AJ306" s="73"/>
      <c r="AK306" s="76">
        <f t="shared" si="415"/>
        <v>23.52941176470588</v>
      </c>
      <c r="AL306" s="76">
        <f t="shared" si="416"/>
        <v>13.333333333333334</v>
      </c>
      <c r="AM306" s="76">
        <f t="shared" si="417"/>
        <v>18.75</v>
      </c>
      <c r="AN306" s="76"/>
      <c r="AO306" s="81" t="e">
        <f t="shared" si="418"/>
        <v>#DIV/0!</v>
      </c>
      <c r="AP306" s="81" t="e">
        <f t="shared" si="419"/>
        <v>#DIV/0!</v>
      </c>
      <c r="AQ306" s="81" t="e">
        <f t="shared" si="420"/>
        <v>#DIV/0!</v>
      </c>
      <c r="AR306" s="3"/>
      <c r="AS306" s="76">
        <f t="shared" si="369"/>
        <v>34.285714285714285</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ht="15" x14ac:dyDescent="0.25">
      <c r="A307" s="8" t="s">
        <v>20</v>
      </c>
      <c r="B307" s="9" t="s">
        <v>218</v>
      </c>
      <c r="C307" s="7"/>
      <c r="D307" s="7"/>
      <c r="E307" s="7"/>
      <c r="F307" s="71">
        <v>50</v>
      </c>
      <c r="G307" s="51">
        <f t="shared" si="397"/>
        <v>7</v>
      </c>
      <c r="H307" s="52">
        <f t="shared" si="398"/>
        <v>18.421052631578945</v>
      </c>
      <c r="I307" s="53">
        <f>COUNTIFS('00 Encuesta'!$B$2:$B$511,"*b)*",'00 Encuesta'!$C$2:$C$511,"*a)*",'00 Encuesta'!$E$2:$E$511,"*a)*",'00 Encuesta'!$AM$2:$AM$511,"*c)*")</f>
        <v>2</v>
      </c>
      <c r="J307" s="52">
        <f t="shared" si="399"/>
        <v>9.5238095238095237</v>
      </c>
      <c r="K307" s="53">
        <f>COUNTIFS('00 Encuesta'!$B$2:$B$511,"*b)*",'00 Encuesta'!$C$2:$C$511,"*a)*",'00 Encuesta'!$E$2:$E$511,"*b)*",'00 Encuesta'!$AM$2:$AM$511,"*c)*")</f>
        <v>5</v>
      </c>
      <c r="L307" s="52">
        <f t="shared" si="400"/>
        <v>29.411764705882355</v>
      </c>
      <c r="M307" s="23"/>
      <c r="N307" s="51">
        <f t="shared" si="401"/>
        <v>15</v>
      </c>
      <c r="O307" s="52">
        <f t="shared" si="402"/>
        <v>46.875</v>
      </c>
      <c r="P307" s="53">
        <f>COUNTIFS('00 Encuesta'!$B$2:$B$511,"*b)*",'00 Encuesta'!$C$2:$C$511,"*b)*",'00 Encuesta'!$E$2:$E$511,"*a)*",'00 Encuesta'!$AM$2:$AM$511,"*c)*")</f>
        <v>6</v>
      </c>
      <c r="Q307" s="52">
        <f t="shared" si="403"/>
        <v>35.294117647058826</v>
      </c>
      <c r="R307" s="53">
        <f>COUNTIFS('00 Encuesta'!$B$2:$B$511,"*b)*",'00 Encuesta'!$C$2:$C$511,"*b)*",'00 Encuesta'!$E$2:$E$511,"*b)*",'00 Encuesta'!$AM$2:$AM$511,"*c)*")</f>
        <v>9</v>
      </c>
      <c r="S307" s="52">
        <f t="shared" si="404"/>
        <v>60</v>
      </c>
      <c r="T307" s="3"/>
      <c r="U307" s="51">
        <f t="shared" si="405"/>
        <v>0</v>
      </c>
      <c r="V307" s="52" t="e">
        <f t="shared" si="406"/>
        <v>#DIV/0!</v>
      </c>
      <c r="W307" s="53">
        <f>COUNTIFS('00 Encuesta'!$B$2:$B$511,"*b)*",'00 Encuesta'!$C$2:$C$511,"*d)*",'00 Encuesta'!$E$2:$E$511,"*a)*",'00 Encuesta'!$AM$2:$AM$511,"*c)*")</f>
        <v>0</v>
      </c>
      <c r="X307" s="52" t="e">
        <f t="shared" si="407"/>
        <v>#DIV/0!</v>
      </c>
      <c r="Y307" s="53">
        <f>COUNTIFS('00 Encuesta'!$B$2:$B$511,"*b)*",'00 Encuesta'!$C$2:$C$511,"*d)*",'00 Encuesta'!$E$2:$E$511,"*b)*",'00 Encuesta'!$AM$2:$AM$511,"*c)*")</f>
        <v>0</v>
      </c>
      <c r="Z307" s="52" t="e">
        <f t="shared" si="408"/>
        <v>#DIV/0!</v>
      </c>
      <c r="AA307" s="3"/>
      <c r="AB307" s="62">
        <f t="shared" si="409"/>
        <v>22</v>
      </c>
      <c r="AC307" s="52">
        <f t="shared" si="410"/>
        <v>31.428571428571427</v>
      </c>
      <c r="AD307" s="3"/>
      <c r="AE307" s="3"/>
      <c r="AF307" s="9" t="str">
        <f t="shared" si="411"/>
        <v>c) Regular</v>
      </c>
      <c r="AG307" s="72">
        <f t="shared" si="412"/>
        <v>9.5238095238095237</v>
      </c>
      <c r="AH307" s="72">
        <f t="shared" si="413"/>
        <v>29.411764705882355</v>
      </c>
      <c r="AI307" s="73">
        <f t="shared" si="414"/>
        <v>18.421052631578945</v>
      </c>
      <c r="AJ307" s="73"/>
      <c r="AK307" s="76">
        <f t="shared" si="415"/>
        <v>35.294117647058826</v>
      </c>
      <c r="AL307" s="76">
        <f t="shared" si="416"/>
        <v>60</v>
      </c>
      <c r="AM307" s="76">
        <f t="shared" si="417"/>
        <v>46.875</v>
      </c>
      <c r="AN307" s="76"/>
      <c r="AO307" s="81" t="e">
        <f t="shared" si="418"/>
        <v>#DIV/0!</v>
      </c>
      <c r="AP307" s="81" t="e">
        <f t="shared" si="419"/>
        <v>#DIV/0!</v>
      </c>
      <c r="AQ307" s="81" t="e">
        <f t="shared" si="420"/>
        <v>#DIV/0!</v>
      </c>
      <c r="AR307" s="3"/>
      <c r="AS307" s="76">
        <f t="shared" si="369"/>
        <v>31.428571428571427</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ht="15" x14ac:dyDescent="0.25">
      <c r="A308" s="8" t="s">
        <v>21</v>
      </c>
      <c r="B308" s="9" t="s">
        <v>231</v>
      </c>
      <c r="C308" s="7"/>
      <c r="D308" s="7"/>
      <c r="E308" s="7"/>
      <c r="F308" s="71">
        <v>25</v>
      </c>
      <c r="G308" s="51">
        <f t="shared" si="397"/>
        <v>1</v>
      </c>
      <c r="H308" s="52">
        <f t="shared" si="398"/>
        <v>2.6315789473684208</v>
      </c>
      <c r="I308" s="53">
        <f>COUNTIFS('00 Encuesta'!$B$2:$B$511,"*b)*",'00 Encuesta'!$C$2:$C$511,"*a)*",'00 Encuesta'!$E$2:$E$511,"*a)*",'00 Encuesta'!$AM$2:$AM$511,"*d)*")</f>
        <v>1</v>
      </c>
      <c r="J308" s="52">
        <f t="shared" si="399"/>
        <v>4.7619047619047619</v>
      </c>
      <c r="K308" s="53">
        <f>COUNTIFS('00 Encuesta'!$B$2:$B$511,"*b)*",'00 Encuesta'!$C$2:$C$511,"*a)*",'00 Encuesta'!$E$2:$E$511,"*b)*",'00 Encuesta'!$AM$2:$AM$511,"*d)*")</f>
        <v>0</v>
      </c>
      <c r="L308" s="52">
        <f t="shared" si="400"/>
        <v>0</v>
      </c>
      <c r="M308" s="23"/>
      <c r="N308" s="51">
        <f t="shared" si="401"/>
        <v>1</v>
      </c>
      <c r="O308" s="52">
        <f t="shared" si="402"/>
        <v>3.125</v>
      </c>
      <c r="P308" s="53">
        <f>COUNTIFS('00 Encuesta'!$B$2:$B$511,"*b)*",'00 Encuesta'!$C$2:$C$511,"*b)*",'00 Encuesta'!$E$2:$E$511,"*a)*",'00 Encuesta'!$AM$2:$AM$511,"*d)*")</f>
        <v>1</v>
      </c>
      <c r="Q308" s="52">
        <f t="shared" si="403"/>
        <v>5.8823529411764701</v>
      </c>
      <c r="R308" s="53">
        <f>COUNTIFS('00 Encuesta'!$B$2:$B$511,"*b)*",'00 Encuesta'!$C$2:$C$511,"*b)*",'00 Encuesta'!$E$2:$E$511,"*b)*",'00 Encuesta'!$AM$2:$AM$511,"*d)*")</f>
        <v>0</v>
      </c>
      <c r="S308" s="52">
        <f t="shared" si="404"/>
        <v>0</v>
      </c>
      <c r="T308" s="3"/>
      <c r="U308" s="51">
        <f t="shared" si="405"/>
        <v>0</v>
      </c>
      <c r="V308" s="52" t="e">
        <f t="shared" si="406"/>
        <v>#DIV/0!</v>
      </c>
      <c r="W308" s="53">
        <f>COUNTIFS('00 Encuesta'!$B$2:$B$511,"*b)*",'00 Encuesta'!$C$2:$C$511,"*d)*",'00 Encuesta'!$E$2:$E$511,"*a)*",'00 Encuesta'!$AM$2:$AM$511,"*d)*")</f>
        <v>0</v>
      </c>
      <c r="X308" s="52" t="e">
        <f t="shared" si="407"/>
        <v>#DIV/0!</v>
      </c>
      <c r="Y308" s="53">
        <f>COUNTIFS('00 Encuesta'!$B$2:$B$511,"*b)*",'00 Encuesta'!$C$2:$C$511,"*d)*",'00 Encuesta'!$E$2:$E$511,"*b)*",'00 Encuesta'!$AM$2:$AM$511,"*d)*")</f>
        <v>0</v>
      </c>
      <c r="Z308" s="52" t="e">
        <f t="shared" si="408"/>
        <v>#DIV/0!</v>
      </c>
      <c r="AA308" s="3"/>
      <c r="AB308" s="62">
        <f t="shared" si="409"/>
        <v>2</v>
      </c>
      <c r="AC308" s="52">
        <f t="shared" si="410"/>
        <v>2.8571428571428572</v>
      </c>
      <c r="AD308" s="3"/>
      <c r="AE308" s="3"/>
      <c r="AF308" s="9" t="str">
        <f t="shared" si="411"/>
        <v>d) Mala</v>
      </c>
      <c r="AG308" s="72">
        <f t="shared" si="412"/>
        <v>4.7619047619047619</v>
      </c>
      <c r="AH308" s="72">
        <f t="shared" si="413"/>
        <v>0</v>
      </c>
      <c r="AI308" s="73">
        <f t="shared" si="414"/>
        <v>2.6315789473684208</v>
      </c>
      <c r="AJ308" s="73"/>
      <c r="AK308" s="76">
        <f t="shared" si="415"/>
        <v>5.8823529411764701</v>
      </c>
      <c r="AL308" s="76">
        <f t="shared" si="416"/>
        <v>0</v>
      </c>
      <c r="AM308" s="76">
        <f t="shared" si="417"/>
        <v>3.125</v>
      </c>
      <c r="AN308" s="76"/>
      <c r="AO308" s="81" t="e">
        <f t="shared" si="418"/>
        <v>#DIV/0!</v>
      </c>
      <c r="AP308" s="81" t="e">
        <f t="shared" si="419"/>
        <v>#DIV/0!</v>
      </c>
      <c r="AQ308" s="81" t="e">
        <f t="shared" si="420"/>
        <v>#DIV/0!</v>
      </c>
      <c r="AR308" s="3"/>
      <c r="AS308" s="76">
        <f t="shared" si="369"/>
        <v>2.8571428571428572</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ht="15" x14ac:dyDescent="0.25">
      <c r="A309" s="8" t="s">
        <v>22</v>
      </c>
      <c r="B309" s="9" t="s">
        <v>232</v>
      </c>
      <c r="C309" s="7"/>
      <c r="D309" s="7"/>
      <c r="E309" s="7"/>
      <c r="F309" s="71">
        <v>0</v>
      </c>
      <c r="G309" s="51">
        <f t="shared" si="397"/>
        <v>4</v>
      </c>
      <c r="H309" s="52">
        <f t="shared" si="398"/>
        <v>10.526315789473683</v>
      </c>
      <c r="I309" s="53">
        <f>COUNTIFS('00 Encuesta'!$B$2:$B$511,"*b)*",'00 Encuesta'!$C$2:$C$511,"*a)*",'00 Encuesta'!$E$2:$E$511,"*a)*",'00 Encuesta'!$AM$2:$AM$511,"*e)*")</f>
        <v>1</v>
      </c>
      <c r="J309" s="52">
        <f t="shared" si="399"/>
        <v>4.7619047619047619</v>
      </c>
      <c r="K309" s="53">
        <f>COUNTIFS('00 Encuesta'!$B$2:$B$511,"*b)*",'00 Encuesta'!$C$2:$C$511,"*a)*",'00 Encuesta'!$E$2:$E$511,"*b)*",'00 Encuesta'!$AM$2:$AM$511,"*e)*")</f>
        <v>3</v>
      </c>
      <c r="L309" s="52">
        <f t="shared" si="400"/>
        <v>17.647058823529413</v>
      </c>
      <c r="M309" s="23"/>
      <c r="N309" s="51">
        <f t="shared" si="401"/>
        <v>3</v>
      </c>
      <c r="O309" s="52">
        <f t="shared" si="402"/>
        <v>9.375</v>
      </c>
      <c r="P309" s="53">
        <f>COUNTIFS('00 Encuesta'!$B$2:$B$511,"*b)*",'00 Encuesta'!$C$2:$C$511,"*b)*",'00 Encuesta'!$E$2:$E$511,"*a)*",'00 Encuesta'!$AM$2:$AM$511,"*e)*")</f>
        <v>2</v>
      </c>
      <c r="Q309" s="52">
        <f t="shared" si="403"/>
        <v>11.76470588235294</v>
      </c>
      <c r="R309" s="53">
        <f>COUNTIFS('00 Encuesta'!$B$2:$B$511,"*b)*",'00 Encuesta'!$C$2:$C$511,"*b)*",'00 Encuesta'!$E$2:$E$511,"*b)*",'00 Encuesta'!$AM$2:$AM$511,"*e)*")</f>
        <v>1</v>
      </c>
      <c r="S309" s="52">
        <f t="shared" si="404"/>
        <v>6.666666666666667</v>
      </c>
      <c r="T309" s="3"/>
      <c r="U309" s="51">
        <f t="shared" si="405"/>
        <v>0</v>
      </c>
      <c r="V309" s="52" t="e">
        <f t="shared" si="406"/>
        <v>#DIV/0!</v>
      </c>
      <c r="W309" s="53">
        <f>COUNTIFS('00 Encuesta'!$B$2:$B$511,"*b)*",'00 Encuesta'!$C$2:$C$511,"*d)*",'00 Encuesta'!$E$2:$E$511,"*a)*",'00 Encuesta'!$AM$2:$AM$511,"*e)*")</f>
        <v>0</v>
      </c>
      <c r="X309" s="52" t="e">
        <f t="shared" si="407"/>
        <v>#DIV/0!</v>
      </c>
      <c r="Y309" s="53">
        <f>COUNTIFS('00 Encuesta'!$B$2:$B$511,"*b)*",'00 Encuesta'!$C$2:$C$511,"*d)*",'00 Encuesta'!$E$2:$E$511,"*b)*",'00 Encuesta'!$AM$2:$AM$511,"*e)*")</f>
        <v>0</v>
      </c>
      <c r="Z309" s="52" t="e">
        <f t="shared" si="408"/>
        <v>#DIV/0!</v>
      </c>
      <c r="AA309" s="3"/>
      <c r="AB309" s="62">
        <f t="shared" si="409"/>
        <v>7</v>
      </c>
      <c r="AC309" s="52">
        <f t="shared" si="410"/>
        <v>10</v>
      </c>
      <c r="AD309" s="3"/>
      <c r="AE309" s="3"/>
      <c r="AF309" s="9" t="str">
        <f t="shared" si="411"/>
        <v>e) Muy mala</v>
      </c>
      <c r="AG309" s="72">
        <f t="shared" si="412"/>
        <v>4.7619047619047619</v>
      </c>
      <c r="AH309" s="72">
        <f t="shared" si="413"/>
        <v>17.647058823529413</v>
      </c>
      <c r="AI309" s="73">
        <f t="shared" si="414"/>
        <v>10.526315789473683</v>
      </c>
      <c r="AJ309" s="73"/>
      <c r="AK309" s="76">
        <f t="shared" si="415"/>
        <v>11.76470588235294</v>
      </c>
      <c r="AL309" s="76">
        <f t="shared" si="416"/>
        <v>6.666666666666667</v>
      </c>
      <c r="AM309" s="76">
        <f t="shared" si="417"/>
        <v>9.375</v>
      </c>
      <c r="AN309" s="76"/>
      <c r="AO309" s="81" t="e">
        <f t="shared" si="418"/>
        <v>#DIV/0!</v>
      </c>
      <c r="AP309" s="81" t="e">
        <f t="shared" si="419"/>
        <v>#DIV/0!</v>
      </c>
      <c r="AQ309" s="81" t="e">
        <f t="shared" si="420"/>
        <v>#DIV/0!</v>
      </c>
      <c r="AR309" s="3"/>
      <c r="AS309" s="76">
        <f t="shared" si="369"/>
        <v>10</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ht="15" x14ac:dyDescent="0.25">
      <c r="A310" s="8" t="s">
        <v>45</v>
      </c>
      <c r="B310" s="9" t="s">
        <v>233</v>
      </c>
      <c r="C310" s="7"/>
      <c r="D310" s="7"/>
      <c r="E310" s="7"/>
      <c r="F310" s="71"/>
      <c r="G310" s="51">
        <f t="shared" si="397"/>
        <v>3</v>
      </c>
      <c r="H310" s="52">
        <f t="shared" si="398"/>
        <v>7.8947368421052628</v>
      </c>
      <c r="I310" s="53">
        <f>COUNTIFS('00 Encuesta'!$B$2:$B$511,"*b)*",'00 Encuesta'!$C$2:$C$511,"*a)*",'00 Encuesta'!$E$2:$E$511,"*a)*",'00 Encuesta'!$AM$2:$AM$511,"*f)*")</f>
        <v>2</v>
      </c>
      <c r="J310" s="52">
        <f t="shared" si="399"/>
        <v>9.5238095238095237</v>
      </c>
      <c r="K310" s="53">
        <f>COUNTIFS('00 Encuesta'!$B$2:$B$511,"*b)*",'00 Encuesta'!$C$2:$C$511,"*a)*",'00 Encuesta'!$E$2:$E$511,"*b)*",'00 Encuesta'!$AM$2:$AM$511,"*f)*")</f>
        <v>1</v>
      </c>
      <c r="L310" s="52">
        <f t="shared" si="400"/>
        <v>5.8823529411764701</v>
      </c>
      <c r="M310" s="23"/>
      <c r="N310" s="51">
        <f t="shared" si="401"/>
        <v>3</v>
      </c>
      <c r="O310" s="52">
        <f t="shared" si="402"/>
        <v>9.375</v>
      </c>
      <c r="P310" s="53">
        <f>COUNTIFS('00 Encuesta'!$B$2:$B$511,"*b)*",'00 Encuesta'!$C$2:$C$511,"*b)*",'00 Encuesta'!$E$2:$E$511,"*a)*",'00 Encuesta'!$AM$2:$AM$511,"*f)*")</f>
        <v>0</v>
      </c>
      <c r="Q310" s="52">
        <f t="shared" si="403"/>
        <v>0</v>
      </c>
      <c r="R310" s="53">
        <f>COUNTIFS('00 Encuesta'!$B$2:$B$511,"*b)*",'00 Encuesta'!$C$2:$C$511,"*b)*",'00 Encuesta'!$E$2:$E$511,"*b)*",'00 Encuesta'!$AM$2:$AM$511,"*f)*")</f>
        <v>3</v>
      </c>
      <c r="S310" s="52">
        <f t="shared" si="404"/>
        <v>20</v>
      </c>
      <c r="T310" s="3"/>
      <c r="U310" s="51">
        <f t="shared" si="405"/>
        <v>0</v>
      </c>
      <c r="V310" s="52" t="e">
        <f t="shared" si="406"/>
        <v>#DIV/0!</v>
      </c>
      <c r="W310" s="53">
        <f>COUNTIFS('00 Encuesta'!$B$2:$B$511,"*b)*",'00 Encuesta'!$C$2:$C$511,"*d)*",'00 Encuesta'!$E$2:$E$511,"*a)*",'00 Encuesta'!$AM$2:$AM$511,"*f)*")</f>
        <v>0</v>
      </c>
      <c r="X310" s="52" t="e">
        <f t="shared" si="407"/>
        <v>#DIV/0!</v>
      </c>
      <c r="Y310" s="53">
        <f>COUNTIFS('00 Encuesta'!$B$2:$B$511,"*b)*",'00 Encuesta'!$C$2:$C$511,"*d)*",'00 Encuesta'!$E$2:$E$511,"*b)*",'00 Encuesta'!$AM$2:$AM$511,"*f)*")</f>
        <v>0</v>
      </c>
      <c r="Z310" s="52" t="e">
        <f t="shared" si="408"/>
        <v>#DIV/0!</v>
      </c>
      <c r="AA310" s="3"/>
      <c r="AB310" s="62">
        <f t="shared" si="409"/>
        <v>6</v>
      </c>
      <c r="AC310" s="52">
        <f t="shared" si="410"/>
        <v>8.5714285714285712</v>
      </c>
      <c r="AD310" s="3"/>
      <c r="AE310" s="3"/>
      <c r="AF310" s="9" t="str">
        <f t="shared" si="411"/>
        <v>f) No aplica</v>
      </c>
      <c r="AG310" s="72">
        <f t="shared" si="412"/>
        <v>9.5238095238095237</v>
      </c>
      <c r="AH310" s="72">
        <f t="shared" si="413"/>
        <v>5.8823529411764701</v>
      </c>
      <c r="AI310" s="73">
        <f t="shared" si="414"/>
        <v>7.8947368421052628</v>
      </c>
      <c r="AJ310" s="73"/>
      <c r="AK310" s="76">
        <f t="shared" si="415"/>
        <v>0</v>
      </c>
      <c r="AL310" s="76">
        <f t="shared" si="416"/>
        <v>20</v>
      </c>
      <c r="AM310" s="76">
        <f t="shared" si="417"/>
        <v>9.375</v>
      </c>
      <c r="AN310" s="76"/>
      <c r="AO310" s="81" t="e">
        <f t="shared" si="418"/>
        <v>#DIV/0!</v>
      </c>
      <c r="AP310" s="81" t="e">
        <f t="shared" si="419"/>
        <v>#DIV/0!</v>
      </c>
      <c r="AQ310" s="81" t="e">
        <f t="shared" si="420"/>
        <v>#DIV/0!</v>
      </c>
      <c r="AR310" s="3"/>
      <c r="AS310" s="76">
        <f t="shared" si="369"/>
        <v>8.5714285714285712</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ht="15" x14ac:dyDescent="0.25">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67.647058823529406</v>
      </c>
      <c r="AH311" s="82">
        <f>($F305*K305+$F306*K306+$F307*K307+$F308*K308+$F309*K309)/(K305+K306+K307+K308+K309)</f>
        <v>51.666666666666664</v>
      </c>
      <c r="AI311" s="82">
        <f>($F305*G305+$F306*G306+$F307*G307+$F308*G308+$F309*G309)/(G305+G306+G307+G308+G309)</f>
        <v>60.15625</v>
      </c>
      <c r="AJ311" s="82"/>
      <c r="AK311" s="82">
        <f>($F305*Q305+$F306*Q306+$F307*Q307+$F308*Q308+$F309*Q309)/(Q305+Q306+Q307+Q308+Q309)</f>
        <v>48.076923076923073</v>
      </c>
      <c r="AL311" s="82">
        <f>($F305*S305+$F306*S306+$F307*S307+$F308*S308+$F309*S309)/(S305+S306+S307+S308+S309)</f>
        <v>50</v>
      </c>
      <c r="AM311" s="82">
        <f>($F305*O305+$F306*O306+$F307*O307+$F308*O308+$F309*O309)/(O305+O306+O307+O308+O309)</f>
        <v>49</v>
      </c>
      <c r="AN311" s="82"/>
      <c r="AO311" s="82" t="e">
        <f>($F305*W305+$F306*W306+$F307*W307+$F308*W308+$F309*W309)/(W305+W306+W307+W308+W309)</f>
        <v>#DIV/0!</v>
      </c>
      <c r="AP311" s="82" t="e">
        <f>($F305*Y305+$F306*Y306+$F307*Y307+$F308*Y308+$F309*Y309)/(Y305+Y306+Y307+Y308+Y309)</f>
        <v>#DIV/0!</v>
      </c>
      <c r="AQ311" s="82" t="e">
        <f>($F305*U305+$F306*U306+$F307*U307+$F308*U308+$F309*U309)/(U305+U306+U307+U308+U309)</f>
        <v>#DIV/0!</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ht="15" x14ac:dyDescent="0.25">
      <c r="A313" s="8" t="s">
        <v>17</v>
      </c>
      <c r="B313" s="9" t="s">
        <v>229</v>
      </c>
      <c r="C313" s="7"/>
      <c r="D313" s="7"/>
      <c r="E313" s="7"/>
      <c r="F313" s="71">
        <v>100</v>
      </c>
      <c r="G313" s="51">
        <f t="shared" ref="G313:G318" si="421">I313+K313</f>
        <v>4</v>
      </c>
      <c r="H313" s="52">
        <f t="shared" ref="H313:H318" si="422">G313/$J$5*100</f>
        <v>10.526315789473683</v>
      </c>
      <c r="I313" s="53">
        <f>COUNTIFS('00 Encuesta'!$B$2:$B$511,"*b)*",'00 Encuesta'!$C$2:$C$511,"*a)*",'00 Encuesta'!$E$2:$E$511,"*a)*",'00 Encuesta'!$AN$2:$AN$511,"*a)*")</f>
        <v>3</v>
      </c>
      <c r="J313" s="52">
        <f t="shared" ref="J313:J318" si="423">I313/$J$6*100</f>
        <v>14.285714285714285</v>
      </c>
      <c r="K313" s="53">
        <f>COUNTIFS('00 Encuesta'!$B$2:$B$511,"*b)*",'00 Encuesta'!$C$2:$C$511,"*a)*",'00 Encuesta'!$E$2:$E$511,"*b)*",'00 Encuesta'!$AN$2:$AN$511,"*a)*")</f>
        <v>1</v>
      </c>
      <c r="L313" s="52">
        <f t="shared" ref="L313:L318" si="424">K313/$J$7*100</f>
        <v>5.8823529411764701</v>
      </c>
      <c r="M313" s="23"/>
      <c r="N313" s="51">
        <f t="shared" ref="N313:N318" si="425">P313+R313</f>
        <v>0</v>
      </c>
      <c r="O313" s="52">
        <f t="shared" ref="O313:O318" si="426">N313/$Q$5*100</f>
        <v>0</v>
      </c>
      <c r="P313" s="53">
        <f>COUNTIFS('00 Encuesta'!$B$2:$B$511,"*b)*",'00 Encuesta'!$C$2:$C$511,"*b)*",'00 Encuesta'!$E$2:$E$511,"*a)*",'00 Encuesta'!$AN$2:$AN$511,"*a)*")</f>
        <v>0</v>
      </c>
      <c r="Q313" s="52">
        <f t="shared" ref="Q313:Q318" si="427">P313/$Q$6*100</f>
        <v>0</v>
      </c>
      <c r="R313" s="53">
        <f>COUNTIFS('00 Encuesta'!$B$2:$B$511,"*b)*",'00 Encuesta'!$C$2:$C$511,"*b)*",'00 Encuesta'!$E$2:$E$511,"*b)*",'00 Encuesta'!$AN$2:$AN$511,"*a)*")</f>
        <v>0</v>
      </c>
      <c r="S313" s="52">
        <f t="shared" ref="S313:S318" si="428">R313/$Q$7*100</f>
        <v>0</v>
      </c>
      <c r="T313" s="3"/>
      <c r="U313" s="51">
        <f t="shared" ref="U313:U318" si="429">W313+Y313</f>
        <v>0</v>
      </c>
      <c r="V313" s="52" t="e">
        <f t="shared" ref="V313:V318" si="430">U313/$X$5*100</f>
        <v>#DIV/0!</v>
      </c>
      <c r="W313" s="53">
        <f>COUNTIFS('00 Encuesta'!$B$2:$B$511,"*b)*",'00 Encuesta'!$C$2:$C$511,"*d)*",'00 Encuesta'!$E$2:$E$511,"*a)*",'00 Encuesta'!$AN$2:$AN$511,"*a)*")</f>
        <v>0</v>
      </c>
      <c r="X313" s="52" t="e">
        <f t="shared" ref="X313:X318" si="431">W313/$X$6*100</f>
        <v>#DIV/0!</v>
      </c>
      <c r="Y313" s="53">
        <f>COUNTIFS('00 Encuesta'!$B$2:$B$511,"*b)*",'00 Encuesta'!$C$2:$C$511,"*d)*",'00 Encuesta'!$E$2:$E$511,"*b)*",'00 Encuesta'!$AN$2:$AN$511,"*a)*")</f>
        <v>0</v>
      </c>
      <c r="Z313" s="52" t="e">
        <f t="shared" ref="Z313:Z318" si="432">Y313/$X$7*100</f>
        <v>#DIV/0!</v>
      </c>
      <c r="AA313" s="3"/>
      <c r="AB313" s="62">
        <f t="shared" ref="AB313:AB318" si="433">G313+N313+U313</f>
        <v>4</v>
      </c>
      <c r="AC313" s="52">
        <f t="shared" ref="AC313:AC318" si="434">AB313*100/$AC$5</f>
        <v>5.7142857142857144</v>
      </c>
      <c r="AD313" s="3"/>
      <c r="AE313" s="3"/>
      <c r="AF313" s="9" t="str">
        <f t="shared" ref="AF313:AF318" si="435">A313&amp;" "&amp;B313</f>
        <v>a) Muy buena</v>
      </c>
      <c r="AG313" s="72">
        <f t="shared" ref="AG313:AG318" si="436">J313</f>
        <v>14.285714285714285</v>
      </c>
      <c r="AH313" s="72">
        <f t="shared" ref="AH313:AH318" si="437">L313</f>
        <v>5.8823529411764701</v>
      </c>
      <c r="AI313" s="73">
        <f t="shared" ref="AI313:AI318" si="438">H313</f>
        <v>10.526315789473683</v>
      </c>
      <c r="AJ313" s="73"/>
      <c r="AK313" s="76">
        <f t="shared" ref="AK313:AK318" si="439">Q313</f>
        <v>0</v>
      </c>
      <c r="AL313" s="76">
        <f t="shared" ref="AL313:AL318" si="440">S313</f>
        <v>0</v>
      </c>
      <c r="AM313" s="76">
        <f t="shared" ref="AM313:AM318" si="441">O313</f>
        <v>0</v>
      </c>
      <c r="AN313" s="76"/>
      <c r="AO313" s="81" t="e">
        <f t="shared" ref="AO313:AO318" si="442">X313</f>
        <v>#DIV/0!</v>
      </c>
      <c r="AP313" s="81" t="e">
        <f t="shared" ref="AP313:AP318" si="443">Z313</f>
        <v>#DIV/0!</v>
      </c>
      <c r="AQ313" s="81" t="e">
        <f t="shared" ref="AQ313:AQ318" si="444">V313</f>
        <v>#DIV/0!</v>
      </c>
      <c r="AR313" s="3"/>
      <c r="AS313" s="76">
        <f t="shared" ref="AS313:AS318" si="445">AC313</f>
        <v>5.7142857142857144</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ht="15" x14ac:dyDescent="0.25">
      <c r="A314" s="8" t="s">
        <v>18</v>
      </c>
      <c r="B314" s="9" t="s">
        <v>230</v>
      </c>
      <c r="C314" s="7"/>
      <c r="D314" s="7"/>
      <c r="E314" s="7"/>
      <c r="F314" s="71">
        <v>75</v>
      </c>
      <c r="G314" s="51">
        <f t="shared" si="421"/>
        <v>15</v>
      </c>
      <c r="H314" s="52">
        <f t="shared" si="422"/>
        <v>39.473684210526315</v>
      </c>
      <c r="I314" s="53">
        <f>COUNTIFS('00 Encuesta'!$B$2:$B$511,"*b)*",'00 Encuesta'!$C$2:$C$511,"*a)*",'00 Encuesta'!$E$2:$E$511,"*a)*",'00 Encuesta'!$AN$2:$AN$511,"*b)*")</f>
        <v>8</v>
      </c>
      <c r="J314" s="52">
        <f t="shared" si="423"/>
        <v>38.095238095238095</v>
      </c>
      <c r="K314" s="53">
        <f>COUNTIFS('00 Encuesta'!$B$2:$B$511,"*b)*",'00 Encuesta'!$C$2:$C$511,"*a)*",'00 Encuesta'!$E$2:$E$511,"*b)*",'00 Encuesta'!$AN$2:$AN$511,"*b)*")</f>
        <v>7</v>
      </c>
      <c r="L314" s="52">
        <f t="shared" si="424"/>
        <v>41.17647058823529</v>
      </c>
      <c r="M314" s="23"/>
      <c r="N314" s="51">
        <f t="shared" si="425"/>
        <v>6</v>
      </c>
      <c r="O314" s="52">
        <f t="shared" si="426"/>
        <v>18.75</v>
      </c>
      <c r="P314" s="53">
        <f>COUNTIFS('00 Encuesta'!$B$2:$B$511,"*b)*",'00 Encuesta'!$C$2:$C$511,"*b)*",'00 Encuesta'!$E$2:$E$511,"*a)*",'00 Encuesta'!$AN$2:$AN$511,"*b)*")</f>
        <v>4</v>
      </c>
      <c r="Q314" s="52">
        <f t="shared" si="427"/>
        <v>23.52941176470588</v>
      </c>
      <c r="R314" s="53">
        <f>COUNTIFS('00 Encuesta'!$B$2:$B$511,"*b)*",'00 Encuesta'!$C$2:$C$511,"*b)*",'00 Encuesta'!$E$2:$E$511,"*b)*",'00 Encuesta'!$AN$2:$AN$511,"*b)*")</f>
        <v>2</v>
      </c>
      <c r="S314" s="52">
        <f t="shared" si="428"/>
        <v>13.333333333333334</v>
      </c>
      <c r="T314" s="3"/>
      <c r="U314" s="51">
        <f t="shared" si="429"/>
        <v>0</v>
      </c>
      <c r="V314" s="52" t="e">
        <f t="shared" si="430"/>
        <v>#DIV/0!</v>
      </c>
      <c r="W314" s="53">
        <f>COUNTIFS('00 Encuesta'!$B$2:$B$511,"*b)*",'00 Encuesta'!$C$2:$C$511,"*d)*",'00 Encuesta'!$E$2:$E$511,"*a)*",'00 Encuesta'!$AN$2:$AN$511,"*b)*")</f>
        <v>0</v>
      </c>
      <c r="X314" s="52" t="e">
        <f t="shared" si="431"/>
        <v>#DIV/0!</v>
      </c>
      <c r="Y314" s="53">
        <f>COUNTIFS('00 Encuesta'!$B$2:$B$511,"*b)*",'00 Encuesta'!$C$2:$C$511,"*d)*",'00 Encuesta'!$E$2:$E$511,"*b)*",'00 Encuesta'!$AN$2:$AN$511,"*b)*")</f>
        <v>0</v>
      </c>
      <c r="Z314" s="52" t="e">
        <f t="shared" si="432"/>
        <v>#DIV/0!</v>
      </c>
      <c r="AA314" s="3"/>
      <c r="AB314" s="62">
        <f t="shared" si="433"/>
        <v>21</v>
      </c>
      <c r="AC314" s="52">
        <f t="shared" si="434"/>
        <v>30</v>
      </c>
      <c r="AD314" s="3"/>
      <c r="AE314" s="3"/>
      <c r="AF314" s="9" t="str">
        <f t="shared" si="435"/>
        <v>b) Buena</v>
      </c>
      <c r="AG314" s="72">
        <f t="shared" si="436"/>
        <v>38.095238095238095</v>
      </c>
      <c r="AH314" s="72">
        <f t="shared" si="437"/>
        <v>41.17647058823529</v>
      </c>
      <c r="AI314" s="73">
        <f t="shared" si="438"/>
        <v>39.473684210526315</v>
      </c>
      <c r="AJ314" s="73"/>
      <c r="AK314" s="76">
        <f t="shared" si="439"/>
        <v>23.52941176470588</v>
      </c>
      <c r="AL314" s="76">
        <f t="shared" si="440"/>
        <v>13.333333333333334</v>
      </c>
      <c r="AM314" s="76">
        <f t="shared" si="441"/>
        <v>18.75</v>
      </c>
      <c r="AN314" s="76"/>
      <c r="AO314" s="81" t="e">
        <f t="shared" si="442"/>
        <v>#DIV/0!</v>
      </c>
      <c r="AP314" s="81" t="e">
        <f t="shared" si="443"/>
        <v>#DIV/0!</v>
      </c>
      <c r="AQ314" s="81" t="e">
        <f t="shared" si="444"/>
        <v>#DIV/0!</v>
      </c>
      <c r="AR314" s="3"/>
      <c r="AS314" s="76">
        <f t="shared" si="445"/>
        <v>30</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ht="15" x14ac:dyDescent="0.25">
      <c r="A315" s="8" t="s">
        <v>20</v>
      </c>
      <c r="B315" s="9" t="s">
        <v>218</v>
      </c>
      <c r="C315" s="7"/>
      <c r="D315" s="7"/>
      <c r="E315" s="7"/>
      <c r="F315" s="71">
        <v>50</v>
      </c>
      <c r="G315" s="51">
        <f t="shared" si="421"/>
        <v>9</v>
      </c>
      <c r="H315" s="52">
        <f t="shared" si="422"/>
        <v>23.684210526315788</v>
      </c>
      <c r="I315" s="53">
        <f>COUNTIFS('00 Encuesta'!$B$2:$B$511,"*b)*",'00 Encuesta'!$C$2:$C$511,"*a)*",'00 Encuesta'!$E$2:$E$511,"*a)*",'00 Encuesta'!$AN$2:$AN$511,"*c)*")</f>
        <v>5</v>
      </c>
      <c r="J315" s="52">
        <f t="shared" si="423"/>
        <v>23.809523809523807</v>
      </c>
      <c r="K315" s="53">
        <f>COUNTIFS('00 Encuesta'!$B$2:$B$511,"*b)*",'00 Encuesta'!$C$2:$C$511,"*a)*",'00 Encuesta'!$E$2:$E$511,"*b)*",'00 Encuesta'!$AN$2:$AN$511,"*c)*")</f>
        <v>4</v>
      </c>
      <c r="L315" s="52">
        <f t="shared" si="424"/>
        <v>23.52941176470588</v>
      </c>
      <c r="M315" s="23"/>
      <c r="N315" s="51">
        <f t="shared" si="425"/>
        <v>13</v>
      </c>
      <c r="O315" s="52">
        <f t="shared" si="426"/>
        <v>40.625</v>
      </c>
      <c r="P315" s="53">
        <f>COUNTIFS('00 Encuesta'!$B$2:$B$511,"*b)*",'00 Encuesta'!$C$2:$C$511,"*b)*",'00 Encuesta'!$E$2:$E$511,"*a)*",'00 Encuesta'!$AN$2:$AN$511,"*c)*")</f>
        <v>5</v>
      </c>
      <c r="Q315" s="52">
        <f t="shared" si="427"/>
        <v>29.411764705882355</v>
      </c>
      <c r="R315" s="53">
        <f>COUNTIFS('00 Encuesta'!$B$2:$B$511,"*b)*",'00 Encuesta'!$C$2:$C$511,"*b)*",'00 Encuesta'!$E$2:$E$511,"*b)*",'00 Encuesta'!$AN$2:$AN$511,"*c)*")</f>
        <v>8</v>
      </c>
      <c r="S315" s="52">
        <f t="shared" si="428"/>
        <v>53.333333333333336</v>
      </c>
      <c r="T315" s="3"/>
      <c r="U315" s="51">
        <f t="shared" si="429"/>
        <v>0</v>
      </c>
      <c r="V315" s="52" t="e">
        <f t="shared" si="430"/>
        <v>#DIV/0!</v>
      </c>
      <c r="W315" s="53">
        <f>COUNTIFS('00 Encuesta'!$B$2:$B$511,"*b)*",'00 Encuesta'!$C$2:$C$511,"*d)*",'00 Encuesta'!$E$2:$E$511,"*a)*",'00 Encuesta'!$AN$2:$AN$511,"*c)*")</f>
        <v>0</v>
      </c>
      <c r="X315" s="52" t="e">
        <f t="shared" si="431"/>
        <v>#DIV/0!</v>
      </c>
      <c r="Y315" s="53">
        <f>COUNTIFS('00 Encuesta'!$B$2:$B$511,"*b)*",'00 Encuesta'!$C$2:$C$511,"*d)*",'00 Encuesta'!$E$2:$E$511,"*b)*",'00 Encuesta'!$AN$2:$AN$511,"*c)*")</f>
        <v>0</v>
      </c>
      <c r="Z315" s="52" t="e">
        <f t="shared" si="432"/>
        <v>#DIV/0!</v>
      </c>
      <c r="AA315" s="3"/>
      <c r="AB315" s="62">
        <f t="shared" si="433"/>
        <v>22</v>
      </c>
      <c r="AC315" s="52">
        <f t="shared" si="434"/>
        <v>31.428571428571427</v>
      </c>
      <c r="AD315" s="3"/>
      <c r="AE315" s="3"/>
      <c r="AF315" s="9" t="str">
        <f t="shared" si="435"/>
        <v>c) Regular</v>
      </c>
      <c r="AG315" s="72">
        <f t="shared" si="436"/>
        <v>23.809523809523807</v>
      </c>
      <c r="AH315" s="72">
        <f t="shared" si="437"/>
        <v>23.52941176470588</v>
      </c>
      <c r="AI315" s="73">
        <f t="shared" si="438"/>
        <v>23.684210526315788</v>
      </c>
      <c r="AJ315" s="73"/>
      <c r="AK315" s="76">
        <f t="shared" si="439"/>
        <v>29.411764705882355</v>
      </c>
      <c r="AL315" s="76">
        <f t="shared" si="440"/>
        <v>53.333333333333336</v>
      </c>
      <c r="AM315" s="76">
        <f t="shared" si="441"/>
        <v>40.625</v>
      </c>
      <c r="AN315" s="76"/>
      <c r="AO315" s="81" t="e">
        <f t="shared" si="442"/>
        <v>#DIV/0!</v>
      </c>
      <c r="AP315" s="81" t="e">
        <f t="shared" si="443"/>
        <v>#DIV/0!</v>
      </c>
      <c r="AQ315" s="81" t="e">
        <f t="shared" si="444"/>
        <v>#DIV/0!</v>
      </c>
      <c r="AR315" s="3"/>
      <c r="AS315" s="76">
        <f t="shared" si="445"/>
        <v>31.428571428571427</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ht="15" x14ac:dyDescent="0.25">
      <c r="A316" s="8" t="s">
        <v>21</v>
      </c>
      <c r="B316" s="9" t="s">
        <v>231</v>
      </c>
      <c r="C316" s="7"/>
      <c r="D316" s="7"/>
      <c r="E316" s="7"/>
      <c r="F316" s="71">
        <v>25</v>
      </c>
      <c r="G316" s="51">
        <f t="shared" si="421"/>
        <v>0</v>
      </c>
      <c r="H316" s="52">
        <f t="shared" si="422"/>
        <v>0</v>
      </c>
      <c r="I316" s="53">
        <f>COUNTIFS('00 Encuesta'!$B$2:$B$511,"*b)*",'00 Encuesta'!$C$2:$C$511,"*a)*",'00 Encuesta'!$E$2:$E$511,"*a)*",'00 Encuesta'!$AN$2:$AN$511,"*d)*")</f>
        <v>0</v>
      </c>
      <c r="J316" s="52">
        <f t="shared" si="423"/>
        <v>0</v>
      </c>
      <c r="K316" s="53">
        <f>COUNTIFS('00 Encuesta'!$B$2:$B$511,"*b)*",'00 Encuesta'!$C$2:$C$511,"*a)*",'00 Encuesta'!$E$2:$E$511,"*b)*",'00 Encuesta'!$AN$2:$AN$511,"*d)*")</f>
        <v>0</v>
      </c>
      <c r="L316" s="52">
        <f t="shared" si="424"/>
        <v>0</v>
      </c>
      <c r="M316" s="23"/>
      <c r="N316" s="51">
        <f t="shared" si="425"/>
        <v>3</v>
      </c>
      <c r="O316" s="52">
        <f t="shared" si="426"/>
        <v>9.375</v>
      </c>
      <c r="P316" s="53">
        <f>COUNTIFS('00 Encuesta'!$B$2:$B$511,"*b)*",'00 Encuesta'!$C$2:$C$511,"*b)*",'00 Encuesta'!$E$2:$E$511,"*a)*",'00 Encuesta'!$AN$2:$AN$511,"*d)*")</f>
        <v>2</v>
      </c>
      <c r="Q316" s="52">
        <f t="shared" si="427"/>
        <v>11.76470588235294</v>
      </c>
      <c r="R316" s="53">
        <f>COUNTIFS('00 Encuesta'!$B$2:$B$511,"*b)*",'00 Encuesta'!$C$2:$C$511,"*b)*",'00 Encuesta'!$E$2:$E$511,"*b)*",'00 Encuesta'!$AN$2:$AN$511,"*d)*")</f>
        <v>1</v>
      </c>
      <c r="S316" s="52">
        <f t="shared" si="428"/>
        <v>6.666666666666667</v>
      </c>
      <c r="T316" s="3"/>
      <c r="U316" s="51">
        <f t="shared" si="429"/>
        <v>0</v>
      </c>
      <c r="V316" s="52" t="e">
        <f t="shared" si="430"/>
        <v>#DIV/0!</v>
      </c>
      <c r="W316" s="53">
        <f>COUNTIFS('00 Encuesta'!$B$2:$B$511,"*b)*",'00 Encuesta'!$C$2:$C$511,"*d)*",'00 Encuesta'!$E$2:$E$511,"*a)*",'00 Encuesta'!$AN$2:$AN$511,"*d)*")</f>
        <v>0</v>
      </c>
      <c r="X316" s="52" t="e">
        <f t="shared" si="431"/>
        <v>#DIV/0!</v>
      </c>
      <c r="Y316" s="53">
        <f>COUNTIFS('00 Encuesta'!$B$2:$B$511,"*b)*",'00 Encuesta'!$C$2:$C$511,"*d)*",'00 Encuesta'!$E$2:$E$511,"*b)*",'00 Encuesta'!$AN$2:$AN$511,"*d)*")</f>
        <v>0</v>
      </c>
      <c r="Z316" s="52" t="e">
        <f t="shared" si="432"/>
        <v>#DIV/0!</v>
      </c>
      <c r="AA316" s="3"/>
      <c r="AB316" s="62">
        <f t="shared" si="433"/>
        <v>3</v>
      </c>
      <c r="AC316" s="52">
        <f t="shared" si="434"/>
        <v>4.2857142857142856</v>
      </c>
      <c r="AD316" s="3"/>
      <c r="AE316" s="3"/>
      <c r="AF316" s="9" t="str">
        <f t="shared" si="435"/>
        <v>d) Mala</v>
      </c>
      <c r="AG316" s="72">
        <f t="shared" si="436"/>
        <v>0</v>
      </c>
      <c r="AH316" s="72">
        <f t="shared" si="437"/>
        <v>0</v>
      </c>
      <c r="AI316" s="73">
        <f t="shared" si="438"/>
        <v>0</v>
      </c>
      <c r="AJ316" s="73"/>
      <c r="AK316" s="76">
        <f t="shared" si="439"/>
        <v>11.76470588235294</v>
      </c>
      <c r="AL316" s="76">
        <f t="shared" si="440"/>
        <v>6.666666666666667</v>
      </c>
      <c r="AM316" s="76">
        <f t="shared" si="441"/>
        <v>9.375</v>
      </c>
      <c r="AN316" s="76"/>
      <c r="AO316" s="81" t="e">
        <f t="shared" si="442"/>
        <v>#DIV/0!</v>
      </c>
      <c r="AP316" s="81" t="e">
        <f t="shared" si="443"/>
        <v>#DIV/0!</v>
      </c>
      <c r="AQ316" s="81" t="e">
        <f t="shared" si="444"/>
        <v>#DIV/0!</v>
      </c>
      <c r="AR316" s="3"/>
      <c r="AS316" s="76">
        <f t="shared" si="445"/>
        <v>4.2857142857142856</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ht="15" x14ac:dyDescent="0.25">
      <c r="A317" s="8" t="s">
        <v>22</v>
      </c>
      <c r="B317" s="9" t="s">
        <v>232</v>
      </c>
      <c r="C317" s="7"/>
      <c r="D317" s="7"/>
      <c r="E317" s="7"/>
      <c r="F317" s="71">
        <v>0</v>
      </c>
      <c r="G317" s="51">
        <f t="shared" si="421"/>
        <v>5</v>
      </c>
      <c r="H317" s="52">
        <f t="shared" si="422"/>
        <v>13.157894736842104</v>
      </c>
      <c r="I317" s="53">
        <f>COUNTIFS('00 Encuesta'!$B$2:$B$511,"*b)*",'00 Encuesta'!$C$2:$C$511,"*a)*",'00 Encuesta'!$E$2:$E$511,"*a)*",'00 Encuesta'!$AN$2:$AN$511,"*e)*")</f>
        <v>2</v>
      </c>
      <c r="J317" s="52">
        <f t="shared" si="423"/>
        <v>9.5238095238095237</v>
      </c>
      <c r="K317" s="53">
        <f>COUNTIFS('00 Encuesta'!$B$2:$B$511,"*b)*",'00 Encuesta'!$C$2:$C$511,"*a)*",'00 Encuesta'!$E$2:$E$511,"*b)*",'00 Encuesta'!$AN$2:$AN$511,"*e)*")</f>
        <v>3</v>
      </c>
      <c r="L317" s="52">
        <f t="shared" si="424"/>
        <v>17.647058823529413</v>
      </c>
      <c r="M317" s="23"/>
      <c r="N317" s="51">
        <f t="shared" si="425"/>
        <v>2</v>
      </c>
      <c r="O317" s="52">
        <f t="shared" si="426"/>
        <v>6.25</v>
      </c>
      <c r="P317" s="53">
        <f>COUNTIFS('00 Encuesta'!$B$2:$B$511,"*b)*",'00 Encuesta'!$C$2:$C$511,"*b)*",'00 Encuesta'!$E$2:$E$511,"*a)*",'00 Encuesta'!$AN$2:$AN$511,"*e)*")</f>
        <v>1</v>
      </c>
      <c r="Q317" s="52">
        <f t="shared" si="427"/>
        <v>5.8823529411764701</v>
      </c>
      <c r="R317" s="53">
        <f>COUNTIFS('00 Encuesta'!$B$2:$B$511,"*b)*",'00 Encuesta'!$C$2:$C$511,"*b)*",'00 Encuesta'!$E$2:$E$511,"*b)*",'00 Encuesta'!$AN$2:$AN$511,"*e)*")</f>
        <v>1</v>
      </c>
      <c r="S317" s="52">
        <f t="shared" si="428"/>
        <v>6.666666666666667</v>
      </c>
      <c r="T317" s="3"/>
      <c r="U317" s="51">
        <f t="shared" si="429"/>
        <v>0</v>
      </c>
      <c r="V317" s="52" t="e">
        <f t="shared" si="430"/>
        <v>#DIV/0!</v>
      </c>
      <c r="W317" s="53">
        <f>COUNTIFS('00 Encuesta'!$B$2:$B$511,"*b)*",'00 Encuesta'!$C$2:$C$511,"*d)*",'00 Encuesta'!$E$2:$E$511,"*a)*",'00 Encuesta'!$AN$2:$AN$511,"*e)*")</f>
        <v>0</v>
      </c>
      <c r="X317" s="52" t="e">
        <f t="shared" si="431"/>
        <v>#DIV/0!</v>
      </c>
      <c r="Y317" s="53">
        <f>COUNTIFS('00 Encuesta'!$B$2:$B$511,"*b)*",'00 Encuesta'!$C$2:$C$511,"*d)*",'00 Encuesta'!$E$2:$E$511,"*b)*",'00 Encuesta'!$AN$2:$AN$511,"*e)*")</f>
        <v>0</v>
      </c>
      <c r="Z317" s="52" t="e">
        <f t="shared" si="432"/>
        <v>#DIV/0!</v>
      </c>
      <c r="AA317" s="3"/>
      <c r="AB317" s="62">
        <f t="shared" si="433"/>
        <v>7</v>
      </c>
      <c r="AC317" s="52">
        <f t="shared" si="434"/>
        <v>10</v>
      </c>
      <c r="AD317" s="3"/>
      <c r="AE317" s="3"/>
      <c r="AF317" s="9" t="str">
        <f t="shared" si="435"/>
        <v>e) Muy mala</v>
      </c>
      <c r="AG317" s="72">
        <f t="shared" si="436"/>
        <v>9.5238095238095237</v>
      </c>
      <c r="AH317" s="72">
        <f t="shared" si="437"/>
        <v>17.647058823529413</v>
      </c>
      <c r="AI317" s="73">
        <f t="shared" si="438"/>
        <v>13.157894736842104</v>
      </c>
      <c r="AJ317" s="73"/>
      <c r="AK317" s="76">
        <f t="shared" si="439"/>
        <v>5.8823529411764701</v>
      </c>
      <c r="AL317" s="76">
        <f t="shared" si="440"/>
        <v>6.666666666666667</v>
      </c>
      <c r="AM317" s="76">
        <f t="shared" si="441"/>
        <v>6.25</v>
      </c>
      <c r="AN317" s="76"/>
      <c r="AO317" s="81" t="e">
        <f t="shared" si="442"/>
        <v>#DIV/0!</v>
      </c>
      <c r="AP317" s="81" t="e">
        <f t="shared" si="443"/>
        <v>#DIV/0!</v>
      </c>
      <c r="AQ317" s="81" t="e">
        <f t="shared" si="444"/>
        <v>#DIV/0!</v>
      </c>
      <c r="AR317" s="3"/>
      <c r="AS317" s="76">
        <f t="shared" si="445"/>
        <v>10</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ht="15" x14ac:dyDescent="0.25">
      <c r="A318" s="8" t="s">
        <v>45</v>
      </c>
      <c r="B318" s="9" t="s">
        <v>233</v>
      </c>
      <c r="C318" s="7"/>
      <c r="D318" s="7"/>
      <c r="E318" s="7"/>
      <c r="F318" s="71"/>
      <c r="G318" s="51">
        <f t="shared" si="421"/>
        <v>2</v>
      </c>
      <c r="H318" s="52">
        <f t="shared" si="422"/>
        <v>5.2631578947368416</v>
      </c>
      <c r="I318" s="53">
        <f>COUNTIFS('00 Encuesta'!$B$2:$B$511,"*b)*",'00 Encuesta'!$C$2:$C$511,"*a)*",'00 Encuesta'!$E$2:$E$511,"*a)*",'00 Encuesta'!$AN$2:$AN$511,"*f)*")</f>
        <v>1</v>
      </c>
      <c r="J318" s="52">
        <f t="shared" si="423"/>
        <v>4.7619047619047619</v>
      </c>
      <c r="K318" s="53">
        <f>COUNTIFS('00 Encuesta'!$B$2:$B$511,"*b)*",'00 Encuesta'!$C$2:$C$511,"*a)*",'00 Encuesta'!$E$2:$E$511,"*b)*",'00 Encuesta'!$AN$2:$AN$511,"*f)*")</f>
        <v>1</v>
      </c>
      <c r="L318" s="52">
        <f t="shared" si="424"/>
        <v>5.8823529411764701</v>
      </c>
      <c r="M318" s="23"/>
      <c r="N318" s="51">
        <f t="shared" si="425"/>
        <v>3</v>
      </c>
      <c r="O318" s="52">
        <f t="shared" si="426"/>
        <v>9.375</v>
      </c>
      <c r="P318" s="53">
        <f>COUNTIFS('00 Encuesta'!$B$2:$B$511,"*b)*",'00 Encuesta'!$C$2:$C$511,"*b)*",'00 Encuesta'!$E$2:$E$511,"*a)*",'00 Encuesta'!$AN$2:$AN$511,"*f)*")</f>
        <v>0</v>
      </c>
      <c r="Q318" s="52">
        <f t="shared" si="427"/>
        <v>0</v>
      </c>
      <c r="R318" s="53">
        <f>COUNTIFS('00 Encuesta'!$B$2:$B$511,"*b)*",'00 Encuesta'!$C$2:$C$511,"*b)*",'00 Encuesta'!$E$2:$E$511,"*b)*",'00 Encuesta'!$AN$2:$AN$511,"*f)*")</f>
        <v>3</v>
      </c>
      <c r="S318" s="52">
        <f t="shared" si="428"/>
        <v>20</v>
      </c>
      <c r="T318" s="3"/>
      <c r="U318" s="51">
        <f t="shared" si="429"/>
        <v>0</v>
      </c>
      <c r="V318" s="52" t="e">
        <f t="shared" si="430"/>
        <v>#DIV/0!</v>
      </c>
      <c r="W318" s="53">
        <f>COUNTIFS('00 Encuesta'!$B$2:$B$511,"*b)*",'00 Encuesta'!$C$2:$C$511,"*d)*",'00 Encuesta'!$E$2:$E$511,"*a)*",'00 Encuesta'!$AN$2:$AN$511,"*f)*")</f>
        <v>0</v>
      </c>
      <c r="X318" s="52" t="e">
        <f t="shared" si="431"/>
        <v>#DIV/0!</v>
      </c>
      <c r="Y318" s="53">
        <f>COUNTIFS('00 Encuesta'!$B$2:$B$511,"*b)*",'00 Encuesta'!$C$2:$C$511,"*d)*",'00 Encuesta'!$E$2:$E$511,"*b)*",'00 Encuesta'!$AN$2:$AN$511,"*f)*")</f>
        <v>0</v>
      </c>
      <c r="Z318" s="52" t="e">
        <f t="shared" si="432"/>
        <v>#DIV/0!</v>
      </c>
      <c r="AA318" s="3"/>
      <c r="AB318" s="62">
        <f t="shared" si="433"/>
        <v>5</v>
      </c>
      <c r="AC318" s="52">
        <f t="shared" si="434"/>
        <v>7.1428571428571432</v>
      </c>
      <c r="AD318" s="3"/>
      <c r="AE318" s="3"/>
      <c r="AF318" s="9" t="str">
        <f t="shared" si="435"/>
        <v>f) No aplica</v>
      </c>
      <c r="AG318" s="72">
        <f t="shared" si="436"/>
        <v>4.7619047619047619</v>
      </c>
      <c r="AH318" s="72">
        <f t="shared" si="437"/>
        <v>5.8823529411764701</v>
      </c>
      <c r="AI318" s="73">
        <f t="shared" si="438"/>
        <v>5.2631578947368416</v>
      </c>
      <c r="AJ318" s="73"/>
      <c r="AK318" s="76">
        <f t="shared" si="439"/>
        <v>0</v>
      </c>
      <c r="AL318" s="76">
        <f t="shared" si="440"/>
        <v>20</v>
      </c>
      <c r="AM318" s="76">
        <f t="shared" si="441"/>
        <v>9.375</v>
      </c>
      <c r="AN318" s="76"/>
      <c r="AO318" s="81" t="e">
        <f t="shared" si="442"/>
        <v>#DIV/0!</v>
      </c>
      <c r="AP318" s="81" t="e">
        <f t="shared" si="443"/>
        <v>#DIV/0!</v>
      </c>
      <c r="AQ318" s="81" t="e">
        <f t="shared" si="444"/>
        <v>#DIV/0!</v>
      </c>
      <c r="AR318" s="3"/>
      <c r="AS318" s="76">
        <f t="shared" si="445"/>
        <v>7.1428571428571432</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ht="15" x14ac:dyDescent="0.25">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63.888888888888886</v>
      </c>
      <c r="AH319" s="82">
        <f>($F313*K313+$F314*K314+$F315*K315+$F316*K316+$F317*K317)/(K313+K314+K315+K316+K317)</f>
        <v>55</v>
      </c>
      <c r="AI319" s="82">
        <f>($F313*G313+$F314*G314+$F315*G315+$F316*G316+$F317*G317)/(G313+G314+G315+G316+G317)</f>
        <v>59.848484848484851</v>
      </c>
      <c r="AJ319" s="82"/>
      <c r="AK319" s="82">
        <f>($F313*Q313+$F314*Q314+$F315*Q315+$F316*Q316+$F317*Q317)/(Q313+Q314+Q315+Q316+Q317)</f>
        <v>50</v>
      </c>
      <c r="AL319" s="82">
        <f>($F313*S313+$F314*S314+$F315*S315+$F316*S316+$F317*S317)/(S313+S314+S315+S316+S317)</f>
        <v>47.916666666666657</v>
      </c>
      <c r="AM319" s="82">
        <f>($F313*O313+$F314*O314+$F315*O315+$F316*O316+$F317*O317)/(O313+O314+O315+O316+O317)</f>
        <v>48.958333333333336</v>
      </c>
      <c r="AN319" s="82"/>
      <c r="AO319" s="82" t="e">
        <f>($F313*W313+$F314*W314+$F315*W315+$F316*W316+$F317*W317)/(W313+W314+W315+W316+W317)</f>
        <v>#DIV/0!</v>
      </c>
      <c r="AP319" s="82" t="e">
        <f>($F313*Y313+$F314*Y314+$F315*Y315+$F316*Y316+$F317*Y317)/(Y313+Y314+Y315+Y316+Y317)</f>
        <v>#DIV/0!</v>
      </c>
      <c r="AQ319" s="82" t="e">
        <f>($F313*U313+$F314*U314+$F315*U315+$F316*U316+$F317*U317)/(U313+U314+U315+U316+U317)</f>
        <v>#DIV/0!</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ht="15" x14ac:dyDescent="0.25">
      <c r="A321" s="8" t="s">
        <v>17</v>
      </c>
      <c r="B321" s="9" t="s">
        <v>229</v>
      </c>
      <c r="C321" s="7"/>
      <c r="D321" s="7"/>
      <c r="E321" s="7"/>
      <c r="F321" s="71">
        <v>100</v>
      </c>
      <c r="G321" s="51">
        <f t="shared" ref="G321:G326" si="446">I321+K321</f>
        <v>9</v>
      </c>
      <c r="H321" s="52">
        <f t="shared" ref="H321:H326" si="447">G321/$J$5*100</f>
        <v>23.684210526315788</v>
      </c>
      <c r="I321" s="53">
        <f>COUNTIFS('00 Encuesta'!$B$2:$B$511,"*b)*",'00 Encuesta'!$C$2:$C$511,"*a)*",'00 Encuesta'!$E$2:$E$511,"*a)*",'00 Encuesta'!$AO$2:$AO$511,"*a)*")</f>
        <v>7</v>
      </c>
      <c r="J321" s="52">
        <f t="shared" ref="J321:J326" si="448">I321/$J$6*100</f>
        <v>33.333333333333329</v>
      </c>
      <c r="K321" s="53">
        <f>COUNTIFS('00 Encuesta'!$B$2:$B$511,"*b)*",'00 Encuesta'!$C$2:$C$511,"*a)*",'00 Encuesta'!$E$2:$E$511,"*b)*",'00 Encuesta'!$AO$2:$AO$511,"*a)*")</f>
        <v>2</v>
      </c>
      <c r="L321" s="52">
        <f t="shared" ref="L321:L326" si="449">K321/$J$7*100</f>
        <v>11.76470588235294</v>
      </c>
      <c r="M321" s="23"/>
      <c r="N321" s="51">
        <f t="shared" ref="N321:N326" si="450">P321+R321</f>
        <v>7</v>
      </c>
      <c r="O321" s="52">
        <f t="shared" ref="O321:O326" si="451">N321/$Q$5*100</f>
        <v>21.875</v>
      </c>
      <c r="P321" s="53">
        <f>COUNTIFS('00 Encuesta'!$B$2:$B$511,"*b)*",'00 Encuesta'!$C$2:$C$511,"*b)*",'00 Encuesta'!$E$2:$E$511,"*a)*",'00 Encuesta'!$AO$2:$AO$511,"*a)*")</f>
        <v>4</v>
      </c>
      <c r="Q321" s="52">
        <f t="shared" ref="Q321:Q326" si="452">P321/$Q$6*100</f>
        <v>23.52941176470588</v>
      </c>
      <c r="R321" s="53">
        <f>COUNTIFS('00 Encuesta'!$B$2:$B$511,"*b)*",'00 Encuesta'!$C$2:$C$511,"*b)*",'00 Encuesta'!$E$2:$E$511,"*b)*",'00 Encuesta'!$AO$2:$AO$511,"*a)*")</f>
        <v>3</v>
      </c>
      <c r="S321" s="52">
        <f t="shared" ref="S321:S326" si="453">R321/$Q$7*100</f>
        <v>20</v>
      </c>
      <c r="T321" s="3"/>
      <c r="U321" s="51">
        <f t="shared" ref="U321:U326" si="454">W321+Y321</f>
        <v>0</v>
      </c>
      <c r="V321" s="52" t="e">
        <f t="shared" ref="V321:V326" si="455">U321/$X$5*100</f>
        <v>#DIV/0!</v>
      </c>
      <c r="W321" s="53">
        <f>COUNTIFS('00 Encuesta'!$B$2:$B$511,"*b)*",'00 Encuesta'!$C$2:$C$511,"*d)*",'00 Encuesta'!$E$2:$E$511,"*a)*",'00 Encuesta'!$AO$2:$AO$511,"*a)*")</f>
        <v>0</v>
      </c>
      <c r="X321" s="52" t="e">
        <f t="shared" ref="X321:X326" si="456">W321/$X$6*100</f>
        <v>#DIV/0!</v>
      </c>
      <c r="Y321" s="53">
        <f>COUNTIFS('00 Encuesta'!$B$2:$B$511,"*b)*",'00 Encuesta'!$C$2:$C$511,"*d)*",'00 Encuesta'!$E$2:$E$511,"*b)*",'00 Encuesta'!$AO$2:$AO$511,"*a)*")</f>
        <v>0</v>
      </c>
      <c r="Z321" s="52" t="e">
        <f t="shared" ref="Z321:Z326" si="457">Y321/$X$7*100</f>
        <v>#DIV/0!</v>
      </c>
      <c r="AA321" s="3"/>
      <c r="AB321" s="62">
        <f t="shared" ref="AB321:AB326" si="458">G321+N321+U321</f>
        <v>16</v>
      </c>
      <c r="AC321" s="52">
        <f t="shared" ref="AC321:AC326" si="459">AB321*100/$AC$5</f>
        <v>22.857142857142858</v>
      </c>
      <c r="AD321" s="3"/>
      <c r="AE321" s="3"/>
      <c r="AF321" s="9" t="str">
        <f t="shared" ref="AF321:AF326" si="460">A321&amp;" "&amp;B321</f>
        <v>a) Muy buena</v>
      </c>
      <c r="AG321" s="72">
        <f t="shared" ref="AG321:AG326" si="461">J321</f>
        <v>33.333333333333329</v>
      </c>
      <c r="AH321" s="72">
        <f t="shared" ref="AH321:AH326" si="462">L321</f>
        <v>11.76470588235294</v>
      </c>
      <c r="AI321" s="73">
        <f t="shared" ref="AI321:AI326" si="463">H321</f>
        <v>23.684210526315788</v>
      </c>
      <c r="AJ321" s="73"/>
      <c r="AK321" s="76">
        <f t="shared" ref="AK321:AK326" si="464">Q321</f>
        <v>23.52941176470588</v>
      </c>
      <c r="AL321" s="76">
        <f t="shared" ref="AL321:AL326" si="465">S321</f>
        <v>20</v>
      </c>
      <c r="AM321" s="76">
        <f t="shared" ref="AM321:AM326" si="466">O321</f>
        <v>21.875</v>
      </c>
      <c r="AN321" s="76"/>
      <c r="AO321" s="81" t="e">
        <f t="shared" ref="AO321:AO326" si="467">X321</f>
        <v>#DIV/0!</v>
      </c>
      <c r="AP321" s="81" t="e">
        <f t="shared" ref="AP321:AP326" si="468">Z321</f>
        <v>#DIV/0!</v>
      </c>
      <c r="AQ321" s="81" t="e">
        <f t="shared" ref="AQ321:AQ326" si="469">V321</f>
        <v>#DIV/0!</v>
      </c>
      <c r="AR321" s="3"/>
      <c r="AS321" s="76">
        <f t="shared" si="369"/>
        <v>22.857142857142858</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ht="15" x14ac:dyDescent="0.25">
      <c r="A322" s="8" t="s">
        <v>18</v>
      </c>
      <c r="B322" s="9" t="s">
        <v>230</v>
      </c>
      <c r="C322" s="7"/>
      <c r="D322" s="7"/>
      <c r="E322" s="7"/>
      <c r="F322" s="71">
        <v>75</v>
      </c>
      <c r="G322" s="51">
        <f t="shared" si="446"/>
        <v>8</v>
      </c>
      <c r="H322" s="52">
        <f t="shared" si="447"/>
        <v>21.052631578947366</v>
      </c>
      <c r="I322" s="53">
        <f>COUNTIFS('00 Encuesta'!$B$2:$B$511,"*b)*",'00 Encuesta'!$C$2:$C$511,"*a)*",'00 Encuesta'!$E$2:$E$511,"*a)*",'00 Encuesta'!$AO$2:$AO$511,"*b)*")</f>
        <v>3</v>
      </c>
      <c r="J322" s="52">
        <f t="shared" si="448"/>
        <v>14.285714285714285</v>
      </c>
      <c r="K322" s="53">
        <f>COUNTIFS('00 Encuesta'!$B$2:$B$511,"*b)*",'00 Encuesta'!$C$2:$C$511,"*a)*",'00 Encuesta'!$E$2:$E$511,"*b)*",'00 Encuesta'!$AO$2:$AO$511,"*b)*")</f>
        <v>5</v>
      </c>
      <c r="L322" s="52">
        <f t="shared" si="449"/>
        <v>29.411764705882355</v>
      </c>
      <c r="M322" s="23"/>
      <c r="N322" s="51">
        <f t="shared" si="450"/>
        <v>13</v>
      </c>
      <c r="O322" s="52">
        <f t="shared" si="451"/>
        <v>40.625</v>
      </c>
      <c r="P322" s="53">
        <f>COUNTIFS('00 Encuesta'!$B$2:$B$511,"*b)*",'00 Encuesta'!$C$2:$C$511,"*b)*",'00 Encuesta'!$E$2:$E$511,"*a)*",'00 Encuesta'!$AO$2:$AO$511,"*b)*")</f>
        <v>8</v>
      </c>
      <c r="Q322" s="52">
        <f t="shared" si="452"/>
        <v>47.058823529411761</v>
      </c>
      <c r="R322" s="53">
        <f>COUNTIFS('00 Encuesta'!$B$2:$B$511,"*b)*",'00 Encuesta'!$C$2:$C$511,"*b)*",'00 Encuesta'!$E$2:$E$511,"*b)*",'00 Encuesta'!$AO$2:$AO$511,"*b)*")</f>
        <v>5</v>
      </c>
      <c r="S322" s="52">
        <f t="shared" si="453"/>
        <v>33.333333333333329</v>
      </c>
      <c r="T322" s="3"/>
      <c r="U322" s="51">
        <f t="shared" si="454"/>
        <v>0</v>
      </c>
      <c r="V322" s="52" t="e">
        <f t="shared" si="455"/>
        <v>#DIV/0!</v>
      </c>
      <c r="W322" s="53">
        <f>COUNTIFS('00 Encuesta'!$B$2:$B$511,"*b)*",'00 Encuesta'!$C$2:$C$511,"*d)*",'00 Encuesta'!$E$2:$E$511,"*a)*",'00 Encuesta'!$AO$2:$AO$511,"*b)*")</f>
        <v>0</v>
      </c>
      <c r="X322" s="52" t="e">
        <f t="shared" si="456"/>
        <v>#DIV/0!</v>
      </c>
      <c r="Y322" s="53">
        <f>COUNTIFS('00 Encuesta'!$B$2:$B$511,"*b)*",'00 Encuesta'!$C$2:$C$511,"*d)*",'00 Encuesta'!$E$2:$E$511,"*b)*",'00 Encuesta'!$AO$2:$AO$511,"*b)*")</f>
        <v>0</v>
      </c>
      <c r="Z322" s="52" t="e">
        <f t="shared" si="457"/>
        <v>#DIV/0!</v>
      </c>
      <c r="AA322" s="3"/>
      <c r="AB322" s="62">
        <f t="shared" si="458"/>
        <v>21</v>
      </c>
      <c r="AC322" s="52">
        <f t="shared" si="459"/>
        <v>30</v>
      </c>
      <c r="AD322" s="3"/>
      <c r="AE322" s="3"/>
      <c r="AF322" s="9" t="str">
        <f t="shared" si="460"/>
        <v>b) Buena</v>
      </c>
      <c r="AG322" s="72">
        <f t="shared" si="461"/>
        <v>14.285714285714285</v>
      </c>
      <c r="AH322" s="72">
        <f t="shared" si="462"/>
        <v>29.411764705882355</v>
      </c>
      <c r="AI322" s="73">
        <f t="shared" si="463"/>
        <v>21.052631578947366</v>
      </c>
      <c r="AJ322" s="73"/>
      <c r="AK322" s="76">
        <f t="shared" si="464"/>
        <v>47.058823529411761</v>
      </c>
      <c r="AL322" s="76">
        <f t="shared" si="465"/>
        <v>33.333333333333329</v>
      </c>
      <c r="AM322" s="76">
        <f t="shared" si="466"/>
        <v>40.625</v>
      </c>
      <c r="AN322" s="76"/>
      <c r="AO322" s="81" t="e">
        <f t="shared" si="467"/>
        <v>#DIV/0!</v>
      </c>
      <c r="AP322" s="81" t="e">
        <f t="shared" si="468"/>
        <v>#DIV/0!</v>
      </c>
      <c r="AQ322" s="81" t="e">
        <f t="shared" si="469"/>
        <v>#DIV/0!</v>
      </c>
      <c r="AR322" s="3"/>
      <c r="AS322" s="76">
        <f t="shared" si="369"/>
        <v>30</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ht="15" x14ac:dyDescent="0.25">
      <c r="A323" s="8" t="s">
        <v>20</v>
      </c>
      <c r="B323" s="9" t="s">
        <v>218</v>
      </c>
      <c r="C323" s="7"/>
      <c r="D323" s="7"/>
      <c r="E323" s="7"/>
      <c r="F323" s="71">
        <v>50</v>
      </c>
      <c r="G323" s="51">
        <f t="shared" si="446"/>
        <v>11</v>
      </c>
      <c r="H323" s="52">
        <f t="shared" si="447"/>
        <v>28.947368421052634</v>
      </c>
      <c r="I323" s="53">
        <f>COUNTIFS('00 Encuesta'!$B$2:$B$511,"*b)*",'00 Encuesta'!$C$2:$C$511,"*a)*",'00 Encuesta'!$E$2:$E$511,"*a)*",'00 Encuesta'!$AO$2:$AO$511,"*c)*")</f>
        <v>5</v>
      </c>
      <c r="J323" s="52">
        <f t="shared" si="448"/>
        <v>23.809523809523807</v>
      </c>
      <c r="K323" s="53">
        <f>COUNTIFS('00 Encuesta'!$B$2:$B$511,"*b)*",'00 Encuesta'!$C$2:$C$511,"*a)*",'00 Encuesta'!$E$2:$E$511,"*b)*",'00 Encuesta'!$AO$2:$AO$511,"*c)*")</f>
        <v>6</v>
      </c>
      <c r="L323" s="52">
        <f t="shared" si="449"/>
        <v>35.294117647058826</v>
      </c>
      <c r="M323" s="23"/>
      <c r="N323" s="51">
        <f t="shared" si="450"/>
        <v>7</v>
      </c>
      <c r="O323" s="52">
        <f t="shared" si="451"/>
        <v>21.875</v>
      </c>
      <c r="P323" s="53">
        <f>COUNTIFS('00 Encuesta'!$B$2:$B$511,"*b)*",'00 Encuesta'!$C$2:$C$511,"*b)*",'00 Encuesta'!$E$2:$E$511,"*a)*",'00 Encuesta'!$AO$2:$AO$511,"*c)*")</f>
        <v>1</v>
      </c>
      <c r="Q323" s="52">
        <f t="shared" si="452"/>
        <v>5.8823529411764701</v>
      </c>
      <c r="R323" s="53">
        <f>COUNTIFS('00 Encuesta'!$B$2:$B$511,"*b)*",'00 Encuesta'!$C$2:$C$511,"*b)*",'00 Encuesta'!$E$2:$E$511,"*b)*",'00 Encuesta'!$AO$2:$AO$511,"*c)*")</f>
        <v>6</v>
      </c>
      <c r="S323" s="52">
        <f t="shared" si="453"/>
        <v>40</v>
      </c>
      <c r="T323" s="3"/>
      <c r="U323" s="51">
        <f t="shared" si="454"/>
        <v>0</v>
      </c>
      <c r="V323" s="52" t="e">
        <f t="shared" si="455"/>
        <v>#DIV/0!</v>
      </c>
      <c r="W323" s="53">
        <f>COUNTIFS('00 Encuesta'!$B$2:$B$511,"*b)*",'00 Encuesta'!$C$2:$C$511,"*d)*",'00 Encuesta'!$E$2:$E$511,"*a)*",'00 Encuesta'!$AO$2:$AO$511,"*c)*")</f>
        <v>0</v>
      </c>
      <c r="X323" s="52" t="e">
        <f t="shared" si="456"/>
        <v>#DIV/0!</v>
      </c>
      <c r="Y323" s="53">
        <f>COUNTIFS('00 Encuesta'!$B$2:$B$511,"*b)*",'00 Encuesta'!$C$2:$C$511,"*d)*",'00 Encuesta'!$E$2:$E$511,"*b)*",'00 Encuesta'!$AO$2:$AO$511,"*c)*")</f>
        <v>0</v>
      </c>
      <c r="Z323" s="52" t="e">
        <f t="shared" si="457"/>
        <v>#DIV/0!</v>
      </c>
      <c r="AA323" s="3"/>
      <c r="AB323" s="62">
        <f t="shared" si="458"/>
        <v>18</v>
      </c>
      <c r="AC323" s="52">
        <f t="shared" si="459"/>
        <v>25.714285714285715</v>
      </c>
      <c r="AD323" s="3"/>
      <c r="AE323" s="3"/>
      <c r="AF323" s="9" t="str">
        <f t="shared" si="460"/>
        <v>c) Regular</v>
      </c>
      <c r="AG323" s="72">
        <f t="shared" si="461"/>
        <v>23.809523809523807</v>
      </c>
      <c r="AH323" s="72">
        <f t="shared" si="462"/>
        <v>35.294117647058826</v>
      </c>
      <c r="AI323" s="73">
        <f t="shared" si="463"/>
        <v>28.947368421052634</v>
      </c>
      <c r="AJ323" s="73"/>
      <c r="AK323" s="76">
        <f t="shared" si="464"/>
        <v>5.8823529411764701</v>
      </c>
      <c r="AL323" s="76">
        <f t="shared" si="465"/>
        <v>40</v>
      </c>
      <c r="AM323" s="76">
        <f t="shared" si="466"/>
        <v>21.875</v>
      </c>
      <c r="AN323" s="76"/>
      <c r="AO323" s="81" t="e">
        <f t="shared" si="467"/>
        <v>#DIV/0!</v>
      </c>
      <c r="AP323" s="81" t="e">
        <f t="shared" si="468"/>
        <v>#DIV/0!</v>
      </c>
      <c r="AQ323" s="81" t="e">
        <f t="shared" si="469"/>
        <v>#DIV/0!</v>
      </c>
      <c r="AR323" s="3"/>
      <c r="AS323" s="76">
        <f t="shared" si="369"/>
        <v>25.714285714285715</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ht="15" x14ac:dyDescent="0.25">
      <c r="A324" s="8" t="s">
        <v>21</v>
      </c>
      <c r="B324" s="9" t="s">
        <v>231</v>
      </c>
      <c r="C324" s="7"/>
      <c r="D324" s="7"/>
      <c r="E324" s="7"/>
      <c r="F324" s="71">
        <v>25</v>
      </c>
      <c r="G324" s="51">
        <f t="shared" si="446"/>
        <v>2</v>
      </c>
      <c r="H324" s="52">
        <f t="shared" si="447"/>
        <v>5.2631578947368416</v>
      </c>
      <c r="I324" s="53">
        <f>COUNTIFS('00 Encuesta'!$B$2:$B$511,"*b)*",'00 Encuesta'!$C$2:$C$511,"*a)*",'00 Encuesta'!$E$2:$E$511,"*a)*",'00 Encuesta'!$AO$2:$AO$511,"*d)*")</f>
        <v>1</v>
      </c>
      <c r="J324" s="52">
        <f t="shared" si="448"/>
        <v>4.7619047619047619</v>
      </c>
      <c r="K324" s="53">
        <f>COUNTIFS('00 Encuesta'!$B$2:$B$511,"*b)*",'00 Encuesta'!$C$2:$C$511,"*a)*",'00 Encuesta'!$E$2:$E$511,"*b)*",'00 Encuesta'!$AO$2:$AO$511,"*d)*")</f>
        <v>1</v>
      </c>
      <c r="L324" s="52">
        <f t="shared" si="449"/>
        <v>5.8823529411764701</v>
      </c>
      <c r="M324" s="23"/>
      <c r="N324" s="51">
        <f t="shared" si="450"/>
        <v>0</v>
      </c>
      <c r="O324" s="52">
        <f t="shared" si="451"/>
        <v>0</v>
      </c>
      <c r="P324" s="53">
        <f>COUNTIFS('00 Encuesta'!$B$2:$B$511,"*b)*",'00 Encuesta'!$C$2:$C$511,"*b)*",'00 Encuesta'!$E$2:$E$511,"*a)*",'00 Encuesta'!$AO$2:$AO$511,"*d)*")</f>
        <v>0</v>
      </c>
      <c r="Q324" s="52">
        <f t="shared" si="452"/>
        <v>0</v>
      </c>
      <c r="R324" s="53">
        <f>COUNTIFS('00 Encuesta'!$B$2:$B$511,"*b)*",'00 Encuesta'!$C$2:$C$511,"*b)*",'00 Encuesta'!$E$2:$E$511,"*b)*",'00 Encuesta'!$AO$2:$AO$511,"*d)*")</f>
        <v>0</v>
      </c>
      <c r="S324" s="52">
        <f t="shared" si="453"/>
        <v>0</v>
      </c>
      <c r="T324" s="3"/>
      <c r="U324" s="51">
        <f t="shared" si="454"/>
        <v>0</v>
      </c>
      <c r="V324" s="52" t="e">
        <f t="shared" si="455"/>
        <v>#DIV/0!</v>
      </c>
      <c r="W324" s="53">
        <f>COUNTIFS('00 Encuesta'!$B$2:$B$511,"*b)*",'00 Encuesta'!$C$2:$C$511,"*d)*",'00 Encuesta'!$E$2:$E$511,"*a)*",'00 Encuesta'!$AO$2:$AO$511,"*d)*")</f>
        <v>0</v>
      </c>
      <c r="X324" s="52" t="e">
        <f t="shared" si="456"/>
        <v>#DIV/0!</v>
      </c>
      <c r="Y324" s="53">
        <f>COUNTIFS('00 Encuesta'!$B$2:$B$511,"*b)*",'00 Encuesta'!$C$2:$C$511,"*d)*",'00 Encuesta'!$E$2:$E$511,"*b)*",'00 Encuesta'!$AO$2:$AO$511,"*d)*")</f>
        <v>0</v>
      </c>
      <c r="Z324" s="52" t="e">
        <f t="shared" si="457"/>
        <v>#DIV/0!</v>
      </c>
      <c r="AA324" s="3"/>
      <c r="AB324" s="62">
        <f t="shared" si="458"/>
        <v>2</v>
      </c>
      <c r="AC324" s="52">
        <f t="shared" si="459"/>
        <v>2.8571428571428572</v>
      </c>
      <c r="AD324" s="3"/>
      <c r="AE324" s="3"/>
      <c r="AF324" s="9" t="str">
        <f t="shared" si="460"/>
        <v>d) Mala</v>
      </c>
      <c r="AG324" s="72">
        <f t="shared" si="461"/>
        <v>4.7619047619047619</v>
      </c>
      <c r="AH324" s="72">
        <f t="shared" si="462"/>
        <v>5.8823529411764701</v>
      </c>
      <c r="AI324" s="73">
        <f t="shared" si="463"/>
        <v>5.2631578947368416</v>
      </c>
      <c r="AJ324" s="73"/>
      <c r="AK324" s="76">
        <f t="shared" si="464"/>
        <v>0</v>
      </c>
      <c r="AL324" s="76">
        <f t="shared" si="465"/>
        <v>0</v>
      </c>
      <c r="AM324" s="76">
        <f t="shared" si="466"/>
        <v>0</v>
      </c>
      <c r="AN324" s="76"/>
      <c r="AO324" s="81" t="e">
        <f t="shared" si="467"/>
        <v>#DIV/0!</v>
      </c>
      <c r="AP324" s="81" t="e">
        <f t="shared" si="468"/>
        <v>#DIV/0!</v>
      </c>
      <c r="AQ324" s="81" t="e">
        <f t="shared" si="469"/>
        <v>#DIV/0!</v>
      </c>
      <c r="AR324" s="3"/>
      <c r="AS324" s="76">
        <f t="shared" si="369"/>
        <v>2.8571428571428572</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ht="15" x14ac:dyDescent="0.25">
      <c r="A325" s="8" t="s">
        <v>22</v>
      </c>
      <c r="B325" s="9" t="s">
        <v>232</v>
      </c>
      <c r="C325" s="7"/>
      <c r="D325" s="7"/>
      <c r="E325" s="7"/>
      <c r="F325" s="71">
        <v>0</v>
      </c>
      <c r="G325" s="51">
        <f t="shared" si="446"/>
        <v>3</v>
      </c>
      <c r="H325" s="52">
        <f t="shared" si="447"/>
        <v>7.8947368421052628</v>
      </c>
      <c r="I325" s="53">
        <f>COUNTIFS('00 Encuesta'!$B$2:$B$511,"*b)*",'00 Encuesta'!$C$2:$C$511,"*a)*",'00 Encuesta'!$E$2:$E$511,"*a)*",'00 Encuesta'!$AO$2:$AO$511,"*e)*")</f>
        <v>2</v>
      </c>
      <c r="J325" s="52">
        <f t="shared" si="448"/>
        <v>9.5238095238095237</v>
      </c>
      <c r="K325" s="53">
        <f>COUNTIFS('00 Encuesta'!$B$2:$B$511,"*b)*",'00 Encuesta'!$C$2:$C$511,"*a)*",'00 Encuesta'!$E$2:$E$511,"*b)*",'00 Encuesta'!$AO$2:$AO$511,"*e)*")</f>
        <v>1</v>
      </c>
      <c r="L325" s="52">
        <f t="shared" si="449"/>
        <v>5.8823529411764701</v>
      </c>
      <c r="M325" s="23"/>
      <c r="N325" s="51">
        <f t="shared" si="450"/>
        <v>0</v>
      </c>
      <c r="O325" s="52">
        <f t="shared" si="451"/>
        <v>0</v>
      </c>
      <c r="P325" s="53">
        <f>COUNTIFS('00 Encuesta'!$B$2:$B$511,"*b)*",'00 Encuesta'!$C$2:$C$511,"*b)*",'00 Encuesta'!$E$2:$E$511,"*a)*",'00 Encuesta'!$AO$2:$AO$511,"*e)*")</f>
        <v>0</v>
      </c>
      <c r="Q325" s="52">
        <f t="shared" si="452"/>
        <v>0</v>
      </c>
      <c r="R325" s="53">
        <f>COUNTIFS('00 Encuesta'!$B$2:$B$511,"*b)*",'00 Encuesta'!$C$2:$C$511,"*b)*",'00 Encuesta'!$E$2:$E$511,"*b)*",'00 Encuesta'!$AO$2:$AO$511,"*e)*")</f>
        <v>0</v>
      </c>
      <c r="S325" s="52">
        <f t="shared" si="453"/>
        <v>0</v>
      </c>
      <c r="T325" s="3"/>
      <c r="U325" s="51">
        <f t="shared" si="454"/>
        <v>0</v>
      </c>
      <c r="V325" s="52" t="e">
        <f t="shared" si="455"/>
        <v>#DIV/0!</v>
      </c>
      <c r="W325" s="53">
        <f>COUNTIFS('00 Encuesta'!$B$2:$B$511,"*b)*",'00 Encuesta'!$C$2:$C$511,"*d)*",'00 Encuesta'!$E$2:$E$511,"*a)*",'00 Encuesta'!$AO$2:$AO$511,"*e)*")</f>
        <v>0</v>
      </c>
      <c r="X325" s="52" t="e">
        <f t="shared" si="456"/>
        <v>#DIV/0!</v>
      </c>
      <c r="Y325" s="53">
        <f>COUNTIFS('00 Encuesta'!$B$2:$B$511,"*b)*",'00 Encuesta'!$C$2:$C$511,"*d)*",'00 Encuesta'!$E$2:$E$511,"*b)*",'00 Encuesta'!$AO$2:$AO$511,"*e)*")</f>
        <v>0</v>
      </c>
      <c r="Z325" s="52" t="e">
        <f t="shared" si="457"/>
        <v>#DIV/0!</v>
      </c>
      <c r="AA325" s="3"/>
      <c r="AB325" s="62">
        <f t="shared" si="458"/>
        <v>3</v>
      </c>
      <c r="AC325" s="52">
        <f t="shared" si="459"/>
        <v>4.2857142857142856</v>
      </c>
      <c r="AD325" s="3"/>
      <c r="AE325" s="3"/>
      <c r="AF325" s="9" t="str">
        <f t="shared" si="460"/>
        <v>e) Muy mala</v>
      </c>
      <c r="AG325" s="72">
        <f t="shared" si="461"/>
        <v>9.5238095238095237</v>
      </c>
      <c r="AH325" s="72">
        <f t="shared" si="462"/>
        <v>5.8823529411764701</v>
      </c>
      <c r="AI325" s="73">
        <f t="shared" si="463"/>
        <v>7.8947368421052628</v>
      </c>
      <c r="AJ325" s="73"/>
      <c r="AK325" s="76">
        <f t="shared" si="464"/>
        <v>0</v>
      </c>
      <c r="AL325" s="76">
        <f t="shared" si="465"/>
        <v>0</v>
      </c>
      <c r="AM325" s="76">
        <f t="shared" si="466"/>
        <v>0</v>
      </c>
      <c r="AN325" s="76"/>
      <c r="AO325" s="81" t="e">
        <f t="shared" si="467"/>
        <v>#DIV/0!</v>
      </c>
      <c r="AP325" s="81" t="e">
        <f t="shared" si="468"/>
        <v>#DIV/0!</v>
      </c>
      <c r="AQ325" s="81" t="e">
        <f t="shared" si="469"/>
        <v>#DIV/0!</v>
      </c>
      <c r="AR325" s="3"/>
      <c r="AS325" s="76">
        <f t="shared" si="369"/>
        <v>4.2857142857142856</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ht="15" x14ac:dyDescent="0.25">
      <c r="A326" s="8" t="s">
        <v>45</v>
      </c>
      <c r="B326" s="9" t="s">
        <v>233</v>
      </c>
      <c r="C326" s="7"/>
      <c r="D326" s="7"/>
      <c r="E326" s="7"/>
      <c r="F326" s="71"/>
      <c r="G326" s="51">
        <f t="shared" si="446"/>
        <v>1</v>
      </c>
      <c r="H326" s="52">
        <f t="shared" si="447"/>
        <v>2.6315789473684208</v>
      </c>
      <c r="I326" s="53">
        <f>COUNTIFS('00 Encuesta'!$B$2:$B$511,"*b)*",'00 Encuesta'!$C$2:$C$511,"*a)*",'00 Encuesta'!$E$2:$E$511,"*a)*",'00 Encuesta'!$AO$2:$AO$511,"*f)*")</f>
        <v>1</v>
      </c>
      <c r="J326" s="52">
        <f t="shared" si="448"/>
        <v>4.7619047619047619</v>
      </c>
      <c r="K326" s="53">
        <f>COUNTIFS('00 Encuesta'!$B$2:$B$511,"*b)*",'00 Encuesta'!$C$2:$C$511,"*a)*",'00 Encuesta'!$E$2:$E$511,"*b)*",'00 Encuesta'!$AO$2:$AO$511,"*f)*")</f>
        <v>0</v>
      </c>
      <c r="L326" s="52">
        <f t="shared" si="449"/>
        <v>0</v>
      </c>
      <c r="M326" s="23"/>
      <c r="N326" s="51">
        <f t="shared" si="450"/>
        <v>0</v>
      </c>
      <c r="O326" s="52">
        <f t="shared" si="451"/>
        <v>0</v>
      </c>
      <c r="P326" s="53">
        <f>COUNTIFS('00 Encuesta'!$B$2:$B$511,"*b)*",'00 Encuesta'!$C$2:$C$511,"*b)*",'00 Encuesta'!$E$2:$E$511,"*a)*",'00 Encuesta'!$AO$2:$AO$511,"*f)*")</f>
        <v>0</v>
      </c>
      <c r="Q326" s="52">
        <f t="shared" si="452"/>
        <v>0</v>
      </c>
      <c r="R326" s="53">
        <f>COUNTIFS('00 Encuesta'!$B$2:$B$511,"*b)*",'00 Encuesta'!$C$2:$C$511,"*b)*",'00 Encuesta'!$E$2:$E$511,"*b)*",'00 Encuesta'!$AO$2:$AO$511,"*f)*")</f>
        <v>0</v>
      </c>
      <c r="S326" s="52">
        <f t="shared" si="453"/>
        <v>0</v>
      </c>
      <c r="T326" s="3"/>
      <c r="U326" s="51">
        <f t="shared" si="454"/>
        <v>0</v>
      </c>
      <c r="V326" s="52" t="e">
        <f t="shared" si="455"/>
        <v>#DIV/0!</v>
      </c>
      <c r="W326" s="53">
        <f>COUNTIFS('00 Encuesta'!$B$2:$B$511,"*b)*",'00 Encuesta'!$C$2:$C$511,"*d)*",'00 Encuesta'!$E$2:$E$511,"*a)*",'00 Encuesta'!$AO$2:$AO$511,"*f)*")</f>
        <v>0</v>
      </c>
      <c r="X326" s="52" t="e">
        <f t="shared" si="456"/>
        <v>#DIV/0!</v>
      </c>
      <c r="Y326" s="53">
        <f>COUNTIFS('00 Encuesta'!$B$2:$B$511,"*b)*",'00 Encuesta'!$C$2:$C$511,"*d)*",'00 Encuesta'!$E$2:$E$511,"*b)*",'00 Encuesta'!$AO$2:$AO$511,"*f)*")</f>
        <v>0</v>
      </c>
      <c r="Z326" s="52" t="e">
        <f t="shared" si="457"/>
        <v>#DIV/0!</v>
      </c>
      <c r="AA326" s="3"/>
      <c r="AB326" s="62">
        <f t="shared" si="458"/>
        <v>1</v>
      </c>
      <c r="AC326" s="52">
        <f t="shared" si="459"/>
        <v>1.4285714285714286</v>
      </c>
      <c r="AD326" s="3"/>
      <c r="AE326" s="3"/>
      <c r="AF326" s="9" t="str">
        <f t="shared" si="460"/>
        <v>f) No aplica</v>
      </c>
      <c r="AG326" s="72">
        <f t="shared" si="461"/>
        <v>4.7619047619047619</v>
      </c>
      <c r="AH326" s="72">
        <f t="shared" si="462"/>
        <v>0</v>
      </c>
      <c r="AI326" s="73">
        <f t="shared" si="463"/>
        <v>2.6315789473684208</v>
      </c>
      <c r="AJ326" s="73"/>
      <c r="AK326" s="76">
        <f t="shared" si="464"/>
        <v>0</v>
      </c>
      <c r="AL326" s="76">
        <f t="shared" si="465"/>
        <v>0</v>
      </c>
      <c r="AM326" s="76">
        <f t="shared" si="466"/>
        <v>0</v>
      </c>
      <c r="AN326" s="76"/>
      <c r="AO326" s="81" t="e">
        <f t="shared" si="467"/>
        <v>#DIV/0!</v>
      </c>
      <c r="AP326" s="81" t="e">
        <f t="shared" si="468"/>
        <v>#DIV/0!</v>
      </c>
      <c r="AQ326" s="81" t="e">
        <f t="shared" si="469"/>
        <v>#DIV/0!</v>
      </c>
      <c r="AR326" s="3"/>
      <c r="AS326" s="76">
        <f t="shared" si="369"/>
        <v>1.4285714285714286</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ht="15" x14ac:dyDescent="0.25">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66.666666666666671</v>
      </c>
      <c r="AH327" s="82">
        <f>($F321*K321+$F322*K322+$F323*K323+$F324*K324+$F325*K325)/(K321+K322+K323+K324+K325)</f>
        <v>60</v>
      </c>
      <c r="AI327" s="82">
        <f>($F321*G321+$F322*G322+$F323*G323+$F324*G324+$F325*G325)/(G321+G322+G323+G324+G325)</f>
        <v>63.636363636363633</v>
      </c>
      <c r="AJ327" s="82"/>
      <c r="AK327" s="82">
        <f>($F321*Q321+$F322*Q322+$F323*Q323+$F324*Q324+$F325*Q325)/(Q321+Q322+Q323+Q324+Q325)</f>
        <v>80.769230769230774</v>
      </c>
      <c r="AL327" s="82">
        <f>($F321*S321+$F322*S322+$F323*S323+$F324*S324+$F325*S325)/(S321+S322+S323+S324+S325)</f>
        <v>69.642857142857153</v>
      </c>
      <c r="AM327" s="82">
        <f>($F321*O321+$F322*O322+$F323*O323+$F324*O324+$F325*O325)/(O321+O322+O323+O324+O325)</f>
        <v>75</v>
      </c>
      <c r="AN327" s="82"/>
      <c r="AO327" s="82" t="e">
        <f>($F321*W321+$F322*W322+$F323*W323+$F324*W324+$F325*W325)/(W321+W322+W323+W324+W325)</f>
        <v>#DIV/0!</v>
      </c>
      <c r="AP327" s="82" t="e">
        <f>($F321*Y321+$F322*Y322+$F323*Y323+$F324*Y324+$F325*Y325)/(Y321+Y322+Y323+Y324+Y325)</f>
        <v>#DIV/0!</v>
      </c>
      <c r="AQ327" s="82" t="e">
        <f>($F321*U321+$F322*U322+$F323*U323+$F324*U324+$F325*U325)/(U321+U322+U323+U324+U325)</f>
        <v>#DIV/0!</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ht="15" x14ac:dyDescent="0.25">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ht="15" x14ac:dyDescent="0.25">
      <c r="A329" s="8" t="s">
        <v>17</v>
      </c>
      <c r="B329" s="9" t="s">
        <v>229</v>
      </c>
      <c r="C329" s="7"/>
      <c r="D329" s="7"/>
      <c r="E329" s="7"/>
      <c r="F329" s="71">
        <v>100</v>
      </c>
      <c r="G329" s="51">
        <f t="shared" ref="G329:G334" si="470">I329+K329</f>
        <v>4</v>
      </c>
      <c r="H329" s="52">
        <f t="shared" ref="H329:H334" si="471">G329/$J$5*100</f>
        <v>10.526315789473683</v>
      </c>
      <c r="I329" s="53">
        <f>COUNTIFS('00 Encuesta'!$B$2:$B$511,"*b)*",'00 Encuesta'!$C$2:$C$511,"*a)*",'00 Encuesta'!$E$2:$E$511,"*a)*",'00 Encuesta'!$AP$2:$AP$511,"*a)*")</f>
        <v>2</v>
      </c>
      <c r="J329" s="52">
        <f t="shared" ref="J329:J334" si="472">I329/$J$6*100</f>
        <v>9.5238095238095237</v>
      </c>
      <c r="K329" s="53">
        <f>COUNTIFS('00 Encuesta'!$B$2:$B$511,"*b)*",'00 Encuesta'!$C$2:$C$511,"*a)*",'00 Encuesta'!$E$2:$E$511,"*b)*",'00 Encuesta'!$AP$2:$AP$511,"*a)*")</f>
        <v>2</v>
      </c>
      <c r="L329" s="52">
        <f t="shared" ref="L329:L334" si="473">K329/$J$7*100</f>
        <v>11.76470588235294</v>
      </c>
      <c r="M329" s="23"/>
      <c r="N329" s="51">
        <f t="shared" ref="N329:N334" si="474">P329+R329</f>
        <v>1</v>
      </c>
      <c r="O329" s="52">
        <f t="shared" ref="O329:O334" si="475">N329/$Q$5*100</f>
        <v>3.125</v>
      </c>
      <c r="P329" s="53">
        <f>COUNTIFS('00 Encuesta'!$B$2:$B$511,"*b)*",'00 Encuesta'!$C$2:$C$511,"*b)*",'00 Encuesta'!$E$2:$E$511,"*a)*",'00 Encuesta'!$AP$2:$AP$511,"*a)*")</f>
        <v>1</v>
      </c>
      <c r="Q329" s="52">
        <f t="shared" ref="Q329:Q334" si="476">P329/$Q$6*100</f>
        <v>5.8823529411764701</v>
      </c>
      <c r="R329" s="53">
        <f>COUNTIFS('00 Encuesta'!$B$2:$B$511,"*b)*",'00 Encuesta'!$C$2:$C$511,"*b)*",'00 Encuesta'!$E$2:$E$511,"*b)*",'00 Encuesta'!$AP$2:$AP$511,"*a)*")</f>
        <v>0</v>
      </c>
      <c r="S329" s="52">
        <f t="shared" ref="S329:S334" si="477">R329/$Q$7*100</f>
        <v>0</v>
      </c>
      <c r="T329" s="3"/>
      <c r="U329" s="51">
        <f t="shared" ref="U329:U334" si="478">W329+Y329</f>
        <v>0</v>
      </c>
      <c r="V329" s="52" t="e">
        <f t="shared" ref="V329:V334" si="479">U329/$X$5*100</f>
        <v>#DIV/0!</v>
      </c>
      <c r="W329" s="53">
        <f>COUNTIFS('00 Encuesta'!$B$2:$B$511,"*b)*",'00 Encuesta'!$C$2:$C$511,"*d)*",'00 Encuesta'!$E$2:$E$511,"*a)*",'00 Encuesta'!$AP$2:$AP$511,"*a)*")</f>
        <v>0</v>
      </c>
      <c r="X329" s="52" t="e">
        <f t="shared" ref="X329:X334" si="480">W329/$X$6*100</f>
        <v>#DIV/0!</v>
      </c>
      <c r="Y329" s="53">
        <f>COUNTIFS('00 Encuesta'!$B$2:$B$511,"*b)*",'00 Encuesta'!$C$2:$C$511,"*d)*",'00 Encuesta'!$E$2:$E$511,"*b)*",'00 Encuesta'!$AP$2:$AP$511,"*a)*")</f>
        <v>0</v>
      </c>
      <c r="Z329" s="52" t="e">
        <f t="shared" ref="Z329:Z334" si="481">Y329/$X$7*100</f>
        <v>#DIV/0!</v>
      </c>
      <c r="AA329" s="3"/>
      <c r="AB329" s="62">
        <f t="shared" ref="AB329:AB334" si="482">G329+N329+U329</f>
        <v>5</v>
      </c>
      <c r="AC329" s="52">
        <f t="shared" ref="AC329:AC334" si="483">AB329*100/$AC$5</f>
        <v>7.1428571428571432</v>
      </c>
      <c r="AD329" s="3"/>
      <c r="AE329" s="3"/>
      <c r="AF329" s="9" t="str">
        <f t="shared" ref="AF329:AF334" si="484">A329&amp;" "&amp;B329</f>
        <v>a) Muy buena</v>
      </c>
      <c r="AG329" s="72">
        <f t="shared" ref="AG329:AG334" si="485">J329</f>
        <v>9.5238095238095237</v>
      </c>
      <c r="AH329" s="72">
        <f t="shared" ref="AH329:AH334" si="486">L329</f>
        <v>11.76470588235294</v>
      </c>
      <c r="AI329" s="73">
        <f t="shared" ref="AI329:AI334" si="487">H329</f>
        <v>10.526315789473683</v>
      </c>
      <c r="AJ329" s="73"/>
      <c r="AK329" s="76">
        <f t="shared" ref="AK329:AK334" si="488">Q329</f>
        <v>5.8823529411764701</v>
      </c>
      <c r="AL329" s="76">
        <f t="shared" ref="AL329:AL334" si="489">S329</f>
        <v>0</v>
      </c>
      <c r="AM329" s="76">
        <f t="shared" ref="AM329:AM334" si="490">O329</f>
        <v>3.125</v>
      </c>
      <c r="AN329" s="76"/>
      <c r="AO329" s="81" t="e">
        <f t="shared" ref="AO329:AO334" si="491">X329</f>
        <v>#DIV/0!</v>
      </c>
      <c r="AP329" s="81" t="e">
        <f t="shared" ref="AP329:AP334" si="492">Z329</f>
        <v>#DIV/0!</v>
      </c>
      <c r="AQ329" s="81" t="e">
        <f t="shared" ref="AQ329:AQ334" si="493">V329</f>
        <v>#DIV/0!</v>
      </c>
      <c r="AR329" s="3"/>
      <c r="AS329" s="76">
        <f t="shared" si="369"/>
        <v>7.1428571428571432</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ht="15" x14ac:dyDescent="0.25">
      <c r="A330" s="8" t="s">
        <v>18</v>
      </c>
      <c r="B330" s="9" t="s">
        <v>230</v>
      </c>
      <c r="C330" s="7"/>
      <c r="D330" s="7"/>
      <c r="E330" s="7"/>
      <c r="F330" s="71">
        <v>75</v>
      </c>
      <c r="G330" s="51">
        <f t="shared" si="470"/>
        <v>9</v>
      </c>
      <c r="H330" s="52">
        <f t="shared" si="471"/>
        <v>23.684210526315788</v>
      </c>
      <c r="I330" s="53">
        <f>COUNTIFS('00 Encuesta'!$B$2:$B$511,"*b)*",'00 Encuesta'!$C$2:$C$511,"*a)*",'00 Encuesta'!$E$2:$E$511,"*a)*",'00 Encuesta'!$AP$2:$AP$511,"*b)*")</f>
        <v>5</v>
      </c>
      <c r="J330" s="52">
        <f t="shared" si="472"/>
        <v>23.809523809523807</v>
      </c>
      <c r="K330" s="53">
        <f>COUNTIFS('00 Encuesta'!$B$2:$B$511,"*b)*",'00 Encuesta'!$C$2:$C$511,"*a)*",'00 Encuesta'!$E$2:$E$511,"*b)*",'00 Encuesta'!$AP$2:$AP$511,"*b)*")</f>
        <v>4</v>
      </c>
      <c r="L330" s="52">
        <f t="shared" si="473"/>
        <v>23.52941176470588</v>
      </c>
      <c r="M330" s="23"/>
      <c r="N330" s="51">
        <f t="shared" si="474"/>
        <v>6</v>
      </c>
      <c r="O330" s="52">
        <f t="shared" si="475"/>
        <v>18.75</v>
      </c>
      <c r="P330" s="53">
        <f>COUNTIFS('00 Encuesta'!$B$2:$B$511,"*b)*",'00 Encuesta'!$C$2:$C$511,"*b)*",'00 Encuesta'!$E$2:$E$511,"*a)*",'00 Encuesta'!$AP$2:$AP$511,"*b)*")</f>
        <v>3</v>
      </c>
      <c r="Q330" s="52">
        <f t="shared" si="476"/>
        <v>17.647058823529413</v>
      </c>
      <c r="R330" s="53">
        <f>COUNTIFS('00 Encuesta'!$B$2:$B$511,"*b)*",'00 Encuesta'!$C$2:$C$511,"*b)*",'00 Encuesta'!$E$2:$E$511,"*b)*",'00 Encuesta'!$AP$2:$AP$511,"*b)*")</f>
        <v>3</v>
      </c>
      <c r="S330" s="52">
        <f t="shared" si="477"/>
        <v>20</v>
      </c>
      <c r="T330" s="3"/>
      <c r="U330" s="51">
        <f t="shared" si="478"/>
        <v>0</v>
      </c>
      <c r="V330" s="52" t="e">
        <f t="shared" si="479"/>
        <v>#DIV/0!</v>
      </c>
      <c r="W330" s="53">
        <f>COUNTIFS('00 Encuesta'!$B$2:$B$511,"*b)*",'00 Encuesta'!$C$2:$C$511,"*d)*",'00 Encuesta'!$E$2:$E$511,"*a)*",'00 Encuesta'!$AP$2:$AP$511,"*b)*")</f>
        <v>0</v>
      </c>
      <c r="X330" s="52" t="e">
        <f t="shared" si="480"/>
        <v>#DIV/0!</v>
      </c>
      <c r="Y330" s="53">
        <f>COUNTIFS('00 Encuesta'!$B$2:$B$511,"*b)*",'00 Encuesta'!$C$2:$C$511,"*d)*",'00 Encuesta'!$E$2:$E$511,"*b)*",'00 Encuesta'!$AP$2:$AP$511,"*b)*")</f>
        <v>0</v>
      </c>
      <c r="Z330" s="52" t="e">
        <f t="shared" si="481"/>
        <v>#DIV/0!</v>
      </c>
      <c r="AA330" s="3"/>
      <c r="AB330" s="62">
        <f t="shared" si="482"/>
        <v>15</v>
      </c>
      <c r="AC330" s="52">
        <f t="shared" si="483"/>
        <v>21.428571428571427</v>
      </c>
      <c r="AD330" s="3"/>
      <c r="AE330" s="3"/>
      <c r="AF330" s="9" t="str">
        <f t="shared" si="484"/>
        <v>b) Buena</v>
      </c>
      <c r="AG330" s="72">
        <f t="shared" si="485"/>
        <v>23.809523809523807</v>
      </c>
      <c r="AH330" s="72">
        <f t="shared" si="486"/>
        <v>23.52941176470588</v>
      </c>
      <c r="AI330" s="73">
        <f t="shared" si="487"/>
        <v>23.684210526315788</v>
      </c>
      <c r="AJ330" s="73"/>
      <c r="AK330" s="76">
        <f t="shared" si="488"/>
        <v>17.647058823529413</v>
      </c>
      <c r="AL330" s="76">
        <f t="shared" si="489"/>
        <v>20</v>
      </c>
      <c r="AM330" s="76">
        <f t="shared" si="490"/>
        <v>18.75</v>
      </c>
      <c r="AN330" s="76"/>
      <c r="AO330" s="81" t="e">
        <f t="shared" si="491"/>
        <v>#DIV/0!</v>
      </c>
      <c r="AP330" s="81" t="e">
        <f t="shared" si="492"/>
        <v>#DIV/0!</v>
      </c>
      <c r="AQ330" s="81" t="e">
        <f t="shared" si="493"/>
        <v>#DIV/0!</v>
      </c>
      <c r="AR330" s="3"/>
      <c r="AS330" s="76">
        <f t="shared" si="369"/>
        <v>21.428571428571427</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ht="15" x14ac:dyDescent="0.25">
      <c r="A331" s="8" t="s">
        <v>20</v>
      </c>
      <c r="B331" s="9" t="s">
        <v>218</v>
      </c>
      <c r="C331" s="7"/>
      <c r="D331" s="7"/>
      <c r="E331" s="7"/>
      <c r="F331" s="71">
        <v>50</v>
      </c>
      <c r="G331" s="51">
        <f t="shared" si="470"/>
        <v>11</v>
      </c>
      <c r="H331" s="52">
        <f t="shared" si="471"/>
        <v>28.947368421052634</v>
      </c>
      <c r="I331" s="53">
        <f>COUNTIFS('00 Encuesta'!$B$2:$B$511,"*b)*",'00 Encuesta'!$C$2:$C$511,"*a)*",'00 Encuesta'!$E$2:$E$511,"*a)*",'00 Encuesta'!$AP$2:$AP$511,"*c)*")</f>
        <v>6</v>
      </c>
      <c r="J331" s="52">
        <f t="shared" si="472"/>
        <v>28.571428571428569</v>
      </c>
      <c r="K331" s="53">
        <f>COUNTIFS('00 Encuesta'!$B$2:$B$511,"*b)*",'00 Encuesta'!$C$2:$C$511,"*a)*",'00 Encuesta'!$E$2:$E$511,"*b)*",'00 Encuesta'!$AP$2:$AP$511,"*c)*")</f>
        <v>5</v>
      </c>
      <c r="L331" s="52">
        <f t="shared" si="473"/>
        <v>29.411764705882355</v>
      </c>
      <c r="M331" s="23"/>
      <c r="N331" s="51">
        <f t="shared" si="474"/>
        <v>11</v>
      </c>
      <c r="O331" s="52">
        <f t="shared" si="475"/>
        <v>34.375</v>
      </c>
      <c r="P331" s="53">
        <f>COUNTIFS('00 Encuesta'!$B$2:$B$511,"*b)*",'00 Encuesta'!$C$2:$C$511,"*b)*",'00 Encuesta'!$E$2:$E$511,"*a)*",'00 Encuesta'!$AP$2:$AP$511,"*c)*")</f>
        <v>7</v>
      </c>
      <c r="Q331" s="52">
        <f t="shared" si="476"/>
        <v>41.17647058823529</v>
      </c>
      <c r="R331" s="53">
        <f>COUNTIFS('00 Encuesta'!$B$2:$B$511,"*b)*",'00 Encuesta'!$C$2:$C$511,"*b)*",'00 Encuesta'!$E$2:$E$511,"*b)*",'00 Encuesta'!$AP$2:$AP$511,"*c)*")</f>
        <v>4</v>
      </c>
      <c r="S331" s="52">
        <f t="shared" si="477"/>
        <v>26.666666666666668</v>
      </c>
      <c r="T331" s="3"/>
      <c r="U331" s="51">
        <f t="shared" si="478"/>
        <v>0</v>
      </c>
      <c r="V331" s="52" t="e">
        <f t="shared" si="479"/>
        <v>#DIV/0!</v>
      </c>
      <c r="W331" s="53">
        <f>COUNTIFS('00 Encuesta'!$B$2:$B$511,"*b)*",'00 Encuesta'!$C$2:$C$511,"*d)*",'00 Encuesta'!$E$2:$E$511,"*a)*",'00 Encuesta'!$AP$2:$AP$511,"*c)*")</f>
        <v>0</v>
      </c>
      <c r="X331" s="52" t="e">
        <f t="shared" si="480"/>
        <v>#DIV/0!</v>
      </c>
      <c r="Y331" s="53">
        <f>COUNTIFS('00 Encuesta'!$B$2:$B$511,"*b)*",'00 Encuesta'!$C$2:$C$511,"*d)*",'00 Encuesta'!$E$2:$E$511,"*b)*",'00 Encuesta'!$AP$2:$AP$511,"*c)*")</f>
        <v>0</v>
      </c>
      <c r="Z331" s="52" t="e">
        <f t="shared" si="481"/>
        <v>#DIV/0!</v>
      </c>
      <c r="AA331" s="3"/>
      <c r="AB331" s="62">
        <f t="shared" si="482"/>
        <v>22</v>
      </c>
      <c r="AC331" s="52">
        <f t="shared" si="483"/>
        <v>31.428571428571427</v>
      </c>
      <c r="AD331" s="3"/>
      <c r="AE331" s="3"/>
      <c r="AF331" s="9" t="str">
        <f t="shared" si="484"/>
        <v>c) Regular</v>
      </c>
      <c r="AG331" s="72">
        <f t="shared" si="485"/>
        <v>28.571428571428569</v>
      </c>
      <c r="AH331" s="72">
        <f t="shared" si="486"/>
        <v>29.411764705882355</v>
      </c>
      <c r="AI331" s="73">
        <f t="shared" si="487"/>
        <v>28.947368421052634</v>
      </c>
      <c r="AJ331" s="73"/>
      <c r="AK331" s="76">
        <f t="shared" si="488"/>
        <v>41.17647058823529</v>
      </c>
      <c r="AL331" s="76">
        <f t="shared" si="489"/>
        <v>26.666666666666668</v>
      </c>
      <c r="AM331" s="76">
        <f t="shared" si="490"/>
        <v>34.375</v>
      </c>
      <c r="AN331" s="76"/>
      <c r="AO331" s="81" t="e">
        <f t="shared" si="491"/>
        <v>#DIV/0!</v>
      </c>
      <c r="AP331" s="81" t="e">
        <f t="shared" si="492"/>
        <v>#DIV/0!</v>
      </c>
      <c r="AQ331" s="81" t="e">
        <f t="shared" si="493"/>
        <v>#DIV/0!</v>
      </c>
      <c r="AR331" s="3"/>
      <c r="AS331" s="76">
        <f t="shared" si="369"/>
        <v>31.428571428571427</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ht="15" x14ac:dyDescent="0.25">
      <c r="A332" s="8" t="s">
        <v>21</v>
      </c>
      <c r="B332" s="9" t="s">
        <v>231</v>
      </c>
      <c r="C332" s="7"/>
      <c r="D332" s="7"/>
      <c r="E332" s="7"/>
      <c r="F332" s="71">
        <v>25</v>
      </c>
      <c r="G332" s="51">
        <f t="shared" si="470"/>
        <v>3</v>
      </c>
      <c r="H332" s="52">
        <f t="shared" si="471"/>
        <v>7.8947368421052628</v>
      </c>
      <c r="I332" s="53">
        <f>COUNTIFS('00 Encuesta'!$B$2:$B$511,"*b)*",'00 Encuesta'!$C$2:$C$511,"*a)*",'00 Encuesta'!$E$2:$E$511,"*a)*",'00 Encuesta'!$AP$2:$AP$511,"*d)*")</f>
        <v>1</v>
      </c>
      <c r="J332" s="52">
        <f t="shared" si="472"/>
        <v>4.7619047619047619</v>
      </c>
      <c r="K332" s="53">
        <f>COUNTIFS('00 Encuesta'!$B$2:$B$511,"*b)*",'00 Encuesta'!$C$2:$C$511,"*a)*",'00 Encuesta'!$E$2:$E$511,"*b)*",'00 Encuesta'!$AP$2:$AP$511,"*d)*")</f>
        <v>2</v>
      </c>
      <c r="L332" s="52">
        <f t="shared" si="473"/>
        <v>11.76470588235294</v>
      </c>
      <c r="M332" s="23"/>
      <c r="N332" s="51">
        <f t="shared" si="474"/>
        <v>3</v>
      </c>
      <c r="O332" s="52">
        <f t="shared" si="475"/>
        <v>9.375</v>
      </c>
      <c r="P332" s="53">
        <f>COUNTIFS('00 Encuesta'!$B$2:$B$511,"*b)*",'00 Encuesta'!$C$2:$C$511,"*b)*",'00 Encuesta'!$E$2:$E$511,"*a)*",'00 Encuesta'!$AP$2:$AP$511,"*d)*")</f>
        <v>1</v>
      </c>
      <c r="Q332" s="52">
        <f t="shared" si="476"/>
        <v>5.8823529411764701</v>
      </c>
      <c r="R332" s="53">
        <f>COUNTIFS('00 Encuesta'!$B$2:$B$511,"*b)*",'00 Encuesta'!$C$2:$C$511,"*b)*",'00 Encuesta'!$E$2:$E$511,"*b)*",'00 Encuesta'!$AP$2:$AP$511,"*d)*")</f>
        <v>2</v>
      </c>
      <c r="S332" s="52">
        <f t="shared" si="477"/>
        <v>13.333333333333334</v>
      </c>
      <c r="T332" s="3"/>
      <c r="U332" s="51">
        <f t="shared" si="478"/>
        <v>0</v>
      </c>
      <c r="V332" s="52" t="e">
        <f t="shared" si="479"/>
        <v>#DIV/0!</v>
      </c>
      <c r="W332" s="53">
        <f>COUNTIFS('00 Encuesta'!$B$2:$B$511,"*b)*",'00 Encuesta'!$C$2:$C$511,"*d)*",'00 Encuesta'!$E$2:$E$511,"*a)*",'00 Encuesta'!$AP$2:$AP$511,"*d)*")</f>
        <v>0</v>
      </c>
      <c r="X332" s="52" t="e">
        <f t="shared" si="480"/>
        <v>#DIV/0!</v>
      </c>
      <c r="Y332" s="53">
        <f>COUNTIFS('00 Encuesta'!$B$2:$B$511,"*b)*",'00 Encuesta'!$C$2:$C$511,"*d)*",'00 Encuesta'!$E$2:$E$511,"*b)*",'00 Encuesta'!$AP$2:$AP$511,"*d)*")</f>
        <v>0</v>
      </c>
      <c r="Z332" s="52" t="e">
        <f t="shared" si="481"/>
        <v>#DIV/0!</v>
      </c>
      <c r="AA332" s="3"/>
      <c r="AB332" s="62">
        <f t="shared" si="482"/>
        <v>6</v>
      </c>
      <c r="AC332" s="52">
        <f t="shared" si="483"/>
        <v>8.5714285714285712</v>
      </c>
      <c r="AD332" s="3"/>
      <c r="AE332" s="3"/>
      <c r="AF332" s="9" t="str">
        <f t="shared" si="484"/>
        <v>d) Mala</v>
      </c>
      <c r="AG332" s="72">
        <f t="shared" si="485"/>
        <v>4.7619047619047619</v>
      </c>
      <c r="AH332" s="72">
        <f t="shared" si="486"/>
        <v>11.76470588235294</v>
      </c>
      <c r="AI332" s="73">
        <f t="shared" si="487"/>
        <v>7.8947368421052628</v>
      </c>
      <c r="AJ332" s="73"/>
      <c r="AK332" s="76">
        <f t="shared" si="488"/>
        <v>5.8823529411764701</v>
      </c>
      <c r="AL332" s="76">
        <f t="shared" si="489"/>
        <v>13.333333333333334</v>
      </c>
      <c r="AM332" s="76">
        <f t="shared" si="490"/>
        <v>9.375</v>
      </c>
      <c r="AN332" s="76"/>
      <c r="AO332" s="81" t="e">
        <f t="shared" si="491"/>
        <v>#DIV/0!</v>
      </c>
      <c r="AP332" s="81" t="e">
        <f t="shared" si="492"/>
        <v>#DIV/0!</v>
      </c>
      <c r="AQ332" s="81" t="e">
        <f t="shared" si="493"/>
        <v>#DIV/0!</v>
      </c>
      <c r="AR332" s="3"/>
      <c r="AS332" s="76">
        <f t="shared" si="369"/>
        <v>8.5714285714285712</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ht="15" x14ac:dyDescent="0.25">
      <c r="A333" s="8" t="s">
        <v>22</v>
      </c>
      <c r="B333" s="9" t="s">
        <v>232</v>
      </c>
      <c r="C333" s="7"/>
      <c r="D333" s="7"/>
      <c r="E333" s="7"/>
      <c r="F333" s="71">
        <v>0</v>
      </c>
      <c r="G333" s="51">
        <f t="shared" si="470"/>
        <v>4</v>
      </c>
      <c r="H333" s="52">
        <f t="shared" si="471"/>
        <v>10.526315789473683</v>
      </c>
      <c r="I333" s="53">
        <f>COUNTIFS('00 Encuesta'!$B$2:$B$511,"*b)*",'00 Encuesta'!$C$2:$C$511,"*a)*",'00 Encuesta'!$E$2:$E$511,"*a)*",'00 Encuesta'!$AP$2:$AP$511,"*e)*")</f>
        <v>3</v>
      </c>
      <c r="J333" s="52">
        <f t="shared" si="472"/>
        <v>14.285714285714285</v>
      </c>
      <c r="K333" s="53">
        <f>COUNTIFS('00 Encuesta'!$B$2:$B$511,"*b)*",'00 Encuesta'!$C$2:$C$511,"*a)*",'00 Encuesta'!$E$2:$E$511,"*b)*",'00 Encuesta'!$AP$2:$AP$511,"*e)*")</f>
        <v>1</v>
      </c>
      <c r="L333" s="52">
        <f t="shared" si="473"/>
        <v>5.8823529411764701</v>
      </c>
      <c r="M333" s="23"/>
      <c r="N333" s="51">
        <f t="shared" si="474"/>
        <v>0</v>
      </c>
      <c r="O333" s="52">
        <f t="shared" si="475"/>
        <v>0</v>
      </c>
      <c r="P333" s="53">
        <f>COUNTIFS('00 Encuesta'!$B$2:$B$511,"*b)*",'00 Encuesta'!$C$2:$C$511,"*b)*",'00 Encuesta'!$E$2:$E$511,"*a)*",'00 Encuesta'!$AP$2:$AP$511,"*e)*")</f>
        <v>0</v>
      </c>
      <c r="Q333" s="52">
        <f t="shared" si="476"/>
        <v>0</v>
      </c>
      <c r="R333" s="53">
        <f>COUNTIFS('00 Encuesta'!$B$2:$B$511,"*b)*",'00 Encuesta'!$C$2:$C$511,"*b)*",'00 Encuesta'!$E$2:$E$511,"*b)*",'00 Encuesta'!$AP$2:$AP$511,"*e)*")</f>
        <v>0</v>
      </c>
      <c r="S333" s="52">
        <f t="shared" si="477"/>
        <v>0</v>
      </c>
      <c r="T333" s="3"/>
      <c r="U333" s="51">
        <f t="shared" si="478"/>
        <v>0</v>
      </c>
      <c r="V333" s="52" t="e">
        <f t="shared" si="479"/>
        <v>#DIV/0!</v>
      </c>
      <c r="W333" s="53">
        <f>COUNTIFS('00 Encuesta'!$B$2:$B$511,"*b)*",'00 Encuesta'!$C$2:$C$511,"*d)*",'00 Encuesta'!$E$2:$E$511,"*a)*",'00 Encuesta'!$AP$2:$AP$511,"*e)*")</f>
        <v>0</v>
      </c>
      <c r="X333" s="52" t="e">
        <f t="shared" si="480"/>
        <v>#DIV/0!</v>
      </c>
      <c r="Y333" s="53">
        <f>COUNTIFS('00 Encuesta'!$B$2:$B$511,"*b)*",'00 Encuesta'!$C$2:$C$511,"*d)*",'00 Encuesta'!$E$2:$E$511,"*b)*",'00 Encuesta'!$AP$2:$AP$511,"*e)*")</f>
        <v>0</v>
      </c>
      <c r="Z333" s="52" t="e">
        <f t="shared" si="481"/>
        <v>#DIV/0!</v>
      </c>
      <c r="AA333" s="3"/>
      <c r="AB333" s="62">
        <f t="shared" si="482"/>
        <v>4</v>
      </c>
      <c r="AC333" s="52">
        <f t="shared" si="483"/>
        <v>5.7142857142857144</v>
      </c>
      <c r="AD333" s="3"/>
      <c r="AE333" s="3"/>
      <c r="AF333" s="9" t="str">
        <f t="shared" si="484"/>
        <v>e) Muy mala</v>
      </c>
      <c r="AG333" s="72">
        <f t="shared" si="485"/>
        <v>14.285714285714285</v>
      </c>
      <c r="AH333" s="72">
        <f t="shared" si="486"/>
        <v>5.8823529411764701</v>
      </c>
      <c r="AI333" s="73">
        <f t="shared" si="487"/>
        <v>10.526315789473683</v>
      </c>
      <c r="AJ333" s="73"/>
      <c r="AK333" s="76">
        <f t="shared" si="488"/>
        <v>0</v>
      </c>
      <c r="AL333" s="76">
        <f t="shared" si="489"/>
        <v>0</v>
      </c>
      <c r="AM333" s="76">
        <f t="shared" si="490"/>
        <v>0</v>
      </c>
      <c r="AN333" s="76"/>
      <c r="AO333" s="81" t="e">
        <f t="shared" si="491"/>
        <v>#DIV/0!</v>
      </c>
      <c r="AP333" s="81" t="e">
        <f t="shared" si="492"/>
        <v>#DIV/0!</v>
      </c>
      <c r="AQ333" s="81" t="e">
        <f t="shared" si="493"/>
        <v>#DIV/0!</v>
      </c>
      <c r="AR333" s="3"/>
      <c r="AS333" s="76">
        <f t="shared" si="369"/>
        <v>5.7142857142857144</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ht="15" x14ac:dyDescent="0.25">
      <c r="A334" s="8" t="s">
        <v>45</v>
      </c>
      <c r="B334" s="9" t="s">
        <v>233</v>
      </c>
      <c r="C334" s="7"/>
      <c r="D334" s="7"/>
      <c r="E334" s="7"/>
      <c r="F334" s="71"/>
      <c r="G334" s="51">
        <f t="shared" si="470"/>
        <v>3</v>
      </c>
      <c r="H334" s="52">
        <f t="shared" si="471"/>
        <v>7.8947368421052628</v>
      </c>
      <c r="I334" s="53">
        <f>COUNTIFS('00 Encuesta'!$B$2:$B$511,"*b)*",'00 Encuesta'!$C$2:$C$511,"*a)*",'00 Encuesta'!$E$2:$E$511,"*a)*",'00 Encuesta'!$AP$2:$AP$511,"*f)*")</f>
        <v>1</v>
      </c>
      <c r="J334" s="52">
        <f t="shared" si="472"/>
        <v>4.7619047619047619</v>
      </c>
      <c r="K334" s="53">
        <f>COUNTIFS('00 Encuesta'!$B$2:$B$511,"*b)*",'00 Encuesta'!$C$2:$C$511,"*a)*",'00 Encuesta'!$E$2:$E$511,"*b)*",'00 Encuesta'!$AP$2:$AP$511,"*f)*")</f>
        <v>2</v>
      </c>
      <c r="L334" s="52">
        <f t="shared" si="473"/>
        <v>11.76470588235294</v>
      </c>
      <c r="M334" s="23"/>
      <c r="N334" s="51">
        <f t="shared" si="474"/>
        <v>7</v>
      </c>
      <c r="O334" s="52">
        <f t="shared" si="475"/>
        <v>21.875</v>
      </c>
      <c r="P334" s="53">
        <f>COUNTIFS('00 Encuesta'!$B$2:$B$511,"*b)*",'00 Encuesta'!$C$2:$C$511,"*b)*",'00 Encuesta'!$E$2:$E$511,"*a)*",'00 Encuesta'!$AP$2:$AP$511,"*f)*")</f>
        <v>1</v>
      </c>
      <c r="Q334" s="52">
        <f t="shared" si="476"/>
        <v>5.8823529411764701</v>
      </c>
      <c r="R334" s="53">
        <f>COUNTIFS('00 Encuesta'!$B$2:$B$511,"*b)*",'00 Encuesta'!$C$2:$C$511,"*b)*",'00 Encuesta'!$E$2:$E$511,"*b)*",'00 Encuesta'!$AP$2:$AP$511,"*f)*")</f>
        <v>6</v>
      </c>
      <c r="S334" s="52">
        <f t="shared" si="477"/>
        <v>40</v>
      </c>
      <c r="T334" s="3"/>
      <c r="U334" s="51">
        <f t="shared" si="478"/>
        <v>0</v>
      </c>
      <c r="V334" s="52" t="e">
        <f t="shared" si="479"/>
        <v>#DIV/0!</v>
      </c>
      <c r="W334" s="53">
        <f>COUNTIFS('00 Encuesta'!$B$2:$B$511,"*b)*",'00 Encuesta'!$C$2:$C$511,"*d)*",'00 Encuesta'!$E$2:$E$511,"*a)*",'00 Encuesta'!$AP$2:$AP$511,"*f)*")</f>
        <v>0</v>
      </c>
      <c r="X334" s="52" t="e">
        <f t="shared" si="480"/>
        <v>#DIV/0!</v>
      </c>
      <c r="Y334" s="53">
        <f>COUNTIFS('00 Encuesta'!$B$2:$B$511,"*b)*",'00 Encuesta'!$C$2:$C$511,"*d)*",'00 Encuesta'!$E$2:$E$511,"*b)*",'00 Encuesta'!$AP$2:$AP$511,"*f)*")</f>
        <v>0</v>
      </c>
      <c r="Z334" s="52" t="e">
        <f t="shared" si="481"/>
        <v>#DIV/0!</v>
      </c>
      <c r="AA334" s="3"/>
      <c r="AB334" s="62">
        <f t="shared" si="482"/>
        <v>10</v>
      </c>
      <c r="AC334" s="52">
        <f t="shared" si="483"/>
        <v>14.285714285714286</v>
      </c>
      <c r="AD334" s="3"/>
      <c r="AE334" s="3"/>
      <c r="AF334" s="9" t="str">
        <f t="shared" si="484"/>
        <v>f) No aplica</v>
      </c>
      <c r="AG334" s="72">
        <f t="shared" si="485"/>
        <v>4.7619047619047619</v>
      </c>
      <c r="AH334" s="72">
        <f t="shared" si="486"/>
        <v>11.76470588235294</v>
      </c>
      <c r="AI334" s="73">
        <f t="shared" si="487"/>
        <v>7.8947368421052628</v>
      </c>
      <c r="AJ334" s="73"/>
      <c r="AK334" s="76">
        <f t="shared" si="488"/>
        <v>5.8823529411764701</v>
      </c>
      <c r="AL334" s="76">
        <f t="shared" si="489"/>
        <v>40</v>
      </c>
      <c r="AM334" s="76">
        <f t="shared" si="490"/>
        <v>21.875</v>
      </c>
      <c r="AN334" s="76"/>
      <c r="AO334" s="81" t="e">
        <f t="shared" si="491"/>
        <v>#DIV/0!</v>
      </c>
      <c r="AP334" s="81" t="e">
        <f t="shared" si="492"/>
        <v>#DIV/0!</v>
      </c>
      <c r="AQ334" s="81" t="e">
        <f t="shared" si="493"/>
        <v>#DIV/0!</v>
      </c>
      <c r="AR334" s="3"/>
      <c r="AS334" s="76">
        <f t="shared" si="369"/>
        <v>14.285714285714286</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ht="15" x14ac:dyDescent="0.25">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52.941176470588232</v>
      </c>
      <c r="AH335" s="82">
        <f>($F329*K329+$F330*K330+$F331*K331+$F332*K332+$F333*K333)/(K329+K330+K331+K332+K333)</f>
        <v>57.142857142857146</v>
      </c>
      <c r="AI335" s="82">
        <f>($F329*G329+$F330*G330+$F331*G331+$F332*G332+$F333*G333)/(G329+G330+G331+G332+G333)</f>
        <v>54.838709677419352</v>
      </c>
      <c r="AJ335" s="82"/>
      <c r="AK335" s="82">
        <f>($F329*Q329+$F330*Q330+$F331*Q331+$F332*Q332+$F333*Q333)/(Q329+Q330+Q331+Q332+Q333)</f>
        <v>58.333333333333343</v>
      </c>
      <c r="AL335" s="82">
        <f>($F329*S329+$F330*S330+$F331*S331+$F332*S332+$F333*S333)/(S329+S330+S331+S332+S333)</f>
        <v>52.777777777777779</v>
      </c>
      <c r="AM335" s="82">
        <f>($F329*O329+$F330*O330+$F331*O331+$F332*O332+$F333*O333)/(O329+O330+O331+O332+O333)</f>
        <v>55.952380952380949</v>
      </c>
      <c r="AN335" s="82"/>
      <c r="AO335" s="82" t="e">
        <f>($F329*W329+$F330*W330+$F331*W331+$F332*W332+$F333*W333)/(W329+W330+W331+W332+W333)</f>
        <v>#DIV/0!</v>
      </c>
      <c r="AP335" s="82" t="e">
        <f>($F329*Y329+$F330*Y330+$F331*Y331+$F332*Y332+$F333*Y333)/(Y329+Y330+Y331+Y332+Y333)</f>
        <v>#DIV/0!</v>
      </c>
      <c r="AQ335" s="82" t="e">
        <f>($F329*U329+$F330*U330+$F331*U331+$F332*U332+$F333*U333)/(U329+U330+U331+U332+U333)</f>
        <v>#DIV/0!</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ht="15" x14ac:dyDescent="0.25">
      <c r="A337" s="8" t="s">
        <v>17</v>
      </c>
      <c r="B337" s="9" t="s">
        <v>229</v>
      </c>
      <c r="C337" s="7"/>
      <c r="D337" s="7"/>
      <c r="E337" s="7"/>
      <c r="F337" s="71">
        <v>100</v>
      </c>
      <c r="G337" s="51">
        <f t="shared" ref="G337:G342" si="494">I337+K337</f>
        <v>14</v>
      </c>
      <c r="H337" s="52">
        <f t="shared" ref="H337:H342" si="495">G337/$J$5*100</f>
        <v>36.84210526315789</v>
      </c>
      <c r="I337" s="53">
        <f>COUNTIFS('00 Encuesta'!$B$2:$B$511,"*b)*",'00 Encuesta'!$C$2:$C$511,"*a)*",'00 Encuesta'!$E$2:$E$511,"*a)*",'00 Encuesta'!$AQ$2:$AQ$511,"*a)*")</f>
        <v>7</v>
      </c>
      <c r="J337" s="52">
        <f t="shared" ref="J337:J342" si="496">I337/$J$6*100</f>
        <v>33.333333333333329</v>
      </c>
      <c r="K337" s="53">
        <f>COUNTIFS('00 Encuesta'!$B$2:$B$511,"*b)*",'00 Encuesta'!$C$2:$C$511,"*a)*",'00 Encuesta'!$E$2:$E$511,"*b)*",'00 Encuesta'!$AQ$2:$AQ$511,"*a)*")</f>
        <v>7</v>
      </c>
      <c r="L337" s="52">
        <f t="shared" ref="L337:L342" si="497">K337/$J$7*100</f>
        <v>41.17647058823529</v>
      </c>
      <c r="M337" s="23"/>
      <c r="N337" s="51">
        <f t="shared" ref="N337:N342" si="498">P337+R337</f>
        <v>8</v>
      </c>
      <c r="O337" s="52">
        <f t="shared" ref="O337:O342" si="499">N337/$Q$5*100</f>
        <v>25</v>
      </c>
      <c r="P337" s="53">
        <f>COUNTIFS('00 Encuesta'!$B$2:$B$511,"*b)*",'00 Encuesta'!$C$2:$C$511,"*b)*",'00 Encuesta'!$E$2:$E$511,"*a)*",'00 Encuesta'!$AQ$2:$AQ$511,"*a)*")</f>
        <v>5</v>
      </c>
      <c r="Q337" s="52">
        <f t="shared" ref="Q337:Q342" si="500">P337/$Q$6*100</f>
        <v>29.411764705882355</v>
      </c>
      <c r="R337" s="53">
        <f>COUNTIFS('00 Encuesta'!$B$2:$B$511,"*b)*",'00 Encuesta'!$C$2:$C$511,"*b)*",'00 Encuesta'!$E$2:$E$511,"*b)*",'00 Encuesta'!$AQ$2:$AQ$511,"*a)*")</f>
        <v>3</v>
      </c>
      <c r="S337" s="52">
        <f t="shared" ref="S337:S342" si="501">R337/$Q$7*100</f>
        <v>20</v>
      </c>
      <c r="T337" s="3"/>
      <c r="U337" s="51">
        <f t="shared" ref="U337:U342" si="502">W337+Y337</f>
        <v>0</v>
      </c>
      <c r="V337" s="52" t="e">
        <f t="shared" ref="V337:V342" si="503">U337/$X$5*100</f>
        <v>#DIV/0!</v>
      </c>
      <c r="W337" s="53">
        <f>COUNTIFS('00 Encuesta'!$B$2:$B$511,"*b)*",'00 Encuesta'!$C$2:$C$511,"*d)*",'00 Encuesta'!$E$2:$E$511,"*a)*",'00 Encuesta'!$AQ$2:$AQ$511,"*a)*")</f>
        <v>0</v>
      </c>
      <c r="X337" s="52" t="e">
        <f t="shared" ref="X337:X342" si="504">W337/$X$6*100</f>
        <v>#DIV/0!</v>
      </c>
      <c r="Y337" s="53">
        <f>COUNTIFS('00 Encuesta'!$B$2:$B$511,"*b)*",'00 Encuesta'!$C$2:$C$511,"*d)*",'00 Encuesta'!$E$2:$E$511,"*b)*",'00 Encuesta'!$AQ$2:$AQ$511,"*a)*")</f>
        <v>0</v>
      </c>
      <c r="Z337" s="52" t="e">
        <f t="shared" ref="Z337:Z342" si="505">Y337/$X$7*100</f>
        <v>#DIV/0!</v>
      </c>
      <c r="AA337" s="3"/>
      <c r="AB337" s="62">
        <f t="shared" ref="AB337:AB342" si="506">G337+N337+U337</f>
        <v>22</v>
      </c>
      <c r="AC337" s="52">
        <f t="shared" ref="AC337:AC342" si="507">AB337*100/$AC$5</f>
        <v>31.428571428571427</v>
      </c>
      <c r="AD337" s="3"/>
      <c r="AE337" s="3"/>
      <c r="AF337" s="9" t="str">
        <f t="shared" ref="AF337:AF342" si="508">A337&amp;" "&amp;B337</f>
        <v>a) Muy buena</v>
      </c>
      <c r="AG337" s="72">
        <f t="shared" ref="AG337:AG342" si="509">J337</f>
        <v>33.333333333333329</v>
      </c>
      <c r="AH337" s="72">
        <f t="shared" ref="AH337:AH342" si="510">L337</f>
        <v>41.17647058823529</v>
      </c>
      <c r="AI337" s="73">
        <f t="shared" ref="AI337:AI342" si="511">H337</f>
        <v>36.84210526315789</v>
      </c>
      <c r="AJ337" s="73"/>
      <c r="AK337" s="76">
        <f t="shared" ref="AK337:AK342" si="512">Q337</f>
        <v>29.411764705882355</v>
      </c>
      <c r="AL337" s="76">
        <f t="shared" ref="AL337:AL342" si="513">S337</f>
        <v>20</v>
      </c>
      <c r="AM337" s="76">
        <f t="shared" ref="AM337:AM342" si="514">O337</f>
        <v>25</v>
      </c>
      <c r="AN337" s="76"/>
      <c r="AO337" s="81" t="e">
        <f t="shared" ref="AO337:AO342" si="515">X337</f>
        <v>#DIV/0!</v>
      </c>
      <c r="AP337" s="81" t="e">
        <f t="shared" ref="AP337:AP342" si="516">Z337</f>
        <v>#DIV/0!</v>
      </c>
      <c r="AQ337" s="81" t="e">
        <f t="shared" ref="AQ337:AQ342" si="517">V337</f>
        <v>#DIV/0!</v>
      </c>
      <c r="AR337" s="3"/>
      <c r="AS337" s="76">
        <f t="shared" si="369"/>
        <v>31.428571428571427</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ht="15" x14ac:dyDescent="0.25">
      <c r="A338" s="8" t="s">
        <v>18</v>
      </c>
      <c r="B338" s="9" t="s">
        <v>230</v>
      </c>
      <c r="C338" s="7"/>
      <c r="D338" s="7"/>
      <c r="E338" s="7"/>
      <c r="F338" s="71">
        <v>75</v>
      </c>
      <c r="G338" s="51">
        <f t="shared" si="494"/>
        <v>14</v>
      </c>
      <c r="H338" s="52">
        <f t="shared" si="495"/>
        <v>36.84210526315789</v>
      </c>
      <c r="I338" s="53">
        <f>COUNTIFS('00 Encuesta'!$B$2:$B$511,"*b)*",'00 Encuesta'!$C$2:$C$511,"*a)*",'00 Encuesta'!$E$2:$E$511,"*a)*",'00 Encuesta'!$AQ$2:$AQ$511,"*b)*")</f>
        <v>7</v>
      </c>
      <c r="J338" s="52">
        <f t="shared" si="496"/>
        <v>33.333333333333329</v>
      </c>
      <c r="K338" s="53">
        <f>COUNTIFS('00 Encuesta'!$B$2:$B$511,"*b)*",'00 Encuesta'!$C$2:$C$511,"*a)*",'00 Encuesta'!$E$2:$E$511,"*b)*",'00 Encuesta'!$AQ$2:$AQ$511,"*b)*")</f>
        <v>7</v>
      </c>
      <c r="L338" s="52">
        <f t="shared" si="497"/>
        <v>41.17647058823529</v>
      </c>
      <c r="M338" s="23"/>
      <c r="N338" s="51">
        <f t="shared" si="498"/>
        <v>14</v>
      </c>
      <c r="O338" s="52">
        <f t="shared" si="499"/>
        <v>43.75</v>
      </c>
      <c r="P338" s="53">
        <f>COUNTIFS('00 Encuesta'!$B$2:$B$511,"*b)*",'00 Encuesta'!$C$2:$C$511,"*b)*",'00 Encuesta'!$E$2:$E$511,"*a)*",'00 Encuesta'!$AQ$2:$AQ$511,"*b)*")</f>
        <v>5</v>
      </c>
      <c r="Q338" s="52">
        <f t="shared" si="500"/>
        <v>29.411764705882355</v>
      </c>
      <c r="R338" s="53">
        <f>COUNTIFS('00 Encuesta'!$B$2:$B$511,"*b)*",'00 Encuesta'!$C$2:$C$511,"*b)*",'00 Encuesta'!$E$2:$E$511,"*b)*",'00 Encuesta'!$AQ$2:$AQ$511,"*b)*")</f>
        <v>9</v>
      </c>
      <c r="S338" s="52">
        <f t="shared" si="501"/>
        <v>60</v>
      </c>
      <c r="T338" s="3"/>
      <c r="U338" s="51">
        <f t="shared" si="502"/>
        <v>0</v>
      </c>
      <c r="V338" s="52" t="e">
        <f t="shared" si="503"/>
        <v>#DIV/0!</v>
      </c>
      <c r="W338" s="53">
        <f>COUNTIFS('00 Encuesta'!$B$2:$B$511,"*b)*",'00 Encuesta'!$C$2:$C$511,"*d)*",'00 Encuesta'!$E$2:$E$511,"*a)*",'00 Encuesta'!$AQ$2:$AQ$511,"*b)*")</f>
        <v>0</v>
      </c>
      <c r="X338" s="52" t="e">
        <f t="shared" si="504"/>
        <v>#DIV/0!</v>
      </c>
      <c r="Y338" s="53">
        <f>COUNTIFS('00 Encuesta'!$B$2:$B$511,"*b)*",'00 Encuesta'!$C$2:$C$511,"*d)*",'00 Encuesta'!$E$2:$E$511,"*b)*",'00 Encuesta'!$AQ$2:$AQ$511,"*b)*")</f>
        <v>0</v>
      </c>
      <c r="Z338" s="52" t="e">
        <f t="shared" si="505"/>
        <v>#DIV/0!</v>
      </c>
      <c r="AA338" s="3"/>
      <c r="AB338" s="62">
        <f t="shared" si="506"/>
        <v>28</v>
      </c>
      <c r="AC338" s="52">
        <f t="shared" si="507"/>
        <v>40</v>
      </c>
      <c r="AD338" s="3"/>
      <c r="AE338" s="3"/>
      <c r="AF338" s="9" t="str">
        <f t="shared" si="508"/>
        <v>b) Buena</v>
      </c>
      <c r="AG338" s="72">
        <f t="shared" si="509"/>
        <v>33.333333333333329</v>
      </c>
      <c r="AH338" s="72">
        <f t="shared" si="510"/>
        <v>41.17647058823529</v>
      </c>
      <c r="AI338" s="73">
        <f t="shared" si="511"/>
        <v>36.84210526315789</v>
      </c>
      <c r="AJ338" s="73"/>
      <c r="AK338" s="76">
        <f t="shared" si="512"/>
        <v>29.411764705882355</v>
      </c>
      <c r="AL338" s="76">
        <f t="shared" si="513"/>
        <v>60</v>
      </c>
      <c r="AM338" s="76">
        <f t="shared" si="514"/>
        <v>43.75</v>
      </c>
      <c r="AN338" s="76"/>
      <c r="AO338" s="81" t="e">
        <f t="shared" si="515"/>
        <v>#DIV/0!</v>
      </c>
      <c r="AP338" s="81" t="e">
        <f t="shared" si="516"/>
        <v>#DIV/0!</v>
      </c>
      <c r="AQ338" s="81" t="e">
        <f t="shared" si="517"/>
        <v>#DIV/0!</v>
      </c>
      <c r="AR338" s="3"/>
      <c r="AS338" s="76">
        <f t="shared" si="369"/>
        <v>40</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ht="15" x14ac:dyDescent="0.25">
      <c r="A339" s="8" t="s">
        <v>20</v>
      </c>
      <c r="B339" s="9" t="s">
        <v>218</v>
      </c>
      <c r="C339" s="7"/>
      <c r="D339" s="7"/>
      <c r="E339" s="7"/>
      <c r="F339" s="71">
        <v>50</v>
      </c>
      <c r="G339" s="51">
        <f t="shared" si="494"/>
        <v>3</v>
      </c>
      <c r="H339" s="52">
        <f t="shared" si="495"/>
        <v>7.8947368421052628</v>
      </c>
      <c r="I339" s="53">
        <f>COUNTIFS('00 Encuesta'!$B$2:$B$511,"*b)*",'00 Encuesta'!$C$2:$C$511,"*a)*",'00 Encuesta'!$E$2:$E$511,"*a)*",'00 Encuesta'!$AQ$2:$AQ$511,"*c)*")</f>
        <v>2</v>
      </c>
      <c r="J339" s="52">
        <f t="shared" si="496"/>
        <v>9.5238095238095237</v>
      </c>
      <c r="K339" s="53">
        <f>COUNTIFS('00 Encuesta'!$B$2:$B$511,"*b)*",'00 Encuesta'!$C$2:$C$511,"*a)*",'00 Encuesta'!$E$2:$E$511,"*b)*",'00 Encuesta'!$AQ$2:$AQ$511,"*c)*")</f>
        <v>1</v>
      </c>
      <c r="L339" s="52">
        <f t="shared" si="497"/>
        <v>5.8823529411764701</v>
      </c>
      <c r="M339" s="23"/>
      <c r="N339" s="51">
        <f t="shared" si="498"/>
        <v>5</v>
      </c>
      <c r="O339" s="52">
        <f t="shared" si="499"/>
        <v>15.625</v>
      </c>
      <c r="P339" s="53">
        <f>COUNTIFS('00 Encuesta'!$B$2:$B$511,"*b)*",'00 Encuesta'!$C$2:$C$511,"*b)*",'00 Encuesta'!$E$2:$E$511,"*a)*",'00 Encuesta'!$AQ$2:$AQ$511,"*c)*")</f>
        <v>3</v>
      </c>
      <c r="Q339" s="52">
        <f t="shared" si="500"/>
        <v>17.647058823529413</v>
      </c>
      <c r="R339" s="53">
        <f>COUNTIFS('00 Encuesta'!$B$2:$B$511,"*b)*",'00 Encuesta'!$C$2:$C$511,"*b)*",'00 Encuesta'!$E$2:$E$511,"*b)*",'00 Encuesta'!$AQ$2:$AQ$511,"*c)*")</f>
        <v>2</v>
      </c>
      <c r="S339" s="52">
        <f t="shared" si="501"/>
        <v>13.333333333333334</v>
      </c>
      <c r="T339" s="3"/>
      <c r="U339" s="51">
        <f t="shared" si="502"/>
        <v>0</v>
      </c>
      <c r="V339" s="52" t="e">
        <f t="shared" si="503"/>
        <v>#DIV/0!</v>
      </c>
      <c r="W339" s="53">
        <f>COUNTIFS('00 Encuesta'!$B$2:$B$511,"*b)*",'00 Encuesta'!$C$2:$C$511,"*d)*",'00 Encuesta'!$E$2:$E$511,"*a)*",'00 Encuesta'!$AQ$2:$AQ$511,"*c)*")</f>
        <v>0</v>
      </c>
      <c r="X339" s="52" t="e">
        <f t="shared" si="504"/>
        <v>#DIV/0!</v>
      </c>
      <c r="Y339" s="53">
        <f>COUNTIFS('00 Encuesta'!$B$2:$B$511,"*b)*",'00 Encuesta'!$C$2:$C$511,"*d)*",'00 Encuesta'!$E$2:$E$511,"*b)*",'00 Encuesta'!$AQ$2:$AQ$511,"*c)*")</f>
        <v>0</v>
      </c>
      <c r="Z339" s="52" t="e">
        <f t="shared" si="505"/>
        <v>#DIV/0!</v>
      </c>
      <c r="AA339" s="3"/>
      <c r="AB339" s="62">
        <f t="shared" si="506"/>
        <v>8</v>
      </c>
      <c r="AC339" s="52">
        <f t="shared" si="507"/>
        <v>11.428571428571429</v>
      </c>
      <c r="AD339" s="3"/>
      <c r="AE339" s="3"/>
      <c r="AF339" s="9" t="str">
        <f t="shared" si="508"/>
        <v>c) Regular</v>
      </c>
      <c r="AG339" s="72">
        <f t="shared" si="509"/>
        <v>9.5238095238095237</v>
      </c>
      <c r="AH339" s="72">
        <f t="shared" si="510"/>
        <v>5.8823529411764701</v>
      </c>
      <c r="AI339" s="73">
        <f t="shared" si="511"/>
        <v>7.8947368421052628</v>
      </c>
      <c r="AJ339" s="73"/>
      <c r="AK339" s="76">
        <f t="shared" si="512"/>
        <v>17.647058823529413</v>
      </c>
      <c r="AL339" s="76">
        <f t="shared" si="513"/>
        <v>13.333333333333334</v>
      </c>
      <c r="AM339" s="76">
        <f t="shared" si="514"/>
        <v>15.625</v>
      </c>
      <c r="AN339" s="76"/>
      <c r="AO339" s="81" t="e">
        <f t="shared" si="515"/>
        <v>#DIV/0!</v>
      </c>
      <c r="AP339" s="81" t="e">
        <f t="shared" si="516"/>
        <v>#DIV/0!</v>
      </c>
      <c r="AQ339" s="81" t="e">
        <f t="shared" si="517"/>
        <v>#DIV/0!</v>
      </c>
      <c r="AR339" s="3"/>
      <c r="AS339" s="76">
        <f t="shared" si="369"/>
        <v>11.428571428571429</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ht="15" x14ac:dyDescent="0.25">
      <c r="A340" s="8" t="s">
        <v>21</v>
      </c>
      <c r="B340" s="9" t="s">
        <v>231</v>
      </c>
      <c r="C340" s="7"/>
      <c r="D340" s="7"/>
      <c r="E340" s="7"/>
      <c r="F340" s="71">
        <v>25</v>
      </c>
      <c r="G340" s="51">
        <f t="shared" si="494"/>
        <v>1</v>
      </c>
      <c r="H340" s="52">
        <f t="shared" si="495"/>
        <v>2.6315789473684208</v>
      </c>
      <c r="I340" s="53">
        <f>COUNTIFS('00 Encuesta'!$B$2:$B$511,"*b)*",'00 Encuesta'!$C$2:$C$511,"*a)*",'00 Encuesta'!$E$2:$E$511,"*a)*",'00 Encuesta'!$AQ$2:$AQ$511,"*d)*")</f>
        <v>1</v>
      </c>
      <c r="J340" s="52">
        <f t="shared" si="496"/>
        <v>4.7619047619047619</v>
      </c>
      <c r="K340" s="53">
        <f>COUNTIFS('00 Encuesta'!$B$2:$B$511,"*b)*",'00 Encuesta'!$C$2:$C$511,"*a)*",'00 Encuesta'!$E$2:$E$511,"*b)*",'00 Encuesta'!$AQ$2:$AQ$511,"*d)*")</f>
        <v>0</v>
      </c>
      <c r="L340" s="52">
        <f t="shared" si="497"/>
        <v>0</v>
      </c>
      <c r="M340" s="23"/>
      <c r="N340" s="51">
        <f t="shared" si="498"/>
        <v>0</v>
      </c>
      <c r="O340" s="52">
        <f t="shared" si="499"/>
        <v>0</v>
      </c>
      <c r="P340" s="53">
        <f>COUNTIFS('00 Encuesta'!$B$2:$B$511,"*b)*",'00 Encuesta'!$C$2:$C$511,"*b)*",'00 Encuesta'!$E$2:$E$511,"*a)*",'00 Encuesta'!$AQ$2:$AQ$511,"*d)*")</f>
        <v>0</v>
      </c>
      <c r="Q340" s="52">
        <f t="shared" si="500"/>
        <v>0</v>
      </c>
      <c r="R340" s="53">
        <f>COUNTIFS('00 Encuesta'!$B$2:$B$511,"*b)*",'00 Encuesta'!$C$2:$C$511,"*b)*",'00 Encuesta'!$E$2:$E$511,"*b)*",'00 Encuesta'!$AQ$2:$AQ$511,"*d)*")</f>
        <v>0</v>
      </c>
      <c r="S340" s="52">
        <f t="shared" si="501"/>
        <v>0</v>
      </c>
      <c r="T340" s="3"/>
      <c r="U340" s="51">
        <f t="shared" si="502"/>
        <v>0</v>
      </c>
      <c r="V340" s="52" t="e">
        <f t="shared" si="503"/>
        <v>#DIV/0!</v>
      </c>
      <c r="W340" s="53">
        <f>COUNTIFS('00 Encuesta'!$B$2:$B$511,"*b)*",'00 Encuesta'!$C$2:$C$511,"*d)*",'00 Encuesta'!$E$2:$E$511,"*a)*",'00 Encuesta'!$AQ$2:$AQ$511,"*d)*")</f>
        <v>0</v>
      </c>
      <c r="X340" s="52" t="e">
        <f t="shared" si="504"/>
        <v>#DIV/0!</v>
      </c>
      <c r="Y340" s="53">
        <f>COUNTIFS('00 Encuesta'!$B$2:$B$511,"*b)*",'00 Encuesta'!$C$2:$C$511,"*d)*",'00 Encuesta'!$E$2:$E$511,"*b)*",'00 Encuesta'!$AQ$2:$AQ$511,"*d)*")</f>
        <v>0</v>
      </c>
      <c r="Z340" s="52" t="e">
        <f t="shared" si="505"/>
        <v>#DIV/0!</v>
      </c>
      <c r="AA340" s="3"/>
      <c r="AB340" s="62">
        <f t="shared" si="506"/>
        <v>1</v>
      </c>
      <c r="AC340" s="52">
        <f t="shared" si="507"/>
        <v>1.4285714285714286</v>
      </c>
      <c r="AD340" s="3"/>
      <c r="AE340" s="3"/>
      <c r="AF340" s="9" t="str">
        <f t="shared" si="508"/>
        <v>d) Mala</v>
      </c>
      <c r="AG340" s="72">
        <f t="shared" si="509"/>
        <v>4.7619047619047619</v>
      </c>
      <c r="AH340" s="72">
        <f t="shared" si="510"/>
        <v>0</v>
      </c>
      <c r="AI340" s="73">
        <f t="shared" si="511"/>
        <v>2.6315789473684208</v>
      </c>
      <c r="AJ340" s="73"/>
      <c r="AK340" s="76">
        <f t="shared" si="512"/>
        <v>0</v>
      </c>
      <c r="AL340" s="76">
        <f t="shared" si="513"/>
        <v>0</v>
      </c>
      <c r="AM340" s="76">
        <f t="shared" si="514"/>
        <v>0</v>
      </c>
      <c r="AN340" s="76"/>
      <c r="AO340" s="81" t="e">
        <f t="shared" si="515"/>
        <v>#DIV/0!</v>
      </c>
      <c r="AP340" s="81" t="e">
        <f t="shared" si="516"/>
        <v>#DIV/0!</v>
      </c>
      <c r="AQ340" s="81" t="e">
        <f t="shared" si="517"/>
        <v>#DIV/0!</v>
      </c>
      <c r="AR340" s="3"/>
      <c r="AS340" s="76">
        <f t="shared" si="369"/>
        <v>1.4285714285714286</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ht="15" x14ac:dyDescent="0.25">
      <c r="A341" s="8" t="s">
        <v>22</v>
      </c>
      <c r="B341" s="9" t="s">
        <v>232</v>
      </c>
      <c r="C341" s="7"/>
      <c r="D341" s="7"/>
      <c r="E341" s="7"/>
      <c r="F341" s="71">
        <v>0</v>
      </c>
      <c r="G341" s="51">
        <f t="shared" si="494"/>
        <v>3</v>
      </c>
      <c r="H341" s="52">
        <f t="shared" si="495"/>
        <v>7.8947368421052628</v>
      </c>
      <c r="I341" s="53">
        <f>COUNTIFS('00 Encuesta'!$B$2:$B$511,"*b)*",'00 Encuesta'!$C$2:$C$511,"*a)*",'00 Encuesta'!$E$2:$E$511,"*a)*",'00 Encuesta'!$AQ$2:$AQ$511,"*e)*")</f>
        <v>2</v>
      </c>
      <c r="J341" s="52">
        <f t="shared" si="496"/>
        <v>9.5238095238095237</v>
      </c>
      <c r="K341" s="53">
        <f>COUNTIFS('00 Encuesta'!$B$2:$B$511,"*b)*",'00 Encuesta'!$C$2:$C$511,"*a)*",'00 Encuesta'!$E$2:$E$511,"*b)*",'00 Encuesta'!$AQ$2:$AQ$511,"*e)*")</f>
        <v>1</v>
      </c>
      <c r="L341" s="52">
        <f t="shared" si="497"/>
        <v>5.8823529411764701</v>
      </c>
      <c r="M341" s="23"/>
      <c r="N341" s="51">
        <f t="shared" si="498"/>
        <v>0</v>
      </c>
      <c r="O341" s="52">
        <f t="shared" si="499"/>
        <v>0</v>
      </c>
      <c r="P341" s="53">
        <f>COUNTIFS('00 Encuesta'!$B$2:$B$511,"*b)*",'00 Encuesta'!$C$2:$C$511,"*b)*",'00 Encuesta'!$E$2:$E$511,"*a)*",'00 Encuesta'!$AQ$2:$AQ$511,"*e)*")</f>
        <v>0</v>
      </c>
      <c r="Q341" s="52">
        <f t="shared" si="500"/>
        <v>0</v>
      </c>
      <c r="R341" s="53">
        <f>COUNTIFS('00 Encuesta'!$B$2:$B$511,"*b)*",'00 Encuesta'!$C$2:$C$511,"*b)*",'00 Encuesta'!$E$2:$E$511,"*b)*",'00 Encuesta'!$AQ$2:$AQ$511,"*e)*")</f>
        <v>0</v>
      </c>
      <c r="S341" s="52">
        <f t="shared" si="501"/>
        <v>0</v>
      </c>
      <c r="T341" s="3"/>
      <c r="U341" s="51">
        <f t="shared" si="502"/>
        <v>0</v>
      </c>
      <c r="V341" s="52" t="e">
        <f t="shared" si="503"/>
        <v>#DIV/0!</v>
      </c>
      <c r="W341" s="53">
        <f>COUNTIFS('00 Encuesta'!$B$2:$B$511,"*b)*",'00 Encuesta'!$C$2:$C$511,"*d)*",'00 Encuesta'!$E$2:$E$511,"*a)*",'00 Encuesta'!$AQ$2:$AQ$511,"*e)*")</f>
        <v>0</v>
      </c>
      <c r="X341" s="52" t="e">
        <f t="shared" si="504"/>
        <v>#DIV/0!</v>
      </c>
      <c r="Y341" s="53">
        <f>COUNTIFS('00 Encuesta'!$B$2:$B$511,"*b)*",'00 Encuesta'!$C$2:$C$511,"*d)*",'00 Encuesta'!$E$2:$E$511,"*b)*",'00 Encuesta'!$AQ$2:$AQ$511,"*e)*")</f>
        <v>0</v>
      </c>
      <c r="Z341" s="52" t="e">
        <f t="shared" si="505"/>
        <v>#DIV/0!</v>
      </c>
      <c r="AA341" s="3"/>
      <c r="AB341" s="62">
        <f t="shared" si="506"/>
        <v>3</v>
      </c>
      <c r="AC341" s="52">
        <f t="shared" si="507"/>
        <v>4.2857142857142856</v>
      </c>
      <c r="AD341" s="3"/>
      <c r="AE341" s="3"/>
      <c r="AF341" s="9" t="str">
        <f t="shared" si="508"/>
        <v>e) Muy mala</v>
      </c>
      <c r="AG341" s="72">
        <f t="shared" si="509"/>
        <v>9.5238095238095237</v>
      </c>
      <c r="AH341" s="72">
        <f t="shared" si="510"/>
        <v>5.8823529411764701</v>
      </c>
      <c r="AI341" s="73">
        <f t="shared" si="511"/>
        <v>7.8947368421052628</v>
      </c>
      <c r="AJ341" s="73"/>
      <c r="AK341" s="76">
        <f t="shared" si="512"/>
        <v>0</v>
      </c>
      <c r="AL341" s="76">
        <f t="shared" si="513"/>
        <v>0</v>
      </c>
      <c r="AM341" s="76">
        <f t="shared" si="514"/>
        <v>0</v>
      </c>
      <c r="AN341" s="76"/>
      <c r="AO341" s="81" t="e">
        <f t="shared" si="515"/>
        <v>#DIV/0!</v>
      </c>
      <c r="AP341" s="81" t="e">
        <f t="shared" si="516"/>
        <v>#DIV/0!</v>
      </c>
      <c r="AQ341" s="81" t="e">
        <f t="shared" si="517"/>
        <v>#DIV/0!</v>
      </c>
      <c r="AR341" s="3"/>
      <c r="AS341" s="76">
        <f t="shared" si="369"/>
        <v>4.2857142857142856</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ht="15" x14ac:dyDescent="0.25">
      <c r="A342" s="8" t="s">
        <v>45</v>
      </c>
      <c r="B342" s="9" t="s">
        <v>233</v>
      </c>
      <c r="C342" s="7"/>
      <c r="D342" s="7"/>
      <c r="E342" s="7"/>
      <c r="F342" s="71"/>
      <c r="G342" s="51">
        <f t="shared" si="494"/>
        <v>0</v>
      </c>
      <c r="H342" s="52">
        <f t="shared" si="495"/>
        <v>0</v>
      </c>
      <c r="I342" s="53">
        <f>COUNTIFS('00 Encuesta'!$B$2:$B$511,"*b)*",'00 Encuesta'!$C$2:$C$511,"*a)*",'00 Encuesta'!$E$2:$E$511,"*a)*",'00 Encuesta'!$AQ$2:$AQ$511,"*f)*")</f>
        <v>0</v>
      </c>
      <c r="J342" s="52">
        <f t="shared" si="496"/>
        <v>0</v>
      </c>
      <c r="K342" s="53">
        <f>COUNTIFS('00 Encuesta'!$B$2:$B$511,"*b)*",'00 Encuesta'!$C$2:$C$511,"*a)*",'00 Encuesta'!$E$2:$E$511,"*b)*",'00 Encuesta'!$AQ$2:$AQ$511,"*f)*")</f>
        <v>0</v>
      </c>
      <c r="L342" s="52">
        <f t="shared" si="497"/>
        <v>0</v>
      </c>
      <c r="M342" s="23"/>
      <c r="N342" s="51">
        <f t="shared" si="498"/>
        <v>0</v>
      </c>
      <c r="O342" s="52">
        <f t="shared" si="499"/>
        <v>0</v>
      </c>
      <c r="P342" s="53">
        <f>COUNTIFS('00 Encuesta'!$B$2:$B$511,"*b)*",'00 Encuesta'!$C$2:$C$511,"*b)*",'00 Encuesta'!$E$2:$E$511,"*a)*",'00 Encuesta'!$AQ$2:$AQ$511,"*f)*")</f>
        <v>0</v>
      </c>
      <c r="Q342" s="52">
        <f t="shared" si="500"/>
        <v>0</v>
      </c>
      <c r="R342" s="53">
        <f>COUNTIFS('00 Encuesta'!$B$2:$B$511,"*b)*",'00 Encuesta'!$C$2:$C$511,"*b)*",'00 Encuesta'!$E$2:$E$511,"*b)*",'00 Encuesta'!$AQ$2:$AQ$511,"*f)*")</f>
        <v>0</v>
      </c>
      <c r="S342" s="52">
        <f t="shared" si="501"/>
        <v>0</v>
      </c>
      <c r="T342" s="3"/>
      <c r="U342" s="51">
        <f t="shared" si="502"/>
        <v>0</v>
      </c>
      <c r="V342" s="52" t="e">
        <f t="shared" si="503"/>
        <v>#DIV/0!</v>
      </c>
      <c r="W342" s="53">
        <f>COUNTIFS('00 Encuesta'!$B$2:$B$511,"*b)*",'00 Encuesta'!$C$2:$C$511,"*d)*",'00 Encuesta'!$E$2:$E$511,"*a)*",'00 Encuesta'!$AQ$2:$AQ$511,"*f)*")</f>
        <v>0</v>
      </c>
      <c r="X342" s="52" t="e">
        <f t="shared" si="504"/>
        <v>#DIV/0!</v>
      </c>
      <c r="Y342" s="53">
        <f>COUNTIFS('00 Encuesta'!$B$2:$B$511,"*b)*",'00 Encuesta'!$C$2:$C$511,"*d)*",'00 Encuesta'!$E$2:$E$511,"*b)*",'00 Encuesta'!$AQ$2:$AQ$511,"*f)*")</f>
        <v>0</v>
      </c>
      <c r="Z342" s="52" t="e">
        <f t="shared" si="505"/>
        <v>#DIV/0!</v>
      </c>
      <c r="AA342" s="3"/>
      <c r="AB342" s="62">
        <f t="shared" si="506"/>
        <v>0</v>
      </c>
      <c r="AC342" s="52">
        <f t="shared" si="507"/>
        <v>0</v>
      </c>
      <c r="AD342" s="3"/>
      <c r="AE342" s="3"/>
      <c r="AF342" s="9" t="str">
        <f t="shared" si="508"/>
        <v>f) No aplica</v>
      </c>
      <c r="AG342" s="72">
        <f t="shared" si="509"/>
        <v>0</v>
      </c>
      <c r="AH342" s="72">
        <f t="shared" si="510"/>
        <v>0</v>
      </c>
      <c r="AI342" s="73">
        <f t="shared" si="511"/>
        <v>0</v>
      </c>
      <c r="AJ342" s="73"/>
      <c r="AK342" s="76">
        <f t="shared" si="512"/>
        <v>0</v>
      </c>
      <c r="AL342" s="76">
        <f t="shared" si="513"/>
        <v>0</v>
      </c>
      <c r="AM342" s="76">
        <f t="shared" si="514"/>
        <v>0</v>
      </c>
      <c r="AN342" s="76"/>
      <c r="AO342" s="81" t="e">
        <f t="shared" si="515"/>
        <v>#DIV/0!</v>
      </c>
      <c r="AP342" s="81" t="e">
        <f t="shared" si="516"/>
        <v>#DIV/0!</v>
      </c>
      <c r="AQ342" s="81" t="e">
        <f t="shared" si="517"/>
        <v>#DIV/0!</v>
      </c>
      <c r="AR342" s="3"/>
      <c r="AS342" s="76">
        <f t="shared" si="369"/>
        <v>0</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ht="15" x14ac:dyDescent="0.25">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71.05263157894737</v>
      </c>
      <c r="AH343" s="82">
        <f>($F337*K337+$F338*K338+$F339*K339+$F340*K340+$F341*K341)/(K337+K338+K339+K340+K341)</f>
        <v>79.6875</v>
      </c>
      <c r="AI343" s="82">
        <f>($F337*G337+$F338*G338+$F339*G339+$F340*G340+$F341*G341)/(G337+G338+G339+G340+G341)</f>
        <v>75</v>
      </c>
      <c r="AJ343" s="82"/>
      <c r="AK343" s="82">
        <f>($F337*Q337+$F338*Q338+$F339*Q339+$F340*Q340+$F341*Q341)/(Q337+Q338+Q339+Q340+Q341)</f>
        <v>78.846153846153854</v>
      </c>
      <c r="AL343" s="82">
        <f>($F337*S337+$F338*S338+$F339*S339+$F340*S340+$F341*S341)/(S337+S338+S339+S340+S341)</f>
        <v>76.785714285714292</v>
      </c>
      <c r="AM343" s="82">
        <f>($F337*O337+$F338*O338+$F339*O339+$F340*O340+$F341*O341)/(O337+O338+O339+O340+O341)</f>
        <v>77.777777777777771</v>
      </c>
      <c r="AN343" s="82"/>
      <c r="AO343" s="82" t="e">
        <f>($F337*W337+$F338*W338+$F339*W339+$F340*W340+$F341*W341)/(W337+W338+W339+W340+W341)</f>
        <v>#DIV/0!</v>
      </c>
      <c r="AP343" s="82" t="e">
        <f>($F337*Y337+$F338*Y338+$F339*Y339+$F340*Y340+$F341*Y341)/(Y337+Y338+Y339+Y340+Y341)</f>
        <v>#DIV/0!</v>
      </c>
      <c r="AQ343" s="82" t="e">
        <f>($F337*U337+$F338*U338+$F339*U339+$F340*U340+$F341*U341)/(U337+U338+U339+U340+U341)</f>
        <v>#DIV/0!</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ht="15" x14ac:dyDescent="0.25">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ht="15" x14ac:dyDescent="0.25">
      <c r="A345" s="8" t="s">
        <v>17</v>
      </c>
      <c r="B345" s="9" t="s">
        <v>229</v>
      </c>
      <c r="C345" s="7"/>
      <c r="D345" s="7"/>
      <c r="E345" s="7"/>
      <c r="F345" s="71">
        <v>100</v>
      </c>
      <c r="G345" s="51">
        <f t="shared" ref="G345:G350" si="518">I345+K345</f>
        <v>14</v>
      </c>
      <c r="H345" s="52">
        <f t="shared" ref="H345:H350" si="519">G345/$J$5*100</f>
        <v>36.84210526315789</v>
      </c>
      <c r="I345" s="53">
        <f>COUNTIFS('00 Encuesta'!$B$2:$B$511,"*b)*",'00 Encuesta'!$C$2:$C$511,"*a)*",'00 Encuesta'!$E$2:$E$511,"*a)*",'00 Encuesta'!$AR$2:$AR$511,"*a)*")</f>
        <v>10</v>
      </c>
      <c r="J345" s="52">
        <f t="shared" ref="J345:J350" si="520">I345/$J$6*100</f>
        <v>47.619047619047613</v>
      </c>
      <c r="K345" s="53">
        <f>COUNTIFS('00 Encuesta'!$B$2:$B$511,"*b)*",'00 Encuesta'!$C$2:$C$511,"*a)*",'00 Encuesta'!$E$2:$E$511,"*b)*",'00 Encuesta'!$AR$2:$AR$511,"*a)*")</f>
        <v>4</v>
      </c>
      <c r="L345" s="52">
        <f t="shared" ref="L345:L350" si="521">K345/$J$7*100</f>
        <v>23.52941176470588</v>
      </c>
      <c r="M345" s="23"/>
      <c r="N345" s="51">
        <f t="shared" ref="N345:N350" si="522">P345+R345</f>
        <v>5</v>
      </c>
      <c r="O345" s="52">
        <f t="shared" ref="O345:O350" si="523">N345/$Q$5*100</f>
        <v>15.625</v>
      </c>
      <c r="P345" s="53">
        <f>COUNTIFS('00 Encuesta'!$B$2:$B$511,"*b)*",'00 Encuesta'!$C$2:$C$511,"*b)*",'00 Encuesta'!$E$2:$E$511,"*a)*",'00 Encuesta'!$AR$2:$AR$511,"*a)*")</f>
        <v>4</v>
      </c>
      <c r="Q345" s="52">
        <f t="shared" ref="Q345:Q350" si="524">P345/$Q$6*100</f>
        <v>23.52941176470588</v>
      </c>
      <c r="R345" s="53">
        <f>COUNTIFS('00 Encuesta'!$B$2:$B$511,"*b)*",'00 Encuesta'!$C$2:$C$511,"*b)*",'00 Encuesta'!$E$2:$E$511,"*b)*",'00 Encuesta'!$AR$2:$AR$511,"*a)*")</f>
        <v>1</v>
      </c>
      <c r="S345" s="52">
        <f t="shared" ref="S345:S350" si="525">R345/$Q$7*100</f>
        <v>6.666666666666667</v>
      </c>
      <c r="T345" s="3"/>
      <c r="U345" s="51">
        <f t="shared" ref="U345:U350" si="526">W345+Y345</f>
        <v>0</v>
      </c>
      <c r="V345" s="52" t="e">
        <f t="shared" ref="V345:V350" si="527">U345/$X$5*100</f>
        <v>#DIV/0!</v>
      </c>
      <c r="W345" s="53">
        <f>COUNTIFS('00 Encuesta'!$B$2:$B$511,"*b)*",'00 Encuesta'!$C$2:$C$511,"*d)*",'00 Encuesta'!$E$2:$E$511,"*a)*",'00 Encuesta'!$AR$2:$AR$511,"*a)*")</f>
        <v>0</v>
      </c>
      <c r="X345" s="52" t="e">
        <f t="shared" ref="X345:X350" si="528">W345/$X$6*100</f>
        <v>#DIV/0!</v>
      </c>
      <c r="Y345" s="53">
        <f>COUNTIFS('00 Encuesta'!$B$2:$B$511,"*b)*",'00 Encuesta'!$C$2:$C$511,"*d)*",'00 Encuesta'!$E$2:$E$511,"*b)*",'00 Encuesta'!$AR$2:$AR$511,"*a)*")</f>
        <v>0</v>
      </c>
      <c r="Z345" s="52" t="e">
        <f t="shared" ref="Z345:Z350" si="529">Y345/$X$7*100</f>
        <v>#DIV/0!</v>
      </c>
      <c r="AA345" s="3"/>
      <c r="AB345" s="62">
        <f t="shared" ref="AB345:AB350" si="530">G345+N345+U345</f>
        <v>19</v>
      </c>
      <c r="AC345" s="52">
        <f t="shared" ref="AC345:AC350" si="531">AB345*100/$AC$5</f>
        <v>27.142857142857142</v>
      </c>
      <c r="AD345" s="3"/>
      <c r="AE345" s="3"/>
      <c r="AF345" s="9" t="str">
        <f t="shared" ref="AF345:AF351" si="532">A345&amp;" "&amp;B345</f>
        <v>a) Muy buena</v>
      </c>
      <c r="AG345" s="72">
        <f t="shared" ref="AG345:AG350" si="533">J345</f>
        <v>47.619047619047613</v>
      </c>
      <c r="AH345" s="72">
        <f t="shared" ref="AH345:AH350" si="534">L345</f>
        <v>23.52941176470588</v>
      </c>
      <c r="AI345" s="73">
        <f t="shared" ref="AI345:AI350" si="535">H345</f>
        <v>36.84210526315789</v>
      </c>
      <c r="AJ345" s="73"/>
      <c r="AK345" s="76">
        <f t="shared" ref="AK345:AK350" si="536">Q345</f>
        <v>23.52941176470588</v>
      </c>
      <c r="AL345" s="76">
        <f t="shared" ref="AL345:AL350" si="537">S345</f>
        <v>6.666666666666667</v>
      </c>
      <c r="AM345" s="76">
        <f t="shared" ref="AM345:AM350" si="538">O345</f>
        <v>15.625</v>
      </c>
      <c r="AN345" s="76"/>
      <c r="AO345" s="81" t="e">
        <f t="shared" ref="AO345:AO350" si="539">X345</f>
        <v>#DIV/0!</v>
      </c>
      <c r="AP345" s="81" t="e">
        <f t="shared" ref="AP345:AP350" si="540">Z345</f>
        <v>#DIV/0!</v>
      </c>
      <c r="AQ345" s="81" t="e">
        <f t="shared" ref="AQ345:AQ350" si="541">V345</f>
        <v>#DIV/0!</v>
      </c>
      <c r="AR345" s="3"/>
      <c r="AS345" s="76">
        <f t="shared" ref="AS345:AS408" si="542">AC345</f>
        <v>27.142857142857142</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ht="15" x14ac:dyDescent="0.25">
      <c r="A346" s="8" t="s">
        <v>18</v>
      </c>
      <c r="B346" s="9" t="s">
        <v>230</v>
      </c>
      <c r="C346" s="7"/>
      <c r="D346" s="7"/>
      <c r="E346" s="7"/>
      <c r="F346" s="71">
        <v>75</v>
      </c>
      <c r="G346" s="51">
        <f t="shared" si="518"/>
        <v>12</v>
      </c>
      <c r="H346" s="52">
        <f t="shared" si="519"/>
        <v>31.578947368421051</v>
      </c>
      <c r="I346" s="53">
        <f>COUNTIFS('00 Encuesta'!$B$2:$B$511,"*b)*",'00 Encuesta'!$C$2:$C$511,"*a)*",'00 Encuesta'!$E$2:$E$511,"*a)*",'00 Encuesta'!$AR$2:$AR$511,"*b)*")</f>
        <v>5</v>
      </c>
      <c r="J346" s="52">
        <f t="shared" si="520"/>
        <v>23.809523809523807</v>
      </c>
      <c r="K346" s="53">
        <f>COUNTIFS('00 Encuesta'!$B$2:$B$511,"*b)*",'00 Encuesta'!$C$2:$C$511,"*a)*",'00 Encuesta'!$E$2:$E$511,"*b)*",'00 Encuesta'!$AR$2:$AR$511,"*b)*")</f>
        <v>7</v>
      </c>
      <c r="L346" s="52">
        <f t="shared" si="521"/>
        <v>41.17647058823529</v>
      </c>
      <c r="M346" s="23"/>
      <c r="N346" s="51">
        <f t="shared" si="522"/>
        <v>15</v>
      </c>
      <c r="O346" s="52">
        <f t="shared" si="523"/>
        <v>46.875</v>
      </c>
      <c r="P346" s="53">
        <f>COUNTIFS('00 Encuesta'!$B$2:$B$511,"*b)*",'00 Encuesta'!$C$2:$C$511,"*b)*",'00 Encuesta'!$E$2:$E$511,"*a)*",'00 Encuesta'!$AR$2:$AR$511,"*b)*")</f>
        <v>7</v>
      </c>
      <c r="Q346" s="52">
        <f t="shared" si="524"/>
        <v>41.17647058823529</v>
      </c>
      <c r="R346" s="53">
        <f>COUNTIFS('00 Encuesta'!$B$2:$B$511,"*b)*",'00 Encuesta'!$C$2:$C$511,"*b)*",'00 Encuesta'!$E$2:$E$511,"*b)*",'00 Encuesta'!$AR$2:$AR$511,"*b)*")</f>
        <v>8</v>
      </c>
      <c r="S346" s="52">
        <f t="shared" si="525"/>
        <v>53.333333333333336</v>
      </c>
      <c r="T346" s="3"/>
      <c r="U346" s="51">
        <f t="shared" si="526"/>
        <v>0</v>
      </c>
      <c r="V346" s="52" t="e">
        <f t="shared" si="527"/>
        <v>#DIV/0!</v>
      </c>
      <c r="W346" s="53">
        <f>COUNTIFS('00 Encuesta'!$B$2:$B$511,"*b)*",'00 Encuesta'!$C$2:$C$511,"*d)*",'00 Encuesta'!$E$2:$E$511,"*a)*",'00 Encuesta'!$AR$2:$AR$511,"*b)*")</f>
        <v>0</v>
      </c>
      <c r="X346" s="52" t="e">
        <f t="shared" si="528"/>
        <v>#DIV/0!</v>
      </c>
      <c r="Y346" s="53">
        <f>COUNTIFS('00 Encuesta'!$B$2:$B$511,"*b)*",'00 Encuesta'!$C$2:$C$511,"*d)*",'00 Encuesta'!$E$2:$E$511,"*b)*",'00 Encuesta'!$AR$2:$AR$511,"*b)*")</f>
        <v>0</v>
      </c>
      <c r="Z346" s="52" t="e">
        <f t="shared" si="529"/>
        <v>#DIV/0!</v>
      </c>
      <c r="AA346" s="3"/>
      <c r="AB346" s="62">
        <f t="shared" si="530"/>
        <v>27</v>
      </c>
      <c r="AC346" s="52">
        <f t="shared" si="531"/>
        <v>38.571428571428569</v>
      </c>
      <c r="AD346" s="3"/>
      <c r="AE346" s="3"/>
      <c r="AF346" s="9" t="str">
        <f t="shared" si="532"/>
        <v>b) Buena</v>
      </c>
      <c r="AG346" s="72">
        <f t="shared" si="533"/>
        <v>23.809523809523807</v>
      </c>
      <c r="AH346" s="72">
        <f t="shared" si="534"/>
        <v>41.17647058823529</v>
      </c>
      <c r="AI346" s="73">
        <f t="shared" si="535"/>
        <v>31.578947368421051</v>
      </c>
      <c r="AJ346" s="73"/>
      <c r="AK346" s="76">
        <f t="shared" si="536"/>
        <v>41.17647058823529</v>
      </c>
      <c r="AL346" s="76">
        <f t="shared" si="537"/>
        <v>53.333333333333336</v>
      </c>
      <c r="AM346" s="76">
        <f t="shared" si="538"/>
        <v>46.875</v>
      </c>
      <c r="AN346" s="76"/>
      <c r="AO346" s="81" t="e">
        <f t="shared" si="539"/>
        <v>#DIV/0!</v>
      </c>
      <c r="AP346" s="81" t="e">
        <f t="shared" si="540"/>
        <v>#DIV/0!</v>
      </c>
      <c r="AQ346" s="81" t="e">
        <f t="shared" si="541"/>
        <v>#DIV/0!</v>
      </c>
      <c r="AR346" s="3"/>
      <c r="AS346" s="76">
        <f t="shared" si="542"/>
        <v>38.571428571428569</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ht="15" x14ac:dyDescent="0.25">
      <c r="A347" s="8" t="s">
        <v>20</v>
      </c>
      <c r="B347" s="9" t="s">
        <v>218</v>
      </c>
      <c r="C347" s="7"/>
      <c r="D347" s="7"/>
      <c r="E347" s="7"/>
      <c r="F347" s="71">
        <v>50</v>
      </c>
      <c r="G347" s="51">
        <f t="shared" si="518"/>
        <v>4</v>
      </c>
      <c r="H347" s="52">
        <f t="shared" si="519"/>
        <v>10.526315789473683</v>
      </c>
      <c r="I347" s="53">
        <f>COUNTIFS('00 Encuesta'!$B$2:$B$511,"*b)*",'00 Encuesta'!$C$2:$C$511,"*a)*",'00 Encuesta'!$E$2:$E$511,"*a)*",'00 Encuesta'!$AR$2:$AR$511,"*c)*")</f>
        <v>2</v>
      </c>
      <c r="J347" s="52">
        <f t="shared" si="520"/>
        <v>9.5238095238095237</v>
      </c>
      <c r="K347" s="53">
        <f>COUNTIFS('00 Encuesta'!$B$2:$B$511,"*b)*",'00 Encuesta'!$C$2:$C$511,"*a)*",'00 Encuesta'!$E$2:$E$511,"*b)*",'00 Encuesta'!$AR$2:$AR$511,"*c)*")</f>
        <v>2</v>
      </c>
      <c r="L347" s="52">
        <f t="shared" si="521"/>
        <v>11.76470588235294</v>
      </c>
      <c r="M347" s="23"/>
      <c r="N347" s="51">
        <f t="shared" si="522"/>
        <v>5</v>
      </c>
      <c r="O347" s="52">
        <f t="shared" si="523"/>
        <v>15.625</v>
      </c>
      <c r="P347" s="53">
        <f>COUNTIFS('00 Encuesta'!$B$2:$B$511,"*b)*",'00 Encuesta'!$C$2:$C$511,"*b)*",'00 Encuesta'!$E$2:$E$511,"*a)*",'00 Encuesta'!$AR$2:$AR$511,"*c)*")</f>
        <v>2</v>
      </c>
      <c r="Q347" s="52">
        <f t="shared" si="524"/>
        <v>11.76470588235294</v>
      </c>
      <c r="R347" s="53">
        <f>COUNTIFS('00 Encuesta'!$B$2:$B$511,"*b)*",'00 Encuesta'!$C$2:$C$511,"*b)*",'00 Encuesta'!$E$2:$E$511,"*b)*",'00 Encuesta'!$AR$2:$AR$511,"*c)*")</f>
        <v>3</v>
      </c>
      <c r="S347" s="52">
        <f t="shared" si="525"/>
        <v>20</v>
      </c>
      <c r="T347" s="3"/>
      <c r="U347" s="51">
        <f t="shared" si="526"/>
        <v>0</v>
      </c>
      <c r="V347" s="52" t="e">
        <f t="shared" si="527"/>
        <v>#DIV/0!</v>
      </c>
      <c r="W347" s="53">
        <f>COUNTIFS('00 Encuesta'!$B$2:$B$511,"*b)*",'00 Encuesta'!$C$2:$C$511,"*d)*",'00 Encuesta'!$E$2:$E$511,"*a)*",'00 Encuesta'!$AR$2:$AR$511,"*c)*")</f>
        <v>0</v>
      </c>
      <c r="X347" s="52" t="e">
        <f t="shared" si="528"/>
        <v>#DIV/0!</v>
      </c>
      <c r="Y347" s="53">
        <f>COUNTIFS('00 Encuesta'!$B$2:$B$511,"*b)*",'00 Encuesta'!$C$2:$C$511,"*d)*",'00 Encuesta'!$E$2:$E$511,"*b)*",'00 Encuesta'!$AR$2:$AR$511,"*c)*")</f>
        <v>0</v>
      </c>
      <c r="Z347" s="52" t="e">
        <f t="shared" si="529"/>
        <v>#DIV/0!</v>
      </c>
      <c r="AA347" s="3"/>
      <c r="AB347" s="62">
        <f t="shared" si="530"/>
        <v>9</v>
      </c>
      <c r="AC347" s="52">
        <f t="shared" si="531"/>
        <v>12.857142857142858</v>
      </c>
      <c r="AD347" s="3"/>
      <c r="AE347" s="3"/>
      <c r="AF347" s="9" t="str">
        <f t="shared" si="532"/>
        <v>c) Regular</v>
      </c>
      <c r="AG347" s="72">
        <f t="shared" si="533"/>
        <v>9.5238095238095237</v>
      </c>
      <c r="AH347" s="72">
        <f t="shared" si="534"/>
        <v>11.76470588235294</v>
      </c>
      <c r="AI347" s="73">
        <f t="shared" si="535"/>
        <v>10.526315789473683</v>
      </c>
      <c r="AJ347" s="73"/>
      <c r="AK347" s="76">
        <f t="shared" si="536"/>
        <v>11.76470588235294</v>
      </c>
      <c r="AL347" s="76">
        <f t="shared" si="537"/>
        <v>20</v>
      </c>
      <c r="AM347" s="76">
        <f t="shared" si="538"/>
        <v>15.625</v>
      </c>
      <c r="AN347" s="76"/>
      <c r="AO347" s="81" t="e">
        <f t="shared" si="539"/>
        <v>#DIV/0!</v>
      </c>
      <c r="AP347" s="81" t="e">
        <f t="shared" si="540"/>
        <v>#DIV/0!</v>
      </c>
      <c r="AQ347" s="81" t="e">
        <f t="shared" si="541"/>
        <v>#DIV/0!</v>
      </c>
      <c r="AR347" s="3"/>
      <c r="AS347" s="76">
        <f t="shared" si="542"/>
        <v>12.857142857142858</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ht="15" x14ac:dyDescent="0.25">
      <c r="A348" s="8" t="s">
        <v>21</v>
      </c>
      <c r="B348" s="9" t="s">
        <v>231</v>
      </c>
      <c r="C348" s="7"/>
      <c r="D348" s="7"/>
      <c r="E348" s="7"/>
      <c r="F348" s="71">
        <v>25</v>
      </c>
      <c r="G348" s="51">
        <f t="shared" si="518"/>
        <v>1</v>
      </c>
      <c r="H348" s="52">
        <f t="shared" si="519"/>
        <v>2.6315789473684208</v>
      </c>
      <c r="I348" s="53">
        <f>COUNTIFS('00 Encuesta'!$B$2:$B$511,"*b)*",'00 Encuesta'!$C$2:$C$511,"*a)*",'00 Encuesta'!$E$2:$E$511,"*a)*",'00 Encuesta'!$AR$2:$AR$511,"*d)*")</f>
        <v>1</v>
      </c>
      <c r="J348" s="52">
        <f t="shared" si="520"/>
        <v>4.7619047619047619</v>
      </c>
      <c r="K348" s="53">
        <f>COUNTIFS('00 Encuesta'!$B$2:$B$511,"*b)*",'00 Encuesta'!$C$2:$C$511,"*a)*",'00 Encuesta'!$E$2:$E$511,"*b)*",'00 Encuesta'!$AR$2:$AR$511,"*d)*")</f>
        <v>0</v>
      </c>
      <c r="L348" s="52">
        <f t="shared" si="521"/>
        <v>0</v>
      </c>
      <c r="M348" s="23"/>
      <c r="N348" s="51">
        <f t="shared" si="522"/>
        <v>1</v>
      </c>
      <c r="O348" s="52">
        <f t="shared" si="523"/>
        <v>3.125</v>
      </c>
      <c r="P348" s="53">
        <f>COUNTIFS('00 Encuesta'!$B$2:$B$511,"*b)*",'00 Encuesta'!$C$2:$C$511,"*b)*",'00 Encuesta'!$E$2:$E$511,"*a)*",'00 Encuesta'!$AR$2:$AR$511,"*d)*")</f>
        <v>0</v>
      </c>
      <c r="Q348" s="52">
        <f t="shared" si="524"/>
        <v>0</v>
      </c>
      <c r="R348" s="53">
        <f>COUNTIFS('00 Encuesta'!$B$2:$B$511,"*b)*",'00 Encuesta'!$C$2:$C$511,"*b)*",'00 Encuesta'!$E$2:$E$511,"*b)*",'00 Encuesta'!$AR$2:$AR$511,"*d)*")</f>
        <v>1</v>
      </c>
      <c r="S348" s="52">
        <f t="shared" si="525"/>
        <v>6.666666666666667</v>
      </c>
      <c r="T348" s="3"/>
      <c r="U348" s="51">
        <f t="shared" si="526"/>
        <v>0</v>
      </c>
      <c r="V348" s="52" t="e">
        <f t="shared" si="527"/>
        <v>#DIV/0!</v>
      </c>
      <c r="W348" s="53">
        <f>COUNTIFS('00 Encuesta'!$B$2:$B$511,"*b)*",'00 Encuesta'!$C$2:$C$511,"*d)*",'00 Encuesta'!$E$2:$E$511,"*a)*",'00 Encuesta'!$AR$2:$AR$511,"*d)*")</f>
        <v>0</v>
      </c>
      <c r="X348" s="52" t="e">
        <f t="shared" si="528"/>
        <v>#DIV/0!</v>
      </c>
      <c r="Y348" s="53">
        <f>COUNTIFS('00 Encuesta'!$B$2:$B$511,"*b)*",'00 Encuesta'!$C$2:$C$511,"*d)*",'00 Encuesta'!$E$2:$E$511,"*b)*",'00 Encuesta'!$AR$2:$AR$511,"*d)*")</f>
        <v>0</v>
      </c>
      <c r="Z348" s="52" t="e">
        <f t="shared" si="529"/>
        <v>#DIV/0!</v>
      </c>
      <c r="AA348" s="3"/>
      <c r="AB348" s="62">
        <f t="shared" si="530"/>
        <v>2</v>
      </c>
      <c r="AC348" s="52">
        <f t="shared" si="531"/>
        <v>2.8571428571428572</v>
      </c>
      <c r="AD348" s="3"/>
      <c r="AE348" s="3"/>
      <c r="AF348" s="9" t="str">
        <f t="shared" si="532"/>
        <v>d) Mala</v>
      </c>
      <c r="AG348" s="72">
        <f t="shared" si="533"/>
        <v>4.7619047619047619</v>
      </c>
      <c r="AH348" s="72">
        <f t="shared" si="534"/>
        <v>0</v>
      </c>
      <c r="AI348" s="73">
        <f t="shared" si="535"/>
        <v>2.6315789473684208</v>
      </c>
      <c r="AJ348" s="73"/>
      <c r="AK348" s="76">
        <f t="shared" si="536"/>
        <v>0</v>
      </c>
      <c r="AL348" s="76">
        <f t="shared" si="537"/>
        <v>6.666666666666667</v>
      </c>
      <c r="AM348" s="76">
        <f t="shared" si="538"/>
        <v>3.125</v>
      </c>
      <c r="AN348" s="76"/>
      <c r="AO348" s="81" t="e">
        <f t="shared" si="539"/>
        <v>#DIV/0!</v>
      </c>
      <c r="AP348" s="81" t="e">
        <f t="shared" si="540"/>
        <v>#DIV/0!</v>
      </c>
      <c r="AQ348" s="81" t="e">
        <f t="shared" si="541"/>
        <v>#DIV/0!</v>
      </c>
      <c r="AR348" s="3"/>
      <c r="AS348" s="76">
        <f t="shared" si="542"/>
        <v>2.8571428571428572</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ht="15" x14ac:dyDescent="0.25">
      <c r="A349" s="8" t="s">
        <v>22</v>
      </c>
      <c r="B349" s="9" t="s">
        <v>232</v>
      </c>
      <c r="C349" s="7"/>
      <c r="D349" s="7"/>
      <c r="E349" s="7"/>
      <c r="F349" s="71">
        <v>0</v>
      </c>
      <c r="G349" s="51">
        <f t="shared" si="518"/>
        <v>4</v>
      </c>
      <c r="H349" s="52">
        <f t="shared" si="519"/>
        <v>10.526315789473683</v>
      </c>
      <c r="I349" s="53">
        <f>COUNTIFS('00 Encuesta'!$B$2:$B$511,"*b)*",'00 Encuesta'!$C$2:$C$511,"*a)*",'00 Encuesta'!$E$2:$E$511,"*a)*",'00 Encuesta'!$AR$2:$AR$511,"*e)*")</f>
        <v>1</v>
      </c>
      <c r="J349" s="52">
        <f t="shared" si="520"/>
        <v>4.7619047619047619</v>
      </c>
      <c r="K349" s="53">
        <f>COUNTIFS('00 Encuesta'!$B$2:$B$511,"*b)*",'00 Encuesta'!$C$2:$C$511,"*a)*",'00 Encuesta'!$E$2:$E$511,"*b)*",'00 Encuesta'!$AR$2:$AR$511,"*e)*")</f>
        <v>3</v>
      </c>
      <c r="L349" s="52">
        <f t="shared" si="521"/>
        <v>17.647058823529413</v>
      </c>
      <c r="M349" s="23"/>
      <c r="N349" s="51">
        <f t="shared" si="522"/>
        <v>1</v>
      </c>
      <c r="O349" s="52">
        <f t="shared" si="523"/>
        <v>3.125</v>
      </c>
      <c r="P349" s="53">
        <f>COUNTIFS('00 Encuesta'!$B$2:$B$511,"*b)*",'00 Encuesta'!$C$2:$C$511,"*b)*",'00 Encuesta'!$E$2:$E$511,"*a)*",'00 Encuesta'!$AR$2:$AR$511,"*e)*")</f>
        <v>0</v>
      </c>
      <c r="Q349" s="52">
        <f t="shared" si="524"/>
        <v>0</v>
      </c>
      <c r="R349" s="53">
        <f>COUNTIFS('00 Encuesta'!$B$2:$B$511,"*b)*",'00 Encuesta'!$C$2:$C$511,"*b)*",'00 Encuesta'!$E$2:$E$511,"*b)*",'00 Encuesta'!$AR$2:$AR$511,"*e)*")</f>
        <v>1</v>
      </c>
      <c r="S349" s="52">
        <f t="shared" si="525"/>
        <v>6.666666666666667</v>
      </c>
      <c r="T349" s="3"/>
      <c r="U349" s="51">
        <f t="shared" si="526"/>
        <v>0</v>
      </c>
      <c r="V349" s="52" t="e">
        <f t="shared" si="527"/>
        <v>#DIV/0!</v>
      </c>
      <c r="W349" s="53">
        <f>COUNTIFS('00 Encuesta'!$B$2:$B$511,"*b)*",'00 Encuesta'!$C$2:$C$511,"*d)*",'00 Encuesta'!$E$2:$E$511,"*a)*",'00 Encuesta'!$AR$2:$AR$511,"*e)*")</f>
        <v>0</v>
      </c>
      <c r="X349" s="52" t="e">
        <f t="shared" si="528"/>
        <v>#DIV/0!</v>
      </c>
      <c r="Y349" s="53">
        <f>COUNTIFS('00 Encuesta'!$B$2:$B$511,"*b)*",'00 Encuesta'!$C$2:$C$511,"*d)*",'00 Encuesta'!$E$2:$E$511,"*b)*",'00 Encuesta'!$AR$2:$AR$511,"*e)*")</f>
        <v>0</v>
      </c>
      <c r="Z349" s="52" t="e">
        <f t="shared" si="529"/>
        <v>#DIV/0!</v>
      </c>
      <c r="AA349" s="3"/>
      <c r="AB349" s="62">
        <f t="shared" si="530"/>
        <v>5</v>
      </c>
      <c r="AC349" s="52">
        <f t="shared" si="531"/>
        <v>7.1428571428571432</v>
      </c>
      <c r="AD349" s="3"/>
      <c r="AE349" s="3"/>
      <c r="AF349" s="9" t="str">
        <f t="shared" si="532"/>
        <v>e) Muy mala</v>
      </c>
      <c r="AG349" s="72">
        <f t="shared" si="533"/>
        <v>4.7619047619047619</v>
      </c>
      <c r="AH349" s="72">
        <f t="shared" si="534"/>
        <v>17.647058823529413</v>
      </c>
      <c r="AI349" s="73">
        <f t="shared" si="535"/>
        <v>10.526315789473683</v>
      </c>
      <c r="AJ349" s="73"/>
      <c r="AK349" s="76">
        <f t="shared" si="536"/>
        <v>0</v>
      </c>
      <c r="AL349" s="76">
        <f t="shared" si="537"/>
        <v>6.666666666666667</v>
      </c>
      <c r="AM349" s="76">
        <f t="shared" si="538"/>
        <v>3.125</v>
      </c>
      <c r="AN349" s="76"/>
      <c r="AO349" s="81" t="e">
        <f t="shared" si="539"/>
        <v>#DIV/0!</v>
      </c>
      <c r="AP349" s="81" t="e">
        <f t="shared" si="540"/>
        <v>#DIV/0!</v>
      </c>
      <c r="AQ349" s="81" t="e">
        <f t="shared" si="541"/>
        <v>#DIV/0!</v>
      </c>
      <c r="AR349" s="3"/>
      <c r="AS349" s="76">
        <f t="shared" si="542"/>
        <v>7.1428571428571432</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ht="15" x14ac:dyDescent="0.25">
      <c r="A350" s="8" t="s">
        <v>45</v>
      </c>
      <c r="B350" s="9" t="s">
        <v>233</v>
      </c>
      <c r="C350" s="7"/>
      <c r="D350" s="7"/>
      <c r="E350" s="7"/>
      <c r="F350" s="71"/>
      <c r="G350" s="51">
        <f t="shared" si="518"/>
        <v>0</v>
      </c>
      <c r="H350" s="52">
        <f t="shared" si="519"/>
        <v>0</v>
      </c>
      <c r="I350" s="53">
        <f>COUNTIFS('00 Encuesta'!$B$2:$B$511,"*b)*",'00 Encuesta'!$C$2:$C$511,"*a)*",'00 Encuesta'!$E$2:$E$511,"*a)*",'00 Encuesta'!$AR$2:$AR$511,"*f)*")</f>
        <v>0</v>
      </c>
      <c r="J350" s="52">
        <f t="shared" si="520"/>
        <v>0</v>
      </c>
      <c r="K350" s="53">
        <f>COUNTIFS('00 Encuesta'!$B$2:$B$511,"*b)*",'00 Encuesta'!$C$2:$C$511,"*a)*",'00 Encuesta'!$E$2:$E$511,"*b)*",'00 Encuesta'!$AR$2:$AR$511,"*f)*")</f>
        <v>0</v>
      </c>
      <c r="L350" s="52">
        <f t="shared" si="521"/>
        <v>0</v>
      </c>
      <c r="M350" s="23"/>
      <c r="N350" s="51">
        <f t="shared" si="522"/>
        <v>0</v>
      </c>
      <c r="O350" s="52">
        <f t="shared" si="523"/>
        <v>0</v>
      </c>
      <c r="P350" s="53">
        <f>COUNTIFS('00 Encuesta'!$B$2:$B$511,"*b)*",'00 Encuesta'!$C$2:$C$511,"*b)*",'00 Encuesta'!$E$2:$E$511,"*a)*",'00 Encuesta'!$AR$2:$AR$511,"*f)*")</f>
        <v>0</v>
      </c>
      <c r="Q350" s="52">
        <f t="shared" si="524"/>
        <v>0</v>
      </c>
      <c r="R350" s="53">
        <f>COUNTIFS('00 Encuesta'!$B$2:$B$511,"*b)*",'00 Encuesta'!$C$2:$C$511,"*b)*",'00 Encuesta'!$E$2:$E$511,"*b)*",'00 Encuesta'!$AR$2:$AR$511,"*f)*")</f>
        <v>0</v>
      </c>
      <c r="S350" s="52">
        <f t="shared" si="525"/>
        <v>0</v>
      </c>
      <c r="T350" s="3"/>
      <c r="U350" s="51">
        <f t="shared" si="526"/>
        <v>0</v>
      </c>
      <c r="V350" s="52" t="e">
        <f t="shared" si="527"/>
        <v>#DIV/0!</v>
      </c>
      <c r="W350" s="53">
        <f>COUNTIFS('00 Encuesta'!$B$2:$B$511,"*b)*",'00 Encuesta'!$C$2:$C$511,"*d)*",'00 Encuesta'!$E$2:$E$511,"*a)*",'00 Encuesta'!$AR$2:$AR$511,"*f)*")</f>
        <v>0</v>
      </c>
      <c r="X350" s="52" t="e">
        <f t="shared" si="528"/>
        <v>#DIV/0!</v>
      </c>
      <c r="Y350" s="53">
        <f>COUNTIFS('00 Encuesta'!$B$2:$B$511,"*b)*",'00 Encuesta'!$C$2:$C$511,"*d)*",'00 Encuesta'!$E$2:$E$511,"*b)*",'00 Encuesta'!$AR$2:$AR$511,"*f)*")</f>
        <v>0</v>
      </c>
      <c r="Z350" s="52" t="e">
        <f t="shared" si="529"/>
        <v>#DIV/0!</v>
      </c>
      <c r="AA350" s="3"/>
      <c r="AB350" s="62">
        <f t="shared" si="530"/>
        <v>0</v>
      </c>
      <c r="AC350" s="52">
        <f t="shared" si="531"/>
        <v>0</v>
      </c>
      <c r="AD350" s="3"/>
      <c r="AE350" s="3"/>
      <c r="AF350" s="9" t="str">
        <f t="shared" si="532"/>
        <v>f) No aplica</v>
      </c>
      <c r="AG350" s="72">
        <f t="shared" si="533"/>
        <v>0</v>
      </c>
      <c r="AH350" s="72">
        <f t="shared" si="534"/>
        <v>0</v>
      </c>
      <c r="AI350" s="73">
        <f t="shared" si="535"/>
        <v>0</v>
      </c>
      <c r="AJ350" s="73"/>
      <c r="AK350" s="76">
        <f t="shared" si="536"/>
        <v>0</v>
      </c>
      <c r="AL350" s="76">
        <f t="shared" si="537"/>
        <v>0</v>
      </c>
      <c r="AM350" s="76">
        <f t="shared" si="538"/>
        <v>0</v>
      </c>
      <c r="AN350" s="76"/>
      <c r="AO350" s="81" t="e">
        <f t="shared" si="539"/>
        <v>#DIV/0!</v>
      </c>
      <c r="AP350" s="81" t="e">
        <f t="shared" si="540"/>
        <v>#DIV/0!</v>
      </c>
      <c r="AQ350" s="81" t="e">
        <f t="shared" si="541"/>
        <v>#DIV/0!</v>
      </c>
      <c r="AR350" s="3"/>
      <c r="AS350" s="76">
        <f t="shared" si="542"/>
        <v>0</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ht="15" x14ac:dyDescent="0.25">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f>($F345*I345+$F346*I346+$F347*I347+$F348*I348+$F349*I349)/(I345+I346+I347+I348+I349)</f>
        <v>78.94736842105263</v>
      </c>
      <c r="AH351" s="82">
        <f>($F345*K345+$F346*K346+$F347*K347+$F348*K348+$F349*K349)/(K345+K346+K347+K348+K349)</f>
        <v>64.0625</v>
      </c>
      <c r="AI351" s="82">
        <f>($F345*G345+$F346*G346+$F347*G347+$F348*G348+$F349*G349)/(G345+G346+G347+G348+G349)</f>
        <v>72.142857142857139</v>
      </c>
      <c r="AJ351" s="82"/>
      <c r="AK351" s="82">
        <f>($F345*Q345+$F346*Q346+$F347*Q347+$F348*Q348+$F349*Q349)/(Q345+Q346+Q347+Q348+Q349)</f>
        <v>78.846153846153825</v>
      </c>
      <c r="AL351" s="82">
        <f>($F345*S345+$F346*S346+$F347*S347+$F348*S348+$F349*S349)/(S345+S346+S347+S348+S349)</f>
        <v>62.5</v>
      </c>
      <c r="AM351" s="82">
        <f>($F345*O345+$F346*O346+$F347*O347+$F348*O348+$F349*O349)/(O345+O346+O347+O348+O349)</f>
        <v>70.370370370370367</v>
      </c>
      <c r="AN351" s="82"/>
      <c r="AO351" s="82" t="e">
        <f>($F345*W345+$F346*W346+$F347*W347+$F348*W348+$F349*W349)/(W345+W346+W347+W348+W349)</f>
        <v>#DIV/0!</v>
      </c>
      <c r="AP351" s="82" t="e">
        <f>($F345*Y345+$F346*Y346+$F347*Y347+$F348*Y348+$F349*Y349)/(Y345+Y346+Y347+Y348+Y349)</f>
        <v>#DIV/0!</v>
      </c>
      <c r="AQ351" s="82" t="e">
        <f>($F345*U345+$F346*U346+$F347*U347+$F348*U348+$F349*U349)/(U345+U346+U347+U348+U349)</f>
        <v>#DIV/0!</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ht="15" x14ac:dyDescent="0.25">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ht="15" x14ac:dyDescent="0.25">
      <c r="A353" s="8" t="s">
        <v>17</v>
      </c>
      <c r="B353" s="9" t="s">
        <v>229</v>
      </c>
      <c r="C353" s="7"/>
      <c r="D353" s="7"/>
      <c r="E353" s="7"/>
      <c r="F353" s="71">
        <v>100</v>
      </c>
      <c r="G353" s="51">
        <f t="shared" ref="G353:G358" si="543">I353+K353</f>
        <v>9</v>
      </c>
      <c r="H353" s="52">
        <f t="shared" ref="H353:H358" si="544">G353/$J$5*100</f>
        <v>23.684210526315788</v>
      </c>
      <c r="I353" s="53">
        <f>COUNTIFS('00 Encuesta'!$B$2:$B$511,"*b)*",'00 Encuesta'!$C$2:$C$511,"*a)*",'00 Encuesta'!$E$2:$E$511,"*a)*",'00 Encuesta'!$AS$2:$AS$511,"*a)*")</f>
        <v>5</v>
      </c>
      <c r="J353" s="52">
        <f t="shared" ref="J353:J358" si="545">I353/$J$6*100</f>
        <v>23.809523809523807</v>
      </c>
      <c r="K353" s="53">
        <f>COUNTIFS('00 Encuesta'!$B$2:$B$511,"*b)*",'00 Encuesta'!$C$2:$C$511,"*a)*",'00 Encuesta'!$E$2:$E$511,"*b)*",'00 Encuesta'!$AS$2:$AS$511,"*a)*")</f>
        <v>4</v>
      </c>
      <c r="L353" s="52">
        <f t="shared" ref="L353:L358" si="546">K353/$J$7*100</f>
        <v>23.52941176470588</v>
      </c>
      <c r="M353" s="23"/>
      <c r="N353" s="51">
        <f t="shared" ref="N353:N358" si="547">P353+R353</f>
        <v>3</v>
      </c>
      <c r="O353" s="52">
        <f t="shared" ref="O353:O358" si="548">N353/$Q$5*100</f>
        <v>9.375</v>
      </c>
      <c r="P353" s="53">
        <f>COUNTIFS('00 Encuesta'!$B$2:$B$511,"*b)*",'00 Encuesta'!$C$2:$C$511,"*b)*",'00 Encuesta'!$E$2:$E$511,"*a)*",'00 Encuesta'!$AS$2:$AS$511,"*a)*")</f>
        <v>3</v>
      </c>
      <c r="Q353" s="52">
        <f>P353/$Q$6*100</f>
        <v>17.647058823529413</v>
      </c>
      <c r="R353" s="53">
        <f>COUNTIFS('00 Encuesta'!$B$2:$B$511,"*b)*",'00 Encuesta'!$C$2:$C$511,"*b)*",'00 Encuesta'!$E$2:$E$511,"*b)*",'00 Encuesta'!$AS$2:$AS$511,"*a)*")</f>
        <v>0</v>
      </c>
      <c r="S353" s="52">
        <f t="shared" ref="S353:S358" si="549">R353/$Q$7*100</f>
        <v>0</v>
      </c>
      <c r="T353" s="3"/>
      <c r="U353" s="51">
        <f t="shared" ref="U353:U358" si="550">W353+Y353</f>
        <v>0</v>
      </c>
      <c r="V353" s="52" t="e">
        <f t="shared" ref="V353:V358" si="551">U353/$X$5*100</f>
        <v>#DIV/0!</v>
      </c>
      <c r="W353" s="53">
        <f>COUNTIFS('00 Encuesta'!$B$2:$B$511,"*b)*",'00 Encuesta'!$C$2:$C$511,"*d)*",'00 Encuesta'!$E$2:$E$511,"*a)*",'00 Encuesta'!$AS$2:$AS$511,"*a)*")</f>
        <v>0</v>
      </c>
      <c r="X353" s="52" t="e">
        <f t="shared" ref="X353:X358" si="552">W353/$X$6*100</f>
        <v>#DIV/0!</v>
      </c>
      <c r="Y353" s="53">
        <f>COUNTIFS('00 Encuesta'!$B$2:$B$511,"*b)*",'00 Encuesta'!$C$2:$C$511,"*d)*",'00 Encuesta'!$E$2:$E$511,"*b)*",'00 Encuesta'!$AS$2:$AS$511,"*a)*")</f>
        <v>0</v>
      </c>
      <c r="Z353" s="52" t="e">
        <f t="shared" ref="Z353:Z358" si="553">Y353/$X$7*100</f>
        <v>#DIV/0!</v>
      </c>
      <c r="AA353" s="3"/>
      <c r="AB353" s="62">
        <f t="shared" ref="AB353:AB358" si="554">G353+N353+U353</f>
        <v>12</v>
      </c>
      <c r="AC353" s="52">
        <f t="shared" ref="AC353:AC358" si="555">AB353*100/$AC$5</f>
        <v>17.142857142857142</v>
      </c>
      <c r="AD353" s="3"/>
      <c r="AE353" s="3"/>
      <c r="AF353" s="9" t="str">
        <f t="shared" ref="AF353:AF358" si="556">A353&amp;" "&amp;B353</f>
        <v>a) Muy buena</v>
      </c>
      <c r="AG353" s="72">
        <f t="shared" ref="AG353:AG358" si="557">J353</f>
        <v>23.809523809523807</v>
      </c>
      <c r="AH353" s="72">
        <f t="shared" ref="AH353:AH358" si="558">L353</f>
        <v>23.52941176470588</v>
      </c>
      <c r="AI353" s="73">
        <f t="shared" ref="AI353:AI358" si="559">H353</f>
        <v>23.684210526315788</v>
      </c>
      <c r="AJ353" s="73"/>
      <c r="AK353" s="76">
        <f>Q353</f>
        <v>17.647058823529413</v>
      </c>
      <c r="AL353" s="76">
        <f t="shared" ref="AL353:AL358" si="560">S353</f>
        <v>0</v>
      </c>
      <c r="AM353" s="76">
        <f t="shared" ref="AM353:AM358" si="561">O353</f>
        <v>9.375</v>
      </c>
      <c r="AN353" s="76"/>
      <c r="AO353" s="81" t="e">
        <f t="shared" ref="AO353:AO358" si="562">X353</f>
        <v>#DIV/0!</v>
      </c>
      <c r="AP353" s="81" t="e">
        <f t="shared" ref="AP353:AP358" si="563">Z353</f>
        <v>#DIV/0!</v>
      </c>
      <c r="AQ353" s="81" t="e">
        <f t="shared" ref="AQ353:AQ358" si="564">V353</f>
        <v>#DIV/0!</v>
      </c>
      <c r="AR353" s="3"/>
      <c r="AS353" s="76">
        <f t="shared" si="542"/>
        <v>17.142857142857142</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ht="15" x14ac:dyDescent="0.25">
      <c r="A354" s="8" t="s">
        <v>18</v>
      </c>
      <c r="B354" s="9" t="s">
        <v>230</v>
      </c>
      <c r="C354" s="7"/>
      <c r="D354" s="7"/>
      <c r="E354" s="7"/>
      <c r="F354" s="71">
        <v>75</v>
      </c>
      <c r="G354" s="51">
        <f t="shared" si="543"/>
        <v>7</v>
      </c>
      <c r="H354" s="52">
        <f t="shared" si="544"/>
        <v>18.421052631578945</v>
      </c>
      <c r="I354" s="53">
        <f>COUNTIFS('00 Encuesta'!$B$2:$B$511,"*b)*",'00 Encuesta'!$C$2:$C$511,"*a)*",'00 Encuesta'!$E$2:$E$511,"*a)*",'00 Encuesta'!$AS$2:$AS$511,"*b)*")</f>
        <v>3</v>
      </c>
      <c r="J354" s="52">
        <f t="shared" si="545"/>
        <v>14.285714285714285</v>
      </c>
      <c r="K354" s="53">
        <f>COUNTIFS('00 Encuesta'!$B$2:$B$511,"*b)*",'00 Encuesta'!$C$2:$C$511,"*a)*",'00 Encuesta'!$E$2:$E$511,"*b)*",'00 Encuesta'!$AS$2:$AS$511,"*b)*")</f>
        <v>4</v>
      </c>
      <c r="L354" s="52">
        <f t="shared" si="546"/>
        <v>23.52941176470588</v>
      </c>
      <c r="M354" s="23"/>
      <c r="N354" s="51">
        <f t="shared" si="547"/>
        <v>17</v>
      </c>
      <c r="O354" s="52">
        <f t="shared" si="548"/>
        <v>53.125</v>
      </c>
      <c r="P354" s="53">
        <f>COUNTIFS('00 Encuesta'!$B$2:$B$511,"*b)*",'00 Encuesta'!$C$2:$C$511,"*b)*",'00 Encuesta'!$E$2:$E$511,"*a)*",'00 Encuesta'!$AS$2:$AS$511,"*b)*")</f>
        <v>7</v>
      </c>
      <c r="Q354" s="52">
        <f t="shared" ref="Q354:Q358" si="565">P354/$Q$6*100</f>
        <v>41.17647058823529</v>
      </c>
      <c r="R354" s="53">
        <f>COUNTIFS('00 Encuesta'!$B$2:$B$511,"*b)*",'00 Encuesta'!$C$2:$C$511,"*b)*",'00 Encuesta'!$E$2:$E$511,"*b)*",'00 Encuesta'!$AS$2:$AS$511,"*b)*")</f>
        <v>10</v>
      </c>
      <c r="S354" s="52">
        <f t="shared" si="549"/>
        <v>66.666666666666657</v>
      </c>
      <c r="T354" s="3"/>
      <c r="U354" s="51">
        <f t="shared" si="550"/>
        <v>0</v>
      </c>
      <c r="V354" s="52" t="e">
        <f t="shared" si="551"/>
        <v>#DIV/0!</v>
      </c>
      <c r="W354" s="53">
        <f>COUNTIFS('00 Encuesta'!$B$2:$B$511,"*b)*",'00 Encuesta'!$C$2:$C$511,"*d)*",'00 Encuesta'!$E$2:$E$511,"*a)*",'00 Encuesta'!$AS$2:$AS$511,"*b)*")</f>
        <v>0</v>
      </c>
      <c r="X354" s="52" t="e">
        <f t="shared" si="552"/>
        <v>#DIV/0!</v>
      </c>
      <c r="Y354" s="53">
        <f>COUNTIFS('00 Encuesta'!$B$2:$B$511,"*b)*",'00 Encuesta'!$C$2:$C$511,"*d)*",'00 Encuesta'!$E$2:$E$511,"*b)*",'00 Encuesta'!$AS$2:$AS$511,"*b)*")</f>
        <v>0</v>
      </c>
      <c r="Z354" s="52" t="e">
        <f t="shared" si="553"/>
        <v>#DIV/0!</v>
      </c>
      <c r="AA354" s="3"/>
      <c r="AB354" s="62">
        <f t="shared" si="554"/>
        <v>24</v>
      </c>
      <c r="AC354" s="52">
        <f t="shared" si="555"/>
        <v>34.285714285714285</v>
      </c>
      <c r="AD354" s="3"/>
      <c r="AE354" s="3"/>
      <c r="AF354" s="9" t="str">
        <f t="shared" si="556"/>
        <v>b) Buena</v>
      </c>
      <c r="AG354" s="72">
        <f t="shared" si="557"/>
        <v>14.285714285714285</v>
      </c>
      <c r="AH354" s="72">
        <f t="shared" si="558"/>
        <v>23.52941176470588</v>
      </c>
      <c r="AI354" s="73">
        <f t="shared" si="559"/>
        <v>18.421052631578945</v>
      </c>
      <c r="AJ354" s="73"/>
      <c r="AK354" s="76">
        <f t="shared" ref="AK354:AK358" si="566">Q354</f>
        <v>41.17647058823529</v>
      </c>
      <c r="AL354" s="76">
        <f t="shared" si="560"/>
        <v>66.666666666666657</v>
      </c>
      <c r="AM354" s="76">
        <f t="shared" si="561"/>
        <v>53.125</v>
      </c>
      <c r="AN354" s="76"/>
      <c r="AO354" s="81" t="e">
        <f t="shared" si="562"/>
        <v>#DIV/0!</v>
      </c>
      <c r="AP354" s="81" t="e">
        <f t="shared" si="563"/>
        <v>#DIV/0!</v>
      </c>
      <c r="AQ354" s="81" t="e">
        <f t="shared" si="564"/>
        <v>#DIV/0!</v>
      </c>
      <c r="AR354" s="3"/>
      <c r="AS354" s="76">
        <f t="shared" si="542"/>
        <v>34.285714285714285</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ht="15" x14ac:dyDescent="0.25">
      <c r="A355" s="8" t="s">
        <v>20</v>
      </c>
      <c r="B355" s="9" t="s">
        <v>218</v>
      </c>
      <c r="C355" s="7"/>
      <c r="D355" s="7"/>
      <c r="E355" s="7"/>
      <c r="F355" s="71">
        <v>50</v>
      </c>
      <c r="G355" s="51">
        <f t="shared" si="543"/>
        <v>13</v>
      </c>
      <c r="H355" s="52">
        <f t="shared" si="544"/>
        <v>34.210526315789473</v>
      </c>
      <c r="I355" s="53">
        <f>COUNTIFS('00 Encuesta'!$B$2:$B$511,"*b)*",'00 Encuesta'!$C$2:$C$511,"*a)*",'00 Encuesta'!$E$2:$E$511,"*a)*",'00 Encuesta'!$AS$2:$AS$511,"*c)*")</f>
        <v>8</v>
      </c>
      <c r="J355" s="52">
        <f t="shared" si="545"/>
        <v>38.095238095238095</v>
      </c>
      <c r="K355" s="53">
        <f>COUNTIFS('00 Encuesta'!$B$2:$B$511,"*b)*",'00 Encuesta'!$C$2:$C$511,"*a)*",'00 Encuesta'!$E$2:$E$511,"*b)*",'00 Encuesta'!$AS$2:$AS$511,"*c)*")</f>
        <v>5</v>
      </c>
      <c r="L355" s="52">
        <f t="shared" si="546"/>
        <v>29.411764705882355</v>
      </c>
      <c r="M355" s="23"/>
      <c r="N355" s="51">
        <f t="shared" si="547"/>
        <v>6</v>
      </c>
      <c r="O355" s="52">
        <f t="shared" si="548"/>
        <v>18.75</v>
      </c>
      <c r="P355" s="53">
        <f>COUNTIFS('00 Encuesta'!$B$2:$B$511,"*b)*",'00 Encuesta'!$C$2:$C$511,"*b)*",'00 Encuesta'!$E$2:$E$511,"*a)*",'00 Encuesta'!$AS$2:$AS$511,"*c)*")</f>
        <v>3</v>
      </c>
      <c r="Q355" s="52">
        <f t="shared" si="565"/>
        <v>17.647058823529413</v>
      </c>
      <c r="R355" s="53">
        <f>COUNTIFS('00 Encuesta'!$B$2:$B$511,"*b)*",'00 Encuesta'!$C$2:$C$511,"*b)*",'00 Encuesta'!$E$2:$E$511,"*b)*",'00 Encuesta'!$AS$2:$AS$511,"*c)*")</f>
        <v>3</v>
      </c>
      <c r="S355" s="52">
        <f t="shared" si="549"/>
        <v>20</v>
      </c>
      <c r="T355" s="3"/>
      <c r="U355" s="51">
        <f t="shared" si="550"/>
        <v>0</v>
      </c>
      <c r="V355" s="52" t="e">
        <f t="shared" si="551"/>
        <v>#DIV/0!</v>
      </c>
      <c r="W355" s="53">
        <f>COUNTIFS('00 Encuesta'!$B$2:$B$511,"*b)*",'00 Encuesta'!$C$2:$C$511,"*d)*",'00 Encuesta'!$E$2:$E$511,"*a)*",'00 Encuesta'!$AS$2:$AS$511,"*c)*")</f>
        <v>0</v>
      </c>
      <c r="X355" s="52" t="e">
        <f t="shared" si="552"/>
        <v>#DIV/0!</v>
      </c>
      <c r="Y355" s="53">
        <f>COUNTIFS('00 Encuesta'!$B$2:$B$511,"*b)*",'00 Encuesta'!$C$2:$C$511,"*d)*",'00 Encuesta'!$E$2:$E$511,"*b)*",'00 Encuesta'!$AS$2:$AS$511,"*c)*")</f>
        <v>0</v>
      </c>
      <c r="Z355" s="52" t="e">
        <f t="shared" si="553"/>
        <v>#DIV/0!</v>
      </c>
      <c r="AA355" s="3"/>
      <c r="AB355" s="62">
        <f t="shared" si="554"/>
        <v>19</v>
      </c>
      <c r="AC355" s="52">
        <f t="shared" si="555"/>
        <v>27.142857142857142</v>
      </c>
      <c r="AD355" s="3"/>
      <c r="AE355" s="3"/>
      <c r="AF355" s="9" t="str">
        <f t="shared" si="556"/>
        <v>c) Regular</v>
      </c>
      <c r="AG355" s="72">
        <f t="shared" si="557"/>
        <v>38.095238095238095</v>
      </c>
      <c r="AH355" s="72">
        <f t="shared" si="558"/>
        <v>29.411764705882355</v>
      </c>
      <c r="AI355" s="73">
        <f t="shared" si="559"/>
        <v>34.210526315789473</v>
      </c>
      <c r="AJ355" s="73"/>
      <c r="AK355" s="76">
        <f t="shared" si="566"/>
        <v>17.647058823529413</v>
      </c>
      <c r="AL355" s="76">
        <f t="shared" si="560"/>
        <v>20</v>
      </c>
      <c r="AM355" s="76">
        <f t="shared" si="561"/>
        <v>18.75</v>
      </c>
      <c r="AN355" s="76"/>
      <c r="AO355" s="81" t="e">
        <f t="shared" si="562"/>
        <v>#DIV/0!</v>
      </c>
      <c r="AP355" s="81" t="e">
        <f t="shared" si="563"/>
        <v>#DIV/0!</v>
      </c>
      <c r="AQ355" s="81" t="e">
        <f t="shared" si="564"/>
        <v>#DIV/0!</v>
      </c>
      <c r="AR355" s="3"/>
      <c r="AS355" s="76">
        <f t="shared" si="542"/>
        <v>27.142857142857142</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ht="15" x14ac:dyDescent="0.25">
      <c r="A356" s="8" t="s">
        <v>21</v>
      </c>
      <c r="B356" s="9" t="s">
        <v>231</v>
      </c>
      <c r="C356" s="7"/>
      <c r="D356" s="7"/>
      <c r="E356" s="7"/>
      <c r="F356" s="71">
        <v>25</v>
      </c>
      <c r="G356" s="51">
        <f t="shared" si="543"/>
        <v>2</v>
      </c>
      <c r="H356" s="52">
        <f t="shared" si="544"/>
        <v>5.2631578947368416</v>
      </c>
      <c r="I356" s="53">
        <f>COUNTIFS('00 Encuesta'!$B$2:$B$511,"*b)*",'00 Encuesta'!$C$2:$C$511,"*a)*",'00 Encuesta'!$E$2:$E$511,"*a)*",'00 Encuesta'!$AS$2:$AS$511,"*d)*")</f>
        <v>0</v>
      </c>
      <c r="J356" s="52">
        <f t="shared" si="545"/>
        <v>0</v>
      </c>
      <c r="K356" s="53">
        <f>COUNTIFS('00 Encuesta'!$B$2:$B$511,"*b)*",'00 Encuesta'!$C$2:$C$511,"*a)*",'00 Encuesta'!$E$2:$E$511,"*b)*",'00 Encuesta'!$AS$2:$AS$511,"*d)*")</f>
        <v>2</v>
      </c>
      <c r="L356" s="52">
        <f t="shared" si="546"/>
        <v>11.76470588235294</v>
      </c>
      <c r="M356" s="23"/>
      <c r="N356" s="51">
        <f t="shared" si="547"/>
        <v>1</v>
      </c>
      <c r="O356" s="52">
        <f t="shared" si="548"/>
        <v>3.125</v>
      </c>
      <c r="P356" s="53">
        <f>COUNTIFS('00 Encuesta'!$B$2:$B$511,"*b)*",'00 Encuesta'!$C$2:$C$511,"*b)*",'00 Encuesta'!$E$2:$E$511,"*a)*",'00 Encuesta'!$AS$2:$AS$511,"*d)*")</f>
        <v>0</v>
      </c>
      <c r="Q356" s="52">
        <f t="shared" si="565"/>
        <v>0</v>
      </c>
      <c r="R356" s="53">
        <f>COUNTIFS('00 Encuesta'!$B$2:$B$511,"*b)*",'00 Encuesta'!$C$2:$C$511,"*b)*",'00 Encuesta'!$E$2:$E$511,"*b)*",'00 Encuesta'!$AS$2:$AS$511,"*d)*")</f>
        <v>1</v>
      </c>
      <c r="S356" s="52">
        <f t="shared" si="549"/>
        <v>6.666666666666667</v>
      </c>
      <c r="T356" s="3"/>
      <c r="U356" s="51">
        <f t="shared" si="550"/>
        <v>0</v>
      </c>
      <c r="V356" s="52" t="e">
        <f t="shared" si="551"/>
        <v>#DIV/0!</v>
      </c>
      <c r="W356" s="53">
        <f>COUNTIFS('00 Encuesta'!$B$2:$B$511,"*b)*",'00 Encuesta'!$C$2:$C$511,"*d)*",'00 Encuesta'!$E$2:$E$511,"*a)*",'00 Encuesta'!$AS$2:$AS$511,"*d)*")</f>
        <v>0</v>
      </c>
      <c r="X356" s="52" t="e">
        <f t="shared" si="552"/>
        <v>#DIV/0!</v>
      </c>
      <c r="Y356" s="53">
        <f>COUNTIFS('00 Encuesta'!$B$2:$B$511,"*b)*",'00 Encuesta'!$C$2:$C$511,"*d)*",'00 Encuesta'!$E$2:$E$511,"*b)*",'00 Encuesta'!$AS$2:$AS$511,"*d)*")</f>
        <v>0</v>
      </c>
      <c r="Z356" s="52" t="e">
        <f t="shared" si="553"/>
        <v>#DIV/0!</v>
      </c>
      <c r="AA356" s="3"/>
      <c r="AB356" s="62">
        <f t="shared" si="554"/>
        <v>3</v>
      </c>
      <c r="AC356" s="52">
        <f t="shared" si="555"/>
        <v>4.2857142857142856</v>
      </c>
      <c r="AD356" s="3"/>
      <c r="AE356" s="3"/>
      <c r="AF356" s="9" t="str">
        <f t="shared" si="556"/>
        <v>d) Mala</v>
      </c>
      <c r="AG356" s="72">
        <f t="shared" si="557"/>
        <v>0</v>
      </c>
      <c r="AH356" s="72">
        <f t="shared" si="558"/>
        <v>11.76470588235294</v>
      </c>
      <c r="AI356" s="73">
        <f t="shared" si="559"/>
        <v>5.2631578947368416</v>
      </c>
      <c r="AJ356" s="73"/>
      <c r="AK356" s="76">
        <f t="shared" si="566"/>
        <v>0</v>
      </c>
      <c r="AL356" s="76">
        <f t="shared" si="560"/>
        <v>6.666666666666667</v>
      </c>
      <c r="AM356" s="76">
        <f t="shared" si="561"/>
        <v>3.125</v>
      </c>
      <c r="AN356" s="76"/>
      <c r="AO356" s="81" t="e">
        <f t="shared" si="562"/>
        <v>#DIV/0!</v>
      </c>
      <c r="AP356" s="81" t="e">
        <f t="shared" si="563"/>
        <v>#DIV/0!</v>
      </c>
      <c r="AQ356" s="81" t="e">
        <f t="shared" si="564"/>
        <v>#DIV/0!</v>
      </c>
      <c r="AR356" s="3"/>
      <c r="AS356" s="76">
        <f t="shared" si="542"/>
        <v>4.2857142857142856</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ht="15" x14ac:dyDescent="0.25">
      <c r="A357" s="8" t="s">
        <v>22</v>
      </c>
      <c r="B357" s="9" t="s">
        <v>232</v>
      </c>
      <c r="C357" s="7"/>
      <c r="D357" s="7"/>
      <c r="E357" s="7"/>
      <c r="F357" s="71">
        <v>0</v>
      </c>
      <c r="G357" s="51">
        <f t="shared" si="543"/>
        <v>3</v>
      </c>
      <c r="H357" s="52">
        <f t="shared" si="544"/>
        <v>7.8947368421052628</v>
      </c>
      <c r="I357" s="53">
        <f>COUNTIFS('00 Encuesta'!$B$2:$B$511,"*b)*",'00 Encuesta'!$C$2:$C$511,"*a)*",'00 Encuesta'!$E$2:$E$511,"*a)*",'00 Encuesta'!$AS$2:$AS$511,"*e)*")</f>
        <v>2</v>
      </c>
      <c r="J357" s="52">
        <f t="shared" si="545"/>
        <v>9.5238095238095237</v>
      </c>
      <c r="K357" s="53">
        <f>COUNTIFS('00 Encuesta'!$B$2:$B$511,"*b)*",'00 Encuesta'!$C$2:$C$511,"*a)*",'00 Encuesta'!$E$2:$E$511,"*b)*",'00 Encuesta'!$AS$2:$AS$511,"*e)*")</f>
        <v>1</v>
      </c>
      <c r="L357" s="52">
        <f t="shared" si="546"/>
        <v>5.8823529411764701</v>
      </c>
      <c r="M357" s="23"/>
      <c r="N357" s="51">
        <f t="shared" si="547"/>
        <v>0</v>
      </c>
      <c r="O357" s="52">
        <f t="shared" si="548"/>
        <v>0</v>
      </c>
      <c r="P357" s="53">
        <f>COUNTIFS('00 Encuesta'!$B$2:$B$511,"*b)*",'00 Encuesta'!$C$2:$C$511,"*b)*",'00 Encuesta'!$E$2:$E$511,"*a)*",'00 Encuesta'!$AS$2:$AS$511,"*e)*")</f>
        <v>0</v>
      </c>
      <c r="Q357" s="52">
        <f t="shared" si="565"/>
        <v>0</v>
      </c>
      <c r="R357" s="53">
        <f>COUNTIFS('00 Encuesta'!$B$2:$B$511,"*b)*",'00 Encuesta'!$C$2:$C$511,"*b)*",'00 Encuesta'!$E$2:$E$511,"*b)*",'00 Encuesta'!$AS$2:$AS$511,"*e)*")</f>
        <v>0</v>
      </c>
      <c r="S357" s="52">
        <f t="shared" si="549"/>
        <v>0</v>
      </c>
      <c r="T357" s="3"/>
      <c r="U357" s="51">
        <f t="shared" si="550"/>
        <v>0</v>
      </c>
      <c r="V357" s="52" t="e">
        <f t="shared" si="551"/>
        <v>#DIV/0!</v>
      </c>
      <c r="W357" s="53">
        <f>COUNTIFS('00 Encuesta'!$B$2:$B$511,"*b)*",'00 Encuesta'!$C$2:$C$511,"*d)*",'00 Encuesta'!$E$2:$E$511,"*a)*",'00 Encuesta'!$AS$2:$AS$511,"*e)*")</f>
        <v>0</v>
      </c>
      <c r="X357" s="52" t="e">
        <f t="shared" si="552"/>
        <v>#DIV/0!</v>
      </c>
      <c r="Y357" s="53">
        <f>COUNTIFS('00 Encuesta'!$B$2:$B$511,"*b)*",'00 Encuesta'!$C$2:$C$511,"*d)*",'00 Encuesta'!$E$2:$E$511,"*b)*",'00 Encuesta'!$AS$2:$AS$511,"*e)*")</f>
        <v>0</v>
      </c>
      <c r="Z357" s="52" t="e">
        <f t="shared" si="553"/>
        <v>#DIV/0!</v>
      </c>
      <c r="AA357" s="3"/>
      <c r="AB357" s="62">
        <f t="shared" si="554"/>
        <v>3</v>
      </c>
      <c r="AC357" s="52">
        <f t="shared" si="555"/>
        <v>4.2857142857142856</v>
      </c>
      <c r="AD357" s="3"/>
      <c r="AE357" s="3"/>
      <c r="AF357" s="9" t="str">
        <f t="shared" si="556"/>
        <v>e) Muy mala</v>
      </c>
      <c r="AG357" s="72">
        <f t="shared" si="557"/>
        <v>9.5238095238095237</v>
      </c>
      <c r="AH357" s="72">
        <f t="shared" si="558"/>
        <v>5.8823529411764701</v>
      </c>
      <c r="AI357" s="73">
        <f t="shared" si="559"/>
        <v>7.8947368421052628</v>
      </c>
      <c r="AJ357" s="73"/>
      <c r="AK357" s="76">
        <f t="shared" si="566"/>
        <v>0</v>
      </c>
      <c r="AL357" s="76">
        <f t="shared" si="560"/>
        <v>0</v>
      </c>
      <c r="AM357" s="76">
        <f t="shared" si="561"/>
        <v>0</v>
      </c>
      <c r="AN357" s="76"/>
      <c r="AO357" s="81" t="e">
        <f t="shared" si="562"/>
        <v>#DIV/0!</v>
      </c>
      <c r="AP357" s="81" t="e">
        <f t="shared" si="563"/>
        <v>#DIV/0!</v>
      </c>
      <c r="AQ357" s="81" t="e">
        <f t="shared" si="564"/>
        <v>#DIV/0!</v>
      </c>
      <c r="AR357" s="3"/>
      <c r="AS357" s="76">
        <f t="shared" si="542"/>
        <v>4.2857142857142856</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ht="15" x14ac:dyDescent="0.25">
      <c r="A358" s="8" t="s">
        <v>45</v>
      </c>
      <c r="B358" s="9" t="s">
        <v>233</v>
      </c>
      <c r="C358" s="7"/>
      <c r="D358" s="7"/>
      <c r="E358" s="7"/>
      <c r="F358" s="71"/>
      <c r="G358" s="51">
        <f t="shared" si="543"/>
        <v>0</v>
      </c>
      <c r="H358" s="52">
        <f t="shared" si="544"/>
        <v>0</v>
      </c>
      <c r="I358" s="53">
        <f>COUNTIFS('00 Encuesta'!$B$2:$B$511,"*b)*",'00 Encuesta'!$C$2:$C$511,"*a)*",'00 Encuesta'!$E$2:$E$511,"*a)*",'00 Encuesta'!$AS$2:$AS$511,"*f)*")</f>
        <v>0</v>
      </c>
      <c r="J358" s="52">
        <f t="shared" si="545"/>
        <v>0</v>
      </c>
      <c r="K358" s="53">
        <f>COUNTIFS('00 Encuesta'!$B$2:$B$511,"*b)*",'00 Encuesta'!$C$2:$C$511,"*a)*",'00 Encuesta'!$E$2:$E$511,"*b)*",'00 Encuesta'!$AS$2:$AS$511,"*f)*")</f>
        <v>0</v>
      </c>
      <c r="L358" s="52">
        <f t="shared" si="546"/>
        <v>0</v>
      </c>
      <c r="M358" s="23"/>
      <c r="N358" s="51">
        <f t="shared" si="547"/>
        <v>0</v>
      </c>
      <c r="O358" s="52">
        <f t="shared" si="548"/>
        <v>0</v>
      </c>
      <c r="P358" s="53">
        <f>COUNTIFS('00 Encuesta'!$B$2:$B$511,"*b)*",'00 Encuesta'!$C$2:$C$511,"*b)*",'00 Encuesta'!$E$2:$E$511,"*a)*",'00 Encuesta'!$AS$2:$AS$511,"*f)*")</f>
        <v>0</v>
      </c>
      <c r="Q358" s="52">
        <f t="shared" si="565"/>
        <v>0</v>
      </c>
      <c r="R358" s="53">
        <f>COUNTIFS('00 Encuesta'!$B$2:$B$511,"*b)*",'00 Encuesta'!$C$2:$C$511,"*b)*",'00 Encuesta'!$E$2:$E$511,"*b)*",'00 Encuesta'!$AS$2:$AS$511,"*f)*")</f>
        <v>0</v>
      </c>
      <c r="S358" s="52">
        <f t="shared" si="549"/>
        <v>0</v>
      </c>
      <c r="T358" s="3"/>
      <c r="U358" s="51">
        <f t="shared" si="550"/>
        <v>0</v>
      </c>
      <c r="V358" s="52" t="e">
        <f t="shared" si="551"/>
        <v>#DIV/0!</v>
      </c>
      <c r="W358" s="53">
        <f>COUNTIFS('00 Encuesta'!$B$2:$B$511,"*b)*",'00 Encuesta'!$C$2:$C$511,"*d)*",'00 Encuesta'!$E$2:$E$511,"*a)*",'00 Encuesta'!$AS$2:$AS$511,"*f)*")</f>
        <v>0</v>
      </c>
      <c r="X358" s="52" t="e">
        <f t="shared" si="552"/>
        <v>#DIV/0!</v>
      </c>
      <c r="Y358" s="53">
        <f>COUNTIFS('00 Encuesta'!$B$2:$B$511,"*b)*",'00 Encuesta'!$C$2:$C$511,"*d)*",'00 Encuesta'!$E$2:$E$511,"*b)*",'00 Encuesta'!$AS$2:$AS$511,"*f)*")</f>
        <v>0</v>
      </c>
      <c r="Z358" s="52" t="e">
        <f t="shared" si="553"/>
        <v>#DIV/0!</v>
      </c>
      <c r="AA358" s="3"/>
      <c r="AB358" s="62">
        <f t="shared" si="554"/>
        <v>0</v>
      </c>
      <c r="AC358" s="52">
        <f t="shared" si="555"/>
        <v>0</v>
      </c>
      <c r="AD358" s="3"/>
      <c r="AE358" s="3"/>
      <c r="AF358" s="9" t="str">
        <f t="shared" si="556"/>
        <v>f) No aplica</v>
      </c>
      <c r="AG358" s="72">
        <f t="shared" si="557"/>
        <v>0</v>
      </c>
      <c r="AH358" s="72">
        <f t="shared" si="558"/>
        <v>0</v>
      </c>
      <c r="AI358" s="73">
        <f t="shared" si="559"/>
        <v>0</v>
      </c>
      <c r="AJ358" s="73"/>
      <c r="AK358" s="76">
        <f t="shared" si="566"/>
        <v>0</v>
      </c>
      <c r="AL358" s="76">
        <f t="shared" si="560"/>
        <v>0</v>
      </c>
      <c r="AM358" s="76">
        <f t="shared" si="561"/>
        <v>0</v>
      </c>
      <c r="AN358" s="76"/>
      <c r="AO358" s="81" t="e">
        <f t="shared" si="562"/>
        <v>#DIV/0!</v>
      </c>
      <c r="AP358" s="81" t="e">
        <f t="shared" si="563"/>
        <v>#DIV/0!</v>
      </c>
      <c r="AQ358" s="81" t="e">
        <f t="shared" si="564"/>
        <v>#DIV/0!</v>
      </c>
      <c r="AR358" s="3"/>
      <c r="AS358" s="76">
        <f t="shared" si="542"/>
        <v>0</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ht="15" x14ac:dyDescent="0.25">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62.5</v>
      </c>
      <c r="AH359" s="82">
        <f>($F353*K353+$F354*K354+$F355*K355+$F356*K356+$F357*K357)/(K353+K354+K355+K356+K357)</f>
        <v>62.5</v>
      </c>
      <c r="AI359" s="82">
        <f>($F353*G353+$F354*G354+$F355*G355+$F356*G356+$F357*G357)/(G353+G354+G355+G356+G357)</f>
        <v>62.5</v>
      </c>
      <c r="AJ359" s="82"/>
      <c r="AK359" s="82">
        <f>($F353*Q353+$F354*Q354+$F355*Q355+$F356*Q356+$F357*Q357)/(Q353+Q354+Q355+Q356+Q357)</f>
        <v>75</v>
      </c>
      <c r="AL359" s="82">
        <f>($F353*S353+$F354*S354+$F355*S355+$F356*S356+$F357*S357)/(S353+S354+S355+S356+S357)</f>
        <v>66.071428571428569</v>
      </c>
      <c r="AM359" s="82">
        <f>($F353*O353+$F354*O354+$F355*O355+$F356*O356+$F357*O357)/(O353+O354+O355+O356+O357)</f>
        <v>70.370370370370367</v>
      </c>
      <c r="AN359" s="82"/>
      <c r="AO359" s="82" t="e">
        <f>($F353*W353+$F354*W354+$F355*W355+$F356*W356+$F357*W357)/(W353+W354+W355+W356+W357)</f>
        <v>#DIV/0!</v>
      </c>
      <c r="AP359" s="82" t="e">
        <f>($F353*Y353+$F354*Y354+$F355*Y355+$F356*Y356+$F357*Y357)/(Y353+Y354+Y355+Y356+Y357)</f>
        <v>#DIV/0!</v>
      </c>
      <c r="AQ359" s="82" t="e">
        <f>($F353*U353+$F354*U354+$F355*U355+$F356*U356+$F357*U357)/(U353+U354+U355+U356+U357)</f>
        <v>#DIV/0!</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75" x14ac:dyDescent="0.3">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ht="15" x14ac:dyDescent="0.25">
      <c r="A361" s="8" t="s">
        <v>17</v>
      </c>
      <c r="B361" s="9" t="s">
        <v>229</v>
      </c>
      <c r="C361" s="3"/>
      <c r="D361" s="3"/>
      <c r="E361" s="3"/>
      <c r="F361" s="71">
        <v>100</v>
      </c>
      <c r="G361" s="51">
        <f t="shared" ref="G361:G366" si="567">I361+K361</f>
        <v>11</v>
      </c>
      <c r="H361" s="52">
        <f t="shared" ref="H361:H366" si="568">G361/$J$5*100</f>
        <v>28.947368421052634</v>
      </c>
      <c r="I361" s="53">
        <f>COUNTIFS('00 Encuesta'!$B$2:$B$511,"*b)*",'00 Encuesta'!$C$2:$C$511,"*a)*",'00 Encuesta'!$E$2:$E$511,"*a)*",'00 Encuesta'!$AT$2:$AT$511,"*a)*")</f>
        <v>6</v>
      </c>
      <c r="J361" s="52">
        <f t="shared" ref="J361:J366" si="569">I361/$J$6*100</f>
        <v>28.571428571428569</v>
      </c>
      <c r="K361" s="53">
        <f>COUNTIFS('00 Encuesta'!$B$2:$B$511,"*b)*",'00 Encuesta'!$C$2:$C$511,"*a)*",'00 Encuesta'!$E$2:$E$511,"*b)*",'00 Encuesta'!$AT$2:$AT$511,"*a)*")</f>
        <v>5</v>
      </c>
      <c r="L361" s="52">
        <f t="shared" ref="L361:L366" si="570">K361/$J$7*100</f>
        <v>29.411764705882355</v>
      </c>
      <c r="M361" s="23"/>
      <c r="N361" s="51">
        <f t="shared" ref="N361:N366" si="571">P361+R361</f>
        <v>8</v>
      </c>
      <c r="O361" s="52">
        <f t="shared" ref="O361:O366" si="572">N361/$Q$5*100</f>
        <v>25</v>
      </c>
      <c r="P361" s="53">
        <f>COUNTIFS('00 Encuesta'!$B$2:$B$511,"*b)*",'00 Encuesta'!$C$2:$C$511,"*b)*",'00 Encuesta'!$E$2:$E$511,"*a)*",'00 Encuesta'!$AT$2:$AT$511,"*a)*")</f>
        <v>4</v>
      </c>
      <c r="Q361" s="52">
        <f t="shared" ref="Q361:Q366" si="573">P361/$Q$6*100</f>
        <v>23.52941176470588</v>
      </c>
      <c r="R361" s="53">
        <f>COUNTIFS('00 Encuesta'!$B$2:$B$511,"*b)*",'00 Encuesta'!$C$2:$C$511,"*b)*",'00 Encuesta'!$E$2:$E$511,"*b)*",'00 Encuesta'!$AT$2:$AT$511,"*a)*")</f>
        <v>4</v>
      </c>
      <c r="S361" s="52">
        <f t="shared" ref="S361:S366" si="574">R361/$Q$7*100</f>
        <v>26.666666666666668</v>
      </c>
      <c r="T361" s="3"/>
      <c r="U361" s="51">
        <f t="shared" ref="U361:U366" si="575">W361+Y361</f>
        <v>0</v>
      </c>
      <c r="V361" s="52" t="e">
        <f t="shared" ref="V361:V366" si="576">U361/$X$5*100</f>
        <v>#DIV/0!</v>
      </c>
      <c r="W361" s="53">
        <f>COUNTIFS('00 Encuesta'!$B$2:$B$511,"*b)*",'00 Encuesta'!$C$2:$C$511,"*d)*",'00 Encuesta'!$E$2:$E$511,"*a)*",'00 Encuesta'!$AT$2:$AT$511,"*a)*")</f>
        <v>0</v>
      </c>
      <c r="X361" s="52" t="e">
        <f t="shared" ref="X361:X366" si="577">W361/$X$6*100</f>
        <v>#DIV/0!</v>
      </c>
      <c r="Y361" s="53">
        <f>COUNTIFS('00 Encuesta'!$B$2:$B$511,"*b)*",'00 Encuesta'!$C$2:$C$511,"*d)*",'00 Encuesta'!$E$2:$E$511,"*b)*",'00 Encuesta'!$AT$2:$AT$511,"*a)*")</f>
        <v>0</v>
      </c>
      <c r="Z361" s="52" t="e">
        <f t="shared" ref="Z361:Z366" si="578">Y361/$X$7*100</f>
        <v>#DIV/0!</v>
      </c>
      <c r="AA361" s="3"/>
      <c r="AB361" s="62">
        <f t="shared" ref="AB361:AB366" si="579">G361+N361+U361</f>
        <v>19</v>
      </c>
      <c r="AC361" s="52">
        <f t="shared" ref="AC361:AC366" si="580">AB361*100/$AC$5</f>
        <v>27.142857142857142</v>
      </c>
      <c r="AD361" s="3"/>
      <c r="AE361" s="3"/>
      <c r="AF361" s="9" t="str">
        <f t="shared" ref="AF361:AF366" si="581">A361&amp;" "&amp;B361</f>
        <v>a) Muy buena</v>
      </c>
      <c r="AG361" s="72">
        <f t="shared" ref="AG361:AG366" si="582">J361</f>
        <v>28.571428571428569</v>
      </c>
      <c r="AH361" s="72">
        <f t="shared" ref="AH361:AH366" si="583">L361</f>
        <v>29.411764705882355</v>
      </c>
      <c r="AI361" s="73">
        <f t="shared" ref="AI361:AI366" si="584">H361</f>
        <v>28.947368421052634</v>
      </c>
      <c r="AJ361" s="73"/>
      <c r="AK361" s="76">
        <f t="shared" ref="AK361:AK366" si="585">Q361</f>
        <v>23.52941176470588</v>
      </c>
      <c r="AL361" s="76">
        <f t="shared" ref="AL361:AL366" si="586">S361</f>
        <v>26.666666666666668</v>
      </c>
      <c r="AM361" s="76">
        <f t="shared" ref="AM361:AM366" si="587">O361</f>
        <v>25</v>
      </c>
      <c r="AN361" s="76"/>
      <c r="AO361" s="81" t="e">
        <f t="shared" ref="AO361:AO366" si="588">X361</f>
        <v>#DIV/0!</v>
      </c>
      <c r="AP361" s="81" t="e">
        <f t="shared" ref="AP361:AP366" si="589">Z361</f>
        <v>#DIV/0!</v>
      </c>
      <c r="AQ361" s="81" t="e">
        <f t="shared" ref="AQ361:AQ366" si="590">V361</f>
        <v>#DIV/0!</v>
      </c>
      <c r="AR361" s="3"/>
      <c r="AS361" s="76">
        <f t="shared" si="542"/>
        <v>27.142857142857142</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ht="15" x14ac:dyDescent="0.25">
      <c r="A362" s="8" t="s">
        <v>18</v>
      </c>
      <c r="B362" s="9" t="s">
        <v>230</v>
      </c>
      <c r="C362" s="3"/>
      <c r="D362" s="3"/>
      <c r="E362" s="3"/>
      <c r="F362" s="71">
        <v>75</v>
      </c>
      <c r="G362" s="51">
        <f t="shared" si="567"/>
        <v>13</v>
      </c>
      <c r="H362" s="52">
        <f t="shared" si="568"/>
        <v>34.210526315789473</v>
      </c>
      <c r="I362" s="53">
        <f>COUNTIFS('00 Encuesta'!$B$2:$B$511,"*b)*",'00 Encuesta'!$C$2:$C$511,"*a)*",'00 Encuesta'!$E$2:$E$511,"*a)*",'00 Encuesta'!$AT$2:$AT$511,"*b)*")</f>
        <v>10</v>
      </c>
      <c r="J362" s="52">
        <f t="shared" si="569"/>
        <v>47.619047619047613</v>
      </c>
      <c r="K362" s="53">
        <f>COUNTIFS('00 Encuesta'!$B$2:$B$511,"*b)*",'00 Encuesta'!$C$2:$C$511,"*a)*",'00 Encuesta'!$E$2:$E$511,"*b)*",'00 Encuesta'!$AT$2:$AT$511,"*b)*")</f>
        <v>3</v>
      </c>
      <c r="L362" s="52">
        <f t="shared" si="570"/>
        <v>17.647058823529413</v>
      </c>
      <c r="M362" s="23"/>
      <c r="N362" s="51">
        <f t="shared" si="571"/>
        <v>11</v>
      </c>
      <c r="O362" s="52">
        <f t="shared" si="572"/>
        <v>34.375</v>
      </c>
      <c r="P362" s="53">
        <f>COUNTIFS('00 Encuesta'!$B$2:$B$511,"*b)*",'00 Encuesta'!$C$2:$C$511,"*b)*",'00 Encuesta'!$E$2:$E$511,"*a)*",'00 Encuesta'!$AT$2:$AT$511,"*b)*")</f>
        <v>6</v>
      </c>
      <c r="Q362" s="52">
        <f t="shared" si="573"/>
        <v>35.294117647058826</v>
      </c>
      <c r="R362" s="53">
        <f>COUNTIFS('00 Encuesta'!$B$2:$B$511,"*b)*",'00 Encuesta'!$C$2:$C$511,"*b)*",'00 Encuesta'!$E$2:$E$511,"*b)*",'00 Encuesta'!$AT$2:$AT$511,"*b)*")</f>
        <v>5</v>
      </c>
      <c r="S362" s="52">
        <f t="shared" si="574"/>
        <v>33.333333333333329</v>
      </c>
      <c r="T362" s="3"/>
      <c r="U362" s="51">
        <f t="shared" si="575"/>
        <v>0</v>
      </c>
      <c r="V362" s="52" t="e">
        <f t="shared" si="576"/>
        <v>#DIV/0!</v>
      </c>
      <c r="W362" s="53">
        <f>COUNTIFS('00 Encuesta'!$B$2:$B$511,"*b)*",'00 Encuesta'!$C$2:$C$511,"*d)*",'00 Encuesta'!$E$2:$E$511,"*a)*",'00 Encuesta'!$AT$2:$AT$511,"*b)*")</f>
        <v>0</v>
      </c>
      <c r="X362" s="52" t="e">
        <f t="shared" si="577"/>
        <v>#DIV/0!</v>
      </c>
      <c r="Y362" s="53">
        <f>COUNTIFS('00 Encuesta'!$B$2:$B$511,"*b)*",'00 Encuesta'!$C$2:$C$511,"*d)*",'00 Encuesta'!$E$2:$E$511,"*b)*",'00 Encuesta'!$AT$2:$AT$511,"*b)*")</f>
        <v>0</v>
      </c>
      <c r="Z362" s="52" t="e">
        <f t="shared" si="578"/>
        <v>#DIV/0!</v>
      </c>
      <c r="AA362" s="3"/>
      <c r="AB362" s="62">
        <f t="shared" si="579"/>
        <v>24</v>
      </c>
      <c r="AC362" s="52">
        <f t="shared" si="580"/>
        <v>34.285714285714285</v>
      </c>
      <c r="AD362" s="3"/>
      <c r="AE362" s="3"/>
      <c r="AF362" s="9" t="str">
        <f t="shared" si="581"/>
        <v>b) Buena</v>
      </c>
      <c r="AG362" s="72">
        <f t="shared" si="582"/>
        <v>47.619047619047613</v>
      </c>
      <c r="AH362" s="72">
        <f t="shared" si="583"/>
        <v>17.647058823529413</v>
      </c>
      <c r="AI362" s="73">
        <f t="shared" si="584"/>
        <v>34.210526315789473</v>
      </c>
      <c r="AJ362" s="73"/>
      <c r="AK362" s="76">
        <f t="shared" si="585"/>
        <v>35.294117647058826</v>
      </c>
      <c r="AL362" s="76">
        <f t="shared" si="586"/>
        <v>33.333333333333329</v>
      </c>
      <c r="AM362" s="76">
        <f t="shared" si="587"/>
        <v>34.375</v>
      </c>
      <c r="AN362" s="76"/>
      <c r="AO362" s="81" t="e">
        <f t="shared" si="588"/>
        <v>#DIV/0!</v>
      </c>
      <c r="AP362" s="81" t="e">
        <f t="shared" si="589"/>
        <v>#DIV/0!</v>
      </c>
      <c r="AQ362" s="81" t="e">
        <f t="shared" si="590"/>
        <v>#DIV/0!</v>
      </c>
      <c r="AR362" s="3"/>
      <c r="AS362" s="76">
        <f t="shared" si="542"/>
        <v>34.285714285714285</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ht="15" x14ac:dyDescent="0.25">
      <c r="A363" s="8" t="s">
        <v>20</v>
      </c>
      <c r="B363" s="9" t="s">
        <v>218</v>
      </c>
      <c r="C363" s="3"/>
      <c r="D363" s="3"/>
      <c r="E363" s="3"/>
      <c r="F363" s="71">
        <v>50</v>
      </c>
      <c r="G363" s="51">
        <f t="shared" si="567"/>
        <v>7</v>
      </c>
      <c r="H363" s="52">
        <f t="shared" si="568"/>
        <v>18.421052631578945</v>
      </c>
      <c r="I363" s="53">
        <f>COUNTIFS('00 Encuesta'!$B$2:$B$511,"*b)*",'00 Encuesta'!$C$2:$C$511,"*a)*",'00 Encuesta'!$E$2:$E$511,"*a)*",'00 Encuesta'!$AT$2:$AT$511,"*c)*")</f>
        <v>1</v>
      </c>
      <c r="J363" s="52">
        <f t="shared" si="569"/>
        <v>4.7619047619047619</v>
      </c>
      <c r="K363" s="53">
        <f>COUNTIFS('00 Encuesta'!$B$2:$B$511,"*b)*",'00 Encuesta'!$C$2:$C$511,"*a)*",'00 Encuesta'!$E$2:$E$511,"*b)*",'00 Encuesta'!$AT$2:$AT$511,"*c)*")</f>
        <v>6</v>
      </c>
      <c r="L363" s="52">
        <f t="shared" si="570"/>
        <v>35.294117647058826</v>
      </c>
      <c r="M363" s="23"/>
      <c r="N363" s="51">
        <f t="shared" si="571"/>
        <v>6</v>
      </c>
      <c r="O363" s="52">
        <f t="shared" si="572"/>
        <v>18.75</v>
      </c>
      <c r="P363" s="53">
        <f>COUNTIFS('00 Encuesta'!$B$2:$B$511,"*b)*",'00 Encuesta'!$C$2:$C$511,"*b)*",'00 Encuesta'!$E$2:$E$511,"*a)*",'00 Encuesta'!$AT$2:$AT$511,"*c)*")</f>
        <v>3</v>
      </c>
      <c r="Q363" s="52">
        <f t="shared" si="573"/>
        <v>17.647058823529413</v>
      </c>
      <c r="R363" s="53">
        <f>COUNTIFS('00 Encuesta'!$B$2:$B$511,"*b)*",'00 Encuesta'!$C$2:$C$511,"*b)*",'00 Encuesta'!$E$2:$E$511,"*b)*",'00 Encuesta'!$AT$2:$AT$511,"*c)*")</f>
        <v>3</v>
      </c>
      <c r="S363" s="52">
        <f t="shared" si="574"/>
        <v>20</v>
      </c>
      <c r="T363" s="3"/>
      <c r="U363" s="51">
        <f t="shared" si="575"/>
        <v>0</v>
      </c>
      <c r="V363" s="52" t="e">
        <f t="shared" si="576"/>
        <v>#DIV/0!</v>
      </c>
      <c r="W363" s="53">
        <f>COUNTIFS('00 Encuesta'!$B$2:$B$511,"*b)*",'00 Encuesta'!$C$2:$C$511,"*d)*",'00 Encuesta'!$E$2:$E$511,"*a)*",'00 Encuesta'!$AT$2:$AT$511,"*c)*")</f>
        <v>0</v>
      </c>
      <c r="X363" s="52" t="e">
        <f t="shared" si="577"/>
        <v>#DIV/0!</v>
      </c>
      <c r="Y363" s="53">
        <f>COUNTIFS('00 Encuesta'!$B$2:$B$511,"*b)*",'00 Encuesta'!$C$2:$C$511,"*d)*",'00 Encuesta'!$E$2:$E$511,"*b)*",'00 Encuesta'!$AT$2:$AT$511,"*c)*")</f>
        <v>0</v>
      </c>
      <c r="Z363" s="52" t="e">
        <f t="shared" si="578"/>
        <v>#DIV/0!</v>
      </c>
      <c r="AA363" s="3"/>
      <c r="AB363" s="62">
        <f t="shared" si="579"/>
        <v>13</v>
      </c>
      <c r="AC363" s="52">
        <f t="shared" si="580"/>
        <v>18.571428571428573</v>
      </c>
      <c r="AD363" s="3"/>
      <c r="AE363" s="3"/>
      <c r="AF363" s="9" t="str">
        <f t="shared" si="581"/>
        <v>c) Regular</v>
      </c>
      <c r="AG363" s="72">
        <f t="shared" si="582"/>
        <v>4.7619047619047619</v>
      </c>
      <c r="AH363" s="72">
        <f t="shared" si="583"/>
        <v>35.294117647058826</v>
      </c>
      <c r="AI363" s="73">
        <f t="shared" si="584"/>
        <v>18.421052631578945</v>
      </c>
      <c r="AJ363" s="73"/>
      <c r="AK363" s="76">
        <f t="shared" si="585"/>
        <v>17.647058823529413</v>
      </c>
      <c r="AL363" s="76">
        <f t="shared" si="586"/>
        <v>20</v>
      </c>
      <c r="AM363" s="76">
        <f t="shared" si="587"/>
        <v>18.75</v>
      </c>
      <c r="AN363" s="76"/>
      <c r="AO363" s="81" t="e">
        <f t="shared" si="588"/>
        <v>#DIV/0!</v>
      </c>
      <c r="AP363" s="81" t="e">
        <f t="shared" si="589"/>
        <v>#DIV/0!</v>
      </c>
      <c r="AQ363" s="81" t="e">
        <f t="shared" si="590"/>
        <v>#DIV/0!</v>
      </c>
      <c r="AR363" s="3"/>
      <c r="AS363" s="76">
        <f t="shared" si="542"/>
        <v>18.571428571428573</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ht="15" x14ac:dyDescent="0.25">
      <c r="A364" s="8" t="s">
        <v>21</v>
      </c>
      <c r="B364" s="9" t="s">
        <v>231</v>
      </c>
      <c r="C364" s="3"/>
      <c r="D364" s="3"/>
      <c r="E364" s="3"/>
      <c r="F364" s="71">
        <v>25</v>
      </c>
      <c r="G364" s="51">
        <f t="shared" si="567"/>
        <v>1</v>
      </c>
      <c r="H364" s="52">
        <f t="shared" si="568"/>
        <v>2.6315789473684208</v>
      </c>
      <c r="I364" s="53">
        <f>COUNTIFS('00 Encuesta'!$B$2:$B$511,"*b)*",'00 Encuesta'!$C$2:$C$511,"*a)*",'00 Encuesta'!$E$2:$E$511,"*a)*",'00 Encuesta'!$AT$2:$AT$511,"*d)*")</f>
        <v>0</v>
      </c>
      <c r="J364" s="52">
        <f t="shared" si="569"/>
        <v>0</v>
      </c>
      <c r="K364" s="53">
        <f>COUNTIFS('00 Encuesta'!$B$2:$B$511,"*b)*",'00 Encuesta'!$C$2:$C$511,"*a)*",'00 Encuesta'!$E$2:$E$511,"*b)*",'00 Encuesta'!$AT$2:$AT$511,"*d)*")</f>
        <v>1</v>
      </c>
      <c r="L364" s="52">
        <f t="shared" si="570"/>
        <v>5.8823529411764701</v>
      </c>
      <c r="M364" s="23"/>
      <c r="N364" s="51">
        <f t="shared" si="571"/>
        <v>1</v>
      </c>
      <c r="O364" s="52">
        <f t="shared" si="572"/>
        <v>3.125</v>
      </c>
      <c r="P364" s="53">
        <f>COUNTIFS('00 Encuesta'!$B$2:$B$511,"*b)*",'00 Encuesta'!$C$2:$C$511,"*b)*",'00 Encuesta'!$E$2:$E$511,"*a)*",'00 Encuesta'!$AT$2:$AT$511,"*d)*")</f>
        <v>0</v>
      </c>
      <c r="Q364" s="52">
        <f t="shared" si="573"/>
        <v>0</v>
      </c>
      <c r="R364" s="53">
        <f>COUNTIFS('00 Encuesta'!$B$2:$B$511,"*b)*",'00 Encuesta'!$C$2:$C$511,"*b)*",'00 Encuesta'!$E$2:$E$511,"*b)*",'00 Encuesta'!$AT$2:$AT$511,"*d)*")</f>
        <v>1</v>
      </c>
      <c r="S364" s="52">
        <f t="shared" si="574"/>
        <v>6.666666666666667</v>
      </c>
      <c r="T364" s="3"/>
      <c r="U364" s="51">
        <f t="shared" si="575"/>
        <v>0</v>
      </c>
      <c r="V364" s="52" t="e">
        <f t="shared" si="576"/>
        <v>#DIV/0!</v>
      </c>
      <c r="W364" s="53">
        <f>COUNTIFS('00 Encuesta'!$B$2:$B$511,"*b)*",'00 Encuesta'!$C$2:$C$511,"*d)*",'00 Encuesta'!$E$2:$E$511,"*a)*",'00 Encuesta'!$AT$2:$AT$511,"*d)*")</f>
        <v>0</v>
      </c>
      <c r="X364" s="52" t="e">
        <f t="shared" si="577"/>
        <v>#DIV/0!</v>
      </c>
      <c r="Y364" s="53">
        <f>COUNTIFS('00 Encuesta'!$B$2:$B$511,"*b)*",'00 Encuesta'!$C$2:$C$511,"*d)*",'00 Encuesta'!$E$2:$E$511,"*b)*",'00 Encuesta'!$AT$2:$AT$511,"*d)*")</f>
        <v>0</v>
      </c>
      <c r="Z364" s="52" t="e">
        <f t="shared" si="578"/>
        <v>#DIV/0!</v>
      </c>
      <c r="AA364" s="3"/>
      <c r="AB364" s="62">
        <f t="shared" si="579"/>
        <v>2</v>
      </c>
      <c r="AC364" s="52">
        <f t="shared" si="580"/>
        <v>2.8571428571428572</v>
      </c>
      <c r="AD364" s="3"/>
      <c r="AE364" s="3"/>
      <c r="AF364" s="9" t="str">
        <f t="shared" si="581"/>
        <v>d) Mala</v>
      </c>
      <c r="AG364" s="72">
        <f t="shared" si="582"/>
        <v>0</v>
      </c>
      <c r="AH364" s="72">
        <f t="shared" si="583"/>
        <v>5.8823529411764701</v>
      </c>
      <c r="AI364" s="73">
        <f t="shared" si="584"/>
        <v>2.6315789473684208</v>
      </c>
      <c r="AJ364" s="73"/>
      <c r="AK364" s="76">
        <f t="shared" si="585"/>
        <v>0</v>
      </c>
      <c r="AL364" s="76">
        <f t="shared" si="586"/>
        <v>6.666666666666667</v>
      </c>
      <c r="AM364" s="76">
        <f t="shared" si="587"/>
        <v>3.125</v>
      </c>
      <c r="AN364" s="76"/>
      <c r="AO364" s="81" t="e">
        <f t="shared" si="588"/>
        <v>#DIV/0!</v>
      </c>
      <c r="AP364" s="81" t="e">
        <f t="shared" si="589"/>
        <v>#DIV/0!</v>
      </c>
      <c r="AQ364" s="81" t="e">
        <f t="shared" si="590"/>
        <v>#DIV/0!</v>
      </c>
      <c r="AR364" s="3"/>
      <c r="AS364" s="76">
        <f t="shared" si="542"/>
        <v>2.8571428571428572</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ht="15" x14ac:dyDescent="0.25">
      <c r="A365" s="8" t="s">
        <v>22</v>
      </c>
      <c r="B365" s="9" t="s">
        <v>232</v>
      </c>
      <c r="C365" s="3"/>
      <c r="D365" s="3"/>
      <c r="E365" s="3"/>
      <c r="F365" s="71">
        <v>0</v>
      </c>
      <c r="G365" s="51">
        <f t="shared" si="567"/>
        <v>3</v>
      </c>
      <c r="H365" s="52">
        <f t="shared" si="568"/>
        <v>7.8947368421052628</v>
      </c>
      <c r="I365" s="53">
        <f>COUNTIFS('00 Encuesta'!$B$2:$B$511,"*b)*",'00 Encuesta'!$C$2:$C$511,"*a)*",'00 Encuesta'!$E$2:$E$511,"*a)*",'00 Encuesta'!$AT$2:$AT$511,"*e)*")</f>
        <v>2</v>
      </c>
      <c r="J365" s="52">
        <f t="shared" si="569"/>
        <v>9.5238095238095237</v>
      </c>
      <c r="K365" s="53">
        <f>COUNTIFS('00 Encuesta'!$B$2:$B$511,"*b)*",'00 Encuesta'!$C$2:$C$511,"*a)*",'00 Encuesta'!$E$2:$E$511,"*b)*",'00 Encuesta'!$AT$2:$AT$511,"*e)*")</f>
        <v>1</v>
      </c>
      <c r="L365" s="52">
        <f t="shared" si="570"/>
        <v>5.8823529411764701</v>
      </c>
      <c r="M365" s="23"/>
      <c r="N365" s="51">
        <f t="shared" si="571"/>
        <v>0</v>
      </c>
      <c r="O365" s="52">
        <f t="shared" si="572"/>
        <v>0</v>
      </c>
      <c r="P365" s="53">
        <f>COUNTIFS('00 Encuesta'!$B$2:$B$511,"*b)*",'00 Encuesta'!$C$2:$C$511,"*b)*",'00 Encuesta'!$E$2:$E$511,"*a)*",'00 Encuesta'!$AT$2:$AT$511,"*e)*")</f>
        <v>0</v>
      </c>
      <c r="Q365" s="52">
        <f t="shared" si="573"/>
        <v>0</v>
      </c>
      <c r="R365" s="53">
        <f>COUNTIFS('00 Encuesta'!$B$2:$B$511,"*b)*",'00 Encuesta'!$C$2:$C$511,"*b)*",'00 Encuesta'!$E$2:$E$511,"*b)*",'00 Encuesta'!$AT$2:$AT$511,"*e)*")</f>
        <v>0</v>
      </c>
      <c r="S365" s="52">
        <f t="shared" si="574"/>
        <v>0</v>
      </c>
      <c r="T365" s="3"/>
      <c r="U365" s="51">
        <f t="shared" si="575"/>
        <v>0</v>
      </c>
      <c r="V365" s="52" t="e">
        <f t="shared" si="576"/>
        <v>#DIV/0!</v>
      </c>
      <c r="W365" s="53">
        <f>COUNTIFS('00 Encuesta'!$B$2:$B$511,"*b)*",'00 Encuesta'!$C$2:$C$511,"*d)*",'00 Encuesta'!$E$2:$E$511,"*a)*",'00 Encuesta'!$AT$2:$AT$511,"*e)*")</f>
        <v>0</v>
      </c>
      <c r="X365" s="52" t="e">
        <f t="shared" si="577"/>
        <v>#DIV/0!</v>
      </c>
      <c r="Y365" s="53">
        <f>COUNTIFS('00 Encuesta'!$B$2:$B$511,"*b)*",'00 Encuesta'!$C$2:$C$511,"*d)*",'00 Encuesta'!$E$2:$E$511,"*b)*",'00 Encuesta'!$AT$2:$AT$511,"*e)*")</f>
        <v>0</v>
      </c>
      <c r="Z365" s="52" t="e">
        <f t="shared" si="578"/>
        <v>#DIV/0!</v>
      </c>
      <c r="AA365" s="3"/>
      <c r="AB365" s="62">
        <f t="shared" si="579"/>
        <v>3</v>
      </c>
      <c r="AC365" s="52">
        <f t="shared" si="580"/>
        <v>4.2857142857142856</v>
      </c>
      <c r="AD365" s="3"/>
      <c r="AE365" s="3"/>
      <c r="AF365" s="9" t="str">
        <f t="shared" si="581"/>
        <v>e) Muy mala</v>
      </c>
      <c r="AG365" s="72">
        <f t="shared" si="582"/>
        <v>9.5238095238095237</v>
      </c>
      <c r="AH365" s="72">
        <f t="shared" si="583"/>
        <v>5.8823529411764701</v>
      </c>
      <c r="AI365" s="73">
        <f t="shared" si="584"/>
        <v>7.8947368421052628</v>
      </c>
      <c r="AJ365" s="73"/>
      <c r="AK365" s="76">
        <f t="shared" si="585"/>
        <v>0</v>
      </c>
      <c r="AL365" s="76">
        <f t="shared" si="586"/>
        <v>0</v>
      </c>
      <c r="AM365" s="76">
        <f t="shared" si="587"/>
        <v>0</v>
      </c>
      <c r="AN365" s="76"/>
      <c r="AO365" s="81" t="e">
        <f t="shared" si="588"/>
        <v>#DIV/0!</v>
      </c>
      <c r="AP365" s="81" t="e">
        <f t="shared" si="589"/>
        <v>#DIV/0!</v>
      </c>
      <c r="AQ365" s="81" t="e">
        <f t="shared" si="590"/>
        <v>#DIV/0!</v>
      </c>
      <c r="AR365" s="3"/>
      <c r="AS365" s="76">
        <f t="shared" si="542"/>
        <v>4.2857142857142856</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ht="15" x14ac:dyDescent="0.25">
      <c r="A366" s="8" t="s">
        <v>45</v>
      </c>
      <c r="B366" s="9" t="s">
        <v>233</v>
      </c>
      <c r="C366" s="7"/>
      <c r="D366" s="7"/>
      <c r="E366" s="7"/>
      <c r="F366" s="71"/>
      <c r="G366" s="51">
        <f t="shared" si="567"/>
        <v>0</v>
      </c>
      <c r="H366" s="52">
        <f t="shared" si="568"/>
        <v>0</v>
      </c>
      <c r="I366" s="53">
        <f>COUNTIFS('00 Encuesta'!$B$2:$B$511,"*b)*",'00 Encuesta'!$C$2:$C$511,"*a)*",'00 Encuesta'!$E$2:$E$511,"*a)*",'00 Encuesta'!$AT$2:$AT$511,"*f)*")</f>
        <v>0</v>
      </c>
      <c r="J366" s="52">
        <f t="shared" si="569"/>
        <v>0</v>
      </c>
      <c r="K366" s="53">
        <f>COUNTIFS('00 Encuesta'!$B$2:$B$511,"*b)*",'00 Encuesta'!$C$2:$C$511,"*a)*",'00 Encuesta'!$E$2:$E$511,"*b)*",'00 Encuesta'!$AT$2:$AT$511,"*f)*")</f>
        <v>0</v>
      </c>
      <c r="L366" s="52">
        <f t="shared" si="570"/>
        <v>0</v>
      </c>
      <c r="M366" s="23"/>
      <c r="N366" s="51">
        <f t="shared" si="571"/>
        <v>0</v>
      </c>
      <c r="O366" s="52">
        <f t="shared" si="572"/>
        <v>0</v>
      </c>
      <c r="P366" s="53">
        <f>COUNTIFS('00 Encuesta'!$B$2:$B$511,"*b)*",'00 Encuesta'!$C$2:$C$511,"*b)*",'00 Encuesta'!$E$2:$E$511,"*a)*",'00 Encuesta'!$AT$2:$AT$511,"*f)*")</f>
        <v>0</v>
      </c>
      <c r="Q366" s="52">
        <f t="shared" si="573"/>
        <v>0</v>
      </c>
      <c r="R366" s="53">
        <f>COUNTIFS('00 Encuesta'!$B$2:$B$511,"*b)*",'00 Encuesta'!$C$2:$C$511,"*b)*",'00 Encuesta'!$E$2:$E$511,"*b)*",'00 Encuesta'!$AT$2:$AT$511,"*f)*")</f>
        <v>0</v>
      </c>
      <c r="S366" s="52">
        <f t="shared" si="574"/>
        <v>0</v>
      </c>
      <c r="T366" s="3"/>
      <c r="U366" s="51">
        <f t="shared" si="575"/>
        <v>0</v>
      </c>
      <c r="V366" s="52" t="e">
        <f t="shared" si="576"/>
        <v>#DIV/0!</v>
      </c>
      <c r="W366" s="53">
        <f>COUNTIFS('00 Encuesta'!$B$2:$B$511,"*b)*",'00 Encuesta'!$C$2:$C$511,"*d)*",'00 Encuesta'!$E$2:$E$511,"*a)*",'00 Encuesta'!$AT$2:$AT$511,"*f)*")</f>
        <v>0</v>
      </c>
      <c r="X366" s="52" t="e">
        <f t="shared" si="577"/>
        <v>#DIV/0!</v>
      </c>
      <c r="Y366" s="53">
        <f>COUNTIFS('00 Encuesta'!$B$2:$B$511,"*b)*",'00 Encuesta'!$C$2:$C$511,"*d)*",'00 Encuesta'!$E$2:$E$511,"*b)*",'00 Encuesta'!$AT$2:$AT$511,"*f)*")</f>
        <v>0</v>
      </c>
      <c r="Z366" s="52" t="e">
        <f t="shared" si="578"/>
        <v>#DIV/0!</v>
      </c>
      <c r="AA366" s="3"/>
      <c r="AB366" s="62">
        <f t="shared" si="579"/>
        <v>0</v>
      </c>
      <c r="AC366" s="52">
        <f t="shared" si="580"/>
        <v>0</v>
      </c>
      <c r="AD366" s="3"/>
      <c r="AE366" s="3"/>
      <c r="AF366" s="9" t="str">
        <f t="shared" si="581"/>
        <v>f) No aplica</v>
      </c>
      <c r="AG366" s="72">
        <f t="shared" si="582"/>
        <v>0</v>
      </c>
      <c r="AH366" s="72">
        <f t="shared" si="583"/>
        <v>0</v>
      </c>
      <c r="AI366" s="73">
        <f t="shared" si="584"/>
        <v>0</v>
      </c>
      <c r="AJ366" s="73"/>
      <c r="AK366" s="76">
        <f t="shared" si="585"/>
        <v>0</v>
      </c>
      <c r="AL366" s="76">
        <f t="shared" si="586"/>
        <v>0</v>
      </c>
      <c r="AM366" s="76">
        <f t="shared" si="587"/>
        <v>0</v>
      </c>
      <c r="AN366" s="76"/>
      <c r="AO366" s="81" t="e">
        <f t="shared" si="588"/>
        <v>#DIV/0!</v>
      </c>
      <c r="AP366" s="81" t="e">
        <f t="shared" si="589"/>
        <v>#DIV/0!</v>
      </c>
      <c r="AQ366" s="81" t="e">
        <f t="shared" si="590"/>
        <v>#DIV/0!</v>
      </c>
      <c r="AR366" s="3"/>
      <c r="AS366" s="76">
        <f t="shared" si="542"/>
        <v>0</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ht="15.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73.684210526315795</v>
      </c>
      <c r="AH367" s="82">
        <f>($F361*K361+$F362*K362+$F363*K363+$F364*K364+$F365*K365)/(K361+K362+K363+K364+K365)</f>
        <v>65.625</v>
      </c>
      <c r="AI367" s="82">
        <f>($F361*G361+$F362*G362+$F363*G363+$F364*G364+$F365*G365)/(G361+G362+G363+G364+G365)</f>
        <v>70</v>
      </c>
      <c r="AJ367" s="82"/>
      <c r="AK367" s="82">
        <f>($F361*Q361+$F362*Q362+$F363*Q363+$F364*Q364+$F365*Q365)/(Q361+Q362+Q363+Q364+Q365)</f>
        <v>76.92307692307692</v>
      </c>
      <c r="AL367" s="82">
        <f>($F361*S361+$F362*S362+$F363*S363+$F364*S364+$F365*S365)/(S361+S362+S363+S364+S365)</f>
        <v>73.076923076923066</v>
      </c>
      <c r="AM367" s="82">
        <f>($F361*O361+$F362*O362+$F363*O363+$F364*O364+$F365*O365)/(O361+O362+O363+O364+O365)</f>
        <v>75</v>
      </c>
      <c r="AN367" s="82"/>
      <c r="AO367" s="82" t="e">
        <f>($F361*W361+$F362*W362+$F363*W363+$F364*W364+$F365*W365)/(W361+W362+W363+W364+W365)</f>
        <v>#DIV/0!</v>
      </c>
      <c r="AP367" s="82" t="e">
        <f>($F361*Y361+$F362*Y362+$F363*Y363+$F364*Y364+$F365*Y365)/(Y361+Y362+Y363+Y364+Y365)</f>
        <v>#DIV/0!</v>
      </c>
      <c r="AQ367" s="82" t="e">
        <f>($F361*U361+$F362*U362+$F363*U363+$F364*U364+$F365*U365)/(U361+U362+U363+U364+U365)</f>
        <v>#DIV/0!</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75" x14ac:dyDescent="0.3">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ht="15" x14ac:dyDescent="0.25">
      <c r="A369" s="8" t="s">
        <v>17</v>
      </c>
      <c r="B369" s="9" t="s">
        <v>229</v>
      </c>
      <c r="C369" s="3"/>
      <c r="D369" s="3"/>
      <c r="E369" s="3"/>
      <c r="F369" s="71">
        <v>100</v>
      </c>
      <c r="G369" s="51">
        <f t="shared" ref="G369:G374" si="591">I369+K369</f>
        <v>12</v>
      </c>
      <c r="H369" s="52">
        <f t="shared" ref="H369:H374" si="592">G369/$J$5*100</f>
        <v>31.578947368421051</v>
      </c>
      <c r="I369" s="53">
        <f>COUNTIFS('00 Encuesta'!$B$2:$B$511,"*b)*",'00 Encuesta'!$C$2:$C$511,"*a)*",'00 Encuesta'!$E$2:$E$511,"*a)*",'00 Encuesta'!$AU$2:$AU$511,"*a)*")</f>
        <v>8</v>
      </c>
      <c r="J369" s="52">
        <f t="shared" ref="J369:J374" si="593">I369/$J$6*100</f>
        <v>38.095238095238095</v>
      </c>
      <c r="K369" s="53">
        <f>COUNTIFS('00 Encuesta'!$B$2:$B$511,"*b)*",'00 Encuesta'!$C$2:$C$511,"*a)*",'00 Encuesta'!$E$2:$E$511,"*b)*",'00 Encuesta'!$AU$2:$AU$511,"*a)*")</f>
        <v>4</v>
      </c>
      <c r="L369" s="52">
        <f t="shared" ref="L369:L374" si="594">K369/$J$7*100</f>
        <v>23.52941176470588</v>
      </c>
      <c r="M369" s="23"/>
      <c r="N369" s="51">
        <f t="shared" ref="N369:N374" si="595">P369+R369</f>
        <v>6</v>
      </c>
      <c r="O369" s="52">
        <f t="shared" ref="O369:O374" si="596">N369/$Q$5*100</f>
        <v>18.75</v>
      </c>
      <c r="P369" s="53">
        <f>COUNTIFS('00 Encuesta'!$B$2:$B$511,"*b)*",'00 Encuesta'!$C$2:$C$511,"*b)*",'00 Encuesta'!$E$2:$E$511,"*a)*",'00 Encuesta'!$AU$2:$AU$511,"*a)*")</f>
        <v>4</v>
      </c>
      <c r="Q369" s="52">
        <f t="shared" ref="Q369:Q374" si="597">P369/$Q$6*100</f>
        <v>23.52941176470588</v>
      </c>
      <c r="R369" s="53">
        <f>COUNTIFS('00 Encuesta'!$B$2:$B$511,"*b)*",'00 Encuesta'!$C$2:$C$511,"*b)*",'00 Encuesta'!$E$2:$E$511,"*b)*",'00 Encuesta'!$AU$2:$AU$511,"*a)*")</f>
        <v>2</v>
      </c>
      <c r="S369" s="52">
        <f t="shared" ref="S369:S374" si="598">R369/$Q$7*100</f>
        <v>13.333333333333334</v>
      </c>
      <c r="T369" s="3"/>
      <c r="U369" s="51">
        <f t="shared" ref="U369:U374" si="599">W369+Y369</f>
        <v>0</v>
      </c>
      <c r="V369" s="52" t="e">
        <f t="shared" ref="V369:V374" si="600">U369/$X$5*100</f>
        <v>#DIV/0!</v>
      </c>
      <c r="W369" s="53">
        <f>COUNTIFS('00 Encuesta'!$B$2:$B$511,"*b)*",'00 Encuesta'!$C$2:$C$511,"*d)*",'00 Encuesta'!$E$2:$E$511,"*a)*",'00 Encuesta'!$AU$2:$AU$511,"*a)*")</f>
        <v>0</v>
      </c>
      <c r="X369" s="52" t="e">
        <f t="shared" ref="X369:X374" si="601">W369/$X$6*100</f>
        <v>#DIV/0!</v>
      </c>
      <c r="Y369" s="53">
        <f>COUNTIFS('00 Encuesta'!$B$2:$B$511,"*b)*",'00 Encuesta'!$C$2:$C$511,"*d)*",'00 Encuesta'!$E$2:$E$511,"*b)*",'00 Encuesta'!$AU$2:$AU$511,"*a)*")</f>
        <v>0</v>
      </c>
      <c r="Z369" s="52" t="e">
        <f t="shared" ref="Z369:Z374" si="602">Y369/$X$7*100</f>
        <v>#DIV/0!</v>
      </c>
      <c r="AA369" s="3"/>
      <c r="AB369" s="62">
        <f t="shared" ref="AB369:AB374" si="603">G369+N369+U369</f>
        <v>18</v>
      </c>
      <c r="AC369" s="52">
        <f t="shared" ref="AC369:AC374" si="604">AB369*100/$AC$5</f>
        <v>25.714285714285715</v>
      </c>
      <c r="AD369" s="3"/>
      <c r="AE369" s="3"/>
      <c r="AF369" s="9" t="str">
        <f t="shared" ref="AF369:AF374" si="605">A369&amp;" "&amp;B369</f>
        <v>a) Muy buena</v>
      </c>
      <c r="AG369" s="72">
        <f t="shared" ref="AG369:AG374" si="606">J369</f>
        <v>38.095238095238095</v>
      </c>
      <c r="AH369" s="72">
        <f t="shared" ref="AH369:AH374" si="607">L369</f>
        <v>23.52941176470588</v>
      </c>
      <c r="AI369" s="73">
        <f t="shared" ref="AI369:AI374" si="608">H369</f>
        <v>31.578947368421051</v>
      </c>
      <c r="AJ369" s="73"/>
      <c r="AK369" s="76">
        <f t="shared" ref="AK369:AK374" si="609">Q369</f>
        <v>23.52941176470588</v>
      </c>
      <c r="AL369" s="76">
        <f t="shared" ref="AL369:AL374" si="610">S369</f>
        <v>13.333333333333334</v>
      </c>
      <c r="AM369" s="76">
        <f t="shared" ref="AM369:AM374" si="611">O369</f>
        <v>18.75</v>
      </c>
      <c r="AN369" s="76"/>
      <c r="AO369" s="81" t="e">
        <f t="shared" ref="AO369:AO374" si="612">X369</f>
        <v>#DIV/0!</v>
      </c>
      <c r="AP369" s="81" t="e">
        <f t="shared" ref="AP369:AP374" si="613">Z369</f>
        <v>#DIV/0!</v>
      </c>
      <c r="AQ369" s="81" t="e">
        <f t="shared" ref="AQ369:AQ374" si="614">V369</f>
        <v>#DIV/0!</v>
      </c>
      <c r="AR369" s="3"/>
      <c r="AS369" s="76">
        <f t="shared" si="542"/>
        <v>25.714285714285715</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ht="15" x14ac:dyDescent="0.25">
      <c r="A370" s="8" t="s">
        <v>18</v>
      </c>
      <c r="B370" s="9" t="s">
        <v>230</v>
      </c>
      <c r="C370" s="3"/>
      <c r="D370" s="3"/>
      <c r="E370" s="3"/>
      <c r="F370" s="71">
        <v>75</v>
      </c>
      <c r="G370" s="51">
        <f t="shared" si="591"/>
        <v>16</v>
      </c>
      <c r="H370" s="52">
        <f t="shared" si="592"/>
        <v>42.105263157894733</v>
      </c>
      <c r="I370" s="53">
        <f>COUNTIFS('00 Encuesta'!$B$2:$B$511,"*b)*",'00 Encuesta'!$C$2:$C$511,"*a)*",'00 Encuesta'!$E$2:$E$511,"*a)*",'00 Encuesta'!$AU$2:$AU$511,"*b)*")</f>
        <v>7</v>
      </c>
      <c r="J370" s="52">
        <f t="shared" si="593"/>
        <v>33.333333333333329</v>
      </c>
      <c r="K370" s="53">
        <f>COUNTIFS('00 Encuesta'!$B$2:$B$511,"*b)*",'00 Encuesta'!$C$2:$C$511,"*a)*",'00 Encuesta'!$E$2:$E$511,"*b)*",'00 Encuesta'!$AU$2:$AU$511,"*b)*")</f>
        <v>9</v>
      </c>
      <c r="L370" s="52">
        <f t="shared" si="594"/>
        <v>52.941176470588239</v>
      </c>
      <c r="M370" s="23"/>
      <c r="N370" s="51">
        <f t="shared" si="595"/>
        <v>15</v>
      </c>
      <c r="O370" s="52">
        <f t="shared" si="596"/>
        <v>46.875</v>
      </c>
      <c r="P370" s="53">
        <f>COUNTIFS('00 Encuesta'!$B$2:$B$511,"*b)*",'00 Encuesta'!$C$2:$C$511,"*b)*",'00 Encuesta'!$E$2:$E$511,"*a)*",'00 Encuesta'!$AU$2:$AU$511,"*b)*")</f>
        <v>4</v>
      </c>
      <c r="Q370" s="52">
        <f t="shared" si="597"/>
        <v>23.52941176470588</v>
      </c>
      <c r="R370" s="53">
        <f>COUNTIFS('00 Encuesta'!$B$2:$B$511,"*b)*",'00 Encuesta'!$C$2:$C$511,"*b)*",'00 Encuesta'!$E$2:$E$511,"*b)*",'00 Encuesta'!$AU$2:$AU$511,"*b)*")</f>
        <v>11</v>
      </c>
      <c r="S370" s="52">
        <f t="shared" si="598"/>
        <v>73.333333333333329</v>
      </c>
      <c r="T370" s="3"/>
      <c r="U370" s="51">
        <f t="shared" si="599"/>
        <v>0</v>
      </c>
      <c r="V370" s="52" t="e">
        <f t="shared" si="600"/>
        <v>#DIV/0!</v>
      </c>
      <c r="W370" s="53">
        <f>COUNTIFS('00 Encuesta'!$B$2:$B$511,"*b)*",'00 Encuesta'!$C$2:$C$511,"*d)*",'00 Encuesta'!$E$2:$E$511,"*a)*",'00 Encuesta'!$AU$2:$AU$511,"*b)*")</f>
        <v>0</v>
      </c>
      <c r="X370" s="52" t="e">
        <f t="shared" si="601"/>
        <v>#DIV/0!</v>
      </c>
      <c r="Y370" s="53">
        <f>COUNTIFS('00 Encuesta'!$B$2:$B$511,"*b)*",'00 Encuesta'!$C$2:$C$511,"*d)*",'00 Encuesta'!$E$2:$E$511,"*b)*",'00 Encuesta'!$AU$2:$AU$511,"*b)*")</f>
        <v>0</v>
      </c>
      <c r="Z370" s="52" t="e">
        <f t="shared" si="602"/>
        <v>#DIV/0!</v>
      </c>
      <c r="AA370" s="3"/>
      <c r="AB370" s="62">
        <f t="shared" si="603"/>
        <v>31</v>
      </c>
      <c r="AC370" s="52">
        <f t="shared" si="604"/>
        <v>44.285714285714285</v>
      </c>
      <c r="AD370" s="3"/>
      <c r="AE370" s="3"/>
      <c r="AF370" s="9" t="str">
        <f t="shared" si="605"/>
        <v>b) Buena</v>
      </c>
      <c r="AG370" s="72">
        <f t="shared" si="606"/>
        <v>33.333333333333329</v>
      </c>
      <c r="AH370" s="72">
        <f t="shared" si="607"/>
        <v>52.941176470588239</v>
      </c>
      <c r="AI370" s="73">
        <f t="shared" si="608"/>
        <v>42.105263157894733</v>
      </c>
      <c r="AJ370" s="73"/>
      <c r="AK370" s="76">
        <f t="shared" si="609"/>
        <v>23.52941176470588</v>
      </c>
      <c r="AL370" s="76">
        <f t="shared" si="610"/>
        <v>73.333333333333329</v>
      </c>
      <c r="AM370" s="76">
        <f t="shared" si="611"/>
        <v>46.875</v>
      </c>
      <c r="AN370" s="76"/>
      <c r="AO370" s="81" t="e">
        <f t="shared" si="612"/>
        <v>#DIV/0!</v>
      </c>
      <c r="AP370" s="81" t="e">
        <f t="shared" si="613"/>
        <v>#DIV/0!</v>
      </c>
      <c r="AQ370" s="81" t="e">
        <f t="shared" si="614"/>
        <v>#DIV/0!</v>
      </c>
      <c r="AR370" s="3"/>
      <c r="AS370" s="76">
        <f t="shared" si="542"/>
        <v>44.285714285714285</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ht="15" x14ac:dyDescent="0.25">
      <c r="A371" s="8" t="s">
        <v>20</v>
      </c>
      <c r="B371" s="9" t="s">
        <v>218</v>
      </c>
      <c r="C371" s="3"/>
      <c r="D371" s="3"/>
      <c r="E371" s="3"/>
      <c r="F371" s="71">
        <v>50</v>
      </c>
      <c r="G371" s="51">
        <f t="shared" si="591"/>
        <v>5</v>
      </c>
      <c r="H371" s="52">
        <f t="shared" si="592"/>
        <v>13.157894736842104</v>
      </c>
      <c r="I371" s="53">
        <f>COUNTIFS('00 Encuesta'!$B$2:$B$511,"*b)*",'00 Encuesta'!$C$2:$C$511,"*a)*",'00 Encuesta'!$E$2:$E$511,"*a)*",'00 Encuesta'!$AU$2:$AU$511,"*c)*")</f>
        <v>3</v>
      </c>
      <c r="J371" s="52">
        <f t="shared" si="593"/>
        <v>14.285714285714285</v>
      </c>
      <c r="K371" s="53">
        <f>COUNTIFS('00 Encuesta'!$B$2:$B$511,"*b)*",'00 Encuesta'!$C$2:$C$511,"*a)*",'00 Encuesta'!$E$2:$E$511,"*b)*",'00 Encuesta'!$AU$2:$AU$511,"*c)*")</f>
        <v>2</v>
      </c>
      <c r="L371" s="52">
        <f t="shared" si="594"/>
        <v>11.76470588235294</v>
      </c>
      <c r="M371" s="23"/>
      <c r="N371" s="51">
        <f t="shared" si="595"/>
        <v>5</v>
      </c>
      <c r="O371" s="52">
        <f t="shared" si="596"/>
        <v>15.625</v>
      </c>
      <c r="P371" s="53">
        <f>COUNTIFS('00 Encuesta'!$B$2:$B$511,"*b)*",'00 Encuesta'!$C$2:$C$511,"*b)*",'00 Encuesta'!$E$2:$E$511,"*a)*",'00 Encuesta'!$AU$2:$AU$511,"*c)*")</f>
        <v>3</v>
      </c>
      <c r="Q371" s="52">
        <f t="shared" si="597"/>
        <v>17.647058823529413</v>
      </c>
      <c r="R371" s="53">
        <f>COUNTIFS('00 Encuesta'!$B$2:$B$511,"*b)*",'00 Encuesta'!$C$2:$C$511,"*b)*",'00 Encuesta'!$E$2:$E$511,"*b)*",'00 Encuesta'!$AU$2:$AU$511,"*c)*")</f>
        <v>2</v>
      </c>
      <c r="S371" s="52">
        <f t="shared" si="598"/>
        <v>13.333333333333334</v>
      </c>
      <c r="T371" s="3"/>
      <c r="U371" s="51">
        <f t="shared" si="599"/>
        <v>0</v>
      </c>
      <c r="V371" s="52" t="e">
        <f t="shared" si="600"/>
        <v>#DIV/0!</v>
      </c>
      <c r="W371" s="53">
        <f>COUNTIFS('00 Encuesta'!$B$2:$B$511,"*b)*",'00 Encuesta'!$C$2:$C$511,"*d)*",'00 Encuesta'!$E$2:$E$511,"*a)*",'00 Encuesta'!$AU$2:$AU$511,"*c)*")</f>
        <v>0</v>
      </c>
      <c r="X371" s="52" t="e">
        <f t="shared" si="601"/>
        <v>#DIV/0!</v>
      </c>
      <c r="Y371" s="53">
        <f>COUNTIFS('00 Encuesta'!$B$2:$B$511,"*b)*",'00 Encuesta'!$C$2:$C$511,"*d)*",'00 Encuesta'!$E$2:$E$511,"*b)*",'00 Encuesta'!$AU$2:$AU$511,"*c)*")</f>
        <v>0</v>
      </c>
      <c r="Z371" s="52" t="e">
        <f t="shared" si="602"/>
        <v>#DIV/0!</v>
      </c>
      <c r="AA371" s="3"/>
      <c r="AB371" s="62">
        <f t="shared" si="603"/>
        <v>10</v>
      </c>
      <c r="AC371" s="52">
        <f t="shared" si="604"/>
        <v>14.285714285714286</v>
      </c>
      <c r="AD371" s="3"/>
      <c r="AE371" s="3"/>
      <c r="AF371" s="9" t="str">
        <f t="shared" si="605"/>
        <v>c) Regular</v>
      </c>
      <c r="AG371" s="72">
        <f t="shared" si="606"/>
        <v>14.285714285714285</v>
      </c>
      <c r="AH371" s="72">
        <f t="shared" si="607"/>
        <v>11.76470588235294</v>
      </c>
      <c r="AI371" s="73">
        <f t="shared" si="608"/>
        <v>13.157894736842104</v>
      </c>
      <c r="AJ371" s="73"/>
      <c r="AK371" s="76">
        <f t="shared" si="609"/>
        <v>17.647058823529413</v>
      </c>
      <c r="AL371" s="76">
        <f t="shared" si="610"/>
        <v>13.333333333333334</v>
      </c>
      <c r="AM371" s="76">
        <f t="shared" si="611"/>
        <v>15.625</v>
      </c>
      <c r="AN371" s="76"/>
      <c r="AO371" s="81" t="e">
        <f t="shared" si="612"/>
        <v>#DIV/0!</v>
      </c>
      <c r="AP371" s="81" t="e">
        <f t="shared" si="613"/>
        <v>#DIV/0!</v>
      </c>
      <c r="AQ371" s="81" t="e">
        <f t="shared" si="614"/>
        <v>#DIV/0!</v>
      </c>
      <c r="AR371" s="3"/>
      <c r="AS371" s="76">
        <f t="shared" si="542"/>
        <v>14.285714285714286</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ht="15" x14ac:dyDescent="0.25">
      <c r="A372" s="8" t="s">
        <v>21</v>
      </c>
      <c r="B372" s="9" t="s">
        <v>231</v>
      </c>
      <c r="C372" s="3"/>
      <c r="D372" s="3"/>
      <c r="E372" s="3"/>
      <c r="F372" s="71">
        <v>25</v>
      </c>
      <c r="G372" s="51">
        <f t="shared" si="591"/>
        <v>0</v>
      </c>
      <c r="H372" s="52">
        <f t="shared" si="592"/>
        <v>0</v>
      </c>
      <c r="I372" s="53">
        <f>COUNTIFS('00 Encuesta'!$B$2:$B$511,"*b)*",'00 Encuesta'!$C$2:$C$511,"*a)*",'00 Encuesta'!$E$2:$E$511,"*a)*",'00 Encuesta'!$AU$2:$AU$511,"*d)*")</f>
        <v>0</v>
      </c>
      <c r="J372" s="52">
        <f t="shared" si="593"/>
        <v>0</v>
      </c>
      <c r="K372" s="53">
        <f>COUNTIFS('00 Encuesta'!$B$2:$B$511,"*b)*",'00 Encuesta'!$C$2:$C$511,"*a)*",'00 Encuesta'!$E$2:$E$511,"*b)*",'00 Encuesta'!$AU$2:$AU$511,"*d)*")</f>
        <v>0</v>
      </c>
      <c r="L372" s="52">
        <f t="shared" si="594"/>
        <v>0</v>
      </c>
      <c r="M372" s="23"/>
      <c r="N372" s="51">
        <f t="shared" si="595"/>
        <v>0</v>
      </c>
      <c r="O372" s="52">
        <f t="shared" si="596"/>
        <v>0</v>
      </c>
      <c r="P372" s="53">
        <f>COUNTIFS('00 Encuesta'!$B$2:$B$511,"*b)*",'00 Encuesta'!$C$2:$C$511,"*b)*",'00 Encuesta'!$E$2:$E$511,"*a)*",'00 Encuesta'!$AU$2:$AU$511,"*d)*")</f>
        <v>0</v>
      </c>
      <c r="Q372" s="52">
        <f t="shared" si="597"/>
        <v>0</v>
      </c>
      <c r="R372" s="53">
        <f>COUNTIFS('00 Encuesta'!$B$2:$B$511,"*b)*",'00 Encuesta'!$C$2:$C$511,"*b)*",'00 Encuesta'!$E$2:$E$511,"*b)*",'00 Encuesta'!$AU$2:$AU$511,"*d)*")</f>
        <v>0</v>
      </c>
      <c r="S372" s="52">
        <f t="shared" si="598"/>
        <v>0</v>
      </c>
      <c r="T372" s="3"/>
      <c r="U372" s="51">
        <f t="shared" si="599"/>
        <v>0</v>
      </c>
      <c r="V372" s="52" t="e">
        <f t="shared" si="600"/>
        <v>#DIV/0!</v>
      </c>
      <c r="W372" s="53">
        <f>COUNTIFS('00 Encuesta'!$B$2:$B$511,"*b)*",'00 Encuesta'!$C$2:$C$511,"*d)*",'00 Encuesta'!$E$2:$E$511,"*a)*",'00 Encuesta'!$AU$2:$AU$511,"*d)*")</f>
        <v>0</v>
      </c>
      <c r="X372" s="52" t="e">
        <f t="shared" si="601"/>
        <v>#DIV/0!</v>
      </c>
      <c r="Y372" s="53">
        <f>COUNTIFS('00 Encuesta'!$B$2:$B$511,"*b)*",'00 Encuesta'!$C$2:$C$511,"*d)*",'00 Encuesta'!$E$2:$E$511,"*b)*",'00 Encuesta'!$AU$2:$AU$511,"*d)*")</f>
        <v>0</v>
      </c>
      <c r="Z372" s="52" t="e">
        <f t="shared" si="602"/>
        <v>#DIV/0!</v>
      </c>
      <c r="AA372" s="3"/>
      <c r="AB372" s="62">
        <f t="shared" si="603"/>
        <v>0</v>
      </c>
      <c r="AC372" s="52">
        <f t="shared" si="604"/>
        <v>0</v>
      </c>
      <c r="AD372" s="3"/>
      <c r="AE372" s="3"/>
      <c r="AF372" s="9" t="str">
        <f t="shared" si="605"/>
        <v>d) Mala</v>
      </c>
      <c r="AG372" s="72">
        <f t="shared" si="606"/>
        <v>0</v>
      </c>
      <c r="AH372" s="72">
        <f t="shared" si="607"/>
        <v>0</v>
      </c>
      <c r="AI372" s="73">
        <f t="shared" si="608"/>
        <v>0</v>
      </c>
      <c r="AJ372" s="73"/>
      <c r="AK372" s="76">
        <f t="shared" si="609"/>
        <v>0</v>
      </c>
      <c r="AL372" s="76">
        <f t="shared" si="610"/>
        <v>0</v>
      </c>
      <c r="AM372" s="76">
        <f t="shared" si="611"/>
        <v>0</v>
      </c>
      <c r="AN372" s="76"/>
      <c r="AO372" s="81" t="e">
        <f t="shared" si="612"/>
        <v>#DIV/0!</v>
      </c>
      <c r="AP372" s="81" t="e">
        <f t="shared" si="613"/>
        <v>#DIV/0!</v>
      </c>
      <c r="AQ372" s="81" t="e">
        <f t="shared" si="614"/>
        <v>#DIV/0!</v>
      </c>
      <c r="AR372" s="3"/>
      <c r="AS372" s="76">
        <f t="shared" si="542"/>
        <v>0</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ht="15" x14ac:dyDescent="0.25">
      <c r="A373" s="8" t="s">
        <v>22</v>
      </c>
      <c r="B373" s="9" t="s">
        <v>232</v>
      </c>
      <c r="C373" s="3"/>
      <c r="D373" s="3"/>
      <c r="E373" s="3"/>
      <c r="F373" s="71">
        <v>0</v>
      </c>
      <c r="G373" s="51">
        <f t="shared" si="591"/>
        <v>2</v>
      </c>
      <c r="H373" s="52">
        <f t="shared" si="592"/>
        <v>5.2631578947368416</v>
      </c>
      <c r="I373" s="53">
        <f>COUNTIFS('00 Encuesta'!$B$2:$B$511,"*b)*",'00 Encuesta'!$C$2:$C$511,"*a)*",'00 Encuesta'!$E$2:$E$511,"*a)*",'00 Encuesta'!$AU$2:$AU$511,"*e)*")</f>
        <v>1</v>
      </c>
      <c r="J373" s="52">
        <f t="shared" si="593"/>
        <v>4.7619047619047619</v>
      </c>
      <c r="K373" s="53">
        <f>COUNTIFS('00 Encuesta'!$B$2:$B$511,"*b)*",'00 Encuesta'!$C$2:$C$511,"*a)*",'00 Encuesta'!$E$2:$E$511,"*b)*",'00 Encuesta'!$AU$2:$AU$511,"*e)*")</f>
        <v>1</v>
      </c>
      <c r="L373" s="52">
        <f t="shared" si="594"/>
        <v>5.8823529411764701</v>
      </c>
      <c r="M373" s="23"/>
      <c r="N373" s="51">
        <f t="shared" si="595"/>
        <v>0</v>
      </c>
      <c r="O373" s="52">
        <f t="shared" si="596"/>
        <v>0</v>
      </c>
      <c r="P373" s="53">
        <f>COUNTIFS('00 Encuesta'!$B$2:$B$511,"*b)*",'00 Encuesta'!$C$2:$C$511,"*b)*",'00 Encuesta'!$E$2:$E$511,"*a)*",'00 Encuesta'!$AU$2:$AU$511,"*e)*")</f>
        <v>0</v>
      </c>
      <c r="Q373" s="52">
        <f t="shared" si="597"/>
        <v>0</v>
      </c>
      <c r="R373" s="53">
        <f>COUNTIFS('00 Encuesta'!$B$2:$B$511,"*b)*",'00 Encuesta'!$C$2:$C$511,"*b)*",'00 Encuesta'!$E$2:$E$511,"*b)*",'00 Encuesta'!$AU$2:$AU$511,"*e)*")</f>
        <v>0</v>
      </c>
      <c r="S373" s="52">
        <f t="shared" si="598"/>
        <v>0</v>
      </c>
      <c r="T373" s="3"/>
      <c r="U373" s="51">
        <f t="shared" si="599"/>
        <v>0</v>
      </c>
      <c r="V373" s="52" t="e">
        <f t="shared" si="600"/>
        <v>#DIV/0!</v>
      </c>
      <c r="W373" s="53">
        <f>COUNTIFS('00 Encuesta'!$B$2:$B$511,"*b)*",'00 Encuesta'!$C$2:$C$511,"*d)*",'00 Encuesta'!$E$2:$E$511,"*a)*",'00 Encuesta'!$AU$2:$AU$511,"*e)*")</f>
        <v>0</v>
      </c>
      <c r="X373" s="52" t="e">
        <f t="shared" si="601"/>
        <v>#DIV/0!</v>
      </c>
      <c r="Y373" s="53">
        <f>COUNTIFS('00 Encuesta'!$B$2:$B$511,"*b)*",'00 Encuesta'!$C$2:$C$511,"*d)*",'00 Encuesta'!$E$2:$E$511,"*b)*",'00 Encuesta'!$AU$2:$AU$511,"*e)*")</f>
        <v>0</v>
      </c>
      <c r="Z373" s="52" t="e">
        <f t="shared" si="602"/>
        <v>#DIV/0!</v>
      </c>
      <c r="AA373" s="3"/>
      <c r="AB373" s="62">
        <f t="shared" si="603"/>
        <v>2</v>
      </c>
      <c r="AC373" s="52">
        <f t="shared" si="604"/>
        <v>2.8571428571428572</v>
      </c>
      <c r="AD373" s="3"/>
      <c r="AE373" s="3"/>
      <c r="AF373" s="9" t="str">
        <f t="shared" si="605"/>
        <v>e) Muy mala</v>
      </c>
      <c r="AG373" s="72">
        <f t="shared" si="606"/>
        <v>4.7619047619047619</v>
      </c>
      <c r="AH373" s="72">
        <f t="shared" si="607"/>
        <v>5.8823529411764701</v>
      </c>
      <c r="AI373" s="73">
        <f t="shared" si="608"/>
        <v>5.2631578947368416</v>
      </c>
      <c r="AJ373" s="73"/>
      <c r="AK373" s="76">
        <f t="shared" si="609"/>
        <v>0</v>
      </c>
      <c r="AL373" s="76">
        <f t="shared" si="610"/>
        <v>0</v>
      </c>
      <c r="AM373" s="76">
        <f t="shared" si="611"/>
        <v>0</v>
      </c>
      <c r="AN373" s="76"/>
      <c r="AO373" s="81" t="e">
        <f t="shared" si="612"/>
        <v>#DIV/0!</v>
      </c>
      <c r="AP373" s="81" t="e">
        <f t="shared" si="613"/>
        <v>#DIV/0!</v>
      </c>
      <c r="AQ373" s="81" t="e">
        <f t="shared" si="614"/>
        <v>#DIV/0!</v>
      </c>
      <c r="AR373" s="3"/>
      <c r="AS373" s="76">
        <f t="shared" si="542"/>
        <v>2.8571428571428572</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ht="15" x14ac:dyDescent="0.25">
      <c r="A374" s="8" t="s">
        <v>45</v>
      </c>
      <c r="B374" s="9" t="s">
        <v>233</v>
      </c>
      <c r="C374" s="7"/>
      <c r="D374" s="7"/>
      <c r="E374" s="7"/>
      <c r="F374" s="71"/>
      <c r="G374" s="51">
        <f t="shared" si="591"/>
        <v>0</v>
      </c>
      <c r="H374" s="52">
        <f t="shared" si="592"/>
        <v>0</v>
      </c>
      <c r="I374" s="53">
        <f>COUNTIFS('00 Encuesta'!$B$2:$B$511,"*b)*",'00 Encuesta'!$C$2:$C$511,"*a)*",'00 Encuesta'!$E$2:$E$511,"*a)*",'00 Encuesta'!$AU$2:$AU$511,"*f)*")</f>
        <v>0</v>
      </c>
      <c r="J374" s="52">
        <f t="shared" si="593"/>
        <v>0</v>
      </c>
      <c r="K374" s="53">
        <f>COUNTIFS('00 Encuesta'!$B$2:$B$511,"*b)*",'00 Encuesta'!$C$2:$C$511,"*a)*",'00 Encuesta'!$E$2:$E$511,"*b)*",'00 Encuesta'!$AU$2:$AU$511,"*f)*")</f>
        <v>0</v>
      </c>
      <c r="L374" s="52">
        <f t="shared" si="594"/>
        <v>0</v>
      </c>
      <c r="M374" s="23"/>
      <c r="N374" s="51">
        <f t="shared" si="595"/>
        <v>0</v>
      </c>
      <c r="O374" s="52">
        <f t="shared" si="596"/>
        <v>0</v>
      </c>
      <c r="P374" s="53">
        <f>COUNTIFS('00 Encuesta'!$B$2:$B$511,"*b)*",'00 Encuesta'!$C$2:$C$511,"*b)*",'00 Encuesta'!$E$2:$E$511,"*a)*",'00 Encuesta'!$AU$2:$AU$511,"*f)*")</f>
        <v>0</v>
      </c>
      <c r="Q374" s="52">
        <f t="shared" si="597"/>
        <v>0</v>
      </c>
      <c r="R374" s="53">
        <f>COUNTIFS('00 Encuesta'!$B$2:$B$511,"*b)*",'00 Encuesta'!$C$2:$C$511,"*b)*",'00 Encuesta'!$E$2:$E$511,"*b)*",'00 Encuesta'!$AU$2:$AU$511,"*f)*")</f>
        <v>0</v>
      </c>
      <c r="S374" s="52">
        <f t="shared" si="598"/>
        <v>0</v>
      </c>
      <c r="T374" s="3"/>
      <c r="U374" s="51">
        <f t="shared" si="599"/>
        <v>0</v>
      </c>
      <c r="V374" s="52" t="e">
        <f t="shared" si="600"/>
        <v>#DIV/0!</v>
      </c>
      <c r="W374" s="53">
        <f>COUNTIFS('00 Encuesta'!$B$2:$B$511,"*b)*",'00 Encuesta'!$C$2:$C$511,"*d)*",'00 Encuesta'!$E$2:$E$511,"*a)*",'00 Encuesta'!$AU$2:$AU$511,"*f)*")</f>
        <v>0</v>
      </c>
      <c r="X374" s="52" t="e">
        <f t="shared" si="601"/>
        <v>#DIV/0!</v>
      </c>
      <c r="Y374" s="53">
        <f>COUNTIFS('00 Encuesta'!$B$2:$B$511,"*b)*",'00 Encuesta'!$C$2:$C$511,"*d)*",'00 Encuesta'!$E$2:$E$511,"*b)*",'00 Encuesta'!$AU$2:$AU$511,"*f)*")</f>
        <v>0</v>
      </c>
      <c r="Z374" s="52" t="e">
        <f t="shared" si="602"/>
        <v>#DIV/0!</v>
      </c>
      <c r="AA374" s="3"/>
      <c r="AB374" s="62">
        <f t="shared" si="603"/>
        <v>0</v>
      </c>
      <c r="AC374" s="52">
        <f t="shared" si="604"/>
        <v>0</v>
      </c>
      <c r="AD374" s="3"/>
      <c r="AE374" s="3"/>
      <c r="AF374" s="9" t="str">
        <f t="shared" si="605"/>
        <v>f) No aplica</v>
      </c>
      <c r="AG374" s="72">
        <f t="shared" si="606"/>
        <v>0</v>
      </c>
      <c r="AH374" s="72">
        <f t="shared" si="607"/>
        <v>0</v>
      </c>
      <c r="AI374" s="73">
        <f t="shared" si="608"/>
        <v>0</v>
      </c>
      <c r="AJ374" s="73"/>
      <c r="AK374" s="76">
        <f t="shared" si="609"/>
        <v>0</v>
      </c>
      <c r="AL374" s="76">
        <f t="shared" si="610"/>
        <v>0</v>
      </c>
      <c r="AM374" s="76">
        <f t="shared" si="611"/>
        <v>0</v>
      </c>
      <c r="AN374" s="76"/>
      <c r="AO374" s="81" t="e">
        <f t="shared" si="612"/>
        <v>#DIV/0!</v>
      </c>
      <c r="AP374" s="81" t="e">
        <f t="shared" si="613"/>
        <v>#DIV/0!</v>
      </c>
      <c r="AQ374" s="81" t="e">
        <f t="shared" si="614"/>
        <v>#DIV/0!</v>
      </c>
      <c r="AR374" s="3"/>
      <c r="AS374" s="76">
        <f t="shared" si="542"/>
        <v>0</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ht="15" x14ac:dyDescent="0.25">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77.631578947368425</v>
      </c>
      <c r="AH375" s="82">
        <f>($F369*K369+$F370*K370+$F371*K371+$F372*K372+$F373*K373)/(K369+K370+K371+K372+K373)</f>
        <v>73.4375</v>
      </c>
      <c r="AI375" s="82">
        <f>($F369*G369+$F370*G370+$F371*G371+$F372*G372+$F373*G373)/(G369+G370+G371+G372+G373)</f>
        <v>75.714285714285708</v>
      </c>
      <c r="AJ375" s="82"/>
      <c r="AK375" s="82">
        <f>($F369*Q369+$F370*Q370+$F371*Q371+$F372*Q372+$F373*Q373)/(Q369+Q370+Q371+Q372+Q373)</f>
        <v>77.272727272727266</v>
      </c>
      <c r="AL375" s="82">
        <f>($F369*S369+$F370*S370+$F371*S371+$F372*S372+$F373*S373)/(S369+S370+S371+S372+S373)</f>
        <v>75.000000000000014</v>
      </c>
      <c r="AM375" s="82">
        <f>($F369*O369+$F370*O370+$F371*O371+$F372*O372+$F373*O373)/(O369+O370+O371+O372+O373)</f>
        <v>75.961538461538467</v>
      </c>
      <c r="AN375" s="82"/>
      <c r="AO375" s="82" t="e">
        <f>($F369*W369+$F370*W370+$F371*W371+$F372*W372+$F373*W373)/(W369+W370+W371+W372+W373)</f>
        <v>#DIV/0!</v>
      </c>
      <c r="AP375" s="82" t="e">
        <f>($F369*Y369+$F370*Y370+$F371*Y371+$F372*Y372+$F373*Y373)/(Y369+Y370+Y371+Y372+Y373)</f>
        <v>#DIV/0!</v>
      </c>
      <c r="AQ375" s="82" t="e">
        <f>($F369*U369+$F370*U370+$F371*U371+$F372*U372+$F373*U373)/(U369+U370+U371+U372+U373)</f>
        <v>#DIV/0!</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ht="15" x14ac:dyDescent="0.25">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ht="15" x14ac:dyDescent="0.25">
      <c r="A377" s="8" t="s">
        <v>17</v>
      </c>
      <c r="B377" s="9" t="s">
        <v>229</v>
      </c>
      <c r="C377" s="3"/>
      <c r="D377" s="3"/>
      <c r="E377" s="3"/>
      <c r="F377" s="71">
        <v>100</v>
      </c>
      <c r="G377" s="51">
        <f t="shared" ref="G377:G382" si="615">I377+K377</f>
        <v>13</v>
      </c>
      <c r="H377" s="52">
        <f t="shared" ref="H377:H382" si="616">G377/$J$5*100</f>
        <v>34.210526315789473</v>
      </c>
      <c r="I377" s="53">
        <f>COUNTIFS('00 Encuesta'!$B$2:$B$511,"*b)*",'00 Encuesta'!$C$2:$C$511,"*a)*",'00 Encuesta'!$E$2:$E$511,"*a)*",'00 Encuesta'!$AV$2:$AV$511,"*a)*")</f>
        <v>7</v>
      </c>
      <c r="J377" s="52">
        <f t="shared" ref="J377:J382" si="617">I377/$J$6*100</f>
        <v>33.333333333333329</v>
      </c>
      <c r="K377" s="53">
        <f>COUNTIFS('00 Encuesta'!$B$2:$B$511,"*b)*",'00 Encuesta'!$C$2:$C$511,"*a)*",'00 Encuesta'!$E$2:$E$511,"*b)*",'00 Encuesta'!$AV$2:$AV$511,"*a)*")</f>
        <v>6</v>
      </c>
      <c r="L377" s="52">
        <f t="shared" ref="L377:L382" si="618">K377/$J$7*100</f>
        <v>35.294117647058826</v>
      </c>
      <c r="M377" s="23"/>
      <c r="N377" s="51">
        <f t="shared" ref="N377:N382" si="619">P377+R377</f>
        <v>6</v>
      </c>
      <c r="O377" s="52">
        <f t="shared" ref="O377:O382" si="620">N377/$Q$5*100</f>
        <v>18.75</v>
      </c>
      <c r="P377" s="53">
        <f>COUNTIFS('00 Encuesta'!$B$2:$B$511,"*b)*",'00 Encuesta'!$C$2:$C$511,"*b)*",'00 Encuesta'!$E$2:$E$511,"*a)*",'00 Encuesta'!$AV$2:$AV$511,"*a)*")</f>
        <v>3</v>
      </c>
      <c r="Q377" s="52">
        <f t="shared" ref="Q377:Q382" si="621">P377/$Q$6*100</f>
        <v>17.647058823529413</v>
      </c>
      <c r="R377" s="53">
        <f>COUNTIFS('00 Encuesta'!$B$2:$B$511,"*b)*",'00 Encuesta'!$C$2:$C$511,"*b)*",'00 Encuesta'!$E$2:$E$511,"*b)*",'00 Encuesta'!$AV$2:$AV$511,"*a)*")</f>
        <v>3</v>
      </c>
      <c r="S377" s="52">
        <f t="shared" ref="S377:S382" si="622">R377/$Q$7*100</f>
        <v>20</v>
      </c>
      <c r="T377" s="3"/>
      <c r="U377" s="51">
        <f t="shared" ref="U377:U382" si="623">W377+Y377</f>
        <v>0</v>
      </c>
      <c r="V377" s="52" t="e">
        <f t="shared" ref="V377:V382" si="624">U377/$X$5*100</f>
        <v>#DIV/0!</v>
      </c>
      <c r="W377" s="53">
        <f>COUNTIFS('00 Encuesta'!$B$2:$B$511,"*b)*",'00 Encuesta'!$C$2:$C$511,"*d)*",'00 Encuesta'!$E$2:$E$511,"*a)*",'00 Encuesta'!$AV$2:$AV$511,"*a)*")</f>
        <v>0</v>
      </c>
      <c r="X377" s="52" t="e">
        <f t="shared" ref="X377:X382" si="625">W377/$X$6*100</f>
        <v>#DIV/0!</v>
      </c>
      <c r="Y377" s="53">
        <f>COUNTIFS('00 Encuesta'!$B$2:$B$511,"*b)*",'00 Encuesta'!$C$2:$C$511,"*d)*",'00 Encuesta'!$E$2:$E$511,"*b)*",'00 Encuesta'!$AV$2:$AV$511,"*a)*")</f>
        <v>0</v>
      </c>
      <c r="Z377" s="52" t="e">
        <f t="shared" ref="Z377:Z382" si="626">Y377/$X$7*100</f>
        <v>#DIV/0!</v>
      </c>
      <c r="AA377" s="3"/>
      <c r="AB377" s="62">
        <f t="shared" ref="AB377:AB383" si="627">G377+N377+U377</f>
        <v>19</v>
      </c>
      <c r="AC377" s="52">
        <f t="shared" ref="AC377:AC383" si="628">AB377*100/$AC$5</f>
        <v>27.142857142857142</v>
      </c>
      <c r="AD377" s="3"/>
      <c r="AE377" s="3"/>
      <c r="AF377" s="9" t="str">
        <f t="shared" ref="AF377:AF382" si="629">A377&amp;" "&amp;B377</f>
        <v>a) Muy buena</v>
      </c>
      <c r="AG377" s="72">
        <f t="shared" ref="AG377:AG382" si="630">J377</f>
        <v>33.333333333333329</v>
      </c>
      <c r="AH377" s="72">
        <f t="shared" ref="AH377:AH382" si="631">L377</f>
        <v>35.294117647058826</v>
      </c>
      <c r="AI377" s="73">
        <f t="shared" ref="AI377:AI382" si="632">H377</f>
        <v>34.210526315789473</v>
      </c>
      <c r="AJ377" s="73"/>
      <c r="AK377" s="76">
        <f t="shared" ref="AK377:AK382" si="633">Q377</f>
        <v>17.647058823529413</v>
      </c>
      <c r="AL377" s="76">
        <f t="shared" ref="AL377:AL382" si="634">S377</f>
        <v>20</v>
      </c>
      <c r="AM377" s="76">
        <f t="shared" ref="AM377:AM382" si="635">O377</f>
        <v>18.75</v>
      </c>
      <c r="AN377" s="76"/>
      <c r="AO377" s="81" t="e">
        <f t="shared" ref="AO377:AO382" si="636">X377</f>
        <v>#DIV/0!</v>
      </c>
      <c r="AP377" s="81" t="e">
        <f t="shared" ref="AP377:AP382" si="637">Z377</f>
        <v>#DIV/0!</v>
      </c>
      <c r="AQ377" s="81" t="e">
        <f t="shared" ref="AQ377:AQ382" si="638">V377</f>
        <v>#DIV/0!</v>
      </c>
      <c r="AR377" s="3"/>
      <c r="AS377" s="76">
        <f t="shared" si="542"/>
        <v>27.142857142857142</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ht="15" x14ac:dyDescent="0.25">
      <c r="A378" s="8" t="s">
        <v>18</v>
      </c>
      <c r="B378" s="9" t="s">
        <v>230</v>
      </c>
      <c r="C378" s="3"/>
      <c r="D378" s="3"/>
      <c r="E378" s="3"/>
      <c r="F378" s="71">
        <v>75</v>
      </c>
      <c r="G378" s="51">
        <f t="shared" si="615"/>
        <v>12</v>
      </c>
      <c r="H378" s="52">
        <f t="shared" si="616"/>
        <v>31.578947368421051</v>
      </c>
      <c r="I378" s="53">
        <f>COUNTIFS('00 Encuesta'!$B$2:$B$511,"*b)*",'00 Encuesta'!$C$2:$C$511,"*a)*",'00 Encuesta'!$E$2:$E$511,"*a)*",'00 Encuesta'!$AV$2:$AV$511,"*b)*")</f>
        <v>6</v>
      </c>
      <c r="J378" s="52">
        <f t="shared" si="617"/>
        <v>28.571428571428569</v>
      </c>
      <c r="K378" s="53">
        <f>COUNTIFS('00 Encuesta'!$B$2:$B$511,"*b)*",'00 Encuesta'!$C$2:$C$511,"*a)*",'00 Encuesta'!$E$2:$E$511,"*b)*",'00 Encuesta'!$AV$2:$AV$511,"*b)*")</f>
        <v>6</v>
      </c>
      <c r="L378" s="52">
        <f t="shared" si="618"/>
        <v>35.294117647058826</v>
      </c>
      <c r="M378" s="23"/>
      <c r="N378" s="51">
        <f t="shared" si="619"/>
        <v>12</v>
      </c>
      <c r="O378" s="52">
        <f t="shared" si="620"/>
        <v>37.5</v>
      </c>
      <c r="P378" s="53">
        <f>COUNTIFS('00 Encuesta'!$B$2:$B$511,"*b)*",'00 Encuesta'!$C$2:$C$511,"*b)*",'00 Encuesta'!$E$2:$E$511,"*a)*",'00 Encuesta'!$AV$2:$AV$511,"*b)*")</f>
        <v>4</v>
      </c>
      <c r="Q378" s="52">
        <f t="shared" si="621"/>
        <v>23.52941176470588</v>
      </c>
      <c r="R378" s="53">
        <f>COUNTIFS('00 Encuesta'!$B$2:$B$511,"*b)*",'00 Encuesta'!$C$2:$C$511,"*b)*",'00 Encuesta'!$E$2:$E$511,"*b)*",'00 Encuesta'!$AV$2:$AV$511,"*b)*")</f>
        <v>8</v>
      </c>
      <c r="S378" s="52">
        <f t="shared" si="622"/>
        <v>53.333333333333336</v>
      </c>
      <c r="T378" s="3"/>
      <c r="U378" s="51">
        <f t="shared" si="623"/>
        <v>0</v>
      </c>
      <c r="V378" s="52" t="e">
        <f t="shared" si="624"/>
        <v>#DIV/0!</v>
      </c>
      <c r="W378" s="53">
        <f>COUNTIFS('00 Encuesta'!$B$2:$B$511,"*b)*",'00 Encuesta'!$C$2:$C$511,"*d)*",'00 Encuesta'!$E$2:$E$511,"*a)*",'00 Encuesta'!$AV$2:$AV$511,"*b)*")</f>
        <v>0</v>
      </c>
      <c r="X378" s="52" t="e">
        <f t="shared" si="625"/>
        <v>#DIV/0!</v>
      </c>
      <c r="Y378" s="53">
        <f>COUNTIFS('00 Encuesta'!$B$2:$B$511,"*b)*",'00 Encuesta'!$C$2:$C$511,"*d)*",'00 Encuesta'!$E$2:$E$511,"*b)*",'00 Encuesta'!$AV$2:$AV$511,"*b)*")</f>
        <v>0</v>
      </c>
      <c r="Z378" s="52" t="e">
        <f t="shared" si="626"/>
        <v>#DIV/0!</v>
      </c>
      <c r="AA378" s="3"/>
      <c r="AB378" s="62">
        <f t="shared" si="627"/>
        <v>24</v>
      </c>
      <c r="AC378" s="52">
        <f t="shared" si="628"/>
        <v>34.285714285714285</v>
      </c>
      <c r="AD378" s="3"/>
      <c r="AE378" s="3"/>
      <c r="AF378" s="9" t="str">
        <f t="shared" si="629"/>
        <v>b) Buena</v>
      </c>
      <c r="AG378" s="72">
        <f t="shared" si="630"/>
        <v>28.571428571428569</v>
      </c>
      <c r="AH378" s="72">
        <f t="shared" si="631"/>
        <v>35.294117647058826</v>
      </c>
      <c r="AI378" s="73">
        <f t="shared" si="632"/>
        <v>31.578947368421051</v>
      </c>
      <c r="AJ378" s="73"/>
      <c r="AK378" s="76">
        <f t="shared" si="633"/>
        <v>23.52941176470588</v>
      </c>
      <c r="AL378" s="76">
        <f t="shared" si="634"/>
        <v>53.333333333333336</v>
      </c>
      <c r="AM378" s="76">
        <f t="shared" si="635"/>
        <v>37.5</v>
      </c>
      <c r="AN378" s="76"/>
      <c r="AO378" s="81" t="e">
        <f t="shared" si="636"/>
        <v>#DIV/0!</v>
      </c>
      <c r="AP378" s="81" t="e">
        <f t="shared" si="637"/>
        <v>#DIV/0!</v>
      </c>
      <c r="AQ378" s="81" t="e">
        <f t="shared" si="638"/>
        <v>#DIV/0!</v>
      </c>
      <c r="AR378" s="3"/>
      <c r="AS378" s="76">
        <f t="shared" si="542"/>
        <v>34.285714285714285</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ht="15" x14ac:dyDescent="0.25">
      <c r="A379" s="8" t="s">
        <v>20</v>
      </c>
      <c r="B379" s="9" t="s">
        <v>218</v>
      </c>
      <c r="C379" s="3"/>
      <c r="D379" s="3"/>
      <c r="E379" s="3"/>
      <c r="F379" s="71">
        <v>50</v>
      </c>
      <c r="G379" s="51">
        <f t="shared" si="615"/>
        <v>8</v>
      </c>
      <c r="H379" s="52">
        <f t="shared" si="616"/>
        <v>21.052631578947366</v>
      </c>
      <c r="I379" s="53">
        <f>COUNTIFS('00 Encuesta'!$B$2:$B$511,"*b)*",'00 Encuesta'!$C$2:$C$511,"*a)*",'00 Encuesta'!$E$2:$E$511,"*a)*",'00 Encuesta'!$AV$2:$AV$511,"*c)*")</f>
        <v>6</v>
      </c>
      <c r="J379" s="52">
        <f t="shared" si="617"/>
        <v>28.571428571428569</v>
      </c>
      <c r="K379" s="53">
        <f>COUNTIFS('00 Encuesta'!$B$2:$B$511,"*b)*",'00 Encuesta'!$C$2:$C$511,"*a)*",'00 Encuesta'!$E$2:$E$511,"*b)*",'00 Encuesta'!$AV$2:$AV$511,"*c)*")</f>
        <v>2</v>
      </c>
      <c r="L379" s="52">
        <f t="shared" si="618"/>
        <v>11.76470588235294</v>
      </c>
      <c r="M379" s="23"/>
      <c r="N379" s="51">
        <f t="shared" si="619"/>
        <v>9</v>
      </c>
      <c r="O379" s="52">
        <f t="shared" si="620"/>
        <v>28.125</v>
      </c>
      <c r="P379" s="53">
        <f>COUNTIFS('00 Encuesta'!$B$2:$B$511,"*b)*",'00 Encuesta'!$C$2:$C$511,"*b)*",'00 Encuesta'!$E$2:$E$511,"*a)*",'00 Encuesta'!$AV$2:$AV$511,"*c)*")</f>
        <v>5</v>
      </c>
      <c r="Q379" s="52">
        <f t="shared" si="621"/>
        <v>29.411764705882355</v>
      </c>
      <c r="R379" s="53">
        <f>COUNTIFS('00 Encuesta'!$B$2:$B$511,"*b)*",'00 Encuesta'!$C$2:$C$511,"*b)*",'00 Encuesta'!$E$2:$E$511,"*b)*",'00 Encuesta'!$AV$2:$AV$511,"*c)*")</f>
        <v>4</v>
      </c>
      <c r="S379" s="52">
        <f t="shared" si="622"/>
        <v>26.666666666666668</v>
      </c>
      <c r="T379" s="3"/>
      <c r="U379" s="51">
        <f t="shared" si="623"/>
        <v>0</v>
      </c>
      <c r="V379" s="52" t="e">
        <f t="shared" si="624"/>
        <v>#DIV/0!</v>
      </c>
      <c r="W379" s="53">
        <f>COUNTIFS('00 Encuesta'!$B$2:$B$511,"*b)*",'00 Encuesta'!$C$2:$C$511,"*d)*",'00 Encuesta'!$E$2:$E$511,"*a)*",'00 Encuesta'!$AV$2:$AV$511,"*c)*")</f>
        <v>0</v>
      </c>
      <c r="X379" s="52" t="e">
        <f t="shared" si="625"/>
        <v>#DIV/0!</v>
      </c>
      <c r="Y379" s="53">
        <f>COUNTIFS('00 Encuesta'!$B$2:$B$511,"*b)*",'00 Encuesta'!$C$2:$C$511,"*d)*",'00 Encuesta'!$E$2:$E$511,"*b)*",'00 Encuesta'!$AV$2:$AV$511,"*c)*")</f>
        <v>0</v>
      </c>
      <c r="Z379" s="52" t="e">
        <f t="shared" si="626"/>
        <v>#DIV/0!</v>
      </c>
      <c r="AA379" s="3"/>
      <c r="AB379" s="62">
        <f t="shared" si="627"/>
        <v>17</v>
      </c>
      <c r="AC379" s="52">
        <f t="shared" si="628"/>
        <v>24.285714285714285</v>
      </c>
      <c r="AD379" s="3"/>
      <c r="AE379" s="3"/>
      <c r="AF379" s="9" t="str">
        <f t="shared" si="629"/>
        <v>c) Regular</v>
      </c>
      <c r="AG379" s="72">
        <f t="shared" si="630"/>
        <v>28.571428571428569</v>
      </c>
      <c r="AH379" s="72">
        <f t="shared" si="631"/>
        <v>11.76470588235294</v>
      </c>
      <c r="AI379" s="73">
        <f t="shared" si="632"/>
        <v>21.052631578947366</v>
      </c>
      <c r="AJ379" s="73"/>
      <c r="AK379" s="76">
        <f t="shared" si="633"/>
        <v>29.411764705882355</v>
      </c>
      <c r="AL379" s="76">
        <f t="shared" si="634"/>
        <v>26.666666666666668</v>
      </c>
      <c r="AM379" s="76">
        <f t="shared" si="635"/>
        <v>28.125</v>
      </c>
      <c r="AN379" s="76"/>
      <c r="AO379" s="81" t="e">
        <f t="shared" si="636"/>
        <v>#DIV/0!</v>
      </c>
      <c r="AP379" s="81" t="e">
        <f t="shared" si="637"/>
        <v>#DIV/0!</v>
      </c>
      <c r="AQ379" s="81" t="e">
        <f t="shared" si="638"/>
        <v>#DIV/0!</v>
      </c>
      <c r="AR379" s="3"/>
      <c r="AS379" s="76">
        <f t="shared" si="542"/>
        <v>24.285714285714285</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ht="15" x14ac:dyDescent="0.25">
      <c r="A380" s="8" t="s">
        <v>21</v>
      </c>
      <c r="B380" s="9" t="s">
        <v>231</v>
      </c>
      <c r="C380" s="3"/>
      <c r="D380" s="3"/>
      <c r="E380" s="3"/>
      <c r="F380" s="71">
        <v>25</v>
      </c>
      <c r="G380" s="51">
        <f t="shared" si="615"/>
        <v>1</v>
      </c>
      <c r="H380" s="52">
        <f t="shared" si="616"/>
        <v>2.6315789473684208</v>
      </c>
      <c r="I380" s="53">
        <f>COUNTIFS('00 Encuesta'!$B$2:$B$511,"*b)*",'00 Encuesta'!$C$2:$C$511,"*a)*",'00 Encuesta'!$E$2:$E$511,"*a)*",'00 Encuesta'!$AV$2:$AV$511,"*d)*")</f>
        <v>0</v>
      </c>
      <c r="J380" s="52">
        <f t="shared" si="617"/>
        <v>0</v>
      </c>
      <c r="K380" s="53">
        <f>COUNTIFS('00 Encuesta'!$B$2:$B$511,"*b)*",'00 Encuesta'!$C$2:$C$511,"*a)*",'00 Encuesta'!$E$2:$E$511,"*b)*",'00 Encuesta'!$AV$2:$AV$511,"*d)*")</f>
        <v>1</v>
      </c>
      <c r="L380" s="52">
        <f t="shared" si="618"/>
        <v>5.8823529411764701</v>
      </c>
      <c r="M380" s="23"/>
      <c r="N380" s="51">
        <f t="shared" si="619"/>
        <v>0</v>
      </c>
      <c r="O380" s="52">
        <f t="shared" si="620"/>
        <v>0</v>
      </c>
      <c r="P380" s="53">
        <f>COUNTIFS('00 Encuesta'!$B$2:$B$511,"*b)*",'00 Encuesta'!$C$2:$C$511,"*b)*",'00 Encuesta'!$E$2:$E$511,"*a)*",'00 Encuesta'!$AV$2:$AV$511,"*d)*")</f>
        <v>0</v>
      </c>
      <c r="Q380" s="52">
        <f t="shared" si="621"/>
        <v>0</v>
      </c>
      <c r="R380" s="53">
        <f>COUNTIFS('00 Encuesta'!$B$2:$B$511,"*b)*",'00 Encuesta'!$C$2:$C$511,"*b)*",'00 Encuesta'!$E$2:$E$511,"*b)*",'00 Encuesta'!$AV$2:$AV$511,"*d)*")</f>
        <v>0</v>
      </c>
      <c r="S380" s="52">
        <f t="shared" si="622"/>
        <v>0</v>
      </c>
      <c r="T380" s="3"/>
      <c r="U380" s="51">
        <f t="shared" si="623"/>
        <v>0</v>
      </c>
      <c r="V380" s="52" t="e">
        <f t="shared" si="624"/>
        <v>#DIV/0!</v>
      </c>
      <c r="W380" s="53">
        <f>COUNTIFS('00 Encuesta'!$B$2:$B$511,"*b)*",'00 Encuesta'!$C$2:$C$511,"*d)*",'00 Encuesta'!$E$2:$E$511,"*a)*",'00 Encuesta'!$AV$2:$AV$511,"*d)*")</f>
        <v>0</v>
      </c>
      <c r="X380" s="52" t="e">
        <f t="shared" si="625"/>
        <v>#DIV/0!</v>
      </c>
      <c r="Y380" s="53">
        <f>COUNTIFS('00 Encuesta'!$B$2:$B$511,"*b)*",'00 Encuesta'!$C$2:$C$511,"*d)*",'00 Encuesta'!$E$2:$E$511,"*b)*",'00 Encuesta'!$AV$2:$AV$511,"*d)*")</f>
        <v>0</v>
      </c>
      <c r="Z380" s="52" t="e">
        <f t="shared" si="626"/>
        <v>#DIV/0!</v>
      </c>
      <c r="AA380" s="3"/>
      <c r="AB380" s="62">
        <f t="shared" si="627"/>
        <v>1</v>
      </c>
      <c r="AC380" s="52">
        <f t="shared" si="628"/>
        <v>1.4285714285714286</v>
      </c>
      <c r="AD380" s="3"/>
      <c r="AE380" s="3"/>
      <c r="AF380" s="9" t="str">
        <f t="shared" si="629"/>
        <v>d) Mala</v>
      </c>
      <c r="AG380" s="72">
        <f t="shared" si="630"/>
        <v>0</v>
      </c>
      <c r="AH380" s="72">
        <f t="shared" si="631"/>
        <v>5.8823529411764701</v>
      </c>
      <c r="AI380" s="73">
        <f t="shared" si="632"/>
        <v>2.6315789473684208</v>
      </c>
      <c r="AJ380" s="73"/>
      <c r="AK380" s="76">
        <f t="shared" si="633"/>
        <v>0</v>
      </c>
      <c r="AL380" s="76">
        <f t="shared" si="634"/>
        <v>0</v>
      </c>
      <c r="AM380" s="76">
        <f t="shared" si="635"/>
        <v>0</v>
      </c>
      <c r="AN380" s="76"/>
      <c r="AO380" s="81" t="e">
        <f t="shared" si="636"/>
        <v>#DIV/0!</v>
      </c>
      <c r="AP380" s="81" t="e">
        <f t="shared" si="637"/>
        <v>#DIV/0!</v>
      </c>
      <c r="AQ380" s="81" t="e">
        <f t="shared" si="638"/>
        <v>#DIV/0!</v>
      </c>
      <c r="AR380" s="3"/>
      <c r="AS380" s="76">
        <f t="shared" si="542"/>
        <v>1.4285714285714286</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ht="15" x14ac:dyDescent="0.25">
      <c r="A381" s="8" t="s">
        <v>22</v>
      </c>
      <c r="B381" s="9" t="s">
        <v>232</v>
      </c>
      <c r="C381" s="3"/>
      <c r="D381" s="3"/>
      <c r="E381" s="3"/>
      <c r="F381" s="71">
        <v>0</v>
      </c>
      <c r="G381" s="51">
        <f t="shared" si="615"/>
        <v>2</v>
      </c>
      <c r="H381" s="52">
        <f t="shared" si="616"/>
        <v>5.2631578947368416</v>
      </c>
      <c r="I381" s="53">
        <f>COUNTIFS('00 Encuesta'!$B$2:$B$511,"*b)*",'00 Encuesta'!$C$2:$C$511,"*a)*",'00 Encuesta'!$E$2:$E$511,"*a)*",'00 Encuesta'!$AV$2:$AV$511,"*e)*")</f>
        <v>1</v>
      </c>
      <c r="J381" s="52">
        <f t="shared" si="617"/>
        <v>4.7619047619047619</v>
      </c>
      <c r="K381" s="53">
        <f>COUNTIFS('00 Encuesta'!$B$2:$B$511,"*b)*",'00 Encuesta'!$C$2:$C$511,"*a)*",'00 Encuesta'!$E$2:$E$511,"*b)*",'00 Encuesta'!$AV$2:$AV$511,"*e)*")</f>
        <v>1</v>
      </c>
      <c r="L381" s="52">
        <f t="shared" si="618"/>
        <v>5.8823529411764701</v>
      </c>
      <c r="M381" s="23"/>
      <c r="N381" s="51">
        <f t="shared" si="619"/>
        <v>0</v>
      </c>
      <c r="O381" s="52">
        <f t="shared" si="620"/>
        <v>0</v>
      </c>
      <c r="P381" s="53">
        <f>COUNTIFS('00 Encuesta'!$B$2:$B$511,"*b)*",'00 Encuesta'!$C$2:$C$511,"*b)*",'00 Encuesta'!$E$2:$E$511,"*a)*",'00 Encuesta'!$AV$2:$AV$511,"*e)*")</f>
        <v>0</v>
      </c>
      <c r="Q381" s="52">
        <f t="shared" si="621"/>
        <v>0</v>
      </c>
      <c r="R381" s="53">
        <f>COUNTIFS('00 Encuesta'!$B$2:$B$511,"*b)*",'00 Encuesta'!$C$2:$C$511,"*b)*",'00 Encuesta'!$E$2:$E$511,"*b)*",'00 Encuesta'!$AV$2:$AV$511,"*e)*")</f>
        <v>0</v>
      </c>
      <c r="S381" s="52">
        <f t="shared" si="622"/>
        <v>0</v>
      </c>
      <c r="T381" s="3"/>
      <c r="U381" s="51">
        <f t="shared" si="623"/>
        <v>0</v>
      </c>
      <c r="V381" s="52" t="e">
        <f t="shared" si="624"/>
        <v>#DIV/0!</v>
      </c>
      <c r="W381" s="53">
        <f>COUNTIFS('00 Encuesta'!$B$2:$B$511,"*b)*",'00 Encuesta'!$C$2:$C$511,"*d)*",'00 Encuesta'!$E$2:$E$511,"*a)*",'00 Encuesta'!$AV$2:$AV$511,"*e)*")</f>
        <v>0</v>
      </c>
      <c r="X381" s="52" t="e">
        <f t="shared" si="625"/>
        <v>#DIV/0!</v>
      </c>
      <c r="Y381" s="53">
        <f>COUNTIFS('00 Encuesta'!$B$2:$B$511,"*b)*",'00 Encuesta'!$C$2:$C$511,"*d)*",'00 Encuesta'!$E$2:$E$511,"*b)*",'00 Encuesta'!$AV$2:$AV$511,"*e)*")</f>
        <v>0</v>
      </c>
      <c r="Z381" s="52" t="e">
        <f t="shared" si="626"/>
        <v>#DIV/0!</v>
      </c>
      <c r="AA381" s="3"/>
      <c r="AB381" s="62">
        <f t="shared" si="627"/>
        <v>2</v>
      </c>
      <c r="AC381" s="52">
        <f t="shared" si="628"/>
        <v>2.8571428571428572</v>
      </c>
      <c r="AD381" s="3"/>
      <c r="AE381" s="3"/>
      <c r="AF381" s="9" t="str">
        <f t="shared" si="629"/>
        <v>e) Muy mala</v>
      </c>
      <c r="AG381" s="72">
        <f t="shared" si="630"/>
        <v>4.7619047619047619</v>
      </c>
      <c r="AH381" s="72">
        <f t="shared" si="631"/>
        <v>5.8823529411764701</v>
      </c>
      <c r="AI381" s="73">
        <f t="shared" si="632"/>
        <v>5.2631578947368416</v>
      </c>
      <c r="AJ381" s="73"/>
      <c r="AK381" s="76">
        <f t="shared" si="633"/>
        <v>0</v>
      </c>
      <c r="AL381" s="76">
        <f t="shared" si="634"/>
        <v>0</v>
      </c>
      <c r="AM381" s="76">
        <f t="shared" si="635"/>
        <v>0</v>
      </c>
      <c r="AN381" s="76"/>
      <c r="AO381" s="81" t="e">
        <f t="shared" si="636"/>
        <v>#DIV/0!</v>
      </c>
      <c r="AP381" s="81" t="e">
        <f t="shared" si="637"/>
        <v>#DIV/0!</v>
      </c>
      <c r="AQ381" s="81" t="e">
        <f t="shared" si="638"/>
        <v>#DIV/0!</v>
      </c>
      <c r="AR381" s="3"/>
      <c r="AS381" s="76">
        <f t="shared" si="542"/>
        <v>2.8571428571428572</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ht="15" x14ac:dyDescent="0.25">
      <c r="A382" s="8" t="s">
        <v>45</v>
      </c>
      <c r="B382" s="9" t="s">
        <v>233</v>
      </c>
      <c r="C382" s="7"/>
      <c r="D382" s="7"/>
      <c r="E382" s="7"/>
      <c r="F382" s="71"/>
      <c r="G382" s="51">
        <f t="shared" si="615"/>
        <v>0</v>
      </c>
      <c r="H382" s="52">
        <f t="shared" si="616"/>
        <v>0</v>
      </c>
      <c r="I382" s="53">
        <f>COUNTIFS('00 Encuesta'!$B$2:$B$511,"*b)*",'00 Encuesta'!$C$2:$C$511,"*a)*",'00 Encuesta'!$E$2:$E$511,"*a)*",'00 Encuesta'!$AV$2:$AV$511,"*f)*")</f>
        <v>0</v>
      </c>
      <c r="J382" s="52">
        <f t="shared" si="617"/>
        <v>0</v>
      </c>
      <c r="K382" s="53">
        <f>COUNTIFS('00 Encuesta'!$B$2:$B$511,"*b)*",'00 Encuesta'!$C$2:$C$511,"*a)*",'00 Encuesta'!$E$2:$E$511,"*b)*",'00 Encuesta'!$AV$2:$AV$511,"*f)*")</f>
        <v>0</v>
      </c>
      <c r="L382" s="52">
        <f t="shared" si="618"/>
        <v>0</v>
      </c>
      <c r="M382" s="23"/>
      <c r="N382" s="51">
        <f t="shared" si="619"/>
        <v>0</v>
      </c>
      <c r="O382" s="52">
        <f t="shared" si="620"/>
        <v>0</v>
      </c>
      <c r="P382" s="53">
        <f>COUNTIFS('00 Encuesta'!$B$2:$B$511,"*b)*",'00 Encuesta'!$C$2:$C$511,"*b)*",'00 Encuesta'!$E$2:$E$511,"*a)*",'00 Encuesta'!$AV$2:$AV$511,"*f)*")</f>
        <v>0</v>
      </c>
      <c r="Q382" s="52">
        <f t="shared" si="621"/>
        <v>0</v>
      </c>
      <c r="R382" s="53">
        <f>COUNTIFS('00 Encuesta'!$B$2:$B$511,"*b)*",'00 Encuesta'!$C$2:$C$511,"*b)*",'00 Encuesta'!$E$2:$E$511,"*b)*",'00 Encuesta'!$AV$2:$AV$511,"*f)*")</f>
        <v>0</v>
      </c>
      <c r="S382" s="52">
        <f t="shared" si="622"/>
        <v>0</v>
      </c>
      <c r="T382" s="3"/>
      <c r="U382" s="51">
        <f t="shared" si="623"/>
        <v>0</v>
      </c>
      <c r="V382" s="52" t="e">
        <f t="shared" si="624"/>
        <v>#DIV/0!</v>
      </c>
      <c r="W382" s="53">
        <f>COUNTIFS('00 Encuesta'!$B$2:$B$511,"*b)*",'00 Encuesta'!$C$2:$C$511,"*d)*",'00 Encuesta'!$E$2:$E$511,"*a)*",'00 Encuesta'!$AV$2:$AV$511,"*f)*")</f>
        <v>0</v>
      </c>
      <c r="X382" s="52" t="e">
        <f t="shared" si="625"/>
        <v>#DIV/0!</v>
      </c>
      <c r="Y382" s="53">
        <f>COUNTIFS('00 Encuesta'!$B$2:$B$511,"*b)*",'00 Encuesta'!$C$2:$C$511,"*d)*",'00 Encuesta'!$E$2:$E$511,"*b)*",'00 Encuesta'!$AV$2:$AV$511,"*f)*")</f>
        <v>0</v>
      </c>
      <c r="Z382" s="52" t="e">
        <f t="shared" si="626"/>
        <v>#DIV/0!</v>
      </c>
      <c r="AA382" s="3"/>
      <c r="AB382" s="62">
        <f t="shared" si="627"/>
        <v>0</v>
      </c>
      <c r="AC382" s="52">
        <f t="shared" si="628"/>
        <v>0</v>
      </c>
      <c r="AD382" s="3"/>
      <c r="AE382" s="3"/>
      <c r="AF382" s="9" t="str">
        <f t="shared" si="629"/>
        <v>f) No aplica</v>
      </c>
      <c r="AG382" s="72">
        <f t="shared" si="630"/>
        <v>0</v>
      </c>
      <c r="AH382" s="72">
        <f t="shared" si="631"/>
        <v>0</v>
      </c>
      <c r="AI382" s="73">
        <f t="shared" si="632"/>
        <v>0</v>
      </c>
      <c r="AJ382" s="73"/>
      <c r="AK382" s="76">
        <f t="shared" si="633"/>
        <v>0</v>
      </c>
      <c r="AL382" s="76">
        <f t="shared" si="634"/>
        <v>0</v>
      </c>
      <c r="AM382" s="76">
        <f t="shared" si="635"/>
        <v>0</v>
      </c>
      <c r="AN382" s="76"/>
      <c r="AO382" s="81" t="e">
        <f t="shared" si="636"/>
        <v>#DIV/0!</v>
      </c>
      <c r="AP382" s="81" t="e">
        <f t="shared" si="637"/>
        <v>#DIV/0!</v>
      </c>
      <c r="AQ382" s="81" t="e">
        <f t="shared" si="638"/>
        <v>#DIV/0!</v>
      </c>
      <c r="AR382" s="3"/>
      <c r="AS382" s="76">
        <f t="shared" si="542"/>
        <v>0</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ht="15" x14ac:dyDescent="0.25">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f t="shared" si="628"/>
        <v>0</v>
      </c>
      <c r="AD383" s="3"/>
      <c r="AE383" s="3"/>
      <c r="AF383" s="3"/>
      <c r="AG383" s="82">
        <f>($F377*I377+$F378*I378+$F379*I379+$F380*I380+$F381*I381)/(I377+I378+I379+I380+I381)</f>
        <v>72.5</v>
      </c>
      <c r="AH383" s="82">
        <f>($F377*K377+$F378*K378+$F379*K379+$F380*K380+$F381*K381)/(K377+K378+K379+K380+K381)</f>
        <v>73.4375</v>
      </c>
      <c r="AI383" s="82">
        <f>($F377*G377+$F378*G378+$F379*G379+$F380*G380+$F381*G381)/(G377+G378+G379+G380+G381)</f>
        <v>72.916666666666671</v>
      </c>
      <c r="AJ383" s="82"/>
      <c r="AK383" s="82">
        <f>($F377*Q377+$F378*Q378+$F379*Q379+$F380*Q380+$F381*Q381)/(Q377+Q378+Q379+Q380+Q381)</f>
        <v>70.833333333333329</v>
      </c>
      <c r="AL383" s="82">
        <f>($F377*S377+$F378*S378+$F379*S379+$F380*S380+$F381*S381)/(S377+S378+S379+S380+S381)</f>
        <v>73.333333333333329</v>
      </c>
      <c r="AM383" s="82">
        <f>($F377*O377+$F378*O378+$F379*O379+$F380*O380+$F381*O381)/(O377+O378+O379+O380+O381)</f>
        <v>72.222222222222229</v>
      </c>
      <c r="AN383" s="82"/>
      <c r="AO383" s="82" t="e">
        <f>($F377*W377+$F378*W378+$F379*W379+$F380*W380+$F381*W381)/(W377+W378+W379+W380+W381)</f>
        <v>#DIV/0!</v>
      </c>
      <c r="AP383" s="82" t="e">
        <f>($F377*Y377+$F378*Y378+$F379*Y379+$F380*Y380+$F381*Y381)/(Y377+Y378+Y379+Y380+Y381)</f>
        <v>#DIV/0!</v>
      </c>
      <c r="AQ383" s="82" t="e">
        <f>($F377*U377+$F378*U378+$F379*U379+$F380*U380+$F381*U381)/(U377+U378+U379+U380+U381)</f>
        <v>#DIV/0!</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ht="15.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8</v>
      </c>
      <c r="H386" s="52">
        <f t="shared" ref="H386:H394" si="640">G386/$J$5*100</f>
        <v>21.052631578947366</v>
      </c>
      <c r="I386" s="53">
        <f>COUNTIFS('00 Encuesta'!$B$2:$B$511,"*b)*",'00 Encuesta'!$C$2:$C$511,"*a)*",'00 Encuesta'!$E$2:$E$511,"*a)*",'00 Encuesta'!$AW$2:$AW$511,"*a)*")</f>
        <v>4</v>
      </c>
      <c r="J386" s="52">
        <f t="shared" ref="J386:J394" si="641">I386/$J$6*100</f>
        <v>19.047619047619047</v>
      </c>
      <c r="K386" s="53">
        <f>COUNTIFS('00 Encuesta'!$B$2:$B$511,"*b)*",'00 Encuesta'!$C$2:$C$511,"*a)*",'00 Encuesta'!$E$2:$E$511,"*b)*",'00 Encuesta'!$AW$2:$AW$511,"*a)*")</f>
        <v>4</v>
      </c>
      <c r="L386" s="52">
        <f t="shared" ref="L386:L394" si="642">K386/$J$7*100</f>
        <v>23.52941176470588</v>
      </c>
      <c r="M386" s="23"/>
      <c r="N386" s="51">
        <f t="shared" ref="N386:N394" si="643">P386+R386</f>
        <v>9</v>
      </c>
      <c r="O386" s="52">
        <f t="shared" ref="O386:O394" si="644">N386/$Q$5*100</f>
        <v>28.125</v>
      </c>
      <c r="P386" s="53">
        <f>COUNTIFS('00 Encuesta'!$B$2:$B$511,"*b)*",'00 Encuesta'!$C$2:$C$511,"*b)*",'00 Encuesta'!$E$2:$E$511,"*a)*",'00 Encuesta'!$AW$2:$AW$511,"*a)*")</f>
        <v>2</v>
      </c>
      <c r="Q386" s="52">
        <f t="shared" ref="Q386:Q394" si="645">P386/$Q$6*100</f>
        <v>11.76470588235294</v>
      </c>
      <c r="R386" s="53">
        <f>COUNTIFS('00 Encuesta'!$B$2:$B$511,"*b)*",'00 Encuesta'!$C$2:$C$511,"*b)*",'00 Encuesta'!$E$2:$E$511,"*b)*",'00 Encuesta'!$AW$2:$AW$511,"*a)*")</f>
        <v>7</v>
      </c>
      <c r="S386" s="52">
        <f t="shared" ref="S386:S394" si="646">R386/$Q$7*100</f>
        <v>46.666666666666664</v>
      </c>
      <c r="T386" s="3"/>
      <c r="U386" s="51">
        <f t="shared" ref="U386:U394" si="647">W386+Y386</f>
        <v>0</v>
      </c>
      <c r="V386" s="52" t="e">
        <f t="shared" ref="V386:V394" si="648">U386/$X$5*100</f>
        <v>#DIV/0!</v>
      </c>
      <c r="W386" s="53">
        <f>COUNTIFS('00 Encuesta'!$B$2:$B$511,"*b)*",'00 Encuesta'!$C$2:$C$511,"*d)*",'00 Encuesta'!$E$2:$E$511,"*a)*",'00 Encuesta'!$AW$2:$AW$511,"*a)*")</f>
        <v>0</v>
      </c>
      <c r="X386" s="52" t="e">
        <f t="shared" ref="X386:X394" si="649">W386/$X$6*100</f>
        <v>#DIV/0!</v>
      </c>
      <c r="Y386" s="53">
        <f>COUNTIFS('00 Encuesta'!$B$2:$B$511,"*b)*",'00 Encuesta'!$C$2:$C$511,"*d)*",'00 Encuesta'!$E$2:$E$511,"*b)*",'00 Encuesta'!$AW$2:$AW$511,"*a)*")</f>
        <v>0</v>
      </c>
      <c r="Z386" s="52" t="e">
        <f t="shared" ref="Z386:Z394" si="650">Y386/$X$7*100</f>
        <v>#DIV/0!</v>
      </c>
      <c r="AA386" s="3"/>
      <c r="AB386" s="62">
        <f t="shared" ref="AB386:AB394" si="651">G386+N386+U386</f>
        <v>17</v>
      </c>
      <c r="AC386" s="52">
        <f t="shared" ref="AC386:AC394" si="652">AB386*100/$AC$5</f>
        <v>24.285714285714285</v>
      </c>
      <c r="AD386" s="3"/>
      <c r="AE386" s="3"/>
      <c r="AF386" s="9" t="str">
        <f t="shared" ref="AF386:AF394" si="653">A386&amp;" "&amp;B386</f>
        <v>a) El compañerismo</v>
      </c>
      <c r="AG386" s="72">
        <f>J386</f>
        <v>19.047619047619047</v>
      </c>
      <c r="AH386" s="72">
        <f>L386</f>
        <v>23.52941176470588</v>
      </c>
      <c r="AI386" s="73">
        <f>H386</f>
        <v>21.052631578947366</v>
      </c>
      <c r="AJ386" s="73"/>
      <c r="AK386" s="76">
        <f t="shared" ref="AK386:AK394" si="654">Q386</f>
        <v>11.76470588235294</v>
      </c>
      <c r="AL386" s="76">
        <f t="shared" ref="AL386:AL394" si="655">S386</f>
        <v>46.666666666666664</v>
      </c>
      <c r="AM386" s="76">
        <f t="shared" ref="AM386:AM394" si="656">O386</f>
        <v>28.125</v>
      </c>
      <c r="AN386" s="76"/>
      <c r="AO386" s="81" t="e">
        <f t="shared" ref="AO386:AO394" si="657">X386</f>
        <v>#DIV/0!</v>
      </c>
      <c r="AP386" s="81" t="e">
        <f t="shared" ref="AP386:AP394" si="658">Z386</f>
        <v>#DIV/0!</v>
      </c>
      <c r="AQ386" s="81" t="e">
        <f t="shared" ref="AQ386:AQ394" si="659">V386</f>
        <v>#DIV/0!</v>
      </c>
      <c r="AR386" s="3"/>
      <c r="AS386" s="76">
        <f t="shared" si="542"/>
        <v>24.285714285714285</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2</v>
      </c>
      <c r="H387" s="52">
        <f t="shared" si="640"/>
        <v>5.2631578947368416</v>
      </c>
      <c r="I387" s="53">
        <f>COUNTIFS('00 Encuesta'!$B$2:$B$511,"*b)*",'00 Encuesta'!$C$2:$C$511,"*a)*",'00 Encuesta'!$E$2:$E$511,"*a)*",'00 Encuesta'!$AW$2:$AW$511,"*b)*")</f>
        <v>1</v>
      </c>
      <c r="J387" s="52">
        <f t="shared" si="641"/>
        <v>4.7619047619047619</v>
      </c>
      <c r="K387" s="53">
        <f>COUNTIFS('00 Encuesta'!$B$2:$B$511,"*b)*",'00 Encuesta'!$C$2:$C$511,"*a)*",'00 Encuesta'!$E$2:$E$511,"*b)*",'00 Encuesta'!$AW$2:$AW$511,"*b)*")</f>
        <v>1</v>
      </c>
      <c r="L387" s="52">
        <f t="shared" si="642"/>
        <v>5.8823529411764701</v>
      </c>
      <c r="M387" s="23"/>
      <c r="N387" s="51">
        <f t="shared" si="643"/>
        <v>3</v>
      </c>
      <c r="O387" s="52">
        <f t="shared" si="644"/>
        <v>9.375</v>
      </c>
      <c r="P387" s="53">
        <f>COUNTIFS('00 Encuesta'!$B$2:$B$511,"*b)*",'00 Encuesta'!$C$2:$C$511,"*b)*",'00 Encuesta'!$E$2:$E$511,"*a)*",'00 Encuesta'!$AW$2:$AW$511,"*b)*")</f>
        <v>2</v>
      </c>
      <c r="Q387" s="52">
        <f t="shared" si="645"/>
        <v>11.76470588235294</v>
      </c>
      <c r="R387" s="53">
        <f>COUNTIFS('00 Encuesta'!$B$2:$B$511,"*b)*",'00 Encuesta'!$C$2:$C$511,"*b)*",'00 Encuesta'!$E$2:$E$511,"*b)*",'00 Encuesta'!$AW$2:$AW$511,"*b)*")</f>
        <v>1</v>
      </c>
      <c r="S387" s="52">
        <f t="shared" si="646"/>
        <v>6.666666666666667</v>
      </c>
      <c r="T387" s="3"/>
      <c r="U387" s="51">
        <f t="shared" si="647"/>
        <v>0</v>
      </c>
      <c r="V387" s="52" t="e">
        <f t="shared" si="648"/>
        <v>#DIV/0!</v>
      </c>
      <c r="W387" s="53">
        <f>COUNTIFS('00 Encuesta'!$B$2:$B$511,"*b)*",'00 Encuesta'!$C$2:$C$511,"*d)*",'00 Encuesta'!$E$2:$E$511,"*a)*",'00 Encuesta'!$AW$2:$AW$511,"*b)*")</f>
        <v>0</v>
      </c>
      <c r="X387" s="52" t="e">
        <f t="shared" si="649"/>
        <v>#DIV/0!</v>
      </c>
      <c r="Y387" s="53">
        <f>COUNTIFS('00 Encuesta'!$B$2:$B$511,"*b)*",'00 Encuesta'!$C$2:$C$511,"*d)*",'00 Encuesta'!$E$2:$E$511,"*b)*",'00 Encuesta'!$AW$2:$AW$511,"*b)*")</f>
        <v>0</v>
      </c>
      <c r="Z387" s="52" t="e">
        <f t="shared" si="650"/>
        <v>#DIV/0!</v>
      </c>
      <c r="AA387" s="3"/>
      <c r="AB387" s="62">
        <f t="shared" si="651"/>
        <v>5</v>
      </c>
      <c r="AC387" s="52">
        <f t="shared" si="652"/>
        <v>7.1428571428571432</v>
      </c>
      <c r="AD387" s="3"/>
      <c r="AE387" s="3"/>
      <c r="AF387" s="9" t="str">
        <f t="shared" si="653"/>
        <v>b) La orientación cristiana</v>
      </c>
      <c r="AG387" s="72">
        <f t="shared" ref="AG387:AG394" si="660">J387</f>
        <v>4.7619047619047619</v>
      </c>
      <c r="AH387" s="72">
        <f t="shared" ref="AH387:AH394" si="661">L387</f>
        <v>5.8823529411764701</v>
      </c>
      <c r="AI387" s="73">
        <f t="shared" ref="AI387:AI394" si="662">H387</f>
        <v>5.2631578947368416</v>
      </c>
      <c r="AJ387" s="73"/>
      <c r="AK387" s="76">
        <f t="shared" si="654"/>
        <v>11.76470588235294</v>
      </c>
      <c r="AL387" s="76">
        <f t="shared" si="655"/>
        <v>6.666666666666667</v>
      </c>
      <c r="AM387" s="76">
        <f t="shared" si="656"/>
        <v>9.375</v>
      </c>
      <c r="AN387" s="76"/>
      <c r="AO387" s="81" t="e">
        <f t="shared" si="657"/>
        <v>#DIV/0!</v>
      </c>
      <c r="AP387" s="81" t="e">
        <f t="shared" si="658"/>
        <v>#DIV/0!</v>
      </c>
      <c r="AQ387" s="81" t="e">
        <f t="shared" si="659"/>
        <v>#DIV/0!</v>
      </c>
      <c r="AR387" s="3"/>
      <c r="AS387" s="76">
        <f t="shared" si="542"/>
        <v>7.1428571428571432</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ht="15.75" x14ac:dyDescent="0.3">
      <c r="A388" s="1" t="s">
        <v>20</v>
      </c>
      <c r="B388" s="2" t="s">
        <v>243</v>
      </c>
      <c r="C388" s="3"/>
      <c r="D388" s="3"/>
      <c r="E388" s="3"/>
      <c r="F388" s="4"/>
      <c r="G388" s="51">
        <f t="shared" si="639"/>
        <v>7</v>
      </c>
      <c r="H388" s="52">
        <f t="shared" si="640"/>
        <v>18.421052631578945</v>
      </c>
      <c r="I388" s="53">
        <f>COUNTIFS('00 Encuesta'!$B$2:$B$511,"*b)*",'00 Encuesta'!$C$2:$C$511,"*a)*",'00 Encuesta'!$E$2:$E$511,"*a)*",'00 Encuesta'!$AW$2:$AW$511,"*c)*")</f>
        <v>5</v>
      </c>
      <c r="J388" s="52">
        <f t="shared" si="641"/>
        <v>23.809523809523807</v>
      </c>
      <c r="K388" s="53">
        <f>COUNTIFS('00 Encuesta'!$B$2:$B$511,"*b)*",'00 Encuesta'!$C$2:$C$511,"*a)*",'00 Encuesta'!$E$2:$E$511,"*b)*",'00 Encuesta'!$AW$2:$AW$511,"*c)*")</f>
        <v>2</v>
      </c>
      <c r="L388" s="52">
        <f t="shared" si="642"/>
        <v>11.76470588235294</v>
      </c>
      <c r="M388" s="23"/>
      <c r="N388" s="51">
        <f t="shared" si="643"/>
        <v>1</v>
      </c>
      <c r="O388" s="52">
        <f t="shared" si="644"/>
        <v>3.125</v>
      </c>
      <c r="P388" s="53">
        <f>COUNTIFS('00 Encuesta'!$B$2:$B$511,"*b)*",'00 Encuesta'!$C$2:$C$511,"*b)*",'00 Encuesta'!$E$2:$E$511,"*a)*",'00 Encuesta'!$AW$2:$AW$511,"*c)*")</f>
        <v>1</v>
      </c>
      <c r="Q388" s="52">
        <f t="shared" si="645"/>
        <v>5.8823529411764701</v>
      </c>
      <c r="R388" s="53">
        <f>COUNTIFS('00 Encuesta'!$B$2:$B$511,"*b)*",'00 Encuesta'!$C$2:$C$511,"*b)*",'00 Encuesta'!$E$2:$E$511,"*b)*",'00 Encuesta'!$AW$2:$AW$511,"*c)*")</f>
        <v>0</v>
      </c>
      <c r="S388" s="52">
        <f t="shared" si="646"/>
        <v>0</v>
      </c>
      <c r="T388" s="3"/>
      <c r="U388" s="51">
        <f t="shared" si="647"/>
        <v>0</v>
      </c>
      <c r="V388" s="52" t="e">
        <f t="shared" si="648"/>
        <v>#DIV/0!</v>
      </c>
      <c r="W388" s="53">
        <f>COUNTIFS('00 Encuesta'!$B$2:$B$511,"*b)*",'00 Encuesta'!$C$2:$C$511,"*d)*",'00 Encuesta'!$E$2:$E$511,"*a)*",'00 Encuesta'!$AW$2:$AW$511,"*c)*")</f>
        <v>0</v>
      </c>
      <c r="X388" s="52" t="e">
        <f t="shared" si="649"/>
        <v>#DIV/0!</v>
      </c>
      <c r="Y388" s="53">
        <f>COUNTIFS('00 Encuesta'!$B$2:$B$511,"*b)*",'00 Encuesta'!$C$2:$C$511,"*d)*",'00 Encuesta'!$E$2:$E$511,"*b)*",'00 Encuesta'!$AW$2:$AW$511,"*c)*")</f>
        <v>0</v>
      </c>
      <c r="Z388" s="52" t="e">
        <f t="shared" si="650"/>
        <v>#DIV/0!</v>
      </c>
      <c r="AA388" s="3"/>
      <c r="AB388" s="62">
        <f t="shared" si="651"/>
        <v>8</v>
      </c>
      <c r="AC388" s="52">
        <f t="shared" si="652"/>
        <v>11.428571428571429</v>
      </c>
      <c r="AD388" s="3"/>
      <c r="AE388" s="3"/>
      <c r="AF388" s="9" t="str">
        <f t="shared" si="653"/>
        <v>c) El estudio</v>
      </c>
      <c r="AG388" s="72">
        <f t="shared" si="660"/>
        <v>23.809523809523807</v>
      </c>
      <c r="AH388" s="72">
        <f t="shared" si="661"/>
        <v>11.76470588235294</v>
      </c>
      <c r="AI388" s="73">
        <f t="shared" si="662"/>
        <v>18.421052631578945</v>
      </c>
      <c r="AJ388" s="73"/>
      <c r="AK388" s="76">
        <f t="shared" si="654"/>
        <v>5.8823529411764701</v>
      </c>
      <c r="AL388" s="76">
        <f t="shared" si="655"/>
        <v>0</v>
      </c>
      <c r="AM388" s="76">
        <f t="shared" si="656"/>
        <v>3.125</v>
      </c>
      <c r="AN388" s="76"/>
      <c r="AO388" s="81" t="e">
        <f t="shared" si="657"/>
        <v>#DIV/0!</v>
      </c>
      <c r="AP388" s="81" t="e">
        <f t="shared" si="658"/>
        <v>#DIV/0!</v>
      </c>
      <c r="AQ388" s="81" t="e">
        <f t="shared" si="659"/>
        <v>#DIV/0!</v>
      </c>
      <c r="AR388" s="3"/>
      <c r="AS388" s="76">
        <f t="shared" si="542"/>
        <v>11.428571428571429</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2</v>
      </c>
      <c r="H389" s="52">
        <f t="shared" si="640"/>
        <v>5.2631578947368416</v>
      </c>
      <c r="I389" s="53">
        <f>COUNTIFS('00 Encuesta'!$B$2:$B$511,"*b)*",'00 Encuesta'!$C$2:$C$511,"*a)*",'00 Encuesta'!$E$2:$E$511,"*a)*",'00 Encuesta'!$AW$2:$AW$511,"*d)*")</f>
        <v>0</v>
      </c>
      <c r="J389" s="52">
        <f t="shared" si="641"/>
        <v>0</v>
      </c>
      <c r="K389" s="53">
        <f>COUNTIFS('00 Encuesta'!$B$2:$B$511,"*b)*",'00 Encuesta'!$C$2:$C$511,"*a)*",'00 Encuesta'!$E$2:$E$511,"*b)*",'00 Encuesta'!$AW$2:$AW$511,"*d)*")</f>
        <v>2</v>
      </c>
      <c r="L389" s="52">
        <f t="shared" si="642"/>
        <v>11.76470588235294</v>
      </c>
      <c r="M389" s="23"/>
      <c r="N389" s="51">
        <f t="shared" si="643"/>
        <v>5</v>
      </c>
      <c r="O389" s="52">
        <f t="shared" si="644"/>
        <v>15.625</v>
      </c>
      <c r="P389" s="53">
        <f>COUNTIFS('00 Encuesta'!$B$2:$B$511,"*b)*",'00 Encuesta'!$C$2:$C$511,"*b)*",'00 Encuesta'!$E$2:$E$511,"*a)*",'00 Encuesta'!$AW$2:$AW$511,"*d)*")</f>
        <v>3</v>
      </c>
      <c r="Q389" s="52">
        <f t="shared" si="645"/>
        <v>17.647058823529413</v>
      </c>
      <c r="R389" s="53">
        <f>COUNTIFS('00 Encuesta'!$B$2:$B$511,"*b)*",'00 Encuesta'!$C$2:$C$511,"*b)*",'00 Encuesta'!$E$2:$E$511,"*b)*",'00 Encuesta'!$AW$2:$AW$511,"*d)*")</f>
        <v>2</v>
      </c>
      <c r="S389" s="52">
        <f t="shared" si="646"/>
        <v>13.333333333333334</v>
      </c>
      <c r="T389" s="3"/>
      <c r="U389" s="51">
        <f t="shared" si="647"/>
        <v>0</v>
      </c>
      <c r="V389" s="52" t="e">
        <f t="shared" si="648"/>
        <v>#DIV/0!</v>
      </c>
      <c r="W389" s="53">
        <f>COUNTIFS('00 Encuesta'!$B$2:$B$511,"*b)*",'00 Encuesta'!$C$2:$C$511,"*d)*",'00 Encuesta'!$E$2:$E$511,"*a)*",'00 Encuesta'!$AW$2:$AW$511,"*d)*")</f>
        <v>0</v>
      </c>
      <c r="X389" s="52" t="e">
        <f t="shared" si="649"/>
        <v>#DIV/0!</v>
      </c>
      <c r="Y389" s="53">
        <f>COUNTIFS('00 Encuesta'!$B$2:$B$511,"*b)*",'00 Encuesta'!$C$2:$C$511,"*d)*",'00 Encuesta'!$E$2:$E$511,"*b)*",'00 Encuesta'!$AW$2:$AW$511,"*d)*")</f>
        <v>0</v>
      </c>
      <c r="Z389" s="52" t="e">
        <f t="shared" si="650"/>
        <v>#DIV/0!</v>
      </c>
      <c r="AA389" s="3"/>
      <c r="AB389" s="62">
        <f t="shared" si="651"/>
        <v>7</v>
      </c>
      <c r="AC389" s="52">
        <f t="shared" si="652"/>
        <v>10</v>
      </c>
      <c r="AD389" s="3"/>
      <c r="AE389" s="3"/>
      <c r="AF389" s="9" t="str">
        <f t="shared" si="653"/>
        <v>d) La formacion del carácter</v>
      </c>
      <c r="AG389" s="72">
        <f t="shared" si="660"/>
        <v>0</v>
      </c>
      <c r="AH389" s="72">
        <f t="shared" si="661"/>
        <v>11.76470588235294</v>
      </c>
      <c r="AI389" s="73">
        <f t="shared" si="662"/>
        <v>5.2631578947368416</v>
      </c>
      <c r="AJ389" s="73"/>
      <c r="AK389" s="76">
        <f t="shared" si="654"/>
        <v>17.647058823529413</v>
      </c>
      <c r="AL389" s="76">
        <f t="shared" si="655"/>
        <v>13.333333333333334</v>
      </c>
      <c r="AM389" s="76">
        <f t="shared" si="656"/>
        <v>15.625</v>
      </c>
      <c r="AN389" s="76"/>
      <c r="AO389" s="81" t="e">
        <f t="shared" si="657"/>
        <v>#DIV/0!</v>
      </c>
      <c r="AP389" s="81" t="e">
        <f t="shared" si="658"/>
        <v>#DIV/0!</v>
      </c>
      <c r="AQ389" s="81" t="e">
        <f t="shared" si="659"/>
        <v>#DIV/0!</v>
      </c>
      <c r="AR389" s="3"/>
      <c r="AS389" s="76">
        <f t="shared" si="542"/>
        <v>10</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ht="15.75" x14ac:dyDescent="0.3">
      <c r="A390" s="1" t="s">
        <v>22</v>
      </c>
      <c r="B390" s="2" t="s">
        <v>245</v>
      </c>
      <c r="C390" s="3"/>
      <c r="D390" s="3"/>
      <c r="E390" s="3"/>
      <c r="F390" s="4"/>
      <c r="G390" s="51">
        <f t="shared" si="639"/>
        <v>5</v>
      </c>
      <c r="H390" s="52">
        <f t="shared" si="640"/>
        <v>13.157894736842104</v>
      </c>
      <c r="I390" s="53">
        <f>COUNTIFS('00 Encuesta'!$B$2:$B$511,"*b)*",'00 Encuesta'!$C$2:$C$511,"*a)*",'00 Encuesta'!$E$2:$E$511,"*a)*",'00 Encuesta'!$AW$2:$AW$511,"*e)*")</f>
        <v>1</v>
      </c>
      <c r="J390" s="52">
        <f t="shared" si="641"/>
        <v>4.7619047619047619</v>
      </c>
      <c r="K390" s="53">
        <f>COUNTIFS('00 Encuesta'!$B$2:$B$511,"*b)*",'00 Encuesta'!$C$2:$C$511,"*a)*",'00 Encuesta'!$E$2:$E$511,"*b)*",'00 Encuesta'!$AW$2:$AW$511,"*e)*")</f>
        <v>4</v>
      </c>
      <c r="L390" s="52">
        <f t="shared" si="642"/>
        <v>23.52941176470588</v>
      </c>
      <c r="M390" s="23"/>
      <c r="N390" s="51">
        <f t="shared" si="643"/>
        <v>3</v>
      </c>
      <c r="O390" s="52">
        <f t="shared" si="644"/>
        <v>9.375</v>
      </c>
      <c r="P390" s="53">
        <f>COUNTIFS('00 Encuesta'!$B$2:$B$511,"*b)*",'00 Encuesta'!$C$2:$C$511,"*b)*",'00 Encuesta'!$E$2:$E$511,"*a)*",'00 Encuesta'!$AW$2:$AW$511,"*e)*")</f>
        <v>1</v>
      </c>
      <c r="Q390" s="52">
        <f t="shared" si="645"/>
        <v>5.8823529411764701</v>
      </c>
      <c r="R390" s="53">
        <f>COUNTIFS('00 Encuesta'!$B$2:$B$511,"*b)*",'00 Encuesta'!$C$2:$C$511,"*b)*",'00 Encuesta'!$E$2:$E$511,"*b)*",'00 Encuesta'!$AW$2:$AW$511,"*e)*")</f>
        <v>2</v>
      </c>
      <c r="S390" s="52">
        <f t="shared" si="646"/>
        <v>13.333333333333334</v>
      </c>
      <c r="T390" s="3"/>
      <c r="U390" s="51">
        <f t="shared" si="647"/>
        <v>0</v>
      </c>
      <c r="V390" s="52" t="e">
        <f t="shared" si="648"/>
        <v>#DIV/0!</v>
      </c>
      <c r="W390" s="53">
        <f>COUNTIFS('00 Encuesta'!$B$2:$B$511,"*b)*",'00 Encuesta'!$C$2:$C$511,"*d)*",'00 Encuesta'!$E$2:$E$511,"*a)*",'00 Encuesta'!$AW$2:$AW$511,"*e)*")</f>
        <v>0</v>
      </c>
      <c r="X390" s="52" t="e">
        <f t="shared" si="649"/>
        <v>#DIV/0!</v>
      </c>
      <c r="Y390" s="53">
        <f>COUNTIFS('00 Encuesta'!$B$2:$B$511,"*b)*",'00 Encuesta'!$C$2:$C$511,"*d)*",'00 Encuesta'!$E$2:$E$511,"*b)*",'00 Encuesta'!$AW$2:$AW$511,"*e)*")</f>
        <v>0</v>
      </c>
      <c r="Z390" s="52" t="e">
        <f t="shared" si="650"/>
        <v>#DIV/0!</v>
      </c>
      <c r="AA390" s="3"/>
      <c r="AB390" s="62">
        <f t="shared" si="651"/>
        <v>8</v>
      </c>
      <c r="AC390" s="52">
        <f t="shared" si="652"/>
        <v>11.428571428571429</v>
      </c>
      <c r="AD390" s="3"/>
      <c r="AE390" s="3"/>
      <c r="AF390" s="9" t="str">
        <f t="shared" si="653"/>
        <v>e) La disciplina y el orden</v>
      </c>
      <c r="AG390" s="72">
        <f t="shared" si="660"/>
        <v>4.7619047619047619</v>
      </c>
      <c r="AH390" s="72">
        <f t="shared" si="661"/>
        <v>23.52941176470588</v>
      </c>
      <c r="AI390" s="73">
        <f t="shared" si="662"/>
        <v>13.157894736842104</v>
      </c>
      <c r="AJ390" s="73"/>
      <c r="AK390" s="76">
        <f t="shared" si="654"/>
        <v>5.8823529411764701</v>
      </c>
      <c r="AL390" s="76">
        <f t="shared" si="655"/>
        <v>13.333333333333334</v>
      </c>
      <c r="AM390" s="76">
        <f t="shared" si="656"/>
        <v>9.375</v>
      </c>
      <c r="AN390" s="76"/>
      <c r="AO390" s="81" t="e">
        <f t="shared" si="657"/>
        <v>#DIV/0!</v>
      </c>
      <c r="AP390" s="81" t="e">
        <f t="shared" si="658"/>
        <v>#DIV/0!</v>
      </c>
      <c r="AQ390" s="81" t="e">
        <f t="shared" si="659"/>
        <v>#DIV/0!</v>
      </c>
      <c r="AR390" s="3"/>
      <c r="AS390" s="76">
        <f t="shared" si="542"/>
        <v>11.428571428571429</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4</v>
      </c>
      <c r="H391" s="52">
        <f t="shared" si="640"/>
        <v>10.526315789473683</v>
      </c>
      <c r="I391" s="53">
        <f>COUNTIFS('00 Encuesta'!$B$2:$B$511,"*b)*",'00 Encuesta'!$C$2:$C$511,"*a)*",'00 Encuesta'!$E$2:$E$511,"*a)*",'00 Encuesta'!$AW$2:$AW$511,"*f)*")</f>
        <v>3</v>
      </c>
      <c r="J391" s="52">
        <f t="shared" si="641"/>
        <v>14.285714285714285</v>
      </c>
      <c r="K391" s="53">
        <f>COUNTIFS('00 Encuesta'!$B$2:$B$511,"*b)*",'00 Encuesta'!$C$2:$C$511,"*a)*",'00 Encuesta'!$E$2:$E$511,"*b)*",'00 Encuesta'!$AW$2:$AW$511,"*f)*")</f>
        <v>1</v>
      </c>
      <c r="L391" s="52">
        <f t="shared" si="642"/>
        <v>5.8823529411764701</v>
      </c>
      <c r="M391" s="23"/>
      <c r="N391" s="51">
        <f t="shared" si="643"/>
        <v>1</v>
      </c>
      <c r="O391" s="52">
        <f t="shared" si="644"/>
        <v>3.125</v>
      </c>
      <c r="P391" s="53">
        <f>COUNTIFS('00 Encuesta'!$B$2:$B$511,"*b)*",'00 Encuesta'!$C$2:$C$511,"*b)*",'00 Encuesta'!$E$2:$E$511,"*a)*",'00 Encuesta'!$AW$2:$AW$511,"*f)*")</f>
        <v>0</v>
      </c>
      <c r="Q391" s="52">
        <f t="shared" si="645"/>
        <v>0</v>
      </c>
      <c r="R391" s="53">
        <f>COUNTIFS('00 Encuesta'!$B$2:$B$511,"*b)*",'00 Encuesta'!$C$2:$C$511,"*b)*",'00 Encuesta'!$E$2:$E$511,"*b)*",'00 Encuesta'!$AW$2:$AW$511,"*f)*")</f>
        <v>1</v>
      </c>
      <c r="S391" s="52">
        <f t="shared" si="646"/>
        <v>6.666666666666667</v>
      </c>
      <c r="T391" s="3"/>
      <c r="U391" s="51">
        <f t="shared" si="647"/>
        <v>0</v>
      </c>
      <c r="V391" s="52" t="e">
        <f t="shared" si="648"/>
        <v>#DIV/0!</v>
      </c>
      <c r="W391" s="53">
        <f>COUNTIFS('00 Encuesta'!$B$2:$B$511,"*b)*",'00 Encuesta'!$C$2:$C$511,"*d)*",'00 Encuesta'!$E$2:$E$511,"*a)*",'00 Encuesta'!$AW$2:$AW$511,"*f)*")</f>
        <v>0</v>
      </c>
      <c r="X391" s="52" t="e">
        <f t="shared" si="649"/>
        <v>#DIV/0!</v>
      </c>
      <c r="Y391" s="53">
        <f>COUNTIFS('00 Encuesta'!$B$2:$B$511,"*b)*",'00 Encuesta'!$C$2:$C$511,"*d)*",'00 Encuesta'!$E$2:$E$511,"*b)*",'00 Encuesta'!$AW$2:$AW$511,"*f)*")</f>
        <v>0</v>
      </c>
      <c r="Z391" s="52" t="e">
        <f t="shared" si="650"/>
        <v>#DIV/0!</v>
      </c>
      <c r="AA391" s="3"/>
      <c r="AB391" s="62">
        <f t="shared" si="651"/>
        <v>5</v>
      </c>
      <c r="AC391" s="52">
        <f t="shared" si="652"/>
        <v>7.1428571428571432</v>
      </c>
      <c r="AD391" s="3"/>
      <c r="AE391" s="3"/>
      <c r="AF391" s="9" t="str">
        <f t="shared" si="653"/>
        <v>f) La pràctica religiosa</v>
      </c>
      <c r="AG391" s="72">
        <f t="shared" si="660"/>
        <v>14.285714285714285</v>
      </c>
      <c r="AH391" s="72">
        <f t="shared" si="661"/>
        <v>5.8823529411764701</v>
      </c>
      <c r="AI391" s="73">
        <f t="shared" si="662"/>
        <v>10.526315789473683</v>
      </c>
      <c r="AJ391" s="73"/>
      <c r="AK391" s="76">
        <f t="shared" si="654"/>
        <v>0</v>
      </c>
      <c r="AL391" s="76">
        <f t="shared" si="655"/>
        <v>6.666666666666667</v>
      </c>
      <c r="AM391" s="76">
        <f t="shared" si="656"/>
        <v>3.125</v>
      </c>
      <c r="AN391" s="76"/>
      <c r="AO391" s="81" t="e">
        <f t="shared" si="657"/>
        <v>#DIV/0!</v>
      </c>
      <c r="AP391" s="81" t="e">
        <f t="shared" si="658"/>
        <v>#DIV/0!</v>
      </c>
      <c r="AQ391" s="81" t="e">
        <f t="shared" si="659"/>
        <v>#DIV/0!</v>
      </c>
      <c r="AR391" s="3"/>
      <c r="AS391" s="76">
        <f t="shared" si="542"/>
        <v>7.1428571428571432</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2</v>
      </c>
      <c r="H392" s="52">
        <f t="shared" si="640"/>
        <v>5.2631578947368416</v>
      </c>
      <c r="I392" s="53">
        <f>COUNTIFS('00 Encuesta'!$B$2:$B$511,"*b)*",'00 Encuesta'!$C$2:$C$511,"*a)*",'00 Encuesta'!$E$2:$E$511,"*a)*",'00 Encuesta'!$AW$2:$AW$511,"*g)*")</f>
        <v>2</v>
      </c>
      <c r="J392" s="52">
        <f t="shared" si="641"/>
        <v>9.5238095238095237</v>
      </c>
      <c r="K392" s="53">
        <f>COUNTIFS('00 Encuesta'!$B$2:$B$511,"*b)*",'00 Encuesta'!$C$2:$C$511,"*a)*",'00 Encuesta'!$E$2:$E$511,"*b)*",'00 Encuesta'!$AW$2:$AW$511,"*g)*")</f>
        <v>0</v>
      </c>
      <c r="L392" s="52">
        <f t="shared" si="642"/>
        <v>0</v>
      </c>
      <c r="M392" s="23"/>
      <c r="N392" s="51">
        <f t="shared" si="643"/>
        <v>2</v>
      </c>
      <c r="O392" s="52">
        <f t="shared" si="644"/>
        <v>6.25</v>
      </c>
      <c r="P392" s="53">
        <f>COUNTIFS('00 Encuesta'!$B$2:$B$511,"*b)*",'00 Encuesta'!$C$2:$C$511,"*b)*",'00 Encuesta'!$E$2:$E$511,"*a)*",'00 Encuesta'!$AW$2:$AW$511,"*g)*")</f>
        <v>2</v>
      </c>
      <c r="Q392" s="52">
        <f t="shared" si="645"/>
        <v>11.76470588235294</v>
      </c>
      <c r="R392" s="53">
        <f>COUNTIFS('00 Encuesta'!$B$2:$B$511,"*b)*",'00 Encuesta'!$C$2:$C$511,"*b)*",'00 Encuesta'!$E$2:$E$511,"*b)*",'00 Encuesta'!$AW$2:$AW$511,"*g)*")</f>
        <v>0</v>
      </c>
      <c r="S392" s="52">
        <f t="shared" si="646"/>
        <v>0</v>
      </c>
      <c r="T392" s="3"/>
      <c r="U392" s="51">
        <f t="shared" si="647"/>
        <v>0</v>
      </c>
      <c r="V392" s="52" t="e">
        <f t="shared" si="648"/>
        <v>#DIV/0!</v>
      </c>
      <c r="W392" s="53">
        <f>COUNTIFS('00 Encuesta'!$B$2:$B$511,"*b)*",'00 Encuesta'!$C$2:$C$511,"*d)*",'00 Encuesta'!$E$2:$E$511,"*a)*",'00 Encuesta'!$AW$2:$AW$511,"*g)*")</f>
        <v>0</v>
      </c>
      <c r="X392" s="52" t="e">
        <f t="shared" si="649"/>
        <v>#DIV/0!</v>
      </c>
      <c r="Y392" s="53">
        <f>COUNTIFS('00 Encuesta'!$B$2:$B$511,"*b)*",'00 Encuesta'!$C$2:$C$511,"*d)*",'00 Encuesta'!$E$2:$E$511,"*b)*",'00 Encuesta'!$AW$2:$AW$511,"*g)*")</f>
        <v>0</v>
      </c>
      <c r="Z392" s="52" t="e">
        <f t="shared" si="650"/>
        <v>#DIV/0!</v>
      </c>
      <c r="AA392" s="3"/>
      <c r="AB392" s="62">
        <f t="shared" si="651"/>
        <v>4</v>
      </c>
      <c r="AC392" s="52">
        <f t="shared" si="652"/>
        <v>5.7142857142857144</v>
      </c>
      <c r="AD392" s="3"/>
      <c r="AE392" s="3"/>
      <c r="AF392" s="9" t="str">
        <f t="shared" si="653"/>
        <v>g) La Orientación profesional futura</v>
      </c>
      <c r="AG392" s="72">
        <f t="shared" si="660"/>
        <v>9.5238095238095237</v>
      </c>
      <c r="AH392" s="72">
        <f t="shared" si="661"/>
        <v>0</v>
      </c>
      <c r="AI392" s="73">
        <f t="shared" si="662"/>
        <v>5.2631578947368416</v>
      </c>
      <c r="AJ392" s="73"/>
      <c r="AK392" s="76">
        <f t="shared" si="654"/>
        <v>11.76470588235294</v>
      </c>
      <c r="AL392" s="76">
        <f t="shared" si="655"/>
        <v>0</v>
      </c>
      <c r="AM392" s="76">
        <f t="shared" si="656"/>
        <v>6.25</v>
      </c>
      <c r="AN392" s="76"/>
      <c r="AO392" s="81" t="e">
        <f t="shared" si="657"/>
        <v>#DIV/0!</v>
      </c>
      <c r="AP392" s="81" t="e">
        <f t="shared" si="658"/>
        <v>#DIV/0!</v>
      </c>
      <c r="AQ392" s="81" t="e">
        <f t="shared" si="659"/>
        <v>#DIV/0!</v>
      </c>
      <c r="AR392" s="3"/>
      <c r="AS392" s="76">
        <f t="shared" si="542"/>
        <v>5.7142857142857144</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2</v>
      </c>
      <c r="H393" s="52">
        <f t="shared" si="640"/>
        <v>5.2631578947368416</v>
      </c>
      <c r="I393" s="53">
        <f>COUNTIFS('00 Encuesta'!$B$2:$B$511,"*b)*",'00 Encuesta'!$C$2:$C$511,"*a)*",'00 Encuesta'!$E$2:$E$511,"*a)*",'00 Encuesta'!$AW$2:$AW$511,"*h)*")</f>
        <v>1</v>
      </c>
      <c r="J393" s="52">
        <f t="shared" si="641"/>
        <v>4.7619047619047619</v>
      </c>
      <c r="K393" s="53">
        <f>COUNTIFS('00 Encuesta'!$B$2:$B$511,"*b)*",'00 Encuesta'!$C$2:$C$511,"*a)*",'00 Encuesta'!$E$2:$E$511,"*b)*",'00 Encuesta'!$AW$2:$AW$511,"*h)*")</f>
        <v>1</v>
      </c>
      <c r="L393" s="52">
        <f t="shared" si="642"/>
        <v>5.8823529411764701</v>
      </c>
      <c r="M393" s="23"/>
      <c r="N393" s="51">
        <f t="shared" si="643"/>
        <v>2</v>
      </c>
      <c r="O393" s="52">
        <f t="shared" si="644"/>
        <v>6.25</v>
      </c>
      <c r="P393" s="53">
        <f>COUNTIFS('00 Encuesta'!$B$2:$B$511,"*b)*",'00 Encuesta'!$C$2:$C$511,"*b)*",'00 Encuesta'!$E$2:$E$511,"*a)*",'00 Encuesta'!$AW$2:$AW$511,"*h)*")</f>
        <v>1</v>
      </c>
      <c r="Q393" s="52">
        <f t="shared" si="645"/>
        <v>5.8823529411764701</v>
      </c>
      <c r="R393" s="53">
        <f>COUNTIFS('00 Encuesta'!$B$2:$B$511,"*b)*",'00 Encuesta'!$C$2:$C$511,"*b)*",'00 Encuesta'!$E$2:$E$511,"*b)*",'00 Encuesta'!$AW$2:$AW$511,"*h)*")</f>
        <v>1</v>
      </c>
      <c r="S393" s="52">
        <f t="shared" si="646"/>
        <v>6.666666666666667</v>
      </c>
      <c r="T393" s="3"/>
      <c r="U393" s="51">
        <f t="shared" si="647"/>
        <v>0</v>
      </c>
      <c r="V393" s="52" t="e">
        <f t="shared" si="648"/>
        <v>#DIV/0!</v>
      </c>
      <c r="W393" s="53">
        <f>COUNTIFS('00 Encuesta'!$B$2:$B$511,"*b)*",'00 Encuesta'!$C$2:$C$511,"*d)*",'00 Encuesta'!$E$2:$E$511,"*a)*",'00 Encuesta'!$AW$2:$AW$511,"*h)*")</f>
        <v>0</v>
      </c>
      <c r="X393" s="52" t="e">
        <f t="shared" si="649"/>
        <v>#DIV/0!</v>
      </c>
      <c r="Y393" s="53">
        <f>COUNTIFS('00 Encuesta'!$B$2:$B$511,"*b)*",'00 Encuesta'!$C$2:$C$511,"*d)*",'00 Encuesta'!$E$2:$E$511,"*b)*",'00 Encuesta'!$AW$2:$AW$511,"*h)*")</f>
        <v>0</v>
      </c>
      <c r="Z393" s="52" t="e">
        <f t="shared" si="650"/>
        <v>#DIV/0!</v>
      </c>
      <c r="AA393" s="3"/>
      <c r="AB393" s="62">
        <f t="shared" si="651"/>
        <v>4</v>
      </c>
      <c r="AC393" s="52">
        <f t="shared" si="652"/>
        <v>5.7142857142857144</v>
      </c>
      <c r="AD393" s="3"/>
      <c r="AE393" s="3"/>
      <c r="AF393" s="9" t="str">
        <f t="shared" si="653"/>
        <v>h) La responsabilidad social y servicio a los demás</v>
      </c>
      <c r="AG393" s="72">
        <f t="shared" si="660"/>
        <v>4.7619047619047619</v>
      </c>
      <c r="AH393" s="72">
        <f t="shared" si="661"/>
        <v>5.8823529411764701</v>
      </c>
      <c r="AI393" s="73">
        <f t="shared" si="662"/>
        <v>5.2631578947368416</v>
      </c>
      <c r="AJ393" s="73"/>
      <c r="AK393" s="76">
        <f t="shared" si="654"/>
        <v>5.8823529411764701</v>
      </c>
      <c r="AL393" s="76">
        <f t="shared" si="655"/>
        <v>6.666666666666667</v>
      </c>
      <c r="AM393" s="76">
        <f t="shared" si="656"/>
        <v>6.25</v>
      </c>
      <c r="AN393" s="76"/>
      <c r="AO393" s="81" t="e">
        <f t="shared" si="657"/>
        <v>#DIV/0!</v>
      </c>
      <c r="AP393" s="81" t="e">
        <f t="shared" si="658"/>
        <v>#DIV/0!</v>
      </c>
      <c r="AQ393" s="81" t="e">
        <f t="shared" si="659"/>
        <v>#DIV/0!</v>
      </c>
      <c r="AR393" s="3"/>
      <c r="AS393" s="76">
        <f t="shared" si="542"/>
        <v>5.7142857142857144</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ht="15.75" x14ac:dyDescent="0.3">
      <c r="A394" s="1" t="s">
        <v>65</v>
      </c>
      <c r="B394" s="2" t="s">
        <v>247</v>
      </c>
      <c r="C394" s="3"/>
      <c r="D394" s="3"/>
      <c r="E394" s="3"/>
      <c r="F394" s="4"/>
      <c r="G394" s="51">
        <f t="shared" si="639"/>
        <v>3</v>
      </c>
      <c r="H394" s="52">
        <f t="shared" si="640"/>
        <v>7.8947368421052628</v>
      </c>
      <c r="I394" s="53">
        <f>COUNTIFS('00 Encuesta'!$B$2:$B$511,"*b)*",'00 Encuesta'!$C$2:$C$511,"*a)*",'00 Encuesta'!$E$2:$E$511,"*a)*",'00 Encuesta'!$AW$2:$AW$511,"*i)*")</f>
        <v>3</v>
      </c>
      <c r="J394" s="52">
        <f t="shared" si="641"/>
        <v>14.285714285714285</v>
      </c>
      <c r="K394" s="53">
        <f>COUNTIFS('00 Encuesta'!$B$2:$B$511,"*b)*",'00 Encuesta'!$C$2:$C$511,"*a)*",'00 Encuesta'!$E$2:$E$511,"*b)*",'00 Encuesta'!$AW$2:$AW$511,"*i)*")</f>
        <v>0</v>
      </c>
      <c r="L394" s="52">
        <f t="shared" si="642"/>
        <v>0</v>
      </c>
      <c r="M394" s="23"/>
      <c r="N394" s="51">
        <f t="shared" si="643"/>
        <v>1</v>
      </c>
      <c r="O394" s="52">
        <f t="shared" si="644"/>
        <v>3.125</v>
      </c>
      <c r="P394" s="53">
        <f>COUNTIFS('00 Encuesta'!$B$2:$B$511,"*b)*",'00 Encuesta'!$C$2:$C$511,"*b)*",'00 Encuesta'!$E$2:$E$511,"*a)*",'00 Encuesta'!$AW$2:$AW$511,"*i)*")</f>
        <v>1</v>
      </c>
      <c r="Q394" s="52">
        <f t="shared" si="645"/>
        <v>5.8823529411764701</v>
      </c>
      <c r="R394" s="53">
        <f>COUNTIFS('00 Encuesta'!$B$2:$B$511,"*b)*",'00 Encuesta'!$C$2:$C$511,"*b)*",'00 Encuesta'!$E$2:$E$511,"*b)*",'00 Encuesta'!$AW$2:$AW$511,"*i)*")</f>
        <v>0</v>
      </c>
      <c r="S394" s="52">
        <f t="shared" si="646"/>
        <v>0</v>
      </c>
      <c r="T394" s="3"/>
      <c r="U394" s="51">
        <f t="shared" si="647"/>
        <v>0</v>
      </c>
      <c r="V394" s="52" t="e">
        <f t="shared" si="648"/>
        <v>#DIV/0!</v>
      </c>
      <c r="W394" s="53">
        <f>COUNTIFS('00 Encuesta'!$B$2:$B$511,"*b)*",'00 Encuesta'!$C$2:$C$511,"*d)*",'00 Encuesta'!$E$2:$E$511,"*a)*",'00 Encuesta'!$AW$2:$AW$511,"*i)*")</f>
        <v>0</v>
      </c>
      <c r="X394" s="52" t="e">
        <f t="shared" si="649"/>
        <v>#DIV/0!</v>
      </c>
      <c r="Y394" s="53">
        <f>COUNTIFS('00 Encuesta'!$B$2:$B$511,"*b)*",'00 Encuesta'!$C$2:$C$511,"*d)*",'00 Encuesta'!$E$2:$E$511,"*b)*",'00 Encuesta'!$AW$2:$AW$511,"*i)*")</f>
        <v>0</v>
      </c>
      <c r="Z394" s="52" t="e">
        <f t="shared" si="650"/>
        <v>#DIV/0!</v>
      </c>
      <c r="AA394" s="3"/>
      <c r="AB394" s="62">
        <f t="shared" si="651"/>
        <v>4</v>
      </c>
      <c r="AC394" s="52">
        <f t="shared" si="652"/>
        <v>5.7142857142857144</v>
      </c>
      <c r="AD394" s="3"/>
      <c r="AE394" s="3"/>
      <c r="AF394" s="9" t="str">
        <f t="shared" si="653"/>
        <v>i) En nada</v>
      </c>
      <c r="AG394" s="72">
        <f t="shared" si="660"/>
        <v>14.285714285714285</v>
      </c>
      <c r="AH394" s="72">
        <f t="shared" si="661"/>
        <v>0</v>
      </c>
      <c r="AI394" s="73">
        <f t="shared" si="662"/>
        <v>7.8947368421052628</v>
      </c>
      <c r="AJ394" s="73"/>
      <c r="AK394" s="76">
        <f t="shared" si="654"/>
        <v>5.8823529411764701</v>
      </c>
      <c r="AL394" s="76">
        <f t="shared" si="655"/>
        <v>0</v>
      </c>
      <c r="AM394" s="76">
        <f t="shared" si="656"/>
        <v>3.125</v>
      </c>
      <c r="AN394" s="76"/>
      <c r="AO394" s="81" t="e">
        <f t="shared" si="657"/>
        <v>#DIV/0!</v>
      </c>
      <c r="AP394" s="81" t="e">
        <f t="shared" si="658"/>
        <v>#DIV/0!</v>
      </c>
      <c r="AQ394" s="81" t="e">
        <f t="shared" si="659"/>
        <v>#DIV/0!</v>
      </c>
      <c r="AR394" s="3"/>
      <c r="AS394" s="76">
        <f t="shared" si="542"/>
        <v>5.7142857142857144</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ht="15.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ht="15.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ht="15.75" x14ac:dyDescent="0.3">
      <c r="A397" s="1" t="s">
        <v>17</v>
      </c>
      <c r="B397" s="2" t="s">
        <v>249</v>
      </c>
      <c r="C397" s="3"/>
      <c r="D397" s="3"/>
      <c r="E397" s="3"/>
      <c r="F397" s="4"/>
      <c r="G397" s="51">
        <f t="shared" ref="G397:G404" si="663">I397+K397</f>
        <v>13</v>
      </c>
      <c r="H397" s="52">
        <f t="shared" ref="H397:H404" si="664">G397/$J$5*100</f>
        <v>34.210526315789473</v>
      </c>
      <c r="I397" s="53">
        <f>COUNTIFS('00 Encuesta'!$B$2:$B$511,"*b)*",'00 Encuesta'!$C$2:$C$511,"*a)*",'00 Encuesta'!$E$2:$E$511,"*a)*",'00 Encuesta'!$AX$2:$AX$511,"*a)*")</f>
        <v>8</v>
      </c>
      <c r="J397" s="52">
        <f t="shared" ref="J397:J404" si="665">I397/$J$6*100</f>
        <v>38.095238095238095</v>
      </c>
      <c r="K397" s="53">
        <f>COUNTIFS('00 Encuesta'!$B$2:$B$511,"*b)*",'00 Encuesta'!$C$2:$C$511,"*a)*",'00 Encuesta'!$E$2:$E$511,"*b)*",'00 Encuesta'!$AX$2:$AX$511,"*a)*")</f>
        <v>5</v>
      </c>
      <c r="L397" s="52">
        <f t="shared" ref="L397:L404" si="666">K397/$J$7*100</f>
        <v>29.411764705882355</v>
      </c>
      <c r="M397" s="23"/>
      <c r="N397" s="51">
        <f t="shared" ref="N397:N404" si="667">P397+R397</f>
        <v>6</v>
      </c>
      <c r="O397" s="52">
        <f t="shared" ref="O397:O404" si="668">N397/$Q$5*100</f>
        <v>18.75</v>
      </c>
      <c r="P397" s="53">
        <f>COUNTIFS('00 Encuesta'!$B$2:$B$511,"*b)*",'00 Encuesta'!$C$2:$C$511,"*b)*",'00 Encuesta'!$E$2:$E$511,"*a)*",'00 Encuesta'!$AX$2:$AX$511,"*a)*")</f>
        <v>5</v>
      </c>
      <c r="Q397" s="52">
        <f t="shared" ref="Q397:Q404" si="669">P397/$Q$6*100</f>
        <v>29.411764705882355</v>
      </c>
      <c r="R397" s="53">
        <f>COUNTIFS('00 Encuesta'!$B$2:$B$511,"*b)*",'00 Encuesta'!$C$2:$C$511,"*b)*",'00 Encuesta'!$E$2:$E$511,"*b)*",'00 Encuesta'!$AX$2:$AX$511,"*a)*")</f>
        <v>1</v>
      </c>
      <c r="S397" s="52">
        <f t="shared" ref="S397:S404" si="670">R397/$Q$7*100</f>
        <v>6.666666666666667</v>
      </c>
      <c r="T397" s="3"/>
      <c r="U397" s="51">
        <f t="shared" ref="U397:U404" si="671">W397+Y397</f>
        <v>0</v>
      </c>
      <c r="V397" s="52" t="e">
        <f t="shared" ref="V397:V404" si="672">U397/$X$5*100</f>
        <v>#DIV/0!</v>
      </c>
      <c r="W397" s="53">
        <f>COUNTIFS('00 Encuesta'!$B$2:$B$511,"*b)*",'00 Encuesta'!$C$2:$C$511,"*d)*",'00 Encuesta'!$E$2:$E$511,"*a)*",'00 Encuesta'!$AX$2:$AX$511,"*a)*")</f>
        <v>0</v>
      </c>
      <c r="X397" s="52" t="e">
        <f t="shared" ref="X397:X404" si="673">W397/$X$6*100</f>
        <v>#DIV/0!</v>
      </c>
      <c r="Y397" s="53">
        <f>COUNTIFS('00 Encuesta'!$B$2:$B$511,"*b)*",'00 Encuesta'!$C$2:$C$511,"*d)*",'00 Encuesta'!$E$2:$E$511,"*b)*",'00 Encuesta'!$AX$2:$AX$511,"*a)*")</f>
        <v>0</v>
      </c>
      <c r="Z397" s="52" t="e">
        <f t="shared" ref="Z397:Z404" si="674">Y397/$X$7*100</f>
        <v>#DIV/0!</v>
      </c>
      <c r="AA397" s="3"/>
      <c r="AB397" s="62">
        <f t="shared" ref="AB397:AB404" si="675">G397+N397+U397</f>
        <v>19</v>
      </c>
      <c r="AC397" s="52">
        <f t="shared" ref="AC397:AC404" si="676">AB397*100/$AC$5</f>
        <v>27.142857142857142</v>
      </c>
      <c r="AD397" s="3"/>
      <c r="AE397" s="3"/>
      <c r="AF397" s="9" t="str">
        <f t="shared" ref="AF397:AF404" si="677">A397&amp;" "&amp;B397</f>
        <v>a) Que sea un buen profesional</v>
      </c>
      <c r="AG397" s="72">
        <f t="shared" ref="AG397:AG404" si="678">J397</f>
        <v>38.095238095238095</v>
      </c>
      <c r="AH397" s="72">
        <f t="shared" ref="AH397:AH404" si="679">L397</f>
        <v>29.411764705882355</v>
      </c>
      <c r="AI397" s="73">
        <f t="shared" ref="AI397:AI404" si="680">H397</f>
        <v>34.210526315789473</v>
      </c>
      <c r="AJ397" s="73"/>
      <c r="AK397" s="76">
        <f t="shared" ref="AK397:AK404" si="681">Q397</f>
        <v>29.411764705882355</v>
      </c>
      <c r="AL397" s="76">
        <f t="shared" ref="AL397:AL404" si="682">S397</f>
        <v>6.666666666666667</v>
      </c>
      <c r="AM397" s="76">
        <f t="shared" ref="AM397:AM404" si="683">O397</f>
        <v>18.75</v>
      </c>
      <c r="AN397" s="76"/>
      <c r="AO397" s="81" t="e">
        <f t="shared" ref="AO397:AO404" si="684">X397</f>
        <v>#DIV/0!</v>
      </c>
      <c r="AP397" s="81" t="e">
        <f t="shared" ref="AP397:AP404" si="685">Z397</f>
        <v>#DIV/0!</v>
      </c>
      <c r="AQ397" s="81" t="e">
        <f t="shared" ref="AQ397:AQ404" si="686">V397</f>
        <v>#DIV/0!</v>
      </c>
      <c r="AR397" s="3"/>
      <c r="AS397" s="76">
        <f t="shared" si="542"/>
        <v>27.142857142857142</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15</v>
      </c>
      <c r="H398" s="52">
        <f t="shared" si="664"/>
        <v>39.473684210526315</v>
      </c>
      <c r="I398" s="53">
        <f>COUNTIFS('00 Encuesta'!$B$2:$B$511,"*b)*",'00 Encuesta'!$C$2:$C$511,"*a)*",'00 Encuesta'!$E$2:$E$511,"*a)*",'00 Encuesta'!$AX$2:$AX$511,"*b)*")</f>
        <v>6</v>
      </c>
      <c r="J398" s="52">
        <f t="shared" si="665"/>
        <v>28.571428571428569</v>
      </c>
      <c r="K398" s="53">
        <f>COUNTIFS('00 Encuesta'!$B$2:$B$511,"*b)*",'00 Encuesta'!$C$2:$C$511,"*a)*",'00 Encuesta'!$E$2:$E$511,"*b)*",'00 Encuesta'!$AX$2:$AX$511,"*b)*")</f>
        <v>9</v>
      </c>
      <c r="L398" s="52">
        <f t="shared" si="666"/>
        <v>52.941176470588239</v>
      </c>
      <c r="M398" s="23"/>
      <c r="N398" s="51">
        <f t="shared" si="667"/>
        <v>12</v>
      </c>
      <c r="O398" s="52">
        <f t="shared" si="668"/>
        <v>37.5</v>
      </c>
      <c r="P398" s="53">
        <f>COUNTIFS('00 Encuesta'!$B$2:$B$511,"*b)*",'00 Encuesta'!$C$2:$C$511,"*b)*",'00 Encuesta'!$E$2:$E$511,"*a)*",'00 Encuesta'!$AX$2:$AX$511,"*b)*")</f>
        <v>3</v>
      </c>
      <c r="Q398" s="52">
        <f t="shared" si="669"/>
        <v>17.647058823529413</v>
      </c>
      <c r="R398" s="53">
        <f>COUNTIFS('00 Encuesta'!$B$2:$B$511,"*b)*",'00 Encuesta'!$C$2:$C$511,"*b)*",'00 Encuesta'!$E$2:$E$511,"*b)*",'00 Encuesta'!$AX$2:$AX$511,"*b)*")</f>
        <v>9</v>
      </c>
      <c r="S398" s="52">
        <f t="shared" si="670"/>
        <v>60</v>
      </c>
      <c r="T398" s="3"/>
      <c r="U398" s="51">
        <f t="shared" si="671"/>
        <v>0</v>
      </c>
      <c r="V398" s="52" t="e">
        <f t="shared" si="672"/>
        <v>#DIV/0!</v>
      </c>
      <c r="W398" s="53">
        <f>COUNTIFS('00 Encuesta'!$B$2:$B$511,"*b)*",'00 Encuesta'!$C$2:$C$511,"*d)*",'00 Encuesta'!$E$2:$E$511,"*a)*",'00 Encuesta'!$AX$2:$AX$511,"*b)*")</f>
        <v>0</v>
      </c>
      <c r="X398" s="52" t="e">
        <f t="shared" si="673"/>
        <v>#DIV/0!</v>
      </c>
      <c r="Y398" s="53">
        <f>COUNTIFS('00 Encuesta'!$B$2:$B$511,"*b)*",'00 Encuesta'!$C$2:$C$511,"*d)*",'00 Encuesta'!$E$2:$E$511,"*b)*",'00 Encuesta'!$AX$2:$AX$511,"*b)*")</f>
        <v>0</v>
      </c>
      <c r="Z398" s="52" t="e">
        <f t="shared" si="674"/>
        <v>#DIV/0!</v>
      </c>
      <c r="AA398" s="3"/>
      <c r="AB398" s="62">
        <f t="shared" si="675"/>
        <v>27</v>
      </c>
      <c r="AC398" s="52">
        <f t="shared" si="676"/>
        <v>38.571428571428569</v>
      </c>
      <c r="AD398" s="3"/>
      <c r="AE398" s="3"/>
      <c r="AF398" s="9" t="str">
        <f t="shared" si="677"/>
        <v>b) Darme una buena ocupaciòn</v>
      </c>
      <c r="AG398" s="72">
        <f t="shared" si="678"/>
        <v>28.571428571428569</v>
      </c>
      <c r="AH398" s="72">
        <f t="shared" si="679"/>
        <v>52.941176470588239</v>
      </c>
      <c r="AI398" s="73">
        <f t="shared" si="680"/>
        <v>39.473684210526315</v>
      </c>
      <c r="AJ398" s="73"/>
      <c r="AK398" s="76">
        <f t="shared" si="681"/>
        <v>17.647058823529413</v>
      </c>
      <c r="AL398" s="76">
        <f t="shared" si="682"/>
        <v>60</v>
      </c>
      <c r="AM398" s="76">
        <f t="shared" si="683"/>
        <v>37.5</v>
      </c>
      <c r="AN398" s="76"/>
      <c r="AO398" s="81" t="e">
        <f t="shared" si="684"/>
        <v>#DIV/0!</v>
      </c>
      <c r="AP398" s="81" t="e">
        <f t="shared" si="685"/>
        <v>#DIV/0!</v>
      </c>
      <c r="AQ398" s="81" t="e">
        <f t="shared" si="686"/>
        <v>#DIV/0!</v>
      </c>
      <c r="AR398" s="3"/>
      <c r="AS398" s="76">
        <f t="shared" si="542"/>
        <v>38.571428571428569</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0</v>
      </c>
      <c r="H399" s="52">
        <f t="shared" si="664"/>
        <v>0</v>
      </c>
      <c r="I399" s="53">
        <f>COUNTIFS('00 Encuesta'!$B$2:$B$511,"*b)*",'00 Encuesta'!$C$2:$C$511,"*a)*",'00 Encuesta'!$E$2:$E$511,"*a)*",'00 Encuesta'!$AX$2:$AX$511,"*c)*")</f>
        <v>0</v>
      </c>
      <c r="J399" s="52">
        <f t="shared" si="665"/>
        <v>0</v>
      </c>
      <c r="K399" s="53">
        <f>COUNTIFS('00 Encuesta'!$B$2:$B$511,"*b)*",'00 Encuesta'!$C$2:$C$511,"*a)*",'00 Encuesta'!$E$2:$E$511,"*b)*",'00 Encuesta'!$AX$2:$AX$511,"*c)*")</f>
        <v>0</v>
      </c>
      <c r="L399" s="52">
        <f t="shared" si="666"/>
        <v>0</v>
      </c>
      <c r="M399" s="23"/>
      <c r="N399" s="51">
        <f t="shared" si="667"/>
        <v>1</v>
      </c>
      <c r="O399" s="52">
        <f t="shared" si="668"/>
        <v>3.125</v>
      </c>
      <c r="P399" s="53">
        <f>COUNTIFS('00 Encuesta'!$B$2:$B$511,"*b)*",'00 Encuesta'!$C$2:$C$511,"*b)*",'00 Encuesta'!$E$2:$E$511,"*a)*",'00 Encuesta'!$AX$2:$AX$511,"*c)*")</f>
        <v>1</v>
      </c>
      <c r="Q399" s="52">
        <f t="shared" si="669"/>
        <v>5.8823529411764701</v>
      </c>
      <c r="R399" s="53">
        <f>COUNTIFS('00 Encuesta'!$B$2:$B$511,"*b)*",'00 Encuesta'!$C$2:$C$511,"*b)*",'00 Encuesta'!$E$2:$E$511,"*b)*",'00 Encuesta'!$AX$2:$AX$511,"*c)*")</f>
        <v>0</v>
      </c>
      <c r="S399" s="52">
        <f t="shared" si="670"/>
        <v>0</v>
      </c>
      <c r="T399" s="3"/>
      <c r="U399" s="51">
        <f t="shared" si="671"/>
        <v>0</v>
      </c>
      <c r="V399" s="52" t="e">
        <f t="shared" si="672"/>
        <v>#DIV/0!</v>
      </c>
      <c r="W399" s="53">
        <f>COUNTIFS('00 Encuesta'!$B$2:$B$511,"*b)*",'00 Encuesta'!$C$2:$C$511,"*d)*",'00 Encuesta'!$E$2:$E$511,"*a)*",'00 Encuesta'!$AX$2:$AX$511,"*c)*")</f>
        <v>0</v>
      </c>
      <c r="X399" s="52" t="e">
        <f t="shared" si="673"/>
        <v>#DIV/0!</v>
      </c>
      <c r="Y399" s="53">
        <f>COUNTIFS('00 Encuesta'!$B$2:$B$511,"*b)*",'00 Encuesta'!$C$2:$C$511,"*d)*",'00 Encuesta'!$E$2:$E$511,"*b)*",'00 Encuesta'!$AX$2:$AX$511,"*c)*")</f>
        <v>0</v>
      </c>
      <c r="Z399" s="52" t="e">
        <f t="shared" si="674"/>
        <v>#DIV/0!</v>
      </c>
      <c r="AA399" s="3"/>
      <c r="AB399" s="62">
        <f>G399+N399+U399</f>
        <v>1</v>
      </c>
      <c r="AC399" s="52">
        <f t="shared" si="676"/>
        <v>1.4285714285714286</v>
      </c>
      <c r="AD399" s="3"/>
      <c r="AE399" s="3"/>
      <c r="AF399" s="9" t="str">
        <f t="shared" si="677"/>
        <v>c) Que me preocupe de los demàs</v>
      </c>
      <c r="AG399" s="72">
        <f t="shared" si="678"/>
        <v>0</v>
      </c>
      <c r="AH399" s="72">
        <f t="shared" si="679"/>
        <v>0</v>
      </c>
      <c r="AI399" s="73">
        <f t="shared" si="680"/>
        <v>0</v>
      </c>
      <c r="AJ399" s="73"/>
      <c r="AK399" s="76">
        <f t="shared" si="681"/>
        <v>5.8823529411764701</v>
      </c>
      <c r="AL399" s="76">
        <f t="shared" si="682"/>
        <v>0</v>
      </c>
      <c r="AM399" s="76">
        <f t="shared" si="683"/>
        <v>3.125</v>
      </c>
      <c r="AN399" s="76"/>
      <c r="AO399" s="81" t="e">
        <f t="shared" si="684"/>
        <v>#DIV/0!</v>
      </c>
      <c r="AP399" s="81" t="e">
        <f t="shared" si="685"/>
        <v>#DIV/0!</v>
      </c>
      <c r="AQ399" s="81" t="e">
        <f t="shared" si="686"/>
        <v>#DIV/0!</v>
      </c>
      <c r="AR399" s="3"/>
      <c r="AS399" s="76">
        <f t="shared" si="542"/>
        <v>1.4285714285714286</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0</v>
      </c>
      <c r="H400" s="52">
        <f t="shared" si="664"/>
        <v>0</v>
      </c>
      <c r="I400" s="53">
        <f>COUNTIFS('00 Encuesta'!$B$2:$B$511,"*b)*",'00 Encuesta'!$C$2:$C$511,"*a)*",'00 Encuesta'!$E$2:$E$511,"*a)*",'00 Encuesta'!$AX$2:$AX$511,"*d)*")</f>
        <v>0</v>
      </c>
      <c r="J400" s="52">
        <f t="shared" si="665"/>
        <v>0</v>
      </c>
      <c r="K400" s="53">
        <f>COUNTIFS('00 Encuesta'!$B$2:$B$511,"*b)*",'00 Encuesta'!$C$2:$C$511,"*a)*",'00 Encuesta'!$E$2:$E$511,"*b)*",'00 Encuesta'!$AX$2:$AX$511,"*d)*")</f>
        <v>0</v>
      </c>
      <c r="L400" s="52">
        <f t="shared" si="666"/>
        <v>0</v>
      </c>
      <c r="M400" s="23"/>
      <c r="N400" s="51">
        <f t="shared" si="667"/>
        <v>0</v>
      </c>
      <c r="O400" s="52">
        <f t="shared" si="668"/>
        <v>0</v>
      </c>
      <c r="P400" s="53">
        <f>COUNTIFS('00 Encuesta'!$B$2:$B$511,"*b)*",'00 Encuesta'!$C$2:$C$511,"*b)*",'00 Encuesta'!$E$2:$E$511,"*a)*",'00 Encuesta'!$AX$2:$AX$511,"*d)*")</f>
        <v>0</v>
      </c>
      <c r="Q400" s="52">
        <f t="shared" si="669"/>
        <v>0</v>
      </c>
      <c r="R400" s="53">
        <f>COUNTIFS('00 Encuesta'!$B$2:$B$511,"*b)*",'00 Encuesta'!$C$2:$C$511,"*b)*",'00 Encuesta'!$E$2:$E$511,"*b)*",'00 Encuesta'!$AX$2:$AX$511,"*d)*")</f>
        <v>0</v>
      </c>
      <c r="S400" s="52">
        <f t="shared" si="670"/>
        <v>0</v>
      </c>
      <c r="T400" s="3"/>
      <c r="U400" s="51">
        <f t="shared" si="671"/>
        <v>0</v>
      </c>
      <c r="V400" s="52" t="e">
        <f t="shared" si="672"/>
        <v>#DIV/0!</v>
      </c>
      <c r="W400" s="53">
        <f>COUNTIFS('00 Encuesta'!$B$2:$B$511,"*b)*",'00 Encuesta'!$C$2:$C$511,"*d)*",'00 Encuesta'!$E$2:$E$511,"*a)*",'00 Encuesta'!$AX$2:$AX$511,"*d)*")</f>
        <v>0</v>
      </c>
      <c r="X400" s="52" t="e">
        <f t="shared" si="673"/>
        <v>#DIV/0!</v>
      </c>
      <c r="Y400" s="53">
        <f>COUNTIFS('00 Encuesta'!$B$2:$B$511,"*b)*",'00 Encuesta'!$C$2:$C$511,"*d)*",'00 Encuesta'!$E$2:$E$511,"*b)*",'00 Encuesta'!$AX$2:$AX$511,"*d)*")</f>
        <v>0</v>
      </c>
      <c r="Z400" s="52" t="e">
        <f t="shared" si="674"/>
        <v>#DIV/0!</v>
      </c>
      <c r="AA400" s="3"/>
      <c r="AB400" s="62">
        <f t="shared" si="675"/>
        <v>0</v>
      </c>
      <c r="AC400" s="52">
        <f t="shared" si="676"/>
        <v>0</v>
      </c>
      <c r="AD400" s="3"/>
      <c r="AE400" s="3"/>
      <c r="AF400" s="9" t="str">
        <f t="shared" si="677"/>
        <v>d) Que ayude econòmicamente a la familia</v>
      </c>
      <c r="AG400" s="72">
        <f t="shared" si="678"/>
        <v>0</v>
      </c>
      <c r="AH400" s="72">
        <f t="shared" si="679"/>
        <v>0</v>
      </c>
      <c r="AI400" s="73">
        <f t="shared" si="680"/>
        <v>0</v>
      </c>
      <c r="AJ400" s="73"/>
      <c r="AK400" s="76">
        <f t="shared" si="681"/>
        <v>0</v>
      </c>
      <c r="AL400" s="76">
        <f t="shared" si="682"/>
        <v>0</v>
      </c>
      <c r="AM400" s="76">
        <f t="shared" si="683"/>
        <v>0</v>
      </c>
      <c r="AN400" s="76"/>
      <c r="AO400" s="81" t="e">
        <f t="shared" si="684"/>
        <v>#DIV/0!</v>
      </c>
      <c r="AP400" s="81" t="e">
        <f t="shared" si="685"/>
        <v>#DIV/0!</v>
      </c>
      <c r="AQ400" s="81" t="e">
        <f t="shared" si="686"/>
        <v>#DIV/0!</v>
      </c>
      <c r="AR400" s="3"/>
      <c r="AS400" s="76">
        <f t="shared" si="542"/>
        <v>0</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ht="15.75" x14ac:dyDescent="0.3">
      <c r="A401" s="1" t="s">
        <v>22</v>
      </c>
      <c r="B401" s="2" t="s">
        <v>253</v>
      </c>
      <c r="C401" s="3"/>
      <c r="D401" s="3"/>
      <c r="E401" s="3"/>
      <c r="F401" s="4"/>
      <c r="G401" s="51">
        <f t="shared" si="663"/>
        <v>3</v>
      </c>
      <c r="H401" s="52">
        <f t="shared" si="664"/>
        <v>7.8947368421052628</v>
      </c>
      <c r="I401" s="53">
        <f>COUNTIFS('00 Encuesta'!$B$2:$B$511,"*b)*",'00 Encuesta'!$C$2:$C$511,"*a)*",'00 Encuesta'!$E$2:$E$511,"*a)*",'00 Encuesta'!$AX$2:$AX$511,"*e)*")</f>
        <v>2</v>
      </c>
      <c r="J401" s="52">
        <f t="shared" si="665"/>
        <v>9.5238095238095237</v>
      </c>
      <c r="K401" s="53">
        <f>COUNTIFS('00 Encuesta'!$B$2:$B$511,"*b)*",'00 Encuesta'!$C$2:$C$511,"*a)*",'00 Encuesta'!$E$2:$E$511,"*b)*",'00 Encuesta'!$AX$2:$AX$511,"*e)*")</f>
        <v>1</v>
      </c>
      <c r="L401" s="52">
        <f t="shared" si="666"/>
        <v>5.8823529411764701</v>
      </c>
      <c r="M401" s="23"/>
      <c r="N401" s="51">
        <f t="shared" si="667"/>
        <v>2</v>
      </c>
      <c r="O401" s="52">
        <f t="shared" si="668"/>
        <v>6.25</v>
      </c>
      <c r="P401" s="53">
        <f>COUNTIFS('00 Encuesta'!$B$2:$B$511,"*b)*",'00 Encuesta'!$C$2:$C$511,"*b)*",'00 Encuesta'!$E$2:$E$511,"*a)*",'00 Encuesta'!$AX$2:$AX$511,"*e)*")</f>
        <v>1</v>
      </c>
      <c r="Q401" s="52">
        <f t="shared" si="669"/>
        <v>5.8823529411764701</v>
      </c>
      <c r="R401" s="53">
        <f>COUNTIFS('00 Encuesta'!$B$2:$B$511,"*b)*",'00 Encuesta'!$C$2:$C$511,"*b)*",'00 Encuesta'!$E$2:$E$511,"*b)*",'00 Encuesta'!$AX$2:$AX$511,"*e)*")</f>
        <v>1</v>
      </c>
      <c r="S401" s="52">
        <f t="shared" si="670"/>
        <v>6.666666666666667</v>
      </c>
      <c r="T401" s="3"/>
      <c r="U401" s="51">
        <f t="shared" si="671"/>
        <v>0</v>
      </c>
      <c r="V401" s="52" t="e">
        <f t="shared" si="672"/>
        <v>#DIV/0!</v>
      </c>
      <c r="W401" s="53">
        <f>COUNTIFS('00 Encuesta'!$B$2:$B$511,"*b)*",'00 Encuesta'!$C$2:$C$511,"*d)*",'00 Encuesta'!$E$2:$E$511,"*a)*",'00 Encuesta'!$AX$2:$AX$511,"*e)*")</f>
        <v>0</v>
      </c>
      <c r="X401" s="52" t="e">
        <f t="shared" si="673"/>
        <v>#DIV/0!</v>
      </c>
      <c r="Y401" s="53">
        <f>COUNTIFS('00 Encuesta'!$B$2:$B$511,"*b)*",'00 Encuesta'!$C$2:$C$511,"*d)*",'00 Encuesta'!$E$2:$E$511,"*b)*",'00 Encuesta'!$AX$2:$AX$511,"*e)*")</f>
        <v>0</v>
      </c>
      <c r="Z401" s="52" t="e">
        <f t="shared" si="674"/>
        <v>#DIV/0!</v>
      </c>
      <c r="AA401" s="3"/>
      <c r="AB401" s="62">
        <f t="shared" si="675"/>
        <v>5</v>
      </c>
      <c r="AC401" s="52">
        <f t="shared" si="676"/>
        <v>7.1428571428571432</v>
      </c>
      <c r="AD401" s="3"/>
      <c r="AE401" s="3"/>
      <c r="AF401" s="9" t="str">
        <f t="shared" si="677"/>
        <v>e) Que sea cristiano responsable</v>
      </c>
      <c r="AG401" s="72">
        <f t="shared" si="678"/>
        <v>9.5238095238095237</v>
      </c>
      <c r="AH401" s="72">
        <f t="shared" si="679"/>
        <v>5.8823529411764701</v>
      </c>
      <c r="AI401" s="73">
        <f t="shared" si="680"/>
        <v>7.8947368421052628</v>
      </c>
      <c r="AJ401" s="73"/>
      <c r="AK401" s="76">
        <f t="shared" si="681"/>
        <v>5.8823529411764701</v>
      </c>
      <c r="AL401" s="76">
        <f t="shared" si="682"/>
        <v>6.666666666666667</v>
      </c>
      <c r="AM401" s="76">
        <f t="shared" si="683"/>
        <v>6.25</v>
      </c>
      <c r="AN401" s="76"/>
      <c r="AO401" s="81" t="e">
        <f t="shared" si="684"/>
        <v>#DIV/0!</v>
      </c>
      <c r="AP401" s="81" t="e">
        <f t="shared" si="685"/>
        <v>#DIV/0!</v>
      </c>
      <c r="AQ401" s="81" t="e">
        <f t="shared" si="686"/>
        <v>#DIV/0!</v>
      </c>
      <c r="AR401" s="3"/>
      <c r="AS401" s="76">
        <f t="shared" si="542"/>
        <v>7.1428571428571432</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ht="15.75" x14ac:dyDescent="0.3">
      <c r="A402" s="1" t="s">
        <v>45</v>
      </c>
      <c r="B402" s="2" t="s">
        <v>254</v>
      </c>
      <c r="C402" s="3"/>
      <c r="D402" s="3"/>
      <c r="E402" s="3"/>
      <c r="F402" s="4"/>
      <c r="G402" s="51">
        <f t="shared" si="663"/>
        <v>3</v>
      </c>
      <c r="H402" s="52">
        <f t="shared" si="664"/>
        <v>7.8947368421052628</v>
      </c>
      <c r="I402" s="53">
        <f>COUNTIFS('00 Encuesta'!$B$2:$B$511,"*b)*",'00 Encuesta'!$C$2:$C$511,"*a)*",'00 Encuesta'!$E$2:$E$511,"*a)*",'00 Encuesta'!$AX$2:$AX$511,"*f)*")</f>
        <v>3</v>
      </c>
      <c r="J402" s="52">
        <f t="shared" si="665"/>
        <v>14.285714285714285</v>
      </c>
      <c r="K402" s="53">
        <f>COUNTIFS('00 Encuesta'!$B$2:$B$511,"*b)*",'00 Encuesta'!$C$2:$C$511,"*a)*",'00 Encuesta'!$E$2:$E$511,"*b)*",'00 Encuesta'!$AX$2:$AX$511,"*f)*")</f>
        <v>0</v>
      </c>
      <c r="L402" s="52">
        <f t="shared" si="666"/>
        <v>0</v>
      </c>
      <c r="M402" s="23"/>
      <c r="N402" s="51">
        <f t="shared" si="667"/>
        <v>3</v>
      </c>
      <c r="O402" s="52">
        <f t="shared" si="668"/>
        <v>9.375</v>
      </c>
      <c r="P402" s="53">
        <f>COUNTIFS('00 Encuesta'!$B$2:$B$511,"*b)*",'00 Encuesta'!$C$2:$C$511,"*b)*",'00 Encuesta'!$E$2:$E$511,"*a)*",'00 Encuesta'!$AX$2:$AX$511,"*f)*")</f>
        <v>0</v>
      </c>
      <c r="Q402" s="52">
        <f t="shared" si="669"/>
        <v>0</v>
      </c>
      <c r="R402" s="53">
        <f>COUNTIFS('00 Encuesta'!$B$2:$B$511,"*b)*",'00 Encuesta'!$C$2:$C$511,"*b)*",'00 Encuesta'!$E$2:$E$511,"*b)*",'00 Encuesta'!$AX$2:$AX$511,"*f)*")</f>
        <v>3</v>
      </c>
      <c r="S402" s="52">
        <f t="shared" si="670"/>
        <v>20</v>
      </c>
      <c r="T402" s="3"/>
      <c r="U402" s="51">
        <f t="shared" si="671"/>
        <v>0</v>
      </c>
      <c r="V402" s="52" t="e">
        <f t="shared" si="672"/>
        <v>#DIV/0!</v>
      </c>
      <c r="W402" s="53">
        <f>COUNTIFS('00 Encuesta'!$B$2:$B$511,"*b)*",'00 Encuesta'!$C$2:$C$511,"*d)*",'00 Encuesta'!$E$2:$E$511,"*a)*",'00 Encuesta'!$AX$2:$AX$511,"*f)*")</f>
        <v>0</v>
      </c>
      <c r="X402" s="52" t="e">
        <f t="shared" si="673"/>
        <v>#DIV/0!</v>
      </c>
      <c r="Y402" s="53">
        <f>COUNTIFS('00 Encuesta'!$B$2:$B$511,"*b)*",'00 Encuesta'!$C$2:$C$511,"*d)*",'00 Encuesta'!$E$2:$E$511,"*b)*",'00 Encuesta'!$AX$2:$AX$511,"*f)*")</f>
        <v>0</v>
      </c>
      <c r="Z402" s="52" t="e">
        <f t="shared" si="674"/>
        <v>#DIV/0!</v>
      </c>
      <c r="AA402" s="3"/>
      <c r="AB402" s="62">
        <f t="shared" si="675"/>
        <v>6</v>
      </c>
      <c r="AC402" s="52">
        <f t="shared" si="676"/>
        <v>8.5714285714285712</v>
      </c>
      <c r="AD402" s="3"/>
      <c r="AE402" s="3"/>
      <c r="AF402" s="9" t="str">
        <f t="shared" si="677"/>
        <v>f) Que tenga honradez en la vida</v>
      </c>
      <c r="AG402" s="72">
        <f t="shared" si="678"/>
        <v>14.285714285714285</v>
      </c>
      <c r="AH402" s="72">
        <f t="shared" si="679"/>
        <v>0</v>
      </c>
      <c r="AI402" s="73">
        <f t="shared" si="680"/>
        <v>7.8947368421052628</v>
      </c>
      <c r="AJ402" s="73"/>
      <c r="AK402" s="76">
        <f t="shared" si="681"/>
        <v>0</v>
      </c>
      <c r="AL402" s="76">
        <f t="shared" si="682"/>
        <v>20</v>
      </c>
      <c r="AM402" s="76">
        <f t="shared" si="683"/>
        <v>9.375</v>
      </c>
      <c r="AN402" s="76"/>
      <c r="AO402" s="81" t="e">
        <f t="shared" si="684"/>
        <v>#DIV/0!</v>
      </c>
      <c r="AP402" s="81" t="e">
        <f t="shared" si="685"/>
        <v>#DIV/0!</v>
      </c>
      <c r="AQ402" s="81" t="e">
        <f t="shared" si="686"/>
        <v>#DIV/0!</v>
      </c>
      <c r="AR402" s="3"/>
      <c r="AS402" s="76">
        <f t="shared" si="542"/>
        <v>8.5714285714285712</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0</v>
      </c>
      <c r="H403" s="52">
        <f t="shared" si="664"/>
        <v>0</v>
      </c>
      <c r="I403" s="53">
        <f>COUNTIFS('00 Encuesta'!$B$2:$B$511,"*b)*",'00 Encuesta'!$C$2:$C$511,"*a)*",'00 Encuesta'!$E$2:$E$511,"*a)*",'00 Encuesta'!$AX$2:$AX$511,"*g)*")</f>
        <v>0</v>
      </c>
      <c r="J403" s="52">
        <f t="shared" si="665"/>
        <v>0</v>
      </c>
      <c r="K403" s="53">
        <f>COUNTIFS('00 Encuesta'!$B$2:$B$511,"*b)*",'00 Encuesta'!$C$2:$C$511,"*a)*",'00 Encuesta'!$E$2:$E$511,"*b)*",'00 Encuesta'!$AX$2:$AX$511,"*g)*")</f>
        <v>0</v>
      </c>
      <c r="L403" s="52">
        <f t="shared" si="666"/>
        <v>0</v>
      </c>
      <c r="M403" s="23"/>
      <c r="N403" s="51">
        <f t="shared" si="667"/>
        <v>2</v>
      </c>
      <c r="O403" s="52">
        <f t="shared" si="668"/>
        <v>6.25</v>
      </c>
      <c r="P403" s="53">
        <f>COUNTIFS('00 Encuesta'!$B$2:$B$511,"*b)*",'00 Encuesta'!$C$2:$C$511,"*b)*",'00 Encuesta'!$E$2:$E$511,"*a)*",'00 Encuesta'!$AX$2:$AX$511,"*g)*")</f>
        <v>1</v>
      </c>
      <c r="Q403" s="52">
        <f t="shared" si="669"/>
        <v>5.8823529411764701</v>
      </c>
      <c r="R403" s="53">
        <f>COUNTIFS('00 Encuesta'!$B$2:$B$511,"*b)*",'00 Encuesta'!$C$2:$C$511,"*b)*",'00 Encuesta'!$E$2:$E$511,"*b)*",'00 Encuesta'!$AX$2:$AX$511,"*g)*")</f>
        <v>1</v>
      </c>
      <c r="S403" s="52">
        <f t="shared" si="670"/>
        <v>6.666666666666667</v>
      </c>
      <c r="T403" s="3"/>
      <c r="U403" s="51">
        <f t="shared" si="671"/>
        <v>0</v>
      </c>
      <c r="V403" s="52" t="e">
        <f t="shared" si="672"/>
        <v>#DIV/0!</v>
      </c>
      <c r="W403" s="53">
        <f>COUNTIFS('00 Encuesta'!$B$2:$B$511,"*b)*",'00 Encuesta'!$C$2:$C$511,"*d)*",'00 Encuesta'!$E$2:$E$511,"*a)*",'00 Encuesta'!$AX$2:$AX$511,"*g)*")</f>
        <v>0</v>
      </c>
      <c r="X403" s="52" t="e">
        <f t="shared" si="673"/>
        <v>#DIV/0!</v>
      </c>
      <c r="Y403" s="53">
        <f>COUNTIFS('00 Encuesta'!$B$2:$B$511,"*b)*",'00 Encuesta'!$C$2:$C$511,"*d)*",'00 Encuesta'!$E$2:$E$511,"*b)*",'00 Encuesta'!$AX$2:$AX$511,"*g)*")</f>
        <v>0</v>
      </c>
      <c r="Z403" s="52" t="e">
        <f t="shared" si="674"/>
        <v>#DIV/0!</v>
      </c>
      <c r="AA403" s="3"/>
      <c r="AB403" s="62">
        <f t="shared" si="675"/>
        <v>2</v>
      </c>
      <c r="AC403" s="52">
        <f t="shared" si="676"/>
        <v>2.8571428571428572</v>
      </c>
      <c r="AD403" s="3"/>
      <c r="AE403" s="3"/>
      <c r="AF403" s="9" t="str">
        <f t="shared" si="677"/>
        <v>g) No tienen una preocupaciòn especial</v>
      </c>
      <c r="AG403" s="72">
        <f t="shared" si="678"/>
        <v>0</v>
      </c>
      <c r="AH403" s="72">
        <f t="shared" si="679"/>
        <v>0</v>
      </c>
      <c r="AI403" s="73">
        <f t="shared" si="680"/>
        <v>0</v>
      </c>
      <c r="AJ403" s="73"/>
      <c r="AK403" s="76">
        <f t="shared" si="681"/>
        <v>5.8823529411764701</v>
      </c>
      <c r="AL403" s="76">
        <f t="shared" si="682"/>
        <v>6.666666666666667</v>
      </c>
      <c r="AM403" s="76">
        <f t="shared" si="683"/>
        <v>6.25</v>
      </c>
      <c r="AN403" s="76"/>
      <c r="AO403" s="81" t="e">
        <f t="shared" si="684"/>
        <v>#DIV/0!</v>
      </c>
      <c r="AP403" s="81" t="e">
        <f t="shared" si="685"/>
        <v>#DIV/0!</v>
      </c>
      <c r="AQ403" s="81" t="e">
        <f t="shared" si="686"/>
        <v>#DIV/0!</v>
      </c>
      <c r="AR403" s="3"/>
      <c r="AS403" s="76">
        <f t="shared" si="542"/>
        <v>2.8571428571428572</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1</v>
      </c>
      <c r="H404" s="52">
        <f t="shared" si="664"/>
        <v>2.6315789473684208</v>
      </c>
      <c r="I404" s="53">
        <f>COUNTIFS('00 Encuesta'!$B$2:$B$511,"*b)*",'00 Encuesta'!$C$2:$C$511,"*a)*",'00 Encuesta'!$E$2:$E$511,"*a)*",'00 Encuesta'!$AX$2:$AX$511,"*h)*")</f>
        <v>1</v>
      </c>
      <c r="J404" s="52">
        <f t="shared" si="665"/>
        <v>4.7619047619047619</v>
      </c>
      <c r="K404" s="53">
        <f>COUNTIFS('00 Encuesta'!$B$2:$B$511,"*b)*",'00 Encuesta'!$C$2:$C$511,"*a)*",'00 Encuesta'!$E$2:$E$511,"*b)*",'00 Encuesta'!$AX$2:$AX$511,"*h)*")</f>
        <v>0</v>
      </c>
      <c r="L404" s="52">
        <f t="shared" si="666"/>
        <v>0</v>
      </c>
      <c r="M404" s="23"/>
      <c r="N404" s="51">
        <f t="shared" si="667"/>
        <v>1</v>
      </c>
      <c r="O404" s="52">
        <f t="shared" si="668"/>
        <v>3.125</v>
      </c>
      <c r="P404" s="53">
        <f>COUNTIFS('00 Encuesta'!$B$2:$B$511,"*b)*",'00 Encuesta'!$C$2:$C$511,"*b)*",'00 Encuesta'!$E$2:$E$511,"*a)*",'00 Encuesta'!$AX$2:$AX$511,"*h)*")</f>
        <v>1</v>
      </c>
      <c r="Q404" s="52">
        <f t="shared" si="669"/>
        <v>5.8823529411764701</v>
      </c>
      <c r="R404" s="53">
        <f>COUNTIFS('00 Encuesta'!$B$2:$B$511,"*b)*",'00 Encuesta'!$C$2:$C$511,"*b)*",'00 Encuesta'!$E$2:$E$511,"*b)*",'00 Encuesta'!$AX$2:$AX$511,"*h)*")</f>
        <v>0</v>
      </c>
      <c r="S404" s="52">
        <f t="shared" si="670"/>
        <v>0</v>
      </c>
      <c r="T404" s="3"/>
      <c r="U404" s="51">
        <f t="shared" si="671"/>
        <v>0</v>
      </c>
      <c r="V404" s="52" t="e">
        <f t="shared" si="672"/>
        <v>#DIV/0!</v>
      </c>
      <c r="W404" s="53">
        <f>COUNTIFS('00 Encuesta'!$B$2:$B$511,"*b)*",'00 Encuesta'!$C$2:$C$511,"*d)*",'00 Encuesta'!$E$2:$E$511,"*a)*",'00 Encuesta'!$AX$2:$AX$511,"*h)*")</f>
        <v>0</v>
      </c>
      <c r="X404" s="52" t="e">
        <f t="shared" si="673"/>
        <v>#DIV/0!</v>
      </c>
      <c r="Y404" s="53">
        <f>COUNTIFS('00 Encuesta'!$B$2:$B$511,"*b)*",'00 Encuesta'!$C$2:$C$511,"*d)*",'00 Encuesta'!$E$2:$E$511,"*b)*",'00 Encuesta'!$AX$2:$AX$511,"*h)*")</f>
        <v>0</v>
      </c>
      <c r="Z404" s="52" t="e">
        <f t="shared" si="674"/>
        <v>#DIV/0!</v>
      </c>
      <c r="AA404" s="3"/>
      <c r="AB404" s="62">
        <f t="shared" si="675"/>
        <v>2</v>
      </c>
      <c r="AC404" s="52">
        <f t="shared" si="676"/>
        <v>2.8571428571428572</v>
      </c>
      <c r="AD404" s="3"/>
      <c r="AE404" s="3"/>
      <c r="AF404" s="9" t="str">
        <f t="shared" si="677"/>
        <v>h) No sè</v>
      </c>
      <c r="AG404" s="72">
        <f t="shared" si="678"/>
        <v>4.7619047619047619</v>
      </c>
      <c r="AH404" s="72">
        <f t="shared" si="679"/>
        <v>0</v>
      </c>
      <c r="AI404" s="73">
        <f t="shared" si="680"/>
        <v>2.6315789473684208</v>
      </c>
      <c r="AJ404" s="73"/>
      <c r="AK404" s="76">
        <f t="shared" si="681"/>
        <v>5.8823529411764701</v>
      </c>
      <c r="AL404" s="76">
        <f t="shared" si="682"/>
        <v>0</v>
      </c>
      <c r="AM404" s="76">
        <f t="shared" si="683"/>
        <v>3.125</v>
      </c>
      <c r="AN404" s="76"/>
      <c r="AO404" s="81" t="e">
        <f t="shared" si="684"/>
        <v>#DIV/0!</v>
      </c>
      <c r="AP404" s="81" t="e">
        <f t="shared" si="685"/>
        <v>#DIV/0!</v>
      </c>
      <c r="AQ404" s="81" t="e">
        <f t="shared" si="686"/>
        <v>#DIV/0!</v>
      </c>
      <c r="AR404" s="3"/>
      <c r="AS404" s="76">
        <f t="shared" si="542"/>
        <v>2.8571428571428572</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ht="15.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ht="15.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ht="15.75" x14ac:dyDescent="0.3">
      <c r="A407" s="1" t="s">
        <v>17</v>
      </c>
      <c r="B407" s="2" t="s">
        <v>258</v>
      </c>
      <c r="C407" s="3"/>
      <c r="D407" s="3"/>
      <c r="E407" s="3"/>
      <c r="F407" s="4"/>
      <c r="G407" s="51">
        <f>I407+K407</f>
        <v>3</v>
      </c>
      <c r="H407" s="52">
        <f>G407/$J$5*100</f>
        <v>7.8947368421052628</v>
      </c>
      <c r="I407" s="53">
        <f>COUNTIFS('00 Encuesta'!$B$2:$B$511,"*b)*",'00 Encuesta'!$C$2:$C$511,"*a)*",'00 Encuesta'!$E$2:$E$511,"*a)*",'00 Encuesta'!$AY$2:$AY$511,"*a)*")</f>
        <v>1</v>
      </c>
      <c r="J407" s="52">
        <f>I407/$J$6*100</f>
        <v>4.7619047619047619</v>
      </c>
      <c r="K407" s="53">
        <f>COUNTIFS('00 Encuesta'!$B$2:$B$511,"*b)*",'00 Encuesta'!$C$2:$C$511,"*a)*",'00 Encuesta'!$E$2:$E$511,"*b)*",'00 Encuesta'!$AY$2:$AY$511,"*a)*")</f>
        <v>2</v>
      </c>
      <c r="L407" s="52">
        <f>K407/$J$7*100</f>
        <v>11.76470588235294</v>
      </c>
      <c r="M407" s="23"/>
      <c r="N407" s="51">
        <f>P407+R407</f>
        <v>0</v>
      </c>
      <c r="O407" s="52">
        <f>N407/$Q$5*100</f>
        <v>0</v>
      </c>
      <c r="P407" s="53">
        <f>COUNTIFS('00 Encuesta'!$B$2:$B$511,"*b)*",'00 Encuesta'!$C$2:$C$511,"*b)*",'00 Encuesta'!$E$2:$E$511,"*a)*",'00 Encuesta'!$AY$2:$AY$511,"*a)*")</f>
        <v>0</v>
      </c>
      <c r="Q407" s="52">
        <f>P407/$Q$6*100</f>
        <v>0</v>
      </c>
      <c r="R407" s="53">
        <f>COUNTIFS('00 Encuesta'!$B$2:$B$511,"*b)*",'00 Encuesta'!$C$2:$C$511,"*b)*",'00 Encuesta'!$E$2:$E$511,"*b)*",'00 Encuesta'!$AY$2:$AY$511,"*a)*")</f>
        <v>0</v>
      </c>
      <c r="S407" s="52">
        <f>R407/$Q$7*100</f>
        <v>0</v>
      </c>
      <c r="T407" s="3"/>
      <c r="U407" s="51">
        <f>W407+Y407</f>
        <v>0</v>
      </c>
      <c r="V407" s="52" t="e">
        <f>U407/$X$5*100</f>
        <v>#DIV/0!</v>
      </c>
      <c r="W407" s="53">
        <f>COUNTIFS('00 Encuesta'!$B$2:$B$511,"*b)*",'00 Encuesta'!$C$2:$C$511,"*d)*",'00 Encuesta'!$E$2:$E$511,"*a)*",'00 Encuesta'!$AY$2:$AY$511,"*a)*")</f>
        <v>0</v>
      </c>
      <c r="X407" s="52" t="e">
        <f>W407/$X$6*100</f>
        <v>#DIV/0!</v>
      </c>
      <c r="Y407" s="53">
        <f>COUNTIFS('00 Encuesta'!$B$2:$B$511,"*b)*",'00 Encuesta'!$C$2:$C$511,"*d)*",'00 Encuesta'!$E$2:$E$511,"*b)*",'00 Encuesta'!$AY$2:$AY$511,"*a)*")</f>
        <v>0</v>
      </c>
      <c r="Z407" s="52" t="e">
        <f>Y407/$X$7*100</f>
        <v>#DIV/0!</v>
      </c>
      <c r="AA407" s="3"/>
      <c r="AB407" s="62">
        <f>G407+N407+U407</f>
        <v>3</v>
      </c>
      <c r="AC407" s="52">
        <f>AB407*100/$AC$5</f>
        <v>4.2857142857142856</v>
      </c>
      <c r="AD407" s="3"/>
      <c r="AE407" s="3"/>
      <c r="AF407" s="9" t="str">
        <f t="shared" ref="AF407:AF411" si="687">A407&amp;" "&amp;B407</f>
        <v>a) Innecesaria</v>
      </c>
      <c r="AG407" s="72">
        <f>J407</f>
        <v>4.7619047619047619</v>
      </c>
      <c r="AH407" s="72">
        <f>L407</f>
        <v>11.76470588235294</v>
      </c>
      <c r="AI407" s="73">
        <f>H407</f>
        <v>7.8947368421052628</v>
      </c>
      <c r="AJ407" s="73"/>
      <c r="AK407" s="76">
        <f>Q407</f>
        <v>0</v>
      </c>
      <c r="AL407" s="76">
        <f>S407</f>
        <v>0</v>
      </c>
      <c r="AM407" s="76">
        <f>O407</f>
        <v>0</v>
      </c>
      <c r="AN407" s="76"/>
      <c r="AO407" s="81" t="e">
        <f>X407</f>
        <v>#DIV/0!</v>
      </c>
      <c r="AP407" s="81" t="e">
        <f>Z407</f>
        <v>#DIV/0!</v>
      </c>
      <c r="AQ407" s="81" t="e">
        <f>V407</f>
        <v>#DIV/0!</v>
      </c>
      <c r="AR407" s="3"/>
      <c r="AS407" s="76">
        <f t="shared" si="542"/>
        <v>4.2857142857142856</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ht="15.75" x14ac:dyDescent="0.3">
      <c r="A408" s="1" t="s">
        <v>18</v>
      </c>
      <c r="B408" s="2" t="s">
        <v>259</v>
      </c>
      <c r="C408" s="3"/>
      <c r="D408" s="3"/>
      <c r="E408" s="3"/>
      <c r="F408" s="4"/>
      <c r="G408" s="51">
        <f>I408+K408</f>
        <v>0</v>
      </c>
      <c r="H408" s="52">
        <f>G408/$J$5*100</f>
        <v>0</v>
      </c>
      <c r="I408" s="53">
        <f>COUNTIFS('00 Encuesta'!$B$2:$B$511,"*b)*",'00 Encuesta'!$C$2:$C$511,"*a)*",'00 Encuesta'!$E$2:$E$511,"*a)*",'00 Encuesta'!$AY$2:$AY$511,"*b)*")</f>
        <v>0</v>
      </c>
      <c r="J408" s="52">
        <f>I408/$J$6*100</f>
        <v>0</v>
      </c>
      <c r="K408" s="53">
        <f>COUNTIFS('00 Encuesta'!$B$2:$B$511,"*b)*",'00 Encuesta'!$C$2:$C$511,"*a)*",'00 Encuesta'!$E$2:$E$511,"*b)*",'00 Encuesta'!$AY$2:$AY$511,"*b)*")</f>
        <v>0</v>
      </c>
      <c r="L408" s="52">
        <f>K408/$J$7*100</f>
        <v>0</v>
      </c>
      <c r="M408" s="23"/>
      <c r="N408" s="51">
        <f>P408+R408</f>
        <v>0</v>
      </c>
      <c r="O408" s="52">
        <f>N408/$Q$5*100</f>
        <v>0</v>
      </c>
      <c r="P408" s="53">
        <f>COUNTIFS('00 Encuesta'!$B$2:$B$511,"*b)*",'00 Encuesta'!$C$2:$C$511,"*b)*",'00 Encuesta'!$E$2:$E$511,"*a)*",'00 Encuesta'!$AY$2:$AY$511,"*b)*")</f>
        <v>0</v>
      </c>
      <c r="Q408" s="52">
        <f>P408/$Q$6*100</f>
        <v>0</v>
      </c>
      <c r="R408" s="53">
        <f>COUNTIFS('00 Encuesta'!$B$2:$B$511,"*b)*",'00 Encuesta'!$C$2:$C$511,"*b)*",'00 Encuesta'!$E$2:$E$511,"*b)*",'00 Encuesta'!$AY$2:$AY$511,"*b)*")</f>
        <v>0</v>
      </c>
      <c r="S408" s="52">
        <f>R408/$Q$7*100</f>
        <v>0</v>
      </c>
      <c r="T408" s="3"/>
      <c r="U408" s="51">
        <f>W408+Y408</f>
        <v>0</v>
      </c>
      <c r="V408" s="52" t="e">
        <f>U408/$X$5*100</f>
        <v>#DIV/0!</v>
      </c>
      <c r="W408" s="53">
        <f>COUNTIFS('00 Encuesta'!$B$2:$B$511,"*b)*",'00 Encuesta'!$C$2:$C$511,"*d)*",'00 Encuesta'!$E$2:$E$511,"*a)*",'00 Encuesta'!$AY$2:$AY$511,"*b)*")</f>
        <v>0</v>
      </c>
      <c r="X408" s="52" t="e">
        <f>W408/$X$6*100</f>
        <v>#DIV/0!</v>
      </c>
      <c r="Y408" s="53">
        <f>COUNTIFS('00 Encuesta'!$B$2:$B$511,"*b)*",'00 Encuesta'!$C$2:$C$511,"*d)*",'00 Encuesta'!$E$2:$E$511,"*b)*",'00 Encuesta'!$AY$2:$AY$511,"*b)*")</f>
        <v>0</v>
      </c>
      <c r="Z408" s="52" t="e">
        <f>Y408/$X$7*100</f>
        <v>#DIV/0!</v>
      </c>
      <c r="AA408" s="3"/>
      <c r="AB408" s="62">
        <f>G408+N408+U408</f>
        <v>0</v>
      </c>
      <c r="AC408" s="52">
        <f>AB408*100/$AC$5</f>
        <v>0</v>
      </c>
      <c r="AD408" s="3"/>
      <c r="AE408" s="3"/>
      <c r="AF408" s="9" t="str">
        <f t="shared" si="687"/>
        <v>b) Indiferente</v>
      </c>
      <c r="AG408" s="72">
        <f>J408</f>
        <v>0</v>
      </c>
      <c r="AH408" s="72">
        <f>L408</f>
        <v>0</v>
      </c>
      <c r="AI408" s="73">
        <f>H408</f>
        <v>0</v>
      </c>
      <c r="AJ408" s="73"/>
      <c r="AK408" s="76">
        <f>Q408</f>
        <v>0</v>
      </c>
      <c r="AL408" s="76">
        <f>S408</f>
        <v>0</v>
      </c>
      <c r="AM408" s="76">
        <f>O408</f>
        <v>0</v>
      </c>
      <c r="AN408" s="76"/>
      <c r="AO408" s="81" t="e">
        <f>X408</f>
        <v>#DIV/0!</v>
      </c>
      <c r="AP408" s="81" t="e">
        <f>Z408</f>
        <v>#DIV/0!</v>
      </c>
      <c r="AQ408" s="81" t="e">
        <f>V408</f>
        <v>#DIV/0!</v>
      </c>
      <c r="AR408" s="3"/>
      <c r="AS408" s="76">
        <f t="shared" si="542"/>
        <v>0</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ht="15.75" x14ac:dyDescent="0.3">
      <c r="A409" s="1" t="s">
        <v>20</v>
      </c>
      <c r="B409" s="2" t="s">
        <v>260</v>
      </c>
      <c r="C409" s="3"/>
      <c r="D409" s="3"/>
      <c r="E409" s="3"/>
      <c r="F409" s="4"/>
      <c r="G409" s="51">
        <f>I409+K409</f>
        <v>8</v>
      </c>
      <c r="H409" s="52">
        <f>G409/$J$5*100</f>
        <v>21.052631578947366</v>
      </c>
      <c r="I409" s="53">
        <f>COUNTIFS('00 Encuesta'!$B$2:$B$511,"*b)*",'00 Encuesta'!$C$2:$C$511,"*a)*",'00 Encuesta'!$E$2:$E$511,"*a)*",'00 Encuesta'!$AY$2:$AY$511,"*c)*")</f>
        <v>7</v>
      </c>
      <c r="J409" s="52">
        <f>I409/$J$6*100</f>
        <v>33.333333333333329</v>
      </c>
      <c r="K409" s="53">
        <f>COUNTIFS('00 Encuesta'!$B$2:$B$511,"*b)*",'00 Encuesta'!$C$2:$C$511,"*a)*",'00 Encuesta'!$E$2:$E$511,"*b)*",'00 Encuesta'!$AY$2:$AY$511,"*c)*")</f>
        <v>1</v>
      </c>
      <c r="L409" s="52">
        <f>K409/$J$7*100</f>
        <v>5.8823529411764701</v>
      </c>
      <c r="M409" s="23"/>
      <c r="N409" s="51">
        <f>P409+R409</f>
        <v>5</v>
      </c>
      <c r="O409" s="52">
        <f>N409/$Q$5*100</f>
        <v>15.625</v>
      </c>
      <c r="P409" s="53">
        <f>COUNTIFS('00 Encuesta'!$B$2:$B$511,"*b)*",'00 Encuesta'!$C$2:$C$511,"*b)*",'00 Encuesta'!$E$2:$E$511,"*a)*",'00 Encuesta'!$AY$2:$AY$511,"*c)*")</f>
        <v>2</v>
      </c>
      <c r="Q409" s="52">
        <f>P409/$Q$6*100</f>
        <v>11.76470588235294</v>
      </c>
      <c r="R409" s="53">
        <f>COUNTIFS('00 Encuesta'!$B$2:$B$511,"*b)*",'00 Encuesta'!$C$2:$C$511,"*b)*",'00 Encuesta'!$E$2:$E$511,"*b)*",'00 Encuesta'!$AY$2:$AY$511,"*c)*")</f>
        <v>3</v>
      </c>
      <c r="S409" s="52">
        <f>R409/$Q$7*100</f>
        <v>20</v>
      </c>
      <c r="T409" s="3"/>
      <c r="U409" s="51">
        <f>W409+Y409</f>
        <v>0</v>
      </c>
      <c r="V409" s="52" t="e">
        <f>U409/$X$5*100</f>
        <v>#DIV/0!</v>
      </c>
      <c r="W409" s="53">
        <f>COUNTIFS('00 Encuesta'!$B$2:$B$511,"*b)*",'00 Encuesta'!$C$2:$C$511,"*d)*",'00 Encuesta'!$E$2:$E$511,"*a)*",'00 Encuesta'!$AY$2:$AY$511,"*c)*")</f>
        <v>0</v>
      </c>
      <c r="X409" s="52" t="e">
        <f>W409/$X$6*100</f>
        <v>#DIV/0!</v>
      </c>
      <c r="Y409" s="53">
        <f>COUNTIFS('00 Encuesta'!$B$2:$B$511,"*b)*",'00 Encuesta'!$C$2:$C$511,"*d)*",'00 Encuesta'!$E$2:$E$511,"*b)*",'00 Encuesta'!$AY$2:$AY$511,"*c)*")</f>
        <v>0</v>
      </c>
      <c r="Z409" s="52" t="e">
        <f>Y409/$X$7*100</f>
        <v>#DIV/0!</v>
      </c>
      <c r="AA409" s="3"/>
      <c r="AB409" s="62">
        <f>G409+N409+U409</f>
        <v>13</v>
      </c>
      <c r="AC409" s="52">
        <f>AB409*100/$AC$5</f>
        <v>18.571428571428573</v>
      </c>
      <c r="AD409" s="3"/>
      <c r="AE409" s="3"/>
      <c r="AF409" s="9" t="str">
        <f t="shared" si="687"/>
        <v>c) Conveniente</v>
      </c>
      <c r="AG409" s="72">
        <f>J409</f>
        <v>33.333333333333329</v>
      </c>
      <c r="AH409" s="72">
        <f>L409</f>
        <v>5.8823529411764701</v>
      </c>
      <c r="AI409" s="73">
        <f>H409</f>
        <v>21.052631578947366</v>
      </c>
      <c r="AJ409" s="73"/>
      <c r="AK409" s="76">
        <f>Q409</f>
        <v>11.76470588235294</v>
      </c>
      <c r="AL409" s="76">
        <f>S409</f>
        <v>20</v>
      </c>
      <c r="AM409" s="76">
        <f>O409</f>
        <v>15.625</v>
      </c>
      <c r="AN409" s="76"/>
      <c r="AO409" s="81" t="e">
        <f>X409</f>
        <v>#DIV/0!</v>
      </c>
      <c r="AP409" s="81" t="e">
        <f>Z409</f>
        <v>#DIV/0!</v>
      </c>
      <c r="AQ409" s="81" t="e">
        <f>V409</f>
        <v>#DIV/0!</v>
      </c>
      <c r="AR409" s="3"/>
      <c r="AS409" s="76">
        <f t="shared" ref="AS409:AS452" si="688">AC409</f>
        <v>18.571428571428573</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ht="15.75" x14ac:dyDescent="0.3">
      <c r="A410" s="1" t="s">
        <v>21</v>
      </c>
      <c r="B410" s="2" t="s">
        <v>261</v>
      </c>
      <c r="C410" s="3"/>
      <c r="D410" s="3"/>
      <c r="E410" s="3"/>
      <c r="F410" s="4"/>
      <c r="G410" s="51">
        <f>I410+K410</f>
        <v>10</v>
      </c>
      <c r="H410" s="52">
        <f>G410/$J$5*100</f>
        <v>26.315789473684209</v>
      </c>
      <c r="I410" s="53">
        <f>COUNTIFS('00 Encuesta'!$B$2:$B$511,"*b)*",'00 Encuesta'!$C$2:$C$511,"*a)*",'00 Encuesta'!$E$2:$E$511,"*a)*",'00 Encuesta'!$AY$2:$AY$511,"*d)*")</f>
        <v>4</v>
      </c>
      <c r="J410" s="52">
        <f>I410/$J$6*100</f>
        <v>19.047619047619047</v>
      </c>
      <c r="K410" s="53">
        <f>COUNTIFS('00 Encuesta'!$B$2:$B$511,"*b)*",'00 Encuesta'!$C$2:$C$511,"*a)*",'00 Encuesta'!$E$2:$E$511,"*b)*",'00 Encuesta'!$AY$2:$AY$511,"*d)*")</f>
        <v>6</v>
      </c>
      <c r="L410" s="52">
        <f>K410/$J$7*100</f>
        <v>35.294117647058826</v>
      </c>
      <c r="M410" s="23"/>
      <c r="N410" s="51">
        <f>P410+R410</f>
        <v>8</v>
      </c>
      <c r="O410" s="52">
        <f>N410/$Q$5*100</f>
        <v>25</v>
      </c>
      <c r="P410" s="53">
        <f>COUNTIFS('00 Encuesta'!$B$2:$B$511,"*b)*",'00 Encuesta'!$C$2:$C$511,"*b)*",'00 Encuesta'!$E$2:$E$511,"*a)*",'00 Encuesta'!$AY$2:$AY$511,"*d)*")</f>
        <v>3</v>
      </c>
      <c r="Q410" s="52">
        <f>P410/$Q$6*100</f>
        <v>17.647058823529413</v>
      </c>
      <c r="R410" s="53">
        <f>COUNTIFS('00 Encuesta'!$B$2:$B$511,"*b)*",'00 Encuesta'!$C$2:$C$511,"*b)*",'00 Encuesta'!$E$2:$E$511,"*b)*",'00 Encuesta'!$AY$2:$AY$511,"*d)*")</f>
        <v>5</v>
      </c>
      <c r="S410" s="52">
        <f>R410/$Q$7*100</f>
        <v>33.333333333333329</v>
      </c>
      <c r="T410" s="3"/>
      <c r="U410" s="51">
        <f>W410+Y410</f>
        <v>0</v>
      </c>
      <c r="V410" s="52" t="e">
        <f>U410/$X$5*100</f>
        <v>#DIV/0!</v>
      </c>
      <c r="W410" s="53">
        <f>COUNTIFS('00 Encuesta'!$B$2:$B$511,"*b)*",'00 Encuesta'!$C$2:$C$511,"*d)*",'00 Encuesta'!$E$2:$E$511,"*a)*",'00 Encuesta'!$AY$2:$AY$511,"*d)*")</f>
        <v>0</v>
      </c>
      <c r="X410" s="52" t="e">
        <f>W410/$X$6*100</f>
        <v>#DIV/0!</v>
      </c>
      <c r="Y410" s="53">
        <f>COUNTIFS('00 Encuesta'!$B$2:$B$511,"*b)*",'00 Encuesta'!$C$2:$C$511,"*d)*",'00 Encuesta'!$E$2:$E$511,"*b)*",'00 Encuesta'!$AY$2:$AY$511,"*d)*")</f>
        <v>0</v>
      </c>
      <c r="Z410" s="52" t="e">
        <f>Y410/$X$7*100</f>
        <v>#DIV/0!</v>
      </c>
      <c r="AA410" s="3"/>
      <c r="AB410" s="62">
        <f>G410+N410+U410</f>
        <v>18</v>
      </c>
      <c r="AC410" s="52">
        <f>AB410*100/$AC$5</f>
        <v>25.714285714285715</v>
      </c>
      <c r="AD410" s="3"/>
      <c r="AE410" s="3"/>
      <c r="AF410" s="9" t="str">
        <f t="shared" si="687"/>
        <v>d) Bastante necesaria</v>
      </c>
      <c r="AG410" s="72">
        <f>J410</f>
        <v>19.047619047619047</v>
      </c>
      <c r="AH410" s="72">
        <f>L410</f>
        <v>35.294117647058826</v>
      </c>
      <c r="AI410" s="73">
        <f>H410</f>
        <v>26.315789473684209</v>
      </c>
      <c r="AJ410" s="73"/>
      <c r="AK410" s="76">
        <f>Q410</f>
        <v>17.647058823529413</v>
      </c>
      <c r="AL410" s="76">
        <f>S410</f>
        <v>33.333333333333329</v>
      </c>
      <c r="AM410" s="76">
        <f>O410</f>
        <v>25</v>
      </c>
      <c r="AN410" s="76"/>
      <c r="AO410" s="81" t="e">
        <f>X410</f>
        <v>#DIV/0!</v>
      </c>
      <c r="AP410" s="81" t="e">
        <f>Z410</f>
        <v>#DIV/0!</v>
      </c>
      <c r="AQ410" s="81" t="e">
        <f>V410</f>
        <v>#DIV/0!</v>
      </c>
      <c r="AR410" s="3"/>
      <c r="AS410" s="76">
        <f t="shared" si="688"/>
        <v>25.714285714285715</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ht="15.75" x14ac:dyDescent="0.3">
      <c r="A411" s="1" t="s">
        <v>22</v>
      </c>
      <c r="B411" s="2" t="s">
        <v>262</v>
      </c>
      <c r="C411" s="3"/>
      <c r="D411" s="3"/>
      <c r="E411" s="3"/>
      <c r="F411" s="4"/>
      <c r="G411" s="51">
        <f>I411+K411</f>
        <v>14</v>
      </c>
      <c r="H411" s="52">
        <f>G411/$J$5*100</f>
        <v>36.84210526315789</v>
      </c>
      <c r="I411" s="53">
        <f>COUNTIFS('00 Encuesta'!$B$2:$B$511,"*b)*",'00 Encuesta'!$C$2:$C$511,"*a)*",'00 Encuesta'!$E$2:$E$511,"*a)*",'00 Encuesta'!$AY$2:$AY$511,"*e)*")</f>
        <v>8</v>
      </c>
      <c r="J411" s="52">
        <f>I411/$J$6*100</f>
        <v>38.095238095238095</v>
      </c>
      <c r="K411" s="53">
        <f>COUNTIFS('00 Encuesta'!$B$2:$B$511,"*b)*",'00 Encuesta'!$C$2:$C$511,"*a)*",'00 Encuesta'!$E$2:$E$511,"*b)*",'00 Encuesta'!$AY$2:$AY$511,"*e)*")</f>
        <v>6</v>
      </c>
      <c r="L411" s="52">
        <f>K411/$J$7*100</f>
        <v>35.294117647058826</v>
      </c>
      <c r="M411" s="23"/>
      <c r="N411" s="51">
        <f>P411+R411</f>
        <v>15</v>
      </c>
      <c r="O411" s="52">
        <f>N411/$Q$5*100</f>
        <v>46.875</v>
      </c>
      <c r="P411" s="53">
        <f>COUNTIFS('00 Encuesta'!$B$2:$B$511,"*b)*",'00 Encuesta'!$C$2:$C$511,"*b)*",'00 Encuesta'!$E$2:$E$511,"*a)*",'00 Encuesta'!$AY$2:$AY$511,"*e)*")</f>
        <v>8</v>
      </c>
      <c r="Q411" s="52">
        <f>P411/$Q$6*100</f>
        <v>47.058823529411761</v>
      </c>
      <c r="R411" s="53">
        <f>COUNTIFS('00 Encuesta'!$B$2:$B$511,"*b)*",'00 Encuesta'!$C$2:$C$511,"*b)*",'00 Encuesta'!$E$2:$E$511,"*b)*",'00 Encuesta'!$AY$2:$AY$511,"*e)*")</f>
        <v>7</v>
      </c>
      <c r="S411" s="52">
        <f>R411/$Q$7*100</f>
        <v>46.666666666666664</v>
      </c>
      <c r="T411" s="3"/>
      <c r="U411" s="51">
        <f>W411+Y411</f>
        <v>0</v>
      </c>
      <c r="V411" s="52" t="e">
        <f>U411/$X$5*100</f>
        <v>#DIV/0!</v>
      </c>
      <c r="W411" s="53">
        <f>COUNTIFS('00 Encuesta'!$B$2:$B$511,"*b)*",'00 Encuesta'!$C$2:$C$511,"*d)*",'00 Encuesta'!$E$2:$E$511,"*a)*",'00 Encuesta'!$AY$2:$AY$511,"*e)*")</f>
        <v>0</v>
      </c>
      <c r="X411" s="52" t="e">
        <f>W411/$X$6*100</f>
        <v>#DIV/0!</v>
      </c>
      <c r="Y411" s="53">
        <f>COUNTIFS('00 Encuesta'!$B$2:$B$511,"*b)*",'00 Encuesta'!$C$2:$C$511,"*d)*",'00 Encuesta'!$E$2:$E$511,"*b)*",'00 Encuesta'!$AY$2:$AY$511,"*e)*")</f>
        <v>0</v>
      </c>
      <c r="Z411" s="52" t="e">
        <f>Y411/$X$7*100</f>
        <v>#DIV/0!</v>
      </c>
      <c r="AA411" s="3"/>
      <c r="AB411" s="62">
        <f>G411+N411+U411</f>
        <v>29</v>
      </c>
      <c r="AC411" s="52">
        <f>AB411*100/$AC$5</f>
        <v>41.428571428571431</v>
      </c>
      <c r="AD411" s="3"/>
      <c r="AE411" s="3"/>
      <c r="AF411" s="9" t="str">
        <f t="shared" si="687"/>
        <v>e) Absolutamente necesaria</v>
      </c>
      <c r="AG411" s="72">
        <f>J411</f>
        <v>38.095238095238095</v>
      </c>
      <c r="AH411" s="72">
        <f>L411</f>
        <v>35.294117647058826</v>
      </c>
      <c r="AI411" s="73">
        <f>H411</f>
        <v>36.84210526315789</v>
      </c>
      <c r="AJ411" s="73"/>
      <c r="AK411" s="76">
        <f>Q411</f>
        <v>47.058823529411761</v>
      </c>
      <c r="AL411" s="76">
        <f>S411</f>
        <v>46.666666666666664</v>
      </c>
      <c r="AM411" s="76">
        <f>O411</f>
        <v>46.875</v>
      </c>
      <c r="AN411" s="76"/>
      <c r="AO411" s="81" t="e">
        <f>X411</f>
        <v>#DIV/0!</v>
      </c>
      <c r="AP411" s="81" t="e">
        <f>Z411</f>
        <v>#DIV/0!</v>
      </c>
      <c r="AQ411" s="81" t="e">
        <f>V411</f>
        <v>#DIV/0!</v>
      </c>
      <c r="AR411" s="3"/>
      <c r="AS411" s="76">
        <f t="shared" si="688"/>
        <v>41.428571428571431</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ht="15.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ht="15.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ht="15.75" x14ac:dyDescent="0.3">
      <c r="A414" s="84" t="s">
        <v>17</v>
      </c>
      <c r="B414" s="2" t="s">
        <v>264</v>
      </c>
      <c r="C414" s="3"/>
      <c r="D414" s="3"/>
      <c r="E414" s="3"/>
      <c r="F414" s="4"/>
      <c r="G414" s="51">
        <f>I414+K414</f>
        <v>25</v>
      </c>
      <c r="H414" s="52">
        <f>G414/$J$5*100</f>
        <v>65.789473684210535</v>
      </c>
      <c r="I414" s="53">
        <f>COUNTIFS('00 Encuesta'!$B$2:$B$511,"*b)*",'00 Encuesta'!$C$2:$C$511,"*a)*",'00 Encuesta'!$E$2:$E$511,"*a)*",'00 Encuesta'!$AZ$2:$AZ$511,"*a)*")</f>
        <v>15</v>
      </c>
      <c r="J414" s="52">
        <f>I414/$J$6*100</f>
        <v>71.428571428571431</v>
      </c>
      <c r="K414" s="53">
        <f>COUNTIFS('00 Encuesta'!$B$2:$B$511,"*b)*",'00 Encuesta'!$C$2:$C$511,"*a)*",'00 Encuesta'!$E$2:$E$511,"*b)*",'00 Encuesta'!$AZ$2:$AZ$511,"*a)*")</f>
        <v>10</v>
      </c>
      <c r="L414" s="52">
        <f>K414/$J$7*100</f>
        <v>58.82352941176471</v>
      </c>
      <c r="M414" s="23"/>
      <c r="N414" s="51">
        <f>P414+R414</f>
        <v>12</v>
      </c>
      <c r="O414" s="52">
        <f>N414/$Q$5*100</f>
        <v>37.5</v>
      </c>
      <c r="P414" s="53">
        <f>COUNTIFS('00 Encuesta'!$B$2:$B$511,"*b)*",'00 Encuesta'!$C$2:$C$511,"*b)*",'00 Encuesta'!$E$2:$E$511,"*a)*",'00 Encuesta'!$AZ$2:$AZ$511,"*a)*")</f>
        <v>6</v>
      </c>
      <c r="Q414" s="52">
        <f>P414/$Q$6*100</f>
        <v>35.294117647058826</v>
      </c>
      <c r="R414" s="53">
        <f>COUNTIFS('00 Encuesta'!$B$2:$B$511,"*b)*",'00 Encuesta'!$C$2:$C$511,"*b)*",'00 Encuesta'!$E$2:$E$511,"*b)*",'00 Encuesta'!$AZ$2:$AZ$511,"*a)*")</f>
        <v>6</v>
      </c>
      <c r="S414" s="52">
        <f>R414/$Q$7*100</f>
        <v>40</v>
      </c>
      <c r="T414" s="3"/>
      <c r="U414" s="51">
        <f>W414+Y414</f>
        <v>0</v>
      </c>
      <c r="V414" s="52" t="e">
        <f>U414/$X$5*100</f>
        <v>#DIV/0!</v>
      </c>
      <c r="W414" s="53">
        <f>COUNTIFS('00 Encuesta'!$B$2:$B$511,"*b)*",'00 Encuesta'!$C$2:$C$511,"*d)*",'00 Encuesta'!$E$2:$E$511,"*a)*",'00 Encuesta'!$AZ$2:$AZ$511,"*a)*")</f>
        <v>0</v>
      </c>
      <c r="X414" s="52" t="e">
        <f>W414/$X$6*100</f>
        <v>#DIV/0!</v>
      </c>
      <c r="Y414" s="53">
        <f>COUNTIFS('00 Encuesta'!$B$2:$B$511,"*b)*",'00 Encuesta'!$C$2:$C$511,"*d)*",'00 Encuesta'!$E$2:$E$511,"*b)*",'00 Encuesta'!$AZ$2:$AZ$511,"*a)*")</f>
        <v>0</v>
      </c>
      <c r="Z414" s="52" t="e">
        <f>Y414/$X$7*100</f>
        <v>#DIV/0!</v>
      </c>
      <c r="AA414" s="3"/>
      <c r="AB414" s="62">
        <f>G414+N414+U414</f>
        <v>37</v>
      </c>
      <c r="AC414" s="52">
        <f>AB414*100/$AC$5</f>
        <v>52.857142857142854</v>
      </c>
      <c r="AD414" s="3"/>
      <c r="AE414" s="3"/>
      <c r="AF414" s="9" t="str">
        <f>A414&amp;" "&amp;B414</f>
        <v>a) No acostumbro a tomarlo nunca</v>
      </c>
      <c r="AG414" s="72">
        <f>J414</f>
        <v>71.428571428571431</v>
      </c>
      <c r="AH414" s="72">
        <f>L414</f>
        <v>58.82352941176471</v>
      </c>
      <c r="AI414" s="73">
        <f>H414</f>
        <v>65.789473684210535</v>
      </c>
      <c r="AJ414" s="73"/>
      <c r="AK414" s="76">
        <f>Q414</f>
        <v>35.294117647058826</v>
      </c>
      <c r="AL414" s="76">
        <f>S414</f>
        <v>40</v>
      </c>
      <c r="AM414" s="76">
        <f>O414</f>
        <v>37.5</v>
      </c>
      <c r="AN414" s="76"/>
      <c r="AO414" s="81" t="e">
        <f>X414</f>
        <v>#DIV/0!</v>
      </c>
      <c r="AP414" s="81" t="e">
        <f>Z414</f>
        <v>#DIV/0!</v>
      </c>
      <c r="AQ414" s="81" t="e">
        <f>V414</f>
        <v>#DIV/0!</v>
      </c>
      <c r="AR414" s="3"/>
      <c r="AS414" s="76">
        <f t="shared" si="688"/>
        <v>52.857142857142854</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4</v>
      </c>
      <c r="H415" s="52">
        <f>G415/$J$5*100</f>
        <v>10.526315789473683</v>
      </c>
      <c r="I415" s="53">
        <f>COUNTIFS('00 Encuesta'!$B$2:$B$511,"*b)*",'00 Encuesta'!$C$2:$C$511,"*a)*",'00 Encuesta'!$E$2:$E$511,"*a)*",'00 Encuesta'!$AZ$2:$AZ$511,"*b)*")</f>
        <v>0</v>
      </c>
      <c r="J415" s="52">
        <f>I415/$J$6*100</f>
        <v>0</v>
      </c>
      <c r="K415" s="53">
        <f>COUNTIFS('00 Encuesta'!$B$2:$B$511,"*b)*",'00 Encuesta'!$C$2:$C$511,"*a)*",'00 Encuesta'!$E$2:$E$511,"*b)*",'00 Encuesta'!$AZ$2:$AZ$511,"*b)*")</f>
        <v>4</v>
      </c>
      <c r="L415" s="52">
        <f>K415/$J$7*100</f>
        <v>23.52941176470588</v>
      </c>
      <c r="M415" s="23"/>
      <c r="N415" s="51">
        <f>P415+R415</f>
        <v>12</v>
      </c>
      <c r="O415" s="52">
        <f>N415/$Q$5*100</f>
        <v>37.5</v>
      </c>
      <c r="P415" s="53">
        <f>COUNTIFS('00 Encuesta'!$B$2:$B$511,"*b)*",'00 Encuesta'!$C$2:$C$511,"*b)*",'00 Encuesta'!$E$2:$E$511,"*a)*",'00 Encuesta'!$AZ$2:$AZ$511,"*b)*")</f>
        <v>4</v>
      </c>
      <c r="Q415" s="52">
        <f>P415/$Q$6*100</f>
        <v>23.52941176470588</v>
      </c>
      <c r="R415" s="53">
        <f>COUNTIFS('00 Encuesta'!$B$2:$B$511,"*b)*",'00 Encuesta'!$C$2:$C$511,"*b)*",'00 Encuesta'!$E$2:$E$511,"*b)*",'00 Encuesta'!$AZ$2:$AZ$511,"*b)*")</f>
        <v>8</v>
      </c>
      <c r="S415" s="52">
        <f>R415/$Q$7*100</f>
        <v>53.333333333333336</v>
      </c>
      <c r="T415" s="3"/>
      <c r="U415" s="51">
        <f>W415+Y415</f>
        <v>0</v>
      </c>
      <c r="V415" s="52" t="e">
        <f>U415/$X$5*100</f>
        <v>#DIV/0!</v>
      </c>
      <c r="W415" s="53">
        <f>COUNTIFS('00 Encuesta'!$B$2:$B$511,"*b)*",'00 Encuesta'!$C$2:$C$511,"*d)*",'00 Encuesta'!$E$2:$E$511,"*a)*",'00 Encuesta'!$AZ$2:$AZ$511,"*b)*")</f>
        <v>0</v>
      </c>
      <c r="X415" s="52" t="e">
        <f>W415/$X$6*100</f>
        <v>#DIV/0!</v>
      </c>
      <c r="Y415" s="53">
        <f>COUNTIFS('00 Encuesta'!$B$2:$B$511,"*b)*",'00 Encuesta'!$C$2:$C$511,"*d)*",'00 Encuesta'!$E$2:$E$511,"*b)*",'00 Encuesta'!$AZ$2:$AZ$511,"*b)*")</f>
        <v>0</v>
      </c>
      <c r="Z415" s="52" t="e">
        <f>Y415/$X$7*100</f>
        <v>#DIV/0!</v>
      </c>
      <c r="AA415" s="3"/>
      <c r="AB415" s="62">
        <f>G415+N415+U415</f>
        <v>16</v>
      </c>
      <c r="AC415" s="52">
        <f>AB415*100/$AC$5</f>
        <v>22.857142857142858</v>
      </c>
      <c r="AD415" s="3"/>
      <c r="AE415" s="3"/>
      <c r="AF415" s="9" t="str">
        <f>A415&amp;" "&amp;B415</f>
        <v>b) Las veces que bebo, es con moderaciòn</v>
      </c>
      <c r="AG415" s="72">
        <f>J415</f>
        <v>0</v>
      </c>
      <c r="AH415" s="72">
        <f>L415</f>
        <v>23.52941176470588</v>
      </c>
      <c r="AI415" s="73">
        <f>H415</f>
        <v>10.526315789473683</v>
      </c>
      <c r="AJ415" s="73"/>
      <c r="AK415" s="76">
        <f>Q415</f>
        <v>23.52941176470588</v>
      </c>
      <c r="AL415" s="76">
        <f>S415</f>
        <v>53.333333333333336</v>
      </c>
      <c r="AM415" s="76">
        <f>O415</f>
        <v>37.5</v>
      </c>
      <c r="AN415" s="76"/>
      <c r="AO415" s="81" t="e">
        <f>X415</f>
        <v>#DIV/0!</v>
      </c>
      <c r="AP415" s="81" t="e">
        <f>Z415</f>
        <v>#DIV/0!</v>
      </c>
      <c r="AQ415" s="81" t="e">
        <f>V415</f>
        <v>#DIV/0!</v>
      </c>
      <c r="AR415" s="3"/>
      <c r="AS415" s="76">
        <f t="shared" si="688"/>
        <v>22.857142857142858</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5</v>
      </c>
      <c r="H416" s="52">
        <f>G416/$J$5*100</f>
        <v>13.157894736842104</v>
      </c>
      <c r="I416" s="53">
        <f>COUNTIFS('00 Encuesta'!$B$2:$B$511,"*b)*",'00 Encuesta'!$C$2:$C$511,"*a)*",'00 Encuesta'!$E$2:$E$511,"*a)*",'00 Encuesta'!$AZ$2:$AZ$511,"*c)*")</f>
        <v>4</v>
      </c>
      <c r="J416" s="52">
        <f>I416/$J$6*100</f>
        <v>19.047619047619047</v>
      </c>
      <c r="K416" s="53">
        <f>COUNTIFS('00 Encuesta'!$B$2:$B$511,"*b)*",'00 Encuesta'!$C$2:$C$511,"*a)*",'00 Encuesta'!$E$2:$E$511,"*b)*",'00 Encuesta'!$AZ$2:$AZ$511,"*c)*")</f>
        <v>1</v>
      </c>
      <c r="L416" s="52">
        <f>K416/$J$7*100</f>
        <v>5.8823529411764701</v>
      </c>
      <c r="M416" s="23"/>
      <c r="N416" s="51">
        <f>P416+R416</f>
        <v>4</v>
      </c>
      <c r="O416" s="52">
        <f>N416/$Q$5*100</f>
        <v>12.5</v>
      </c>
      <c r="P416" s="53">
        <f>COUNTIFS('00 Encuesta'!$B$2:$B$511,"*b)*",'00 Encuesta'!$C$2:$C$511,"*b)*",'00 Encuesta'!$E$2:$E$511,"*a)*",'00 Encuesta'!$AZ$2:$AZ$511,"*c)*")</f>
        <v>3</v>
      </c>
      <c r="Q416" s="52">
        <f>P416/$Q$6*100</f>
        <v>17.647058823529413</v>
      </c>
      <c r="R416" s="53">
        <f>COUNTIFS('00 Encuesta'!$B$2:$B$511,"*b)*",'00 Encuesta'!$C$2:$C$511,"*b)*",'00 Encuesta'!$E$2:$E$511,"*b)*",'00 Encuesta'!$AZ$2:$AZ$511,"*c)*")</f>
        <v>1</v>
      </c>
      <c r="S416" s="52">
        <f>R416/$Q$7*100</f>
        <v>6.666666666666667</v>
      </c>
      <c r="T416" s="3"/>
      <c r="U416" s="51">
        <f>W416+Y416</f>
        <v>0</v>
      </c>
      <c r="V416" s="52" t="e">
        <f>U416/$X$5*100</f>
        <v>#DIV/0!</v>
      </c>
      <c r="W416" s="53">
        <f>COUNTIFS('00 Encuesta'!$B$2:$B$511,"*b)*",'00 Encuesta'!$C$2:$C$511,"*d)*",'00 Encuesta'!$E$2:$E$511,"*a)*",'00 Encuesta'!$AZ$2:$AZ$511,"*c)*")</f>
        <v>0</v>
      </c>
      <c r="X416" s="52" t="e">
        <f>W416/$X$6*100</f>
        <v>#DIV/0!</v>
      </c>
      <c r="Y416" s="53">
        <f>COUNTIFS('00 Encuesta'!$B$2:$B$511,"*b)*",'00 Encuesta'!$C$2:$C$511,"*d)*",'00 Encuesta'!$E$2:$E$511,"*b)*",'00 Encuesta'!$AZ$2:$AZ$511,"*c)*")</f>
        <v>0</v>
      </c>
      <c r="Z416" s="52" t="e">
        <f>Y416/$X$7*100</f>
        <v>#DIV/0!</v>
      </c>
      <c r="AA416" s="3"/>
      <c r="AB416" s="62">
        <f>G416+N416+U416</f>
        <v>9</v>
      </c>
      <c r="AC416" s="52">
        <f>AB416*100/$AC$5</f>
        <v>12.857142857142858</v>
      </c>
      <c r="AD416" s="3"/>
      <c r="AE416" s="3"/>
      <c r="AF416" s="9" t="str">
        <f>A416&amp;" "&amp;B416</f>
        <v>c) Alguna vez he bebido màs de la cuenta</v>
      </c>
      <c r="AG416" s="72">
        <f>J416</f>
        <v>19.047619047619047</v>
      </c>
      <c r="AH416" s="72">
        <f>L416</f>
        <v>5.8823529411764701</v>
      </c>
      <c r="AI416" s="73">
        <f>H416</f>
        <v>13.157894736842104</v>
      </c>
      <c r="AJ416" s="73"/>
      <c r="AK416" s="76">
        <f>Q416</f>
        <v>17.647058823529413</v>
      </c>
      <c r="AL416" s="76">
        <f>S416</f>
        <v>6.666666666666667</v>
      </c>
      <c r="AM416" s="76">
        <f>O416</f>
        <v>12.5</v>
      </c>
      <c r="AN416" s="76"/>
      <c r="AO416" s="81" t="e">
        <f>X416</f>
        <v>#DIV/0!</v>
      </c>
      <c r="AP416" s="81" t="e">
        <f>Z416</f>
        <v>#DIV/0!</v>
      </c>
      <c r="AQ416" s="81" t="e">
        <f>V416</f>
        <v>#DIV/0!</v>
      </c>
      <c r="AR416" s="3"/>
      <c r="AS416" s="76">
        <f t="shared" si="688"/>
        <v>12.857142857142858</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2</v>
      </c>
      <c r="H417" s="52">
        <f>G417/$J$5*100</f>
        <v>5.2631578947368416</v>
      </c>
      <c r="I417" s="53">
        <f>COUNTIFS('00 Encuesta'!$B$2:$B$511,"*b)*",'00 Encuesta'!$C$2:$C$511,"*a)*",'00 Encuesta'!$E$2:$E$511,"*a)*",'00 Encuesta'!$AZ$2:$AZ$511,"*d)*")</f>
        <v>1</v>
      </c>
      <c r="J417" s="52">
        <f>I417/$J$6*100</f>
        <v>4.7619047619047619</v>
      </c>
      <c r="K417" s="53">
        <f>COUNTIFS('00 Encuesta'!$B$2:$B$511,"*b)*",'00 Encuesta'!$C$2:$C$511,"*a)*",'00 Encuesta'!$E$2:$E$511,"*b)*",'00 Encuesta'!$AZ$2:$AZ$511,"*d)*")</f>
        <v>1</v>
      </c>
      <c r="L417" s="52">
        <f>K417/$J$7*100</f>
        <v>5.8823529411764701</v>
      </c>
      <c r="M417" s="23"/>
      <c r="N417" s="51">
        <f>P417+R417</f>
        <v>0</v>
      </c>
      <c r="O417" s="52">
        <f>N417/$Q$5*100</f>
        <v>0</v>
      </c>
      <c r="P417" s="53">
        <f>COUNTIFS('00 Encuesta'!$B$2:$B$511,"*b)*",'00 Encuesta'!$C$2:$C$511,"*b)*",'00 Encuesta'!$E$2:$E$511,"*a)*",'00 Encuesta'!$AZ$2:$AZ$511,"*d)*")</f>
        <v>0</v>
      </c>
      <c r="Q417" s="52">
        <f>P417/$Q$6*100</f>
        <v>0</v>
      </c>
      <c r="R417" s="53">
        <f>COUNTIFS('00 Encuesta'!$B$2:$B$511,"*b)*",'00 Encuesta'!$C$2:$C$511,"*b)*",'00 Encuesta'!$E$2:$E$511,"*b)*",'00 Encuesta'!$AZ$2:$AZ$511,"*d)*")</f>
        <v>0</v>
      </c>
      <c r="S417" s="52">
        <f>R417/$Q$7*100</f>
        <v>0</v>
      </c>
      <c r="T417" s="3"/>
      <c r="U417" s="51">
        <f>W417+Y417</f>
        <v>0</v>
      </c>
      <c r="V417" s="52" t="e">
        <f>U417/$X$5*100</f>
        <v>#DIV/0!</v>
      </c>
      <c r="W417" s="53">
        <f>COUNTIFS('00 Encuesta'!$B$2:$B$511,"*b)*",'00 Encuesta'!$C$2:$C$511,"*d)*",'00 Encuesta'!$E$2:$E$511,"*a)*",'00 Encuesta'!$AZ$2:$AZ$511,"*d)*")</f>
        <v>0</v>
      </c>
      <c r="X417" s="52" t="e">
        <f>W417/$X$6*100</f>
        <v>#DIV/0!</v>
      </c>
      <c r="Y417" s="53">
        <f>COUNTIFS('00 Encuesta'!$B$2:$B$511,"*b)*",'00 Encuesta'!$C$2:$C$511,"*d)*",'00 Encuesta'!$E$2:$E$511,"*b)*",'00 Encuesta'!$AZ$2:$AZ$511,"*d)*")</f>
        <v>0</v>
      </c>
      <c r="Z417" s="52" t="e">
        <f>Y417/$X$7*100</f>
        <v>#DIV/0!</v>
      </c>
      <c r="AA417" s="3"/>
      <c r="AB417" s="62">
        <f>G417+N417+U417</f>
        <v>2</v>
      </c>
      <c r="AC417" s="52">
        <f>AB417*100/$AC$5</f>
        <v>2.8571428571428572</v>
      </c>
      <c r="AD417" s="3"/>
      <c r="AE417" s="3"/>
      <c r="AF417" s="9" t="str">
        <f>A417&amp;" "&amp;B417</f>
        <v>d) Con frecuencia (fines de semana u otros momentos) suelo beber màs de la cuenta.</v>
      </c>
      <c r="AG417" s="72">
        <f>J417</f>
        <v>4.7619047619047619</v>
      </c>
      <c r="AH417" s="72">
        <f>L417</f>
        <v>5.8823529411764701</v>
      </c>
      <c r="AI417" s="73">
        <f>H417</f>
        <v>5.2631578947368416</v>
      </c>
      <c r="AJ417" s="73"/>
      <c r="AK417" s="76">
        <f>Q417</f>
        <v>0</v>
      </c>
      <c r="AL417" s="76">
        <f>S417</f>
        <v>0</v>
      </c>
      <c r="AM417" s="76">
        <f>O417</f>
        <v>0</v>
      </c>
      <c r="AN417" s="76"/>
      <c r="AO417" s="81" t="e">
        <f>X417</f>
        <v>#DIV/0!</v>
      </c>
      <c r="AP417" s="81" t="e">
        <f>Z417</f>
        <v>#DIV/0!</v>
      </c>
      <c r="AQ417" s="81" t="e">
        <f>V417</f>
        <v>#DIV/0!</v>
      </c>
      <c r="AR417" s="3"/>
      <c r="AS417" s="76">
        <f t="shared" si="688"/>
        <v>2.8571428571428572</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ht="15.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ht="15.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ht="15.75" x14ac:dyDescent="0.3">
      <c r="A420" s="1" t="s">
        <v>17</v>
      </c>
      <c r="B420" s="2" t="s">
        <v>269</v>
      </c>
      <c r="C420" s="3"/>
      <c r="D420" s="3"/>
      <c r="E420" s="3"/>
      <c r="F420" s="4"/>
      <c r="G420" s="51">
        <f t="shared" ref="G420:G425" si="689">I420+K420</f>
        <v>5</v>
      </c>
      <c r="H420" s="52">
        <f t="shared" ref="H420:H425" si="690">G420/$J$5*100</f>
        <v>13.157894736842104</v>
      </c>
      <c r="I420" s="53">
        <f>COUNTIFS('00 Encuesta'!$B$2:$B$511,"*b)*",'00 Encuesta'!$C$2:$C$511,"*a)*",'00 Encuesta'!$E$2:$E$511,"*a)*",'00 Encuesta'!$BA$2:$BA$511,"*a)*")</f>
        <v>2</v>
      </c>
      <c r="J420" s="52">
        <f t="shared" ref="J420:J425" si="691">I420/$J$6*100</f>
        <v>9.5238095238095237</v>
      </c>
      <c r="K420" s="53">
        <f>COUNTIFS('00 Encuesta'!$B$2:$B$511,"*b)*",'00 Encuesta'!$C$2:$C$511,"*a)*",'00 Encuesta'!$E$2:$E$511,"*b)*",'00 Encuesta'!$BA$2:$BA$511,"*a)*")</f>
        <v>3</v>
      </c>
      <c r="L420" s="52">
        <f t="shared" ref="L420:L425" si="692">K420/$J$7*100</f>
        <v>17.647058823529413</v>
      </c>
      <c r="M420" s="23"/>
      <c r="N420" s="51">
        <f t="shared" ref="N420:N425" si="693">P420+R420</f>
        <v>3</v>
      </c>
      <c r="O420" s="52">
        <f t="shared" ref="O420:O425" si="694">N420/$Q$5*100</f>
        <v>9.375</v>
      </c>
      <c r="P420" s="53">
        <f>COUNTIFS('00 Encuesta'!$B$2:$B$511,"*b)*",'00 Encuesta'!$C$2:$C$511,"*b)*",'00 Encuesta'!$E$2:$E$511,"*a)*",'00 Encuesta'!$BA$2:$BA$511,"*a)*")</f>
        <v>2</v>
      </c>
      <c r="Q420" s="52">
        <f t="shared" ref="Q420:Q425" si="695">P420/$Q$6*100</f>
        <v>11.76470588235294</v>
      </c>
      <c r="R420" s="53">
        <f>COUNTIFS('00 Encuesta'!$B$2:$B$511,"*b)*",'00 Encuesta'!$C$2:$C$511,"*b)*",'00 Encuesta'!$E$2:$E$511,"*b)*",'00 Encuesta'!$BA$2:$BA$511,"*a)*")</f>
        <v>1</v>
      </c>
      <c r="S420" s="52">
        <f t="shared" ref="S420:S425" si="696">R420/$Q$7*100</f>
        <v>6.666666666666667</v>
      </c>
      <c r="T420" s="3"/>
      <c r="U420" s="51">
        <f t="shared" ref="U420:U425" si="697">W420+Y420</f>
        <v>0</v>
      </c>
      <c r="V420" s="52" t="e">
        <f t="shared" ref="V420:V425" si="698">U420/$X$5*100</f>
        <v>#DIV/0!</v>
      </c>
      <c r="W420" s="53">
        <f>COUNTIFS('00 Encuesta'!$B$2:$B$511,"*b)*",'00 Encuesta'!$C$2:$C$511,"*d)*",'00 Encuesta'!$E$2:$E$511,"*a)*",'00 Encuesta'!$BA$2:$BA$511,"*a)*")</f>
        <v>0</v>
      </c>
      <c r="X420" s="52" t="e">
        <f t="shared" ref="X420:X425" si="699">W420/$X$6*100</f>
        <v>#DIV/0!</v>
      </c>
      <c r="Y420" s="53">
        <f>COUNTIFS('00 Encuesta'!$B$2:$B$511,"*b)*",'00 Encuesta'!$C$2:$C$511,"*d)*",'00 Encuesta'!$E$2:$E$511,"*b)*",'00 Encuesta'!$BA$2:$BA$511,"*a)*")</f>
        <v>0</v>
      </c>
      <c r="Z420" s="52" t="e">
        <f t="shared" ref="Z420:Z425" si="700">Y420/$X$7*100</f>
        <v>#DIV/0!</v>
      </c>
      <c r="AA420" s="3"/>
      <c r="AB420" s="62">
        <f t="shared" ref="AB420:AB425" si="701">G420+N420+U420</f>
        <v>8</v>
      </c>
      <c r="AC420" s="52">
        <f t="shared" ref="AC420:AC425" si="702">AB420*100/$AC$5</f>
        <v>11.428571428571429</v>
      </c>
      <c r="AD420" s="3"/>
      <c r="AE420" s="3"/>
      <c r="AF420" s="9" t="str">
        <f t="shared" ref="AF420:AF425" si="703">A420&amp;" "&amp;B420</f>
        <v>a) Personas a las que tengo que aguantar</v>
      </c>
      <c r="AG420" s="72">
        <f t="shared" ref="AG420:AG425" si="704">J420</f>
        <v>9.5238095238095237</v>
      </c>
      <c r="AH420" s="72">
        <f t="shared" ref="AH420:AH425" si="705">L420</f>
        <v>17.647058823529413</v>
      </c>
      <c r="AI420" s="73">
        <f t="shared" ref="AI420:AI425" si="706">H420</f>
        <v>13.157894736842104</v>
      </c>
      <c r="AJ420" s="73"/>
      <c r="AK420" s="76">
        <f t="shared" ref="AK420:AK425" si="707">Q420</f>
        <v>11.76470588235294</v>
      </c>
      <c r="AL420" s="76">
        <f t="shared" ref="AL420:AL425" si="708">S420</f>
        <v>6.666666666666667</v>
      </c>
      <c r="AM420" s="76">
        <f t="shared" ref="AM420:AM425" si="709">O420</f>
        <v>9.375</v>
      </c>
      <c r="AN420" s="76"/>
      <c r="AO420" s="81" t="e">
        <f t="shared" ref="AO420:AO425" si="710">X420</f>
        <v>#DIV/0!</v>
      </c>
      <c r="AP420" s="81" t="e">
        <f t="shared" ref="AP420:AP425" si="711">Z420</f>
        <v>#DIV/0!</v>
      </c>
      <c r="AQ420" s="81" t="e">
        <f t="shared" ref="AQ420:AQ425" si="712">V420</f>
        <v>#DIV/0!</v>
      </c>
      <c r="AR420" s="3"/>
      <c r="AS420" s="76">
        <f t="shared" si="688"/>
        <v>11.428571428571429</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ht="15.75" x14ac:dyDescent="0.3">
      <c r="A421" s="1" t="s">
        <v>18</v>
      </c>
      <c r="B421" s="2" t="s">
        <v>270</v>
      </c>
      <c r="C421" s="3"/>
      <c r="D421" s="3"/>
      <c r="E421" s="3"/>
      <c r="F421" s="4"/>
      <c r="G421" s="51">
        <f t="shared" si="689"/>
        <v>4</v>
      </c>
      <c r="H421" s="52">
        <f t="shared" si="690"/>
        <v>10.526315789473683</v>
      </c>
      <c r="I421" s="53">
        <f>COUNTIFS('00 Encuesta'!$B$2:$B$511,"*b)*",'00 Encuesta'!$C$2:$C$511,"*a)*",'00 Encuesta'!$E$2:$E$511,"*a)*",'00 Encuesta'!$BA$2:$BA$511,"*b)*")</f>
        <v>1</v>
      </c>
      <c r="J421" s="52">
        <f t="shared" si="691"/>
        <v>4.7619047619047619</v>
      </c>
      <c r="K421" s="53">
        <f>COUNTIFS('00 Encuesta'!$B$2:$B$511,"*b)*",'00 Encuesta'!$C$2:$C$511,"*a)*",'00 Encuesta'!$E$2:$E$511,"*b)*",'00 Encuesta'!$BA$2:$BA$511,"*b)*")</f>
        <v>3</v>
      </c>
      <c r="L421" s="52">
        <f t="shared" si="692"/>
        <v>17.647058823529413</v>
      </c>
      <c r="M421" s="23"/>
      <c r="N421" s="51">
        <f t="shared" si="693"/>
        <v>1</v>
      </c>
      <c r="O421" s="52">
        <f t="shared" si="694"/>
        <v>3.125</v>
      </c>
      <c r="P421" s="53">
        <f>COUNTIFS('00 Encuesta'!$B$2:$B$511,"*b)*",'00 Encuesta'!$C$2:$C$511,"*b)*",'00 Encuesta'!$E$2:$E$511,"*a)*",'00 Encuesta'!$BA$2:$BA$511,"*b)*")</f>
        <v>0</v>
      </c>
      <c r="Q421" s="52">
        <f t="shared" si="695"/>
        <v>0</v>
      </c>
      <c r="R421" s="53">
        <f>COUNTIFS('00 Encuesta'!$B$2:$B$511,"*b)*",'00 Encuesta'!$C$2:$C$511,"*b)*",'00 Encuesta'!$E$2:$E$511,"*b)*",'00 Encuesta'!$BA$2:$BA$511,"*b)*")</f>
        <v>1</v>
      </c>
      <c r="S421" s="52">
        <f t="shared" si="696"/>
        <v>6.666666666666667</v>
      </c>
      <c r="T421" s="3"/>
      <c r="U421" s="51">
        <f t="shared" si="697"/>
        <v>0</v>
      </c>
      <c r="V421" s="52" t="e">
        <f t="shared" si="698"/>
        <v>#DIV/0!</v>
      </c>
      <c r="W421" s="53">
        <f>COUNTIFS('00 Encuesta'!$B$2:$B$511,"*b)*",'00 Encuesta'!$C$2:$C$511,"*d)*",'00 Encuesta'!$E$2:$E$511,"*a)*",'00 Encuesta'!$BA$2:$BA$511,"*b)*")</f>
        <v>0</v>
      </c>
      <c r="X421" s="52" t="e">
        <f t="shared" si="699"/>
        <v>#DIV/0!</v>
      </c>
      <c r="Y421" s="53">
        <f>COUNTIFS('00 Encuesta'!$B$2:$B$511,"*b)*",'00 Encuesta'!$C$2:$C$511,"*d)*",'00 Encuesta'!$E$2:$E$511,"*b)*",'00 Encuesta'!$BA$2:$BA$511,"*b)*")</f>
        <v>0</v>
      </c>
      <c r="Z421" s="52" t="e">
        <f t="shared" si="700"/>
        <v>#DIV/0!</v>
      </c>
      <c r="AA421" s="3"/>
      <c r="AB421" s="62">
        <f t="shared" si="701"/>
        <v>5</v>
      </c>
      <c r="AC421" s="52">
        <f t="shared" si="702"/>
        <v>7.1428571428571432</v>
      </c>
      <c r="AD421" s="3"/>
      <c r="AE421" s="3"/>
      <c r="AF421" s="9" t="str">
        <f t="shared" si="703"/>
        <v>b) Profesionales que no se preocupan de nosotros</v>
      </c>
      <c r="AG421" s="72">
        <f t="shared" si="704"/>
        <v>4.7619047619047619</v>
      </c>
      <c r="AH421" s="72">
        <f t="shared" si="705"/>
        <v>17.647058823529413</v>
      </c>
      <c r="AI421" s="73">
        <f t="shared" si="706"/>
        <v>10.526315789473683</v>
      </c>
      <c r="AJ421" s="73"/>
      <c r="AK421" s="76">
        <f t="shared" si="707"/>
        <v>0</v>
      </c>
      <c r="AL421" s="76">
        <f t="shared" si="708"/>
        <v>6.666666666666667</v>
      </c>
      <c r="AM421" s="76">
        <f t="shared" si="709"/>
        <v>3.125</v>
      </c>
      <c r="AN421" s="76"/>
      <c r="AO421" s="81" t="e">
        <f t="shared" si="710"/>
        <v>#DIV/0!</v>
      </c>
      <c r="AP421" s="81" t="e">
        <f t="shared" si="711"/>
        <v>#DIV/0!</v>
      </c>
      <c r="AQ421" s="81" t="e">
        <f t="shared" si="712"/>
        <v>#DIV/0!</v>
      </c>
      <c r="AR421" s="3"/>
      <c r="AS421" s="76">
        <f t="shared" si="688"/>
        <v>7.1428571428571432</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ht="15.75" x14ac:dyDescent="0.3">
      <c r="A422" s="1" t="s">
        <v>20</v>
      </c>
      <c r="B422" s="2" t="s">
        <v>271</v>
      </c>
      <c r="C422" s="3"/>
      <c r="D422" s="3"/>
      <c r="E422" s="3"/>
      <c r="F422" s="4"/>
      <c r="G422" s="51">
        <f t="shared" si="689"/>
        <v>7</v>
      </c>
      <c r="H422" s="52">
        <f t="shared" si="690"/>
        <v>18.421052631578945</v>
      </c>
      <c r="I422" s="53">
        <f>COUNTIFS('00 Encuesta'!$B$2:$B$511,"*b)*",'00 Encuesta'!$C$2:$C$511,"*a)*",'00 Encuesta'!$E$2:$E$511,"*a)*",'00 Encuesta'!$BA$2:$BA$511,"*c)*")</f>
        <v>7</v>
      </c>
      <c r="J422" s="52">
        <f t="shared" si="691"/>
        <v>33.333333333333329</v>
      </c>
      <c r="K422" s="53">
        <f>COUNTIFS('00 Encuesta'!$B$2:$B$511,"*b)*",'00 Encuesta'!$C$2:$C$511,"*a)*",'00 Encuesta'!$E$2:$E$511,"*b)*",'00 Encuesta'!$BA$2:$BA$511,"*c)*")</f>
        <v>0</v>
      </c>
      <c r="L422" s="52">
        <f t="shared" si="692"/>
        <v>0</v>
      </c>
      <c r="M422" s="23"/>
      <c r="N422" s="51">
        <f t="shared" si="693"/>
        <v>7</v>
      </c>
      <c r="O422" s="52">
        <f t="shared" si="694"/>
        <v>21.875</v>
      </c>
      <c r="P422" s="53">
        <f>COUNTIFS('00 Encuesta'!$B$2:$B$511,"*b)*",'00 Encuesta'!$C$2:$C$511,"*b)*",'00 Encuesta'!$E$2:$E$511,"*a)*",'00 Encuesta'!$BA$2:$BA$511,"*c)*")</f>
        <v>4</v>
      </c>
      <c r="Q422" s="52">
        <f t="shared" si="695"/>
        <v>23.52941176470588</v>
      </c>
      <c r="R422" s="53">
        <f>COUNTIFS('00 Encuesta'!$B$2:$B$511,"*b)*",'00 Encuesta'!$C$2:$C$511,"*b)*",'00 Encuesta'!$E$2:$E$511,"*b)*",'00 Encuesta'!$BA$2:$BA$511,"*c)*")</f>
        <v>3</v>
      </c>
      <c r="S422" s="52">
        <f t="shared" si="696"/>
        <v>20</v>
      </c>
      <c r="T422" s="3"/>
      <c r="U422" s="51">
        <f t="shared" si="697"/>
        <v>0</v>
      </c>
      <c r="V422" s="52" t="e">
        <f t="shared" si="698"/>
        <v>#DIV/0!</v>
      </c>
      <c r="W422" s="53">
        <f>COUNTIFS('00 Encuesta'!$B$2:$B$511,"*b)*",'00 Encuesta'!$C$2:$C$511,"*d)*",'00 Encuesta'!$E$2:$E$511,"*a)*",'00 Encuesta'!$BA$2:$BA$511,"*c)*")</f>
        <v>0</v>
      </c>
      <c r="X422" s="52" t="e">
        <f t="shared" si="699"/>
        <v>#DIV/0!</v>
      </c>
      <c r="Y422" s="53">
        <f>COUNTIFS('00 Encuesta'!$B$2:$B$511,"*b)*",'00 Encuesta'!$C$2:$C$511,"*d)*",'00 Encuesta'!$E$2:$E$511,"*b)*",'00 Encuesta'!$BA$2:$BA$511,"*c)*")</f>
        <v>0</v>
      </c>
      <c r="Z422" s="52" t="e">
        <f t="shared" si="700"/>
        <v>#DIV/0!</v>
      </c>
      <c r="AA422" s="3"/>
      <c r="AB422" s="62">
        <f t="shared" si="701"/>
        <v>14</v>
      </c>
      <c r="AC422" s="52">
        <f t="shared" si="702"/>
        <v>20</v>
      </c>
      <c r="AD422" s="3"/>
      <c r="AE422" s="3"/>
      <c r="AF422" s="9" t="str">
        <f t="shared" si="703"/>
        <v>c) Profesionales que hacen lo que pueden</v>
      </c>
      <c r="AG422" s="72">
        <f t="shared" si="704"/>
        <v>33.333333333333329</v>
      </c>
      <c r="AH422" s="72">
        <f t="shared" si="705"/>
        <v>0</v>
      </c>
      <c r="AI422" s="73">
        <f t="shared" si="706"/>
        <v>18.421052631578945</v>
      </c>
      <c r="AJ422" s="73"/>
      <c r="AK422" s="76">
        <f t="shared" si="707"/>
        <v>23.52941176470588</v>
      </c>
      <c r="AL422" s="76">
        <f t="shared" si="708"/>
        <v>20</v>
      </c>
      <c r="AM422" s="76">
        <f t="shared" si="709"/>
        <v>21.875</v>
      </c>
      <c r="AN422" s="76"/>
      <c r="AO422" s="81" t="e">
        <f t="shared" si="710"/>
        <v>#DIV/0!</v>
      </c>
      <c r="AP422" s="81" t="e">
        <f t="shared" si="711"/>
        <v>#DIV/0!</v>
      </c>
      <c r="AQ422" s="81" t="e">
        <f t="shared" si="712"/>
        <v>#DIV/0!</v>
      </c>
      <c r="AR422" s="3"/>
      <c r="AS422" s="76">
        <f t="shared" si="688"/>
        <v>20</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9</v>
      </c>
      <c r="H423" s="52">
        <f t="shared" si="690"/>
        <v>23.684210526315788</v>
      </c>
      <c r="I423" s="53">
        <f>COUNTIFS('00 Encuesta'!$B$2:$B$511,"*b)*",'00 Encuesta'!$C$2:$C$511,"*a)*",'00 Encuesta'!$E$2:$E$511,"*a)*",'00 Encuesta'!$BA$2:$BA$511,"*d)*")</f>
        <v>5</v>
      </c>
      <c r="J423" s="52">
        <f t="shared" si="691"/>
        <v>23.809523809523807</v>
      </c>
      <c r="K423" s="53">
        <f>COUNTIFS('00 Encuesta'!$B$2:$B$511,"*b)*",'00 Encuesta'!$C$2:$C$511,"*a)*",'00 Encuesta'!$E$2:$E$511,"*b)*",'00 Encuesta'!$BA$2:$BA$511,"*d)*")</f>
        <v>4</v>
      </c>
      <c r="L423" s="52">
        <f t="shared" si="692"/>
        <v>23.52941176470588</v>
      </c>
      <c r="M423" s="23"/>
      <c r="N423" s="51">
        <f t="shared" si="693"/>
        <v>5</v>
      </c>
      <c r="O423" s="52">
        <f t="shared" si="694"/>
        <v>15.625</v>
      </c>
      <c r="P423" s="53">
        <f>COUNTIFS('00 Encuesta'!$B$2:$B$511,"*b)*",'00 Encuesta'!$C$2:$C$511,"*b)*",'00 Encuesta'!$E$2:$E$511,"*a)*",'00 Encuesta'!$BA$2:$BA$511,"*d)*")</f>
        <v>1</v>
      </c>
      <c r="Q423" s="52">
        <f t="shared" si="695"/>
        <v>5.8823529411764701</v>
      </c>
      <c r="R423" s="53">
        <f>COUNTIFS('00 Encuesta'!$B$2:$B$511,"*b)*",'00 Encuesta'!$C$2:$C$511,"*b)*",'00 Encuesta'!$E$2:$E$511,"*b)*",'00 Encuesta'!$BA$2:$BA$511,"*d)*")</f>
        <v>4</v>
      </c>
      <c r="S423" s="52">
        <f t="shared" si="696"/>
        <v>26.666666666666668</v>
      </c>
      <c r="T423" s="3"/>
      <c r="U423" s="51">
        <f t="shared" si="697"/>
        <v>0</v>
      </c>
      <c r="V423" s="52" t="e">
        <f t="shared" si="698"/>
        <v>#DIV/0!</v>
      </c>
      <c r="W423" s="53">
        <f>COUNTIFS('00 Encuesta'!$B$2:$B$511,"*b)*",'00 Encuesta'!$C$2:$C$511,"*d)*",'00 Encuesta'!$E$2:$E$511,"*a)*",'00 Encuesta'!$BA$2:$BA$511,"*d)*")</f>
        <v>0</v>
      </c>
      <c r="X423" s="52" t="e">
        <f t="shared" si="699"/>
        <v>#DIV/0!</v>
      </c>
      <c r="Y423" s="53">
        <f>COUNTIFS('00 Encuesta'!$B$2:$B$511,"*b)*",'00 Encuesta'!$C$2:$C$511,"*d)*",'00 Encuesta'!$E$2:$E$511,"*b)*",'00 Encuesta'!$BA$2:$BA$511,"*d)*")</f>
        <v>0</v>
      </c>
      <c r="Z423" s="52" t="e">
        <f t="shared" si="700"/>
        <v>#DIV/0!</v>
      </c>
      <c r="AA423" s="3"/>
      <c r="AB423" s="62">
        <f t="shared" si="701"/>
        <v>14</v>
      </c>
      <c r="AC423" s="52">
        <f t="shared" si="702"/>
        <v>20</v>
      </c>
      <c r="AD423" s="3"/>
      <c r="AE423" s="3"/>
      <c r="AF423" s="9" t="str">
        <f t="shared" si="703"/>
        <v>d) Buenos profesionales de la educaciòn</v>
      </c>
      <c r="AG423" s="72">
        <f t="shared" si="704"/>
        <v>23.809523809523807</v>
      </c>
      <c r="AH423" s="72">
        <f t="shared" si="705"/>
        <v>23.52941176470588</v>
      </c>
      <c r="AI423" s="73">
        <f t="shared" si="706"/>
        <v>23.684210526315788</v>
      </c>
      <c r="AJ423" s="73"/>
      <c r="AK423" s="76">
        <f t="shared" si="707"/>
        <v>5.8823529411764701</v>
      </c>
      <c r="AL423" s="76">
        <f t="shared" si="708"/>
        <v>26.666666666666668</v>
      </c>
      <c r="AM423" s="76">
        <f t="shared" si="709"/>
        <v>15.625</v>
      </c>
      <c r="AN423" s="76"/>
      <c r="AO423" s="81" t="e">
        <f t="shared" si="710"/>
        <v>#DIV/0!</v>
      </c>
      <c r="AP423" s="81" t="e">
        <f t="shared" si="711"/>
        <v>#DIV/0!</v>
      </c>
      <c r="AQ423" s="81" t="e">
        <f t="shared" si="712"/>
        <v>#DIV/0!</v>
      </c>
      <c r="AR423" s="3"/>
      <c r="AS423" s="76">
        <f t="shared" si="688"/>
        <v>20</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ht="15.75" x14ac:dyDescent="0.3">
      <c r="A424" s="1" t="s">
        <v>22</v>
      </c>
      <c r="B424" s="2" t="s">
        <v>273</v>
      </c>
      <c r="C424" s="3"/>
      <c r="D424" s="3"/>
      <c r="E424" s="3"/>
      <c r="F424" s="4"/>
      <c r="G424" s="51">
        <f t="shared" si="689"/>
        <v>5</v>
      </c>
      <c r="H424" s="52">
        <f t="shared" si="690"/>
        <v>13.157894736842104</v>
      </c>
      <c r="I424" s="53">
        <f>COUNTIFS('00 Encuesta'!$B$2:$B$511,"*b)*",'00 Encuesta'!$C$2:$C$511,"*a)*",'00 Encuesta'!$E$2:$E$511,"*a)*",'00 Encuesta'!$BA$2:$BA$511,"*e)*")</f>
        <v>2</v>
      </c>
      <c r="J424" s="52">
        <f t="shared" si="691"/>
        <v>9.5238095238095237</v>
      </c>
      <c r="K424" s="53">
        <f>COUNTIFS('00 Encuesta'!$B$2:$B$511,"*b)*",'00 Encuesta'!$C$2:$C$511,"*a)*",'00 Encuesta'!$E$2:$E$511,"*b)*",'00 Encuesta'!$BA$2:$BA$511,"*e)*")</f>
        <v>3</v>
      </c>
      <c r="L424" s="52">
        <f t="shared" si="692"/>
        <v>17.647058823529413</v>
      </c>
      <c r="M424" s="23"/>
      <c r="N424" s="51">
        <f t="shared" si="693"/>
        <v>8</v>
      </c>
      <c r="O424" s="52">
        <f t="shared" si="694"/>
        <v>25</v>
      </c>
      <c r="P424" s="53">
        <f>COUNTIFS('00 Encuesta'!$B$2:$B$511,"*b)*",'00 Encuesta'!$C$2:$C$511,"*b)*",'00 Encuesta'!$E$2:$E$511,"*a)*",'00 Encuesta'!$BA$2:$BA$511,"*e)*")</f>
        <v>4</v>
      </c>
      <c r="Q424" s="52">
        <f t="shared" si="695"/>
        <v>23.52941176470588</v>
      </c>
      <c r="R424" s="53">
        <f>COUNTIFS('00 Encuesta'!$B$2:$B$511,"*b)*",'00 Encuesta'!$C$2:$C$511,"*b)*",'00 Encuesta'!$E$2:$E$511,"*b)*",'00 Encuesta'!$BA$2:$BA$511,"*e)*")</f>
        <v>4</v>
      </c>
      <c r="S424" s="52">
        <f t="shared" si="696"/>
        <v>26.666666666666668</v>
      </c>
      <c r="T424" s="3"/>
      <c r="U424" s="51">
        <f t="shared" si="697"/>
        <v>0</v>
      </c>
      <c r="V424" s="52" t="e">
        <f t="shared" si="698"/>
        <v>#DIV/0!</v>
      </c>
      <c r="W424" s="53">
        <f>COUNTIFS('00 Encuesta'!$B$2:$B$511,"*b)*",'00 Encuesta'!$C$2:$C$511,"*d)*",'00 Encuesta'!$E$2:$E$511,"*a)*",'00 Encuesta'!$BA$2:$BA$511,"*e)*")</f>
        <v>0</v>
      </c>
      <c r="X424" s="52" t="e">
        <f t="shared" si="699"/>
        <v>#DIV/0!</v>
      </c>
      <c r="Y424" s="53">
        <f>COUNTIFS('00 Encuesta'!$B$2:$B$511,"*b)*",'00 Encuesta'!$C$2:$C$511,"*d)*",'00 Encuesta'!$E$2:$E$511,"*b)*",'00 Encuesta'!$BA$2:$BA$511,"*e)*")</f>
        <v>0</v>
      </c>
      <c r="Z424" s="52" t="e">
        <f t="shared" si="700"/>
        <v>#DIV/0!</v>
      </c>
      <c r="AA424" s="3"/>
      <c r="AB424" s="62">
        <f t="shared" si="701"/>
        <v>13</v>
      </c>
      <c r="AC424" s="52">
        <f t="shared" si="702"/>
        <v>18.571428571428573</v>
      </c>
      <c r="AD424" s="3"/>
      <c r="AE424" s="3"/>
      <c r="AF424" s="9" t="str">
        <f t="shared" si="703"/>
        <v>e) Educadores que se preocupan de nosotros</v>
      </c>
      <c r="AG424" s="72">
        <f t="shared" si="704"/>
        <v>9.5238095238095237</v>
      </c>
      <c r="AH424" s="72">
        <f t="shared" si="705"/>
        <v>17.647058823529413</v>
      </c>
      <c r="AI424" s="73">
        <f t="shared" si="706"/>
        <v>13.157894736842104</v>
      </c>
      <c r="AJ424" s="73"/>
      <c r="AK424" s="76">
        <f t="shared" si="707"/>
        <v>23.52941176470588</v>
      </c>
      <c r="AL424" s="76">
        <f t="shared" si="708"/>
        <v>26.666666666666668</v>
      </c>
      <c r="AM424" s="76">
        <f t="shared" si="709"/>
        <v>25</v>
      </c>
      <c r="AN424" s="76"/>
      <c r="AO424" s="81" t="e">
        <f t="shared" si="710"/>
        <v>#DIV/0!</v>
      </c>
      <c r="AP424" s="81" t="e">
        <f t="shared" si="711"/>
        <v>#DIV/0!</v>
      </c>
      <c r="AQ424" s="81" t="e">
        <f t="shared" si="712"/>
        <v>#DIV/0!</v>
      </c>
      <c r="AR424" s="3"/>
      <c r="AS424" s="76">
        <f t="shared" si="688"/>
        <v>18.571428571428573</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5</v>
      </c>
      <c r="H425" s="52">
        <f t="shared" si="690"/>
        <v>13.157894736842104</v>
      </c>
      <c r="I425" s="53">
        <f>COUNTIFS('00 Encuesta'!$B$2:$B$511,"*b)*",'00 Encuesta'!$C$2:$C$511,"*a)*",'00 Encuesta'!$E$2:$E$511,"*a)*",'00 Encuesta'!$BA$2:$BA$511,"*f)*")</f>
        <v>3</v>
      </c>
      <c r="J425" s="52">
        <f t="shared" si="691"/>
        <v>14.285714285714285</v>
      </c>
      <c r="K425" s="53">
        <f>COUNTIFS('00 Encuesta'!$B$2:$B$511,"*b)*",'00 Encuesta'!$C$2:$C$511,"*a)*",'00 Encuesta'!$E$2:$E$511,"*b)*",'00 Encuesta'!$BA$2:$BA$511,"*f)*")</f>
        <v>2</v>
      </c>
      <c r="L425" s="52">
        <f t="shared" si="692"/>
        <v>11.76470588235294</v>
      </c>
      <c r="M425" s="23"/>
      <c r="N425" s="51">
        <f t="shared" si="693"/>
        <v>4</v>
      </c>
      <c r="O425" s="52">
        <f t="shared" si="694"/>
        <v>12.5</v>
      </c>
      <c r="P425" s="53">
        <f>COUNTIFS('00 Encuesta'!$B$2:$B$511,"*b)*",'00 Encuesta'!$C$2:$C$511,"*b)*",'00 Encuesta'!$E$2:$E$511,"*a)*",'00 Encuesta'!$BA$2:$BA$511,"*f)*")</f>
        <v>2</v>
      </c>
      <c r="Q425" s="52">
        <f t="shared" si="695"/>
        <v>11.76470588235294</v>
      </c>
      <c r="R425" s="53">
        <f>COUNTIFS('00 Encuesta'!$B$2:$B$511,"*b)*",'00 Encuesta'!$C$2:$C$511,"*b)*",'00 Encuesta'!$E$2:$E$511,"*b)*",'00 Encuesta'!$BA$2:$BA$511,"*f)*")</f>
        <v>2</v>
      </c>
      <c r="S425" s="52">
        <f t="shared" si="696"/>
        <v>13.333333333333334</v>
      </c>
      <c r="T425" s="3"/>
      <c r="U425" s="51">
        <f t="shared" si="697"/>
        <v>0</v>
      </c>
      <c r="V425" s="52" t="e">
        <f t="shared" si="698"/>
        <v>#DIV/0!</v>
      </c>
      <c r="W425" s="53">
        <f>COUNTIFS('00 Encuesta'!$B$2:$B$511,"*b)*",'00 Encuesta'!$C$2:$C$511,"*d)*",'00 Encuesta'!$E$2:$E$511,"*a)*",'00 Encuesta'!$BA$2:$BA$511,"*f)*")</f>
        <v>0</v>
      </c>
      <c r="X425" s="52" t="e">
        <f t="shared" si="699"/>
        <v>#DIV/0!</v>
      </c>
      <c r="Y425" s="53">
        <f>COUNTIFS('00 Encuesta'!$B$2:$B$511,"*b)*",'00 Encuesta'!$C$2:$C$511,"*d)*",'00 Encuesta'!$E$2:$E$511,"*b)*",'00 Encuesta'!$BA$2:$BA$511,"*f)*")</f>
        <v>0</v>
      </c>
      <c r="Z425" s="52" t="e">
        <f t="shared" si="700"/>
        <v>#DIV/0!</v>
      </c>
      <c r="AA425" s="3"/>
      <c r="AB425" s="62">
        <f t="shared" si="701"/>
        <v>9</v>
      </c>
      <c r="AC425" s="52">
        <f t="shared" si="702"/>
        <v>12.857142857142858</v>
      </c>
      <c r="AD425" s="3"/>
      <c r="AE425" s="3"/>
      <c r="AF425" s="9" t="str">
        <f t="shared" si="703"/>
        <v>f) Educadores que ademàs me han abierto caminos</v>
      </c>
      <c r="AG425" s="72">
        <f t="shared" si="704"/>
        <v>14.285714285714285</v>
      </c>
      <c r="AH425" s="72">
        <f t="shared" si="705"/>
        <v>11.76470588235294</v>
      </c>
      <c r="AI425" s="73">
        <f t="shared" si="706"/>
        <v>13.157894736842104</v>
      </c>
      <c r="AJ425" s="73"/>
      <c r="AK425" s="76">
        <f t="shared" si="707"/>
        <v>11.76470588235294</v>
      </c>
      <c r="AL425" s="76">
        <f t="shared" si="708"/>
        <v>13.333333333333334</v>
      </c>
      <c r="AM425" s="76">
        <f t="shared" si="709"/>
        <v>12.5</v>
      </c>
      <c r="AN425" s="76"/>
      <c r="AO425" s="81" t="e">
        <f t="shared" si="710"/>
        <v>#DIV/0!</v>
      </c>
      <c r="AP425" s="81" t="e">
        <f t="shared" si="711"/>
        <v>#DIV/0!</v>
      </c>
      <c r="AQ425" s="81" t="e">
        <f t="shared" si="712"/>
        <v>#DIV/0!</v>
      </c>
      <c r="AR425" s="3"/>
      <c r="AS425" s="76">
        <f t="shared" si="688"/>
        <v>12.857142857142858</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ht="15.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ht="15.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ht="15.75" x14ac:dyDescent="0.3">
      <c r="A428" s="1" t="s">
        <v>17</v>
      </c>
      <c r="B428" s="2" t="s">
        <v>178</v>
      </c>
      <c r="C428" s="3"/>
      <c r="D428" s="3"/>
      <c r="E428" s="3"/>
      <c r="F428" s="5">
        <v>0</v>
      </c>
      <c r="G428" s="51">
        <f>I428+K428</f>
        <v>4</v>
      </c>
      <c r="H428" s="52">
        <f>G428/$J$5*100</f>
        <v>10.526315789473683</v>
      </c>
      <c r="I428" s="53">
        <f>COUNTIFS('00 Encuesta'!$B$2:$B$511,"*b)*",'00 Encuesta'!$C$2:$C$511,"*a)*",'00 Encuesta'!$E$2:$E$511,"*a)*",'00 Encuesta'!$BB$2:$BB$511,"*a)*")</f>
        <v>2</v>
      </c>
      <c r="J428" s="52">
        <f>I428/$J$6*100</f>
        <v>9.5238095238095237</v>
      </c>
      <c r="K428" s="53">
        <f>COUNTIFS('00 Encuesta'!$B$2:$B$511,"*b)*",'00 Encuesta'!$C$2:$C$511,"*a)*",'00 Encuesta'!$E$2:$E$511,"*b)*",'00 Encuesta'!$BB$2:$BB$511,"*a)*")</f>
        <v>2</v>
      </c>
      <c r="L428" s="52">
        <f>K428/$J$7*100</f>
        <v>11.76470588235294</v>
      </c>
      <c r="M428" s="23"/>
      <c r="N428" s="51">
        <f>P428+R428</f>
        <v>1</v>
      </c>
      <c r="O428" s="52">
        <f>N428/$Q$5*100</f>
        <v>3.125</v>
      </c>
      <c r="P428" s="53">
        <f>COUNTIFS('00 Encuesta'!$B$2:$B$511,"*b)*",'00 Encuesta'!$C$2:$C$511,"*b)*",'00 Encuesta'!$E$2:$E$511,"*a)*",'00 Encuesta'!$BB$2:$BB$511,"*a)*")</f>
        <v>0</v>
      </c>
      <c r="Q428" s="52">
        <f>P428/$Q$6*100</f>
        <v>0</v>
      </c>
      <c r="R428" s="53">
        <f>COUNTIFS('00 Encuesta'!$B$2:$B$511,"*b)*",'00 Encuesta'!$C$2:$C$511,"*b)*",'00 Encuesta'!$E$2:$E$511,"*b)*",'00 Encuesta'!$BB$2:$BB$511,"*a)*")</f>
        <v>1</v>
      </c>
      <c r="S428" s="52">
        <f>R428/$Q$7*100</f>
        <v>6.666666666666667</v>
      </c>
      <c r="T428" s="3"/>
      <c r="U428" s="51">
        <f>W428+Y428</f>
        <v>0</v>
      </c>
      <c r="V428" s="52" t="e">
        <f>U428/$X$5*100</f>
        <v>#DIV/0!</v>
      </c>
      <c r="W428" s="53">
        <f>COUNTIFS('00 Encuesta'!$B$2:$B$511,"*b)*",'00 Encuesta'!$C$2:$C$511,"*d)*",'00 Encuesta'!$E$2:$E$511,"*a)*",'00 Encuesta'!$BB$2:$BB$511,"*a)*")</f>
        <v>0</v>
      </c>
      <c r="X428" s="52" t="e">
        <f>W428/$X$6*100</f>
        <v>#DIV/0!</v>
      </c>
      <c r="Y428" s="53">
        <f>COUNTIFS('00 Encuesta'!$B$2:$B$511,"*b)*",'00 Encuesta'!$C$2:$C$511,"*d)*",'00 Encuesta'!$E$2:$E$511,"*b)*",'00 Encuesta'!$BB$2:$BB$511,"*a)*")</f>
        <v>0</v>
      </c>
      <c r="Z428" s="52" t="e">
        <f>Y428/$X$7*100</f>
        <v>#DIV/0!</v>
      </c>
      <c r="AA428" s="3"/>
      <c r="AB428" s="62">
        <f>G428+N428+U428</f>
        <v>5</v>
      </c>
      <c r="AC428" s="52">
        <f>AB428*100/$AC$5</f>
        <v>7.1428571428571432</v>
      </c>
      <c r="AD428" s="3"/>
      <c r="AE428" s="3"/>
      <c r="AF428" s="9" t="str">
        <f t="shared" si="713"/>
        <v>a) No, en absoluto</v>
      </c>
      <c r="AG428" s="72">
        <f>J428</f>
        <v>9.5238095238095237</v>
      </c>
      <c r="AH428" s="72">
        <f>L428</f>
        <v>11.76470588235294</v>
      </c>
      <c r="AI428" s="73">
        <f>H428</f>
        <v>10.526315789473683</v>
      </c>
      <c r="AJ428" s="73"/>
      <c r="AK428" s="76">
        <f>Q428</f>
        <v>0</v>
      </c>
      <c r="AL428" s="76">
        <f>S428</f>
        <v>6.666666666666667</v>
      </c>
      <c r="AM428" s="76">
        <f>O428</f>
        <v>3.125</v>
      </c>
      <c r="AN428" s="76"/>
      <c r="AO428" s="81" t="e">
        <f>X428</f>
        <v>#DIV/0!</v>
      </c>
      <c r="AP428" s="81" t="e">
        <f>Z428</f>
        <v>#DIV/0!</v>
      </c>
      <c r="AQ428" s="81" t="e">
        <f>V428</f>
        <v>#DIV/0!</v>
      </c>
      <c r="AR428" s="3"/>
      <c r="AS428" s="76">
        <f t="shared" si="688"/>
        <v>7.1428571428571432</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ht="15.75" x14ac:dyDescent="0.3">
      <c r="A429" s="1" t="s">
        <v>18</v>
      </c>
      <c r="B429" s="2" t="s">
        <v>104</v>
      </c>
      <c r="C429" s="3"/>
      <c r="D429" s="3"/>
      <c r="E429" s="3"/>
      <c r="F429" s="4">
        <v>33.33</v>
      </c>
      <c r="G429" s="51">
        <f>I429+K429</f>
        <v>12</v>
      </c>
      <c r="H429" s="52">
        <f>G429/$J$5*100</f>
        <v>31.578947368421051</v>
      </c>
      <c r="I429" s="53">
        <f>COUNTIFS('00 Encuesta'!$B$2:$B$511,"*b)*",'00 Encuesta'!$C$2:$C$511,"*a)*",'00 Encuesta'!$E$2:$E$511,"*a)*",'00 Encuesta'!$BB$2:$BB$511,"*b)*")</f>
        <v>5</v>
      </c>
      <c r="J429" s="52">
        <f>I429/$J$6*100</f>
        <v>23.809523809523807</v>
      </c>
      <c r="K429" s="53">
        <f>COUNTIFS('00 Encuesta'!$B$2:$B$511,"*b)*",'00 Encuesta'!$C$2:$C$511,"*a)*",'00 Encuesta'!$E$2:$E$511,"*b)*",'00 Encuesta'!$BB$2:$BB$511,"*b)*")</f>
        <v>7</v>
      </c>
      <c r="L429" s="52">
        <f>K429/$J$7*100</f>
        <v>41.17647058823529</v>
      </c>
      <c r="M429" s="23"/>
      <c r="N429" s="51">
        <f>P429+R429</f>
        <v>10</v>
      </c>
      <c r="O429" s="52">
        <f>N429/$Q$5*100</f>
        <v>31.25</v>
      </c>
      <c r="P429" s="53">
        <f>COUNTIFS('00 Encuesta'!$B$2:$B$511,"*b)*",'00 Encuesta'!$C$2:$C$511,"*b)*",'00 Encuesta'!$E$2:$E$511,"*a)*",'00 Encuesta'!$BB$2:$BB$511,"*b)*")</f>
        <v>5</v>
      </c>
      <c r="Q429" s="52">
        <f>P429/$Q$6*100</f>
        <v>29.411764705882355</v>
      </c>
      <c r="R429" s="53">
        <f>COUNTIFS('00 Encuesta'!$B$2:$B$511,"*b)*",'00 Encuesta'!$C$2:$C$511,"*b)*",'00 Encuesta'!$E$2:$E$511,"*b)*",'00 Encuesta'!$BB$2:$BB$511,"*b)*")</f>
        <v>5</v>
      </c>
      <c r="S429" s="52">
        <f>R429/$Q$7*100</f>
        <v>33.333333333333329</v>
      </c>
      <c r="T429" s="3"/>
      <c r="U429" s="51">
        <f>W429+Y429</f>
        <v>0</v>
      </c>
      <c r="V429" s="52" t="e">
        <f>U429/$X$5*100</f>
        <v>#DIV/0!</v>
      </c>
      <c r="W429" s="53">
        <f>COUNTIFS('00 Encuesta'!$B$2:$B$511,"*b)*",'00 Encuesta'!$C$2:$C$511,"*d)*",'00 Encuesta'!$E$2:$E$511,"*a)*",'00 Encuesta'!$BB$2:$BB$511,"*b)*")</f>
        <v>0</v>
      </c>
      <c r="X429" s="52" t="e">
        <f>W429/$X$6*100</f>
        <v>#DIV/0!</v>
      </c>
      <c r="Y429" s="53">
        <f>COUNTIFS('00 Encuesta'!$B$2:$B$511,"*b)*",'00 Encuesta'!$C$2:$C$511,"*d)*",'00 Encuesta'!$E$2:$E$511,"*b)*",'00 Encuesta'!$BB$2:$BB$511,"*b)*")</f>
        <v>0</v>
      </c>
      <c r="Z429" s="52" t="e">
        <f>Y429/$X$7*100</f>
        <v>#DIV/0!</v>
      </c>
      <c r="AA429" s="3"/>
      <c r="AB429" s="62">
        <f>G429+N429+U429</f>
        <v>22</v>
      </c>
      <c r="AC429" s="52">
        <f>AB429*100/$AC$5</f>
        <v>31.428571428571427</v>
      </c>
      <c r="AD429" s="3"/>
      <c r="AE429" s="3"/>
      <c r="AF429" s="9" t="str">
        <f t="shared" si="713"/>
        <v>b) Poco</v>
      </c>
      <c r="AG429" s="72">
        <f>J429</f>
        <v>23.809523809523807</v>
      </c>
      <c r="AH429" s="72">
        <f>L429</f>
        <v>41.17647058823529</v>
      </c>
      <c r="AI429" s="73">
        <f>H429</f>
        <v>31.578947368421051</v>
      </c>
      <c r="AJ429" s="73"/>
      <c r="AK429" s="76">
        <f>Q429</f>
        <v>29.411764705882355</v>
      </c>
      <c r="AL429" s="76">
        <f>S429</f>
        <v>33.333333333333329</v>
      </c>
      <c r="AM429" s="76">
        <f>O429</f>
        <v>31.25</v>
      </c>
      <c r="AN429" s="76"/>
      <c r="AO429" s="81" t="e">
        <f>X429</f>
        <v>#DIV/0!</v>
      </c>
      <c r="AP429" s="81" t="e">
        <f>Z429</f>
        <v>#DIV/0!</v>
      </c>
      <c r="AQ429" s="81" t="e">
        <f>V429</f>
        <v>#DIV/0!</v>
      </c>
      <c r="AR429" s="3"/>
      <c r="AS429" s="76">
        <f t="shared" si="688"/>
        <v>31.428571428571427</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ht="15.75" x14ac:dyDescent="0.3">
      <c r="A430" s="1" t="s">
        <v>20</v>
      </c>
      <c r="B430" s="2" t="s">
        <v>179</v>
      </c>
      <c r="C430" s="3"/>
      <c r="D430" s="3"/>
      <c r="E430" s="3"/>
      <c r="F430" s="4">
        <v>66.66</v>
      </c>
      <c r="G430" s="51">
        <f>I430+K430</f>
        <v>11</v>
      </c>
      <c r="H430" s="52">
        <f>G430/$J$5*100</f>
        <v>28.947368421052634</v>
      </c>
      <c r="I430" s="53">
        <f>COUNTIFS('00 Encuesta'!$B$2:$B$511,"*b)*",'00 Encuesta'!$C$2:$C$511,"*a)*",'00 Encuesta'!$E$2:$E$511,"*a)*",'00 Encuesta'!$BB$2:$BB$511,"*c)*")</f>
        <v>7</v>
      </c>
      <c r="J430" s="52">
        <f>I430/$J$6*100</f>
        <v>33.333333333333329</v>
      </c>
      <c r="K430" s="53">
        <f>COUNTIFS('00 Encuesta'!$B$2:$B$511,"*b)*",'00 Encuesta'!$C$2:$C$511,"*a)*",'00 Encuesta'!$E$2:$E$511,"*b)*",'00 Encuesta'!$BB$2:$BB$511,"*c)*")</f>
        <v>4</v>
      </c>
      <c r="L430" s="52">
        <f>K430/$J$7*100</f>
        <v>23.52941176470588</v>
      </c>
      <c r="M430" s="23"/>
      <c r="N430" s="51">
        <f>P430+R430</f>
        <v>13</v>
      </c>
      <c r="O430" s="52">
        <f>N430/$Q$5*100</f>
        <v>40.625</v>
      </c>
      <c r="P430" s="53">
        <f>COUNTIFS('00 Encuesta'!$B$2:$B$511,"*b)*",'00 Encuesta'!$C$2:$C$511,"*b)*",'00 Encuesta'!$E$2:$E$511,"*a)*",'00 Encuesta'!$BB$2:$BB$511,"*c)*")</f>
        <v>5</v>
      </c>
      <c r="Q430" s="52">
        <f>P430/$Q$6*100</f>
        <v>29.411764705882355</v>
      </c>
      <c r="R430" s="53">
        <f>COUNTIFS('00 Encuesta'!$B$2:$B$511,"*b)*",'00 Encuesta'!$C$2:$C$511,"*b)*",'00 Encuesta'!$E$2:$E$511,"*b)*",'00 Encuesta'!$BB$2:$BB$511,"*c)*")</f>
        <v>8</v>
      </c>
      <c r="S430" s="52">
        <f>R430/$Q$7*100</f>
        <v>53.333333333333336</v>
      </c>
      <c r="T430" s="3"/>
      <c r="U430" s="51">
        <f>W430+Y430</f>
        <v>0</v>
      </c>
      <c r="V430" s="52" t="e">
        <f>U430/$X$5*100</f>
        <v>#DIV/0!</v>
      </c>
      <c r="W430" s="53">
        <f>COUNTIFS('00 Encuesta'!$B$2:$B$511,"*b)*",'00 Encuesta'!$C$2:$C$511,"*d)*",'00 Encuesta'!$E$2:$E$511,"*a)*",'00 Encuesta'!$BB$2:$BB$511,"*c)*")</f>
        <v>0</v>
      </c>
      <c r="X430" s="52" t="e">
        <f>W430/$X$6*100</f>
        <v>#DIV/0!</v>
      </c>
      <c r="Y430" s="53">
        <f>COUNTIFS('00 Encuesta'!$B$2:$B$511,"*b)*",'00 Encuesta'!$C$2:$C$511,"*d)*",'00 Encuesta'!$E$2:$E$511,"*b)*",'00 Encuesta'!$BB$2:$BB$511,"*c)*")</f>
        <v>0</v>
      </c>
      <c r="Z430" s="52" t="e">
        <f>Y430/$X$7*100</f>
        <v>#DIV/0!</v>
      </c>
      <c r="AA430" s="3"/>
      <c r="AB430" s="62">
        <f>G430+N430+U430</f>
        <v>24</v>
      </c>
      <c r="AC430" s="52">
        <f>AB430*100/$AC$5</f>
        <v>34.285714285714285</v>
      </c>
      <c r="AD430" s="3"/>
      <c r="AE430" s="3"/>
      <c r="AF430" s="9" t="str">
        <f t="shared" si="713"/>
        <v>c) Bastante</v>
      </c>
      <c r="AG430" s="72">
        <f>J430</f>
        <v>33.333333333333329</v>
      </c>
      <c r="AH430" s="72">
        <f>L430</f>
        <v>23.52941176470588</v>
      </c>
      <c r="AI430" s="73">
        <f>H430</f>
        <v>28.947368421052634</v>
      </c>
      <c r="AJ430" s="73"/>
      <c r="AK430" s="76">
        <f>Q430</f>
        <v>29.411764705882355</v>
      </c>
      <c r="AL430" s="76">
        <f>S430</f>
        <v>53.333333333333336</v>
      </c>
      <c r="AM430" s="76">
        <f>O430</f>
        <v>40.625</v>
      </c>
      <c r="AN430" s="76"/>
      <c r="AO430" s="81" t="e">
        <f>X430</f>
        <v>#DIV/0!</v>
      </c>
      <c r="AP430" s="81" t="e">
        <f>Z430</f>
        <v>#DIV/0!</v>
      </c>
      <c r="AQ430" s="81" t="e">
        <f>V430</f>
        <v>#DIV/0!</v>
      </c>
      <c r="AR430" s="3"/>
      <c r="AS430" s="76">
        <f t="shared" si="688"/>
        <v>34.285714285714285</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5</v>
      </c>
      <c r="H431" s="52">
        <f>G431/$J$5*100</f>
        <v>13.157894736842104</v>
      </c>
      <c r="I431" s="53">
        <f>COUNTIFS('00 Encuesta'!$B$2:$B$511,"*b)*",'00 Encuesta'!$C$2:$C$511,"*a)*",'00 Encuesta'!$E$2:$E$511,"*a)*",'00 Encuesta'!$BB$2:$BB$511,"*d)*")</f>
        <v>3</v>
      </c>
      <c r="J431" s="52">
        <f>I431/$J$6*100</f>
        <v>14.285714285714285</v>
      </c>
      <c r="K431" s="53">
        <f>COUNTIFS('00 Encuesta'!$B$2:$B$511,"*b)*",'00 Encuesta'!$C$2:$C$511,"*a)*",'00 Encuesta'!$E$2:$E$511,"*b)*",'00 Encuesta'!$BB$2:$BB$511,"*d)*")</f>
        <v>2</v>
      </c>
      <c r="L431" s="52">
        <f>K431/$J$7*100</f>
        <v>11.76470588235294</v>
      </c>
      <c r="M431" s="23"/>
      <c r="N431" s="51">
        <f>P431+R431</f>
        <v>3</v>
      </c>
      <c r="O431" s="52">
        <f>N431/$Q$5*100</f>
        <v>9.375</v>
      </c>
      <c r="P431" s="53">
        <f>COUNTIFS('00 Encuesta'!$B$2:$B$511,"*b)*",'00 Encuesta'!$C$2:$C$511,"*b)*",'00 Encuesta'!$E$2:$E$511,"*a)*",'00 Encuesta'!$BB$2:$BB$511,"*d)*")</f>
        <v>3</v>
      </c>
      <c r="Q431" s="52">
        <f>P431/$Q$6*100</f>
        <v>17.647058823529413</v>
      </c>
      <c r="R431" s="53">
        <f>COUNTIFS('00 Encuesta'!$B$2:$B$511,"*b)*",'00 Encuesta'!$C$2:$C$511,"*b)*",'00 Encuesta'!$E$2:$E$511,"*b)*",'00 Encuesta'!$BB$2:$BB$511,"*d)*")</f>
        <v>0</v>
      </c>
      <c r="S431" s="52">
        <f>R431/$Q$7*100</f>
        <v>0</v>
      </c>
      <c r="T431" s="3"/>
      <c r="U431" s="51">
        <f>W431+Y431</f>
        <v>0</v>
      </c>
      <c r="V431" s="52" t="e">
        <f>U431/$X$5*100</f>
        <v>#DIV/0!</v>
      </c>
      <c r="W431" s="53">
        <f>COUNTIFS('00 Encuesta'!$B$2:$B$511,"*b)*",'00 Encuesta'!$C$2:$C$511,"*d)*",'00 Encuesta'!$E$2:$E$511,"*a)*",'00 Encuesta'!$BB$2:$BB$511,"*d)*")</f>
        <v>0</v>
      </c>
      <c r="X431" s="52" t="e">
        <f>W431/$X$6*100</f>
        <v>#DIV/0!</v>
      </c>
      <c r="Y431" s="53">
        <f>COUNTIFS('00 Encuesta'!$B$2:$B$511,"*b)*",'00 Encuesta'!$C$2:$C$511,"*d)*",'00 Encuesta'!$E$2:$E$511,"*b)*",'00 Encuesta'!$BB$2:$BB$511,"*d)*")</f>
        <v>0</v>
      </c>
      <c r="Z431" s="52" t="e">
        <f>Y431/$X$7*100</f>
        <v>#DIV/0!</v>
      </c>
      <c r="AA431" s="3"/>
      <c r="AB431" s="62">
        <f>G431+N431+U431</f>
        <v>8</v>
      </c>
      <c r="AC431" s="52">
        <f>AB431*100/$AC$5</f>
        <v>11.428571428571429</v>
      </c>
      <c r="AD431" s="3"/>
      <c r="AE431" s="3"/>
      <c r="AF431" s="9" t="str">
        <f t="shared" si="713"/>
        <v>d) Mucho o muchìsimo</v>
      </c>
      <c r="AG431" s="72">
        <f>J431</f>
        <v>14.285714285714285</v>
      </c>
      <c r="AH431" s="72">
        <f>L431</f>
        <v>11.76470588235294</v>
      </c>
      <c r="AI431" s="73">
        <f>H431</f>
        <v>13.157894736842104</v>
      </c>
      <c r="AJ431" s="73"/>
      <c r="AK431" s="76">
        <f>Q431</f>
        <v>17.647058823529413</v>
      </c>
      <c r="AL431" s="76">
        <f>S431</f>
        <v>0</v>
      </c>
      <c r="AM431" s="76">
        <f>O431</f>
        <v>9.375</v>
      </c>
      <c r="AN431" s="76"/>
      <c r="AO431" s="81" t="e">
        <f>X431</f>
        <v>#DIV/0!</v>
      </c>
      <c r="AP431" s="81" t="e">
        <f>Z431</f>
        <v>#DIV/0!</v>
      </c>
      <c r="AQ431" s="81" t="e">
        <f>V431</f>
        <v>#DIV/0!</v>
      </c>
      <c r="AR431" s="3"/>
      <c r="AS431" s="76">
        <f t="shared" si="688"/>
        <v>11.428571428571429</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3</v>
      </c>
      <c r="H432" s="52">
        <f>G432/$J$5*100</f>
        <v>7.8947368421052628</v>
      </c>
      <c r="I432" s="53">
        <f>COUNTIFS('00 Encuesta'!$B$2:$B$511,"*b)*",'00 Encuesta'!$C$2:$C$511,"*a)*",'00 Encuesta'!$E$2:$E$511,"*a)*",'00 Encuesta'!$BB$2:$BB$511,"*e)*")</f>
        <v>2</v>
      </c>
      <c r="J432" s="52">
        <f>I432/$J$6*100</f>
        <v>9.5238095238095237</v>
      </c>
      <c r="K432" s="53">
        <f>COUNTIFS('00 Encuesta'!$B$2:$B$511,"*b)*",'00 Encuesta'!$C$2:$C$511,"*a)*",'00 Encuesta'!$E$2:$E$511,"*b)*",'00 Encuesta'!$BB$2:$BB$511,"*e)*")</f>
        <v>1</v>
      </c>
      <c r="L432" s="52">
        <f>K432/$J$7*100</f>
        <v>5.8823529411764701</v>
      </c>
      <c r="M432" s="23"/>
      <c r="N432" s="51">
        <f>P432+R432</f>
        <v>0</v>
      </c>
      <c r="O432" s="52">
        <f>N432/$Q$5*100</f>
        <v>0</v>
      </c>
      <c r="P432" s="53">
        <f>COUNTIFS('00 Encuesta'!$B$2:$B$511,"*b)*",'00 Encuesta'!$C$2:$C$511,"*b)*",'00 Encuesta'!$E$2:$E$511,"*a)*",'00 Encuesta'!$BB$2:$BB$511,"*e)*")</f>
        <v>0</v>
      </c>
      <c r="Q432" s="52">
        <f>P432/$Q$6*100</f>
        <v>0</v>
      </c>
      <c r="R432" s="53">
        <f>COUNTIFS('00 Encuesta'!$B$2:$B$511,"*b)*",'00 Encuesta'!$C$2:$C$511,"*b)*",'00 Encuesta'!$E$2:$E$511,"*b)*",'00 Encuesta'!$BB$2:$BB$511,"*e)*")</f>
        <v>0</v>
      </c>
      <c r="S432" s="52">
        <f>R432/$Q$7*100</f>
        <v>0</v>
      </c>
      <c r="T432" s="3"/>
      <c r="U432" s="51">
        <f>W432+Y432</f>
        <v>0</v>
      </c>
      <c r="V432" s="52" t="e">
        <f>U432/$X$5*100</f>
        <v>#DIV/0!</v>
      </c>
      <c r="W432" s="53">
        <f>COUNTIFS('00 Encuesta'!$B$2:$B$511,"*b)*",'00 Encuesta'!$C$2:$C$511,"*d)*",'00 Encuesta'!$E$2:$E$511,"*a)*",'00 Encuesta'!$BB$2:$BB$511,"*e)*")</f>
        <v>0</v>
      </c>
      <c r="X432" s="52" t="e">
        <f>W432/$X$6*100</f>
        <v>#DIV/0!</v>
      </c>
      <c r="Y432" s="53">
        <f>COUNTIFS('00 Encuesta'!$B$2:$B$511,"*b)*",'00 Encuesta'!$C$2:$C$511,"*d)*",'00 Encuesta'!$E$2:$E$511,"*b)*",'00 Encuesta'!$BB$2:$BB$511,"*e)*")</f>
        <v>0</v>
      </c>
      <c r="Z432" s="52" t="e">
        <f>Y432/$X$7*100</f>
        <v>#DIV/0!</v>
      </c>
      <c r="AA432" s="3"/>
      <c r="AB432" s="62">
        <f>G432+N432+U432</f>
        <v>3</v>
      </c>
      <c r="AC432" s="52">
        <f>AB432*100/$AC$5</f>
        <v>4.2857142857142856</v>
      </c>
      <c r="AD432" s="3"/>
      <c r="AE432" s="3"/>
      <c r="AF432" s="9" t="str">
        <f t="shared" si="713"/>
        <v>e) No sè</v>
      </c>
      <c r="AG432" s="72">
        <f>J432</f>
        <v>9.5238095238095237</v>
      </c>
      <c r="AH432" s="72">
        <f>L432</f>
        <v>5.8823529411764701</v>
      </c>
      <c r="AI432" s="73">
        <f>H432</f>
        <v>7.8947368421052628</v>
      </c>
      <c r="AJ432" s="73"/>
      <c r="AK432" s="76">
        <f>Q432</f>
        <v>0</v>
      </c>
      <c r="AL432" s="76">
        <f>S432</f>
        <v>0</v>
      </c>
      <c r="AM432" s="76">
        <f>O432</f>
        <v>0</v>
      </c>
      <c r="AN432" s="76"/>
      <c r="AO432" s="81" t="e">
        <f>X432</f>
        <v>#DIV/0!</v>
      </c>
      <c r="AP432" s="81" t="e">
        <f>Z432</f>
        <v>#DIV/0!</v>
      </c>
      <c r="AQ432" s="81" t="e">
        <f>V432</f>
        <v>#DIV/0!</v>
      </c>
      <c r="AR432" s="3"/>
      <c r="AS432" s="76">
        <f t="shared" si="688"/>
        <v>4.2857142857142856</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ht="15.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54.898235294117647</v>
      </c>
      <c r="AH433" s="82">
        <f>($F428*K428+$F429*K429+$F430*K430+$F431*K431)/(+K428+K429+K430+K431)</f>
        <v>46.663333333333334</v>
      </c>
      <c r="AI433" s="82">
        <f>($F428*G428+$F429*G429+$F430*G430+$F431*G431)/(G428+G429+G430+G431)</f>
        <v>51.038125000000001</v>
      </c>
      <c r="AJ433" s="82"/>
      <c r="AK433" s="82">
        <f>(+$F428*Q428+$F429*Q429+$F430*Q430+$F431*Q431)/(+Q428+Q429+Q430+Q431)</f>
        <v>61.534615384615392</v>
      </c>
      <c r="AL433" s="82">
        <f>($F428*S428+$F429*S429+$F430*S430+$F431*S431)/(+S428+S429+S430+S431)</f>
        <v>49.994999999999997</v>
      </c>
      <c r="AM433" s="82">
        <f>($F428*O428+$F429*O429+$F430*O430+$F431*O431)/(O428+O429+O430+O431)</f>
        <v>55.551111111111112</v>
      </c>
      <c r="AN433" s="82"/>
      <c r="AO433" s="82" t="e">
        <f>($F428*W428+$F429*W429+$F430*W430+$F431*W431)/(W428+W429+W430+W431)</f>
        <v>#DIV/0!</v>
      </c>
      <c r="AP433" s="82" t="e">
        <f>($F428*Y428+$F429*Y429+$F430*Y430+$F431*Y431)/(Y428+Y429+Y430+Y431)</f>
        <v>#DIV/0!</v>
      </c>
      <c r="AQ433" s="82" t="e">
        <f>($F428*U428+$F429*U429+$F430*U430+$F431*U431)/(U428+U429+U430+U431)</f>
        <v>#DIV/0!</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ht="15.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ht="15.75" x14ac:dyDescent="0.3">
      <c r="A435" s="1" t="s">
        <v>17</v>
      </c>
      <c r="B435" s="2" t="s">
        <v>278</v>
      </c>
      <c r="C435" s="3"/>
      <c r="D435" s="3"/>
      <c r="E435" s="3"/>
      <c r="F435" s="4">
        <v>0</v>
      </c>
      <c r="G435" s="51">
        <f>I435+K435</f>
        <v>3</v>
      </c>
      <c r="H435" s="52">
        <f>G435/$J$5*100</f>
        <v>7.8947368421052628</v>
      </c>
      <c r="I435" s="53">
        <f>COUNTIFS('00 Encuesta'!$B$2:$B$511,"*b)*",'00 Encuesta'!$C$2:$C$511,"*a)*",'00 Encuesta'!$E$2:$E$511,"*a)*",'00 Encuesta'!$BC$2:$BC$511,"*a)*")</f>
        <v>2</v>
      </c>
      <c r="J435" s="52">
        <f>I435/$J$6*100</f>
        <v>9.5238095238095237</v>
      </c>
      <c r="K435" s="53">
        <f>COUNTIFS('00 Encuesta'!$B$2:$B$511,"*b)*",'00 Encuesta'!$C$2:$C$511,"*a)*",'00 Encuesta'!$E$2:$E$511,"*b)*",'00 Encuesta'!$BC$2:$BC$511,"*a)*")</f>
        <v>1</v>
      </c>
      <c r="L435" s="52">
        <f>K435/$J$7*100</f>
        <v>5.8823529411764701</v>
      </c>
      <c r="M435" s="23"/>
      <c r="N435" s="51">
        <f>P435+R435</f>
        <v>1</v>
      </c>
      <c r="O435" s="52">
        <f>N435/$Q$5*100</f>
        <v>3.125</v>
      </c>
      <c r="P435" s="53">
        <f>COUNTIFS('00 Encuesta'!$B$2:$B$511,"*b)*",'00 Encuesta'!$C$2:$C$511,"*b)*",'00 Encuesta'!$E$2:$E$511,"*a)*",'00 Encuesta'!$BC$2:$BC$511,"*a)*")</f>
        <v>1</v>
      </c>
      <c r="Q435" s="52">
        <f>P435/$Q$6*100</f>
        <v>5.8823529411764701</v>
      </c>
      <c r="R435" s="53">
        <f>COUNTIFS('00 Encuesta'!$B$2:$B$511,"*b)*",'00 Encuesta'!$C$2:$C$511,"*b)*",'00 Encuesta'!$E$2:$E$511,"*b)*",'00 Encuesta'!$BC$2:$BC$511,"*a)*")</f>
        <v>0</v>
      </c>
      <c r="S435" s="52">
        <f>R435/$Q$7*100</f>
        <v>0</v>
      </c>
      <c r="T435" s="3"/>
      <c r="U435" s="51">
        <f>W435+Y435</f>
        <v>0</v>
      </c>
      <c r="V435" s="52" t="e">
        <f>U435/$X$5*100</f>
        <v>#DIV/0!</v>
      </c>
      <c r="W435" s="53">
        <f>COUNTIFS('00 Encuesta'!$B$2:$B$511,"*b)*",'00 Encuesta'!$C$2:$C$511,"*d)*",'00 Encuesta'!$E$2:$E$511,"*a)*",'00 Encuesta'!$BC$2:$BC$511,"*a)*")</f>
        <v>0</v>
      </c>
      <c r="X435" s="52" t="e">
        <f>W435/$X$6*100</f>
        <v>#DIV/0!</v>
      </c>
      <c r="Y435" s="53">
        <f>COUNTIFS('00 Encuesta'!$B$2:$B$511,"*b)*",'00 Encuesta'!$C$2:$C$511,"*d)*",'00 Encuesta'!$E$2:$E$511,"*b)*",'00 Encuesta'!$BC$2:$BC$511,"*a)*")</f>
        <v>0</v>
      </c>
      <c r="Z435" s="52" t="e">
        <f>Y435/$X$7*100</f>
        <v>#DIV/0!</v>
      </c>
      <c r="AA435" s="3"/>
      <c r="AB435" s="62">
        <f>G435+N435+U435</f>
        <v>4</v>
      </c>
      <c r="AC435" s="52">
        <f>AB435*100/$AC$5</f>
        <v>5.7142857142857144</v>
      </c>
      <c r="AD435" s="3"/>
      <c r="AE435" s="3"/>
      <c r="AF435" s="9" t="str">
        <f t="shared" si="714"/>
        <v>a) No me gustan en absoluto</v>
      </c>
      <c r="AG435" s="72">
        <f>J435</f>
        <v>9.5238095238095237</v>
      </c>
      <c r="AH435" s="72">
        <f>L435</f>
        <v>5.8823529411764701</v>
      </c>
      <c r="AI435" s="73">
        <f>H435</f>
        <v>7.8947368421052628</v>
      </c>
      <c r="AJ435" s="73"/>
      <c r="AK435" s="76">
        <f>Q435</f>
        <v>5.8823529411764701</v>
      </c>
      <c r="AL435" s="76">
        <f>S435</f>
        <v>0</v>
      </c>
      <c r="AM435" s="76">
        <f>O435</f>
        <v>3.125</v>
      </c>
      <c r="AN435" s="76"/>
      <c r="AO435" s="81" t="e">
        <f>X435</f>
        <v>#DIV/0!</v>
      </c>
      <c r="AP435" s="81" t="e">
        <f>Z435</f>
        <v>#DIV/0!</v>
      </c>
      <c r="AQ435" s="81" t="e">
        <f>V435</f>
        <v>#DIV/0!</v>
      </c>
      <c r="AR435" s="3"/>
      <c r="AS435" s="76">
        <f t="shared" si="688"/>
        <v>5.7142857142857144</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ht="15.75" x14ac:dyDescent="0.3">
      <c r="A436" s="1" t="s">
        <v>18</v>
      </c>
      <c r="B436" s="2" t="s">
        <v>279</v>
      </c>
      <c r="C436" s="3"/>
      <c r="D436" s="3"/>
      <c r="E436" s="3"/>
      <c r="F436" s="4">
        <v>25</v>
      </c>
      <c r="G436" s="51">
        <f>I436+K436</f>
        <v>2</v>
      </c>
      <c r="H436" s="52">
        <f>G436/$J$5*100</f>
        <v>5.2631578947368416</v>
      </c>
      <c r="I436" s="53">
        <f>COUNTIFS('00 Encuesta'!$B$2:$B$511,"*b)*",'00 Encuesta'!$C$2:$C$511,"*a)*",'00 Encuesta'!$E$2:$E$511,"*a)*",'00 Encuesta'!$BC$2:$BC$511,"*b)*")</f>
        <v>1</v>
      </c>
      <c r="J436" s="52">
        <f>I436/$J$6*100</f>
        <v>4.7619047619047619</v>
      </c>
      <c r="K436" s="53">
        <f>COUNTIFS('00 Encuesta'!$B$2:$B$511,"*b)*",'00 Encuesta'!$C$2:$C$511,"*a)*",'00 Encuesta'!$E$2:$E$511,"*b)*",'00 Encuesta'!$BC$2:$BC$511,"*b)*")</f>
        <v>1</v>
      </c>
      <c r="L436" s="52">
        <f>K436/$J$7*100</f>
        <v>5.8823529411764701</v>
      </c>
      <c r="M436" s="23"/>
      <c r="N436" s="51">
        <f>P436+R436</f>
        <v>1</v>
      </c>
      <c r="O436" s="52">
        <f>N436/$Q$5*100</f>
        <v>3.125</v>
      </c>
      <c r="P436" s="53">
        <f>COUNTIFS('00 Encuesta'!$B$2:$B$511,"*b)*",'00 Encuesta'!$C$2:$C$511,"*b)*",'00 Encuesta'!$E$2:$E$511,"*a)*",'00 Encuesta'!$BC$2:$BC$511,"*b)*")</f>
        <v>1</v>
      </c>
      <c r="Q436" s="52">
        <f>P436/$Q$6*100</f>
        <v>5.8823529411764701</v>
      </c>
      <c r="R436" s="53">
        <f>COUNTIFS('00 Encuesta'!$B$2:$B$511,"*b)*",'00 Encuesta'!$C$2:$C$511,"*b)*",'00 Encuesta'!$E$2:$E$511,"*b)*",'00 Encuesta'!$BC$2:$BC$511,"*b)*")</f>
        <v>0</v>
      </c>
      <c r="S436" s="52">
        <f>R436/$Q$7*100</f>
        <v>0</v>
      </c>
      <c r="T436" s="3"/>
      <c r="U436" s="51">
        <f>W436+Y436</f>
        <v>0</v>
      </c>
      <c r="V436" s="52" t="e">
        <f>U436/$X$5*100</f>
        <v>#DIV/0!</v>
      </c>
      <c r="W436" s="53">
        <f>COUNTIFS('00 Encuesta'!$B$2:$B$511,"*b)*",'00 Encuesta'!$C$2:$C$511,"*d)*",'00 Encuesta'!$E$2:$E$511,"*a)*",'00 Encuesta'!$BC$2:$BC$511,"*b)*")</f>
        <v>0</v>
      </c>
      <c r="X436" s="52" t="e">
        <f>W436/$X$6*100</f>
        <v>#DIV/0!</v>
      </c>
      <c r="Y436" s="53">
        <f>COUNTIFS('00 Encuesta'!$B$2:$B$511,"*b)*",'00 Encuesta'!$C$2:$C$511,"*d)*",'00 Encuesta'!$E$2:$E$511,"*b)*",'00 Encuesta'!$BC$2:$BC$511,"*b)*")</f>
        <v>0</v>
      </c>
      <c r="Z436" s="52" t="e">
        <f>Y436/$X$7*100</f>
        <v>#DIV/0!</v>
      </c>
      <c r="AA436" s="3"/>
      <c r="AB436" s="62">
        <f>G436+N436+U436</f>
        <v>3</v>
      </c>
      <c r="AC436" s="52">
        <f>AB436*100/$AC$5</f>
        <v>4.2857142857142856</v>
      </c>
      <c r="AD436" s="3"/>
      <c r="AE436" s="3"/>
      <c r="AF436" s="9" t="str">
        <f t="shared" si="714"/>
        <v>b) Hay de todo tipo, pero predomina lo negativo</v>
      </c>
      <c r="AG436" s="72">
        <f>J436</f>
        <v>4.7619047619047619</v>
      </c>
      <c r="AH436" s="72">
        <f>L436</f>
        <v>5.8823529411764701</v>
      </c>
      <c r="AI436" s="73">
        <f>H436</f>
        <v>5.2631578947368416</v>
      </c>
      <c r="AJ436" s="73"/>
      <c r="AK436" s="76">
        <f>Q436</f>
        <v>5.8823529411764701</v>
      </c>
      <c r="AL436" s="76">
        <f>S436</f>
        <v>0</v>
      </c>
      <c r="AM436" s="76">
        <f>O436</f>
        <v>3.125</v>
      </c>
      <c r="AN436" s="76"/>
      <c r="AO436" s="81" t="e">
        <f>X436</f>
        <v>#DIV/0!</v>
      </c>
      <c r="AP436" s="81" t="e">
        <f>Z436</f>
        <v>#DIV/0!</v>
      </c>
      <c r="AQ436" s="81" t="e">
        <f>V436</f>
        <v>#DIV/0!</v>
      </c>
      <c r="AR436" s="3"/>
      <c r="AS436" s="76">
        <f t="shared" si="688"/>
        <v>4.2857142857142856</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ht="15.75" x14ac:dyDescent="0.3">
      <c r="A437" s="1" t="s">
        <v>20</v>
      </c>
      <c r="B437" s="2" t="s">
        <v>280</v>
      </c>
      <c r="C437" s="3"/>
      <c r="D437" s="3"/>
      <c r="E437" s="3"/>
      <c r="F437" s="4">
        <v>50</v>
      </c>
      <c r="G437" s="51">
        <f>I437+K437</f>
        <v>18</v>
      </c>
      <c r="H437" s="52">
        <f>G437/$J$5*100</f>
        <v>47.368421052631575</v>
      </c>
      <c r="I437" s="53">
        <f>COUNTIFS('00 Encuesta'!$B$2:$B$511,"*b)*",'00 Encuesta'!$C$2:$C$511,"*a)*",'00 Encuesta'!$E$2:$E$511,"*a)*",'00 Encuesta'!$BC$2:$BC$511,"*c)*")</f>
        <v>9</v>
      </c>
      <c r="J437" s="52">
        <f>I437/$J$6*100</f>
        <v>42.857142857142854</v>
      </c>
      <c r="K437" s="53">
        <f>COUNTIFS('00 Encuesta'!$B$2:$B$511,"*b)*",'00 Encuesta'!$C$2:$C$511,"*a)*",'00 Encuesta'!$E$2:$E$511,"*b)*",'00 Encuesta'!$BC$2:$BC$511,"*c)*")</f>
        <v>9</v>
      </c>
      <c r="L437" s="52">
        <f>K437/$J$7*100</f>
        <v>52.941176470588239</v>
      </c>
      <c r="M437" s="23"/>
      <c r="N437" s="51">
        <f>P437+R437</f>
        <v>8</v>
      </c>
      <c r="O437" s="52">
        <f>N437/$Q$5*100</f>
        <v>25</v>
      </c>
      <c r="P437" s="53">
        <f>COUNTIFS('00 Encuesta'!$B$2:$B$511,"*b)*",'00 Encuesta'!$C$2:$C$511,"*b)*",'00 Encuesta'!$E$2:$E$511,"*a)*",'00 Encuesta'!$BC$2:$BC$511,"*c)*")</f>
        <v>3</v>
      </c>
      <c r="Q437" s="52">
        <f>P437/$Q$6*100</f>
        <v>17.647058823529413</v>
      </c>
      <c r="R437" s="53">
        <f>COUNTIFS('00 Encuesta'!$B$2:$B$511,"*b)*",'00 Encuesta'!$C$2:$C$511,"*b)*",'00 Encuesta'!$E$2:$E$511,"*b)*",'00 Encuesta'!$BC$2:$BC$511,"*c)*")</f>
        <v>5</v>
      </c>
      <c r="S437" s="52">
        <f>R437/$Q$7*100</f>
        <v>33.333333333333329</v>
      </c>
      <c r="T437" s="3"/>
      <c r="U437" s="51">
        <f>W437+Y437</f>
        <v>0</v>
      </c>
      <c r="V437" s="52" t="e">
        <f>U437/$X$5*100</f>
        <v>#DIV/0!</v>
      </c>
      <c r="W437" s="53">
        <f>COUNTIFS('00 Encuesta'!$B$2:$B$511,"*b)*",'00 Encuesta'!$C$2:$C$511,"*d)*",'00 Encuesta'!$E$2:$E$511,"*a)*",'00 Encuesta'!$BC$2:$BC$511,"*c)*")</f>
        <v>0</v>
      </c>
      <c r="X437" s="52" t="e">
        <f>W437/$X$6*100</f>
        <v>#DIV/0!</v>
      </c>
      <c r="Y437" s="53">
        <f>COUNTIFS('00 Encuesta'!$B$2:$B$511,"*b)*",'00 Encuesta'!$C$2:$C$511,"*d)*",'00 Encuesta'!$E$2:$E$511,"*b)*",'00 Encuesta'!$BC$2:$BC$511,"*c)*")</f>
        <v>0</v>
      </c>
      <c r="Z437" s="52" t="e">
        <f>Y437/$X$7*100</f>
        <v>#DIV/0!</v>
      </c>
      <c r="AA437" s="3"/>
      <c r="AB437" s="62">
        <f>G437+N437+U437</f>
        <v>26</v>
      </c>
      <c r="AC437" s="52">
        <f>AB437*100/$AC$5</f>
        <v>37.142857142857146</v>
      </c>
      <c r="AD437" s="3"/>
      <c r="AE437" s="3"/>
      <c r="AF437" s="9" t="str">
        <f t="shared" si="714"/>
        <v>c) Son personas normales y corrientes</v>
      </c>
      <c r="AG437" s="72">
        <f>J437</f>
        <v>42.857142857142854</v>
      </c>
      <c r="AH437" s="72">
        <f>L437</f>
        <v>52.941176470588239</v>
      </c>
      <c r="AI437" s="73">
        <f>H437</f>
        <v>47.368421052631575</v>
      </c>
      <c r="AJ437" s="73"/>
      <c r="AK437" s="76">
        <f>Q437</f>
        <v>17.647058823529413</v>
      </c>
      <c r="AL437" s="76">
        <f>S437</f>
        <v>33.333333333333329</v>
      </c>
      <c r="AM437" s="76">
        <f>O437</f>
        <v>25</v>
      </c>
      <c r="AN437" s="76"/>
      <c r="AO437" s="81" t="e">
        <f>X437</f>
        <v>#DIV/0!</v>
      </c>
      <c r="AP437" s="81" t="e">
        <f>Z437</f>
        <v>#DIV/0!</v>
      </c>
      <c r="AQ437" s="81" t="e">
        <f>V437</f>
        <v>#DIV/0!</v>
      </c>
      <c r="AR437" s="3"/>
      <c r="AS437" s="76">
        <f t="shared" si="688"/>
        <v>37.142857142857146</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ht="15.75" x14ac:dyDescent="0.3">
      <c r="A438" s="1" t="s">
        <v>21</v>
      </c>
      <c r="B438" s="2" t="s">
        <v>281</v>
      </c>
      <c r="C438" s="3"/>
      <c r="D438" s="3"/>
      <c r="E438" s="3"/>
      <c r="F438" s="4">
        <v>75</v>
      </c>
      <c r="G438" s="51">
        <f>I438+K438</f>
        <v>5</v>
      </c>
      <c r="H438" s="52">
        <f>G438/$J$5*100</f>
        <v>13.157894736842104</v>
      </c>
      <c r="I438" s="53">
        <f>COUNTIFS('00 Encuesta'!$B$2:$B$511,"*b)*",'00 Encuesta'!$C$2:$C$511,"*a)*",'00 Encuesta'!$E$2:$E$511,"*a)*",'00 Encuesta'!$BC$2:$BC$511,"*d)*")</f>
        <v>5</v>
      </c>
      <c r="J438" s="52">
        <f>I438/$J$6*100</f>
        <v>23.809523809523807</v>
      </c>
      <c r="K438" s="53">
        <f>COUNTIFS('00 Encuesta'!$B$2:$B$511,"*b)*",'00 Encuesta'!$C$2:$C$511,"*a)*",'00 Encuesta'!$E$2:$E$511,"*b)*",'00 Encuesta'!$BC$2:$BC$511,"*d)*")</f>
        <v>0</v>
      </c>
      <c r="L438" s="52">
        <f>K438/$J$7*100</f>
        <v>0</v>
      </c>
      <c r="M438" s="23"/>
      <c r="N438" s="51">
        <f>P438+R438</f>
        <v>15</v>
      </c>
      <c r="O438" s="52">
        <f>N438/$Q$5*100</f>
        <v>46.875</v>
      </c>
      <c r="P438" s="53">
        <f>COUNTIFS('00 Encuesta'!$B$2:$B$511,"*b)*",'00 Encuesta'!$C$2:$C$511,"*b)*",'00 Encuesta'!$E$2:$E$511,"*a)*",'00 Encuesta'!$BC$2:$BC$511,"*d)*")</f>
        <v>6</v>
      </c>
      <c r="Q438" s="52">
        <f>P438/$Q$6*100</f>
        <v>35.294117647058826</v>
      </c>
      <c r="R438" s="53">
        <f>COUNTIFS('00 Encuesta'!$B$2:$B$511,"*b)*",'00 Encuesta'!$C$2:$C$511,"*b)*",'00 Encuesta'!$E$2:$E$511,"*b)*",'00 Encuesta'!$BC$2:$BC$511,"*d)*")</f>
        <v>9</v>
      </c>
      <c r="S438" s="52">
        <f>R438/$Q$7*100</f>
        <v>60</v>
      </c>
      <c r="T438" s="3"/>
      <c r="U438" s="51">
        <f>W438+Y438</f>
        <v>0</v>
      </c>
      <c r="V438" s="52" t="e">
        <f>U438/$X$5*100</f>
        <v>#DIV/0!</v>
      </c>
      <c r="W438" s="53">
        <f>COUNTIFS('00 Encuesta'!$B$2:$B$511,"*b)*",'00 Encuesta'!$C$2:$C$511,"*d)*",'00 Encuesta'!$E$2:$E$511,"*a)*",'00 Encuesta'!$BC$2:$BC$511,"*d)*")</f>
        <v>0</v>
      </c>
      <c r="X438" s="52" t="e">
        <f>W438/$X$6*100</f>
        <v>#DIV/0!</v>
      </c>
      <c r="Y438" s="53">
        <f>COUNTIFS('00 Encuesta'!$B$2:$B$511,"*b)*",'00 Encuesta'!$C$2:$C$511,"*d)*",'00 Encuesta'!$E$2:$E$511,"*b)*",'00 Encuesta'!$BC$2:$BC$511,"*d)*")</f>
        <v>0</v>
      </c>
      <c r="Z438" s="52" t="e">
        <f>Y438/$X$7*100</f>
        <v>#DIV/0!</v>
      </c>
      <c r="AA438" s="3"/>
      <c r="AB438" s="62">
        <f>G438+N438+U438</f>
        <v>20</v>
      </c>
      <c r="AC438" s="52">
        <f>AB438*100/$AC$5</f>
        <v>28.571428571428573</v>
      </c>
      <c r="AD438" s="3"/>
      <c r="AE438" s="3"/>
      <c r="AF438" s="9" t="str">
        <f t="shared" si="714"/>
        <v>d) Hay de todo tipo, pero predomina lo positivo</v>
      </c>
      <c r="AG438" s="72">
        <f>J438</f>
        <v>23.809523809523807</v>
      </c>
      <c r="AH438" s="72">
        <f>L438</f>
        <v>0</v>
      </c>
      <c r="AI438" s="73">
        <f>H438</f>
        <v>13.157894736842104</v>
      </c>
      <c r="AJ438" s="73"/>
      <c r="AK438" s="76">
        <f>Q438</f>
        <v>35.294117647058826</v>
      </c>
      <c r="AL438" s="76">
        <f>S438</f>
        <v>60</v>
      </c>
      <c r="AM438" s="76">
        <f>O438</f>
        <v>46.875</v>
      </c>
      <c r="AN438" s="76"/>
      <c r="AO438" s="81" t="e">
        <f>X438</f>
        <v>#DIV/0!</v>
      </c>
      <c r="AP438" s="81" t="e">
        <f>Z438</f>
        <v>#DIV/0!</v>
      </c>
      <c r="AQ438" s="81" t="e">
        <f>V438</f>
        <v>#DIV/0!</v>
      </c>
      <c r="AR438" s="3"/>
      <c r="AS438" s="76">
        <f t="shared" si="688"/>
        <v>28.571428571428573</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ht="15.75" x14ac:dyDescent="0.3">
      <c r="A439" s="1" t="s">
        <v>22</v>
      </c>
      <c r="B439" s="2" t="s">
        <v>282</v>
      </c>
      <c r="C439" s="3"/>
      <c r="D439" s="3"/>
      <c r="E439" s="3"/>
      <c r="F439" s="4">
        <v>100</v>
      </c>
      <c r="G439" s="51">
        <f>I439+K439</f>
        <v>7</v>
      </c>
      <c r="H439" s="52">
        <f>G439/$J$5*100</f>
        <v>18.421052631578945</v>
      </c>
      <c r="I439" s="53">
        <f>COUNTIFS('00 Encuesta'!$B$2:$B$511,"*b)*",'00 Encuesta'!$C$2:$C$511,"*a)*",'00 Encuesta'!$E$2:$E$511,"*a)*",'00 Encuesta'!$BC$2:$BC$511,"*e)*")</f>
        <v>2</v>
      </c>
      <c r="J439" s="52">
        <f>I439/$J$6*100</f>
        <v>9.5238095238095237</v>
      </c>
      <c r="K439" s="53">
        <f>COUNTIFS('00 Encuesta'!$B$2:$B$511,"*b)*",'00 Encuesta'!$C$2:$C$511,"*a)*",'00 Encuesta'!$E$2:$E$511,"*b)*",'00 Encuesta'!$BC$2:$BC$511,"*e)*")</f>
        <v>5</v>
      </c>
      <c r="L439" s="52">
        <f>K439/$J$7*100</f>
        <v>29.411764705882355</v>
      </c>
      <c r="M439" s="23"/>
      <c r="N439" s="51">
        <f>P439+R439</f>
        <v>3</v>
      </c>
      <c r="O439" s="52">
        <f>N439/$Q$5*100</f>
        <v>9.375</v>
      </c>
      <c r="P439" s="53">
        <f>COUNTIFS('00 Encuesta'!$B$2:$B$511,"*b)*",'00 Encuesta'!$C$2:$C$511,"*b)*",'00 Encuesta'!$E$2:$E$511,"*a)*",'00 Encuesta'!$BC$2:$BC$511,"*e)*")</f>
        <v>2</v>
      </c>
      <c r="Q439" s="52">
        <f>P439/$Q$6*100</f>
        <v>11.76470588235294</v>
      </c>
      <c r="R439" s="53">
        <f>COUNTIFS('00 Encuesta'!$B$2:$B$511,"*b)*",'00 Encuesta'!$C$2:$C$511,"*b)*",'00 Encuesta'!$E$2:$E$511,"*b)*",'00 Encuesta'!$BC$2:$BC$511,"*e)*")</f>
        <v>1</v>
      </c>
      <c r="S439" s="52">
        <f>R439/$Q$7*100</f>
        <v>6.666666666666667</v>
      </c>
      <c r="T439" s="3"/>
      <c r="U439" s="51">
        <f>W439+Y439</f>
        <v>0</v>
      </c>
      <c r="V439" s="52" t="e">
        <f>U439/$X$5*100</f>
        <v>#DIV/0!</v>
      </c>
      <c r="W439" s="53">
        <f>COUNTIFS('00 Encuesta'!$B$2:$B$511,"*b)*",'00 Encuesta'!$C$2:$C$511,"*d)*",'00 Encuesta'!$E$2:$E$511,"*a)*",'00 Encuesta'!$BC$2:$BC$511,"*e)*")</f>
        <v>0</v>
      </c>
      <c r="X439" s="52" t="e">
        <f>W439/$X$6*100</f>
        <v>#DIV/0!</v>
      </c>
      <c r="Y439" s="53">
        <f>COUNTIFS('00 Encuesta'!$B$2:$B$511,"*b)*",'00 Encuesta'!$C$2:$C$511,"*d)*",'00 Encuesta'!$E$2:$E$511,"*b)*",'00 Encuesta'!$BC$2:$BC$511,"*e)*")</f>
        <v>0</v>
      </c>
      <c r="Z439" s="52" t="e">
        <f>Y439/$X$7*100</f>
        <v>#DIV/0!</v>
      </c>
      <c r="AA439" s="3"/>
      <c r="AB439" s="62">
        <f>G439+N439+U439</f>
        <v>10</v>
      </c>
      <c r="AC439" s="52">
        <f>AB439*100/$AC$5</f>
        <v>14.285714285714286</v>
      </c>
      <c r="AD439" s="3"/>
      <c r="AE439" s="3"/>
      <c r="AF439" s="9" t="str">
        <f t="shared" si="714"/>
        <v>e) Son personas que me gustan y admiro</v>
      </c>
      <c r="AG439" s="72">
        <f>J439</f>
        <v>9.5238095238095237</v>
      </c>
      <c r="AH439" s="72">
        <f>L439</f>
        <v>29.411764705882355</v>
      </c>
      <c r="AI439" s="73">
        <f>H439</f>
        <v>18.421052631578945</v>
      </c>
      <c r="AJ439" s="73"/>
      <c r="AK439" s="76">
        <f>Q439</f>
        <v>11.76470588235294</v>
      </c>
      <c r="AL439" s="76">
        <f>S439</f>
        <v>6.666666666666667</v>
      </c>
      <c r="AM439" s="76">
        <f>O439</f>
        <v>9.375</v>
      </c>
      <c r="AN439" s="76"/>
      <c r="AO439" s="81" t="e">
        <f>X439</f>
        <v>#DIV/0!</v>
      </c>
      <c r="AP439" s="81" t="e">
        <f>Z439</f>
        <v>#DIV/0!</v>
      </c>
      <c r="AQ439" s="81" t="e">
        <f>V439</f>
        <v>#DIV/0!</v>
      </c>
      <c r="AR439" s="3"/>
      <c r="AS439" s="76">
        <f t="shared" si="688"/>
        <v>14.285714285714286</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ht="15.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55.263157894736842</v>
      </c>
      <c r="AH440" s="82">
        <f>($F439*K439+$F435*K435+$F436*K436+$F437*K437+$F438*K438)/(K439+K435+K436+K437+K438)</f>
        <v>60.9375</v>
      </c>
      <c r="AI440" s="82">
        <f>($F439*G439+$F435*G435+$F436*G436+$F437*G437+$F438*G438)/(G439+G435+G436+G437+G438)</f>
        <v>57.857142857142854</v>
      </c>
      <c r="AJ440" s="82"/>
      <c r="AK440" s="82">
        <f>($F439*Q439+$F435*Q435+$F436*Q436+$F437*Q437+$F438*Q438)/(Q439+Q435+Q436+Q437+Q438)</f>
        <v>63.461538461538467</v>
      </c>
      <c r="AL440" s="82">
        <f>($F439*S439+$F435*S435+$F436*S436+$F437*S437+$F438*S438)/(S439+S435+S436+S437+S438)</f>
        <v>68.333333333333329</v>
      </c>
      <c r="AM440" s="82">
        <f>($F439*O439+$F435*O435+$F436*O436+$F437*O437+$F438*O438)/(O439+O435+O436+O437+O438)</f>
        <v>66.071428571428569</v>
      </c>
      <c r="AN440" s="82"/>
      <c r="AO440" s="82" t="e">
        <f>($F439*W439+$F435*W435+$F436*W436+$F437*W437+$F438*W438)/(W439+W435+W436+W437+W438)</f>
        <v>#DIV/0!</v>
      </c>
      <c r="AP440" s="82" t="e">
        <f>($F439*Y439+$F435*Y435+$F436*Y436+$F437*Y437+$F438*Y438)/(Y439+Y435+Y436+Y437+Y438)</f>
        <v>#DIV/0!</v>
      </c>
      <c r="AQ440" s="82" t="e">
        <f>($F439*U439+$F435*U435+$F436*U436+$F437*U437+$F438*U438)/(U439+U435+U436+U437+U438)</f>
        <v>#DIV/0!</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ht="15.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ht="15.75" x14ac:dyDescent="0.3">
      <c r="A442" s="1" t="s">
        <v>17</v>
      </c>
      <c r="B442" s="2" t="s">
        <v>284</v>
      </c>
      <c r="C442" s="3"/>
      <c r="D442" s="3"/>
      <c r="E442" s="3"/>
      <c r="F442" s="4"/>
      <c r="G442" s="51">
        <f t="shared" ref="G442:G452" si="715">I442+K442</f>
        <v>20</v>
      </c>
      <c r="H442" s="52">
        <f t="shared" ref="H442:H452" si="716">G442/$J$5*100</f>
        <v>52.631578947368418</v>
      </c>
      <c r="I442" s="53">
        <f>COUNTIFS('00 Encuesta'!$B$2:$B$511,"*b)*",'00 Encuesta'!$C$2:$C$511,"*a)*",'00 Encuesta'!$E$2:$E$511,"*a)*",'00 Encuesta'!$BD$2:$BD$511,"*a)*")</f>
        <v>12</v>
      </c>
      <c r="J442" s="52">
        <f t="shared" ref="J442:J452" si="717">I442/$J$6*100</f>
        <v>57.142857142857139</v>
      </c>
      <c r="K442" s="53">
        <f>COUNTIFS('00 Encuesta'!$B$2:$B$511,"*b)*",'00 Encuesta'!$C$2:$C$511,"*a)*",'00 Encuesta'!$E$2:$E$511,"*b)*",'00 Encuesta'!$BD$2:$BD$511,"*a)*")</f>
        <v>8</v>
      </c>
      <c r="L442" s="52">
        <f t="shared" ref="L442:L452" si="718">K442/$J$7*100</f>
        <v>47.058823529411761</v>
      </c>
      <c r="M442" s="23"/>
      <c r="N442" s="51">
        <f t="shared" ref="N442:N452" si="719">P442+R442</f>
        <v>12</v>
      </c>
      <c r="O442" s="52">
        <f t="shared" ref="O442:O452" si="720">N442/$Q$5*100</f>
        <v>37.5</v>
      </c>
      <c r="P442" s="53">
        <f>COUNTIFS('00 Encuesta'!$B$2:$B$511,"*b)*",'00 Encuesta'!$C$2:$C$511,"*b)*",'00 Encuesta'!$E$2:$E$511,"*a)*",'00 Encuesta'!$BD$2:$BD$511,"*a)*")</f>
        <v>7</v>
      </c>
      <c r="Q442" s="52">
        <f t="shared" ref="Q442:Q452" si="721">P442/$Q$6*100</f>
        <v>41.17647058823529</v>
      </c>
      <c r="R442" s="53">
        <f>COUNTIFS('00 Encuesta'!$B$2:$B$511,"*b)*",'00 Encuesta'!$C$2:$C$511,"*b)*",'00 Encuesta'!$E$2:$E$511,"*b)*",'00 Encuesta'!$BD$2:$BD$511,"*a)*")</f>
        <v>5</v>
      </c>
      <c r="S442" s="52">
        <f t="shared" ref="S442:S452" si="722">R442/$Q$7*100</f>
        <v>33.333333333333329</v>
      </c>
      <c r="T442" s="3"/>
      <c r="U442" s="51">
        <f t="shared" ref="U442:U452" si="723">W442+Y442</f>
        <v>0</v>
      </c>
      <c r="V442" s="52" t="e">
        <f t="shared" ref="V442:V452" si="724">U442/$X$5*100</f>
        <v>#DIV/0!</v>
      </c>
      <c r="W442" s="53">
        <f>COUNTIFS('00 Encuesta'!$B$2:$B$511,"*b)*",'00 Encuesta'!$C$2:$C$511,"*d)*",'00 Encuesta'!$E$2:$E$511,"*a)*",'00 Encuesta'!$BD$2:$BD$511,"*a)*")</f>
        <v>0</v>
      </c>
      <c r="X442" s="52" t="e">
        <f t="shared" ref="X442:X452" si="725">W442/$X$6*100</f>
        <v>#DIV/0!</v>
      </c>
      <c r="Y442" s="53">
        <f>COUNTIFS('00 Encuesta'!$B$2:$B$511,"*b)*",'00 Encuesta'!$C$2:$C$511,"*d)*",'00 Encuesta'!$E$2:$E$511,"*b)*",'00 Encuesta'!$BD$2:$BD$511,"*a)*")</f>
        <v>0</v>
      </c>
      <c r="Z442" s="52" t="e">
        <f t="shared" ref="Z442:Z452" si="726">Y442/$X$7*100</f>
        <v>#DIV/0!</v>
      </c>
      <c r="AA442" s="3"/>
      <c r="AB442" s="62">
        <f t="shared" ref="AB442:AB452" si="727">G442+N442+U442</f>
        <v>32</v>
      </c>
      <c r="AC442" s="52">
        <f t="shared" ref="AC442:AC452" si="728">AB442*100/$AC$5</f>
        <v>45.714285714285715</v>
      </c>
      <c r="AD442" s="3"/>
      <c r="AE442" s="3"/>
      <c r="AF442" s="9" t="str">
        <f t="shared" ref="AF442:AF452" si="729">A442&amp;" "&amp;B442</f>
        <v>a) Mi padre</v>
      </c>
      <c r="AG442" s="72">
        <f t="shared" ref="AG442:AG452" si="730">J442</f>
        <v>57.142857142857139</v>
      </c>
      <c r="AH442" s="72">
        <f t="shared" ref="AH442:AH452" si="731">L442</f>
        <v>47.058823529411761</v>
      </c>
      <c r="AI442" s="73">
        <f t="shared" ref="AI442:AI452" si="732">H442</f>
        <v>52.631578947368418</v>
      </c>
      <c r="AJ442" s="73"/>
      <c r="AK442" s="76">
        <f t="shared" ref="AK442:AK452" si="733">Q442</f>
        <v>41.17647058823529</v>
      </c>
      <c r="AL442" s="76">
        <f t="shared" ref="AL442:AL452" si="734">S442</f>
        <v>33.333333333333329</v>
      </c>
      <c r="AM442" s="76">
        <f t="shared" ref="AM442:AM452" si="735">O442</f>
        <v>37.5</v>
      </c>
      <c r="AN442" s="76"/>
      <c r="AO442" s="81" t="e">
        <f t="shared" ref="AO442:AO452" si="736">X442</f>
        <v>#DIV/0!</v>
      </c>
      <c r="AP442" s="81" t="e">
        <f t="shared" ref="AP442:AP452" si="737">Z442</f>
        <v>#DIV/0!</v>
      </c>
      <c r="AQ442" s="81" t="e">
        <f t="shared" ref="AQ442:AQ452" si="738">V442</f>
        <v>#DIV/0!</v>
      </c>
      <c r="AR442" s="3"/>
      <c r="AS442" s="76">
        <f t="shared" si="688"/>
        <v>45.714285714285715</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ht="15.75" x14ac:dyDescent="0.3">
      <c r="A443" s="1" t="s">
        <v>18</v>
      </c>
      <c r="B443" s="2" t="s">
        <v>285</v>
      </c>
      <c r="C443" s="3"/>
      <c r="D443" s="3"/>
      <c r="E443" s="3"/>
      <c r="F443" s="4"/>
      <c r="G443" s="51">
        <f t="shared" si="715"/>
        <v>24</v>
      </c>
      <c r="H443" s="52">
        <f t="shared" si="716"/>
        <v>63.157894736842103</v>
      </c>
      <c r="I443" s="53">
        <f>COUNTIFS('00 Encuesta'!$B$2:$B$511,"*b)*",'00 Encuesta'!$C$2:$C$511,"*a)*",'00 Encuesta'!$E$2:$E$511,"*a)*",'00 Encuesta'!$BD$2:$BD$511,"*b)*")</f>
        <v>14</v>
      </c>
      <c r="J443" s="52">
        <f t="shared" si="717"/>
        <v>66.666666666666657</v>
      </c>
      <c r="K443" s="53">
        <f>COUNTIFS('00 Encuesta'!$B$2:$B$511,"*b)*",'00 Encuesta'!$C$2:$C$511,"*a)*",'00 Encuesta'!$E$2:$E$511,"*b)*",'00 Encuesta'!$BD$2:$BD$511,"*b)*")</f>
        <v>10</v>
      </c>
      <c r="L443" s="52">
        <f t="shared" si="718"/>
        <v>58.82352941176471</v>
      </c>
      <c r="M443" s="23"/>
      <c r="N443" s="51">
        <f t="shared" si="719"/>
        <v>20</v>
      </c>
      <c r="O443" s="52">
        <f t="shared" si="720"/>
        <v>62.5</v>
      </c>
      <c r="P443" s="53">
        <f>COUNTIFS('00 Encuesta'!$B$2:$B$511,"*b)*",'00 Encuesta'!$C$2:$C$511,"*b)*",'00 Encuesta'!$E$2:$E$511,"*a)*",'00 Encuesta'!$BD$2:$BD$511,"*b)*")</f>
        <v>7</v>
      </c>
      <c r="Q443" s="52">
        <f t="shared" si="721"/>
        <v>41.17647058823529</v>
      </c>
      <c r="R443" s="53">
        <f>COUNTIFS('00 Encuesta'!$B$2:$B$511,"*b)*",'00 Encuesta'!$C$2:$C$511,"*b)*",'00 Encuesta'!$E$2:$E$511,"*b)*",'00 Encuesta'!$BD$2:$BD$511,"*b)*")</f>
        <v>13</v>
      </c>
      <c r="S443" s="52">
        <f t="shared" si="722"/>
        <v>86.666666666666671</v>
      </c>
      <c r="T443" s="3"/>
      <c r="U443" s="51">
        <f t="shared" si="723"/>
        <v>0</v>
      </c>
      <c r="V443" s="52" t="e">
        <f t="shared" si="724"/>
        <v>#DIV/0!</v>
      </c>
      <c r="W443" s="53">
        <f>COUNTIFS('00 Encuesta'!$B$2:$B$511,"*b)*",'00 Encuesta'!$C$2:$C$511,"*d)*",'00 Encuesta'!$E$2:$E$511,"*a)*",'00 Encuesta'!$BD$2:$BD$511,"*b)*")</f>
        <v>0</v>
      </c>
      <c r="X443" s="52" t="e">
        <f t="shared" si="725"/>
        <v>#DIV/0!</v>
      </c>
      <c r="Y443" s="53">
        <f>COUNTIFS('00 Encuesta'!$B$2:$B$511,"*b)*",'00 Encuesta'!$C$2:$C$511,"*d)*",'00 Encuesta'!$E$2:$E$511,"*b)*",'00 Encuesta'!$BD$2:$BD$511,"*b)*")</f>
        <v>0</v>
      </c>
      <c r="Z443" s="52" t="e">
        <f t="shared" si="726"/>
        <v>#DIV/0!</v>
      </c>
      <c r="AA443" s="3"/>
      <c r="AB443" s="62">
        <f t="shared" si="727"/>
        <v>44</v>
      </c>
      <c r="AC443" s="52">
        <f t="shared" si="728"/>
        <v>62.857142857142854</v>
      </c>
      <c r="AD443" s="3"/>
      <c r="AE443" s="3"/>
      <c r="AF443" s="9" t="str">
        <f t="shared" si="729"/>
        <v>b) Mi madre</v>
      </c>
      <c r="AG443" s="72">
        <f t="shared" si="730"/>
        <v>66.666666666666657</v>
      </c>
      <c r="AH443" s="72">
        <f t="shared" si="731"/>
        <v>58.82352941176471</v>
      </c>
      <c r="AI443" s="73">
        <f t="shared" si="732"/>
        <v>63.157894736842103</v>
      </c>
      <c r="AJ443" s="73"/>
      <c r="AK443" s="76">
        <f t="shared" si="733"/>
        <v>41.17647058823529</v>
      </c>
      <c r="AL443" s="76">
        <f t="shared" si="734"/>
        <v>86.666666666666671</v>
      </c>
      <c r="AM443" s="76">
        <f t="shared" si="735"/>
        <v>62.5</v>
      </c>
      <c r="AN443" s="76"/>
      <c r="AO443" s="81" t="e">
        <f t="shared" si="736"/>
        <v>#DIV/0!</v>
      </c>
      <c r="AP443" s="81" t="e">
        <f t="shared" si="737"/>
        <v>#DIV/0!</v>
      </c>
      <c r="AQ443" s="81" t="e">
        <f t="shared" si="738"/>
        <v>#DIV/0!</v>
      </c>
      <c r="AR443" s="3"/>
      <c r="AS443" s="76">
        <f t="shared" si="688"/>
        <v>62.857142857142854</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12</v>
      </c>
      <c r="H444" s="52">
        <f t="shared" si="716"/>
        <v>31.578947368421051</v>
      </c>
      <c r="I444" s="53">
        <f>COUNTIFS('00 Encuesta'!$B$2:$B$511,"*b)*",'00 Encuesta'!$C$2:$C$511,"*a)*",'00 Encuesta'!$E$2:$E$511,"*a)*",'00 Encuesta'!$BD$2:$BD$511,"*c)*")</f>
        <v>6</v>
      </c>
      <c r="J444" s="52">
        <f t="shared" si="717"/>
        <v>28.571428571428569</v>
      </c>
      <c r="K444" s="53">
        <f>COUNTIFS('00 Encuesta'!$B$2:$B$511,"*b)*",'00 Encuesta'!$C$2:$C$511,"*a)*",'00 Encuesta'!$E$2:$E$511,"*b)*",'00 Encuesta'!$BD$2:$BD$511,"*c)*")</f>
        <v>6</v>
      </c>
      <c r="L444" s="52">
        <f t="shared" si="718"/>
        <v>35.294117647058826</v>
      </c>
      <c r="M444" s="23"/>
      <c r="N444" s="51">
        <f t="shared" si="719"/>
        <v>16</v>
      </c>
      <c r="O444" s="52">
        <f t="shared" si="720"/>
        <v>50</v>
      </c>
      <c r="P444" s="53">
        <f>COUNTIFS('00 Encuesta'!$B$2:$B$511,"*b)*",'00 Encuesta'!$C$2:$C$511,"*b)*",'00 Encuesta'!$E$2:$E$511,"*a)*",'00 Encuesta'!$BD$2:$BD$511,"*c)*")</f>
        <v>7</v>
      </c>
      <c r="Q444" s="52">
        <f t="shared" si="721"/>
        <v>41.17647058823529</v>
      </c>
      <c r="R444" s="53">
        <f>COUNTIFS('00 Encuesta'!$B$2:$B$511,"*b)*",'00 Encuesta'!$C$2:$C$511,"*b)*",'00 Encuesta'!$E$2:$E$511,"*b)*",'00 Encuesta'!$BD$2:$BD$511,"*c)*")</f>
        <v>9</v>
      </c>
      <c r="S444" s="52">
        <f t="shared" si="722"/>
        <v>60</v>
      </c>
      <c r="T444" s="3"/>
      <c r="U444" s="51">
        <f t="shared" si="723"/>
        <v>0</v>
      </c>
      <c r="V444" s="52" t="e">
        <f t="shared" si="724"/>
        <v>#DIV/0!</v>
      </c>
      <c r="W444" s="53">
        <f>COUNTIFS('00 Encuesta'!$B$2:$B$511,"*b)*",'00 Encuesta'!$C$2:$C$511,"*d)*",'00 Encuesta'!$E$2:$E$511,"*a)*",'00 Encuesta'!$BD$2:$BD$511,"*c)*")</f>
        <v>0</v>
      </c>
      <c r="X444" s="52" t="e">
        <f t="shared" si="725"/>
        <v>#DIV/0!</v>
      </c>
      <c r="Y444" s="53">
        <f>COUNTIFS('00 Encuesta'!$B$2:$B$511,"*b)*",'00 Encuesta'!$C$2:$C$511,"*d)*",'00 Encuesta'!$E$2:$E$511,"*b)*",'00 Encuesta'!$BD$2:$BD$511,"*c)*")</f>
        <v>0</v>
      </c>
      <c r="Z444" s="52" t="e">
        <f t="shared" si="726"/>
        <v>#DIV/0!</v>
      </c>
      <c r="AA444" s="3"/>
      <c r="AB444" s="62">
        <f t="shared" si="727"/>
        <v>28</v>
      </c>
      <c r="AC444" s="52">
        <f t="shared" si="728"/>
        <v>40</v>
      </c>
      <c r="AD444" s="3"/>
      <c r="AE444" s="3"/>
      <c r="AF444" s="9" t="str">
        <f t="shared" si="729"/>
        <v>c) Un hermano/a</v>
      </c>
      <c r="AG444" s="72">
        <f t="shared" si="730"/>
        <v>28.571428571428569</v>
      </c>
      <c r="AH444" s="72">
        <f t="shared" si="731"/>
        <v>35.294117647058826</v>
      </c>
      <c r="AI444" s="73">
        <f t="shared" si="732"/>
        <v>31.578947368421051</v>
      </c>
      <c r="AJ444" s="73"/>
      <c r="AK444" s="76">
        <f t="shared" si="733"/>
        <v>41.17647058823529</v>
      </c>
      <c r="AL444" s="76">
        <f t="shared" si="734"/>
        <v>60</v>
      </c>
      <c r="AM444" s="76">
        <f t="shared" si="735"/>
        <v>50</v>
      </c>
      <c r="AN444" s="76"/>
      <c r="AO444" s="81" t="e">
        <f t="shared" si="736"/>
        <v>#DIV/0!</v>
      </c>
      <c r="AP444" s="81" t="e">
        <f t="shared" si="737"/>
        <v>#DIV/0!</v>
      </c>
      <c r="AQ444" s="81" t="e">
        <f t="shared" si="738"/>
        <v>#DIV/0!</v>
      </c>
      <c r="AR444" s="3"/>
      <c r="AS444" s="76">
        <f t="shared" si="688"/>
        <v>40</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2</v>
      </c>
      <c r="H445" s="52">
        <f t="shared" si="716"/>
        <v>5.2631578947368416</v>
      </c>
      <c r="I445" s="53">
        <f>COUNTIFS('00 Encuesta'!$B$2:$B$511,"*b)*",'00 Encuesta'!$C$2:$C$511,"*a)*",'00 Encuesta'!$E$2:$E$511,"*a)*",'00 Encuesta'!$BD$2:$BD$511,"*d)*")</f>
        <v>2</v>
      </c>
      <c r="J445" s="52">
        <f t="shared" si="717"/>
        <v>9.5238095238095237</v>
      </c>
      <c r="K445" s="53">
        <f>COUNTIFS('00 Encuesta'!$B$2:$B$511,"*b)*",'00 Encuesta'!$C$2:$C$511,"*a)*",'00 Encuesta'!$E$2:$E$511,"*b)*",'00 Encuesta'!$BD$2:$BD$511,"*d)*")</f>
        <v>0</v>
      </c>
      <c r="L445" s="52">
        <f t="shared" si="718"/>
        <v>0</v>
      </c>
      <c r="M445" s="23"/>
      <c r="N445" s="51">
        <f t="shared" si="719"/>
        <v>1</v>
      </c>
      <c r="O445" s="52">
        <f t="shared" si="720"/>
        <v>3.125</v>
      </c>
      <c r="P445" s="53">
        <f>COUNTIFS('00 Encuesta'!$B$2:$B$511,"*b)*",'00 Encuesta'!$C$2:$C$511,"*b)*",'00 Encuesta'!$E$2:$E$511,"*a)*",'00 Encuesta'!$BD$2:$BD$511,"*d)*")</f>
        <v>1</v>
      </c>
      <c r="Q445" s="52">
        <f t="shared" si="721"/>
        <v>5.8823529411764701</v>
      </c>
      <c r="R445" s="53">
        <f>COUNTIFS('00 Encuesta'!$B$2:$B$511,"*b)*",'00 Encuesta'!$C$2:$C$511,"*b)*",'00 Encuesta'!$E$2:$E$511,"*b)*",'00 Encuesta'!$BD$2:$BD$511,"*d)*")</f>
        <v>0</v>
      </c>
      <c r="S445" s="52">
        <f t="shared" si="722"/>
        <v>0</v>
      </c>
      <c r="T445" s="3"/>
      <c r="U445" s="51">
        <f t="shared" si="723"/>
        <v>0</v>
      </c>
      <c r="V445" s="52" t="e">
        <f t="shared" si="724"/>
        <v>#DIV/0!</v>
      </c>
      <c r="W445" s="53">
        <f>COUNTIFS('00 Encuesta'!$B$2:$B$511,"*b)*",'00 Encuesta'!$C$2:$C$511,"*d)*",'00 Encuesta'!$E$2:$E$511,"*a)*",'00 Encuesta'!$BD$2:$BD$511,"*d)*")</f>
        <v>0</v>
      </c>
      <c r="X445" s="52" t="e">
        <f t="shared" si="725"/>
        <v>#DIV/0!</v>
      </c>
      <c r="Y445" s="53">
        <f>COUNTIFS('00 Encuesta'!$B$2:$B$511,"*b)*",'00 Encuesta'!$C$2:$C$511,"*d)*",'00 Encuesta'!$E$2:$E$511,"*b)*",'00 Encuesta'!$BD$2:$BD$511,"*d)*")</f>
        <v>0</v>
      </c>
      <c r="Z445" s="52" t="e">
        <f t="shared" si="726"/>
        <v>#DIV/0!</v>
      </c>
      <c r="AA445" s="3"/>
      <c r="AB445" s="62">
        <f t="shared" si="727"/>
        <v>3</v>
      </c>
      <c r="AC445" s="52">
        <f t="shared" si="728"/>
        <v>4.2857142857142856</v>
      </c>
      <c r="AD445" s="3"/>
      <c r="AE445" s="3"/>
      <c r="AF445" s="9" t="str">
        <f t="shared" si="729"/>
        <v>d) Un escolapio, religioso o religiosa</v>
      </c>
      <c r="AG445" s="72">
        <f t="shared" si="730"/>
        <v>9.5238095238095237</v>
      </c>
      <c r="AH445" s="72">
        <f t="shared" si="731"/>
        <v>0</v>
      </c>
      <c r="AI445" s="73">
        <f t="shared" si="732"/>
        <v>5.2631578947368416</v>
      </c>
      <c r="AJ445" s="73"/>
      <c r="AK445" s="76">
        <f t="shared" si="733"/>
        <v>5.8823529411764701</v>
      </c>
      <c r="AL445" s="76">
        <f t="shared" si="734"/>
        <v>0</v>
      </c>
      <c r="AM445" s="76">
        <f t="shared" si="735"/>
        <v>3.125</v>
      </c>
      <c r="AN445" s="76"/>
      <c r="AO445" s="81" t="e">
        <f t="shared" si="736"/>
        <v>#DIV/0!</v>
      </c>
      <c r="AP445" s="81" t="e">
        <f t="shared" si="737"/>
        <v>#DIV/0!</v>
      </c>
      <c r="AQ445" s="81" t="e">
        <f t="shared" si="738"/>
        <v>#DIV/0!</v>
      </c>
      <c r="AR445" s="3"/>
      <c r="AS445" s="76">
        <f t="shared" si="688"/>
        <v>4.2857142857142856</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7</v>
      </c>
      <c r="H446" s="52">
        <f t="shared" si="716"/>
        <v>18.421052631578945</v>
      </c>
      <c r="I446" s="53">
        <f>COUNTIFS('00 Encuesta'!$B$2:$B$511,"*b)*",'00 Encuesta'!$C$2:$C$511,"*a)*",'00 Encuesta'!$E$2:$E$511,"*a)*",'00 Encuesta'!$BD$2:$BD$511,"*e)*")</f>
        <v>5</v>
      </c>
      <c r="J446" s="52">
        <f t="shared" si="717"/>
        <v>23.809523809523807</v>
      </c>
      <c r="K446" s="53">
        <f>COUNTIFS('00 Encuesta'!$B$2:$B$511,"*b)*",'00 Encuesta'!$C$2:$C$511,"*a)*",'00 Encuesta'!$E$2:$E$511,"*b)*",'00 Encuesta'!$BD$2:$BD$511,"*e)*")</f>
        <v>2</v>
      </c>
      <c r="L446" s="52">
        <f t="shared" si="718"/>
        <v>11.76470588235294</v>
      </c>
      <c r="M446" s="23"/>
      <c r="N446" s="51">
        <f t="shared" si="719"/>
        <v>6</v>
      </c>
      <c r="O446" s="52">
        <f t="shared" si="720"/>
        <v>18.75</v>
      </c>
      <c r="P446" s="53">
        <f>COUNTIFS('00 Encuesta'!$B$2:$B$511,"*b)*",'00 Encuesta'!$C$2:$C$511,"*b)*",'00 Encuesta'!$E$2:$E$511,"*a)*",'00 Encuesta'!$BD$2:$BD$511,"*e)*")</f>
        <v>3</v>
      </c>
      <c r="Q446" s="52">
        <f t="shared" si="721"/>
        <v>17.647058823529413</v>
      </c>
      <c r="R446" s="53">
        <f>COUNTIFS('00 Encuesta'!$B$2:$B$511,"*b)*",'00 Encuesta'!$C$2:$C$511,"*b)*",'00 Encuesta'!$E$2:$E$511,"*b)*",'00 Encuesta'!$BD$2:$BD$511,"*e)*")</f>
        <v>3</v>
      </c>
      <c r="S446" s="52">
        <f t="shared" si="722"/>
        <v>20</v>
      </c>
      <c r="T446" s="3"/>
      <c r="U446" s="51">
        <f t="shared" si="723"/>
        <v>0</v>
      </c>
      <c r="V446" s="52" t="e">
        <f t="shared" si="724"/>
        <v>#DIV/0!</v>
      </c>
      <c r="W446" s="53">
        <f>COUNTIFS('00 Encuesta'!$B$2:$B$511,"*b)*",'00 Encuesta'!$C$2:$C$511,"*d)*",'00 Encuesta'!$E$2:$E$511,"*a)*",'00 Encuesta'!$BD$2:$BD$511,"*e)*")</f>
        <v>0</v>
      </c>
      <c r="X446" s="52" t="e">
        <f t="shared" si="725"/>
        <v>#DIV/0!</v>
      </c>
      <c r="Y446" s="53">
        <f>COUNTIFS('00 Encuesta'!$B$2:$B$511,"*b)*",'00 Encuesta'!$C$2:$C$511,"*d)*",'00 Encuesta'!$E$2:$E$511,"*b)*",'00 Encuesta'!$BD$2:$BD$511,"*e)*")</f>
        <v>0</v>
      </c>
      <c r="Z446" s="52" t="e">
        <f t="shared" si="726"/>
        <v>#DIV/0!</v>
      </c>
      <c r="AA446" s="3"/>
      <c r="AB446" s="62">
        <f t="shared" si="727"/>
        <v>13</v>
      </c>
      <c r="AC446" s="52">
        <f t="shared" si="728"/>
        <v>18.571428571428573</v>
      </c>
      <c r="AD446" s="3"/>
      <c r="AE446" s="3"/>
      <c r="AF446" s="9" t="str">
        <f t="shared" si="729"/>
        <v>e) Una, una docente</v>
      </c>
      <c r="AG446" s="72">
        <f t="shared" si="730"/>
        <v>23.809523809523807</v>
      </c>
      <c r="AH446" s="72">
        <f t="shared" si="731"/>
        <v>11.76470588235294</v>
      </c>
      <c r="AI446" s="73">
        <f t="shared" si="732"/>
        <v>18.421052631578945</v>
      </c>
      <c r="AJ446" s="73"/>
      <c r="AK446" s="76">
        <f t="shared" si="733"/>
        <v>17.647058823529413</v>
      </c>
      <c r="AL446" s="76">
        <f t="shared" si="734"/>
        <v>20</v>
      </c>
      <c r="AM446" s="76">
        <f t="shared" si="735"/>
        <v>18.75</v>
      </c>
      <c r="AN446" s="76"/>
      <c r="AO446" s="81" t="e">
        <f t="shared" si="736"/>
        <v>#DIV/0!</v>
      </c>
      <c r="AP446" s="81" t="e">
        <f t="shared" si="737"/>
        <v>#DIV/0!</v>
      </c>
      <c r="AQ446" s="81" t="e">
        <f t="shared" si="738"/>
        <v>#DIV/0!</v>
      </c>
      <c r="AR446" s="3"/>
      <c r="AS446" s="76">
        <f t="shared" si="688"/>
        <v>18.571428571428573</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4</v>
      </c>
      <c r="H447" s="52">
        <f t="shared" si="716"/>
        <v>10.526315789473683</v>
      </c>
      <c r="I447" s="53">
        <f>COUNTIFS('00 Encuesta'!$B$2:$B$511,"*b)*",'00 Encuesta'!$C$2:$C$511,"*a)*",'00 Encuesta'!$E$2:$E$511,"*a)*",'00 Encuesta'!$BD$2:$BD$511,"*f)*")</f>
        <v>3</v>
      </c>
      <c r="J447" s="52">
        <f t="shared" si="717"/>
        <v>14.285714285714285</v>
      </c>
      <c r="K447" s="53">
        <f>COUNTIFS('00 Encuesta'!$B$2:$B$511,"*b)*",'00 Encuesta'!$C$2:$C$511,"*a)*",'00 Encuesta'!$E$2:$E$511,"*b)*",'00 Encuesta'!$BD$2:$BD$511,"*f)*")</f>
        <v>1</v>
      </c>
      <c r="L447" s="52">
        <f t="shared" si="718"/>
        <v>5.8823529411764701</v>
      </c>
      <c r="M447" s="23"/>
      <c r="N447" s="51">
        <f t="shared" si="719"/>
        <v>2</v>
      </c>
      <c r="O447" s="52">
        <f t="shared" si="720"/>
        <v>6.25</v>
      </c>
      <c r="P447" s="53">
        <f>COUNTIFS('00 Encuesta'!$B$2:$B$511,"*b)*",'00 Encuesta'!$C$2:$C$511,"*b)*",'00 Encuesta'!$E$2:$E$511,"*a)*",'00 Encuesta'!$BD$2:$BD$511,"*f)*")</f>
        <v>1</v>
      </c>
      <c r="Q447" s="52">
        <f t="shared" si="721"/>
        <v>5.8823529411764701</v>
      </c>
      <c r="R447" s="53">
        <f>COUNTIFS('00 Encuesta'!$B$2:$B$511,"*b)*",'00 Encuesta'!$C$2:$C$511,"*b)*",'00 Encuesta'!$E$2:$E$511,"*b)*",'00 Encuesta'!$BD$2:$BD$511,"*f)*")</f>
        <v>1</v>
      </c>
      <c r="S447" s="52">
        <f t="shared" si="722"/>
        <v>6.666666666666667</v>
      </c>
      <c r="T447" s="3"/>
      <c r="U447" s="51">
        <f t="shared" si="723"/>
        <v>0</v>
      </c>
      <c r="V447" s="52" t="e">
        <f t="shared" si="724"/>
        <v>#DIV/0!</v>
      </c>
      <c r="W447" s="53">
        <f>COUNTIFS('00 Encuesta'!$B$2:$B$511,"*b)*",'00 Encuesta'!$C$2:$C$511,"*d)*",'00 Encuesta'!$E$2:$E$511,"*a)*",'00 Encuesta'!$BD$2:$BD$511,"*f)*")</f>
        <v>0</v>
      </c>
      <c r="X447" s="52" t="e">
        <f t="shared" si="725"/>
        <v>#DIV/0!</v>
      </c>
      <c r="Y447" s="53">
        <f>COUNTIFS('00 Encuesta'!$B$2:$B$511,"*b)*",'00 Encuesta'!$C$2:$C$511,"*d)*",'00 Encuesta'!$E$2:$E$511,"*b)*",'00 Encuesta'!$BD$2:$BD$511,"*f)*")</f>
        <v>0</v>
      </c>
      <c r="Z447" s="52" t="e">
        <f t="shared" si="726"/>
        <v>#DIV/0!</v>
      </c>
      <c r="AA447" s="3"/>
      <c r="AB447" s="62">
        <f t="shared" si="727"/>
        <v>6</v>
      </c>
      <c r="AC447" s="52">
        <f t="shared" si="728"/>
        <v>8.5714285714285712</v>
      </c>
      <c r="AD447" s="3"/>
      <c r="AE447" s="3"/>
      <c r="AF447" s="9" t="str">
        <f t="shared" si="729"/>
        <v>f) La orientadora</v>
      </c>
      <c r="AG447" s="72">
        <f t="shared" si="730"/>
        <v>14.285714285714285</v>
      </c>
      <c r="AH447" s="72">
        <f t="shared" si="731"/>
        <v>5.8823529411764701</v>
      </c>
      <c r="AI447" s="73">
        <f t="shared" si="732"/>
        <v>10.526315789473683</v>
      </c>
      <c r="AJ447" s="73"/>
      <c r="AK447" s="76">
        <f t="shared" si="733"/>
        <v>5.8823529411764701</v>
      </c>
      <c r="AL447" s="76">
        <f t="shared" si="734"/>
        <v>6.666666666666667</v>
      </c>
      <c r="AM447" s="76">
        <f t="shared" si="735"/>
        <v>6.25</v>
      </c>
      <c r="AN447" s="76"/>
      <c r="AO447" s="81" t="e">
        <f t="shared" si="736"/>
        <v>#DIV/0!</v>
      </c>
      <c r="AP447" s="81" t="e">
        <f t="shared" si="737"/>
        <v>#DIV/0!</v>
      </c>
      <c r="AQ447" s="81" t="e">
        <f t="shared" si="738"/>
        <v>#DIV/0!</v>
      </c>
      <c r="AR447" s="3"/>
      <c r="AS447" s="76">
        <f t="shared" si="688"/>
        <v>8.5714285714285712</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16</v>
      </c>
      <c r="H448" s="52">
        <f t="shared" si="716"/>
        <v>42.105263157894733</v>
      </c>
      <c r="I448" s="53">
        <f>COUNTIFS('00 Encuesta'!$B$2:$B$511,"*b)*",'00 Encuesta'!$C$2:$C$511,"*a)*",'00 Encuesta'!$E$2:$E$511,"*a)*",'00 Encuesta'!$BD$2:$BD$511,"*g)*")</f>
        <v>8</v>
      </c>
      <c r="J448" s="52">
        <f t="shared" si="717"/>
        <v>38.095238095238095</v>
      </c>
      <c r="K448" s="53">
        <f>COUNTIFS('00 Encuesta'!$B$2:$B$511,"*b)*",'00 Encuesta'!$C$2:$C$511,"*a)*",'00 Encuesta'!$E$2:$E$511,"*b)*",'00 Encuesta'!$BD$2:$BD$511,"*g)*")</f>
        <v>8</v>
      </c>
      <c r="L448" s="52">
        <f t="shared" si="718"/>
        <v>47.058823529411761</v>
      </c>
      <c r="M448" s="23"/>
      <c r="N448" s="51">
        <f t="shared" si="719"/>
        <v>18</v>
      </c>
      <c r="O448" s="52">
        <f t="shared" si="720"/>
        <v>56.25</v>
      </c>
      <c r="P448" s="53">
        <f>COUNTIFS('00 Encuesta'!$B$2:$B$511,"*b)*",'00 Encuesta'!$C$2:$C$511,"*b)*",'00 Encuesta'!$E$2:$E$511,"*a)*",'00 Encuesta'!$BD$2:$BD$511,"*g)*")</f>
        <v>12</v>
      </c>
      <c r="Q448" s="52">
        <f t="shared" si="721"/>
        <v>70.588235294117652</v>
      </c>
      <c r="R448" s="53">
        <f>COUNTIFS('00 Encuesta'!$B$2:$B$511,"*b)*",'00 Encuesta'!$C$2:$C$511,"*b)*",'00 Encuesta'!$E$2:$E$511,"*b)*",'00 Encuesta'!$BD$2:$BD$511,"*g)*")</f>
        <v>6</v>
      </c>
      <c r="S448" s="52">
        <f t="shared" si="722"/>
        <v>40</v>
      </c>
      <c r="T448" s="3"/>
      <c r="U448" s="51">
        <f t="shared" si="723"/>
        <v>0</v>
      </c>
      <c r="V448" s="52" t="e">
        <f t="shared" si="724"/>
        <v>#DIV/0!</v>
      </c>
      <c r="W448" s="53">
        <f>COUNTIFS('00 Encuesta'!$B$2:$B$511,"*b)*",'00 Encuesta'!$C$2:$C$511,"*d)*",'00 Encuesta'!$E$2:$E$511,"*a)*",'00 Encuesta'!$BD$2:$BD$511,"*g)*")</f>
        <v>0</v>
      </c>
      <c r="X448" s="52" t="e">
        <f t="shared" si="725"/>
        <v>#DIV/0!</v>
      </c>
      <c r="Y448" s="53">
        <f>COUNTIFS('00 Encuesta'!$B$2:$B$511,"*b)*",'00 Encuesta'!$C$2:$C$511,"*d)*",'00 Encuesta'!$E$2:$E$511,"*b)*",'00 Encuesta'!$BD$2:$BD$511,"*g)*")</f>
        <v>0</v>
      </c>
      <c r="Z448" s="52" t="e">
        <f t="shared" si="726"/>
        <v>#DIV/0!</v>
      </c>
      <c r="AA448" s="3"/>
      <c r="AB448" s="62">
        <f t="shared" si="727"/>
        <v>34</v>
      </c>
      <c r="AC448" s="52">
        <f t="shared" si="728"/>
        <v>48.571428571428569</v>
      </c>
      <c r="AD448" s="3"/>
      <c r="AE448" s="3"/>
      <c r="AF448" s="9" t="str">
        <f t="shared" si="729"/>
        <v>g) Un amigo</v>
      </c>
      <c r="AG448" s="72">
        <f t="shared" si="730"/>
        <v>38.095238095238095</v>
      </c>
      <c r="AH448" s="72">
        <f t="shared" si="731"/>
        <v>47.058823529411761</v>
      </c>
      <c r="AI448" s="73">
        <f t="shared" si="732"/>
        <v>42.105263157894733</v>
      </c>
      <c r="AJ448" s="73"/>
      <c r="AK448" s="76">
        <f t="shared" si="733"/>
        <v>70.588235294117652</v>
      </c>
      <c r="AL448" s="76">
        <f t="shared" si="734"/>
        <v>40</v>
      </c>
      <c r="AM448" s="76">
        <f t="shared" si="735"/>
        <v>56.25</v>
      </c>
      <c r="AN448" s="76"/>
      <c r="AO448" s="81" t="e">
        <f t="shared" si="736"/>
        <v>#DIV/0!</v>
      </c>
      <c r="AP448" s="81" t="e">
        <f t="shared" si="737"/>
        <v>#DIV/0!</v>
      </c>
      <c r="AQ448" s="81" t="e">
        <f t="shared" si="738"/>
        <v>#DIV/0!</v>
      </c>
      <c r="AR448" s="3"/>
      <c r="AS448" s="76">
        <f t="shared" si="688"/>
        <v>48.571428571428569</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18</v>
      </c>
      <c r="H449" s="52">
        <f t="shared" si="716"/>
        <v>47.368421052631575</v>
      </c>
      <c r="I449" s="53">
        <f>COUNTIFS('00 Encuesta'!$B$2:$B$511,"*b)*",'00 Encuesta'!$C$2:$C$511,"*a)*",'00 Encuesta'!$E$2:$E$511,"*a)*",'00 Encuesta'!$BD$2:$BD$511,"*h)*")</f>
        <v>4</v>
      </c>
      <c r="J449" s="52">
        <f t="shared" si="717"/>
        <v>19.047619047619047</v>
      </c>
      <c r="K449" s="53">
        <f>COUNTIFS('00 Encuesta'!$B$2:$B$511,"*b)*",'00 Encuesta'!$C$2:$C$511,"*a)*",'00 Encuesta'!$E$2:$E$511,"*b)*",'00 Encuesta'!$BD$2:$BD$511,"*h)*")</f>
        <v>14</v>
      </c>
      <c r="L449" s="52">
        <f t="shared" si="718"/>
        <v>82.35294117647058</v>
      </c>
      <c r="M449" s="23"/>
      <c r="N449" s="51">
        <f t="shared" si="719"/>
        <v>23</v>
      </c>
      <c r="O449" s="52">
        <f t="shared" si="720"/>
        <v>71.875</v>
      </c>
      <c r="P449" s="53">
        <f>COUNTIFS('00 Encuesta'!$B$2:$B$511,"*b)*",'00 Encuesta'!$C$2:$C$511,"*b)*",'00 Encuesta'!$E$2:$E$511,"*a)*",'00 Encuesta'!$BD$2:$BD$511,"*h)*")</f>
        <v>9</v>
      </c>
      <c r="Q449" s="52">
        <f t="shared" si="721"/>
        <v>52.941176470588239</v>
      </c>
      <c r="R449" s="53">
        <f>COUNTIFS('00 Encuesta'!$B$2:$B$511,"*b)*",'00 Encuesta'!$C$2:$C$511,"*b)*",'00 Encuesta'!$E$2:$E$511,"*b)*",'00 Encuesta'!$BD$2:$BD$511,"*h)*")</f>
        <v>14</v>
      </c>
      <c r="S449" s="52">
        <f t="shared" si="722"/>
        <v>93.333333333333329</v>
      </c>
      <c r="T449" s="3"/>
      <c r="U449" s="51">
        <f t="shared" si="723"/>
        <v>0</v>
      </c>
      <c r="V449" s="52" t="e">
        <f t="shared" si="724"/>
        <v>#DIV/0!</v>
      </c>
      <c r="W449" s="53">
        <f>COUNTIFS('00 Encuesta'!$B$2:$B$511,"*b)*",'00 Encuesta'!$C$2:$C$511,"*d)*",'00 Encuesta'!$E$2:$E$511,"*a)*",'00 Encuesta'!$BD$2:$BD$511,"*h)*")</f>
        <v>0</v>
      </c>
      <c r="X449" s="52" t="e">
        <f t="shared" si="725"/>
        <v>#DIV/0!</v>
      </c>
      <c r="Y449" s="53">
        <f>COUNTIFS('00 Encuesta'!$B$2:$B$511,"*b)*",'00 Encuesta'!$C$2:$C$511,"*d)*",'00 Encuesta'!$E$2:$E$511,"*b)*",'00 Encuesta'!$BD$2:$BD$511,"*h)*")</f>
        <v>0</v>
      </c>
      <c r="Z449" s="52" t="e">
        <f t="shared" si="726"/>
        <v>#DIV/0!</v>
      </c>
      <c r="AA449" s="3"/>
      <c r="AB449" s="62">
        <f t="shared" si="727"/>
        <v>41</v>
      </c>
      <c r="AC449" s="52">
        <f t="shared" si="728"/>
        <v>58.571428571428569</v>
      </c>
      <c r="AD449" s="3"/>
      <c r="AE449" s="3"/>
      <c r="AF449" s="9" t="str">
        <f t="shared" si="729"/>
        <v>h) Una amiga</v>
      </c>
      <c r="AG449" s="72">
        <f t="shared" si="730"/>
        <v>19.047619047619047</v>
      </c>
      <c r="AH449" s="72">
        <f t="shared" si="731"/>
        <v>82.35294117647058</v>
      </c>
      <c r="AI449" s="73">
        <f t="shared" si="732"/>
        <v>47.368421052631575</v>
      </c>
      <c r="AJ449" s="73"/>
      <c r="AK449" s="76">
        <f t="shared" si="733"/>
        <v>52.941176470588239</v>
      </c>
      <c r="AL449" s="76">
        <f t="shared" si="734"/>
        <v>93.333333333333329</v>
      </c>
      <c r="AM449" s="76">
        <f t="shared" si="735"/>
        <v>71.875</v>
      </c>
      <c r="AN449" s="76"/>
      <c r="AO449" s="81" t="e">
        <f t="shared" si="736"/>
        <v>#DIV/0!</v>
      </c>
      <c r="AP449" s="81" t="e">
        <f t="shared" si="737"/>
        <v>#DIV/0!</v>
      </c>
      <c r="AQ449" s="81" t="e">
        <f t="shared" si="738"/>
        <v>#DIV/0!</v>
      </c>
      <c r="AR449" s="3"/>
      <c r="AS449" s="76">
        <f t="shared" si="688"/>
        <v>58.571428571428569</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1</v>
      </c>
      <c r="H450" s="52">
        <f t="shared" si="716"/>
        <v>2.6315789473684208</v>
      </c>
      <c r="I450" s="53">
        <f>COUNTIFS('00 Encuesta'!$B$2:$B$511,"*b)*",'00 Encuesta'!$C$2:$C$511,"*a)*",'00 Encuesta'!$E$2:$E$511,"*a)*",'00 Encuesta'!$BD$2:$BD$511,"*i)*")</f>
        <v>1</v>
      </c>
      <c r="J450" s="52">
        <f t="shared" si="717"/>
        <v>4.7619047619047619</v>
      </c>
      <c r="K450" s="53">
        <f>COUNTIFS('00 Encuesta'!$B$2:$B$511,"*b)*",'00 Encuesta'!$C$2:$C$511,"*a)*",'00 Encuesta'!$E$2:$E$511,"*b)*",'00 Encuesta'!$BD$2:$BD$511,"*i)*")</f>
        <v>0</v>
      </c>
      <c r="L450" s="52">
        <f t="shared" si="718"/>
        <v>0</v>
      </c>
      <c r="M450" s="23"/>
      <c r="N450" s="51">
        <f t="shared" si="719"/>
        <v>0</v>
      </c>
      <c r="O450" s="52">
        <f t="shared" si="720"/>
        <v>0</v>
      </c>
      <c r="P450" s="53">
        <f>COUNTIFS('00 Encuesta'!$B$2:$B$511,"*b)*",'00 Encuesta'!$C$2:$C$511,"*b)*",'00 Encuesta'!$E$2:$E$511,"*a)*",'00 Encuesta'!$BD$2:$BD$511,"*i)*")</f>
        <v>0</v>
      </c>
      <c r="Q450" s="52">
        <f t="shared" si="721"/>
        <v>0</v>
      </c>
      <c r="R450" s="53">
        <f>COUNTIFS('00 Encuesta'!$B$2:$B$511,"*b)*",'00 Encuesta'!$C$2:$C$511,"*b)*",'00 Encuesta'!$E$2:$E$511,"*b)*",'00 Encuesta'!$BD$2:$BD$511,"*i)*")</f>
        <v>0</v>
      </c>
      <c r="S450" s="52">
        <f t="shared" si="722"/>
        <v>0</v>
      </c>
      <c r="T450" s="3"/>
      <c r="U450" s="51">
        <f t="shared" si="723"/>
        <v>0</v>
      </c>
      <c r="V450" s="52" t="e">
        <f t="shared" si="724"/>
        <v>#DIV/0!</v>
      </c>
      <c r="W450" s="53">
        <f>COUNTIFS('00 Encuesta'!$B$2:$B$511,"*b)*",'00 Encuesta'!$C$2:$C$511,"*d)*",'00 Encuesta'!$E$2:$E$511,"*a)*",'00 Encuesta'!$BD$2:$BD$511,"*i)*")</f>
        <v>0</v>
      </c>
      <c r="X450" s="52" t="e">
        <f t="shared" si="725"/>
        <v>#DIV/0!</v>
      </c>
      <c r="Y450" s="53">
        <f>COUNTIFS('00 Encuesta'!$B$2:$B$511,"*b)*",'00 Encuesta'!$C$2:$C$511,"*d)*",'00 Encuesta'!$E$2:$E$511,"*b)*",'00 Encuesta'!$BD$2:$BD$511,"*i)*")</f>
        <v>0</v>
      </c>
      <c r="Z450" s="52" t="e">
        <f t="shared" si="726"/>
        <v>#DIV/0!</v>
      </c>
      <c r="AA450" s="3"/>
      <c r="AB450" s="62">
        <f t="shared" si="727"/>
        <v>1</v>
      </c>
      <c r="AC450" s="52">
        <f t="shared" si="728"/>
        <v>1.4285714285714286</v>
      </c>
      <c r="AD450" s="3"/>
      <c r="AE450" s="3"/>
      <c r="AF450" s="9" t="str">
        <f t="shared" si="729"/>
        <v>i) Un, una catequista o responsable de grupo</v>
      </c>
      <c r="AG450" s="72">
        <f t="shared" si="730"/>
        <v>4.7619047619047619</v>
      </c>
      <c r="AH450" s="72">
        <f t="shared" si="731"/>
        <v>0</v>
      </c>
      <c r="AI450" s="73">
        <f t="shared" si="732"/>
        <v>2.6315789473684208</v>
      </c>
      <c r="AJ450" s="73"/>
      <c r="AK450" s="76">
        <f t="shared" si="733"/>
        <v>0</v>
      </c>
      <c r="AL450" s="76">
        <f t="shared" si="734"/>
        <v>0</v>
      </c>
      <c r="AM450" s="76">
        <f t="shared" si="735"/>
        <v>0</v>
      </c>
      <c r="AN450" s="76"/>
      <c r="AO450" s="81" t="e">
        <f t="shared" si="736"/>
        <v>#DIV/0!</v>
      </c>
      <c r="AP450" s="81" t="e">
        <f t="shared" si="737"/>
        <v>#DIV/0!</v>
      </c>
      <c r="AQ450" s="81" t="e">
        <f t="shared" si="738"/>
        <v>#DIV/0!</v>
      </c>
      <c r="AR450" s="3"/>
      <c r="AS450" s="76">
        <f t="shared" si="688"/>
        <v>1.4285714285714286</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6</v>
      </c>
      <c r="H451" s="52">
        <f t="shared" si="716"/>
        <v>15.789473684210526</v>
      </c>
      <c r="I451" s="53">
        <f>COUNTIFS('00 Encuesta'!$B$2:$B$511,"*b)*",'00 Encuesta'!$C$2:$C$511,"*a)*",'00 Encuesta'!$E$2:$E$511,"*a)*",'00 Encuesta'!$BD$2:$BD$511,"*j)*")</f>
        <v>3</v>
      </c>
      <c r="J451" s="52">
        <f t="shared" si="717"/>
        <v>14.285714285714285</v>
      </c>
      <c r="K451" s="53">
        <f>COUNTIFS('00 Encuesta'!$B$2:$B$511,"*b)*",'00 Encuesta'!$C$2:$C$511,"*a)*",'00 Encuesta'!$E$2:$E$511,"*b)*",'00 Encuesta'!$BD$2:$BD$511,"*j)*")</f>
        <v>3</v>
      </c>
      <c r="L451" s="52">
        <f t="shared" si="718"/>
        <v>17.647058823529413</v>
      </c>
      <c r="M451" s="23"/>
      <c r="N451" s="51">
        <f t="shared" si="719"/>
        <v>1</v>
      </c>
      <c r="O451" s="52">
        <f t="shared" si="720"/>
        <v>3.125</v>
      </c>
      <c r="P451" s="53">
        <f>COUNTIFS('00 Encuesta'!$B$2:$B$511,"*b)*",'00 Encuesta'!$C$2:$C$511,"*b)*",'00 Encuesta'!$E$2:$E$511,"*a)*",'00 Encuesta'!$BD$2:$BD$511,"*j)*")</f>
        <v>1</v>
      </c>
      <c r="Q451" s="52">
        <f t="shared" si="721"/>
        <v>5.8823529411764701</v>
      </c>
      <c r="R451" s="53">
        <f>COUNTIFS('00 Encuesta'!$B$2:$B$511,"*b)*",'00 Encuesta'!$C$2:$C$511,"*b)*",'00 Encuesta'!$E$2:$E$511,"*b)*",'00 Encuesta'!$BD$2:$BD$511,"*j)*")</f>
        <v>0</v>
      </c>
      <c r="S451" s="52">
        <f t="shared" si="722"/>
        <v>0</v>
      </c>
      <c r="T451" s="3"/>
      <c r="U451" s="51">
        <f t="shared" si="723"/>
        <v>0</v>
      </c>
      <c r="V451" s="52" t="e">
        <f t="shared" si="724"/>
        <v>#DIV/0!</v>
      </c>
      <c r="W451" s="53">
        <f>COUNTIFS('00 Encuesta'!$B$2:$B$511,"*b)*",'00 Encuesta'!$C$2:$C$511,"*d)*",'00 Encuesta'!$E$2:$E$511,"*a)*",'00 Encuesta'!$BD$2:$BD$511,"*j)*")</f>
        <v>0</v>
      </c>
      <c r="X451" s="52" t="e">
        <f t="shared" si="725"/>
        <v>#DIV/0!</v>
      </c>
      <c r="Y451" s="53">
        <f>COUNTIFS('00 Encuesta'!$B$2:$B$511,"*b)*",'00 Encuesta'!$C$2:$C$511,"*d)*",'00 Encuesta'!$E$2:$E$511,"*b)*",'00 Encuesta'!$BD$2:$BD$511,"*j)*")</f>
        <v>0</v>
      </c>
      <c r="Z451" s="52" t="e">
        <f t="shared" si="726"/>
        <v>#DIV/0!</v>
      </c>
      <c r="AA451" s="3"/>
      <c r="AB451" s="62">
        <f t="shared" si="727"/>
        <v>7</v>
      </c>
      <c r="AC451" s="52">
        <f t="shared" si="728"/>
        <v>10</v>
      </c>
      <c r="AD451" s="3"/>
      <c r="AE451" s="3"/>
      <c r="AF451" s="9" t="str">
        <f t="shared" si="729"/>
        <v>j) Nadie</v>
      </c>
      <c r="AG451" s="72">
        <f t="shared" si="730"/>
        <v>14.285714285714285</v>
      </c>
      <c r="AH451" s="72">
        <f t="shared" si="731"/>
        <v>17.647058823529413</v>
      </c>
      <c r="AI451" s="73">
        <f t="shared" si="732"/>
        <v>15.789473684210526</v>
      </c>
      <c r="AJ451" s="73"/>
      <c r="AK451" s="76">
        <f t="shared" si="733"/>
        <v>5.8823529411764701</v>
      </c>
      <c r="AL451" s="76">
        <f t="shared" si="734"/>
        <v>0</v>
      </c>
      <c r="AM451" s="76">
        <f t="shared" si="735"/>
        <v>3.125</v>
      </c>
      <c r="AN451" s="76"/>
      <c r="AO451" s="81" t="e">
        <f t="shared" si="736"/>
        <v>#DIV/0!</v>
      </c>
      <c r="AP451" s="81" t="e">
        <f t="shared" si="737"/>
        <v>#DIV/0!</v>
      </c>
      <c r="AQ451" s="81" t="e">
        <f t="shared" si="738"/>
        <v>#DIV/0!</v>
      </c>
      <c r="AR451" s="3"/>
      <c r="AS451" s="76">
        <f t="shared" si="688"/>
        <v>10</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2</v>
      </c>
      <c r="H452" s="52">
        <f t="shared" si="716"/>
        <v>5.2631578947368416</v>
      </c>
      <c r="I452" s="53">
        <f>COUNTIFS('00 Encuesta'!$B$2:$B$511,"*b)*",'00 Encuesta'!$C$2:$C$511,"*a)*",'00 Encuesta'!$E$2:$E$511,"*a)*",'00 Encuesta'!$BD$2:$BD$511,"*k)*")</f>
        <v>2</v>
      </c>
      <c r="J452" s="52">
        <f t="shared" si="717"/>
        <v>9.5238095238095237</v>
      </c>
      <c r="K452" s="53">
        <f>COUNTIFS('00 Encuesta'!$B$2:$B$511,"*b)*",'00 Encuesta'!$C$2:$C$511,"*a)*",'00 Encuesta'!$E$2:$E$511,"*b)*",'00 Encuesta'!$BD$2:$BD$511,"*k)*")</f>
        <v>0</v>
      </c>
      <c r="L452" s="52">
        <f t="shared" si="718"/>
        <v>0</v>
      </c>
      <c r="M452" s="23"/>
      <c r="N452" s="51">
        <f t="shared" si="719"/>
        <v>0</v>
      </c>
      <c r="O452" s="52">
        <f t="shared" si="720"/>
        <v>0</v>
      </c>
      <c r="P452" s="53">
        <f>COUNTIFS('00 Encuesta'!$B$2:$B$511,"*b)*",'00 Encuesta'!$C$2:$C$511,"*b)*",'00 Encuesta'!$E$2:$E$511,"*a)*",'00 Encuesta'!$BD$2:$BD$511,"*k)*")</f>
        <v>0</v>
      </c>
      <c r="Q452" s="52">
        <f t="shared" si="721"/>
        <v>0</v>
      </c>
      <c r="R452" s="53">
        <f>COUNTIFS('00 Encuesta'!$B$2:$B$511,"*b)*",'00 Encuesta'!$C$2:$C$511,"*b)*",'00 Encuesta'!$E$2:$E$511,"*b)*",'00 Encuesta'!$BD$2:$BD$511,"*k)*")</f>
        <v>0</v>
      </c>
      <c r="S452" s="52">
        <f t="shared" si="722"/>
        <v>0</v>
      </c>
      <c r="T452" s="3"/>
      <c r="U452" s="51">
        <f t="shared" si="723"/>
        <v>0</v>
      </c>
      <c r="V452" s="52" t="e">
        <f t="shared" si="724"/>
        <v>#DIV/0!</v>
      </c>
      <c r="W452" s="53">
        <f>COUNTIFS('00 Encuesta'!$B$2:$B$511,"*b)*",'00 Encuesta'!$C$2:$C$511,"*d)*",'00 Encuesta'!$E$2:$E$511,"*a)*",'00 Encuesta'!$BD$2:$BD$511,"*k)*")</f>
        <v>0</v>
      </c>
      <c r="X452" s="52" t="e">
        <f t="shared" si="725"/>
        <v>#DIV/0!</v>
      </c>
      <c r="Y452" s="53">
        <f>COUNTIFS('00 Encuesta'!$B$2:$B$511,"*b)*",'00 Encuesta'!$C$2:$C$511,"*d)*",'00 Encuesta'!$E$2:$E$511,"*b)*",'00 Encuesta'!$BD$2:$BD$511,"*k)*")</f>
        <v>0</v>
      </c>
      <c r="Z452" s="52" t="e">
        <f t="shared" si="726"/>
        <v>#DIV/0!</v>
      </c>
      <c r="AA452" s="3"/>
      <c r="AB452" s="62">
        <f t="shared" si="727"/>
        <v>2</v>
      </c>
      <c r="AC452" s="52">
        <f t="shared" si="728"/>
        <v>2.8571428571428572</v>
      </c>
      <c r="AD452" s="3"/>
      <c r="AE452" s="3"/>
      <c r="AF452" s="9" t="str">
        <f t="shared" si="729"/>
        <v>k) No tengo problemas personales</v>
      </c>
      <c r="AG452" s="72">
        <f t="shared" si="730"/>
        <v>9.5238095238095237</v>
      </c>
      <c r="AH452" s="72">
        <f t="shared" si="731"/>
        <v>0</v>
      </c>
      <c r="AI452" s="73">
        <f t="shared" si="732"/>
        <v>5.2631578947368416</v>
      </c>
      <c r="AJ452" s="73"/>
      <c r="AK452" s="76">
        <f t="shared" si="733"/>
        <v>0</v>
      </c>
      <c r="AL452" s="76">
        <f t="shared" si="734"/>
        <v>0</v>
      </c>
      <c r="AM452" s="76">
        <f t="shared" si="735"/>
        <v>0</v>
      </c>
      <c r="AN452" s="76"/>
      <c r="AO452" s="81" t="e">
        <f t="shared" si="736"/>
        <v>#DIV/0!</v>
      </c>
      <c r="AP452" s="81" t="e">
        <f t="shared" si="737"/>
        <v>#DIV/0!</v>
      </c>
      <c r="AQ452" s="81" t="e">
        <f t="shared" si="738"/>
        <v>#DIV/0!</v>
      </c>
      <c r="AR452" s="3"/>
      <c r="AS452" s="76">
        <f t="shared" si="688"/>
        <v>2.8571428571428572</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topLeftCell="A419" workbookViewId="0">
      <selection activeCell="A422"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38</v>
      </c>
      <c r="K5" s="14" t="s">
        <v>7</v>
      </c>
      <c r="L5" s="15"/>
      <c r="M5" s="6"/>
      <c r="N5" s="93" t="s">
        <v>502</v>
      </c>
      <c r="O5" s="14"/>
      <c r="P5" s="13"/>
      <c r="Q5" s="13">
        <f>SUM(Q6:Q7)</f>
        <v>32</v>
      </c>
      <c r="R5" s="14" t="s">
        <v>7</v>
      </c>
      <c r="S5" s="15"/>
      <c r="T5" s="6"/>
      <c r="U5" s="93" t="s">
        <v>610</v>
      </c>
      <c r="V5" s="14"/>
      <c r="W5" s="13"/>
      <c r="X5" s="13">
        <f>SUM(X6:X7)</f>
        <v>39</v>
      </c>
      <c r="Y5" s="16" t="s">
        <v>7</v>
      </c>
      <c r="Z5" s="17"/>
      <c r="AA5" s="3"/>
      <c r="AB5" s="18" t="s">
        <v>8</v>
      </c>
      <c r="AC5" s="19">
        <f>J5+Q5+X5</f>
        <v>109</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Encuesta'!$B$2:$B$511,"*b)*",'00 Encuesta'!$C$2:$C$511,"*a)*",'00 Encuesta'!$E$2:$E$511,"*a)*")</f>
        <v>21</v>
      </c>
      <c r="K6" s="25" t="s">
        <v>523</v>
      </c>
      <c r="L6" s="26"/>
      <c r="M6" s="6"/>
      <c r="N6" s="27"/>
      <c r="O6" s="24"/>
      <c r="P6" s="24"/>
      <c r="Q6" s="23">
        <f>COUNTIFS('00 Encuesta'!$B$2:$B$511,"*b)*",'00 Encuesta'!$C$2:$C$511,"*b)*",'00 Encuesta'!$E$2:$E$511,"*a)*")</f>
        <v>17</v>
      </c>
      <c r="R6" s="25" t="s">
        <v>523</v>
      </c>
      <c r="S6" s="26"/>
      <c r="T6" s="6"/>
      <c r="U6" s="27"/>
      <c r="V6" s="24"/>
      <c r="W6" s="24"/>
      <c r="X6" s="23">
        <f>COUNTIFS('00 Encuesta'!$B$2:$B$511,"*b)*",'00 Encuesta'!$C$2:$C$511,"*c)*",'00 Encuesta'!$E$2:$E$511,"*a)*")</f>
        <v>21</v>
      </c>
      <c r="Y6" s="28" t="s">
        <v>523</v>
      </c>
      <c r="Z6" s="29"/>
      <c r="AA6" s="3"/>
      <c r="AB6" s="24"/>
      <c r="AC6" s="19">
        <f>J6+Q6+X6</f>
        <v>59</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Encuesta'!$B$2:$B$511,"*b)*",'00 Encuesta'!$C$2:$C$511,"*a)*",'00 Encuesta'!$E$2:$E$511,"*b)*")</f>
        <v>17</v>
      </c>
      <c r="K7" s="36" t="s">
        <v>524</v>
      </c>
      <c r="L7" s="37"/>
      <c r="M7" s="6"/>
      <c r="N7" s="38"/>
      <c r="O7" s="35"/>
      <c r="P7" s="35"/>
      <c r="Q7" s="34">
        <f>COUNTIFS('00 Encuesta'!$B$2:$B$511,"*b)*",'00 Encuesta'!$C$2:$C$511,"*b)*",'00 Encuesta'!$E$2:$E$511,"*b)*")</f>
        <v>15</v>
      </c>
      <c r="R7" s="36" t="s">
        <v>524</v>
      </c>
      <c r="S7" s="37"/>
      <c r="T7" s="6"/>
      <c r="U7" s="38"/>
      <c r="V7" s="35"/>
      <c r="W7" s="35"/>
      <c r="X7" s="34">
        <f>COUNTIFS('00 Encuesta'!$B$2:$B$511,"*b)*",'00 Encuesta'!$C$2:$C$511,"*c)*",'00 Encuesta'!$E$2:$E$511,"*b)*")</f>
        <v>18</v>
      </c>
      <c r="Y7" s="39" t="s">
        <v>524</v>
      </c>
      <c r="Z7" s="40"/>
      <c r="AA7" s="3"/>
      <c r="AB7" s="24"/>
      <c r="AC7" s="19">
        <f>J7+Q7+X7</f>
        <v>50</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611</v>
      </c>
      <c r="X9" s="48"/>
      <c r="Y9" s="46"/>
      <c r="Z9" s="47"/>
      <c r="AA9" s="3"/>
      <c r="AB9" s="49" t="s">
        <v>612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613</v>
      </c>
      <c r="AP12" s="67" t="s">
        <v>614</v>
      </c>
      <c r="AQ12" s="67" t="s">
        <v>610</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25</v>
      </c>
      <c r="H15" s="52">
        <f>G15/$J$5*100</f>
        <v>65.789473684210535</v>
      </c>
      <c r="I15" s="53">
        <f>COUNTIFS('00 Encuesta'!$B$2:$B$511,"*b)*",'00 Encuesta'!$C$2:$C$511,"*a)*",'00 Encuesta'!$E$2:$E$511,"*a)*",'00 Encuesta'!$D$2:$D$511,"*a)*")</f>
        <v>14</v>
      </c>
      <c r="J15" s="52">
        <f>I15/$J$6*100</f>
        <v>66.666666666666657</v>
      </c>
      <c r="K15" s="53">
        <f>COUNTIFS('00 Encuesta'!$B$2:$B$511,"*b)*",'00 Encuesta'!$C$2:$C$511,"*a)*",'00 Encuesta'!$E$2:$E$511,"*b)*",'00 Encuesta'!$D$2:$D$511,"*a)*")</f>
        <v>11</v>
      </c>
      <c r="L15" s="52">
        <f>K15/$J$7*100</f>
        <v>64.705882352941174</v>
      </c>
      <c r="M15" s="23"/>
      <c r="N15" s="51">
        <f>P15+R15</f>
        <v>19</v>
      </c>
      <c r="O15" s="52">
        <f>N15/$Q$5*100</f>
        <v>59.375</v>
      </c>
      <c r="P15" s="53">
        <f>COUNTIFS('00 Encuesta'!$B$2:$B$511,"*b)*",'00 Encuesta'!$C$2:$C$511,"*b)*",'00 Encuesta'!$E$2:$E$511,"*a)*",'00 Encuesta'!$D$2:$D$511,"*a)*")</f>
        <v>11</v>
      </c>
      <c r="Q15" s="52">
        <f>P15/$Q$6*100</f>
        <v>64.705882352941174</v>
      </c>
      <c r="R15" s="53">
        <f>COUNTIFS('00 Encuesta'!$B$2:$B$511,"*b)*",'00 Encuesta'!$C$2:$C$511,"*b)*",'00 Encuesta'!$E$2:$E$511,"*b)*",'00 Encuesta'!$D$2:$D$511,"*a)*")</f>
        <v>8</v>
      </c>
      <c r="S15" s="52">
        <f>R15/$Q$7*100</f>
        <v>53.333333333333336</v>
      </c>
      <c r="T15" s="3"/>
      <c r="U15" s="51">
        <f>W15+Y15</f>
        <v>23</v>
      </c>
      <c r="V15" s="52">
        <f>U15/$X$5*100</f>
        <v>58.974358974358978</v>
      </c>
      <c r="W15" s="53">
        <f>COUNTIFS('00 Encuesta'!$B$2:$B$511,"*b)*",'00 Encuesta'!$C$2:$C$511,"*c)*",'00 Encuesta'!$E$2:$E$511,"*a)*",'00 Encuesta'!$D$2:$D$511,"*a)*")</f>
        <v>11</v>
      </c>
      <c r="X15" s="52">
        <f>W15/$X$6*100</f>
        <v>52.380952380952387</v>
      </c>
      <c r="Y15" s="53">
        <f>COUNTIFS('00 Encuesta'!$B$2:$B$511,"*b)*",'00 Encuesta'!$C$2:$C$511,"*c)*",'00 Encuesta'!$E$2:$E$511,"*b)*",'00 Encuesta'!$D$2:$D$511,"*a)*")</f>
        <v>12</v>
      </c>
      <c r="Z15" s="52">
        <f>Y15/$X$7*100</f>
        <v>66.666666666666657</v>
      </c>
      <c r="AA15" s="3"/>
      <c r="AB15" s="62">
        <f>G15+N15+U15</f>
        <v>67</v>
      </c>
      <c r="AC15" s="52">
        <f>AB15*100/$AC$5</f>
        <v>61.467889908256879</v>
      </c>
      <c r="AD15" s="7"/>
      <c r="AE15" s="7"/>
      <c r="AF15" s="9" t="str">
        <f t="shared" si="0"/>
        <v>a) Educación Inicial</v>
      </c>
      <c r="AG15" s="72">
        <f>J15</f>
        <v>66.666666666666657</v>
      </c>
      <c r="AH15" s="72">
        <f>L15</f>
        <v>64.705882352941174</v>
      </c>
      <c r="AI15" s="73">
        <f>H15</f>
        <v>65.789473684210535</v>
      </c>
      <c r="AJ15" s="73"/>
      <c r="AK15" s="74">
        <f>Q15</f>
        <v>64.705882352941174</v>
      </c>
      <c r="AL15" s="74">
        <f>S15</f>
        <v>53.333333333333336</v>
      </c>
      <c r="AM15" s="74">
        <f>O15</f>
        <v>59.375</v>
      </c>
      <c r="AN15" s="74"/>
      <c r="AO15" s="75">
        <f>X15</f>
        <v>52.380952380952387</v>
      </c>
      <c r="AP15" s="75">
        <f>Z15</f>
        <v>66.666666666666657</v>
      </c>
      <c r="AQ15" s="75">
        <f>V15</f>
        <v>58.974358974358978</v>
      </c>
      <c r="AR15" s="76"/>
      <c r="AS15" s="76">
        <f>AC15</f>
        <v>61.467889908256879</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7</v>
      </c>
      <c r="H16" s="52">
        <f>G16/$J$5*100</f>
        <v>18.421052631578945</v>
      </c>
      <c r="I16" s="53">
        <f>COUNTIFS('00 Encuesta'!$B$2:$B$511,"*b)*",'00 Encuesta'!$C$2:$C$511,"*a)*",'00 Encuesta'!$E$2:$E$511,"*a)*",'00 Encuesta'!$D$2:$D$511,"*b)*")</f>
        <v>5</v>
      </c>
      <c r="J16" s="52">
        <f>I16/$J$6*100</f>
        <v>23.809523809523807</v>
      </c>
      <c r="K16" s="53">
        <f>COUNTIFS('00 Encuesta'!$B$2:$B$511,"*b)*",'00 Encuesta'!$C$2:$C$511,"*a)*",'00 Encuesta'!$E$2:$E$511,"*b)*",'00 Encuesta'!$D$2:$D$511,"*b)*")</f>
        <v>2</v>
      </c>
      <c r="L16" s="52">
        <f>K16/$J$7*100</f>
        <v>11.76470588235294</v>
      </c>
      <c r="M16" s="23"/>
      <c r="N16" s="51">
        <f>P16+R16</f>
        <v>9</v>
      </c>
      <c r="O16" s="52">
        <f>N16/$Q$5*100</f>
        <v>28.125</v>
      </c>
      <c r="P16" s="53">
        <f>COUNTIFS('00 Encuesta'!$B$2:$B$511,"*b)*",'00 Encuesta'!$C$2:$C$511,"*b)*",'00 Encuesta'!$E$2:$E$511,"*a)*",'00 Encuesta'!$D$2:$D$511,"*b)*")</f>
        <v>4</v>
      </c>
      <c r="Q16" s="52">
        <f>P16/$Q$6*100</f>
        <v>23.52941176470588</v>
      </c>
      <c r="R16" s="53">
        <f>COUNTIFS('00 Encuesta'!$B$2:$B$511,"*b)*",'00 Encuesta'!$C$2:$C$511,"*b)*",'00 Encuesta'!$E$2:$E$511,"*b)*",'00 Encuesta'!$D$2:$D$511,"*b)*")</f>
        <v>5</v>
      </c>
      <c r="S16" s="52">
        <f>R16/$Q$7*100</f>
        <v>33.333333333333329</v>
      </c>
      <c r="T16" s="3"/>
      <c r="U16" s="51">
        <f>W16+Y16</f>
        <v>8</v>
      </c>
      <c r="V16" s="52">
        <f>U16/$X$5*100</f>
        <v>20.512820512820511</v>
      </c>
      <c r="W16" s="53">
        <f>COUNTIFS('00 Encuesta'!$B$2:$B$511,"*b)*",'00 Encuesta'!$C$2:$C$511,"*c)*",'00 Encuesta'!$E$2:$E$511,"*a)*",'00 Encuesta'!$D$2:$D$511,"*b)*")</f>
        <v>5</v>
      </c>
      <c r="X16" s="52">
        <f>W16/$X$6*100</f>
        <v>23.809523809523807</v>
      </c>
      <c r="Y16" s="53">
        <f>COUNTIFS('00 Encuesta'!$B$2:$B$511,"*b)*",'00 Encuesta'!$C$2:$C$511,"*c)*",'00 Encuesta'!$E$2:$E$511,"*b)*",'00 Encuesta'!$D$2:$D$511,"*b)*")</f>
        <v>3</v>
      </c>
      <c r="Z16" s="52">
        <f>Y16/$X$7*100</f>
        <v>16.666666666666664</v>
      </c>
      <c r="AA16" s="3"/>
      <c r="AB16" s="62">
        <f>G16+N16+U16</f>
        <v>24</v>
      </c>
      <c r="AC16" s="52">
        <f>AB16*100/$AC$5</f>
        <v>22.01834862385321</v>
      </c>
      <c r="AD16" s="7"/>
      <c r="AE16" s="7"/>
      <c r="AF16" s="9" t="str">
        <f t="shared" si="0"/>
        <v>b) Primaria</v>
      </c>
      <c r="AG16" s="72">
        <f>J16</f>
        <v>23.809523809523807</v>
      </c>
      <c r="AH16" s="72">
        <f>L16</f>
        <v>11.76470588235294</v>
      </c>
      <c r="AI16" s="73">
        <f>H16</f>
        <v>18.421052631578945</v>
      </c>
      <c r="AJ16" s="73"/>
      <c r="AK16" s="74">
        <f>Q16</f>
        <v>23.52941176470588</v>
      </c>
      <c r="AL16" s="74">
        <f>S16</f>
        <v>33.333333333333329</v>
      </c>
      <c r="AM16" s="74">
        <f>O16</f>
        <v>28.125</v>
      </c>
      <c r="AN16" s="74"/>
      <c r="AO16" s="75">
        <f>X16</f>
        <v>23.809523809523807</v>
      </c>
      <c r="AP16" s="75">
        <f>Z16</f>
        <v>16.666666666666664</v>
      </c>
      <c r="AQ16" s="75">
        <f>V16</f>
        <v>20.512820512820511</v>
      </c>
      <c r="AR16" s="76"/>
      <c r="AS16" s="76">
        <f t="shared" ref="AS16:AS79" si="1">AC16</f>
        <v>22.01834862385321</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6</v>
      </c>
      <c r="H17" s="52">
        <f>G17/$J$5*100</f>
        <v>15.789473684210526</v>
      </c>
      <c r="I17" s="53">
        <f>COUNTIFS('00 Encuesta'!$B$2:$B$511,"*b)*",'00 Encuesta'!$C$2:$C$511,"*a)*",'00 Encuesta'!$E$2:$E$511,"*a)*",'00 Encuesta'!$D$2:$D$511,"*c)*")</f>
        <v>2</v>
      </c>
      <c r="J17" s="52">
        <f>I17/$J$6*100</f>
        <v>9.5238095238095237</v>
      </c>
      <c r="K17" s="53">
        <f>COUNTIFS('00 Encuesta'!$B$2:$B$511,"*b)*",'00 Encuesta'!$C$2:$C$511,"*a)*",'00 Encuesta'!$E$2:$E$511,"*b)*",'00 Encuesta'!$D$2:$D$511,"*c)*")</f>
        <v>4</v>
      </c>
      <c r="L17" s="52">
        <f>K17/$J$7*100</f>
        <v>23.52941176470588</v>
      </c>
      <c r="M17" s="23"/>
      <c r="N17" s="51">
        <f>P17+R17</f>
        <v>4</v>
      </c>
      <c r="O17" s="52">
        <f>N17/$Q$5*100</f>
        <v>12.5</v>
      </c>
      <c r="P17" s="53">
        <f>COUNTIFS('00 Encuesta'!$B$2:$B$511,"*b)*",'00 Encuesta'!$C$2:$C$511,"*b)*",'00 Encuesta'!$E$2:$E$511,"*a)*",'00 Encuesta'!$D$2:$D$511,"*c)*")</f>
        <v>2</v>
      </c>
      <c r="Q17" s="52">
        <f>P17/$Q$6*100</f>
        <v>11.76470588235294</v>
      </c>
      <c r="R17" s="53">
        <f>COUNTIFS('00 Encuesta'!$B$2:$B$511,"*b)*",'00 Encuesta'!$C$2:$C$511,"*b)*",'00 Encuesta'!$E$2:$E$511,"*b)*",'00 Encuesta'!$D$2:$D$511,"*c)*")</f>
        <v>2</v>
      </c>
      <c r="S17" s="52">
        <f>R17/$Q$7*100</f>
        <v>13.333333333333334</v>
      </c>
      <c r="T17" s="3"/>
      <c r="U17" s="51">
        <f>W17+Y17</f>
        <v>1</v>
      </c>
      <c r="V17" s="52">
        <f>U17/$X$5*100</f>
        <v>2.5641025641025639</v>
      </c>
      <c r="W17" s="53">
        <f>COUNTIFS('00 Encuesta'!$B$2:$B$511,"*b)*",'00 Encuesta'!$C$2:$C$511,"*c)*",'00 Encuesta'!$E$2:$E$511,"*a)*",'00 Encuesta'!$D$2:$D$511,"*c)*")</f>
        <v>0</v>
      </c>
      <c r="X17" s="52">
        <f>W17/$X$6*100</f>
        <v>0</v>
      </c>
      <c r="Y17" s="53">
        <f>COUNTIFS('00 Encuesta'!$B$2:$B$511,"*b)*",'00 Encuesta'!$C$2:$C$511,"*c)*",'00 Encuesta'!$E$2:$E$511,"*b)*",'00 Encuesta'!$D$2:$D$511,"*c)*")</f>
        <v>1</v>
      </c>
      <c r="Z17" s="52">
        <f>Y17/$X$7*100</f>
        <v>5.5555555555555554</v>
      </c>
      <c r="AA17" s="3"/>
      <c r="AB17" s="62">
        <f>G17+N17+U17</f>
        <v>11</v>
      </c>
      <c r="AC17" s="52">
        <f>AB17*100/$AC$5</f>
        <v>10.091743119266056</v>
      </c>
      <c r="AD17" s="7"/>
      <c r="AE17" s="7"/>
      <c r="AF17" s="9" t="str">
        <f t="shared" si="0"/>
        <v>c) Entre Primero y Tercer año</v>
      </c>
      <c r="AG17" s="72">
        <f>J17</f>
        <v>9.5238095238095237</v>
      </c>
      <c r="AH17" s="72">
        <f>L17</f>
        <v>23.52941176470588</v>
      </c>
      <c r="AI17" s="73">
        <f>H17</f>
        <v>15.789473684210526</v>
      </c>
      <c r="AJ17" s="73"/>
      <c r="AK17" s="74">
        <f>Q17</f>
        <v>11.76470588235294</v>
      </c>
      <c r="AL17" s="74">
        <f>S17</f>
        <v>13.333333333333334</v>
      </c>
      <c r="AM17" s="74">
        <f>O17</f>
        <v>12.5</v>
      </c>
      <c r="AN17" s="74"/>
      <c r="AO17" s="75">
        <f>X17</f>
        <v>0</v>
      </c>
      <c r="AP17" s="75">
        <f>Z17</f>
        <v>5.5555555555555554</v>
      </c>
      <c r="AQ17" s="75">
        <f>V17</f>
        <v>2.5641025641025639</v>
      </c>
      <c r="AR17" s="76"/>
      <c r="AS17" s="76">
        <f t="shared" si="1"/>
        <v>10.091743119266056</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f>G18/$J$5*100</f>
        <v>0</v>
      </c>
      <c r="I18" s="53">
        <f>COUNTIFS('00 Encuesta'!$B$2:$B$511,"*b)*",'00 Encuesta'!$C$2:$C$511,"*a)*",'00 Encuesta'!$E$2:$E$511,"*a)*",'00 Encuesta'!$D$2:$D$511,"*d)*")</f>
        <v>0</v>
      </c>
      <c r="J18" s="52">
        <f>I18/$J$6*100</f>
        <v>0</v>
      </c>
      <c r="K18" s="53">
        <f>COUNTIFS('00 Encuesta'!$B$2:$B$511,"*b)*",'00 Encuesta'!$C$2:$C$511,"*a)*",'00 Encuesta'!$E$2:$E$511,"*b)*",'00 Encuesta'!$D$2:$D$511,"*d)*")</f>
        <v>0</v>
      </c>
      <c r="L18" s="52">
        <f>K18/$J$7*100</f>
        <v>0</v>
      </c>
      <c r="M18" s="23"/>
      <c r="N18" s="51">
        <f>P18+R18</f>
        <v>0</v>
      </c>
      <c r="O18" s="52">
        <f>N18/$Q$5*100</f>
        <v>0</v>
      </c>
      <c r="P18" s="53">
        <f>COUNTIFS('00 Encuesta'!$B$2:$B$511,"*b)*",'00 Encuesta'!$C$2:$C$511,"*b)*",'00 Encuesta'!$E$2:$E$511,"*a)*",'00 Encuesta'!$D$2:$D$511,"*d)*")</f>
        <v>0</v>
      </c>
      <c r="Q18" s="52">
        <f>P18/$Q$6*100</f>
        <v>0</v>
      </c>
      <c r="R18" s="53">
        <f>COUNTIFS('00 Encuesta'!$B$2:$B$511,"*b)*",'00 Encuesta'!$C$2:$C$511,"*b)*",'00 Encuesta'!$E$2:$E$511,"*b)*",'00 Encuesta'!$D$2:$D$511,"*d)*")</f>
        <v>0</v>
      </c>
      <c r="S18" s="52">
        <f>R18/$Q$7*100</f>
        <v>0</v>
      </c>
      <c r="T18" s="3"/>
      <c r="U18" s="51">
        <f>W18+Y18</f>
        <v>7</v>
      </c>
      <c r="V18" s="52">
        <f>U18/$X$5*100</f>
        <v>17.948717948717949</v>
      </c>
      <c r="W18" s="53">
        <f>COUNTIFS('00 Encuesta'!$B$2:$B$511,"*b)*",'00 Encuesta'!$C$2:$C$511,"*c)*",'00 Encuesta'!$E$2:$E$511,"*a)*",'00 Encuesta'!$D$2:$D$511,"*d)*")</f>
        <v>5</v>
      </c>
      <c r="X18" s="52">
        <f>W18/$X$6*100</f>
        <v>23.809523809523807</v>
      </c>
      <c r="Y18" s="53">
        <f>COUNTIFS('00 Encuesta'!$B$2:$B$511,"*b)*",'00 Encuesta'!$C$2:$C$511,"*c)*",'00 Encuesta'!$E$2:$E$511,"*b)*",'00 Encuesta'!$D$2:$D$511,"*d)*")</f>
        <v>2</v>
      </c>
      <c r="Z18" s="52">
        <f>Y18/$X$7*100</f>
        <v>11.111111111111111</v>
      </c>
      <c r="AA18" s="3"/>
      <c r="AB18" s="62">
        <f>G18+N18+U18</f>
        <v>7</v>
      </c>
      <c r="AC18" s="52">
        <f>AB18*100/$AC$5</f>
        <v>6.4220183486238529</v>
      </c>
      <c r="AD18" s="7"/>
      <c r="AE18" s="7"/>
      <c r="AF18" s="9" t="str">
        <f t="shared" si="0"/>
        <v>d) En  Cuarto año o posterior</v>
      </c>
      <c r="AG18" s="72">
        <f>J18</f>
        <v>0</v>
      </c>
      <c r="AH18" s="72">
        <f>L18</f>
        <v>0</v>
      </c>
      <c r="AI18" s="73">
        <f>H18</f>
        <v>0</v>
      </c>
      <c r="AJ18" s="73"/>
      <c r="AK18" s="74">
        <f>Q18</f>
        <v>0</v>
      </c>
      <c r="AL18" s="74">
        <f>S18</f>
        <v>0</v>
      </c>
      <c r="AM18" s="74">
        <f>O18</f>
        <v>0</v>
      </c>
      <c r="AN18" s="74"/>
      <c r="AO18" s="75">
        <f>X18</f>
        <v>23.809523809523807</v>
      </c>
      <c r="AP18" s="75">
        <f>Z18</f>
        <v>11.111111111111111</v>
      </c>
      <c r="AQ18" s="75">
        <f>V18</f>
        <v>17.948717948717949</v>
      </c>
      <c r="AR18" s="76"/>
      <c r="AS18" s="76">
        <f t="shared" si="1"/>
        <v>6.4220183486238529</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f>N19/$Q$5*100</f>
        <v>0</v>
      </c>
      <c r="P19" s="53"/>
      <c r="Q19" s="52">
        <f>P19/$Q$6*100</f>
        <v>0</v>
      </c>
      <c r="R19" s="53"/>
      <c r="S19" s="52">
        <f>R19/$Q$7*100</f>
        <v>0</v>
      </c>
      <c r="T19" s="3"/>
      <c r="U19" s="51">
        <f>W19+Y19</f>
        <v>0</v>
      </c>
      <c r="V19" s="52">
        <f>U19/$X$5*100</f>
        <v>0</v>
      </c>
      <c r="W19" s="53"/>
      <c r="X19" s="52">
        <f>W19/$X$6*100</f>
        <v>0</v>
      </c>
      <c r="Y19" s="53"/>
      <c r="Z19" s="52">
        <f>Y19/$X$7*100</f>
        <v>0</v>
      </c>
      <c r="AA19" s="3"/>
      <c r="AB19" s="62">
        <f>G19+N19+U19</f>
        <v>0</v>
      </c>
      <c r="AC19" s="52">
        <f>AB19*100/$AC$5</f>
        <v>0</v>
      </c>
      <c r="AD19" s="7"/>
      <c r="AE19" s="7"/>
      <c r="AF19" s="9" t="str">
        <f t="shared" si="0"/>
        <v>S/R Sin Respuesta</v>
      </c>
      <c r="AG19" s="72">
        <f>J19</f>
        <v>0</v>
      </c>
      <c r="AH19" s="72">
        <f>L19</f>
        <v>0</v>
      </c>
      <c r="AI19" s="73">
        <f>H19</f>
        <v>0</v>
      </c>
      <c r="AJ19" s="73"/>
      <c r="AK19" s="74">
        <f>Q19</f>
        <v>0</v>
      </c>
      <c r="AL19" s="74">
        <f>S19</f>
        <v>0</v>
      </c>
      <c r="AM19" s="74">
        <f>O19</f>
        <v>0</v>
      </c>
      <c r="AN19" s="74"/>
      <c r="AO19" s="75">
        <f>X19</f>
        <v>0</v>
      </c>
      <c r="AP19" s="75">
        <f>Z19</f>
        <v>0</v>
      </c>
      <c r="AQ19" s="75">
        <f>V19</f>
        <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35</v>
      </c>
      <c r="H23" s="52">
        <f>G23/$J$5*100</f>
        <v>92.10526315789474</v>
      </c>
      <c r="I23" s="53">
        <f>COUNTIFS('00 Encuesta'!$B$2:$B$511,"*b)*",'00 Encuesta'!$C$2:$C$511,"*a)*",'00 Encuesta'!$E$2:$E$511,"*a)*",'00 Encuesta'!$F$2:$F$511,"*a)*")</f>
        <v>20</v>
      </c>
      <c r="J23" s="52">
        <f>I23/$J$6*100</f>
        <v>95.238095238095227</v>
      </c>
      <c r="K23" s="53">
        <f>COUNTIFS('00 Encuesta'!$B$2:$B$511,"*b)*",'00 Encuesta'!$C$2:$C$511,"*a)*",'00 Encuesta'!$E$2:$E$511,"*b)*",'00 Encuesta'!$F$2:$F$511,"*a)*")</f>
        <v>15</v>
      </c>
      <c r="L23" s="52">
        <f>K23/$J$7*100</f>
        <v>88.235294117647058</v>
      </c>
      <c r="M23" s="23"/>
      <c r="N23" s="51">
        <f>P23+R23</f>
        <v>32</v>
      </c>
      <c r="O23" s="52">
        <f>N23/$Q$5*100</f>
        <v>100</v>
      </c>
      <c r="P23" s="53">
        <f>COUNTIFS('00 Encuesta'!$B$2:$B$511,"*b)*",'00 Encuesta'!$C$2:$C$511,"*b)*",'00 Encuesta'!$E$2:$E$511,"*a)*",'00 Encuesta'!$F$2:$F$511,"*a)*")</f>
        <v>17</v>
      </c>
      <c r="Q23" s="52">
        <f>P23/$Q$6*100</f>
        <v>100</v>
      </c>
      <c r="R23" s="53">
        <f>COUNTIFS('00 Encuesta'!$B$2:$B$511,"*b)*",'00 Encuesta'!$C$2:$C$511,"*b)*",'00 Encuesta'!$E$2:$E$511,"*b)*",'00 Encuesta'!$F$2:$F$511,"*a)*")</f>
        <v>15</v>
      </c>
      <c r="S23" s="52">
        <f>R23/$Q$7*100</f>
        <v>100</v>
      </c>
      <c r="T23" s="3"/>
      <c r="U23" s="51">
        <f>W23+Y23</f>
        <v>32</v>
      </c>
      <c r="V23" s="52">
        <f>U23/$X$5*100</f>
        <v>82.051282051282044</v>
      </c>
      <c r="W23" s="53">
        <f>COUNTIFS('00 Encuesta'!$B$2:$B$511,"*b)*",'00 Encuesta'!$C$2:$C$511,"*c)*",'00 Encuesta'!$E$2:$E$511,"*a)*",'00 Encuesta'!$F$2:$F$511,"*a)*")</f>
        <v>18</v>
      </c>
      <c r="X23" s="52">
        <f>W23/$X$6*100</f>
        <v>85.714285714285708</v>
      </c>
      <c r="Y23" s="53">
        <f>COUNTIFS('00 Encuesta'!$B$2:$B$511,"*b)*",'00 Encuesta'!$C$2:$C$511,"*c)*",'00 Encuesta'!$E$2:$E$511,"*b)*",'00 Encuesta'!$F$2:$F$511,"*a)*")</f>
        <v>14</v>
      </c>
      <c r="Z23" s="52">
        <f>Y23/$X$7*100</f>
        <v>77.777777777777786</v>
      </c>
      <c r="AA23" s="3"/>
      <c r="AB23" s="62">
        <f>G23+N23+U23</f>
        <v>99</v>
      </c>
      <c r="AC23" s="52">
        <f>AB23*100/$AC$5</f>
        <v>90.825688073394502</v>
      </c>
      <c r="AD23" s="7"/>
      <c r="AE23" s="7"/>
      <c r="AF23" s="9" t="str">
        <f>A23&amp;" "&amp;B23</f>
        <v>a) Católica</v>
      </c>
      <c r="AG23" s="72">
        <f>J23</f>
        <v>95.238095238095227</v>
      </c>
      <c r="AH23" s="72">
        <f>L23</f>
        <v>88.235294117647058</v>
      </c>
      <c r="AI23" s="73">
        <f>H23</f>
        <v>92.10526315789474</v>
      </c>
      <c r="AJ23" s="73"/>
      <c r="AK23" s="74">
        <f>Q23</f>
        <v>100</v>
      </c>
      <c r="AL23" s="74">
        <f>S23</f>
        <v>100</v>
      </c>
      <c r="AM23" s="74">
        <f>O23</f>
        <v>100</v>
      </c>
      <c r="AN23" s="74"/>
      <c r="AO23" s="75">
        <f>X23</f>
        <v>85.714285714285708</v>
      </c>
      <c r="AP23" s="75">
        <f>Z23</f>
        <v>77.777777777777786</v>
      </c>
      <c r="AQ23" s="75">
        <f>V23</f>
        <v>82.051282051282044</v>
      </c>
      <c r="AR23" s="7"/>
      <c r="AS23" s="76">
        <f t="shared" si="1"/>
        <v>90.825688073394502</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2</v>
      </c>
      <c r="H24" s="52">
        <f>G24/$J$5*100</f>
        <v>5.2631578947368416</v>
      </c>
      <c r="I24" s="53">
        <f>COUNTIFS('00 Encuesta'!$B$2:$B$511,"*b)*",'00 Encuesta'!$C$2:$C$511,"*a)*",'00 Encuesta'!$E$2:$E$511,"*a)*",'00 Encuesta'!$F$2:$F$511,"*b)*")</f>
        <v>1</v>
      </c>
      <c r="J24" s="52">
        <f>I24/$J$6*100</f>
        <v>4.7619047619047619</v>
      </c>
      <c r="K24" s="53">
        <f>COUNTIFS('00 Encuesta'!$B$2:$B$511,"*b)*",'00 Encuesta'!$C$2:$C$511,"*a)*",'00 Encuesta'!$E$2:$E$511,"*b)*",'00 Encuesta'!$F$2:$F$511,"*b)*")</f>
        <v>1</v>
      </c>
      <c r="L24" s="52">
        <f>K24/$J$7*100</f>
        <v>5.8823529411764701</v>
      </c>
      <c r="M24" s="23"/>
      <c r="N24" s="51">
        <f>P24+R24</f>
        <v>0</v>
      </c>
      <c r="O24" s="52">
        <f>N24/$Q$5*100</f>
        <v>0</v>
      </c>
      <c r="P24" s="53">
        <f>COUNTIFS('00 Encuesta'!$B$2:$B$511,"*b)*",'00 Encuesta'!$C$2:$C$511,"*b)*",'00 Encuesta'!$E$2:$E$511,"*a)*",'00 Encuesta'!$F$2:$F$511,"*b)*")</f>
        <v>0</v>
      </c>
      <c r="Q24" s="52">
        <f>P24/$Q$6*100</f>
        <v>0</v>
      </c>
      <c r="R24" s="53">
        <f>COUNTIFS('00 Encuesta'!$B$2:$B$511,"*b)*",'00 Encuesta'!$C$2:$C$511,"*b)*",'00 Encuesta'!$E$2:$E$511,"*b)*",'00 Encuesta'!$F$2:$F$511,"*b)*")</f>
        <v>0</v>
      </c>
      <c r="S24" s="52">
        <f>R24/$Q$7*100</f>
        <v>0</v>
      </c>
      <c r="T24" s="3"/>
      <c r="U24" s="51">
        <f>W24+Y24</f>
        <v>1</v>
      </c>
      <c r="V24" s="52">
        <f>U24/$X$5*100</f>
        <v>2.5641025641025639</v>
      </c>
      <c r="W24" s="53">
        <f>COUNTIFS('00 Encuesta'!$B$2:$B$511,"*b)*",'00 Encuesta'!$C$2:$C$511,"*c)*",'00 Encuesta'!$E$2:$E$511,"*a)*",'00 Encuesta'!$F$2:$F$511,"*b)*")</f>
        <v>0</v>
      </c>
      <c r="X24" s="52">
        <f>W24/$X$6*100</f>
        <v>0</v>
      </c>
      <c r="Y24" s="53">
        <f>COUNTIFS('00 Encuesta'!$B$2:$B$511,"*b)*",'00 Encuesta'!$C$2:$C$511,"*c)*",'00 Encuesta'!$E$2:$E$511,"*b)*",'00 Encuesta'!$F$2:$F$511,"*b)*")</f>
        <v>1</v>
      </c>
      <c r="Z24" s="52">
        <f>Y24/$X$7*100</f>
        <v>5.5555555555555554</v>
      </c>
      <c r="AA24" s="3"/>
      <c r="AB24" s="62">
        <f>G24+N24+U24</f>
        <v>3</v>
      </c>
      <c r="AC24" s="52">
        <f>AB24*100/$AC$5</f>
        <v>2.7522935779816513</v>
      </c>
      <c r="AD24" s="7"/>
      <c r="AE24" s="7"/>
      <c r="AF24" s="9" t="str">
        <f>A24&amp;" "&amp;B24</f>
        <v>b) Evangélica</v>
      </c>
      <c r="AG24" s="72">
        <f>J24</f>
        <v>4.7619047619047619</v>
      </c>
      <c r="AH24" s="72">
        <f>L24</f>
        <v>5.8823529411764701</v>
      </c>
      <c r="AI24" s="73">
        <f>H24</f>
        <v>5.2631578947368416</v>
      </c>
      <c r="AJ24" s="73"/>
      <c r="AK24" s="74">
        <f>Q24</f>
        <v>0</v>
      </c>
      <c r="AL24" s="74">
        <f>S24</f>
        <v>0</v>
      </c>
      <c r="AM24" s="74">
        <f>O24</f>
        <v>0</v>
      </c>
      <c r="AN24" s="74"/>
      <c r="AO24" s="75">
        <f>X24</f>
        <v>0</v>
      </c>
      <c r="AP24" s="75">
        <f>Z24</f>
        <v>5.5555555555555554</v>
      </c>
      <c r="AQ24" s="75">
        <f>V24</f>
        <v>2.5641025641025639</v>
      </c>
      <c r="AR24" s="7"/>
      <c r="AS24" s="76">
        <f t="shared" si="1"/>
        <v>2.7522935779816513</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ht="15" x14ac:dyDescent="0.25">
      <c r="A25" s="8" t="s">
        <v>20</v>
      </c>
      <c r="B25" s="9" t="s">
        <v>29</v>
      </c>
      <c r="C25" s="7"/>
      <c r="D25" s="7"/>
      <c r="E25" s="7"/>
      <c r="F25" s="71"/>
      <c r="G25" s="51">
        <f>I25+K25</f>
        <v>0</v>
      </c>
      <c r="H25" s="52">
        <f>G25/$J$5*100</f>
        <v>0</v>
      </c>
      <c r="I25" s="53">
        <f>COUNTIFS('00 Encuesta'!$B$2:$B$511,"*b)*",'00 Encuesta'!$C$2:$C$511,"*a)*",'00 Encuesta'!$E$2:$E$511,"*a)*",'00 Encuesta'!$F$2:$F$511,"*c)*")</f>
        <v>0</v>
      </c>
      <c r="J25" s="52">
        <f>I25/$J$6*100</f>
        <v>0</v>
      </c>
      <c r="K25" s="53">
        <f>COUNTIFS('00 Encuesta'!$B$2:$B$511,"*b)*",'00 Encuesta'!$C$2:$C$511,"*a)*",'00 Encuesta'!$E$2:$E$511,"*b)*",'00 Encuesta'!$F$2:$F$511,"*c)*")</f>
        <v>0</v>
      </c>
      <c r="L25" s="52">
        <f>K25/$J$7*100</f>
        <v>0</v>
      </c>
      <c r="M25" s="23"/>
      <c r="N25" s="51">
        <f>P25+R25</f>
        <v>0</v>
      </c>
      <c r="O25" s="52">
        <f>N25/$Q$5*100</f>
        <v>0</v>
      </c>
      <c r="P25" s="53">
        <f>COUNTIFS('00 Encuesta'!$B$2:$B$511,"*b)*",'00 Encuesta'!$C$2:$C$511,"*b)*",'00 Encuesta'!$E$2:$E$511,"*a)*",'00 Encuesta'!$F$2:$F$511,"*c)*")</f>
        <v>0</v>
      </c>
      <c r="Q25" s="52">
        <f>P25/$Q$6*100</f>
        <v>0</v>
      </c>
      <c r="R25" s="53">
        <f>COUNTIFS('00 Encuesta'!$B$2:$B$511,"*b)*",'00 Encuesta'!$C$2:$C$511,"*b)*",'00 Encuesta'!$E$2:$E$511,"*b)*",'00 Encuesta'!$F$2:$F$511,"*c)*")</f>
        <v>0</v>
      </c>
      <c r="S25" s="52">
        <f>R25/$Q$7*100</f>
        <v>0</v>
      </c>
      <c r="T25" s="3"/>
      <c r="U25" s="51">
        <f>W25+Y25</f>
        <v>1</v>
      </c>
      <c r="V25" s="52">
        <f>U25/$X$5*100</f>
        <v>2.5641025641025639</v>
      </c>
      <c r="W25" s="53">
        <f>COUNTIFS('00 Encuesta'!$B$2:$B$511,"*b)*",'00 Encuesta'!$C$2:$C$511,"*c)*",'00 Encuesta'!$E$2:$E$511,"*a)*",'00 Encuesta'!$F$2:$F$511,"*c)*")</f>
        <v>1</v>
      </c>
      <c r="X25" s="52">
        <f>W25/$X$6*100</f>
        <v>4.7619047619047619</v>
      </c>
      <c r="Y25" s="53">
        <f>COUNTIFS('00 Encuesta'!$B$2:$B$511,"*b)*",'00 Encuesta'!$C$2:$C$511,"*c)*",'00 Encuesta'!$E$2:$E$511,"*b)*",'00 Encuesta'!$F$2:$F$511,"*c)*")</f>
        <v>0</v>
      </c>
      <c r="Z25" s="52">
        <f>Y25/$X$7*100</f>
        <v>0</v>
      </c>
      <c r="AA25" s="3"/>
      <c r="AB25" s="62">
        <f>G25+N25+U25</f>
        <v>1</v>
      </c>
      <c r="AC25" s="52">
        <f>AB25*100/$AC$5</f>
        <v>0.91743119266055051</v>
      </c>
      <c r="AD25" s="7"/>
      <c r="AE25" s="7"/>
      <c r="AF25" s="9" t="str">
        <f>A25&amp;" "&amp;B25</f>
        <v>c) Musulmana</v>
      </c>
      <c r="AG25" s="72">
        <f>J25</f>
        <v>0</v>
      </c>
      <c r="AH25" s="72">
        <f>L25</f>
        <v>0</v>
      </c>
      <c r="AI25" s="73">
        <f>H25</f>
        <v>0</v>
      </c>
      <c r="AJ25" s="73"/>
      <c r="AK25" s="74">
        <f>Q25</f>
        <v>0</v>
      </c>
      <c r="AL25" s="74">
        <f>S25</f>
        <v>0</v>
      </c>
      <c r="AM25" s="74">
        <f>O25</f>
        <v>0</v>
      </c>
      <c r="AN25" s="74"/>
      <c r="AO25" s="75">
        <f>X25</f>
        <v>4.7619047619047619</v>
      </c>
      <c r="AP25" s="75">
        <f>Z25</f>
        <v>0</v>
      </c>
      <c r="AQ25" s="75">
        <f>V25</f>
        <v>2.5641025641025639</v>
      </c>
      <c r="AR25" s="7"/>
      <c r="AS25" s="76">
        <f t="shared" si="1"/>
        <v>0.91743119266055051</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ht="15" x14ac:dyDescent="0.25">
      <c r="A26" s="8" t="s">
        <v>21</v>
      </c>
      <c r="B26" s="9" t="s">
        <v>30</v>
      </c>
      <c r="C26" s="7"/>
      <c r="D26" s="7"/>
      <c r="E26" s="7"/>
      <c r="F26" s="71"/>
      <c r="G26" s="51">
        <f>I26+K26</f>
        <v>0</v>
      </c>
      <c r="H26" s="52">
        <f>G26/$J$5*100</f>
        <v>0</v>
      </c>
      <c r="I26" s="53">
        <f>COUNTIFS('00 Encuesta'!$B$2:$B$511,"*b)*",'00 Encuesta'!$C$2:$C$511,"*a)*",'00 Encuesta'!$E$2:$E$511,"*a)*",'00 Encuesta'!$F$2:$F$511,"*d)*")</f>
        <v>0</v>
      </c>
      <c r="J26" s="52">
        <f>I26/$J$6*100</f>
        <v>0</v>
      </c>
      <c r="K26" s="53">
        <f>COUNTIFS('00 Encuesta'!$B$2:$B$511,"*b)*",'00 Encuesta'!$C$2:$C$511,"*a)*",'00 Encuesta'!$E$2:$E$511,"*b)*",'00 Encuesta'!$F$2:$F$511,"*d)*")</f>
        <v>0</v>
      </c>
      <c r="L26" s="52">
        <f>K26/$J$7*100</f>
        <v>0</v>
      </c>
      <c r="M26" s="23"/>
      <c r="N26" s="51">
        <f>P26+R26</f>
        <v>0</v>
      </c>
      <c r="O26" s="52">
        <f>N26/$Q$5*100</f>
        <v>0</v>
      </c>
      <c r="P26" s="53">
        <f>COUNTIFS('00 Encuesta'!$B$2:$B$511,"*b)*",'00 Encuesta'!$C$2:$C$511,"*b)*",'00 Encuesta'!$E$2:$E$511,"*a)*",'00 Encuesta'!$F$2:$F$511,"*d)*")</f>
        <v>0</v>
      </c>
      <c r="Q26" s="52">
        <f>P26/$Q$6*100</f>
        <v>0</v>
      </c>
      <c r="R26" s="53">
        <f>COUNTIFS('00 Encuesta'!$B$2:$B$511,"*b)*",'00 Encuesta'!$C$2:$C$511,"*b)*",'00 Encuesta'!$E$2:$E$511,"*b)*",'00 Encuesta'!$F$2:$F$511,"*d)*")</f>
        <v>0</v>
      </c>
      <c r="S26" s="52">
        <f>R26/$Q$7*100</f>
        <v>0</v>
      </c>
      <c r="T26" s="3"/>
      <c r="U26" s="51">
        <f>W26+Y26</f>
        <v>4</v>
      </c>
      <c r="V26" s="52">
        <f>U26/$X$5*100</f>
        <v>10.256410256410255</v>
      </c>
      <c r="W26" s="53">
        <f>COUNTIFS('00 Encuesta'!$B$2:$B$511,"*b)*",'00 Encuesta'!$C$2:$C$511,"*c)*",'00 Encuesta'!$E$2:$E$511,"*a)*",'00 Encuesta'!$F$2:$F$511,"*d)*")</f>
        <v>2</v>
      </c>
      <c r="X26" s="52">
        <f>W26/$X$6*100</f>
        <v>9.5238095238095237</v>
      </c>
      <c r="Y26" s="53">
        <f>COUNTIFS('00 Encuesta'!$B$2:$B$511,"*b)*",'00 Encuesta'!$C$2:$C$511,"*c)*",'00 Encuesta'!$E$2:$E$511,"*b)*",'00 Encuesta'!$F$2:$F$511,"*d)*")</f>
        <v>2</v>
      </c>
      <c r="Z26" s="52">
        <f>Y26/$X$7*100</f>
        <v>11.111111111111111</v>
      </c>
      <c r="AA26" s="3"/>
      <c r="AB26" s="62">
        <f>G26+N26+U26</f>
        <v>4</v>
      </c>
      <c r="AC26" s="52">
        <f>AB26*100/$AC$5</f>
        <v>3.669724770642202</v>
      </c>
      <c r="AD26" s="7"/>
      <c r="AE26" s="7"/>
      <c r="AF26" s="9" t="str">
        <f>A26&amp;" "&amp;B26</f>
        <v>d) Otra</v>
      </c>
      <c r="AG26" s="72">
        <f>J26</f>
        <v>0</v>
      </c>
      <c r="AH26" s="72">
        <f>L26</f>
        <v>0</v>
      </c>
      <c r="AI26" s="73">
        <f>H26</f>
        <v>0</v>
      </c>
      <c r="AJ26" s="73"/>
      <c r="AK26" s="74">
        <f>Q26</f>
        <v>0</v>
      </c>
      <c r="AL26" s="74">
        <f>S26</f>
        <v>0</v>
      </c>
      <c r="AM26" s="74">
        <f>O26</f>
        <v>0</v>
      </c>
      <c r="AN26" s="74"/>
      <c r="AO26" s="75">
        <f>X26</f>
        <v>9.5238095238095237</v>
      </c>
      <c r="AP26" s="75">
        <f>Z26</f>
        <v>11.111111111111111</v>
      </c>
      <c r="AQ26" s="75">
        <f>V26</f>
        <v>10.256410256410255</v>
      </c>
      <c r="AR26" s="7"/>
      <c r="AS26" s="76">
        <f t="shared" si="1"/>
        <v>3.669724770642202</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ht="15" x14ac:dyDescent="0.25">
      <c r="A27" s="8" t="s">
        <v>23</v>
      </c>
      <c r="B27" s="9" t="s">
        <v>24</v>
      </c>
      <c r="C27" s="7"/>
      <c r="D27" s="7"/>
      <c r="E27" s="7"/>
      <c r="F27" s="71"/>
      <c r="G27" s="51">
        <f>I27+K27</f>
        <v>0</v>
      </c>
      <c r="H27" s="52">
        <f>G27/$J$5*100</f>
        <v>0</v>
      </c>
      <c r="I27" s="53"/>
      <c r="J27" s="52">
        <f>I27/$J$6*100</f>
        <v>0</v>
      </c>
      <c r="K27" s="53"/>
      <c r="L27" s="52">
        <f>K27/$J$7*100</f>
        <v>0</v>
      </c>
      <c r="M27" s="23"/>
      <c r="N27" s="51">
        <f>P27+R27</f>
        <v>0</v>
      </c>
      <c r="O27" s="52">
        <f>N27/$Q$5*100</f>
        <v>0</v>
      </c>
      <c r="P27" s="53"/>
      <c r="Q27" s="52">
        <f>P27/$Q$6*100</f>
        <v>0</v>
      </c>
      <c r="R27" s="53"/>
      <c r="S27" s="52">
        <f>R27/$Q$7*100</f>
        <v>0</v>
      </c>
      <c r="T27" s="3"/>
      <c r="U27" s="51">
        <f>W27+Y27</f>
        <v>0</v>
      </c>
      <c r="V27" s="52">
        <f>U27/$X$5*100</f>
        <v>0</v>
      </c>
      <c r="W27" s="53"/>
      <c r="X27" s="52">
        <f>W27/$X$6*100</f>
        <v>0</v>
      </c>
      <c r="Y27" s="53"/>
      <c r="Z27" s="52">
        <f>Y27/$X$7*100</f>
        <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ht="15" x14ac:dyDescent="0.25">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37</v>
      </c>
      <c r="H30" s="52">
        <f t="shared" ref="H30:H35" si="3">G30/$J$5*100</f>
        <v>97.368421052631575</v>
      </c>
      <c r="I30" s="53">
        <f>COUNTIFS('00 Encuesta'!$B$2:$B$511,"*b)*",'00 Encuesta'!$C$2:$C$511,"*a)*",'00 Encuesta'!$E$2:$E$511,"*a)*",'00 Encuesta'!$G$2:$G$511,"*a)*")</f>
        <v>21</v>
      </c>
      <c r="J30" s="52">
        <f t="shared" ref="J30:J35" si="4">I30/$J$6*100</f>
        <v>100</v>
      </c>
      <c r="K30" s="53">
        <f>COUNTIFS('00 Encuesta'!$B$2:$B$511,"*b)*",'00 Encuesta'!$C$2:$C$511,"*a)*",'00 Encuesta'!$E$2:$E$511,"*b)*",'00 Encuesta'!$G$2:$G$511,"*a)*")</f>
        <v>16</v>
      </c>
      <c r="L30" s="52">
        <f>K30/$J$7*100</f>
        <v>94.117647058823522</v>
      </c>
      <c r="M30" s="23"/>
      <c r="N30" s="51">
        <f>P30+R30</f>
        <v>29</v>
      </c>
      <c r="O30" s="52">
        <f>N30/$Q$5*100</f>
        <v>90.625</v>
      </c>
      <c r="P30" s="53">
        <f>COUNTIFS('00 Encuesta'!$B$2:$B$511,"*b)*",'00 Encuesta'!$C$2:$C$511,"*b)*",'00 Encuesta'!$E$2:$E$511,"*a)*",'00 Encuesta'!$G$2:$G$511,"*a)*")</f>
        <v>15</v>
      </c>
      <c r="Q30" s="52">
        <f>P30/$Q$6*100</f>
        <v>88.235294117647058</v>
      </c>
      <c r="R30" s="53">
        <f>COUNTIFS('00 Encuesta'!$B$2:$B$511,"*b)*",'00 Encuesta'!$C$2:$C$511,"*b)*",'00 Encuesta'!$E$2:$E$511,"*b)*",'00 Encuesta'!$G$2:$G$511,"*a)*")</f>
        <v>14</v>
      </c>
      <c r="S30" s="52">
        <f>R30/$Q$7*100</f>
        <v>93.333333333333329</v>
      </c>
      <c r="T30" s="3"/>
      <c r="U30" s="51">
        <f>W30+Y30</f>
        <v>37</v>
      </c>
      <c r="V30" s="52">
        <f>U30/$X$5*100</f>
        <v>94.871794871794862</v>
      </c>
      <c r="W30" s="53">
        <f>COUNTIFS('00 Encuesta'!$B$2:$B$511,"*b)*",'00 Encuesta'!$C$2:$C$511,"*c)*",'00 Encuesta'!$E$2:$E$511,"*a)*",'00 Encuesta'!$G$2:$G$511,"*a)*")</f>
        <v>20</v>
      </c>
      <c r="X30" s="52">
        <f>W30/$X$6*100</f>
        <v>95.238095238095227</v>
      </c>
      <c r="Y30" s="53">
        <f>COUNTIFS('00 Encuesta'!$B$2:$B$511,"*b)*",'00 Encuesta'!$C$2:$C$511,"*c)*",'00 Encuesta'!$E$2:$E$511,"*b)*",'00 Encuesta'!$G$2:$G$511,"*a)*")</f>
        <v>17</v>
      </c>
      <c r="Z30" s="52">
        <f t="shared" ref="Z30:Z35" si="5">Y30/$X$7*100</f>
        <v>94.444444444444443</v>
      </c>
      <c r="AA30" s="3"/>
      <c r="AB30" s="62">
        <f t="shared" ref="AB30:AB64" si="6">G30+N30+U30</f>
        <v>103</v>
      </c>
      <c r="AC30" s="52">
        <f t="shared" ref="AC30:AC35" si="7">AB30*100/$AC$5</f>
        <v>94.495412844036693</v>
      </c>
      <c r="AD30" s="7"/>
      <c r="AE30" s="7"/>
      <c r="AF30" s="9" t="str">
        <f t="shared" ref="AF30:AF35" si="8">A30&amp;" "&amp;B30</f>
        <v>a) Mamá</v>
      </c>
      <c r="AG30" s="72">
        <f t="shared" ref="AG30:AG35" si="9">J30</f>
        <v>100</v>
      </c>
      <c r="AH30" s="72">
        <f t="shared" ref="AH30:AH35" si="10">L30</f>
        <v>94.117647058823522</v>
      </c>
      <c r="AI30" s="73">
        <f t="shared" ref="AI30:AI35" si="11">H30</f>
        <v>97.368421052631575</v>
      </c>
      <c r="AJ30" s="73"/>
      <c r="AK30" s="74">
        <f t="shared" ref="AK30:AK35" si="12">Q30</f>
        <v>88.235294117647058</v>
      </c>
      <c r="AL30" s="74">
        <f t="shared" ref="AL30:AL35" si="13">S30</f>
        <v>93.333333333333329</v>
      </c>
      <c r="AM30" s="74">
        <f t="shared" ref="AM30:AM35" si="14">O30</f>
        <v>90.625</v>
      </c>
      <c r="AN30" s="74"/>
      <c r="AO30" s="75">
        <f t="shared" ref="AO30:AO35" si="15">X30</f>
        <v>95.238095238095227</v>
      </c>
      <c r="AP30" s="75">
        <f t="shared" ref="AP30:AP35" si="16">Z30</f>
        <v>94.444444444444443</v>
      </c>
      <c r="AQ30" s="75">
        <f t="shared" ref="AQ30:AQ35" si="17">V30</f>
        <v>94.871794871794862</v>
      </c>
      <c r="AR30" s="7"/>
      <c r="AS30" s="76">
        <f t="shared" si="1"/>
        <v>94.495412844036693</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31</v>
      </c>
      <c r="H31" s="52">
        <f t="shared" si="3"/>
        <v>81.578947368421055</v>
      </c>
      <c r="I31" s="53">
        <f>COUNTIFS('00 Encuesta'!$B$2:$B$511,"*b)*",'00 Encuesta'!$C$2:$C$511,"*a)*",'00 Encuesta'!$E$2:$E$511,"*a)*",'00 Encuesta'!$G$2:$G$511,"*b)*")</f>
        <v>18</v>
      </c>
      <c r="J31" s="52">
        <f t="shared" si="4"/>
        <v>85.714285714285708</v>
      </c>
      <c r="K31" s="53">
        <f>COUNTIFS('00 Encuesta'!$B$2:$B$511,"*b)*",'00 Encuesta'!$C$2:$C$511,"*a)*",'00 Encuesta'!$E$2:$E$511,"*b)*",'00 Encuesta'!$G$2:$G$511,"*b)*")</f>
        <v>13</v>
      </c>
      <c r="L31" s="52">
        <f>K31/$J$7*100</f>
        <v>76.470588235294116</v>
      </c>
      <c r="M31" s="23"/>
      <c r="N31" s="51">
        <f>P31+R31</f>
        <v>29</v>
      </c>
      <c r="O31" s="52">
        <f>N31/$Q$5*100</f>
        <v>90.625</v>
      </c>
      <c r="P31" s="53">
        <f>COUNTIFS('00 Encuesta'!$B$2:$B$511,"*b)*",'00 Encuesta'!$C$2:$C$511,"*b)*",'00 Encuesta'!$E$2:$E$511,"*a)*",'00 Encuesta'!$G$2:$G$511,"*b)*")</f>
        <v>15</v>
      </c>
      <c r="Q31" s="52">
        <f>P31/$Q$6*100</f>
        <v>88.235294117647058</v>
      </c>
      <c r="R31" s="53">
        <f>COUNTIFS('00 Encuesta'!$B$2:$B$511,"*b)*",'00 Encuesta'!$C$2:$C$511,"*b)*",'00 Encuesta'!$E$2:$E$511,"*b)*",'00 Encuesta'!$G$2:$G$511,"*b)*")</f>
        <v>14</v>
      </c>
      <c r="S31" s="52">
        <f>R31/$Q$7*100</f>
        <v>93.333333333333329</v>
      </c>
      <c r="T31" s="3"/>
      <c r="U31" s="51">
        <f>W31+Y31</f>
        <v>27</v>
      </c>
      <c r="V31" s="52">
        <f>U31/$X$5*100</f>
        <v>69.230769230769226</v>
      </c>
      <c r="W31" s="53">
        <f>COUNTIFS('00 Encuesta'!$B$2:$B$511,"*b)*",'00 Encuesta'!$C$2:$C$511,"*c)*",'00 Encuesta'!$E$2:$E$511,"*a)*",'00 Encuesta'!$G$2:$G$511,"*b)*")</f>
        <v>14</v>
      </c>
      <c r="X31" s="52">
        <f>W31/$X$6*100</f>
        <v>66.666666666666657</v>
      </c>
      <c r="Y31" s="53">
        <f>COUNTIFS('00 Encuesta'!$B$2:$B$511,"*b)*",'00 Encuesta'!$C$2:$C$511,"*c)*",'00 Encuesta'!$E$2:$E$511,"*b)*",'00 Encuesta'!$G$2:$G$511,"*b)*")</f>
        <v>13</v>
      </c>
      <c r="Z31" s="52">
        <f t="shared" si="5"/>
        <v>72.222222222222214</v>
      </c>
      <c r="AA31" s="3"/>
      <c r="AB31" s="62">
        <f t="shared" si="6"/>
        <v>87</v>
      </c>
      <c r="AC31" s="52">
        <f t="shared" si="7"/>
        <v>79.816513761467888</v>
      </c>
      <c r="AD31" s="7"/>
      <c r="AE31" s="7"/>
      <c r="AF31" s="9" t="str">
        <f t="shared" si="8"/>
        <v>b) Papá</v>
      </c>
      <c r="AG31" s="72">
        <f t="shared" si="9"/>
        <v>85.714285714285708</v>
      </c>
      <c r="AH31" s="72">
        <f t="shared" si="10"/>
        <v>76.470588235294116</v>
      </c>
      <c r="AI31" s="73">
        <f t="shared" si="11"/>
        <v>81.578947368421055</v>
      </c>
      <c r="AJ31" s="73"/>
      <c r="AK31" s="74">
        <f t="shared" si="12"/>
        <v>88.235294117647058</v>
      </c>
      <c r="AL31" s="74">
        <f t="shared" si="13"/>
        <v>93.333333333333329</v>
      </c>
      <c r="AM31" s="74">
        <f t="shared" si="14"/>
        <v>90.625</v>
      </c>
      <c r="AN31" s="74"/>
      <c r="AO31" s="75">
        <f t="shared" si="15"/>
        <v>66.666666666666657</v>
      </c>
      <c r="AP31" s="75">
        <f t="shared" si="16"/>
        <v>72.222222222222214</v>
      </c>
      <c r="AQ31" s="75">
        <f t="shared" si="17"/>
        <v>69.230769230769226</v>
      </c>
      <c r="AR31" s="7"/>
      <c r="AS31" s="76">
        <f t="shared" si="1"/>
        <v>79.816513761467888</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ht="15" x14ac:dyDescent="0.25">
      <c r="A32" s="8" t="s">
        <v>20</v>
      </c>
      <c r="B32" s="9" t="s">
        <v>35</v>
      </c>
      <c r="C32" s="80"/>
      <c r="D32" s="7"/>
      <c r="E32" s="80"/>
      <c r="F32" s="10"/>
      <c r="G32" s="51">
        <f t="shared" si="2"/>
        <v>30</v>
      </c>
      <c r="H32" s="52">
        <f t="shared" si="3"/>
        <v>78.94736842105263</v>
      </c>
      <c r="I32" s="53">
        <f>COUNTIFS('00 Encuesta'!$B$2:$B$511,"*b)*",'00 Encuesta'!$C$2:$C$511,"*a)*",'00 Encuesta'!$E$2:$E$511,"*a)*",'00 Encuesta'!$G$2:$G$511,"*c)*")</f>
        <v>17</v>
      </c>
      <c r="J32" s="52">
        <f t="shared" si="4"/>
        <v>80.952380952380949</v>
      </c>
      <c r="K32" s="53">
        <f>COUNTIFS('00 Encuesta'!$B$2:$B$511,"*b)*",'00 Encuesta'!$C$2:$C$511,"*a)*",'00 Encuesta'!$E$2:$E$511,"*b)*",'00 Encuesta'!$G$2:$G$511,"*c)*")</f>
        <v>13</v>
      </c>
      <c r="L32" s="52">
        <f>K32/$J$7*100</f>
        <v>76.470588235294116</v>
      </c>
      <c r="M32" s="23"/>
      <c r="N32" s="51">
        <f>P32+R32</f>
        <v>27</v>
      </c>
      <c r="O32" s="52">
        <f>N32/$Q$5*100</f>
        <v>84.375</v>
      </c>
      <c r="P32" s="53">
        <f>COUNTIFS('00 Encuesta'!$B$2:$B$511,"*b)*",'00 Encuesta'!$C$2:$C$511,"*b)*",'00 Encuesta'!$E$2:$E$511,"*a)*",'00 Encuesta'!$G$2:$G$511,"*c)*")</f>
        <v>14</v>
      </c>
      <c r="Q32" s="52">
        <f>P32/$Q$6*100</f>
        <v>82.35294117647058</v>
      </c>
      <c r="R32" s="53">
        <f>COUNTIFS('00 Encuesta'!$B$2:$B$511,"*b)*",'00 Encuesta'!$C$2:$C$511,"*b)*",'00 Encuesta'!$E$2:$E$511,"*b)*",'00 Encuesta'!$G$2:$G$511,"*c)*")</f>
        <v>13</v>
      </c>
      <c r="S32" s="52">
        <f>R32/$Q$7*100</f>
        <v>86.666666666666671</v>
      </c>
      <c r="T32" s="3"/>
      <c r="U32" s="51">
        <f>W32+Y32</f>
        <v>29</v>
      </c>
      <c r="V32" s="52">
        <f>U32/$X$5*100</f>
        <v>74.358974358974365</v>
      </c>
      <c r="W32" s="53">
        <f>COUNTIFS('00 Encuesta'!$B$2:$B$511,"*b)*",'00 Encuesta'!$C$2:$C$511,"*c)*",'00 Encuesta'!$E$2:$E$511,"*a)*",'00 Encuesta'!$G$2:$G$511,"*c)*")</f>
        <v>13</v>
      </c>
      <c r="X32" s="52">
        <f>W32/$X$6*100</f>
        <v>61.904761904761905</v>
      </c>
      <c r="Y32" s="53">
        <f>COUNTIFS('00 Encuesta'!$B$2:$B$511,"*b)*",'00 Encuesta'!$C$2:$C$511,"*c)*",'00 Encuesta'!$E$2:$E$511,"*b)*",'00 Encuesta'!$G$2:$G$511,"*c)*")</f>
        <v>16</v>
      </c>
      <c r="Z32" s="52">
        <f t="shared" si="5"/>
        <v>88.888888888888886</v>
      </c>
      <c r="AA32" s="3"/>
      <c r="AB32" s="62">
        <f t="shared" si="6"/>
        <v>86</v>
      </c>
      <c r="AC32" s="52">
        <f t="shared" si="7"/>
        <v>78.899082568807344</v>
      </c>
      <c r="AD32" s="7"/>
      <c r="AE32" s="7"/>
      <c r="AF32" s="9" t="str">
        <f t="shared" si="8"/>
        <v>c) Hermanos</v>
      </c>
      <c r="AG32" s="72">
        <f t="shared" si="9"/>
        <v>80.952380952380949</v>
      </c>
      <c r="AH32" s="72">
        <f t="shared" si="10"/>
        <v>76.470588235294116</v>
      </c>
      <c r="AI32" s="73">
        <f t="shared" si="11"/>
        <v>78.94736842105263</v>
      </c>
      <c r="AJ32" s="73"/>
      <c r="AK32" s="74">
        <f t="shared" si="12"/>
        <v>82.35294117647058</v>
      </c>
      <c r="AL32" s="74">
        <f t="shared" si="13"/>
        <v>86.666666666666671</v>
      </c>
      <c r="AM32" s="74">
        <f t="shared" si="14"/>
        <v>84.375</v>
      </c>
      <c r="AN32" s="74"/>
      <c r="AO32" s="75">
        <f t="shared" si="15"/>
        <v>61.904761904761905</v>
      </c>
      <c r="AP32" s="75">
        <f t="shared" si="16"/>
        <v>88.888888888888886</v>
      </c>
      <c r="AQ32" s="75">
        <f t="shared" si="17"/>
        <v>74.358974358974365</v>
      </c>
      <c r="AR32" s="7"/>
      <c r="AS32" s="76">
        <f t="shared" si="1"/>
        <v>78.899082568807344</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ht="15" x14ac:dyDescent="0.25">
      <c r="A33" s="8" t="s">
        <v>21</v>
      </c>
      <c r="B33" s="9" t="s">
        <v>36</v>
      </c>
      <c r="C33" s="7"/>
      <c r="D33" s="7"/>
      <c r="E33" s="7"/>
      <c r="F33" s="71"/>
      <c r="G33" s="51">
        <f t="shared" si="2"/>
        <v>12</v>
      </c>
      <c r="H33" s="52">
        <f t="shared" si="3"/>
        <v>31.578947368421051</v>
      </c>
      <c r="I33" s="53">
        <f>COUNTIFS('00 Encuesta'!$B$2:$B$511,"*b)*",'00 Encuesta'!$C$2:$C$511,"*a)*",'00 Encuesta'!$E$2:$E$511,"*a)*",'00 Encuesta'!$G$2:$G$511,"*d)*")</f>
        <v>7</v>
      </c>
      <c r="J33" s="52">
        <f t="shared" si="4"/>
        <v>33.333333333333329</v>
      </c>
      <c r="K33" s="53">
        <f>COUNTIFS('00 Encuesta'!$B$2:$B$511,"*b)*",'00 Encuesta'!$C$2:$C$511,"*a)*",'00 Encuesta'!$E$2:$E$511,"*b)*",'00 Encuesta'!$G$2:$G$511,"*d)*")</f>
        <v>5</v>
      </c>
      <c r="L33" s="52">
        <f>K33/$J$7*100</f>
        <v>29.411764705882355</v>
      </c>
      <c r="M33" s="23"/>
      <c r="N33" s="51">
        <f>P33+R33</f>
        <v>11</v>
      </c>
      <c r="O33" s="52">
        <f>N33/$Q$5*100</f>
        <v>34.375</v>
      </c>
      <c r="P33" s="53">
        <f>COUNTIFS('00 Encuesta'!$B$2:$B$511,"*b)*",'00 Encuesta'!$C$2:$C$511,"*b)*",'00 Encuesta'!$E$2:$E$511,"*a)*",'00 Encuesta'!$G$2:$G$511,"*d)*")</f>
        <v>8</v>
      </c>
      <c r="Q33" s="52">
        <f>P33/$Q$6*100</f>
        <v>47.058823529411761</v>
      </c>
      <c r="R33" s="53">
        <f>COUNTIFS('00 Encuesta'!$B$2:$B$511,"*b)*",'00 Encuesta'!$C$2:$C$511,"*b)*",'00 Encuesta'!$E$2:$E$511,"*b)*",'00 Encuesta'!$G$2:$G$511,"*d)*")</f>
        <v>3</v>
      </c>
      <c r="S33" s="52">
        <f>R33/$Q$7*100</f>
        <v>20</v>
      </c>
      <c r="T33" s="3"/>
      <c r="U33" s="51">
        <f>W33+Y33</f>
        <v>18</v>
      </c>
      <c r="V33" s="52">
        <f>U33/$X$5*100</f>
        <v>46.153846153846153</v>
      </c>
      <c r="W33" s="53">
        <f>COUNTIFS('00 Encuesta'!$B$2:$B$511,"*b)*",'00 Encuesta'!$C$2:$C$511,"*c)*",'00 Encuesta'!$E$2:$E$511,"*a)*",'00 Encuesta'!$G$2:$G$511,"*d)*")</f>
        <v>10</v>
      </c>
      <c r="X33" s="52">
        <f>W33/$X$6*100</f>
        <v>47.619047619047613</v>
      </c>
      <c r="Y33" s="53">
        <f>COUNTIFS('00 Encuesta'!$B$2:$B$511,"*b)*",'00 Encuesta'!$C$2:$C$511,"*c)*",'00 Encuesta'!$E$2:$E$511,"*b)*",'00 Encuesta'!$G$2:$G$511,"*d)*")</f>
        <v>8</v>
      </c>
      <c r="Z33" s="52">
        <f t="shared" si="5"/>
        <v>44.444444444444443</v>
      </c>
      <c r="AA33" s="3"/>
      <c r="AB33" s="62">
        <f t="shared" si="6"/>
        <v>41</v>
      </c>
      <c r="AC33" s="52">
        <f t="shared" si="7"/>
        <v>37.61467889908257</v>
      </c>
      <c r="AD33" s="7"/>
      <c r="AE33" s="7"/>
      <c r="AF33" s="9" t="str">
        <f t="shared" si="8"/>
        <v>d) Abuelos</v>
      </c>
      <c r="AG33" s="72">
        <f t="shared" si="9"/>
        <v>33.333333333333329</v>
      </c>
      <c r="AH33" s="72">
        <f t="shared" si="10"/>
        <v>29.411764705882355</v>
      </c>
      <c r="AI33" s="73">
        <f t="shared" si="11"/>
        <v>31.578947368421051</v>
      </c>
      <c r="AJ33" s="73"/>
      <c r="AK33" s="74">
        <f t="shared" si="12"/>
        <v>47.058823529411761</v>
      </c>
      <c r="AL33" s="74">
        <f t="shared" si="13"/>
        <v>20</v>
      </c>
      <c r="AM33" s="74">
        <f t="shared" si="14"/>
        <v>34.375</v>
      </c>
      <c r="AN33" s="74"/>
      <c r="AO33" s="75">
        <f t="shared" si="15"/>
        <v>47.619047619047613</v>
      </c>
      <c r="AP33" s="75">
        <f t="shared" si="16"/>
        <v>44.444444444444443</v>
      </c>
      <c r="AQ33" s="75">
        <f t="shared" si="17"/>
        <v>46.153846153846153</v>
      </c>
      <c r="AR33" s="7"/>
      <c r="AS33" s="76">
        <f t="shared" si="1"/>
        <v>37.61467889908257</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ht="15" x14ac:dyDescent="0.25">
      <c r="A34" s="8" t="s">
        <v>22</v>
      </c>
      <c r="B34" s="9" t="s">
        <v>37</v>
      </c>
      <c r="C34" s="7"/>
      <c r="D34" s="7"/>
      <c r="E34" s="7"/>
      <c r="F34" s="71"/>
      <c r="G34" s="51">
        <f t="shared" si="2"/>
        <v>11</v>
      </c>
      <c r="H34" s="52">
        <f t="shared" si="3"/>
        <v>28.947368421052634</v>
      </c>
      <c r="I34" s="53">
        <f>COUNTIFS('00 Encuesta'!$B$2:$B$511,"*b)*",'00 Encuesta'!$C$2:$C$511,"*a)*",'00 Encuesta'!$E$2:$E$511,"*a)*",'00 Encuesta'!$G$2:$G$511,"*e)*")</f>
        <v>6</v>
      </c>
      <c r="J34" s="52">
        <f t="shared" si="4"/>
        <v>28.571428571428569</v>
      </c>
      <c r="K34" s="53">
        <f>COUNTIFS('00 Encuesta'!$B$2:$B$511,"*b)*",'00 Encuesta'!$C$2:$C$511,"*a)*",'00 Encuesta'!$E$2:$E$511,"*b)*",'00 Encuesta'!$G$2:$G$511,"*e)*")</f>
        <v>5</v>
      </c>
      <c r="L34" s="52">
        <f>K34/$J$7*100</f>
        <v>29.411764705882355</v>
      </c>
      <c r="M34" s="23"/>
      <c r="N34" s="51">
        <f>P34+R34</f>
        <v>7</v>
      </c>
      <c r="O34" s="52">
        <f>N34/$Q$5*100</f>
        <v>21.875</v>
      </c>
      <c r="P34" s="53">
        <f>COUNTIFS('00 Encuesta'!$B$2:$B$511,"*b)*",'00 Encuesta'!$C$2:$C$511,"*b)*",'00 Encuesta'!$E$2:$E$511,"*a)*",'00 Encuesta'!$G$2:$G$511,"*e)*")</f>
        <v>7</v>
      </c>
      <c r="Q34" s="52">
        <f>P34/$Q$6*100</f>
        <v>41.17647058823529</v>
      </c>
      <c r="R34" s="53">
        <f>COUNTIFS('00 Encuesta'!$B$2:$B$511,"*b)*",'00 Encuesta'!$C$2:$C$511,"*b)*",'00 Encuesta'!$E$2:$E$511,"*b)*",'00 Encuesta'!$G$2:$G$511,"*e)*")</f>
        <v>0</v>
      </c>
      <c r="S34" s="52">
        <f>R34/$Q$7*100</f>
        <v>0</v>
      </c>
      <c r="T34" s="3"/>
      <c r="U34" s="51">
        <f>W34+Y34</f>
        <v>13</v>
      </c>
      <c r="V34" s="52">
        <f>U34/$X$5*100</f>
        <v>33.333333333333329</v>
      </c>
      <c r="W34" s="53">
        <f>COUNTIFS('00 Encuesta'!$B$2:$B$511,"*b)*",'00 Encuesta'!$C$2:$C$511,"*c)*",'00 Encuesta'!$E$2:$E$511,"*a)*",'00 Encuesta'!$G$2:$G$511,"*e)*")</f>
        <v>6</v>
      </c>
      <c r="X34" s="52">
        <f>W34/$X$6*100</f>
        <v>28.571428571428569</v>
      </c>
      <c r="Y34" s="53">
        <f>COUNTIFS('00 Encuesta'!$B$2:$B$511,"*b)*",'00 Encuesta'!$C$2:$C$511,"*c)*",'00 Encuesta'!$E$2:$E$511,"*b)*",'00 Encuesta'!$G$2:$G$511,"*e)*")</f>
        <v>7</v>
      </c>
      <c r="Z34" s="52">
        <f t="shared" si="5"/>
        <v>38.888888888888893</v>
      </c>
      <c r="AA34" s="3"/>
      <c r="AB34" s="62">
        <f t="shared" si="6"/>
        <v>31</v>
      </c>
      <c r="AC34" s="52">
        <f t="shared" si="7"/>
        <v>28.440366972477065</v>
      </c>
      <c r="AD34" s="7"/>
      <c r="AE34" s="7"/>
      <c r="AF34" s="9" t="str">
        <f t="shared" si="8"/>
        <v>e) Otros familiares</v>
      </c>
      <c r="AG34" s="72">
        <f t="shared" si="9"/>
        <v>28.571428571428569</v>
      </c>
      <c r="AH34" s="72">
        <f t="shared" si="10"/>
        <v>29.411764705882355</v>
      </c>
      <c r="AI34" s="73">
        <f t="shared" si="11"/>
        <v>28.947368421052634</v>
      </c>
      <c r="AJ34" s="73"/>
      <c r="AK34" s="74">
        <f t="shared" si="12"/>
        <v>41.17647058823529</v>
      </c>
      <c r="AL34" s="74">
        <f t="shared" si="13"/>
        <v>0</v>
      </c>
      <c r="AM34" s="74">
        <f t="shared" si="14"/>
        <v>21.875</v>
      </c>
      <c r="AN34" s="74"/>
      <c r="AO34" s="75">
        <f t="shared" si="15"/>
        <v>28.571428571428569</v>
      </c>
      <c r="AP34" s="75">
        <f t="shared" si="16"/>
        <v>38.888888888888893</v>
      </c>
      <c r="AQ34" s="75">
        <f t="shared" si="17"/>
        <v>33.333333333333329</v>
      </c>
      <c r="AR34" s="7"/>
      <c r="AS34" s="76">
        <f t="shared" si="1"/>
        <v>28.440366972477065</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ht="15" x14ac:dyDescent="0.25">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f t="shared" ref="O35" si="20">N35/$Q$5*100</f>
        <v>0</v>
      </c>
      <c r="P35" s="53"/>
      <c r="Q35" s="52">
        <f t="shared" ref="Q35" si="21">P35/$Q$6*100</f>
        <v>0</v>
      </c>
      <c r="R35" s="53"/>
      <c r="S35" s="52">
        <f t="shared" ref="S35" si="22">R35/$Q$7*100</f>
        <v>0</v>
      </c>
      <c r="T35" s="3"/>
      <c r="U35" s="51">
        <f t="shared" ref="U35" si="23">W35+Y35</f>
        <v>0</v>
      </c>
      <c r="V35" s="52">
        <f t="shared" ref="V35" si="24">U35/$X$5*100</f>
        <v>0</v>
      </c>
      <c r="W35" s="53"/>
      <c r="X35" s="52">
        <f t="shared" ref="X35" si="25">W35/$X$6*100</f>
        <v>0</v>
      </c>
      <c r="Y35" s="53"/>
      <c r="Z35" s="52">
        <f t="shared" si="5"/>
        <v>0</v>
      </c>
      <c r="AA35" s="3"/>
      <c r="AB35" s="62">
        <f t="shared" si="6"/>
        <v>0</v>
      </c>
      <c r="AC35" s="52">
        <f t="shared" si="7"/>
        <v>0</v>
      </c>
      <c r="AD35" s="7"/>
      <c r="AE35" s="7"/>
      <c r="AF35" s="9" t="str">
        <f t="shared" si="8"/>
        <v>S/R Sin Respuesta</v>
      </c>
      <c r="AG35" s="72">
        <f t="shared" si="9"/>
        <v>0</v>
      </c>
      <c r="AH35" s="72">
        <f t="shared" si="10"/>
        <v>0</v>
      </c>
      <c r="AI35" s="73">
        <f t="shared" si="11"/>
        <v>0</v>
      </c>
      <c r="AJ35" s="73"/>
      <c r="AK35" s="74">
        <f t="shared" si="12"/>
        <v>0</v>
      </c>
      <c r="AL35" s="74">
        <f t="shared" si="13"/>
        <v>0</v>
      </c>
      <c r="AM35" s="74">
        <f t="shared" si="14"/>
        <v>0</v>
      </c>
      <c r="AN35" s="74"/>
      <c r="AO35" s="75">
        <f t="shared" si="15"/>
        <v>0</v>
      </c>
      <c r="AP35" s="75">
        <f t="shared" si="16"/>
        <v>0</v>
      </c>
      <c r="AQ35" s="75">
        <f t="shared" si="17"/>
        <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ht="15" x14ac:dyDescent="0.25">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ht="15" x14ac:dyDescent="0.25">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ht="15" x14ac:dyDescent="0.25">
      <c r="A38" s="8" t="s">
        <v>17</v>
      </c>
      <c r="B38" s="9" t="s">
        <v>40</v>
      </c>
      <c r="C38" s="7"/>
      <c r="D38" s="7"/>
      <c r="E38" s="7"/>
      <c r="F38" s="71"/>
      <c r="G38" s="51">
        <f t="shared" ref="G38:G44" si="26">I38+K38</f>
        <v>5</v>
      </c>
      <c r="H38" s="52">
        <f t="shared" ref="H38:H44" si="27">G38/$J$5*100</f>
        <v>13.157894736842104</v>
      </c>
      <c r="I38" s="53">
        <f>COUNTIFS('00 Encuesta'!$B$2:$B$511,"*b)*",'00 Encuesta'!$C$2:$C$511,"*a)*",'00 Encuesta'!$E$2:$E$511,"*a)*",'00 Encuesta'!$H$2:$H$511,"*a)*")</f>
        <v>1</v>
      </c>
      <c r="J38" s="52">
        <f t="shared" ref="J38:J44" si="28">I38/$J$6*100</f>
        <v>4.7619047619047619</v>
      </c>
      <c r="K38" s="53">
        <f>COUNTIFS('00 Encuesta'!$B$2:$B$511,"*b)*",'00 Encuesta'!$C$2:$C$511,"*a)*",'00 Encuesta'!$E$2:$E$511,"*b)*",'00 Encuesta'!$H$2:$H$511,"*a)*")</f>
        <v>4</v>
      </c>
      <c r="L38" s="52">
        <f t="shared" ref="L38:L44" si="29">K38/$J$7*100</f>
        <v>23.52941176470588</v>
      </c>
      <c r="M38" s="23"/>
      <c r="N38" s="51">
        <f t="shared" ref="N38:N44" si="30">P38+R38</f>
        <v>3</v>
      </c>
      <c r="O38" s="52">
        <f>N38/$Q$5*100</f>
        <v>9.375</v>
      </c>
      <c r="P38" s="53">
        <f>COUNTIFS('00 Encuesta'!$B$2:$B$511,"*b)*",'00 Encuesta'!$C$2:$C$511,"*b)*",'00 Encuesta'!$E$2:$E$511,"*a)*",'00 Encuesta'!$H$2:$H$511,"*a)*")</f>
        <v>0</v>
      </c>
      <c r="Q38" s="52">
        <f>P38/$Q$6*100</f>
        <v>0</v>
      </c>
      <c r="R38" s="53">
        <f>COUNTIFS('00 Encuesta'!$B$2:$B$511,"*b)*",'00 Encuesta'!$C$2:$C$511,"*b)*",'00 Encuesta'!$E$2:$E$511,"*b)*",'00 Encuesta'!$H$2:$H$511,"*a)*")</f>
        <v>3</v>
      </c>
      <c r="S38" s="52">
        <f t="shared" ref="S38:S44" si="31">R38/$Q$7*100</f>
        <v>20</v>
      </c>
      <c r="T38" s="3"/>
      <c r="U38" s="51">
        <f t="shared" ref="U38:U44" si="32">W38+Y38</f>
        <v>3</v>
      </c>
      <c r="V38" s="52">
        <f t="shared" ref="V38:V44" si="33">U38/$X$5*100</f>
        <v>7.6923076923076925</v>
      </c>
      <c r="W38" s="53">
        <f>COUNTIFS('00 Encuesta'!$B$2:$B$511,"*b)*",'00 Encuesta'!$C$2:$C$511,"*c)*",'00 Encuesta'!$E$2:$E$511,"*a)*",'00 Encuesta'!$H$2:$H$511,"*a)*")</f>
        <v>2</v>
      </c>
      <c r="X38" s="52">
        <f t="shared" ref="X38:X44" si="34">W38/$X$6*100</f>
        <v>9.5238095238095237</v>
      </c>
      <c r="Y38" s="53">
        <f>COUNTIFS('00 Encuesta'!$B$2:$B$511,"*b)*",'00 Encuesta'!$C$2:$C$511,"*c)*",'00 Encuesta'!$E$2:$E$511,"*b)*",'00 Encuesta'!$H$2:$H$511,"*a)*")</f>
        <v>1</v>
      </c>
      <c r="Z38" s="52">
        <f t="shared" ref="Z38:Z44" si="35">Y38/$X$7*100</f>
        <v>5.5555555555555554</v>
      </c>
      <c r="AA38" s="3"/>
      <c r="AB38" s="62">
        <f t="shared" si="6"/>
        <v>11</v>
      </c>
      <c r="AC38" s="52">
        <f t="shared" ref="AC38:AC44" si="36">AB38*100/$AC$5</f>
        <v>10.091743119266056</v>
      </c>
      <c r="AD38" s="7"/>
      <c r="AE38" s="7"/>
      <c r="AF38" s="9" t="str">
        <f t="shared" ref="AF38:AF44" si="37">A38&amp;" "&amp;B38</f>
        <v>a) Quinta</v>
      </c>
      <c r="AG38" s="72">
        <f t="shared" ref="AG38:AG44" si="38">J38</f>
        <v>4.7619047619047619</v>
      </c>
      <c r="AH38" s="72">
        <f t="shared" ref="AH38:AH44" si="39">L38</f>
        <v>23.52941176470588</v>
      </c>
      <c r="AI38" s="73">
        <f t="shared" ref="AI38:AI44" si="40">H38</f>
        <v>13.157894736842104</v>
      </c>
      <c r="AJ38" s="73"/>
      <c r="AK38" s="76">
        <f t="shared" ref="AK38:AK44" si="41">Q38</f>
        <v>0</v>
      </c>
      <c r="AL38" s="76">
        <f t="shared" ref="AL38:AL44" si="42">S38</f>
        <v>20</v>
      </c>
      <c r="AM38" s="76">
        <f t="shared" ref="AM38:AM44" si="43">O38</f>
        <v>9.375</v>
      </c>
      <c r="AN38" s="76"/>
      <c r="AO38" s="81">
        <f t="shared" ref="AO38:AO44" si="44">X38</f>
        <v>9.5238095238095237</v>
      </c>
      <c r="AP38" s="81">
        <f t="shared" ref="AP38:AP44" si="45">Z38</f>
        <v>5.5555555555555554</v>
      </c>
      <c r="AQ38" s="81">
        <f t="shared" ref="AQ38:AQ44" si="46">V38</f>
        <v>7.6923076923076925</v>
      </c>
      <c r="AR38" s="7"/>
      <c r="AS38" s="76">
        <f t="shared" si="1"/>
        <v>10.091743119266056</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ht="15" x14ac:dyDescent="0.25">
      <c r="A39" s="8" t="s">
        <v>18</v>
      </c>
      <c r="B39" s="9" t="s">
        <v>41</v>
      </c>
      <c r="C39" s="7"/>
      <c r="D39" s="7"/>
      <c r="E39" s="7"/>
      <c r="F39" s="71"/>
      <c r="G39" s="51">
        <f t="shared" si="26"/>
        <v>9</v>
      </c>
      <c r="H39" s="52">
        <f t="shared" si="27"/>
        <v>23.684210526315788</v>
      </c>
      <c r="I39" s="53">
        <f>COUNTIFS('00 Encuesta'!$B$2:$B$511,"*b)*",'00 Encuesta'!$C$2:$C$511,"*a)*",'00 Encuesta'!$E$2:$E$511,"*a)*",'00 Encuesta'!$H$2:$H$511,"*b)*")</f>
        <v>8</v>
      </c>
      <c r="J39" s="52">
        <f t="shared" si="28"/>
        <v>38.095238095238095</v>
      </c>
      <c r="K39" s="53">
        <f>COUNTIFS('00 Encuesta'!$B$2:$B$511,"*b)*",'00 Encuesta'!$C$2:$C$511,"*a)*",'00 Encuesta'!$E$2:$E$511,"*b)*",'00 Encuesta'!$H$2:$H$511,"*b)*")</f>
        <v>1</v>
      </c>
      <c r="L39" s="52">
        <f t="shared" si="29"/>
        <v>5.8823529411764701</v>
      </c>
      <c r="M39" s="23"/>
      <c r="N39" s="51">
        <f t="shared" si="30"/>
        <v>3</v>
      </c>
      <c r="O39" s="52">
        <f t="shared" ref="O39:O44" si="47">N39/$Q$5*100</f>
        <v>9.375</v>
      </c>
      <c r="P39" s="53">
        <f>COUNTIFS('00 Encuesta'!$B$2:$B$511,"*b)*",'00 Encuesta'!$C$2:$C$511,"*b)*",'00 Encuesta'!$E$2:$E$511,"*a)*",'00 Encuesta'!$H$2:$H$511,"*b)*")</f>
        <v>2</v>
      </c>
      <c r="Q39" s="52">
        <f>P39/$Q$6*100</f>
        <v>11.76470588235294</v>
      </c>
      <c r="R39" s="53">
        <f>COUNTIFS('00 Encuesta'!$B$2:$B$511,"*b)*",'00 Encuesta'!$C$2:$C$511,"*b)*",'00 Encuesta'!$E$2:$E$511,"*b)*",'00 Encuesta'!$H$2:$H$511,"*b)*")</f>
        <v>1</v>
      </c>
      <c r="S39" s="52">
        <f>R39/$Q$7*100</f>
        <v>6.666666666666667</v>
      </c>
      <c r="T39" s="3"/>
      <c r="U39" s="51">
        <f t="shared" si="32"/>
        <v>11</v>
      </c>
      <c r="V39" s="52">
        <f t="shared" si="33"/>
        <v>28.205128205128204</v>
      </c>
      <c r="W39" s="53">
        <f>COUNTIFS('00 Encuesta'!$B$2:$B$511,"*b)*",'00 Encuesta'!$C$2:$C$511,"*c)*",'00 Encuesta'!$E$2:$E$511,"*a)*",'00 Encuesta'!$H$2:$H$511,"*b)*")</f>
        <v>5</v>
      </c>
      <c r="X39" s="52">
        <f t="shared" si="34"/>
        <v>23.809523809523807</v>
      </c>
      <c r="Y39" s="53">
        <f>COUNTIFS('00 Encuesta'!$B$2:$B$511,"*b)*",'00 Encuesta'!$C$2:$C$511,"*c)*",'00 Encuesta'!$E$2:$E$511,"*b)*",'00 Encuesta'!$H$2:$H$511,"*b)*")</f>
        <v>6</v>
      </c>
      <c r="Z39" s="52">
        <f t="shared" si="35"/>
        <v>33.333333333333329</v>
      </c>
      <c r="AA39" s="3"/>
      <c r="AB39" s="62">
        <f t="shared" si="6"/>
        <v>23</v>
      </c>
      <c r="AC39" s="52">
        <f t="shared" si="36"/>
        <v>21.100917431192659</v>
      </c>
      <c r="AD39" s="7"/>
      <c r="AE39" s="7"/>
      <c r="AF39" s="9" t="str">
        <f t="shared" si="37"/>
        <v>b) Casa urbana</v>
      </c>
      <c r="AG39" s="72">
        <f t="shared" si="38"/>
        <v>38.095238095238095</v>
      </c>
      <c r="AH39" s="72">
        <f t="shared" si="39"/>
        <v>5.8823529411764701</v>
      </c>
      <c r="AI39" s="73">
        <f t="shared" si="40"/>
        <v>23.684210526315788</v>
      </c>
      <c r="AJ39" s="73"/>
      <c r="AK39" s="76">
        <f t="shared" si="41"/>
        <v>11.76470588235294</v>
      </c>
      <c r="AL39" s="76">
        <f t="shared" si="42"/>
        <v>6.666666666666667</v>
      </c>
      <c r="AM39" s="76">
        <f t="shared" si="43"/>
        <v>9.375</v>
      </c>
      <c r="AN39" s="76"/>
      <c r="AO39" s="81">
        <f t="shared" si="44"/>
        <v>23.809523809523807</v>
      </c>
      <c r="AP39" s="81">
        <f t="shared" si="45"/>
        <v>33.333333333333329</v>
      </c>
      <c r="AQ39" s="81">
        <f t="shared" si="46"/>
        <v>28.205128205128204</v>
      </c>
      <c r="AR39" s="7"/>
      <c r="AS39" s="76">
        <f t="shared" si="1"/>
        <v>21.100917431192659</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ht="15" x14ac:dyDescent="0.25">
      <c r="A40" s="8" t="s">
        <v>20</v>
      </c>
      <c r="B40" s="9" t="s">
        <v>42</v>
      </c>
      <c r="C40" s="7"/>
      <c r="D40" s="7"/>
      <c r="E40" s="7"/>
      <c r="F40" s="71"/>
      <c r="G40" s="51">
        <f t="shared" si="26"/>
        <v>21</v>
      </c>
      <c r="H40" s="52">
        <f t="shared" si="27"/>
        <v>55.26315789473685</v>
      </c>
      <c r="I40" s="53">
        <f>COUNTIFS('00 Encuesta'!$B$2:$B$511,"*b)*",'00 Encuesta'!$C$2:$C$511,"*a)*",'00 Encuesta'!$E$2:$E$511,"*a)*",'00 Encuesta'!$H$2:$H$511,"*c)*")</f>
        <v>11</v>
      </c>
      <c r="J40" s="52">
        <f t="shared" si="28"/>
        <v>52.380952380952387</v>
      </c>
      <c r="K40" s="53">
        <f>COUNTIFS('00 Encuesta'!$B$2:$B$511,"*b)*",'00 Encuesta'!$C$2:$C$511,"*a)*",'00 Encuesta'!$E$2:$E$511,"*b)*",'00 Encuesta'!$H$2:$H$511,"*c)*")</f>
        <v>10</v>
      </c>
      <c r="L40" s="52">
        <f t="shared" si="29"/>
        <v>58.82352941176471</v>
      </c>
      <c r="M40" s="23"/>
      <c r="N40" s="51">
        <f t="shared" si="30"/>
        <v>25</v>
      </c>
      <c r="O40" s="52">
        <f t="shared" si="47"/>
        <v>78.125</v>
      </c>
      <c r="P40" s="53">
        <f>COUNTIFS('00 Encuesta'!$B$2:$B$511,"*b)*",'00 Encuesta'!$C$2:$C$511,"*b)*",'00 Encuesta'!$E$2:$E$511,"*a)*",'00 Encuesta'!$H$2:$H$511,"*c)*")</f>
        <v>15</v>
      </c>
      <c r="Q40" s="52">
        <f t="shared" ref="Q40:Q44" si="48">P40/$Q$6*100</f>
        <v>88.235294117647058</v>
      </c>
      <c r="R40" s="53">
        <f>COUNTIFS('00 Encuesta'!$B$2:$B$511,"*b)*",'00 Encuesta'!$C$2:$C$511,"*b)*",'00 Encuesta'!$E$2:$E$511,"*b)*",'00 Encuesta'!$H$2:$H$511,"*c)*")</f>
        <v>10</v>
      </c>
      <c r="S40" s="52">
        <f t="shared" si="31"/>
        <v>66.666666666666657</v>
      </c>
      <c r="T40" s="3"/>
      <c r="U40" s="51">
        <f t="shared" si="32"/>
        <v>22</v>
      </c>
      <c r="V40" s="52">
        <f t="shared" si="33"/>
        <v>56.410256410256409</v>
      </c>
      <c r="W40" s="53">
        <f>COUNTIFS('00 Encuesta'!$B$2:$B$511,"*b)*",'00 Encuesta'!$C$2:$C$511,"*c)*",'00 Encuesta'!$E$2:$E$511,"*a)*",'00 Encuesta'!$H$2:$H$511,"*c)*")</f>
        <v>11</v>
      </c>
      <c r="X40" s="52">
        <f t="shared" si="34"/>
        <v>52.380952380952387</v>
      </c>
      <c r="Y40" s="53">
        <f>COUNTIFS('00 Encuesta'!$B$2:$B$511,"*b)*",'00 Encuesta'!$C$2:$C$511,"*c)*",'00 Encuesta'!$E$2:$E$511,"*b)*",'00 Encuesta'!$H$2:$H$511,"*c)*")</f>
        <v>11</v>
      </c>
      <c r="Z40" s="52">
        <f t="shared" si="35"/>
        <v>61.111111111111114</v>
      </c>
      <c r="AA40" s="3"/>
      <c r="AB40" s="62">
        <f t="shared" si="6"/>
        <v>68</v>
      </c>
      <c r="AC40" s="52">
        <f t="shared" si="36"/>
        <v>62.38532110091743</v>
      </c>
      <c r="AD40" s="7"/>
      <c r="AE40" s="7"/>
      <c r="AF40" s="9" t="str">
        <f t="shared" si="37"/>
        <v>c) Apartamento</v>
      </c>
      <c r="AG40" s="72">
        <f t="shared" si="38"/>
        <v>52.380952380952387</v>
      </c>
      <c r="AH40" s="72">
        <f t="shared" si="39"/>
        <v>58.82352941176471</v>
      </c>
      <c r="AI40" s="73">
        <f t="shared" si="40"/>
        <v>55.26315789473685</v>
      </c>
      <c r="AJ40" s="73"/>
      <c r="AK40" s="76">
        <f t="shared" si="41"/>
        <v>88.235294117647058</v>
      </c>
      <c r="AL40" s="76">
        <f t="shared" si="42"/>
        <v>66.666666666666657</v>
      </c>
      <c r="AM40" s="76">
        <f t="shared" si="43"/>
        <v>78.125</v>
      </c>
      <c r="AN40" s="76"/>
      <c r="AO40" s="81">
        <f t="shared" si="44"/>
        <v>52.380952380952387</v>
      </c>
      <c r="AP40" s="81">
        <f t="shared" si="45"/>
        <v>61.111111111111114</v>
      </c>
      <c r="AQ40" s="81">
        <f t="shared" si="46"/>
        <v>56.410256410256409</v>
      </c>
      <c r="AR40" s="7"/>
      <c r="AS40" s="76">
        <f t="shared" si="1"/>
        <v>62.38532110091743</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ht="15" x14ac:dyDescent="0.25">
      <c r="A41" s="8" t="s">
        <v>21</v>
      </c>
      <c r="B41" s="9" t="s">
        <v>43</v>
      </c>
      <c r="C41" s="7"/>
      <c r="D41" s="7"/>
      <c r="E41" s="7"/>
      <c r="F41" s="71"/>
      <c r="G41" s="51">
        <f t="shared" si="26"/>
        <v>2</v>
      </c>
      <c r="H41" s="52">
        <f t="shared" si="27"/>
        <v>5.2631578947368416</v>
      </c>
      <c r="I41" s="53">
        <f>COUNTIFS('00 Encuesta'!$B$2:$B$511,"*b)*",'00 Encuesta'!$C$2:$C$511,"*a)*",'00 Encuesta'!$E$2:$E$511,"*a)*",'00 Encuesta'!$H$2:$H$511,"*d)*")</f>
        <v>1</v>
      </c>
      <c r="J41" s="52">
        <f t="shared" si="28"/>
        <v>4.7619047619047619</v>
      </c>
      <c r="K41" s="53">
        <f>COUNTIFS('00 Encuesta'!$B$2:$B$511,"*b)*",'00 Encuesta'!$C$2:$C$511,"*a)*",'00 Encuesta'!$E$2:$E$511,"*b)*",'00 Encuesta'!$H$2:$H$511,"*d)*")</f>
        <v>1</v>
      </c>
      <c r="L41" s="52">
        <f t="shared" si="29"/>
        <v>5.8823529411764701</v>
      </c>
      <c r="M41" s="23"/>
      <c r="N41" s="51">
        <f t="shared" si="30"/>
        <v>1</v>
      </c>
      <c r="O41" s="52">
        <f t="shared" si="47"/>
        <v>3.125</v>
      </c>
      <c r="P41" s="53">
        <f>COUNTIFS('00 Encuesta'!$B$2:$B$511,"*b)*",'00 Encuesta'!$C$2:$C$511,"*b)*",'00 Encuesta'!$E$2:$E$511,"*a)*",'00 Encuesta'!$H$2:$H$511,"*d)*")</f>
        <v>0</v>
      </c>
      <c r="Q41" s="52">
        <f t="shared" si="48"/>
        <v>0</v>
      </c>
      <c r="R41" s="53">
        <f>COUNTIFS('00 Encuesta'!$B$2:$B$511,"*b)*",'00 Encuesta'!$C$2:$C$511,"*b)*",'00 Encuesta'!$E$2:$E$511,"*b)*",'00 Encuesta'!$H$2:$H$511,"*d)*")</f>
        <v>1</v>
      </c>
      <c r="S41" s="52">
        <f t="shared" si="31"/>
        <v>6.666666666666667</v>
      </c>
      <c r="T41" s="3"/>
      <c r="U41" s="51">
        <f t="shared" si="32"/>
        <v>1</v>
      </c>
      <c r="V41" s="52">
        <f t="shared" si="33"/>
        <v>2.5641025641025639</v>
      </c>
      <c r="W41" s="53">
        <f>COUNTIFS('00 Encuesta'!$B$2:$B$511,"*b)*",'00 Encuesta'!$C$2:$C$511,"*c)*",'00 Encuesta'!$E$2:$E$511,"*a)*",'00 Encuesta'!$H$2:$H$511,"*d)*")</f>
        <v>1</v>
      </c>
      <c r="X41" s="52">
        <f t="shared" si="34"/>
        <v>4.7619047619047619</v>
      </c>
      <c r="Y41" s="53">
        <f>COUNTIFS('00 Encuesta'!$B$2:$B$511,"*b)*",'00 Encuesta'!$C$2:$C$511,"*c)*",'00 Encuesta'!$E$2:$E$511,"*b)*",'00 Encuesta'!$H$2:$H$511,"*d)*")</f>
        <v>0</v>
      </c>
      <c r="Z41" s="52">
        <f t="shared" si="35"/>
        <v>0</v>
      </c>
      <c r="AA41" s="3"/>
      <c r="AB41" s="62">
        <f t="shared" si="6"/>
        <v>4</v>
      </c>
      <c r="AC41" s="52">
        <f t="shared" si="36"/>
        <v>3.669724770642202</v>
      </c>
      <c r="AD41" s="7"/>
      <c r="AE41" s="7"/>
      <c r="AF41" s="9" t="str">
        <f t="shared" si="37"/>
        <v>d) Casa rural</v>
      </c>
      <c r="AG41" s="72">
        <f t="shared" si="38"/>
        <v>4.7619047619047619</v>
      </c>
      <c r="AH41" s="72">
        <f t="shared" si="39"/>
        <v>5.8823529411764701</v>
      </c>
      <c r="AI41" s="73">
        <f t="shared" si="40"/>
        <v>5.2631578947368416</v>
      </c>
      <c r="AJ41" s="73"/>
      <c r="AK41" s="76">
        <f t="shared" si="41"/>
        <v>0</v>
      </c>
      <c r="AL41" s="76">
        <f t="shared" si="42"/>
        <v>6.666666666666667</v>
      </c>
      <c r="AM41" s="76">
        <f t="shared" si="43"/>
        <v>3.125</v>
      </c>
      <c r="AN41" s="76"/>
      <c r="AO41" s="81">
        <f t="shared" si="44"/>
        <v>4.7619047619047619</v>
      </c>
      <c r="AP41" s="81">
        <f t="shared" si="45"/>
        <v>0</v>
      </c>
      <c r="AQ41" s="81">
        <f t="shared" si="46"/>
        <v>2.5641025641025639</v>
      </c>
      <c r="AR41" s="7"/>
      <c r="AS41" s="76">
        <f t="shared" si="1"/>
        <v>3.669724770642202</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ht="15" x14ac:dyDescent="0.25">
      <c r="A42" s="8" t="s">
        <v>22</v>
      </c>
      <c r="B42" s="9" t="s">
        <v>44</v>
      </c>
      <c r="C42" s="7"/>
      <c r="D42" s="7"/>
      <c r="E42" s="7"/>
      <c r="F42" s="71"/>
      <c r="G42" s="51">
        <f t="shared" si="26"/>
        <v>0</v>
      </c>
      <c r="H42" s="52">
        <f t="shared" si="27"/>
        <v>0</v>
      </c>
      <c r="I42" s="53">
        <f>COUNTIFS('00 Encuesta'!$B$2:$B$511,"*b)*",'00 Encuesta'!$C$2:$C$511,"*a)*",'00 Encuesta'!$E$2:$E$511,"*a)*",'00 Encuesta'!$H$2:$H$511,"*e)*")</f>
        <v>0</v>
      </c>
      <c r="J42" s="52">
        <f t="shared" si="28"/>
        <v>0</v>
      </c>
      <c r="K42" s="53">
        <f>COUNTIFS('00 Encuesta'!$B$2:$B$511,"*b)*",'00 Encuesta'!$C$2:$C$511,"*a)*",'00 Encuesta'!$E$2:$E$511,"*b)*",'00 Encuesta'!$H$2:$H$511,"*e)*")</f>
        <v>0</v>
      </c>
      <c r="L42" s="52">
        <f t="shared" si="29"/>
        <v>0</v>
      </c>
      <c r="M42" s="23"/>
      <c r="N42" s="51">
        <f t="shared" si="30"/>
        <v>0</v>
      </c>
      <c r="O42" s="52">
        <f t="shared" si="47"/>
        <v>0</v>
      </c>
      <c r="P42" s="53">
        <f>COUNTIFS('00 Encuesta'!$B$2:$B$511,"*b)*",'00 Encuesta'!$C$2:$C$511,"*b)*",'00 Encuesta'!$E$2:$E$511,"*a)*",'00 Encuesta'!$H$2:$H$511,"*e)*")</f>
        <v>0</v>
      </c>
      <c r="Q42" s="52">
        <f t="shared" si="48"/>
        <v>0</v>
      </c>
      <c r="R42" s="53">
        <f>COUNTIFS('00 Encuesta'!$B$2:$B$511,"*b)*",'00 Encuesta'!$C$2:$C$511,"*b)*",'00 Encuesta'!$E$2:$E$511,"*b)*",'00 Encuesta'!$H$2:$H$511,"*e)*")</f>
        <v>0</v>
      </c>
      <c r="S42" s="52">
        <f t="shared" si="31"/>
        <v>0</v>
      </c>
      <c r="T42" s="3"/>
      <c r="U42" s="51">
        <f t="shared" si="32"/>
        <v>2</v>
      </c>
      <c r="V42" s="52">
        <f t="shared" si="33"/>
        <v>5.1282051282051277</v>
      </c>
      <c r="W42" s="53">
        <f>COUNTIFS('00 Encuesta'!$B$2:$B$511,"*b)*",'00 Encuesta'!$C$2:$C$511,"*c)*",'00 Encuesta'!$E$2:$E$511,"*a)*",'00 Encuesta'!$H$2:$H$511,"*e)*")</f>
        <v>2</v>
      </c>
      <c r="X42" s="52">
        <f t="shared" si="34"/>
        <v>9.5238095238095237</v>
      </c>
      <c r="Y42" s="53">
        <f>COUNTIFS('00 Encuesta'!$B$2:$B$511,"*b)*",'00 Encuesta'!$C$2:$C$511,"*c)*",'00 Encuesta'!$E$2:$E$511,"*b)*",'00 Encuesta'!$H$2:$H$511,"*e)*")</f>
        <v>0</v>
      </c>
      <c r="Z42" s="52">
        <f t="shared" si="35"/>
        <v>0</v>
      </c>
      <c r="AA42" s="3"/>
      <c r="AB42" s="62">
        <f t="shared" si="6"/>
        <v>2</v>
      </c>
      <c r="AC42" s="52">
        <f t="shared" si="36"/>
        <v>1.834862385321101</v>
      </c>
      <c r="AD42" s="7"/>
      <c r="AE42" s="7"/>
      <c r="AF42" s="9" t="str">
        <f t="shared" si="37"/>
        <v>e) Rancho</v>
      </c>
      <c r="AG42" s="72">
        <f t="shared" si="38"/>
        <v>0</v>
      </c>
      <c r="AH42" s="72">
        <f t="shared" si="39"/>
        <v>0</v>
      </c>
      <c r="AI42" s="73">
        <f t="shared" si="40"/>
        <v>0</v>
      </c>
      <c r="AJ42" s="73"/>
      <c r="AK42" s="76">
        <f t="shared" si="41"/>
        <v>0</v>
      </c>
      <c r="AL42" s="76">
        <f t="shared" si="42"/>
        <v>0</v>
      </c>
      <c r="AM42" s="76">
        <f t="shared" si="43"/>
        <v>0</v>
      </c>
      <c r="AN42" s="76"/>
      <c r="AO42" s="81">
        <f t="shared" si="44"/>
        <v>9.5238095238095237</v>
      </c>
      <c r="AP42" s="81">
        <f t="shared" si="45"/>
        <v>0</v>
      </c>
      <c r="AQ42" s="81">
        <f t="shared" si="46"/>
        <v>5.1282051282051277</v>
      </c>
      <c r="AR42" s="7"/>
      <c r="AS42" s="76">
        <f t="shared" si="1"/>
        <v>1.834862385321101</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ht="15" x14ac:dyDescent="0.25">
      <c r="A43" s="8" t="s">
        <v>45</v>
      </c>
      <c r="B43" s="9" t="s">
        <v>46</v>
      </c>
      <c r="C43" s="7"/>
      <c r="D43" s="7"/>
      <c r="E43" s="7"/>
      <c r="F43" s="71"/>
      <c r="G43" s="51">
        <f t="shared" si="26"/>
        <v>0</v>
      </c>
      <c r="H43" s="52">
        <f t="shared" si="27"/>
        <v>0</v>
      </c>
      <c r="I43" s="53">
        <f>COUNTIFS('00 Encuesta'!$B$2:$B$511,"*b)*",'00 Encuesta'!$C$2:$C$511,"*a)*",'00 Encuesta'!$E$2:$E$511,"*a)*",'00 Encuesta'!$H$2:$H$511,"*f)*")</f>
        <v>0</v>
      </c>
      <c r="J43" s="52">
        <f t="shared" si="28"/>
        <v>0</v>
      </c>
      <c r="K43" s="53">
        <f>COUNTIFS('00 Encuesta'!$B$2:$B$511,"*b)*",'00 Encuesta'!$C$2:$C$511,"*a)*",'00 Encuesta'!$E$2:$E$511,"*b)*",'00 Encuesta'!$H$2:$H$511,"*f)*")</f>
        <v>0</v>
      </c>
      <c r="L43" s="52">
        <f t="shared" si="29"/>
        <v>0</v>
      </c>
      <c r="M43" s="23"/>
      <c r="N43" s="51">
        <f t="shared" si="30"/>
        <v>0</v>
      </c>
      <c r="O43" s="52">
        <f t="shared" si="47"/>
        <v>0</v>
      </c>
      <c r="P43" s="53">
        <f>COUNTIFS('00 Encuesta'!$B$2:$B$511,"*b)*",'00 Encuesta'!$C$2:$C$511,"*b)*",'00 Encuesta'!$E$2:$E$511,"*a)*",'00 Encuesta'!$H$2:$H$511,"*f)*")</f>
        <v>0</v>
      </c>
      <c r="Q43" s="52">
        <f t="shared" si="48"/>
        <v>0</v>
      </c>
      <c r="R43" s="53">
        <f>COUNTIFS('00 Encuesta'!$B$2:$B$511,"*b)*",'00 Encuesta'!$C$2:$C$511,"*b)*",'00 Encuesta'!$E$2:$E$511,"*b)*",'00 Encuesta'!$H$2:$H$511,"*f)*")</f>
        <v>0</v>
      </c>
      <c r="S43" s="52">
        <f t="shared" si="31"/>
        <v>0</v>
      </c>
      <c r="T43" s="3"/>
      <c r="U43" s="51">
        <f t="shared" si="32"/>
        <v>0</v>
      </c>
      <c r="V43" s="52">
        <f t="shared" si="33"/>
        <v>0</v>
      </c>
      <c r="W43" s="53">
        <f>COUNTIFS('00 Encuesta'!$B$2:$B$511,"*b)*",'00 Encuesta'!$C$2:$C$511,"*c)*",'00 Encuesta'!$E$2:$E$511,"*a)*",'00 Encuesta'!$H$2:$H$511,"*f)*")</f>
        <v>0</v>
      </c>
      <c r="X43" s="52">
        <f t="shared" si="34"/>
        <v>0</v>
      </c>
      <c r="Y43" s="53">
        <f>COUNTIFS('00 Encuesta'!$B$2:$B$511,"*b)*",'00 Encuesta'!$C$2:$C$511,"*c)*",'00 Encuesta'!$E$2:$E$511,"*b)*",'00 Encuesta'!$H$2:$H$511,"*f)*")</f>
        <v>0</v>
      </c>
      <c r="Z43" s="52">
        <f t="shared" si="35"/>
        <v>0</v>
      </c>
      <c r="AA43" s="3"/>
      <c r="AB43" s="62">
        <f t="shared" si="6"/>
        <v>0</v>
      </c>
      <c r="AC43" s="52">
        <f t="shared" si="36"/>
        <v>0</v>
      </c>
      <c r="AD43" s="7"/>
      <c r="AE43" s="7"/>
      <c r="AF43" s="9" t="str">
        <f t="shared" si="37"/>
        <v>f) Otro</v>
      </c>
      <c r="AG43" s="72">
        <f t="shared" si="38"/>
        <v>0</v>
      </c>
      <c r="AH43" s="72">
        <f t="shared" si="39"/>
        <v>0</v>
      </c>
      <c r="AI43" s="73">
        <f t="shared" si="40"/>
        <v>0</v>
      </c>
      <c r="AJ43" s="73"/>
      <c r="AK43" s="76">
        <f t="shared" si="41"/>
        <v>0</v>
      </c>
      <c r="AL43" s="76">
        <f t="shared" si="42"/>
        <v>0</v>
      </c>
      <c r="AM43" s="76">
        <f t="shared" si="43"/>
        <v>0</v>
      </c>
      <c r="AN43" s="76"/>
      <c r="AO43" s="81">
        <f t="shared" si="44"/>
        <v>0</v>
      </c>
      <c r="AP43" s="81">
        <f t="shared" si="45"/>
        <v>0</v>
      </c>
      <c r="AQ43" s="81">
        <f t="shared" si="46"/>
        <v>0</v>
      </c>
      <c r="AR43" s="7"/>
      <c r="AS43" s="76">
        <f t="shared" si="1"/>
        <v>0</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ht="15" x14ac:dyDescent="0.25">
      <c r="A44" s="8" t="s">
        <v>23</v>
      </c>
      <c r="B44" s="9" t="s">
        <v>24</v>
      </c>
      <c r="C44" s="7"/>
      <c r="D44" s="7"/>
      <c r="E44" s="7"/>
      <c r="F44" s="71"/>
      <c r="G44" s="51">
        <f t="shared" si="26"/>
        <v>0</v>
      </c>
      <c r="H44" s="52">
        <f t="shared" si="27"/>
        <v>0</v>
      </c>
      <c r="I44" s="53"/>
      <c r="J44" s="52">
        <f t="shared" si="28"/>
        <v>0</v>
      </c>
      <c r="K44" s="53"/>
      <c r="L44" s="52">
        <f t="shared" si="29"/>
        <v>0</v>
      </c>
      <c r="M44" s="23"/>
      <c r="N44" s="51">
        <f t="shared" si="30"/>
        <v>0</v>
      </c>
      <c r="O44" s="52">
        <f t="shared" si="47"/>
        <v>0</v>
      </c>
      <c r="P44" s="53"/>
      <c r="Q44" s="52">
        <f t="shared" si="48"/>
        <v>0</v>
      </c>
      <c r="R44" s="53"/>
      <c r="S44" s="52">
        <f t="shared" si="31"/>
        <v>0</v>
      </c>
      <c r="T44" s="3"/>
      <c r="U44" s="51">
        <f t="shared" si="32"/>
        <v>0</v>
      </c>
      <c r="V44" s="52">
        <f t="shared" si="33"/>
        <v>0</v>
      </c>
      <c r="W44" s="53"/>
      <c r="X44" s="52">
        <f t="shared" si="34"/>
        <v>0</v>
      </c>
      <c r="Y44" s="53"/>
      <c r="Z44" s="52">
        <f t="shared" si="35"/>
        <v>0</v>
      </c>
      <c r="AA44" s="3"/>
      <c r="AB44" s="62">
        <f t="shared" si="6"/>
        <v>0</v>
      </c>
      <c r="AC44" s="52">
        <f t="shared" si="36"/>
        <v>0</v>
      </c>
      <c r="AD44" s="7"/>
      <c r="AE44" s="7"/>
      <c r="AF44" s="9" t="str">
        <f t="shared" si="37"/>
        <v>S/R Sin Respuesta</v>
      </c>
      <c r="AG44" s="72">
        <f t="shared" si="38"/>
        <v>0</v>
      </c>
      <c r="AH44" s="72">
        <f t="shared" si="39"/>
        <v>0</v>
      </c>
      <c r="AI44" s="73">
        <f t="shared" si="40"/>
        <v>0</v>
      </c>
      <c r="AJ44" s="73"/>
      <c r="AK44" s="76">
        <f t="shared" si="41"/>
        <v>0</v>
      </c>
      <c r="AL44" s="76">
        <f t="shared" si="42"/>
        <v>0</v>
      </c>
      <c r="AM44" s="76">
        <f t="shared" si="43"/>
        <v>0</v>
      </c>
      <c r="AN44" s="76"/>
      <c r="AO44" s="81">
        <f t="shared" si="44"/>
        <v>0</v>
      </c>
      <c r="AP44" s="81">
        <f t="shared" si="45"/>
        <v>0</v>
      </c>
      <c r="AQ44" s="81">
        <f t="shared" si="46"/>
        <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ht="15" x14ac:dyDescent="0.25">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ht="15" x14ac:dyDescent="0.25">
      <c r="A47" s="8" t="s">
        <v>17</v>
      </c>
      <c r="B47" s="9" t="s">
        <v>49</v>
      </c>
      <c r="C47" s="7"/>
      <c r="D47" s="7"/>
      <c r="E47" s="7"/>
      <c r="F47" s="71">
        <v>100</v>
      </c>
      <c r="G47" s="51">
        <f>I47+K47</f>
        <v>22</v>
      </c>
      <c r="H47" s="52">
        <f>G47/$J$5*100</f>
        <v>57.894736842105267</v>
      </c>
      <c r="I47" s="53">
        <f>COUNTIFS('00 Encuesta'!$B$2:$B$511,"*b)*",'00 Encuesta'!$C$2:$C$511,"*a)*",'00 Encuesta'!$E$2:$E$511,"*a)*",'00 Encuesta'!$I$2:$I$511,"*a)*")</f>
        <v>15</v>
      </c>
      <c r="J47" s="52">
        <f>I47/$J$6*100</f>
        <v>71.428571428571431</v>
      </c>
      <c r="K47" s="53">
        <f>COUNTIFS('00 Encuesta'!$B$2:$B$511,"*b)*",'00 Encuesta'!$C$2:$C$511,"*a)*",'00 Encuesta'!$E$2:$E$511,"*b)*",'00 Encuesta'!$I$2:$I$511,"*a)*")</f>
        <v>7</v>
      </c>
      <c r="L47" s="52">
        <f>K47/$J$7*100</f>
        <v>41.17647058823529</v>
      </c>
      <c r="M47" s="23"/>
      <c r="N47" s="51">
        <f>P47+R47</f>
        <v>21</v>
      </c>
      <c r="O47" s="52">
        <f>N47/$Q$5*100</f>
        <v>65.625</v>
      </c>
      <c r="P47" s="53">
        <f>COUNTIFS('00 Encuesta'!$B$2:$B$511,"*b)*",'00 Encuesta'!$C$2:$C$511,"*b)*",'00 Encuesta'!$E$2:$E$511,"*a)*",'00 Encuesta'!$I$2:$I$511,"*a)*")</f>
        <v>10</v>
      </c>
      <c r="Q47" s="52">
        <f>P47/$Q$6*100</f>
        <v>58.82352941176471</v>
      </c>
      <c r="R47" s="53">
        <f>COUNTIFS('00 Encuesta'!$B$2:$B$511,"*b)*",'00 Encuesta'!$C$2:$C$511,"*b)*",'00 Encuesta'!$E$2:$E$511,"*b)*",'00 Encuesta'!$I$2:$I$511,"*a)*")</f>
        <v>11</v>
      </c>
      <c r="S47" s="52">
        <f>R47/$Q$7*100</f>
        <v>73.333333333333329</v>
      </c>
      <c r="T47" s="3"/>
      <c r="U47" s="51">
        <f>W47+Y47</f>
        <v>27</v>
      </c>
      <c r="V47" s="52">
        <f>U47/$X$5*100</f>
        <v>69.230769230769226</v>
      </c>
      <c r="W47" s="53">
        <f>COUNTIFS('00 Encuesta'!$B$2:$B$511,"*b)*",'00 Encuesta'!$C$2:$C$511,"*c)*",'00 Encuesta'!$E$2:$E$511,"*a)*",'00 Encuesta'!$I$2:$I$511,"*a)*")</f>
        <v>15</v>
      </c>
      <c r="X47" s="52">
        <f>W47/$X$6*100</f>
        <v>71.428571428571431</v>
      </c>
      <c r="Y47" s="53">
        <f>COUNTIFS('00 Encuesta'!$B$2:$B$511,"*b)*",'00 Encuesta'!$C$2:$C$511,"*c)*",'00 Encuesta'!$E$2:$E$511,"*b)*",'00 Encuesta'!$I$2:$I$511,"*a)*")</f>
        <v>12</v>
      </c>
      <c r="Z47" s="52">
        <f>Y47/$X$7*100</f>
        <v>66.666666666666657</v>
      </c>
      <c r="AA47" s="3"/>
      <c r="AB47" s="62">
        <f t="shared" si="6"/>
        <v>70</v>
      </c>
      <c r="AC47" s="52">
        <f>AB47*100/$AC$5</f>
        <v>64.220183486238525</v>
      </c>
      <c r="AD47" s="7"/>
      <c r="AE47" s="7"/>
      <c r="AF47" s="9" t="str">
        <f t="shared" si="49"/>
        <v>a) Si</v>
      </c>
      <c r="AG47" s="72">
        <f>J47</f>
        <v>71.428571428571431</v>
      </c>
      <c r="AH47" s="72">
        <f>L47</f>
        <v>41.17647058823529</v>
      </c>
      <c r="AI47" s="73">
        <f>H47</f>
        <v>57.894736842105267</v>
      </c>
      <c r="AJ47" s="73"/>
      <c r="AK47" s="76">
        <f>Q47</f>
        <v>58.82352941176471</v>
      </c>
      <c r="AL47" s="76">
        <f>S47</f>
        <v>73.333333333333329</v>
      </c>
      <c r="AM47" s="76">
        <f>O47</f>
        <v>65.625</v>
      </c>
      <c r="AN47" s="76"/>
      <c r="AO47" s="81">
        <f>X47</f>
        <v>71.428571428571431</v>
      </c>
      <c r="AP47" s="81">
        <f>Z47</f>
        <v>66.666666666666657</v>
      </c>
      <c r="AQ47" s="81">
        <f>V47</f>
        <v>69.230769230769226</v>
      </c>
      <c r="AR47" s="7"/>
      <c r="AS47" s="76">
        <f t="shared" si="1"/>
        <v>64.220183486238525</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ht="15" x14ac:dyDescent="0.25">
      <c r="A48" s="8" t="s">
        <v>18</v>
      </c>
      <c r="B48" s="9" t="s">
        <v>50</v>
      </c>
      <c r="C48" s="7"/>
      <c r="D48" s="7"/>
      <c r="E48" s="7"/>
      <c r="F48" s="71">
        <v>0</v>
      </c>
      <c r="G48" s="51">
        <f>I48+K48</f>
        <v>1</v>
      </c>
      <c r="H48" s="52">
        <f>G48/$J$5*100</f>
        <v>2.6315789473684208</v>
      </c>
      <c r="I48" s="53">
        <f>COUNTIFS('00 Encuesta'!$B$2:$B$511,"*b)*",'00 Encuesta'!$C$2:$C$511,"*a)*",'00 Encuesta'!$E$2:$E$511,"*a)*",'00 Encuesta'!$I$2:$I$511,"*b)*")</f>
        <v>1</v>
      </c>
      <c r="J48" s="52">
        <f>I48/$J$6*100</f>
        <v>4.7619047619047619</v>
      </c>
      <c r="K48" s="53">
        <f>COUNTIFS('00 Encuesta'!$B$2:$B$511,"*b)*",'00 Encuesta'!$C$2:$C$511,"*a)*",'00 Encuesta'!$E$2:$E$511,"*b)*",'00 Encuesta'!$I$2:$I$511,"*b)*")</f>
        <v>0</v>
      </c>
      <c r="L48" s="52">
        <f>K48/$J$7*100</f>
        <v>0</v>
      </c>
      <c r="M48" s="23"/>
      <c r="N48" s="51">
        <f>P48+R48</f>
        <v>0</v>
      </c>
      <c r="O48" s="52">
        <f>N48/$Q$5*100</f>
        <v>0</v>
      </c>
      <c r="P48" s="53">
        <f>COUNTIFS('00 Encuesta'!$B$2:$B$511,"*b)*",'00 Encuesta'!$C$2:$C$511,"*b)*",'00 Encuesta'!$E$2:$E$511,"*a)*",'00 Encuesta'!$I$2:$I$511,"*b)*")</f>
        <v>0</v>
      </c>
      <c r="Q48" s="52">
        <f>P48/$Q$6*100</f>
        <v>0</v>
      </c>
      <c r="R48" s="53">
        <f>COUNTIFS('00 Encuesta'!$B$2:$B$511,"*b)*",'00 Encuesta'!$C$2:$C$511,"*b)*",'00 Encuesta'!$E$2:$E$511,"*b)*",'00 Encuesta'!$I$2:$I$511,"*b)*")</f>
        <v>0</v>
      </c>
      <c r="S48" s="52">
        <f>R48/$Q$7*100</f>
        <v>0</v>
      </c>
      <c r="T48" s="3"/>
      <c r="U48" s="51">
        <f>W48+Y48</f>
        <v>1</v>
      </c>
      <c r="V48" s="52">
        <f>U48/$X$5*100</f>
        <v>2.5641025641025639</v>
      </c>
      <c r="W48" s="53">
        <f>COUNTIFS('00 Encuesta'!$B$2:$B$511,"*b)*",'00 Encuesta'!$C$2:$C$511,"*c)*",'00 Encuesta'!$E$2:$E$511,"*a)*",'00 Encuesta'!$I$2:$I$511,"*b)*")</f>
        <v>1</v>
      </c>
      <c r="X48" s="52">
        <f>W48/$X$6*100</f>
        <v>4.7619047619047619</v>
      </c>
      <c r="Y48" s="53">
        <f>COUNTIFS('00 Encuesta'!$B$2:$B$511,"*b)*",'00 Encuesta'!$C$2:$C$511,"*c)*",'00 Encuesta'!$E$2:$E$511,"*b)*",'00 Encuesta'!$I$2:$I$511,"*b)*")</f>
        <v>0</v>
      </c>
      <c r="Z48" s="52">
        <f>Y48/$X$7*100</f>
        <v>0</v>
      </c>
      <c r="AA48" s="3"/>
      <c r="AB48" s="62">
        <f t="shared" si="6"/>
        <v>2</v>
      </c>
      <c r="AC48" s="52">
        <f>AB48*100/$AC$5</f>
        <v>1.834862385321101</v>
      </c>
      <c r="AD48" s="7"/>
      <c r="AE48" s="7"/>
      <c r="AF48" s="9" t="str">
        <f t="shared" si="49"/>
        <v>b) No</v>
      </c>
      <c r="AG48" s="72">
        <f>J48</f>
        <v>4.7619047619047619</v>
      </c>
      <c r="AH48" s="72">
        <f>L48</f>
        <v>0</v>
      </c>
      <c r="AI48" s="73">
        <f>H48</f>
        <v>2.6315789473684208</v>
      </c>
      <c r="AJ48" s="73"/>
      <c r="AK48" s="76">
        <f>Q48</f>
        <v>0</v>
      </c>
      <c r="AL48" s="76">
        <f>S48</f>
        <v>0</v>
      </c>
      <c r="AM48" s="76">
        <f>O48</f>
        <v>0</v>
      </c>
      <c r="AN48" s="76"/>
      <c r="AO48" s="81">
        <f>X48</f>
        <v>4.7619047619047619</v>
      </c>
      <c r="AP48" s="81">
        <f>Z48</f>
        <v>0</v>
      </c>
      <c r="AQ48" s="81">
        <f>V48</f>
        <v>2.5641025641025639</v>
      </c>
      <c r="AR48" s="7"/>
      <c r="AS48" s="76">
        <f t="shared" si="1"/>
        <v>1.834862385321101</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ht="15" x14ac:dyDescent="0.25">
      <c r="A49" s="8" t="s">
        <v>20</v>
      </c>
      <c r="B49" s="9" t="s">
        <v>51</v>
      </c>
      <c r="C49" s="7"/>
      <c r="D49" s="7"/>
      <c r="E49" s="7"/>
      <c r="F49" s="71">
        <v>50</v>
      </c>
      <c r="G49" s="51">
        <f>I49+K49</f>
        <v>8</v>
      </c>
      <c r="H49" s="52">
        <f>G49/$J$5*100</f>
        <v>21.052631578947366</v>
      </c>
      <c r="I49" s="53">
        <f>COUNTIFS('00 Encuesta'!$B$2:$B$511,"*b)*",'00 Encuesta'!$C$2:$C$511,"*a)*",'00 Encuesta'!$E$2:$E$511,"*a)*",'00 Encuesta'!$I$2:$I$511,"*c)*")</f>
        <v>4</v>
      </c>
      <c r="J49" s="52">
        <f>I49/$J$6*100</f>
        <v>19.047619047619047</v>
      </c>
      <c r="K49" s="53">
        <f>COUNTIFS('00 Encuesta'!$B$2:$B$511,"*b)*",'00 Encuesta'!$C$2:$C$511,"*a)*",'00 Encuesta'!$E$2:$E$511,"*b)*",'00 Encuesta'!$I$2:$I$511,"*c)*")</f>
        <v>4</v>
      </c>
      <c r="L49" s="52">
        <f>K49/$J$7*100</f>
        <v>23.52941176470588</v>
      </c>
      <c r="M49" s="23"/>
      <c r="N49" s="51">
        <f>P49+R49</f>
        <v>11</v>
      </c>
      <c r="O49" s="52">
        <f>N49/$Q$5*100</f>
        <v>34.375</v>
      </c>
      <c r="P49" s="53">
        <f>COUNTIFS('00 Encuesta'!$B$2:$B$511,"*b)*",'00 Encuesta'!$C$2:$C$511,"*b)*",'00 Encuesta'!$E$2:$E$511,"*a)*",'00 Encuesta'!$I$2:$I$511,"*c)*")</f>
        <v>7</v>
      </c>
      <c r="Q49" s="52">
        <f>P49/$Q$6*100</f>
        <v>41.17647058823529</v>
      </c>
      <c r="R49" s="53">
        <f>COUNTIFS('00 Encuesta'!$B$2:$B$511,"*b)*",'00 Encuesta'!$C$2:$C$511,"*b)*",'00 Encuesta'!$E$2:$E$511,"*b)*",'00 Encuesta'!$I$2:$I$511,"*c)*")</f>
        <v>4</v>
      </c>
      <c r="S49" s="52">
        <f>R49/$Q$7*100</f>
        <v>26.666666666666668</v>
      </c>
      <c r="T49" s="3"/>
      <c r="U49" s="51">
        <f>W49+Y49</f>
        <v>9</v>
      </c>
      <c r="V49" s="52">
        <f>U49/$X$5*100</f>
        <v>23.076923076923077</v>
      </c>
      <c r="W49" s="53">
        <f>COUNTIFS('00 Encuesta'!$B$2:$B$511,"*b)*",'00 Encuesta'!$C$2:$C$511,"*c)*",'00 Encuesta'!$E$2:$E$511,"*a)*",'00 Encuesta'!$I$2:$I$511,"*c)*")</f>
        <v>5</v>
      </c>
      <c r="X49" s="52">
        <f>W49/$X$6*100</f>
        <v>23.809523809523807</v>
      </c>
      <c r="Y49" s="53">
        <f>COUNTIFS('00 Encuesta'!$B$2:$B$511,"*b)*",'00 Encuesta'!$C$2:$C$511,"*c)*",'00 Encuesta'!$E$2:$E$511,"*b)*",'00 Encuesta'!$I$2:$I$511,"*c)*")</f>
        <v>4</v>
      </c>
      <c r="Z49" s="52">
        <f>Y49/$X$7*100</f>
        <v>22.222222222222221</v>
      </c>
      <c r="AA49" s="3"/>
      <c r="AB49" s="62">
        <f t="shared" si="6"/>
        <v>28</v>
      </c>
      <c r="AC49" s="52">
        <f>AB49*100/$AC$5</f>
        <v>25.688073394495412</v>
      </c>
      <c r="AD49" s="7"/>
      <c r="AE49" s="7"/>
      <c r="AF49" s="9" t="str">
        <f t="shared" si="49"/>
        <v>c) Algo</v>
      </c>
      <c r="AG49" s="72">
        <f>J49</f>
        <v>19.047619047619047</v>
      </c>
      <c r="AH49" s="72">
        <f>L49</f>
        <v>23.52941176470588</v>
      </c>
      <c r="AI49" s="73">
        <f>H49</f>
        <v>21.052631578947366</v>
      </c>
      <c r="AJ49" s="73"/>
      <c r="AK49" s="76">
        <f>Q49</f>
        <v>41.17647058823529</v>
      </c>
      <c r="AL49" s="76">
        <f>S49</f>
        <v>26.666666666666668</v>
      </c>
      <c r="AM49" s="76">
        <f>O49</f>
        <v>34.375</v>
      </c>
      <c r="AN49" s="76"/>
      <c r="AO49" s="81">
        <f>X49</f>
        <v>23.809523809523807</v>
      </c>
      <c r="AP49" s="81">
        <f>Z49</f>
        <v>22.222222222222221</v>
      </c>
      <c r="AQ49" s="81">
        <f>V49</f>
        <v>23.076923076923077</v>
      </c>
      <c r="AR49" s="7"/>
      <c r="AS49" s="76">
        <f t="shared" si="1"/>
        <v>25.688073394495412</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5</v>
      </c>
      <c r="H50" s="52">
        <f>G50/$J$5*100</f>
        <v>13.157894736842104</v>
      </c>
      <c r="I50" s="53">
        <f>COUNTIFS('00 Encuesta'!$B$2:$B$511,"*b)*",'00 Encuesta'!$C$2:$C$511,"*a)*",'00 Encuesta'!$E$2:$E$511,"*a)*",'00 Encuesta'!$I$2:$I$511,"*d)*")</f>
        <v>1</v>
      </c>
      <c r="J50" s="52">
        <f>I50/$J$6*100</f>
        <v>4.7619047619047619</v>
      </c>
      <c r="K50" s="53">
        <f>COUNTIFS('00 Encuesta'!$B$2:$B$511,"*b)*",'00 Encuesta'!$C$2:$C$511,"*a)*",'00 Encuesta'!$E$2:$E$511,"*b)*",'00 Encuesta'!$I$2:$I$511,"*d)*")</f>
        <v>4</v>
      </c>
      <c r="L50" s="52">
        <f>K50/$J$7*100</f>
        <v>23.52941176470588</v>
      </c>
      <c r="M50" s="23"/>
      <c r="N50" s="51">
        <f>P50+R50</f>
        <v>0</v>
      </c>
      <c r="O50" s="52">
        <f>N50/$Q$5*100</f>
        <v>0</v>
      </c>
      <c r="P50" s="53">
        <f>COUNTIFS('00 Encuesta'!$B$2:$B$511,"*b)*",'00 Encuesta'!$C$2:$C$511,"*b)*",'00 Encuesta'!$E$2:$E$511,"*a)*",'00 Encuesta'!$I$2:$I$511,"*d)*")</f>
        <v>0</v>
      </c>
      <c r="Q50" s="52">
        <f>P50/$Q$6*100</f>
        <v>0</v>
      </c>
      <c r="R50" s="53">
        <f>COUNTIFS('00 Encuesta'!$B$2:$B$511,"*b)*",'00 Encuesta'!$C$2:$C$511,"*b)*",'00 Encuesta'!$E$2:$E$511,"*b)*",'00 Encuesta'!$I$2:$I$511,"*d)*")</f>
        <v>0</v>
      </c>
      <c r="S50" s="52">
        <f>R50/$Q$7*100</f>
        <v>0</v>
      </c>
      <c r="T50" s="3"/>
      <c r="U50" s="51">
        <f>W50+Y50</f>
        <v>2</v>
      </c>
      <c r="V50" s="52">
        <f>U50/$X$5*100</f>
        <v>5.1282051282051277</v>
      </c>
      <c r="W50" s="53">
        <f>COUNTIFS('00 Encuesta'!$B$2:$B$511,"*b)*",'00 Encuesta'!$C$2:$C$511,"*c)*",'00 Encuesta'!$E$2:$E$511,"*a)*",'00 Encuesta'!$I$2:$I$511,"*d)*")</f>
        <v>0</v>
      </c>
      <c r="X50" s="52">
        <f>W50/$X$6*100</f>
        <v>0</v>
      </c>
      <c r="Y50" s="53">
        <f>COUNTIFS('00 Encuesta'!$B$2:$B$511,"*b)*",'00 Encuesta'!$C$2:$C$511,"*c)*",'00 Encuesta'!$E$2:$E$511,"*b)*",'00 Encuesta'!$I$2:$I$511,"*d)*")</f>
        <v>2</v>
      </c>
      <c r="Z50" s="52">
        <f>Y50/$X$7*100</f>
        <v>11.111111111111111</v>
      </c>
      <c r="AA50" s="3"/>
      <c r="AB50" s="62">
        <f t="shared" si="6"/>
        <v>7</v>
      </c>
      <c r="AC50" s="52">
        <f>AB50*100/$AC$5</f>
        <v>6.4220183486238529</v>
      </c>
      <c r="AD50" s="7"/>
      <c r="AE50" s="7"/>
      <c r="AF50" s="9" t="str">
        <f t="shared" si="49"/>
        <v>d) No sé</v>
      </c>
      <c r="AG50" s="72">
        <f>J50</f>
        <v>4.7619047619047619</v>
      </c>
      <c r="AH50" s="72">
        <f>L50</f>
        <v>23.52941176470588</v>
      </c>
      <c r="AI50" s="73">
        <f>H50</f>
        <v>13.157894736842104</v>
      </c>
      <c r="AJ50" s="73"/>
      <c r="AK50" s="76">
        <f>Q50</f>
        <v>0</v>
      </c>
      <c r="AL50" s="76">
        <f>S50</f>
        <v>0</v>
      </c>
      <c r="AM50" s="76">
        <f>O50</f>
        <v>0</v>
      </c>
      <c r="AN50" s="76"/>
      <c r="AO50" s="81">
        <f>X50</f>
        <v>0</v>
      </c>
      <c r="AP50" s="81">
        <f>Z50</f>
        <v>11.111111111111111</v>
      </c>
      <c r="AQ50" s="81">
        <f>V50</f>
        <v>5.1282051282051277</v>
      </c>
      <c r="AR50" s="7"/>
      <c r="AS50" s="76">
        <f t="shared" si="1"/>
        <v>6.4220183486238529</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ht="15" x14ac:dyDescent="0.25">
      <c r="A51" s="8" t="s">
        <v>23</v>
      </c>
      <c r="B51" s="9" t="s">
        <v>24</v>
      </c>
      <c r="C51" s="7"/>
      <c r="D51" s="7"/>
      <c r="E51" s="7"/>
      <c r="F51" s="71"/>
      <c r="G51" s="51">
        <f>I51+K51</f>
        <v>0</v>
      </c>
      <c r="H51" s="52">
        <f>G51/$J$5*100</f>
        <v>0</v>
      </c>
      <c r="I51" s="53"/>
      <c r="J51" s="52">
        <f>I51/$J$6*100</f>
        <v>0</v>
      </c>
      <c r="K51" s="53"/>
      <c r="L51" s="52">
        <f>K51/$J$7*100</f>
        <v>0</v>
      </c>
      <c r="M51" s="23"/>
      <c r="N51" s="51">
        <f>P51+R51</f>
        <v>0</v>
      </c>
      <c r="O51" s="52">
        <f>N51/$Q$5*100</f>
        <v>0</v>
      </c>
      <c r="P51" s="53"/>
      <c r="Q51" s="52">
        <f>P51/$Q$6*100</f>
        <v>0</v>
      </c>
      <c r="R51" s="53"/>
      <c r="S51" s="52">
        <f>R51/$Q$7*100</f>
        <v>0</v>
      </c>
      <c r="T51" s="3"/>
      <c r="U51" s="51">
        <f>W51+Y51</f>
        <v>0</v>
      </c>
      <c r="V51" s="52">
        <f>U51/$X$5*100</f>
        <v>0</v>
      </c>
      <c r="W51" s="53"/>
      <c r="X51" s="52">
        <f>W51/$X$6*100</f>
        <v>0</v>
      </c>
      <c r="Y51" s="53"/>
      <c r="Z51" s="52">
        <f>Y51/$X$7*100</f>
        <v>0</v>
      </c>
      <c r="AA51" s="3"/>
      <c r="AB51" s="62">
        <f t="shared" si="6"/>
        <v>0</v>
      </c>
      <c r="AC51" s="52">
        <f>AB51*100/$AC$5</f>
        <v>0</v>
      </c>
      <c r="AD51" s="7"/>
      <c r="AE51" s="7"/>
      <c r="AF51" s="9" t="str">
        <f t="shared" si="49"/>
        <v>S/R Sin Respuesta</v>
      </c>
      <c r="AG51" s="72">
        <f>J51</f>
        <v>0</v>
      </c>
      <c r="AH51" s="72">
        <f>L51</f>
        <v>0</v>
      </c>
      <c r="AI51" s="73">
        <f>H51</f>
        <v>0</v>
      </c>
      <c r="AJ51" s="73"/>
      <c r="AK51" s="76">
        <f>Q51</f>
        <v>0</v>
      </c>
      <c r="AL51" s="76">
        <f>S51</f>
        <v>0</v>
      </c>
      <c r="AM51" s="76">
        <f>O51</f>
        <v>0</v>
      </c>
      <c r="AN51" s="76"/>
      <c r="AO51" s="81">
        <f>X51</f>
        <v>0</v>
      </c>
      <c r="AP51" s="81">
        <f>Z51</f>
        <v>0</v>
      </c>
      <c r="AQ51" s="81">
        <f>V51</f>
        <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ht="15" x14ac:dyDescent="0.25">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80.952380952380949</v>
      </c>
      <c r="AH52" s="82">
        <f>($F47*K47+$F48*K48+$F49*K49+$F50*K50)/(+K47+K48+K49+K50)</f>
        <v>60</v>
      </c>
      <c r="AI52" s="82">
        <f>($F47*G47+$F48*G48+$F49*G49+$F50*G50)/(G47+G48+G49+G50)</f>
        <v>72.222222222222229</v>
      </c>
      <c r="AJ52" s="82"/>
      <c r="AK52" s="82">
        <f>($F47*P47+$F48*P48+$F49*P49+$F50*P50)/(P47+P48+P49+P50)</f>
        <v>79.411764705882348</v>
      </c>
      <c r="AL52" s="82">
        <f>($F47*R47+$F48*R48+$F49*R49+$F50*R50)/(R47+R48+R49+R50)</f>
        <v>86.666666666666671</v>
      </c>
      <c r="AM52" s="82">
        <f>($F47*N47+$F48*N48+$F49*N49+$F50*N50)/(N47+N48+N49+N50)</f>
        <v>82.8125</v>
      </c>
      <c r="AN52" s="82"/>
      <c r="AO52" s="82">
        <f>($F47*W47+$F48*W48+$F49*W49+$F50*W50)/(W47+W48+W49+W50)</f>
        <v>83.333333333333329</v>
      </c>
      <c r="AP52" s="82">
        <f>($F47*Y47+$F48*Y48+$F49*Y49+$F50*Y50)/(Y47+Y48+Y49+Y50)</f>
        <v>77.777777777777771</v>
      </c>
      <c r="AQ52" s="82">
        <f>($F47*U47+$F48*U48+$F49*U49+$F50*U50)/(U47+U48+U49+U50)</f>
        <v>80.769230769230774</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ht="15" x14ac:dyDescent="0.25">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ht="15" x14ac:dyDescent="0.25">
      <c r="A54" s="8" t="s">
        <v>17</v>
      </c>
      <c r="B54" s="9" t="s">
        <v>55</v>
      </c>
      <c r="C54" s="7"/>
      <c r="D54" s="7"/>
      <c r="E54" s="7"/>
      <c r="F54" s="71"/>
      <c r="G54" s="51">
        <f t="shared" ref="G54:G64" si="50">I54+K54</f>
        <v>35</v>
      </c>
      <c r="H54" s="52">
        <f t="shared" ref="H54:H64" si="51">G54/$J$5*100</f>
        <v>92.10526315789474</v>
      </c>
      <c r="I54" s="53">
        <f>COUNTIFS('00 Encuesta'!$B$2:$B$511,"*b)*",'00 Encuesta'!$C$2:$C$511,"*a)*",'00 Encuesta'!$E$2:$E$511,"*a)*",'00 Encuesta'!$J$2:$J$511,"*a)*")</f>
        <v>20</v>
      </c>
      <c r="J54" s="52">
        <f t="shared" ref="J54:J64" si="52">I54/$J$6*100</f>
        <v>95.238095238095227</v>
      </c>
      <c r="K54" s="53">
        <f>COUNTIFS('00 Encuesta'!$B$2:$B$511,"*b)*",'00 Encuesta'!$C$2:$C$511,"*a)*",'00 Encuesta'!$E$2:$E$511,"*b)*",'00 Encuesta'!$J$2:$J$511,"*a)*")</f>
        <v>15</v>
      </c>
      <c r="L54" s="52">
        <f t="shared" ref="L54:L64" si="53">K54/$J$7*100</f>
        <v>88.235294117647058</v>
      </c>
      <c r="M54" s="23"/>
      <c r="N54" s="51">
        <f t="shared" ref="N54:N64" si="54">P54+R54</f>
        <v>26</v>
      </c>
      <c r="O54" s="52">
        <f t="shared" ref="O54:O64" si="55">N54/$Q$5*100</f>
        <v>81.25</v>
      </c>
      <c r="P54" s="53">
        <f>COUNTIFS('00 Encuesta'!$B$2:$B$511,"*b)*",'00 Encuesta'!$C$2:$C$511,"*b)*",'00 Encuesta'!$E$2:$E$511,"*a)*",'00 Encuesta'!$J$2:$J$511,"*a)*")</f>
        <v>16</v>
      </c>
      <c r="Q54" s="52">
        <f t="shared" ref="Q54:Q64" si="56">P54/$Q$6*100</f>
        <v>94.117647058823522</v>
      </c>
      <c r="R54" s="53">
        <f>COUNTIFS('00 Encuesta'!$B$2:$B$511,"*b)*",'00 Encuesta'!$C$2:$C$511,"*b)*",'00 Encuesta'!$E$2:$E$511,"*b)*",'00 Encuesta'!$J$2:$J$511,"*a)*")</f>
        <v>10</v>
      </c>
      <c r="S54" s="52">
        <f t="shared" ref="S54:S64" si="57">R54/$Q$7*100</f>
        <v>66.666666666666657</v>
      </c>
      <c r="T54" s="3"/>
      <c r="U54" s="51">
        <f t="shared" ref="U54:U64" si="58">W54+Y54</f>
        <v>27</v>
      </c>
      <c r="V54" s="52">
        <f t="shared" ref="V54:V64" si="59">U54/$X$5*100</f>
        <v>69.230769230769226</v>
      </c>
      <c r="W54" s="53">
        <f>COUNTIFS('00 Encuesta'!$B$2:$B$511,"*b)*",'00 Encuesta'!$C$2:$C$511,"*c)*",'00 Encuesta'!$E$2:$E$511,"*a)*",'00 Encuesta'!$J$2:$J$511,"*a)*")</f>
        <v>16</v>
      </c>
      <c r="X54" s="52">
        <f t="shared" ref="X54:X64" si="60">W54/$X$6*100</f>
        <v>76.19047619047619</v>
      </c>
      <c r="Y54" s="53">
        <f>COUNTIFS('00 Encuesta'!$B$2:$B$511,"*b)*",'00 Encuesta'!$C$2:$C$511,"*c)*",'00 Encuesta'!$E$2:$E$511,"*b)*",'00 Encuesta'!$J$2:$J$511,"*a)*")</f>
        <v>11</v>
      </c>
      <c r="Z54" s="52">
        <f t="shared" ref="Z54:Z64" si="61">Y54/$X$7*100</f>
        <v>61.111111111111114</v>
      </c>
      <c r="AA54" s="3"/>
      <c r="AB54" s="62">
        <f t="shared" si="6"/>
        <v>88</v>
      </c>
      <c r="AC54" s="52">
        <f t="shared" ref="AC54:AC64" si="62">AB54*100/$AC$5</f>
        <v>80.733944954128447</v>
      </c>
      <c r="AD54" s="7"/>
      <c r="AE54" s="7"/>
      <c r="AF54" s="9" t="str">
        <f t="shared" ref="AF54:AF65" si="63">A54&amp;" "&amp;B54</f>
        <v>a) Videojuegos consola</v>
      </c>
      <c r="AG54" s="72">
        <f t="shared" ref="AG54:AG65" si="64">J54</f>
        <v>95.238095238095227</v>
      </c>
      <c r="AH54" s="72">
        <f t="shared" ref="AH54:AH65" si="65">L54</f>
        <v>88.235294117647058</v>
      </c>
      <c r="AI54" s="73">
        <f t="shared" ref="AI54:AI65" si="66">H54</f>
        <v>92.10526315789474</v>
      </c>
      <c r="AJ54" s="73"/>
      <c r="AK54" s="76">
        <f t="shared" ref="AK54:AK65" si="67">Q54</f>
        <v>94.117647058823522</v>
      </c>
      <c r="AL54" s="76">
        <f t="shared" ref="AL54:AL65" si="68">S54</f>
        <v>66.666666666666657</v>
      </c>
      <c r="AM54" s="76">
        <f t="shared" ref="AM54:AM65" si="69">O54</f>
        <v>81.25</v>
      </c>
      <c r="AN54" s="76"/>
      <c r="AO54" s="81">
        <f t="shared" ref="AO54:AO65" si="70">X54</f>
        <v>76.19047619047619</v>
      </c>
      <c r="AP54" s="81">
        <f t="shared" ref="AP54:AP65" si="71">Z54</f>
        <v>61.111111111111114</v>
      </c>
      <c r="AQ54" s="81">
        <f t="shared" ref="AQ54:AQ65" si="72">V54</f>
        <v>69.230769230769226</v>
      </c>
      <c r="AR54" s="7"/>
      <c r="AS54" s="76">
        <f t="shared" si="1"/>
        <v>80.733944954128447</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ht="15" x14ac:dyDescent="0.25">
      <c r="A55" s="8" t="s">
        <v>18</v>
      </c>
      <c r="B55" s="9" t="s">
        <v>56</v>
      </c>
      <c r="C55" s="7"/>
      <c r="D55" s="7"/>
      <c r="E55" s="7"/>
      <c r="F55" s="71"/>
      <c r="G55" s="51">
        <f t="shared" si="50"/>
        <v>36</v>
      </c>
      <c r="H55" s="52">
        <f t="shared" si="51"/>
        <v>94.73684210526315</v>
      </c>
      <c r="I55" s="53">
        <f>COUNTIFS('00 Encuesta'!$B$2:$B$511,"*b)*",'00 Encuesta'!$C$2:$C$511,"*a)*",'00 Encuesta'!$E$2:$E$511,"*a)*",'00 Encuesta'!$J$2:$J$511,"*b)*")</f>
        <v>20</v>
      </c>
      <c r="J55" s="52">
        <f t="shared" si="52"/>
        <v>95.238095238095227</v>
      </c>
      <c r="K55" s="53">
        <f>COUNTIFS('00 Encuesta'!$B$2:$B$511,"*b)*",'00 Encuesta'!$C$2:$C$511,"*a)*",'00 Encuesta'!$E$2:$E$511,"*b)*",'00 Encuesta'!$J$2:$J$511,"*b)*")</f>
        <v>16</v>
      </c>
      <c r="L55" s="52">
        <f t="shared" si="53"/>
        <v>94.117647058823522</v>
      </c>
      <c r="M55" s="23"/>
      <c r="N55" s="51">
        <f t="shared" si="54"/>
        <v>30</v>
      </c>
      <c r="O55" s="52">
        <f t="shared" si="55"/>
        <v>93.75</v>
      </c>
      <c r="P55" s="53">
        <f>COUNTIFS('00 Encuesta'!$B$2:$B$511,"*b)*",'00 Encuesta'!$C$2:$C$511,"*b)*",'00 Encuesta'!$E$2:$E$511,"*a)*",'00 Encuesta'!$J$2:$J$511,"*b)*")</f>
        <v>17</v>
      </c>
      <c r="Q55" s="52">
        <f t="shared" si="56"/>
        <v>100</v>
      </c>
      <c r="R55" s="53">
        <f>COUNTIFS('00 Encuesta'!$B$2:$B$511,"*b)*",'00 Encuesta'!$C$2:$C$511,"*b)*",'00 Encuesta'!$E$2:$E$511,"*b)*",'00 Encuesta'!$J$2:$J$511,"*b)*")</f>
        <v>13</v>
      </c>
      <c r="S55" s="52">
        <f t="shared" si="57"/>
        <v>86.666666666666671</v>
      </c>
      <c r="T55" s="3"/>
      <c r="U55" s="51">
        <f t="shared" si="58"/>
        <v>34</v>
      </c>
      <c r="V55" s="52">
        <f t="shared" si="59"/>
        <v>87.179487179487182</v>
      </c>
      <c r="W55" s="53">
        <f>COUNTIFS('00 Encuesta'!$B$2:$B$511,"*b)*",'00 Encuesta'!$C$2:$C$511,"*c)*",'00 Encuesta'!$E$2:$E$511,"*a)*",'00 Encuesta'!$J$2:$J$511,"*b)*")</f>
        <v>17</v>
      </c>
      <c r="X55" s="52">
        <f t="shared" si="60"/>
        <v>80.952380952380949</v>
      </c>
      <c r="Y55" s="53">
        <f>COUNTIFS('00 Encuesta'!$B$2:$B$511,"*b)*",'00 Encuesta'!$C$2:$C$511,"*c)*",'00 Encuesta'!$E$2:$E$511,"*b)*",'00 Encuesta'!$J$2:$J$511,"*b)*")</f>
        <v>17</v>
      </c>
      <c r="Z55" s="52">
        <f t="shared" si="61"/>
        <v>94.444444444444443</v>
      </c>
      <c r="AA55" s="3"/>
      <c r="AB55" s="62">
        <f t="shared" si="6"/>
        <v>100</v>
      </c>
      <c r="AC55" s="52">
        <f t="shared" si="62"/>
        <v>91.743119266055047</v>
      </c>
      <c r="AD55" s="7"/>
      <c r="AE55" s="7"/>
      <c r="AF55" s="9" t="str">
        <f t="shared" si="63"/>
        <v>b) Lavadora</v>
      </c>
      <c r="AG55" s="72">
        <f t="shared" si="64"/>
        <v>95.238095238095227</v>
      </c>
      <c r="AH55" s="72">
        <f t="shared" si="65"/>
        <v>94.117647058823522</v>
      </c>
      <c r="AI55" s="73">
        <f t="shared" si="66"/>
        <v>94.73684210526315</v>
      </c>
      <c r="AJ55" s="73"/>
      <c r="AK55" s="76">
        <f t="shared" si="67"/>
        <v>100</v>
      </c>
      <c r="AL55" s="76">
        <f t="shared" si="68"/>
        <v>86.666666666666671</v>
      </c>
      <c r="AM55" s="76">
        <f t="shared" si="69"/>
        <v>93.75</v>
      </c>
      <c r="AN55" s="76"/>
      <c r="AO55" s="81">
        <f t="shared" si="70"/>
        <v>80.952380952380949</v>
      </c>
      <c r="AP55" s="81">
        <f t="shared" si="71"/>
        <v>94.444444444444443</v>
      </c>
      <c r="AQ55" s="81">
        <f t="shared" si="72"/>
        <v>87.179487179487182</v>
      </c>
      <c r="AR55" s="7"/>
      <c r="AS55" s="76">
        <f t="shared" si="1"/>
        <v>91.743119266055047</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ht="15" x14ac:dyDescent="0.25">
      <c r="A56" s="8" t="s">
        <v>20</v>
      </c>
      <c r="B56" s="9" t="s">
        <v>57</v>
      </c>
      <c r="C56" s="7"/>
      <c r="D56" s="7"/>
      <c r="E56" s="7"/>
      <c r="F56" s="71"/>
      <c r="G56" s="51">
        <f t="shared" si="50"/>
        <v>35</v>
      </c>
      <c r="H56" s="52">
        <f t="shared" si="51"/>
        <v>92.10526315789474</v>
      </c>
      <c r="I56" s="53">
        <f>COUNTIFS('00 Encuesta'!$B$2:$B$511,"*b)*",'00 Encuesta'!$C$2:$C$511,"*a)*",'00 Encuesta'!$E$2:$E$511,"*a)*",'00 Encuesta'!$J$2:$J$511,"*c)*")</f>
        <v>19</v>
      </c>
      <c r="J56" s="52">
        <f t="shared" si="52"/>
        <v>90.476190476190482</v>
      </c>
      <c r="K56" s="53">
        <f>COUNTIFS('00 Encuesta'!$B$2:$B$511,"*b)*",'00 Encuesta'!$C$2:$C$511,"*a)*",'00 Encuesta'!$E$2:$E$511,"*b)*",'00 Encuesta'!$J$2:$J$511,"*c)*")</f>
        <v>16</v>
      </c>
      <c r="L56" s="52">
        <f t="shared" si="53"/>
        <v>94.117647058823522</v>
      </c>
      <c r="M56" s="23"/>
      <c r="N56" s="51">
        <f t="shared" si="54"/>
        <v>27</v>
      </c>
      <c r="O56" s="52">
        <f t="shared" si="55"/>
        <v>84.375</v>
      </c>
      <c r="P56" s="53">
        <f>COUNTIFS('00 Encuesta'!$B$2:$B$511,"*b)*",'00 Encuesta'!$C$2:$C$511,"*b)*",'00 Encuesta'!$E$2:$E$511,"*a)*",'00 Encuesta'!$J$2:$J$511,"*c)*")</f>
        <v>15</v>
      </c>
      <c r="Q56" s="52">
        <f t="shared" si="56"/>
        <v>88.235294117647058</v>
      </c>
      <c r="R56" s="53">
        <f>COUNTIFS('00 Encuesta'!$B$2:$B$511,"*b)*",'00 Encuesta'!$C$2:$C$511,"*b)*",'00 Encuesta'!$E$2:$E$511,"*b)*",'00 Encuesta'!$J$2:$J$511,"*c)*")</f>
        <v>12</v>
      </c>
      <c r="S56" s="52">
        <f t="shared" si="57"/>
        <v>80</v>
      </c>
      <c r="T56" s="3"/>
      <c r="U56" s="51">
        <f t="shared" si="58"/>
        <v>35</v>
      </c>
      <c r="V56" s="52">
        <f t="shared" si="59"/>
        <v>89.743589743589752</v>
      </c>
      <c r="W56" s="53">
        <f>COUNTIFS('00 Encuesta'!$B$2:$B$511,"*b)*",'00 Encuesta'!$C$2:$C$511,"*c)*",'00 Encuesta'!$E$2:$E$511,"*a)*",'00 Encuesta'!$J$2:$J$511,"*c)*")</f>
        <v>18</v>
      </c>
      <c r="X56" s="52">
        <f t="shared" si="60"/>
        <v>85.714285714285708</v>
      </c>
      <c r="Y56" s="53">
        <f>COUNTIFS('00 Encuesta'!$B$2:$B$511,"*b)*",'00 Encuesta'!$C$2:$C$511,"*c)*",'00 Encuesta'!$E$2:$E$511,"*b)*",'00 Encuesta'!$J$2:$J$511,"*c)*")</f>
        <v>17</v>
      </c>
      <c r="Z56" s="52">
        <f t="shared" si="61"/>
        <v>94.444444444444443</v>
      </c>
      <c r="AA56" s="3"/>
      <c r="AB56" s="62">
        <f t="shared" si="6"/>
        <v>97</v>
      </c>
      <c r="AC56" s="52">
        <f t="shared" si="62"/>
        <v>88.9908256880734</v>
      </c>
      <c r="AD56" s="7"/>
      <c r="AE56" s="7"/>
      <c r="AF56" s="9" t="str">
        <f t="shared" si="63"/>
        <v>c) Microondas</v>
      </c>
      <c r="AG56" s="72">
        <f t="shared" si="64"/>
        <v>90.476190476190482</v>
      </c>
      <c r="AH56" s="72">
        <f t="shared" si="65"/>
        <v>94.117647058823522</v>
      </c>
      <c r="AI56" s="73">
        <f t="shared" si="66"/>
        <v>92.10526315789474</v>
      </c>
      <c r="AJ56" s="73"/>
      <c r="AK56" s="76">
        <f t="shared" si="67"/>
        <v>88.235294117647058</v>
      </c>
      <c r="AL56" s="76">
        <f t="shared" si="68"/>
        <v>80</v>
      </c>
      <c r="AM56" s="76">
        <f t="shared" si="69"/>
        <v>84.375</v>
      </c>
      <c r="AN56" s="76"/>
      <c r="AO56" s="81">
        <f t="shared" si="70"/>
        <v>85.714285714285708</v>
      </c>
      <c r="AP56" s="81">
        <f t="shared" si="71"/>
        <v>94.444444444444443</v>
      </c>
      <c r="AQ56" s="81">
        <f t="shared" si="72"/>
        <v>89.743589743589752</v>
      </c>
      <c r="AR56" s="7"/>
      <c r="AS56" s="76">
        <f t="shared" si="1"/>
        <v>88.9908256880734</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33</v>
      </c>
      <c r="H57" s="52">
        <f t="shared" si="51"/>
        <v>86.842105263157904</v>
      </c>
      <c r="I57" s="53">
        <f>COUNTIFS('00 Encuesta'!$B$2:$B$511,"*b)*",'00 Encuesta'!$C$2:$C$511,"*a)*",'00 Encuesta'!$E$2:$E$511,"*a)*",'00 Encuesta'!$J$2:$J$511,"*d)*")</f>
        <v>17</v>
      </c>
      <c r="J57" s="52">
        <f t="shared" si="52"/>
        <v>80.952380952380949</v>
      </c>
      <c r="K57" s="53">
        <f>COUNTIFS('00 Encuesta'!$B$2:$B$511,"*b)*",'00 Encuesta'!$C$2:$C$511,"*a)*",'00 Encuesta'!$E$2:$E$511,"*b)*",'00 Encuesta'!$J$2:$J$511,"*d)*")</f>
        <v>16</v>
      </c>
      <c r="L57" s="52">
        <f t="shared" si="53"/>
        <v>94.117647058823522</v>
      </c>
      <c r="M57" s="23"/>
      <c r="N57" s="51">
        <f t="shared" si="54"/>
        <v>32</v>
      </c>
      <c r="O57" s="52">
        <f t="shared" si="55"/>
        <v>100</v>
      </c>
      <c r="P57" s="53">
        <f>COUNTIFS('00 Encuesta'!$B$2:$B$511,"*b)*",'00 Encuesta'!$C$2:$C$511,"*b)*",'00 Encuesta'!$E$2:$E$511,"*a)*",'00 Encuesta'!$J$2:$J$511,"*d)*")</f>
        <v>17</v>
      </c>
      <c r="Q57" s="52">
        <f t="shared" si="56"/>
        <v>100</v>
      </c>
      <c r="R57" s="53">
        <f>COUNTIFS('00 Encuesta'!$B$2:$B$511,"*b)*",'00 Encuesta'!$C$2:$C$511,"*b)*",'00 Encuesta'!$E$2:$E$511,"*b)*",'00 Encuesta'!$J$2:$J$511,"*d)*")</f>
        <v>15</v>
      </c>
      <c r="S57" s="52">
        <f t="shared" si="57"/>
        <v>100</v>
      </c>
      <c r="T57" s="3"/>
      <c r="U57" s="51">
        <f t="shared" si="58"/>
        <v>33</v>
      </c>
      <c r="V57" s="52">
        <f t="shared" si="59"/>
        <v>84.615384615384613</v>
      </c>
      <c r="W57" s="53">
        <f>COUNTIFS('00 Encuesta'!$B$2:$B$511,"*b)*",'00 Encuesta'!$C$2:$C$511,"*c)*",'00 Encuesta'!$E$2:$E$511,"*a)*",'00 Encuesta'!$J$2:$J$511,"*d)*")</f>
        <v>17</v>
      </c>
      <c r="X57" s="52">
        <f t="shared" si="60"/>
        <v>80.952380952380949</v>
      </c>
      <c r="Y57" s="53">
        <f>COUNTIFS('00 Encuesta'!$B$2:$B$511,"*b)*",'00 Encuesta'!$C$2:$C$511,"*c)*",'00 Encuesta'!$E$2:$E$511,"*b)*",'00 Encuesta'!$J$2:$J$511,"*d)*")</f>
        <v>16</v>
      </c>
      <c r="Z57" s="52">
        <f t="shared" si="61"/>
        <v>88.888888888888886</v>
      </c>
      <c r="AA57" s="3"/>
      <c r="AB57" s="62">
        <f t="shared" si="6"/>
        <v>98</v>
      </c>
      <c r="AC57" s="52">
        <f t="shared" si="62"/>
        <v>89.908256880733944</v>
      </c>
      <c r="AD57" s="7"/>
      <c r="AE57" s="7"/>
      <c r="AF57" s="9" t="str">
        <f t="shared" si="63"/>
        <v>d) Televisión plana</v>
      </c>
      <c r="AG57" s="72">
        <f t="shared" si="64"/>
        <v>80.952380952380949</v>
      </c>
      <c r="AH57" s="72">
        <f t="shared" si="65"/>
        <v>94.117647058823522</v>
      </c>
      <c r="AI57" s="73">
        <f t="shared" si="66"/>
        <v>86.842105263157904</v>
      </c>
      <c r="AJ57" s="73"/>
      <c r="AK57" s="76">
        <f t="shared" si="67"/>
        <v>100</v>
      </c>
      <c r="AL57" s="76">
        <f t="shared" si="68"/>
        <v>100</v>
      </c>
      <c r="AM57" s="76">
        <f t="shared" si="69"/>
        <v>100</v>
      </c>
      <c r="AN57" s="76"/>
      <c r="AO57" s="81">
        <f t="shared" si="70"/>
        <v>80.952380952380949</v>
      </c>
      <c r="AP57" s="81">
        <f t="shared" si="71"/>
        <v>88.888888888888886</v>
      </c>
      <c r="AQ57" s="81">
        <f t="shared" si="72"/>
        <v>84.615384615384613</v>
      </c>
      <c r="AR57" s="7"/>
      <c r="AS57" s="76">
        <f t="shared" si="1"/>
        <v>89.908256880733944</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ht="15" x14ac:dyDescent="0.25">
      <c r="A58" s="8" t="s">
        <v>22</v>
      </c>
      <c r="B58" s="9" t="s">
        <v>59</v>
      </c>
      <c r="C58" s="7"/>
      <c r="D58" s="7"/>
      <c r="E58" s="7"/>
      <c r="F58" s="71"/>
      <c r="G58" s="51">
        <f t="shared" si="50"/>
        <v>8</v>
      </c>
      <c r="H58" s="52">
        <f t="shared" si="51"/>
        <v>21.052631578947366</v>
      </c>
      <c r="I58" s="53">
        <f>COUNTIFS('00 Encuesta'!$B$2:$B$511,"*b)*",'00 Encuesta'!$C$2:$C$511,"*a)*",'00 Encuesta'!$E$2:$E$511,"*a)*",'00 Encuesta'!$J$2:$J$511,"*e)*")</f>
        <v>6</v>
      </c>
      <c r="J58" s="52">
        <f t="shared" si="52"/>
        <v>28.571428571428569</v>
      </c>
      <c r="K58" s="53">
        <f>COUNTIFS('00 Encuesta'!$B$2:$B$511,"*b)*",'00 Encuesta'!$C$2:$C$511,"*a)*",'00 Encuesta'!$E$2:$E$511,"*b)*",'00 Encuesta'!$J$2:$J$511,"*e)*")</f>
        <v>2</v>
      </c>
      <c r="L58" s="52">
        <f t="shared" si="53"/>
        <v>11.76470588235294</v>
      </c>
      <c r="M58" s="23"/>
      <c r="N58" s="51">
        <f t="shared" si="54"/>
        <v>7</v>
      </c>
      <c r="O58" s="52">
        <f t="shared" si="55"/>
        <v>21.875</v>
      </c>
      <c r="P58" s="53">
        <f>COUNTIFS('00 Encuesta'!$B$2:$B$511,"*b)*",'00 Encuesta'!$C$2:$C$511,"*b)*",'00 Encuesta'!$E$2:$E$511,"*a)*",'00 Encuesta'!$J$2:$J$511,"*e)*")</f>
        <v>6</v>
      </c>
      <c r="Q58" s="52">
        <f t="shared" si="56"/>
        <v>35.294117647058826</v>
      </c>
      <c r="R58" s="53">
        <f>COUNTIFS('00 Encuesta'!$B$2:$B$511,"*b)*",'00 Encuesta'!$C$2:$C$511,"*b)*",'00 Encuesta'!$E$2:$E$511,"*b)*",'00 Encuesta'!$J$2:$J$511,"*e)*")</f>
        <v>1</v>
      </c>
      <c r="S58" s="52">
        <f t="shared" si="57"/>
        <v>6.666666666666667</v>
      </c>
      <c r="T58" s="3"/>
      <c r="U58" s="51">
        <f t="shared" si="58"/>
        <v>9</v>
      </c>
      <c r="V58" s="52">
        <f t="shared" si="59"/>
        <v>23.076923076923077</v>
      </c>
      <c r="W58" s="53">
        <f>COUNTIFS('00 Encuesta'!$B$2:$B$511,"*b)*",'00 Encuesta'!$C$2:$C$511,"*c)*",'00 Encuesta'!$E$2:$E$511,"*a)*",'00 Encuesta'!$J$2:$J$511,"*e)*")</f>
        <v>5</v>
      </c>
      <c r="X58" s="52">
        <f t="shared" si="60"/>
        <v>23.809523809523807</v>
      </c>
      <c r="Y58" s="53">
        <f>COUNTIFS('00 Encuesta'!$B$2:$B$511,"*b)*",'00 Encuesta'!$C$2:$C$511,"*c)*",'00 Encuesta'!$E$2:$E$511,"*b)*",'00 Encuesta'!$J$2:$J$511,"*e)*")</f>
        <v>4</v>
      </c>
      <c r="Z58" s="52">
        <f t="shared" si="61"/>
        <v>22.222222222222221</v>
      </c>
      <c r="AA58" s="3"/>
      <c r="AB58" s="62">
        <f t="shared" si="6"/>
        <v>24</v>
      </c>
      <c r="AC58" s="52">
        <f t="shared" si="62"/>
        <v>22.01834862385321</v>
      </c>
      <c r="AD58" s="7"/>
      <c r="AE58" s="7"/>
      <c r="AF58" s="9" t="str">
        <f t="shared" si="63"/>
        <v>e) Moto</v>
      </c>
      <c r="AG58" s="72">
        <f t="shared" si="64"/>
        <v>28.571428571428569</v>
      </c>
      <c r="AH58" s="72">
        <f t="shared" si="65"/>
        <v>11.76470588235294</v>
      </c>
      <c r="AI58" s="73">
        <f t="shared" si="66"/>
        <v>21.052631578947366</v>
      </c>
      <c r="AJ58" s="73"/>
      <c r="AK58" s="76">
        <f t="shared" si="67"/>
        <v>35.294117647058826</v>
      </c>
      <c r="AL58" s="76">
        <f t="shared" si="68"/>
        <v>6.666666666666667</v>
      </c>
      <c r="AM58" s="76">
        <f t="shared" si="69"/>
        <v>21.875</v>
      </c>
      <c r="AN58" s="76"/>
      <c r="AO58" s="81">
        <f t="shared" si="70"/>
        <v>23.809523809523807</v>
      </c>
      <c r="AP58" s="81">
        <f t="shared" si="71"/>
        <v>22.222222222222221</v>
      </c>
      <c r="AQ58" s="81">
        <f t="shared" si="72"/>
        <v>23.076923076923077</v>
      </c>
      <c r="AR58" s="7"/>
      <c r="AS58" s="76">
        <f t="shared" si="1"/>
        <v>22.01834862385321</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ht="15" x14ac:dyDescent="0.25">
      <c r="A59" s="8" t="s">
        <v>45</v>
      </c>
      <c r="B59" s="9" t="s">
        <v>60</v>
      </c>
      <c r="C59" s="7"/>
      <c r="D59" s="7"/>
      <c r="E59" s="7"/>
      <c r="F59" s="71"/>
      <c r="G59" s="51">
        <f t="shared" si="50"/>
        <v>20</v>
      </c>
      <c r="H59" s="52">
        <f t="shared" si="51"/>
        <v>52.631578947368418</v>
      </c>
      <c r="I59" s="53">
        <f>COUNTIFS('00 Encuesta'!$B$2:$B$511,"*b)*",'00 Encuesta'!$C$2:$C$511,"*a)*",'00 Encuesta'!$E$2:$E$511,"*a)*",'00 Encuesta'!$J$2:$J$511,"*f)*")</f>
        <v>11</v>
      </c>
      <c r="J59" s="52">
        <f t="shared" si="52"/>
        <v>52.380952380952387</v>
      </c>
      <c r="K59" s="53">
        <f>COUNTIFS('00 Encuesta'!$B$2:$B$511,"*b)*",'00 Encuesta'!$C$2:$C$511,"*a)*",'00 Encuesta'!$E$2:$E$511,"*b)*",'00 Encuesta'!$J$2:$J$511,"*f)*")</f>
        <v>9</v>
      </c>
      <c r="L59" s="52">
        <f t="shared" si="53"/>
        <v>52.941176470588239</v>
      </c>
      <c r="M59" s="23"/>
      <c r="N59" s="51">
        <f t="shared" si="54"/>
        <v>11</v>
      </c>
      <c r="O59" s="52">
        <f t="shared" si="55"/>
        <v>34.375</v>
      </c>
      <c r="P59" s="53">
        <f>COUNTIFS('00 Encuesta'!$B$2:$B$511,"*b)*",'00 Encuesta'!$C$2:$C$511,"*b)*",'00 Encuesta'!$E$2:$E$511,"*a)*",'00 Encuesta'!$J$2:$J$511,"*f)*")</f>
        <v>7</v>
      </c>
      <c r="Q59" s="52">
        <f t="shared" si="56"/>
        <v>41.17647058823529</v>
      </c>
      <c r="R59" s="53">
        <f>COUNTIFS('00 Encuesta'!$B$2:$B$511,"*b)*",'00 Encuesta'!$C$2:$C$511,"*b)*",'00 Encuesta'!$E$2:$E$511,"*b)*",'00 Encuesta'!$J$2:$J$511,"*f)*")</f>
        <v>4</v>
      </c>
      <c r="S59" s="52">
        <f t="shared" si="57"/>
        <v>26.666666666666668</v>
      </c>
      <c r="T59" s="3"/>
      <c r="U59" s="51">
        <f t="shared" si="58"/>
        <v>15</v>
      </c>
      <c r="V59" s="52">
        <f t="shared" si="59"/>
        <v>38.461538461538467</v>
      </c>
      <c r="W59" s="53">
        <f>COUNTIFS('00 Encuesta'!$B$2:$B$511,"*b)*",'00 Encuesta'!$C$2:$C$511,"*c)*",'00 Encuesta'!$E$2:$E$511,"*a)*",'00 Encuesta'!$J$2:$J$511,"*f)*")</f>
        <v>6</v>
      </c>
      <c r="X59" s="52">
        <f t="shared" si="60"/>
        <v>28.571428571428569</v>
      </c>
      <c r="Y59" s="53">
        <f>COUNTIFS('00 Encuesta'!$B$2:$B$511,"*b)*",'00 Encuesta'!$C$2:$C$511,"*c)*",'00 Encuesta'!$E$2:$E$511,"*b)*",'00 Encuesta'!$J$2:$J$511,"*f)*")</f>
        <v>9</v>
      </c>
      <c r="Z59" s="52">
        <f t="shared" si="61"/>
        <v>50</v>
      </c>
      <c r="AA59" s="3"/>
      <c r="AB59" s="62">
        <f t="shared" si="6"/>
        <v>46</v>
      </c>
      <c r="AC59" s="52">
        <f t="shared" si="62"/>
        <v>42.201834862385319</v>
      </c>
      <c r="AD59" s="7"/>
      <c r="AE59" s="7"/>
      <c r="AF59" s="9" t="str">
        <f t="shared" si="63"/>
        <v>f) MP3</v>
      </c>
      <c r="AG59" s="72">
        <f t="shared" si="64"/>
        <v>52.380952380952387</v>
      </c>
      <c r="AH59" s="72">
        <f t="shared" si="65"/>
        <v>52.941176470588239</v>
      </c>
      <c r="AI59" s="73">
        <f t="shared" si="66"/>
        <v>52.631578947368418</v>
      </c>
      <c r="AJ59" s="73"/>
      <c r="AK59" s="76">
        <f t="shared" si="67"/>
        <v>41.17647058823529</v>
      </c>
      <c r="AL59" s="76">
        <f t="shared" si="68"/>
        <v>26.666666666666668</v>
      </c>
      <c r="AM59" s="76">
        <f t="shared" si="69"/>
        <v>34.375</v>
      </c>
      <c r="AN59" s="76"/>
      <c r="AO59" s="81">
        <f t="shared" si="70"/>
        <v>28.571428571428569</v>
      </c>
      <c r="AP59" s="81">
        <f t="shared" si="71"/>
        <v>50</v>
      </c>
      <c r="AQ59" s="81">
        <f t="shared" si="72"/>
        <v>38.461538461538467</v>
      </c>
      <c r="AR59" s="7"/>
      <c r="AS59" s="76">
        <f t="shared" si="1"/>
        <v>42.201834862385319</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ht="15" x14ac:dyDescent="0.25">
      <c r="A60" s="8" t="s">
        <v>61</v>
      </c>
      <c r="B60" s="9" t="s">
        <v>62</v>
      </c>
      <c r="C60" s="7"/>
      <c r="D60" s="7"/>
      <c r="E60" s="7"/>
      <c r="F60" s="71"/>
      <c r="G60" s="51">
        <f t="shared" si="50"/>
        <v>17</v>
      </c>
      <c r="H60" s="52">
        <f t="shared" si="51"/>
        <v>44.736842105263158</v>
      </c>
      <c r="I60" s="53">
        <f>COUNTIFS('00 Encuesta'!$B$2:$B$511,"*b)*",'00 Encuesta'!$C$2:$C$511,"*a)*",'00 Encuesta'!$E$2:$E$511,"*a)*",'00 Encuesta'!$J$2:$J$511,"*g)*")</f>
        <v>9</v>
      </c>
      <c r="J60" s="52">
        <f t="shared" si="52"/>
        <v>42.857142857142854</v>
      </c>
      <c r="K60" s="53">
        <f>COUNTIFS('00 Encuesta'!$B$2:$B$511,"*b)*",'00 Encuesta'!$C$2:$C$511,"*a)*",'00 Encuesta'!$E$2:$E$511,"*b)*",'00 Encuesta'!$J$2:$J$511,"*g)*")</f>
        <v>8</v>
      </c>
      <c r="L60" s="52">
        <f t="shared" si="53"/>
        <v>47.058823529411761</v>
      </c>
      <c r="M60" s="23"/>
      <c r="N60" s="51">
        <f t="shared" si="54"/>
        <v>10</v>
      </c>
      <c r="O60" s="52">
        <f t="shared" si="55"/>
        <v>31.25</v>
      </c>
      <c r="P60" s="53">
        <f>COUNTIFS('00 Encuesta'!$B$2:$B$511,"*b)*",'00 Encuesta'!$C$2:$C$511,"*b)*",'00 Encuesta'!$E$2:$E$511,"*a)*",'00 Encuesta'!$J$2:$J$511,"*g)*")</f>
        <v>5</v>
      </c>
      <c r="Q60" s="52">
        <f t="shared" si="56"/>
        <v>29.411764705882355</v>
      </c>
      <c r="R60" s="53">
        <f>COUNTIFS('00 Encuesta'!$B$2:$B$511,"*b)*",'00 Encuesta'!$C$2:$C$511,"*b)*",'00 Encuesta'!$E$2:$E$511,"*b)*",'00 Encuesta'!$J$2:$J$511,"*g)*")</f>
        <v>5</v>
      </c>
      <c r="S60" s="52">
        <f t="shared" si="57"/>
        <v>33.333333333333329</v>
      </c>
      <c r="T60" s="3"/>
      <c r="U60" s="51">
        <f t="shared" si="58"/>
        <v>14</v>
      </c>
      <c r="V60" s="52">
        <f t="shared" si="59"/>
        <v>35.897435897435898</v>
      </c>
      <c r="W60" s="53">
        <f>COUNTIFS('00 Encuesta'!$B$2:$B$511,"*b)*",'00 Encuesta'!$C$2:$C$511,"*c)*",'00 Encuesta'!$E$2:$E$511,"*a)*",'00 Encuesta'!$J$2:$J$511,"*g)*")</f>
        <v>8</v>
      </c>
      <c r="X60" s="52">
        <f t="shared" si="60"/>
        <v>38.095238095238095</v>
      </c>
      <c r="Y60" s="53">
        <f>COUNTIFS('00 Encuesta'!$B$2:$B$511,"*b)*",'00 Encuesta'!$C$2:$C$511,"*c)*",'00 Encuesta'!$E$2:$E$511,"*b)*",'00 Encuesta'!$J$2:$J$511,"*g)*")</f>
        <v>6</v>
      </c>
      <c r="Z60" s="52">
        <f t="shared" si="61"/>
        <v>33.333333333333329</v>
      </c>
      <c r="AA60" s="3"/>
      <c r="AB60" s="62">
        <f t="shared" si="6"/>
        <v>41</v>
      </c>
      <c r="AC60" s="52">
        <f t="shared" si="62"/>
        <v>37.61467889908257</v>
      </c>
      <c r="AD60" s="7"/>
      <c r="AE60" s="7"/>
      <c r="AF60" s="9" t="str">
        <f t="shared" si="63"/>
        <v>g) MP4</v>
      </c>
      <c r="AG60" s="72">
        <f t="shared" si="64"/>
        <v>42.857142857142854</v>
      </c>
      <c r="AH60" s="72">
        <f t="shared" si="65"/>
        <v>47.058823529411761</v>
      </c>
      <c r="AI60" s="73">
        <f t="shared" si="66"/>
        <v>44.736842105263158</v>
      </c>
      <c r="AJ60" s="73"/>
      <c r="AK60" s="76">
        <f t="shared" si="67"/>
        <v>29.411764705882355</v>
      </c>
      <c r="AL60" s="76">
        <f t="shared" si="68"/>
        <v>33.333333333333329</v>
      </c>
      <c r="AM60" s="76">
        <f t="shared" si="69"/>
        <v>31.25</v>
      </c>
      <c r="AN60" s="76"/>
      <c r="AO60" s="81">
        <f t="shared" si="70"/>
        <v>38.095238095238095</v>
      </c>
      <c r="AP60" s="81">
        <f t="shared" si="71"/>
        <v>33.333333333333329</v>
      </c>
      <c r="AQ60" s="81">
        <f t="shared" si="72"/>
        <v>35.897435897435898</v>
      </c>
      <c r="AR60" s="7"/>
      <c r="AS60" s="76">
        <f t="shared" si="1"/>
        <v>37.61467889908257</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ht="15" x14ac:dyDescent="0.25">
      <c r="A61" s="8" t="s">
        <v>63</v>
      </c>
      <c r="B61" s="9" t="s">
        <v>64</v>
      </c>
      <c r="C61" s="7"/>
      <c r="D61" s="7"/>
      <c r="E61" s="7"/>
      <c r="F61" s="71"/>
      <c r="G61" s="51">
        <f t="shared" si="50"/>
        <v>31</v>
      </c>
      <c r="H61" s="52">
        <f t="shared" si="51"/>
        <v>81.578947368421055</v>
      </c>
      <c r="I61" s="53">
        <f>COUNTIFS('00 Encuesta'!$B$2:$B$511,"*b)*",'00 Encuesta'!$C$2:$C$511,"*a)*",'00 Encuesta'!$E$2:$E$511,"*a)*",'00 Encuesta'!$J$2:$J$511,"*h)*")</f>
        <v>15</v>
      </c>
      <c r="J61" s="52">
        <f t="shared" si="52"/>
        <v>71.428571428571431</v>
      </c>
      <c r="K61" s="53">
        <f>COUNTIFS('00 Encuesta'!$B$2:$B$511,"*b)*",'00 Encuesta'!$C$2:$C$511,"*a)*",'00 Encuesta'!$E$2:$E$511,"*b)*",'00 Encuesta'!$J$2:$J$511,"*h)*")</f>
        <v>16</v>
      </c>
      <c r="L61" s="52">
        <f t="shared" si="53"/>
        <v>94.117647058823522</v>
      </c>
      <c r="M61" s="23"/>
      <c r="N61" s="51">
        <f t="shared" si="54"/>
        <v>27</v>
      </c>
      <c r="O61" s="52">
        <f t="shared" si="55"/>
        <v>84.375</v>
      </c>
      <c r="P61" s="53">
        <f>COUNTIFS('00 Encuesta'!$B$2:$B$511,"*b)*",'00 Encuesta'!$C$2:$C$511,"*b)*",'00 Encuesta'!$E$2:$E$511,"*a)*",'00 Encuesta'!$J$2:$J$511,"*h)*")</f>
        <v>16</v>
      </c>
      <c r="Q61" s="52">
        <f t="shared" si="56"/>
        <v>94.117647058823522</v>
      </c>
      <c r="R61" s="53">
        <f>COUNTIFS('00 Encuesta'!$B$2:$B$511,"*b)*",'00 Encuesta'!$C$2:$C$511,"*b)*",'00 Encuesta'!$E$2:$E$511,"*b)*",'00 Encuesta'!$J$2:$J$511,"*h)*")</f>
        <v>11</v>
      </c>
      <c r="S61" s="52">
        <f t="shared" si="57"/>
        <v>73.333333333333329</v>
      </c>
      <c r="T61" s="3"/>
      <c r="U61" s="51">
        <f t="shared" si="58"/>
        <v>32</v>
      </c>
      <c r="V61" s="52">
        <f t="shared" si="59"/>
        <v>82.051282051282044</v>
      </c>
      <c r="W61" s="53">
        <f>COUNTIFS('00 Encuesta'!$B$2:$B$511,"*b)*",'00 Encuesta'!$C$2:$C$511,"*c)*",'00 Encuesta'!$E$2:$E$511,"*a)*",'00 Encuesta'!$J$2:$J$511,"*h)*")</f>
        <v>17</v>
      </c>
      <c r="X61" s="52">
        <f t="shared" si="60"/>
        <v>80.952380952380949</v>
      </c>
      <c r="Y61" s="53">
        <f>COUNTIFS('00 Encuesta'!$B$2:$B$511,"*b)*",'00 Encuesta'!$C$2:$C$511,"*c)*",'00 Encuesta'!$E$2:$E$511,"*b)*",'00 Encuesta'!$J$2:$J$511,"*h)*")</f>
        <v>15</v>
      </c>
      <c r="Z61" s="52">
        <f t="shared" si="61"/>
        <v>83.333333333333343</v>
      </c>
      <c r="AA61" s="3"/>
      <c r="AB61" s="62">
        <f t="shared" si="6"/>
        <v>90</v>
      </c>
      <c r="AC61" s="52">
        <f t="shared" si="62"/>
        <v>82.568807339449535</v>
      </c>
      <c r="AD61" s="7"/>
      <c r="AE61" s="7"/>
      <c r="AF61" s="9" t="str">
        <f t="shared" si="63"/>
        <v>h) Carro</v>
      </c>
      <c r="AG61" s="72">
        <f t="shared" si="64"/>
        <v>71.428571428571431</v>
      </c>
      <c r="AH61" s="72">
        <f t="shared" si="65"/>
        <v>94.117647058823522</v>
      </c>
      <c r="AI61" s="73">
        <f t="shared" si="66"/>
        <v>81.578947368421055</v>
      </c>
      <c r="AJ61" s="73"/>
      <c r="AK61" s="76">
        <f t="shared" si="67"/>
        <v>94.117647058823522</v>
      </c>
      <c r="AL61" s="76">
        <f t="shared" si="68"/>
        <v>73.333333333333329</v>
      </c>
      <c r="AM61" s="76">
        <f t="shared" si="69"/>
        <v>84.375</v>
      </c>
      <c r="AN61" s="76"/>
      <c r="AO61" s="81">
        <f t="shared" si="70"/>
        <v>80.952380952380949</v>
      </c>
      <c r="AP61" s="81">
        <f t="shared" si="71"/>
        <v>83.333333333333343</v>
      </c>
      <c r="AQ61" s="81">
        <f t="shared" si="72"/>
        <v>82.051282051282044</v>
      </c>
      <c r="AR61" s="7"/>
      <c r="AS61" s="76">
        <f t="shared" si="1"/>
        <v>82.568807339449535</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ht="15" x14ac:dyDescent="0.25">
      <c r="A62" s="8" t="s">
        <v>65</v>
      </c>
      <c r="B62" s="9" t="s">
        <v>66</v>
      </c>
      <c r="C62" s="7"/>
      <c r="D62" s="7"/>
      <c r="E62" s="7"/>
      <c r="F62" s="71"/>
      <c r="G62" s="51">
        <f t="shared" si="50"/>
        <v>34</v>
      </c>
      <c r="H62" s="52">
        <f t="shared" si="51"/>
        <v>89.473684210526315</v>
      </c>
      <c r="I62" s="53">
        <f>COUNTIFS('00 Encuesta'!$B$2:$B$511,"*b)*",'00 Encuesta'!$C$2:$C$511,"*a)*",'00 Encuesta'!$E$2:$E$511,"*a)*",'00 Encuesta'!$J$2:$J$511,"*i)*")</f>
        <v>18</v>
      </c>
      <c r="J62" s="52">
        <f t="shared" si="52"/>
        <v>85.714285714285708</v>
      </c>
      <c r="K62" s="53">
        <f>COUNTIFS('00 Encuesta'!$B$2:$B$511,"*b)*",'00 Encuesta'!$C$2:$C$511,"*a)*",'00 Encuesta'!$E$2:$E$511,"*b)*",'00 Encuesta'!$J$2:$J$511,"*i)*")</f>
        <v>16</v>
      </c>
      <c r="L62" s="52">
        <f t="shared" si="53"/>
        <v>94.117647058823522</v>
      </c>
      <c r="M62" s="23"/>
      <c r="N62" s="51">
        <f t="shared" si="54"/>
        <v>29</v>
      </c>
      <c r="O62" s="52">
        <f t="shared" si="55"/>
        <v>90.625</v>
      </c>
      <c r="P62" s="53">
        <f>COUNTIFS('00 Encuesta'!$B$2:$B$511,"*b)*",'00 Encuesta'!$C$2:$C$511,"*b)*",'00 Encuesta'!$E$2:$E$511,"*a)*",'00 Encuesta'!$J$2:$J$511,"*i)*")</f>
        <v>15</v>
      </c>
      <c r="Q62" s="52">
        <f t="shared" si="56"/>
        <v>88.235294117647058</v>
      </c>
      <c r="R62" s="53">
        <f>COUNTIFS('00 Encuesta'!$B$2:$B$511,"*b)*",'00 Encuesta'!$C$2:$C$511,"*b)*",'00 Encuesta'!$E$2:$E$511,"*b)*",'00 Encuesta'!$J$2:$J$511,"*i)*")</f>
        <v>14</v>
      </c>
      <c r="S62" s="52">
        <f t="shared" si="57"/>
        <v>93.333333333333329</v>
      </c>
      <c r="T62" s="3"/>
      <c r="U62" s="51">
        <f t="shared" si="58"/>
        <v>33</v>
      </c>
      <c r="V62" s="52">
        <f t="shared" si="59"/>
        <v>84.615384615384613</v>
      </c>
      <c r="W62" s="53">
        <f>COUNTIFS('00 Encuesta'!$B$2:$B$511,"*b)*",'00 Encuesta'!$C$2:$C$511,"*c)*",'00 Encuesta'!$E$2:$E$511,"*a)*",'00 Encuesta'!$J$2:$J$511,"*i)*")</f>
        <v>17</v>
      </c>
      <c r="X62" s="52">
        <f t="shared" si="60"/>
        <v>80.952380952380949</v>
      </c>
      <c r="Y62" s="53">
        <f>COUNTIFS('00 Encuesta'!$B$2:$B$511,"*b)*",'00 Encuesta'!$C$2:$C$511,"*c)*",'00 Encuesta'!$E$2:$E$511,"*b)*",'00 Encuesta'!$J$2:$J$511,"*i)*")</f>
        <v>16</v>
      </c>
      <c r="Z62" s="52">
        <f t="shared" si="61"/>
        <v>88.888888888888886</v>
      </c>
      <c r="AA62" s="3"/>
      <c r="AB62" s="62">
        <f t="shared" si="6"/>
        <v>96</v>
      </c>
      <c r="AC62" s="52">
        <f t="shared" si="62"/>
        <v>88.073394495412842</v>
      </c>
      <c r="AD62" s="7"/>
      <c r="AE62" s="7"/>
      <c r="AF62" s="9" t="str">
        <f t="shared" si="63"/>
        <v>i) Computadora</v>
      </c>
      <c r="AG62" s="72">
        <f t="shared" si="64"/>
        <v>85.714285714285708</v>
      </c>
      <c r="AH62" s="72">
        <f t="shared" si="65"/>
        <v>94.117647058823522</v>
      </c>
      <c r="AI62" s="73">
        <f t="shared" si="66"/>
        <v>89.473684210526315</v>
      </c>
      <c r="AJ62" s="73"/>
      <c r="AK62" s="76">
        <f t="shared" si="67"/>
        <v>88.235294117647058</v>
      </c>
      <c r="AL62" s="76">
        <f t="shared" si="68"/>
        <v>93.333333333333329</v>
      </c>
      <c r="AM62" s="76">
        <f t="shared" si="69"/>
        <v>90.625</v>
      </c>
      <c r="AN62" s="76"/>
      <c r="AO62" s="81">
        <f t="shared" si="70"/>
        <v>80.952380952380949</v>
      </c>
      <c r="AP62" s="81">
        <f t="shared" si="71"/>
        <v>88.888888888888886</v>
      </c>
      <c r="AQ62" s="81">
        <f t="shared" si="72"/>
        <v>84.615384615384613</v>
      </c>
      <c r="AR62" s="7"/>
      <c r="AS62" s="76">
        <f t="shared" si="1"/>
        <v>88.073394495412842</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32</v>
      </c>
      <c r="H63" s="52">
        <f t="shared" si="51"/>
        <v>84.210526315789465</v>
      </c>
      <c r="I63" s="53">
        <f>COUNTIFS('00 Encuesta'!$B$2:$B$511,"*b)*",'00 Encuesta'!$C$2:$C$511,"*a)*",'00 Encuesta'!$E$2:$E$511,"*a)*",'00 Encuesta'!$J$2:$J$511,"*j)*")</f>
        <v>17</v>
      </c>
      <c r="J63" s="52">
        <f t="shared" si="52"/>
        <v>80.952380952380949</v>
      </c>
      <c r="K63" s="53">
        <f>COUNTIFS('00 Encuesta'!$B$2:$B$511,"*b)*",'00 Encuesta'!$C$2:$C$511,"*a)*",'00 Encuesta'!$E$2:$E$511,"*b)*",'00 Encuesta'!$J$2:$J$511,"*j)*")</f>
        <v>15</v>
      </c>
      <c r="L63" s="52">
        <f t="shared" si="53"/>
        <v>88.235294117647058</v>
      </c>
      <c r="M63" s="23"/>
      <c r="N63" s="51">
        <f t="shared" si="54"/>
        <v>22</v>
      </c>
      <c r="O63" s="52">
        <f t="shared" si="55"/>
        <v>68.75</v>
      </c>
      <c r="P63" s="53">
        <f>COUNTIFS('00 Encuesta'!$B$2:$B$511,"*b)*",'00 Encuesta'!$C$2:$C$511,"*b)*",'00 Encuesta'!$E$2:$E$511,"*a)*",'00 Encuesta'!$J$2:$J$511,"*j)*")</f>
        <v>12</v>
      </c>
      <c r="Q63" s="52">
        <f t="shared" si="56"/>
        <v>70.588235294117652</v>
      </c>
      <c r="R63" s="53">
        <f>COUNTIFS('00 Encuesta'!$B$2:$B$511,"*b)*",'00 Encuesta'!$C$2:$C$511,"*b)*",'00 Encuesta'!$E$2:$E$511,"*b)*",'00 Encuesta'!$J$2:$J$511,"*j)*")</f>
        <v>10</v>
      </c>
      <c r="S63" s="52">
        <f t="shared" si="57"/>
        <v>66.666666666666657</v>
      </c>
      <c r="T63" s="3"/>
      <c r="U63" s="51">
        <f t="shared" si="58"/>
        <v>29</v>
      </c>
      <c r="V63" s="52">
        <f t="shared" si="59"/>
        <v>74.358974358974365</v>
      </c>
      <c r="W63" s="53">
        <f>COUNTIFS('00 Encuesta'!$B$2:$B$511,"*b)*",'00 Encuesta'!$C$2:$C$511,"*c)*",'00 Encuesta'!$E$2:$E$511,"*a)*",'00 Encuesta'!$J$2:$J$511,"*j)*")</f>
        <v>15</v>
      </c>
      <c r="X63" s="52">
        <f t="shared" si="60"/>
        <v>71.428571428571431</v>
      </c>
      <c r="Y63" s="53">
        <f>COUNTIFS('00 Encuesta'!$B$2:$B$511,"*b)*",'00 Encuesta'!$C$2:$C$511,"*c)*",'00 Encuesta'!$E$2:$E$511,"*b)*",'00 Encuesta'!$J$2:$J$511,"*j)*")</f>
        <v>14</v>
      </c>
      <c r="Z63" s="52">
        <f t="shared" si="61"/>
        <v>77.777777777777786</v>
      </c>
      <c r="AA63" s="3"/>
      <c r="AB63" s="62">
        <f t="shared" si="6"/>
        <v>83</v>
      </c>
      <c r="AC63" s="52">
        <f t="shared" si="62"/>
        <v>76.146788990825684</v>
      </c>
      <c r="AD63" s="7"/>
      <c r="AE63" s="7"/>
      <c r="AF63" s="9" t="str">
        <f t="shared" si="63"/>
        <v>j) Cámara digital</v>
      </c>
      <c r="AG63" s="72">
        <f t="shared" si="64"/>
        <v>80.952380952380949</v>
      </c>
      <c r="AH63" s="72">
        <f t="shared" si="65"/>
        <v>88.235294117647058</v>
      </c>
      <c r="AI63" s="73">
        <f t="shared" si="66"/>
        <v>84.210526315789465</v>
      </c>
      <c r="AJ63" s="73"/>
      <c r="AK63" s="76">
        <f t="shared" si="67"/>
        <v>70.588235294117652</v>
      </c>
      <c r="AL63" s="76">
        <f t="shared" si="68"/>
        <v>66.666666666666657</v>
      </c>
      <c r="AM63" s="76">
        <f t="shared" si="69"/>
        <v>68.75</v>
      </c>
      <c r="AN63" s="76"/>
      <c r="AO63" s="81">
        <f t="shared" si="70"/>
        <v>71.428571428571431</v>
      </c>
      <c r="AP63" s="81">
        <f t="shared" si="71"/>
        <v>77.777777777777786</v>
      </c>
      <c r="AQ63" s="81">
        <f t="shared" si="72"/>
        <v>74.358974358974365</v>
      </c>
      <c r="AR63" s="7"/>
      <c r="AS63" s="76">
        <f t="shared" si="1"/>
        <v>76.146788990825684</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ht="15.75" x14ac:dyDescent="0.3">
      <c r="A64" s="1" t="s">
        <v>69</v>
      </c>
      <c r="B64" s="2" t="s">
        <v>70</v>
      </c>
      <c r="C64" s="3"/>
      <c r="D64" s="7"/>
      <c r="E64" s="7"/>
      <c r="F64" s="71"/>
      <c r="G64" s="51">
        <f t="shared" si="50"/>
        <v>31</v>
      </c>
      <c r="H64" s="52">
        <f t="shared" si="51"/>
        <v>81.578947368421055</v>
      </c>
      <c r="I64" s="53">
        <f>COUNTIFS('00 Encuesta'!$B$2:$B$511,"*b)*",'00 Encuesta'!$C$2:$C$511,"*a)*",'00 Encuesta'!$E$2:$E$511,"*a)*",'00 Encuesta'!$J$2:$J$511,"*k)*")</f>
        <v>18</v>
      </c>
      <c r="J64" s="52">
        <f t="shared" si="52"/>
        <v>85.714285714285708</v>
      </c>
      <c r="K64" s="53">
        <f>COUNTIFS('00 Encuesta'!$B$2:$B$511,"*b)*",'00 Encuesta'!$C$2:$C$511,"*a)*",'00 Encuesta'!$E$2:$E$511,"*b)*",'00 Encuesta'!$J$2:$J$511,"*k)*")</f>
        <v>13</v>
      </c>
      <c r="L64" s="52">
        <f t="shared" si="53"/>
        <v>76.470588235294116</v>
      </c>
      <c r="M64" s="23"/>
      <c r="N64" s="51">
        <f t="shared" si="54"/>
        <v>29</v>
      </c>
      <c r="O64" s="52">
        <f t="shared" si="55"/>
        <v>90.625</v>
      </c>
      <c r="P64" s="53">
        <f>COUNTIFS('00 Encuesta'!$B$2:$B$511,"*b)*",'00 Encuesta'!$C$2:$C$511,"*b)*",'00 Encuesta'!$E$2:$E$511,"*a)*",'00 Encuesta'!$J$2:$J$511,"*k)*")</f>
        <v>15</v>
      </c>
      <c r="Q64" s="52">
        <f t="shared" si="56"/>
        <v>88.235294117647058</v>
      </c>
      <c r="R64" s="53">
        <f>COUNTIFS('00 Encuesta'!$B$2:$B$511,"*b)*",'00 Encuesta'!$C$2:$C$511,"*b)*",'00 Encuesta'!$E$2:$E$511,"*b)*",'00 Encuesta'!$J$2:$J$511,"*k)*")</f>
        <v>14</v>
      </c>
      <c r="S64" s="52">
        <f t="shared" si="57"/>
        <v>93.333333333333329</v>
      </c>
      <c r="T64" s="3"/>
      <c r="U64" s="51">
        <f t="shared" si="58"/>
        <v>35</v>
      </c>
      <c r="V64" s="52">
        <f t="shared" si="59"/>
        <v>89.743589743589752</v>
      </c>
      <c r="W64" s="53">
        <f>COUNTIFS('00 Encuesta'!$B$2:$B$511,"*b)*",'00 Encuesta'!$C$2:$C$511,"*c)*",'00 Encuesta'!$E$2:$E$511,"*a)*",'00 Encuesta'!$J$2:$J$511,"*k)*")</f>
        <v>19</v>
      </c>
      <c r="X64" s="52">
        <f t="shared" si="60"/>
        <v>90.476190476190482</v>
      </c>
      <c r="Y64" s="53">
        <f>COUNTIFS('00 Encuesta'!$B$2:$B$511,"*b)*",'00 Encuesta'!$C$2:$C$511,"*c)*",'00 Encuesta'!$E$2:$E$511,"*b)*",'00 Encuesta'!$J$2:$J$511,"*k)*")</f>
        <v>16</v>
      </c>
      <c r="Z64" s="52">
        <f t="shared" si="61"/>
        <v>88.888888888888886</v>
      </c>
      <c r="AA64" s="3"/>
      <c r="AB64" s="62">
        <f t="shared" si="6"/>
        <v>95</v>
      </c>
      <c r="AC64" s="52">
        <f t="shared" si="62"/>
        <v>87.155963302752298</v>
      </c>
      <c r="AD64" s="7"/>
      <c r="AE64" s="7"/>
      <c r="AF64" s="9" t="str">
        <f t="shared" si="63"/>
        <v>k) Aire acondicionado</v>
      </c>
      <c r="AG64" s="72">
        <f t="shared" si="64"/>
        <v>85.714285714285708</v>
      </c>
      <c r="AH64" s="72">
        <f t="shared" si="65"/>
        <v>76.470588235294116</v>
      </c>
      <c r="AI64" s="73">
        <f t="shared" si="66"/>
        <v>81.578947368421055</v>
      </c>
      <c r="AJ64" s="73"/>
      <c r="AK64" s="76">
        <f t="shared" si="67"/>
        <v>88.235294117647058</v>
      </c>
      <c r="AL64" s="76">
        <f t="shared" si="68"/>
        <v>93.333333333333329</v>
      </c>
      <c r="AM64" s="76">
        <f t="shared" si="69"/>
        <v>90.625</v>
      </c>
      <c r="AN64" s="76"/>
      <c r="AO64" s="81">
        <f t="shared" si="70"/>
        <v>90.476190476190482</v>
      </c>
      <c r="AP64" s="81">
        <f t="shared" si="71"/>
        <v>88.888888888888886</v>
      </c>
      <c r="AQ64" s="81">
        <f t="shared" si="72"/>
        <v>89.743589743589752</v>
      </c>
      <c r="AR64" s="7"/>
      <c r="AS64" s="76">
        <f t="shared" si="1"/>
        <v>87.155963302752298</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ht="15" x14ac:dyDescent="0.25">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ht="15" x14ac:dyDescent="0.25">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ht="15" x14ac:dyDescent="0.25">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ht="15" x14ac:dyDescent="0.25">
      <c r="A68" s="8" t="s">
        <v>17</v>
      </c>
      <c r="B68" s="9" t="s">
        <v>72</v>
      </c>
      <c r="C68" s="7"/>
      <c r="D68" s="7"/>
      <c r="E68" s="7"/>
      <c r="F68" s="71"/>
      <c r="G68" s="51">
        <f>I68+K68</f>
        <v>1</v>
      </c>
      <c r="H68" s="52">
        <f>G68/$J$5*100</f>
        <v>2.6315789473684208</v>
      </c>
      <c r="I68" s="53">
        <f>COUNTIFS('00 Encuesta'!$B$2:$B$511,"*b)*",'00 Encuesta'!$C$2:$C$511,"*a)*",'00 Encuesta'!$E$2:$E$511,"*a)*",'00 Encuesta'!$K$2:$K$511,"*a)*")</f>
        <v>1</v>
      </c>
      <c r="J68" s="52">
        <f t="shared" ref="J68:J74" si="73">I68/$J$6*100</f>
        <v>4.7619047619047619</v>
      </c>
      <c r="K68" s="53">
        <f>COUNTIFS('00 Encuesta'!$B$2:$B$511,"*b)*",'00 Encuesta'!$C$2:$C$511,"*a)*",'00 Encuesta'!$E$2:$E$511,"*b)*",'00 Encuesta'!$K$2:$K$511,"*a)*")</f>
        <v>0</v>
      </c>
      <c r="L68" s="52">
        <f t="shared" ref="L68:L74" si="74">K68/$J$7*100</f>
        <v>0</v>
      </c>
      <c r="M68" s="23"/>
      <c r="N68" s="51">
        <f t="shared" ref="N68:N74" si="75">P68+R68</f>
        <v>1</v>
      </c>
      <c r="O68" s="52">
        <f t="shared" ref="O68:O74" si="76">N68/$Q$5*100</f>
        <v>3.125</v>
      </c>
      <c r="P68" s="53">
        <f>COUNTIFS('00 Encuesta'!$B$2:$B$511,"*b)*",'00 Encuesta'!$C$2:$C$511,"*b)*",'00 Encuesta'!$E$2:$E$511,"*a)*",'00 Encuesta'!$K$2:$K$511,"*a)*")</f>
        <v>1</v>
      </c>
      <c r="Q68" s="52">
        <f t="shared" ref="Q68:Q74" si="77">P68/$Q$6*100</f>
        <v>5.8823529411764701</v>
      </c>
      <c r="R68" s="53">
        <f>COUNTIFS('00 Encuesta'!$B$2:$B$511,"*b)*",'00 Encuesta'!$C$2:$C$511,"*b)*",'00 Encuesta'!$E$2:$E$511,"*b)*",'00 Encuesta'!$K$2:$K$511,"*a)*")</f>
        <v>0</v>
      </c>
      <c r="S68" s="52">
        <f t="shared" ref="S68:S74" si="78">R68/$Q$7*100</f>
        <v>0</v>
      </c>
      <c r="T68" s="3"/>
      <c r="U68" s="51">
        <f t="shared" ref="U68:U74" si="79">W68+Y68</f>
        <v>3</v>
      </c>
      <c r="V68" s="52">
        <f t="shared" ref="V68:V74" si="80">U68/$X$5*100</f>
        <v>7.6923076923076925</v>
      </c>
      <c r="W68" s="53">
        <f>COUNTIFS('00 Encuesta'!$B$2:$B$511,"*b)*",'00 Encuesta'!$C$2:$C$511,"*c)*",'00 Encuesta'!$E$2:$E$511,"*a)*",'00 Encuesta'!$K$2:$K$511,"*a)*")</f>
        <v>3</v>
      </c>
      <c r="X68" s="52">
        <f t="shared" ref="X68:X74" si="81">W68/$X$6*100</f>
        <v>14.285714285714285</v>
      </c>
      <c r="Y68" s="53">
        <f>COUNTIFS('00 Encuesta'!$B$2:$B$511,"*b)*",'00 Encuesta'!$C$2:$C$511,"*c)*",'00 Encuesta'!$E$2:$E$511,"*b)*",'00 Encuesta'!$K$2:$K$511,"*a)*")</f>
        <v>0</v>
      </c>
      <c r="Z68" s="52">
        <f t="shared" ref="Z68:Z74" si="82">Y68/$X$7*100</f>
        <v>0</v>
      </c>
      <c r="AA68" s="3"/>
      <c r="AB68" s="62">
        <f t="shared" ref="AB68:AB74" si="83">G68+N68+U68</f>
        <v>5</v>
      </c>
      <c r="AC68" s="52">
        <f t="shared" ref="AC68:AC74" si="84">AB68*100/$AC$5</f>
        <v>4.5871559633027523</v>
      </c>
      <c r="AD68" s="7"/>
      <c r="AE68" s="7"/>
      <c r="AF68" s="9" t="str">
        <f t="shared" ref="AF68:AF74" si="85">A68&amp;" "&amp;B68</f>
        <v>a) Ninguna</v>
      </c>
      <c r="AG68" s="72">
        <f t="shared" ref="AG68:AG74" si="86">J68</f>
        <v>4.7619047619047619</v>
      </c>
      <c r="AH68" s="72">
        <f t="shared" ref="AH68:AH74" si="87">L68</f>
        <v>0</v>
      </c>
      <c r="AI68" s="73">
        <f t="shared" ref="AI68:AI74" si="88">H68</f>
        <v>2.6315789473684208</v>
      </c>
      <c r="AJ68" s="73"/>
      <c r="AK68" s="76">
        <f t="shared" ref="AK68:AK74" si="89">Q68</f>
        <v>5.8823529411764701</v>
      </c>
      <c r="AL68" s="76">
        <f t="shared" ref="AL68:AL74" si="90">S68</f>
        <v>0</v>
      </c>
      <c r="AM68" s="76">
        <f t="shared" ref="AM68:AM74" si="91">O68</f>
        <v>3.125</v>
      </c>
      <c r="AN68" s="76"/>
      <c r="AO68" s="81">
        <f t="shared" ref="AO68:AO74" si="92">X68</f>
        <v>14.285714285714285</v>
      </c>
      <c r="AP68" s="81">
        <f t="shared" ref="AP68:AP74" si="93">Z68</f>
        <v>0</v>
      </c>
      <c r="AQ68" s="81">
        <f t="shared" ref="AQ68:AQ74" si="94">V68</f>
        <v>7.6923076923076925</v>
      </c>
      <c r="AR68" s="7"/>
      <c r="AS68" s="76">
        <f t="shared" si="1"/>
        <v>4.5871559633027523</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ht="15" x14ac:dyDescent="0.25">
      <c r="A69" s="8" t="s">
        <v>18</v>
      </c>
      <c r="B69" s="9" t="s">
        <v>73</v>
      </c>
      <c r="C69" s="7"/>
      <c r="D69" s="7"/>
      <c r="E69" s="7"/>
      <c r="F69" s="71"/>
      <c r="G69" s="51">
        <f t="shared" ref="G69:G74" si="95">I69+K69</f>
        <v>11</v>
      </c>
      <c r="H69" s="52">
        <f t="shared" ref="H69:H74" si="96">G69/$J$5*100</f>
        <v>28.947368421052634</v>
      </c>
      <c r="I69" s="53">
        <f>COUNTIFS('00 Encuesta'!$B$2:$B$511,"*b)*",'00 Encuesta'!$C$2:$C$511,"*a)*",'00 Encuesta'!$E$2:$E$511,"*a)*",'00 Encuesta'!$K$2:$K$511,"*b)*")</f>
        <v>8</v>
      </c>
      <c r="J69" s="52">
        <f t="shared" si="73"/>
        <v>38.095238095238095</v>
      </c>
      <c r="K69" s="53">
        <f>COUNTIFS('00 Encuesta'!$B$2:$B$511,"*b)*",'00 Encuesta'!$C$2:$C$511,"*a)*",'00 Encuesta'!$E$2:$E$511,"*b)*",'00 Encuesta'!$K$2:$K$511,"*b)*")</f>
        <v>3</v>
      </c>
      <c r="L69" s="52">
        <f t="shared" si="74"/>
        <v>17.647058823529413</v>
      </c>
      <c r="M69" s="23"/>
      <c r="N69" s="51">
        <f t="shared" si="75"/>
        <v>6</v>
      </c>
      <c r="O69" s="52">
        <f t="shared" si="76"/>
        <v>18.75</v>
      </c>
      <c r="P69" s="53">
        <f>COUNTIFS('00 Encuesta'!$B$2:$B$511,"*b)*",'00 Encuesta'!$C$2:$C$511,"*b)*",'00 Encuesta'!$E$2:$E$511,"*a)*",'00 Encuesta'!$K$2:$K$511,"*b)*")</f>
        <v>3</v>
      </c>
      <c r="Q69" s="52">
        <f t="shared" si="77"/>
        <v>17.647058823529413</v>
      </c>
      <c r="R69" s="53">
        <f>COUNTIFS('00 Encuesta'!$B$2:$B$511,"*b)*",'00 Encuesta'!$C$2:$C$511,"*b)*",'00 Encuesta'!$E$2:$E$511,"*b)*",'00 Encuesta'!$K$2:$K$511,"*b)*")</f>
        <v>3</v>
      </c>
      <c r="S69" s="52">
        <f t="shared" si="78"/>
        <v>20</v>
      </c>
      <c r="T69" s="3"/>
      <c r="U69" s="51">
        <f t="shared" si="79"/>
        <v>9</v>
      </c>
      <c r="V69" s="52">
        <f t="shared" si="80"/>
        <v>23.076923076923077</v>
      </c>
      <c r="W69" s="53">
        <f>COUNTIFS('00 Encuesta'!$B$2:$B$511,"*b)*",'00 Encuesta'!$C$2:$C$511,"*c)*",'00 Encuesta'!$E$2:$E$511,"*a)*",'00 Encuesta'!$K$2:$K$511,"*b)*")</f>
        <v>3</v>
      </c>
      <c r="X69" s="52">
        <f t="shared" si="81"/>
        <v>14.285714285714285</v>
      </c>
      <c r="Y69" s="53">
        <f>COUNTIFS('00 Encuesta'!$B$2:$B$511,"*b)*",'00 Encuesta'!$C$2:$C$511,"*c)*",'00 Encuesta'!$E$2:$E$511,"*b)*",'00 Encuesta'!$K$2:$K$511,"*b)*")</f>
        <v>6</v>
      </c>
      <c r="Z69" s="52">
        <f t="shared" si="82"/>
        <v>33.333333333333329</v>
      </c>
      <c r="AA69" s="3"/>
      <c r="AB69" s="62">
        <f t="shared" si="83"/>
        <v>26</v>
      </c>
      <c r="AC69" s="52">
        <f t="shared" si="84"/>
        <v>23.853211009174313</v>
      </c>
      <c r="AD69" s="7"/>
      <c r="AE69" s="7"/>
      <c r="AF69" s="9" t="str">
        <f t="shared" si="85"/>
        <v>b) Una</v>
      </c>
      <c r="AG69" s="72">
        <f t="shared" si="86"/>
        <v>38.095238095238095</v>
      </c>
      <c r="AH69" s="72">
        <f t="shared" si="87"/>
        <v>17.647058823529413</v>
      </c>
      <c r="AI69" s="73">
        <f t="shared" si="88"/>
        <v>28.947368421052634</v>
      </c>
      <c r="AJ69" s="73"/>
      <c r="AK69" s="76">
        <f t="shared" si="89"/>
        <v>17.647058823529413</v>
      </c>
      <c r="AL69" s="76">
        <f t="shared" si="90"/>
        <v>20</v>
      </c>
      <c r="AM69" s="76">
        <f t="shared" si="91"/>
        <v>18.75</v>
      </c>
      <c r="AN69" s="76"/>
      <c r="AO69" s="81">
        <f t="shared" si="92"/>
        <v>14.285714285714285</v>
      </c>
      <c r="AP69" s="81">
        <f t="shared" si="93"/>
        <v>33.333333333333329</v>
      </c>
      <c r="AQ69" s="81">
        <f t="shared" si="94"/>
        <v>23.076923076923077</v>
      </c>
      <c r="AR69" s="7"/>
      <c r="AS69" s="76">
        <f t="shared" si="1"/>
        <v>23.853211009174313</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ht="15" x14ac:dyDescent="0.25">
      <c r="A70" s="8" t="s">
        <v>20</v>
      </c>
      <c r="B70" s="9" t="s">
        <v>74</v>
      </c>
      <c r="C70" s="7"/>
      <c r="D70" s="7"/>
      <c r="E70" s="7"/>
      <c r="F70" s="71"/>
      <c r="G70" s="51">
        <f t="shared" si="95"/>
        <v>12</v>
      </c>
      <c r="H70" s="52">
        <f t="shared" si="96"/>
        <v>31.578947368421051</v>
      </c>
      <c r="I70" s="53">
        <f>COUNTIFS('00 Encuesta'!$B$2:$B$511,"*b)*",'00 Encuesta'!$C$2:$C$511,"*a)*",'00 Encuesta'!$E$2:$E$511,"*a)*",'00 Encuesta'!$K$2:$K$511,"*c)*")</f>
        <v>6</v>
      </c>
      <c r="J70" s="52">
        <f t="shared" si="73"/>
        <v>28.571428571428569</v>
      </c>
      <c r="K70" s="53">
        <f>COUNTIFS('00 Encuesta'!$B$2:$B$511,"*b)*",'00 Encuesta'!$C$2:$C$511,"*a)*",'00 Encuesta'!$E$2:$E$511,"*b)*",'00 Encuesta'!$K$2:$K$511,"*c)*")</f>
        <v>6</v>
      </c>
      <c r="L70" s="52">
        <f t="shared" si="74"/>
        <v>35.294117647058826</v>
      </c>
      <c r="M70" s="23"/>
      <c r="N70" s="51">
        <f t="shared" si="75"/>
        <v>18</v>
      </c>
      <c r="O70" s="52">
        <f t="shared" si="76"/>
        <v>56.25</v>
      </c>
      <c r="P70" s="53">
        <f>COUNTIFS('00 Encuesta'!$B$2:$B$511,"*b)*",'00 Encuesta'!$C$2:$C$511,"*b)*",'00 Encuesta'!$E$2:$E$511,"*a)*",'00 Encuesta'!$K$2:$K$511,"*c)*")</f>
        <v>10</v>
      </c>
      <c r="Q70" s="52">
        <f t="shared" si="77"/>
        <v>58.82352941176471</v>
      </c>
      <c r="R70" s="53">
        <f>COUNTIFS('00 Encuesta'!$B$2:$B$511,"*b)*",'00 Encuesta'!$C$2:$C$511,"*b)*",'00 Encuesta'!$E$2:$E$511,"*b)*",'00 Encuesta'!$K$2:$K$511,"*c)*")</f>
        <v>8</v>
      </c>
      <c r="S70" s="52">
        <f t="shared" si="78"/>
        <v>53.333333333333336</v>
      </c>
      <c r="T70" s="3"/>
      <c r="U70" s="51">
        <f t="shared" si="79"/>
        <v>18</v>
      </c>
      <c r="V70" s="52">
        <f t="shared" si="80"/>
        <v>46.153846153846153</v>
      </c>
      <c r="W70" s="53">
        <f>COUNTIFS('00 Encuesta'!$B$2:$B$511,"*b)*",'00 Encuesta'!$C$2:$C$511,"*c)*",'00 Encuesta'!$E$2:$E$511,"*a)*",'00 Encuesta'!$K$2:$K$511,"*c)*")</f>
        <v>10</v>
      </c>
      <c r="X70" s="52">
        <f t="shared" si="81"/>
        <v>47.619047619047613</v>
      </c>
      <c r="Y70" s="53">
        <f>COUNTIFS('00 Encuesta'!$B$2:$B$511,"*b)*",'00 Encuesta'!$C$2:$C$511,"*c)*",'00 Encuesta'!$E$2:$E$511,"*b)*",'00 Encuesta'!$K$2:$K$511,"*c)*")</f>
        <v>8</v>
      </c>
      <c r="Z70" s="52">
        <f t="shared" si="82"/>
        <v>44.444444444444443</v>
      </c>
      <c r="AA70" s="3"/>
      <c r="AB70" s="62">
        <f t="shared" si="83"/>
        <v>48</v>
      </c>
      <c r="AC70" s="52">
        <f t="shared" si="84"/>
        <v>44.036697247706421</v>
      </c>
      <c r="AD70" s="7"/>
      <c r="AE70" s="7"/>
      <c r="AF70" s="9" t="str">
        <f t="shared" si="85"/>
        <v>c) Dos</v>
      </c>
      <c r="AG70" s="72">
        <f t="shared" si="86"/>
        <v>28.571428571428569</v>
      </c>
      <c r="AH70" s="72">
        <f t="shared" si="87"/>
        <v>35.294117647058826</v>
      </c>
      <c r="AI70" s="73">
        <f t="shared" si="88"/>
        <v>31.578947368421051</v>
      </c>
      <c r="AJ70" s="73"/>
      <c r="AK70" s="76">
        <f t="shared" si="89"/>
        <v>58.82352941176471</v>
      </c>
      <c r="AL70" s="76">
        <f t="shared" si="90"/>
        <v>53.333333333333336</v>
      </c>
      <c r="AM70" s="76">
        <f t="shared" si="91"/>
        <v>56.25</v>
      </c>
      <c r="AN70" s="76"/>
      <c r="AO70" s="81">
        <f t="shared" si="92"/>
        <v>47.619047619047613</v>
      </c>
      <c r="AP70" s="81">
        <f t="shared" si="93"/>
        <v>44.444444444444443</v>
      </c>
      <c r="AQ70" s="81">
        <f t="shared" si="94"/>
        <v>46.153846153846153</v>
      </c>
      <c r="AR70" s="7"/>
      <c r="AS70" s="76">
        <f t="shared" si="1"/>
        <v>44.036697247706421</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ht="15" x14ac:dyDescent="0.25">
      <c r="A71" s="8" t="s">
        <v>21</v>
      </c>
      <c r="B71" s="9" t="s">
        <v>75</v>
      </c>
      <c r="C71" s="7"/>
      <c r="D71" s="7"/>
      <c r="E71" s="7"/>
      <c r="F71" s="71"/>
      <c r="G71" s="51">
        <f t="shared" si="95"/>
        <v>3</v>
      </c>
      <c r="H71" s="52">
        <f t="shared" si="96"/>
        <v>7.8947368421052628</v>
      </c>
      <c r="I71" s="53">
        <f>COUNTIFS('00 Encuesta'!$B$2:$B$511,"*b)*",'00 Encuesta'!$C$2:$C$511,"*a)*",'00 Encuesta'!$E$2:$E$511,"*a)*",'00 Encuesta'!$K$2:$K$511,"*d)*")</f>
        <v>1</v>
      </c>
      <c r="J71" s="52">
        <f t="shared" si="73"/>
        <v>4.7619047619047619</v>
      </c>
      <c r="K71" s="53">
        <f>COUNTIFS('00 Encuesta'!$B$2:$B$511,"*b)*",'00 Encuesta'!$C$2:$C$511,"*a)*",'00 Encuesta'!$E$2:$E$511,"*b)*",'00 Encuesta'!$K$2:$K$511,"*d)*")</f>
        <v>2</v>
      </c>
      <c r="L71" s="52">
        <f t="shared" si="74"/>
        <v>11.76470588235294</v>
      </c>
      <c r="M71" s="23"/>
      <c r="N71" s="51">
        <f t="shared" si="75"/>
        <v>1</v>
      </c>
      <c r="O71" s="52">
        <f t="shared" si="76"/>
        <v>3.125</v>
      </c>
      <c r="P71" s="53">
        <f>COUNTIFS('00 Encuesta'!$B$2:$B$511,"*b)*",'00 Encuesta'!$C$2:$C$511,"*b)*",'00 Encuesta'!$E$2:$E$511,"*a)*",'00 Encuesta'!$K$2:$K$511,"*d)*")</f>
        <v>0</v>
      </c>
      <c r="Q71" s="52">
        <f t="shared" si="77"/>
        <v>0</v>
      </c>
      <c r="R71" s="53">
        <f>COUNTIFS('00 Encuesta'!$B$2:$B$511,"*b)*",'00 Encuesta'!$C$2:$C$511,"*b)*",'00 Encuesta'!$E$2:$E$511,"*b)*",'00 Encuesta'!$K$2:$K$511,"*d)*")</f>
        <v>1</v>
      </c>
      <c r="S71" s="52">
        <f t="shared" si="78"/>
        <v>6.666666666666667</v>
      </c>
      <c r="T71" s="3"/>
      <c r="U71" s="51">
        <f t="shared" si="79"/>
        <v>4</v>
      </c>
      <c r="V71" s="52">
        <f t="shared" si="80"/>
        <v>10.256410256410255</v>
      </c>
      <c r="W71" s="53">
        <f>COUNTIFS('00 Encuesta'!$B$2:$B$511,"*b)*",'00 Encuesta'!$C$2:$C$511,"*c)*",'00 Encuesta'!$E$2:$E$511,"*a)*",'00 Encuesta'!$K$2:$K$511,"*d)*")</f>
        <v>3</v>
      </c>
      <c r="X71" s="52">
        <f t="shared" si="81"/>
        <v>14.285714285714285</v>
      </c>
      <c r="Y71" s="53">
        <f>COUNTIFS('00 Encuesta'!$B$2:$B$511,"*b)*",'00 Encuesta'!$C$2:$C$511,"*c)*",'00 Encuesta'!$E$2:$E$511,"*b)*",'00 Encuesta'!$K$2:$K$511,"*d)*")</f>
        <v>1</v>
      </c>
      <c r="Z71" s="52">
        <f t="shared" si="82"/>
        <v>5.5555555555555554</v>
      </c>
      <c r="AA71" s="3"/>
      <c r="AB71" s="62">
        <f t="shared" si="83"/>
        <v>8</v>
      </c>
      <c r="AC71" s="52">
        <f t="shared" si="84"/>
        <v>7.3394495412844041</v>
      </c>
      <c r="AD71" s="7"/>
      <c r="AE71" s="7"/>
      <c r="AF71" s="9" t="str">
        <f t="shared" si="85"/>
        <v>d) Tres</v>
      </c>
      <c r="AG71" s="72">
        <f t="shared" si="86"/>
        <v>4.7619047619047619</v>
      </c>
      <c r="AH71" s="72">
        <f t="shared" si="87"/>
        <v>11.76470588235294</v>
      </c>
      <c r="AI71" s="73">
        <f t="shared" si="88"/>
        <v>7.8947368421052628</v>
      </c>
      <c r="AJ71" s="73"/>
      <c r="AK71" s="76">
        <f t="shared" si="89"/>
        <v>0</v>
      </c>
      <c r="AL71" s="76">
        <f t="shared" si="90"/>
        <v>6.666666666666667</v>
      </c>
      <c r="AM71" s="76">
        <f t="shared" si="91"/>
        <v>3.125</v>
      </c>
      <c r="AN71" s="76"/>
      <c r="AO71" s="81">
        <f t="shared" si="92"/>
        <v>14.285714285714285</v>
      </c>
      <c r="AP71" s="81">
        <f t="shared" si="93"/>
        <v>5.5555555555555554</v>
      </c>
      <c r="AQ71" s="81">
        <f t="shared" si="94"/>
        <v>10.256410256410255</v>
      </c>
      <c r="AR71" s="7"/>
      <c r="AS71" s="76">
        <f t="shared" si="1"/>
        <v>7.3394495412844041</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ht="15" x14ac:dyDescent="0.25">
      <c r="A72" s="8" t="s">
        <v>22</v>
      </c>
      <c r="B72" s="9" t="s">
        <v>76</v>
      </c>
      <c r="C72" s="7"/>
      <c r="D72" s="7"/>
      <c r="E72" s="7"/>
      <c r="F72" s="71"/>
      <c r="G72" s="51">
        <f t="shared" si="95"/>
        <v>4</v>
      </c>
      <c r="H72" s="52">
        <f t="shared" si="96"/>
        <v>10.526315789473683</v>
      </c>
      <c r="I72" s="53">
        <f>COUNTIFS('00 Encuesta'!$B$2:$B$511,"*b)*",'00 Encuesta'!$C$2:$C$511,"*a)*",'00 Encuesta'!$E$2:$E$511,"*a)*",'00 Encuesta'!$K$2:$K$511,"*e)*")</f>
        <v>2</v>
      </c>
      <c r="J72" s="52">
        <f t="shared" si="73"/>
        <v>9.5238095238095237</v>
      </c>
      <c r="K72" s="53">
        <f>COUNTIFS('00 Encuesta'!$B$2:$B$511,"*b)*",'00 Encuesta'!$C$2:$C$511,"*a)*",'00 Encuesta'!$E$2:$E$511,"*b)*",'00 Encuesta'!$K$2:$K$511,"*e)*")</f>
        <v>2</v>
      </c>
      <c r="L72" s="52">
        <f t="shared" si="74"/>
        <v>11.76470588235294</v>
      </c>
      <c r="M72" s="23"/>
      <c r="N72" s="51">
        <f t="shared" si="75"/>
        <v>1</v>
      </c>
      <c r="O72" s="52">
        <f t="shared" si="76"/>
        <v>3.125</v>
      </c>
      <c r="P72" s="53">
        <f>COUNTIFS('00 Encuesta'!$B$2:$B$511,"*b)*",'00 Encuesta'!$C$2:$C$511,"*b)*",'00 Encuesta'!$E$2:$E$511,"*a)*",'00 Encuesta'!$K$2:$K$511,"*e)*")</f>
        <v>0</v>
      </c>
      <c r="Q72" s="52">
        <f t="shared" si="77"/>
        <v>0</v>
      </c>
      <c r="R72" s="53">
        <f>COUNTIFS('00 Encuesta'!$B$2:$B$511,"*b)*",'00 Encuesta'!$C$2:$C$511,"*b)*",'00 Encuesta'!$E$2:$E$511,"*b)*",'00 Encuesta'!$K$2:$K$511,"*e)*")</f>
        <v>1</v>
      </c>
      <c r="S72" s="52">
        <f t="shared" si="78"/>
        <v>6.666666666666667</v>
      </c>
      <c r="T72" s="3"/>
      <c r="U72" s="51">
        <f t="shared" si="79"/>
        <v>3</v>
      </c>
      <c r="V72" s="52">
        <f t="shared" si="80"/>
        <v>7.6923076923076925</v>
      </c>
      <c r="W72" s="53">
        <f>COUNTIFS('00 Encuesta'!$B$2:$B$511,"*b)*",'00 Encuesta'!$C$2:$C$511,"*c)*",'00 Encuesta'!$E$2:$E$511,"*a)*",'00 Encuesta'!$K$2:$K$511,"*e)*")</f>
        <v>0</v>
      </c>
      <c r="X72" s="52">
        <f t="shared" si="81"/>
        <v>0</v>
      </c>
      <c r="Y72" s="53">
        <f>COUNTIFS('00 Encuesta'!$B$2:$B$511,"*b)*",'00 Encuesta'!$C$2:$C$511,"*c)*",'00 Encuesta'!$E$2:$E$511,"*b)*",'00 Encuesta'!$K$2:$K$511,"*e)*")</f>
        <v>3</v>
      </c>
      <c r="Z72" s="52">
        <f t="shared" si="82"/>
        <v>16.666666666666664</v>
      </c>
      <c r="AA72" s="3"/>
      <c r="AB72" s="62">
        <f t="shared" si="83"/>
        <v>8</v>
      </c>
      <c r="AC72" s="52">
        <f t="shared" si="84"/>
        <v>7.3394495412844041</v>
      </c>
      <c r="AD72" s="7"/>
      <c r="AE72" s="7"/>
      <c r="AF72" s="9" t="str">
        <f t="shared" si="85"/>
        <v>e) Cuatro</v>
      </c>
      <c r="AG72" s="72">
        <f t="shared" si="86"/>
        <v>9.5238095238095237</v>
      </c>
      <c r="AH72" s="72">
        <f t="shared" si="87"/>
        <v>11.76470588235294</v>
      </c>
      <c r="AI72" s="73">
        <f t="shared" si="88"/>
        <v>10.526315789473683</v>
      </c>
      <c r="AJ72" s="73"/>
      <c r="AK72" s="76">
        <f t="shared" si="89"/>
        <v>0</v>
      </c>
      <c r="AL72" s="76">
        <f t="shared" si="90"/>
        <v>6.666666666666667</v>
      </c>
      <c r="AM72" s="76">
        <f t="shared" si="91"/>
        <v>3.125</v>
      </c>
      <c r="AN72" s="76"/>
      <c r="AO72" s="81">
        <f t="shared" si="92"/>
        <v>0</v>
      </c>
      <c r="AP72" s="81">
        <f t="shared" si="93"/>
        <v>16.666666666666664</v>
      </c>
      <c r="AQ72" s="81">
        <f t="shared" si="94"/>
        <v>7.6923076923076925</v>
      </c>
      <c r="AR72" s="7"/>
      <c r="AS72" s="76">
        <f t="shared" si="1"/>
        <v>7.3394495412844041</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6</v>
      </c>
      <c r="H73" s="52">
        <f t="shared" si="96"/>
        <v>15.789473684210526</v>
      </c>
      <c r="I73" s="53">
        <f>COUNTIFS('00 Encuesta'!$B$2:$B$511,"*b)*",'00 Encuesta'!$C$2:$C$511,"*a)*",'00 Encuesta'!$E$2:$E$511,"*a)*",'00 Encuesta'!$K$2:$K$511,"*f)*")</f>
        <v>3</v>
      </c>
      <c r="J73" s="52">
        <f t="shared" si="73"/>
        <v>14.285714285714285</v>
      </c>
      <c r="K73" s="53">
        <f>COUNTIFS('00 Encuesta'!$B$2:$B$511,"*b)*",'00 Encuesta'!$C$2:$C$511,"*a)*",'00 Encuesta'!$E$2:$E$511,"*b)*",'00 Encuesta'!$K$2:$K$511,"*f)*")</f>
        <v>3</v>
      </c>
      <c r="L73" s="52">
        <f t="shared" si="74"/>
        <v>17.647058823529413</v>
      </c>
      <c r="M73" s="23"/>
      <c r="N73" s="51">
        <f t="shared" si="75"/>
        <v>4</v>
      </c>
      <c r="O73" s="52">
        <f t="shared" si="76"/>
        <v>12.5</v>
      </c>
      <c r="P73" s="53">
        <f>COUNTIFS('00 Encuesta'!$B$2:$B$511,"*b)*",'00 Encuesta'!$C$2:$C$511,"*b)*",'00 Encuesta'!$E$2:$E$511,"*a)*",'00 Encuesta'!$K$2:$K$511,"*f)*")</f>
        <v>3</v>
      </c>
      <c r="Q73" s="52">
        <f t="shared" si="77"/>
        <v>17.647058823529413</v>
      </c>
      <c r="R73" s="53">
        <f>COUNTIFS('00 Encuesta'!$B$2:$B$511,"*b)*",'00 Encuesta'!$C$2:$C$511,"*b)*",'00 Encuesta'!$E$2:$E$511,"*b)*",'00 Encuesta'!$K$2:$K$511,"*f)*")</f>
        <v>1</v>
      </c>
      <c r="S73" s="52">
        <f t="shared" si="78"/>
        <v>6.666666666666667</v>
      </c>
      <c r="T73" s="3"/>
      <c r="U73" s="51">
        <f t="shared" si="79"/>
        <v>2</v>
      </c>
      <c r="V73" s="52">
        <f t="shared" si="80"/>
        <v>5.1282051282051277</v>
      </c>
      <c r="W73" s="53">
        <f>COUNTIFS('00 Encuesta'!$B$2:$B$511,"*b)*",'00 Encuesta'!$C$2:$C$511,"*c)*",'00 Encuesta'!$E$2:$E$511,"*a)*",'00 Encuesta'!$K$2:$K$511,"*f)*")</f>
        <v>2</v>
      </c>
      <c r="X73" s="52">
        <f t="shared" si="81"/>
        <v>9.5238095238095237</v>
      </c>
      <c r="Y73" s="53">
        <f>COUNTIFS('00 Encuesta'!$B$2:$B$511,"*b)*",'00 Encuesta'!$C$2:$C$511,"*c)*",'00 Encuesta'!$E$2:$E$511,"*b)*",'00 Encuesta'!$K$2:$K$511,"*f)*")</f>
        <v>0</v>
      </c>
      <c r="Z73" s="52">
        <f t="shared" si="82"/>
        <v>0</v>
      </c>
      <c r="AA73" s="3"/>
      <c r="AB73" s="62">
        <f t="shared" si="83"/>
        <v>12</v>
      </c>
      <c r="AC73" s="52">
        <f t="shared" si="84"/>
        <v>11.009174311926605</v>
      </c>
      <c r="AD73" s="7"/>
      <c r="AE73" s="7"/>
      <c r="AF73" s="9" t="str">
        <f t="shared" si="85"/>
        <v>f) Más de cuatro</v>
      </c>
      <c r="AG73" s="72">
        <f t="shared" si="86"/>
        <v>14.285714285714285</v>
      </c>
      <c r="AH73" s="72">
        <f t="shared" si="87"/>
        <v>17.647058823529413</v>
      </c>
      <c r="AI73" s="73">
        <f t="shared" si="88"/>
        <v>15.789473684210526</v>
      </c>
      <c r="AJ73" s="73"/>
      <c r="AK73" s="76">
        <f t="shared" si="89"/>
        <v>17.647058823529413</v>
      </c>
      <c r="AL73" s="76">
        <f t="shared" si="90"/>
        <v>6.666666666666667</v>
      </c>
      <c r="AM73" s="76">
        <f t="shared" si="91"/>
        <v>12.5</v>
      </c>
      <c r="AN73" s="76"/>
      <c r="AO73" s="81">
        <f t="shared" si="92"/>
        <v>9.5238095238095237</v>
      </c>
      <c r="AP73" s="81">
        <f t="shared" si="93"/>
        <v>0</v>
      </c>
      <c r="AQ73" s="81">
        <f t="shared" si="94"/>
        <v>5.1282051282051277</v>
      </c>
      <c r="AR73" s="7"/>
      <c r="AS73" s="76">
        <f t="shared" si="1"/>
        <v>11.009174311926605</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ht="15" x14ac:dyDescent="0.25">
      <c r="A74" s="8" t="s">
        <v>23</v>
      </c>
      <c r="B74" s="9" t="s">
        <v>24</v>
      </c>
      <c r="C74" s="7"/>
      <c r="D74" s="7"/>
      <c r="E74" s="7"/>
      <c r="F74" s="71"/>
      <c r="G74" s="51">
        <f t="shared" si="95"/>
        <v>0</v>
      </c>
      <c r="H74" s="52">
        <f t="shared" si="96"/>
        <v>0</v>
      </c>
      <c r="I74" s="53"/>
      <c r="J74" s="52">
        <f t="shared" si="73"/>
        <v>0</v>
      </c>
      <c r="K74" s="53"/>
      <c r="L74" s="52">
        <f t="shared" si="74"/>
        <v>0</v>
      </c>
      <c r="M74" s="23"/>
      <c r="N74" s="51">
        <f t="shared" si="75"/>
        <v>0</v>
      </c>
      <c r="O74" s="52">
        <f t="shared" si="76"/>
        <v>0</v>
      </c>
      <c r="P74" s="53"/>
      <c r="Q74" s="52">
        <f t="shared" si="77"/>
        <v>0</v>
      </c>
      <c r="R74" s="53"/>
      <c r="S74" s="52">
        <f t="shared" si="78"/>
        <v>0</v>
      </c>
      <c r="T74" s="3"/>
      <c r="U74" s="51">
        <f t="shared" si="79"/>
        <v>0</v>
      </c>
      <c r="V74" s="52">
        <f t="shared" si="80"/>
        <v>0</v>
      </c>
      <c r="W74" s="53"/>
      <c r="X74" s="52">
        <f t="shared" si="81"/>
        <v>0</v>
      </c>
      <c r="Y74" s="53"/>
      <c r="Z74" s="52">
        <f t="shared" si="82"/>
        <v>0</v>
      </c>
      <c r="AA74" s="3"/>
      <c r="AB74" s="62">
        <f t="shared" si="83"/>
        <v>0</v>
      </c>
      <c r="AC74" s="52">
        <f t="shared" si="84"/>
        <v>0</v>
      </c>
      <c r="AD74" s="7"/>
      <c r="AE74" s="7"/>
      <c r="AF74" s="9" t="str">
        <f t="shared" si="85"/>
        <v>S/R Sin Respuesta</v>
      </c>
      <c r="AG74" s="72">
        <f t="shared" si="86"/>
        <v>0</v>
      </c>
      <c r="AH74" s="72">
        <f t="shared" si="87"/>
        <v>0</v>
      </c>
      <c r="AI74" s="73">
        <f t="shared" si="88"/>
        <v>0</v>
      </c>
      <c r="AJ74" s="73"/>
      <c r="AK74" s="76">
        <f t="shared" si="89"/>
        <v>0</v>
      </c>
      <c r="AL74" s="76">
        <f t="shared" si="90"/>
        <v>0</v>
      </c>
      <c r="AM74" s="76">
        <f t="shared" si="91"/>
        <v>0</v>
      </c>
      <c r="AN74" s="76"/>
      <c r="AO74" s="81">
        <f t="shared" si="92"/>
        <v>0</v>
      </c>
      <c r="AP74" s="81">
        <f t="shared" si="93"/>
        <v>0</v>
      </c>
      <c r="AQ74" s="81">
        <f t="shared" si="94"/>
        <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ht="15" x14ac:dyDescent="0.25">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ht="15" x14ac:dyDescent="0.25">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ht="15" x14ac:dyDescent="0.25">
      <c r="A78" s="8" t="s">
        <v>17</v>
      </c>
      <c r="B78" s="9" t="s">
        <v>80</v>
      </c>
      <c r="C78" s="7"/>
      <c r="D78" s="7"/>
      <c r="E78" s="7"/>
      <c r="F78" s="71"/>
      <c r="G78" s="51">
        <f t="shared" ref="G78:G88" si="97">I78+K78</f>
        <v>26</v>
      </c>
      <c r="H78" s="52">
        <f t="shared" ref="H78:H88" si="98">G78/$J$5*100</f>
        <v>68.421052631578945</v>
      </c>
      <c r="I78" s="53">
        <f>COUNTIFS('00 Encuesta'!$B$2:$B$511,"*b)*",'00 Encuesta'!$C$2:$C$511,"*a)*",'00 Encuesta'!$E$2:$E$511,"*a)*",'00 Encuesta'!$L$2:$L$511,"*a)*")</f>
        <v>17</v>
      </c>
      <c r="J78" s="52">
        <f t="shared" ref="J78:J88" si="99">I78/$J$6*100</f>
        <v>80.952380952380949</v>
      </c>
      <c r="K78" s="53">
        <f>COUNTIFS('00 Encuesta'!$B$2:$B$511,"*b)*",'00 Encuesta'!$C$2:$C$511,"*a)*",'00 Encuesta'!$E$2:$E$511,"*b)*",'00 Encuesta'!$L$2:$L$511,"*a)*")</f>
        <v>9</v>
      </c>
      <c r="L78" s="52">
        <f t="shared" ref="L78:L88" si="100">K78/$J$7*100</f>
        <v>52.941176470588239</v>
      </c>
      <c r="M78" s="23"/>
      <c r="N78" s="51">
        <f t="shared" ref="N78:N88" si="101">P78+R78</f>
        <v>27</v>
      </c>
      <c r="O78" s="52">
        <f t="shared" ref="O78:O88" si="102">N78/$Q$5*100</f>
        <v>84.375</v>
      </c>
      <c r="P78" s="53">
        <f>COUNTIFS('00 Encuesta'!$B$2:$B$511,"*b)*",'00 Encuesta'!$C$2:$C$511,"*b)*",'00 Encuesta'!$E$2:$E$511,"*a)*",'00 Encuesta'!$L$2:$L$511,"*a)*")</f>
        <v>16</v>
      </c>
      <c r="Q78" s="52">
        <f t="shared" ref="Q78:Q88" si="103">P78/$Q$6*100</f>
        <v>94.117647058823522</v>
      </c>
      <c r="R78" s="53">
        <f>COUNTIFS('00 Encuesta'!$B$2:$B$511,"*b)*",'00 Encuesta'!$C$2:$C$511,"*b)*",'00 Encuesta'!$E$2:$E$511,"*b)*",'00 Encuesta'!$L$2:$L$511,"*a)*")</f>
        <v>11</v>
      </c>
      <c r="S78" s="52">
        <f t="shared" ref="S78:S88" si="104">R78/$Q$7*100</f>
        <v>73.333333333333329</v>
      </c>
      <c r="T78" s="3"/>
      <c r="U78" s="51">
        <f t="shared" ref="U78:U88" si="105">W78+Y78</f>
        <v>33</v>
      </c>
      <c r="V78" s="52">
        <f t="shared" ref="V78:V88" si="106">U78/$X$5*100</f>
        <v>84.615384615384613</v>
      </c>
      <c r="W78" s="53">
        <f>COUNTIFS('00 Encuesta'!$B$2:$B$511,"*b)*",'00 Encuesta'!$C$2:$C$511,"*c)*",'00 Encuesta'!$E$2:$E$511,"*a)*",'00 Encuesta'!$L$2:$L$511,"*a)*")</f>
        <v>16</v>
      </c>
      <c r="X78" s="52">
        <f>W78/$X$6*100</f>
        <v>76.19047619047619</v>
      </c>
      <c r="Y78" s="53">
        <f>COUNTIFS('00 Encuesta'!$B$2:$B$511,"*b)*",'00 Encuesta'!$C$2:$C$511,"*c)*",'00 Encuesta'!$E$2:$E$511,"*b)*",'00 Encuesta'!$L$2:$L$511,"*a)*")</f>
        <v>17</v>
      </c>
      <c r="Z78" s="52">
        <f t="shared" ref="Z78:Z88" si="107">Y78/$X$7*100</f>
        <v>94.444444444444443</v>
      </c>
      <c r="AA78" s="3"/>
      <c r="AB78" s="62">
        <f t="shared" ref="AB78:AB88" si="108">G78+N78+U78</f>
        <v>86</v>
      </c>
      <c r="AC78" s="52">
        <f t="shared" ref="AC78:AC88" si="109">AB78*100/$AC$5</f>
        <v>78.899082568807344</v>
      </c>
      <c r="AD78" s="7"/>
      <c r="AE78" s="7"/>
      <c r="AF78" s="9" t="str">
        <f t="shared" ref="AF78:AF89" si="110">A78&amp;" "&amp;B78</f>
        <v>a) La familia</v>
      </c>
      <c r="AG78" s="72">
        <f t="shared" ref="AG78:AG89" si="111">J78</f>
        <v>80.952380952380949</v>
      </c>
      <c r="AH78" s="72">
        <f t="shared" ref="AH78:AH89" si="112">L78</f>
        <v>52.941176470588239</v>
      </c>
      <c r="AI78" s="73">
        <f t="shared" ref="AI78:AI89" si="113">H78</f>
        <v>68.421052631578945</v>
      </c>
      <c r="AJ78" s="73"/>
      <c r="AK78" s="76">
        <f t="shared" ref="AK78:AK89" si="114">Q78</f>
        <v>94.117647058823522</v>
      </c>
      <c r="AL78" s="76">
        <f t="shared" ref="AL78:AL89" si="115">S78</f>
        <v>73.333333333333329</v>
      </c>
      <c r="AM78" s="76">
        <f t="shared" ref="AM78:AM89" si="116">O78</f>
        <v>84.375</v>
      </c>
      <c r="AN78" s="76"/>
      <c r="AO78" s="81">
        <f>X78</f>
        <v>76.19047619047619</v>
      </c>
      <c r="AP78" s="81">
        <f t="shared" ref="AP78:AP89" si="117">Z78</f>
        <v>94.444444444444443</v>
      </c>
      <c r="AQ78" s="81">
        <f t="shared" ref="AQ78:AQ89" si="118">V78</f>
        <v>84.615384615384613</v>
      </c>
      <c r="AR78" s="7"/>
      <c r="AS78" s="76">
        <f t="shared" si="1"/>
        <v>78.899082568807344</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ht="15" x14ac:dyDescent="0.25">
      <c r="A79" s="8" t="s">
        <v>18</v>
      </c>
      <c r="B79" s="9" t="s">
        <v>81</v>
      </c>
      <c r="C79" s="7"/>
      <c r="D79" s="7"/>
      <c r="E79" s="7"/>
      <c r="F79" s="71"/>
      <c r="G79" s="51">
        <f t="shared" si="97"/>
        <v>14</v>
      </c>
      <c r="H79" s="52">
        <f t="shared" si="98"/>
        <v>36.84210526315789</v>
      </c>
      <c r="I79" s="53">
        <f>COUNTIFS('00 Encuesta'!$B$2:$B$511,"*b)*",'00 Encuesta'!$C$2:$C$511,"*a)*",'00 Encuesta'!$E$2:$E$511,"*a)*",'00 Encuesta'!$L$2:$L$511,"*b)*")</f>
        <v>7</v>
      </c>
      <c r="J79" s="52">
        <f t="shared" si="99"/>
        <v>33.333333333333329</v>
      </c>
      <c r="K79" s="53">
        <f>COUNTIFS('00 Encuesta'!$B$2:$B$511,"*b)*",'00 Encuesta'!$C$2:$C$511,"*a)*",'00 Encuesta'!$E$2:$E$511,"*b)*",'00 Encuesta'!$L$2:$L$511,"*b)*")</f>
        <v>7</v>
      </c>
      <c r="L79" s="52">
        <f t="shared" si="100"/>
        <v>41.17647058823529</v>
      </c>
      <c r="M79" s="23"/>
      <c r="N79" s="51">
        <f t="shared" si="101"/>
        <v>19</v>
      </c>
      <c r="O79" s="52">
        <f t="shared" si="102"/>
        <v>59.375</v>
      </c>
      <c r="P79" s="53">
        <f>COUNTIFS('00 Encuesta'!$B$2:$B$511,"*b)*",'00 Encuesta'!$C$2:$C$511,"*b)*",'00 Encuesta'!$E$2:$E$511,"*a)*",'00 Encuesta'!$L$2:$L$511,"*b)*")</f>
        <v>11</v>
      </c>
      <c r="Q79" s="52">
        <f t="shared" si="103"/>
        <v>64.705882352941174</v>
      </c>
      <c r="R79" s="53">
        <f>COUNTIFS('00 Encuesta'!$B$2:$B$511,"*b)*",'00 Encuesta'!$C$2:$C$511,"*b)*",'00 Encuesta'!$E$2:$E$511,"*b)*",'00 Encuesta'!$L$2:$L$511,"*b)*")</f>
        <v>8</v>
      </c>
      <c r="S79" s="52">
        <f t="shared" si="104"/>
        <v>53.333333333333336</v>
      </c>
      <c r="T79" s="3"/>
      <c r="U79" s="51">
        <f t="shared" si="105"/>
        <v>25</v>
      </c>
      <c r="V79" s="52">
        <f t="shared" si="106"/>
        <v>64.102564102564102</v>
      </c>
      <c r="W79" s="53">
        <f>COUNTIFS('00 Encuesta'!$B$2:$B$511,"*b)*",'00 Encuesta'!$C$2:$C$511,"*c)*",'00 Encuesta'!$E$2:$E$511,"*a)*",'00 Encuesta'!$L$2:$L$511,"*b)*")</f>
        <v>17</v>
      </c>
      <c r="X79" s="52">
        <f t="shared" ref="X79:X88" si="119">W79/$X$6*100</f>
        <v>80.952380952380949</v>
      </c>
      <c r="Y79" s="53">
        <f>COUNTIFS('00 Encuesta'!$B$2:$B$511,"*b)*",'00 Encuesta'!$C$2:$C$511,"*c)*",'00 Encuesta'!$E$2:$E$511,"*b)*",'00 Encuesta'!$L$2:$L$511,"*b)*")</f>
        <v>8</v>
      </c>
      <c r="Z79" s="52">
        <f t="shared" si="107"/>
        <v>44.444444444444443</v>
      </c>
      <c r="AA79" s="3"/>
      <c r="AB79" s="62">
        <f t="shared" si="108"/>
        <v>58</v>
      </c>
      <c r="AC79" s="52">
        <f t="shared" si="109"/>
        <v>53.211009174311926</v>
      </c>
      <c r="AD79" s="7"/>
      <c r="AE79" s="7"/>
      <c r="AF79" s="9" t="str">
        <f t="shared" si="110"/>
        <v>b) Los amigos</v>
      </c>
      <c r="AG79" s="72">
        <f t="shared" si="111"/>
        <v>33.333333333333329</v>
      </c>
      <c r="AH79" s="72">
        <f t="shared" si="112"/>
        <v>41.17647058823529</v>
      </c>
      <c r="AI79" s="73">
        <f t="shared" si="113"/>
        <v>36.84210526315789</v>
      </c>
      <c r="AJ79" s="73"/>
      <c r="AK79" s="76">
        <f t="shared" si="114"/>
        <v>64.705882352941174</v>
      </c>
      <c r="AL79" s="76">
        <f t="shared" si="115"/>
        <v>53.333333333333336</v>
      </c>
      <c r="AM79" s="76">
        <f t="shared" si="116"/>
        <v>59.375</v>
      </c>
      <c r="AN79" s="76"/>
      <c r="AO79" s="81">
        <f t="shared" ref="AO79:AO89" si="120">X79</f>
        <v>80.952380952380949</v>
      </c>
      <c r="AP79" s="81">
        <f t="shared" si="117"/>
        <v>44.444444444444443</v>
      </c>
      <c r="AQ79" s="81">
        <f t="shared" si="118"/>
        <v>64.102564102564102</v>
      </c>
      <c r="AR79" s="7"/>
      <c r="AS79" s="76">
        <f t="shared" si="1"/>
        <v>53.211009174311926</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ht="15" x14ac:dyDescent="0.25">
      <c r="A80" s="8" t="s">
        <v>20</v>
      </c>
      <c r="B80" s="9" t="s">
        <v>82</v>
      </c>
      <c r="C80" s="7"/>
      <c r="D80" s="7"/>
      <c r="E80" s="7"/>
      <c r="F80" s="71"/>
      <c r="G80" s="51">
        <f t="shared" si="97"/>
        <v>5</v>
      </c>
      <c r="H80" s="52">
        <f t="shared" si="98"/>
        <v>13.157894736842104</v>
      </c>
      <c r="I80" s="53">
        <f>COUNTIFS('00 Encuesta'!$B$2:$B$511,"*b)*",'00 Encuesta'!$C$2:$C$511,"*a)*",'00 Encuesta'!$E$2:$E$511,"*a)*",'00 Encuesta'!$L$2:$L$511,"*c)*")</f>
        <v>4</v>
      </c>
      <c r="J80" s="52">
        <f t="shared" si="99"/>
        <v>19.047619047619047</v>
      </c>
      <c r="K80" s="53">
        <f>COUNTIFS('00 Encuesta'!$B$2:$B$511,"*b)*",'00 Encuesta'!$C$2:$C$511,"*a)*",'00 Encuesta'!$E$2:$E$511,"*b)*",'00 Encuesta'!$L$2:$L$511,"*c)*")</f>
        <v>1</v>
      </c>
      <c r="L80" s="52">
        <f t="shared" si="100"/>
        <v>5.8823529411764701</v>
      </c>
      <c r="M80" s="23"/>
      <c r="N80" s="51">
        <f t="shared" si="101"/>
        <v>11</v>
      </c>
      <c r="O80" s="52">
        <f t="shared" si="102"/>
        <v>34.375</v>
      </c>
      <c r="P80" s="53">
        <f>COUNTIFS('00 Encuesta'!$B$2:$B$511,"*b)*",'00 Encuesta'!$C$2:$C$511,"*b)*",'00 Encuesta'!$E$2:$E$511,"*a)*",'00 Encuesta'!$L$2:$L$511,"*c)*")</f>
        <v>6</v>
      </c>
      <c r="Q80" s="52">
        <f t="shared" si="103"/>
        <v>35.294117647058826</v>
      </c>
      <c r="R80" s="53">
        <f>COUNTIFS('00 Encuesta'!$B$2:$B$511,"*b)*",'00 Encuesta'!$C$2:$C$511,"*b)*",'00 Encuesta'!$E$2:$E$511,"*b)*",'00 Encuesta'!$L$2:$L$511,"*c)*")</f>
        <v>5</v>
      </c>
      <c r="S80" s="52">
        <f t="shared" si="104"/>
        <v>33.333333333333329</v>
      </c>
      <c r="T80" s="3"/>
      <c r="U80" s="51">
        <f t="shared" si="105"/>
        <v>14</v>
      </c>
      <c r="V80" s="52">
        <f t="shared" si="106"/>
        <v>35.897435897435898</v>
      </c>
      <c r="W80" s="53">
        <f>COUNTIFS('00 Encuesta'!$B$2:$B$511,"*b)*",'00 Encuesta'!$C$2:$C$511,"*c)*",'00 Encuesta'!$E$2:$E$511,"*a)*",'00 Encuesta'!$L$2:$L$511,"*c)*")</f>
        <v>5</v>
      </c>
      <c r="X80" s="52">
        <f t="shared" si="119"/>
        <v>23.809523809523807</v>
      </c>
      <c r="Y80" s="53">
        <f>COUNTIFS('00 Encuesta'!$B$2:$B$511,"*b)*",'00 Encuesta'!$C$2:$C$511,"*c)*",'00 Encuesta'!$E$2:$E$511,"*b)*",'00 Encuesta'!$L$2:$L$511,"*c)*")</f>
        <v>9</v>
      </c>
      <c r="Z80" s="52">
        <f t="shared" si="107"/>
        <v>50</v>
      </c>
      <c r="AA80" s="3"/>
      <c r="AB80" s="62">
        <f t="shared" si="108"/>
        <v>30</v>
      </c>
      <c r="AC80" s="52">
        <f t="shared" si="109"/>
        <v>27.522935779816514</v>
      </c>
      <c r="AD80" s="7"/>
      <c r="AE80" s="7"/>
      <c r="AF80" s="9" t="str">
        <f t="shared" si="110"/>
        <v>c) Los estudios</v>
      </c>
      <c r="AG80" s="72">
        <f t="shared" si="111"/>
        <v>19.047619047619047</v>
      </c>
      <c r="AH80" s="72">
        <f t="shared" si="112"/>
        <v>5.8823529411764701</v>
      </c>
      <c r="AI80" s="73">
        <f t="shared" si="113"/>
        <v>13.157894736842104</v>
      </c>
      <c r="AJ80" s="73"/>
      <c r="AK80" s="76">
        <f t="shared" si="114"/>
        <v>35.294117647058826</v>
      </c>
      <c r="AL80" s="76">
        <f t="shared" si="115"/>
        <v>33.333333333333329</v>
      </c>
      <c r="AM80" s="76">
        <f t="shared" si="116"/>
        <v>34.375</v>
      </c>
      <c r="AN80" s="76"/>
      <c r="AO80" s="81">
        <f t="shared" si="120"/>
        <v>23.809523809523807</v>
      </c>
      <c r="AP80" s="81">
        <f t="shared" si="117"/>
        <v>50</v>
      </c>
      <c r="AQ80" s="81">
        <f t="shared" si="118"/>
        <v>35.897435897435898</v>
      </c>
      <c r="AR80" s="7"/>
      <c r="AS80" s="76">
        <f t="shared" ref="AS80:AS141" si="121">AC80</f>
        <v>27.522935779816514</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ht="15" x14ac:dyDescent="0.25">
      <c r="A81" s="8" t="s">
        <v>21</v>
      </c>
      <c r="B81" s="9" t="s">
        <v>83</v>
      </c>
      <c r="C81" s="7"/>
      <c r="D81" s="7"/>
      <c r="E81" s="7"/>
      <c r="F81" s="71"/>
      <c r="G81" s="51">
        <f t="shared" si="97"/>
        <v>4</v>
      </c>
      <c r="H81" s="52">
        <f t="shared" si="98"/>
        <v>10.526315789473683</v>
      </c>
      <c r="I81" s="53">
        <f>COUNTIFS('00 Encuesta'!$B$2:$B$511,"*b)*",'00 Encuesta'!$C$2:$C$511,"*a)*",'00 Encuesta'!$E$2:$E$511,"*a)*",'00 Encuesta'!$L$2:$L$511,"*d)*")</f>
        <v>1</v>
      </c>
      <c r="J81" s="52">
        <f t="shared" si="99"/>
        <v>4.7619047619047619</v>
      </c>
      <c r="K81" s="53">
        <f>COUNTIFS('00 Encuesta'!$B$2:$B$511,"*b)*",'00 Encuesta'!$C$2:$C$511,"*a)*",'00 Encuesta'!$E$2:$E$511,"*b)*",'00 Encuesta'!$L$2:$L$511,"*d)*")</f>
        <v>3</v>
      </c>
      <c r="L81" s="52">
        <f t="shared" si="100"/>
        <v>17.647058823529413</v>
      </c>
      <c r="M81" s="23"/>
      <c r="N81" s="51">
        <f t="shared" si="101"/>
        <v>1</v>
      </c>
      <c r="O81" s="52">
        <f t="shared" si="102"/>
        <v>3.125</v>
      </c>
      <c r="P81" s="53">
        <f>COUNTIFS('00 Encuesta'!$B$2:$B$511,"*b)*",'00 Encuesta'!$C$2:$C$511,"*b)*",'00 Encuesta'!$E$2:$E$511,"*a)*",'00 Encuesta'!$L$2:$L$511,"*d)*")</f>
        <v>1</v>
      </c>
      <c r="Q81" s="52">
        <f t="shared" si="103"/>
        <v>5.8823529411764701</v>
      </c>
      <c r="R81" s="53">
        <f>COUNTIFS('00 Encuesta'!$B$2:$B$511,"*b)*",'00 Encuesta'!$C$2:$C$511,"*b)*",'00 Encuesta'!$E$2:$E$511,"*b)*",'00 Encuesta'!$L$2:$L$511,"*d)*")</f>
        <v>0</v>
      </c>
      <c r="S81" s="52">
        <f t="shared" si="104"/>
        <v>0</v>
      </c>
      <c r="T81" s="3"/>
      <c r="U81" s="51">
        <f t="shared" si="105"/>
        <v>3</v>
      </c>
      <c r="V81" s="52">
        <f t="shared" si="106"/>
        <v>7.6923076923076925</v>
      </c>
      <c r="W81" s="53">
        <f>COUNTIFS('00 Encuesta'!$B$2:$B$511,"*b)*",'00 Encuesta'!$C$2:$C$511,"*c)*",'00 Encuesta'!$E$2:$E$511,"*a)*",'00 Encuesta'!$L$2:$L$511,"*d)*")</f>
        <v>1</v>
      </c>
      <c r="X81" s="52">
        <f t="shared" si="119"/>
        <v>4.7619047619047619</v>
      </c>
      <c r="Y81" s="53">
        <f>COUNTIFS('00 Encuesta'!$B$2:$B$511,"*b)*",'00 Encuesta'!$C$2:$C$511,"*c)*",'00 Encuesta'!$E$2:$E$511,"*b)*",'00 Encuesta'!$L$2:$L$511,"*d)*")</f>
        <v>2</v>
      </c>
      <c r="Z81" s="52">
        <f t="shared" si="107"/>
        <v>11.111111111111111</v>
      </c>
      <c r="AA81" s="3"/>
      <c r="AB81" s="62">
        <f t="shared" si="108"/>
        <v>8</v>
      </c>
      <c r="AC81" s="52">
        <f t="shared" si="109"/>
        <v>7.3394495412844041</v>
      </c>
      <c r="AD81" s="7"/>
      <c r="AE81" s="7"/>
      <c r="AF81" s="9" t="str">
        <f t="shared" si="110"/>
        <v>d) El cuidado de mi cuerpo</v>
      </c>
      <c r="AG81" s="72">
        <f t="shared" si="111"/>
        <v>4.7619047619047619</v>
      </c>
      <c r="AH81" s="72">
        <f t="shared" si="112"/>
        <v>17.647058823529413</v>
      </c>
      <c r="AI81" s="73">
        <f t="shared" si="113"/>
        <v>10.526315789473683</v>
      </c>
      <c r="AJ81" s="73"/>
      <c r="AK81" s="76">
        <f t="shared" si="114"/>
        <v>5.8823529411764701</v>
      </c>
      <c r="AL81" s="76">
        <f t="shared" si="115"/>
        <v>0</v>
      </c>
      <c r="AM81" s="76">
        <f t="shared" si="116"/>
        <v>3.125</v>
      </c>
      <c r="AN81" s="76"/>
      <c r="AO81" s="81">
        <f t="shared" si="120"/>
        <v>4.7619047619047619</v>
      </c>
      <c r="AP81" s="81">
        <f t="shared" si="117"/>
        <v>11.111111111111111</v>
      </c>
      <c r="AQ81" s="81">
        <f t="shared" si="118"/>
        <v>7.6923076923076925</v>
      </c>
      <c r="AR81" s="7"/>
      <c r="AS81" s="76">
        <f t="shared" si="121"/>
        <v>7.3394495412844041</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ht="15" x14ac:dyDescent="0.25">
      <c r="A82" s="8" t="s">
        <v>22</v>
      </c>
      <c r="B82" s="9" t="s">
        <v>84</v>
      </c>
      <c r="C82" s="7"/>
      <c r="D82" s="7"/>
      <c r="E82" s="56"/>
      <c r="F82" s="71"/>
      <c r="G82" s="51">
        <f t="shared" si="97"/>
        <v>3</v>
      </c>
      <c r="H82" s="52">
        <f t="shared" si="98"/>
        <v>7.8947368421052628</v>
      </c>
      <c r="I82" s="53">
        <f>COUNTIFS('00 Encuesta'!$B$2:$B$511,"*b)*",'00 Encuesta'!$C$2:$C$511,"*a)*",'00 Encuesta'!$E$2:$E$511,"*a)*",'00 Encuesta'!$L$2:$L$511,"*e)*")</f>
        <v>1</v>
      </c>
      <c r="J82" s="52">
        <f t="shared" si="99"/>
        <v>4.7619047619047619</v>
      </c>
      <c r="K82" s="53">
        <f>COUNTIFS('00 Encuesta'!$B$2:$B$511,"*b)*",'00 Encuesta'!$C$2:$C$511,"*a)*",'00 Encuesta'!$E$2:$E$511,"*b)*",'00 Encuesta'!$L$2:$L$511,"*e)*")</f>
        <v>2</v>
      </c>
      <c r="L82" s="52">
        <f t="shared" si="100"/>
        <v>11.76470588235294</v>
      </c>
      <c r="M82" s="23"/>
      <c r="N82" s="51">
        <f t="shared" si="101"/>
        <v>0</v>
      </c>
      <c r="O82" s="52">
        <f t="shared" si="102"/>
        <v>0</v>
      </c>
      <c r="P82" s="53">
        <f>COUNTIFS('00 Encuesta'!$B$2:$B$511,"*b)*",'00 Encuesta'!$C$2:$C$511,"*b)*",'00 Encuesta'!$E$2:$E$511,"*a)*",'00 Encuesta'!$L$2:$L$511,"*e)*")</f>
        <v>0</v>
      </c>
      <c r="Q82" s="52">
        <f t="shared" si="103"/>
        <v>0</v>
      </c>
      <c r="R82" s="53">
        <f>COUNTIFS('00 Encuesta'!$B$2:$B$511,"*b)*",'00 Encuesta'!$C$2:$C$511,"*b)*",'00 Encuesta'!$E$2:$E$511,"*b)*",'00 Encuesta'!$L$2:$L$511,"*e)*")</f>
        <v>0</v>
      </c>
      <c r="S82" s="52">
        <f t="shared" si="104"/>
        <v>0</v>
      </c>
      <c r="T82" s="3"/>
      <c r="U82" s="51">
        <f t="shared" si="105"/>
        <v>6</v>
      </c>
      <c r="V82" s="52">
        <f t="shared" si="106"/>
        <v>15.384615384615385</v>
      </c>
      <c r="W82" s="53">
        <f>COUNTIFS('00 Encuesta'!$B$2:$B$511,"*b)*",'00 Encuesta'!$C$2:$C$511,"*c)*",'00 Encuesta'!$E$2:$E$511,"*a)*",'00 Encuesta'!$L$2:$L$511,"*e)*")</f>
        <v>3</v>
      </c>
      <c r="X82" s="52">
        <f t="shared" si="119"/>
        <v>14.285714285714285</v>
      </c>
      <c r="Y82" s="53">
        <f>COUNTIFS('00 Encuesta'!$B$2:$B$511,"*b)*",'00 Encuesta'!$C$2:$C$511,"*c)*",'00 Encuesta'!$E$2:$E$511,"*b)*",'00 Encuesta'!$L$2:$L$511,"*e)*")</f>
        <v>3</v>
      </c>
      <c r="Z82" s="52">
        <f t="shared" si="107"/>
        <v>16.666666666666664</v>
      </c>
      <c r="AA82" s="3"/>
      <c r="AB82" s="62">
        <f t="shared" si="108"/>
        <v>9</v>
      </c>
      <c r="AC82" s="52">
        <f t="shared" si="109"/>
        <v>8.2568807339449535</v>
      </c>
      <c r="AD82" s="7"/>
      <c r="AE82" s="7"/>
      <c r="AF82" s="9" t="str">
        <f t="shared" si="110"/>
        <v>e) Disponer de dinero</v>
      </c>
      <c r="AG82" s="72">
        <f t="shared" si="111"/>
        <v>4.7619047619047619</v>
      </c>
      <c r="AH82" s="72">
        <f t="shared" si="112"/>
        <v>11.76470588235294</v>
      </c>
      <c r="AI82" s="73">
        <f t="shared" si="113"/>
        <v>7.8947368421052628</v>
      </c>
      <c r="AJ82" s="73"/>
      <c r="AK82" s="76">
        <f t="shared" si="114"/>
        <v>0</v>
      </c>
      <c r="AL82" s="76">
        <f t="shared" si="115"/>
        <v>0</v>
      </c>
      <c r="AM82" s="76">
        <f t="shared" si="116"/>
        <v>0</v>
      </c>
      <c r="AN82" s="76"/>
      <c r="AO82" s="81">
        <f t="shared" si="120"/>
        <v>14.285714285714285</v>
      </c>
      <c r="AP82" s="81">
        <f t="shared" si="117"/>
        <v>16.666666666666664</v>
      </c>
      <c r="AQ82" s="81">
        <f t="shared" si="118"/>
        <v>15.384615384615385</v>
      </c>
      <c r="AR82" s="7"/>
      <c r="AS82" s="76">
        <f t="shared" si="121"/>
        <v>8.2568807339449535</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ht="15" x14ac:dyDescent="0.25">
      <c r="A83" s="8" t="s">
        <v>45</v>
      </c>
      <c r="B83" s="9" t="s">
        <v>85</v>
      </c>
      <c r="C83" s="7"/>
      <c r="D83" s="7"/>
      <c r="E83" s="7"/>
      <c r="F83" s="71"/>
      <c r="G83" s="51">
        <f t="shared" si="97"/>
        <v>5</v>
      </c>
      <c r="H83" s="52">
        <f t="shared" si="98"/>
        <v>13.157894736842104</v>
      </c>
      <c r="I83" s="53">
        <f>COUNTIFS('00 Encuesta'!$B$2:$B$511,"*b)*",'00 Encuesta'!$C$2:$C$511,"*a)*",'00 Encuesta'!$E$2:$E$511,"*a)*",'00 Encuesta'!$L$2:$L$511,"*f)*")</f>
        <v>3</v>
      </c>
      <c r="J83" s="52">
        <f t="shared" si="99"/>
        <v>14.285714285714285</v>
      </c>
      <c r="K83" s="53">
        <f>COUNTIFS('00 Encuesta'!$B$2:$B$511,"*b)*",'00 Encuesta'!$C$2:$C$511,"*a)*",'00 Encuesta'!$E$2:$E$511,"*b)*",'00 Encuesta'!$L$2:$L$511,"*f)*")</f>
        <v>2</v>
      </c>
      <c r="L83" s="52">
        <f t="shared" si="100"/>
        <v>11.76470588235294</v>
      </c>
      <c r="M83" s="23"/>
      <c r="N83" s="51">
        <f t="shared" si="101"/>
        <v>5</v>
      </c>
      <c r="O83" s="52">
        <f t="shared" si="102"/>
        <v>15.625</v>
      </c>
      <c r="P83" s="53">
        <f>COUNTIFS('00 Encuesta'!$B$2:$B$511,"*b)*",'00 Encuesta'!$C$2:$C$511,"*b)*",'00 Encuesta'!$E$2:$E$511,"*a)*",'00 Encuesta'!$L$2:$L$511,"*f)*")</f>
        <v>1</v>
      </c>
      <c r="Q83" s="52">
        <f t="shared" si="103"/>
        <v>5.8823529411764701</v>
      </c>
      <c r="R83" s="53">
        <f>COUNTIFS('00 Encuesta'!$B$2:$B$511,"*b)*",'00 Encuesta'!$C$2:$C$511,"*b)*",'00 Encuesta'!$E$2:$E$511,"*b)*",'00 Encuesta'!$L$2:$L$511,"*f)*")</f>
        <v>4</v>
      </c>
      <c r="S83" s="52">
        <f t="shared" si="104"/>
        <v>26.666666666666668</v>
      </c>
      <c r="T83" s="3"/>
      <c r="U83" s="51">
        <f t="shared" si="105"/>
        <v>5</v>
      </c>
      <c r="V83" s="52">
        <f t="shared" si="106"/>
        <v>12.820512820512819</v>
      </c>
      <c r="W83" s="53">
        <f>COUNTIFS('00 Encuesta'!$B$2:$B$511,"*b)*",'00 Encuesta'!$C$2:$C$511,"*c)*",'00 Encuesta'!$E$2:$E$511,"*a)*",'00 Encuesta'!$L$2:$L$511,"*f)*")</f>
        <v>3</v>
      </c>
      <c r="X83" s="52">
        <f t="shared" si="119"/>
        <v>14.285714285714285</v>
      </c>
      <c r="Y83" s="53">
        <f>COUNTIFS('00 Encuesta'!$B$2:$B$511,"*b)*",'00 Encuesta'!$C$2:$C$511,"*c)*",'00 Encuesta'!$E$2:$E$511,"*b)*",'00 Encuesta'!$L$2:$L$511,"*f)*")</f>
        <v>2</v>
      </c>
      <c r="Z83" s="52">
        <f t="shared" si="107"/>
        <v>11.111111111111111</v>
      </c>
      <c r="AA83" s="3"/>
      <c r="AB83" s="62">
        <f t="shared" si="108"/>
        <v>15</v>
      </c>
      <c r="AC83" s="52">
        <f t="shared" si="109"/>
        <v>13.761467889908257</v>
      </c>
      <c r="AD83" s="7"/>
      <c r="AE83" s="7"/>
      <c r="AF83" s="9" t="str">
        <f t="shared" si="110"/>
        <v>f) Mi fe y vida cristiana</v>
      </c>
      <c r="AG83" s="72">
        <f t="shared" si="111"/>
        <v>14.285714285714285</v>
      </c>
      <c r="AH83" s="72">
        <f t="shared" si="112"/>
        <v>11.76470588235294</v>
      </c>
      <c r="AI83" s="73">
        <f t="shared" si="113"/>
        <v>13.157894736842104</v>
      </c>
      <c r="AJ83" s="73"/>
      <c r="AK83" s="76">
        <f t="shared" si="114"/>
        <v>5.8823529411764701</v>
      </c>
      <c r="AL83" s="76">
        <f t="shared" si="115"/>
        <v>26.666666666666668</v>
      </c>
      <c r="AM83" s="76">
        <f t="shared" si="116"/>
        <v>15.625</v>
      </c>
      <c r="AN83" s="76"/>
      <c r="AO83" s="81">
        <f t="shared" si="120"/>
        <v>14.285714285714285</v>
      </c>
      <c r="AP83" s="81">
        <f t="shared" si="117"/>
        <v>11.111111111111111</v>
      </c>
      <c r="AQ83" s="81">
        <f t="shared" si="118"/>
        <v>12.820512820512819</v>
      </c>
      <c r="AR83" s="7"/>
      <c r="AS83" s="76">
        <f t="shared" si="121"/>
        <v>13.761467889908257</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ht="15" x14ac:dyDescent="0.25">
      <c r="A84" s="8" t="s">
        <v>61</v>
      </c>
      <c r="B84" s="9" t="s">
        <v>86</v>
      </c>
      <c r="C84" s="7"/>
      <c r="D84" s="7"/>
      <c r="E84" s="7"/>
      <c r="F84" s="71"/>
      <c r="G84" s="51">
        <f t="shared" si="97"/>
        <v>5</v>
      </c>
      <c r="H84" s="52">
        <f t="shared" si="98"/>
        <v>13.157894736842104</v>
      </c>
      <c r="I84" s="53">
        <f>COUNTIFS('00 Encuesta'!$B$2:$B$511,"*b)*",'00 Encuesta'!$C$2:$C$511,"*a)*",'00 Encuesta'!$E$2:$E$511,"*a)*",'00 Encuesta'!$L$2:$L$511,"*g)*")</f>
        <v>2</v>
      </c>
      <c r="J84" s="52">
        <f t="shared" si="99"/>
        <v>9.5238095238095237</v>
      </c>
      <c r="K84" s="53">
        <f>COUNTIFS('00 Encuesta'!$B$2:$B$511,"*b)*",'00 Encuesta'!$C$2:$C$511,"*a)*",'00 Encuesta'!$E$2:$E$511,"*b)*",'00 Encuesta'!$L$2:$L$511,"*g)*")</f>
        <v>3</v>
      </c>
      <c r="L84" s="52">
        <f t="shared" si="100"/>
        <v>17.647058823529413</v>
      </c>
      <c r="M84" s="23"/>
      <c r="N84" s="51">
        <f t="shared" si="101"/>
        <v>11</v>
      </c>
      <c r="O84" s="52">
        <f t="shared" si="102"/>
        <v>34.375</v>
      </c>
      <c r="P84" s="53">
        <f>COUNTIFS('00 Encuesta'!$B$2:$B$511,"*b)*",'00 Encuesta'!$C$2:$C$511,"*b)*",'00 Encuesta'!$E$2:$E$511,"*a)*",'00 Encuesta'!$L$2:$L$511,"*g)*")</f>
        <v>5</v>
      </c>
      <c r="Q84" s="52">
        <f t="shared" si="103"/>
        <v>29.411764705882355</v>
      </c>
      <c r="R84" s="53">
        <f>COUNTIFS('00 Encuesta'!$B$2:$B$511,"*b)*",'00 Encuesta'!$C$2:$C$511,"*b)*",'00 Encuesta'!$E$2:$E$511,"*b)*",'00 Encuesta'!$L$2:$L$511,"*g)*")</f>
        <v>6</v>
      </c>
      <c r="S84" s="52">
        <f t="shared" si="104"/>
        <v>40</v>
      </c>
      <c r="T84" s="3"/>
      <c r="U84" s="51">
        <f t="shared" si="105"/>
        <v>17</v>
      </c>
      <c r="V84" s="52">
        <f t="shared" si="106"/>
        <v>43.589743589743591</v>
      </c>
      <c r="W84" s="53">
        <f>COUNTIFS('00 Encuesta'!$B$2:$B$511,"*b)*",'00 Encuesta'!$C$2:$C$511,"*c)*",'00 Encuesta'!$E$2:$E$511,"*a)*",'00 Encuesta'!$L$2:$L$511,"*g)*")</f>
        <v>7</v>
      </c>
      <c r="X84" s="52">
        <f t="shared" si="119"/>
        <v>33.333333333333329</v>
      </c>
      <c r="Y84" s="53">
        <f>COUNTIFS('00 Encuesta'!$B$2:$B$511,"*b)*",'00 Encuesta'!$C$2:$C$511,"*c)*",'00 Encuesta'!$E$2:$E$511,"*b)*",'00 Encuesta'!$L$2:$L$511,"*g)*")</f>
        <v>10</v>
      </c>
      <c r="Z84" s="52">
        <f t="shared" si="107"/>
        <v>55.555555555555557</v>
      </c>
      <c r="AA84" s="3"/>
      <c r="AB84" s="62">
        <f t="shared" si="108"/>
        <v>33</v>
      </c>
      <c r="AC84" s="52">
        <f t="shared" si="109"/>
        <v>30.275229357798164</v>
      </c>
      <c r="AD84" s="7"/>
      <c r="AE84" s="7"/>
      <c r="AF84" s="9" t="str">
        <f t="shared" si="110"/>
        <v>g) La felicidad</v>
      </c>
      <c r="AG84" s="72">
        <f t="shared" si="111"/>
        <v>9.5238095238095237</v>
      </c>
      <c r="AH84" s="72">
        <f t="shared" si="112"/>
        <v>17.647058823529413</v>
      </c>
      <c r="AI84" s="73">
        <f t="shared" si="113"/>
        <v>13.157894736842104</v>
      </c>
      <c r="AJ84" s="73"/>
      <c r="AK84" s="76">
        <f t="shared" si="114"/>
        <v>29.411764705882355</v>
      </c>
      <c r="AL84" s="76">
        <f t="shared" si="115"/>
        <v>40</v>
      </c>
      <c r="AM84" s="76">
        <f t="shared" si="116"/>
        <v>34.375</v>
      </c>
      <c r="AN84" s="76"/>
      <c r="AO84" s="81">
        <f t="shared" si="120"/>
        <v>33.333333333333329</v>
      </c>
      <c r="AP84" s="81">
        <f t="shared" si="117"/>
        <v>55.555555555555557</v>
      </c>
      <c r="AQ84" s="81">
        <f t="shared" si="118"/>
        <v>43.589743589743591</v>
      </c>
      <c r="AR84" s="7"/>
      <c r="AS84" s="76">
        <f t="shared" si="121"/>
        <v>30.275229357798164</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ht="15" x14ac:dyDescent="0.25">
      <c r="A85" s="8" t="s">
        <v>63</v>
      </c>
      <c r="B85" s="9" t="s">
        <v>87</v>
      </c>
      <c r="C85" s="7"/>
      <c r="D85" s="7"/>
      <c r="E85" s="7"/>
      <c r="F85" s="71"/>
      <c r="G85" s="51">
        <f t="shared" si="97"/>
        <v>1</v>
      </c>
      <c r="H85" s="52">
        <f t="shared" si="98"/>
        <v>2.6315789473684208</v>
      </c>
      <c r="I85" s="53">
        <f>COUNTIFS('00 Encuesta'!$B$2:$B$511,"*b)*",'00 Encuesta'!$C$2:$C$511,"*a)*",'00 Encuesta'!$E$2:$E$511,"*a)*",'00 Encuesta'!$L$2:$L$511,"*h)*")</f>
        <v>1</v>
      </c>
      <c r="J85" s="52">
        <f t="shared" si="99"/>
        <v>4.7619047619047619</v>
      </c>
      <c r="K85" s="53">
        <f>COUNTIFS('00 Encuesta'!$B$2:$B$511,"*b)*",'00 Encuesta'!$C$2:$C$511,"*a)*",'00 Encuesta'!$E$2:$E$511,"*b)*",'00 Encuesta'!$L$2:$L$511,"*h)*")</f>
        <v>0</v>
      </c>
      <c r="L85" s="52">
        <f t="shared" si="100"/>
        <v>0</v>
      </c>
      <c r="M85" s="23"/>
      <c r="N85" s="51">
        <f t="shared" si="101"/>
        <v>1</v>
      </c>
      <c r="O85" s="52">
        <f t="shared" si="102"/>
        <v>3.125</v>
      </c>
      <c r="P85" s="53">
        <f>COUNTIFS('00 Encuesta'!$B$2:$B$511,"*b)*",'00 Encuesta'!$C$2:$C$511,"*b)*",'00 Encuesta'!$E$2:$E$511,"*a)*",'00 Encuesta'!$L$2:$L$511,"*h)*")</f>
        <v>1</v>
      </c>
      <c r="Q85" s="52">
        <f t="shared" si="103"/>
        <v>5.8823529411764701</v>
      </c>
      <c r="R85" s="53">
        <f>COUNTIFS('00 Encuesta'!$B$2:$B$511,"*b)*",'00 Encuesta'!$C$2:$C$511,"*b)*",'00 Encuesta'!$E$2:$E$511,"*b)*",'00 Encuesta'!$L$2:$L$511,"*h)*")</f>
        <v>0</v>
      </c>
      <c r="S85" s="52">
        <f t="shared" si="104"/>
        <v>0</v>
      </c>
      <c r="T85" s="3"/>
      <c r="U85" s="51">
        <f t="shared" si="105"/>
        <v>2</v>
      </c>
      <c r="V85" s="52">
        <f t="shared" si="106"/>
        <v>5.1282051282051277</v>
      </c>
      <c r="W85" s="53">
        <f>COUNTIFS('00 Encuesta'!$B$2:$B$511,"*b)*",'00 Encuesta'!$C$2:$C$511,"*c)*",'00 Encuesta'!$E$2:$E$511,"*a)*",'00 Encuesta'!$L$2:$L$511,"*h)*")</f>
        <v>2</v>
      </c>
      <c r="X85" s="52">
        <f t="shared" si="119"/>
        <v>9.5238095238095237</v>
      </c>
      <c r="Y85" s="53">
        <f>COUNTIFS('00 Encuesta'!$B$2:$B$511,"*b)*",'00 Encuesta'!$C$2:$C$511,"*c)*",'00 Encuesta'!$E$2:$E$511,"*b)*",'00 Encuesta'!$L$2:$L$511,"*h)*")</f>
        <v>0</v>
      </c>
      <c r="Z85" s="52">
        <f t="shared" si="107"/>
        <v>0</v>
      </c>
      <c r="AA85" s="3"/>
      <c r="AB85" s="62">
        <f t="shared" si="108"/>
        <v>4</v>
      </c>
      <c r="AC85" s="52">
        <f t="shared" si="109"/>
        <v>3.669724770642202</v>
      </c>
      <c r="AD85" s="7"/>
      <c r="AE85" s="7"/>
      <c r="AF85" s="9" t="str">
        <f t="shared" si="110"/>
        <v>h) La sexualidad</v>
      </c>
      <c r="AG85" s="72">
        <f t="shared" si="111"/>
        <v>4.7619047619047619</v>
      </c>
      <c r="AH85" s="72">
        <f t="shared" si="112"/>
        <v>0</v>
      </c>
      <c r="AI85" s="73">
        <f t="shared" si="113"/>
        <v>2.6315789473684208</v>
      </c>
      <c r="AJ85" s="73"/>
      <c r="AK85" s="76">
        <f t="shared" si="114"/>
        <v>5.8823529411764701</v>
      </c>
      <c r="AL85" s="76">
        <f t="shared" si="115"/>
        <v>0</v>
      </c>
      <c r="AM85" s="76">
        <f t="shared" si="116"/>
        <v>3.125</v>
      </c>
      <c r="AN85" s="76"/>
      <c r="AO85" s="81">
        <f t="shared" si="120"/>
        <v>9.5238095238095237</v>
      </c>
      <c r="AP85" s="81">
        <f t="shared" si="117"/>
        <v>0</v>
      </c>
      <c r="AQ85" s="81">
        <f t="shared" si="118"/>
        <v>5.1282051282051277</v>
      </c>
      <c r="AR85" s="7"/>
      <c r="AS85" s="76">
        <f t="shared" si="121"/>
        <v>3.669724770642202</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5</v>
      </c>
      <c r="H86" s="52">
        <f t="shared" si="98"/>
        <v>13.157894736842104</v>
      </c>
      <c r="I86" s="53">
        <f>COUNTIFS('00 Encuesta'!$B$2:$B$511,"*b)*",'00 Encuesta'!$C$2:$C$511,"*a)*",'00 Encuesta'!$E$2:$E$511,"*a)*",'00 Encuesta'!$L$2:$L$511,"*i)*")</f>
        <v>2</v>
      </c>
      <c r="J86" s="52">
        <f t="shared" si="99"/>
        <v>9.5238095238095237</v>
      </c>
      <c r="K86" s="53">
        <f>COUNTIFS('00 Encuesta'!$B$2:$B$511,"*b)*",'00 Encuesta'!$C$2:$C$511,"*a)*",'00 Encuesta'!$E$2:$E$511,"*b)*",'00 Encuesta'!$L$2:$L$511,"*i)*")</f>
        <v>3</v>
      </c>
      <c r="L86" s="52">
        <f t="shared" si="100"/>
        <v>17.647058823529413</v>
      </c>
      <c r="M86" s="23"/>
      <c r="N86" s="51">
        <f t="shared" si="101"/>
        <v>3</v>
      </c>
      <c r="O86" s="52">
        <f t="shared" si="102"/>
        <v>9.375</v>
      </c>
      <c r="P86" s="53">
        <f>COUNTIFS('00 Encuesta'!$B$2:$B$511,"*b)*",'00 Encuesta'!$C$2:$C$511,"*b)*",'00 Encuesta'!$E$2:$E$511,"*a)*",'00 Encuesta'!$L$2:$L$511,"*i)*")</f>
        <v>2</v>
      </c>
      <c r="Q86" s="52">
        <f t="shared" si="103"/>
        <v>11.76470588235294</v>
      </c>
      <c r="R86" s="53">
        <f>COUNTIFS('00 Encuesta'!$B$2:$B$511,"*b)*",'00 Encuesta'!$C$2:$C$511,"*b)*",'00 Encuesta'!$E$2:$E$511,"*b)*",'00 Encuesta'!$L$2:$L$511,"*i)*")</f>
        <v>1</v>
      </c>
      <c r="S86" s="52">
        <f t="shared" si="104"/>
        <v>6.666666666666667</v>
      </c>
      <c r="T86" s="3"/>
      <c r="U86" s="51">
        <f t="shared" si="105"/>
        <v>2</v>
      </c>
      <c r="V86" s="52">
        <f t="shared" si="106"/>
        <v>5.1282051282051277</v>
      </c>
      <c r="W86" s="53">
        <f>COUNTIFS('00 Encuesta'!$B$2:$B$511,"*b)*",'00 Encuesta'!$C$2:$C$511,"*c)*",'00 Encuesta'!$E$2:$E$511,"*a)*",'00 Encuesta'!$L$2:$L$511,"*i)*")</f>
        <v>1</v>
      </c>
      <c r="X86" s="52">
        <f t="shared" si="119"/>
        <v>4.7619047619047619</v>
      </c>
      <c r="Y86" s="53">
        <f>COUNTIFS('00 Encuesta'!$B$2:$B$511,"*b)*",'00 Encuesta'!$C$2:$C$511,"*c)*",'00 Encuesta'!$E$2:$E$511,"*b)*",'00 Encuesta'!$L$2:$L$511,"*i)*")</f>
        <v>1</v>
      </c>
      <c r="Z86" s="52">
        <f t="shared" si="107"/>
        <v>5.5555555555555554</v>
      </c>
      <c r="AA86" s="3"/>
      <c r="AB86" s="62">
        <f t="shared" si="108"/>
        <v>10</v>
      </c>
      <c r="AC86" s="52">
        <f t="shared" si="109"/>
        <v>9.1743119266055047</v>
      </c>
      <c r="AD86" s="7"/>
      <c r="AE86" s="7"/>
      <c r="AF86" s="9" t="str">
        <f t="shared" si="110"/>
        <v>i) La música</v>
      </c>
      <c r="AG86" s="72">
        <f t="shared" si="111"/>
        <v>9.5238095238095237</v>
      </c>
      <c r="AH86" s="72">
        <f t="shared" si="112"/>
        <v>17.647058823529413</v>
      </c>
      <c r="AI86" s="73">
        <f t="shared" si="113"/>
        <v>13.157894736842104</v>
      </c>
      <c r="AJ86" s="73"/>
      <c r="AK86" s="76">
        <f t="shared" si="114"/>
        <v>11.76470588235294</v>
      </c>
      <c r="AL86" s="76">
        <f t="shared" si="115"/>
        <v>6.666666666666667</v>
      </c>
      <c r="AM86" s="76">
        <f t="shared" si="116"/>
        <v>9.375</v>
      </c>
      <c r="AN86" s="76"/>
      <c r="AO86" s="81">
        <f t="shared" si="120"/>
        <v>4.7619047619047619</v>
      </c>
      <c r="AP86" s="81">
        <f t="shared" si="117"/>
        <v>5.5555555555555554</v>
      </c>
      <c r="AQ86" s="81">
        <f t="shared" si="118"/>
        <v>5.1282051282051277</v>
      </c>
      <c r="AR86" s="7"/>
      <c r="AS86" s="76">
        <f t="shared" si="121"/>
        <v>9.1743119266055047</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ht="15.75" x14ac:dyDescent="0.3">
      <c r="A87" s="1" t="s">
        <v>67</v>
      </c>
      <c r="B87" s="2" t="s">
        <v>89</v>
      </c>
      <c r="C87" s="3"/>
      <c r="D87" s="7"/>
      <c r="E87" s="7"/>
      <c r="F87" s="71"/>
      <c r="G87" s="51">
        <f t="shared" si="97"/>
        <v>18</v>
      </c>
      <c r="H87" s="52">
        <f t="shared" si="98"/>
        <v>47.368421052631575</v>
      </c>
      <c r="I87" s="53">
        <f>COUNTIFS('00 Encuesta'!$B$2:$B$511,"*b)*",'00 Encuesta'!$C$2:$C$511,"*a)*",'00 Encuesta'!$E$2:$E$511,"*a)*",'00 Encuesta'!$L$2:$L$511,"*j)*")</f>
        <v>15</v>
      </c>
      <c r="J87" s="52">
        <f t="shared" si="99"/>
        <v>71.428571428571431</v>
      </c>
      <c r="K87" s="53">
        <f>COUNTIFS('00 Encuesta'!$B$2:$B$511,"*b)*",'00 Encuesta'!$C$2:$C$511,"*a)*",'00 Encuesta'!$E$2:$E$511,"*b)*",'00 Encuesta'!$L$2:$L$511,"*j)*")</f>
        <v>3</v>
      </c>
      <c r="L87" s="52">
        <f t="shared" si="100"/>
        <v>17.647058823529413</v>
      </c>
      <c r="M87" s="23"/>
      <c r="N87" s="51">
        <f t="shared" si="101"/>
        <v>5</v>
      </c>
      <c r="O87" s="52">
        <f t="shared" si="102"/>
        <v>15.625</v>
      </c>
      <c r="P87" s="53">
        <f>COUNTIFS('00 Encuesta'!$B$2:$B$511,"*b)*",'00 Encuesta'!$C$2:$C$511,"*b)*",'00 Encuesta'!$E$2:$E$511,"*a)*",'00 Encuesta'!$L$2:$L$511,"*j)*")</f>
        <v>5</v>
      </c>
      <c r="Q87" s="52">
        <f t="shared" si="103"/>
        <v>29.411764705882355</v>
      </c>
      <c r="R87" s="53">
        <f>COUNTIFS('00 Encuesta'!$B$2:$B$511,"*b)*",'00 Encuesta'!$C$2:$C$511,"*b)*",'00 Encuesta'!$E$2:$E$511,"*b)*",'00 Encuesta'!$L$2:$L$511,"*j)*")</f>
        <v>0</v>
      </c>
      <c r="S87" s="52">
        <f t="shared" si="104"/>
        <v>0</v>
      </c>
      <c r="T87" s="3"/>
      <c r="U87" s="51">
        <f t="shared" si="105"/>
        <v>7</v>
      </c>
      <c r="V87" s="52">
        <f t="shared" si="106"/>
        <v>17.948717948717949</v>
      </c>
      <c r="W87" s="53">
        <f>COUNTIFS('00 Encuesta'!$B$2:$B$511,"*b)*",'00 Encuesta'!$C$2:$C$511,"*c)*",'00 Encuesta'!$E$2:$E$511,"*a)*",'00 Encuesta'!$L$2:$L$511,"*j)*")</f>
        <v>7</v>
      </c>
      <c r="X87" s="52">
        <f t="shared" si="119"/>
        <v>33.333333333333329</v>
      </c>
      <c r="Y87" s="53">
        <f>COUNTIFS('00 Encuesta'!$B$2:$B$511,"*b)*",'00 Encuesta'!$C$2:$C$511,"*c)*",'00 Encuesta'!$E$2:$E$511,"*b)*",'00 Encuesta'!$L$2:$L$511,"*j)*")</f>
        <v>0</v>
      </c>
      <c r="Z87" s="52">
        <f t="shared" si="107"/>
        <v>0</v>
      </c>
      <c r="AA87" s="3"/>
      <c r="AB87" s="62">
        <f t="shared" si="108"/>
        <v>30</v>
      </c>
      <c r="AC87" s="52">
        <f t="shared" si="109"/>
        <v>27.522935779816514</v>
      </c>
      <c r="AD87" s="7"/>
      <c r="AE87" s="7"/>
      <c r="AF87" s="9" t="str">
        <f t="shared" si="110"/>
        <v>j) El deporte</v>
      </c>
      <c r="AG87" s="72">
        <f t="shared" si="111"/>
        <v>71.428571428571431</v>
      </c>
      <c r="AH87" s="72">
        <f t="shared" si="112"/>
        <v>17.647058823529413</v>
      </c>
      <c r="AI87" s="73">
        <f t="shared" si="113"/>
        <v>47.368421052631575</v>
      </c>
      <c r="AJ87" s="73"/>
      <c r="AK87" s="76">
        <f t="shared" si="114"/>
        <v>29.411764705882355</v>
      </c>
      <c r="AL87" s="76">
        <f t="shared" si="115"/>
        <v>0</v>
      </c>
      <c r="AM87" s="76">
        <f t="shared" si="116"/>
        <v>15.625</v>
      </c>
      <c r="AN87" s="76"/>
      <c r="AO87" s="81">
        <f t="shared" si="120"/>
        <v>33.333333333333329</v>
      </c>
      <c r="AP87" s="81">
        <f t="shared" si="117"/>
        <v>0</v>
      </c>
      <c r="AQ87" s="81">
        <f t="shared" si="118"/>
        <v>17.948717948717949</v>
      </c>
      <c r="AR87" s="7"/>
      <c r="AS87" s="76">
        <f t="shared" si="121"/>
        <v>27.522935779816514</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ht="15.75" x14ac:dyDescent="0.3">
      <c r="A88" s="1" t="s">
        <v>69</v>
      </c>
      <c r="B88" s="2" t="s">
        <v>90</v>
      </c>
      <c r="C88" s="3"/>
      <c r="D88" s="7"/>
      <c r="E88" s="7"/>
      <c r="F88" s="71"/>
      <c r="G88" s="51">
        <f t="shared" si="97"/>
        <v>2</v>
      </c>
      <c r="H88" s="52">
        <f t="shared" si="98"/>
        <v>5.2631578947368416</v>
      </c>
      <c r="I88" s="53">
        <f>COUNTIFS('00 Encuesta'!$B$2:$B$511,"*b)*",'00 Encuesta'!$C$2:$C$511,"*a)*",'00 Encuesta'!$E$2:$E$511,"*a)*",'00 Encuesta'!$L$2:$L$511,"*k)*")</f>
        <v>2</v>
      </c>
      <c r="J88" s="52">
        <f t="shared" si="99"/>
        <v>9.5238095238095237</v>
      </c>
      <c r="K88" s="53">
        <f>COUNTIFS('00 Encuesta'!$B$2:$B$511,"*b)*",'00 Encuesta'!$C$2:$C$511,"*a)*",'00 Encuesta'!$E$2:$E$511,"*b)*",'00 Encuesta'!$L$2:$L$511,"*k)*")</f>
        <v>0</v>
      </c>
      <c r="L88" s="52">
        <f t="shared" si="100"/>
        <v>0</v>
      </c>
      <c r="M88" s="23"/>
      <c r="N88" s="51">
        <f t="shared" si="101"/>
        <v>1</v>
      </c>
      <c r="O88" s="52">
        <f t="shared" si="102"/>
        <v>3.125</v>
      </c>
      <c r="P88" s="53">
        <f>COUNTIFS('00 Encuesta'!$B$2:$B$511,"*b)*",'00 Encuesta'!$C$2:$C$511,"*b)*",'00 Encuesta'!$E$2:$E$511,"*a)*",'00 Encuesta'!$L$2:$L$511,"*k)*")</f>
        <v>0</v>
      </c>
      <c r="Q88" s="52">
        <f t="shared" si="103"/>
        <v>0</v>
      </c>
      <c r="R88" s="53">
        <f>COUNTIFS('00 Encuesta'!$B$2:$B$511,"*b)*",'00 Encuesta'!$C$2:$C$511,"*b)*",'00 Encuesta'!$E$2:$E$511,"*b)*",'00 Encuesta'!$L$2:$L$511,"*k)*")</f>
        <v>1</v>
      </c>
      <c r="S88" s="52">
        <f t="shared" si="104"/>
        <v>6.666666666666667</v>
      </c>
      <c r="T88" s="3"/>
      <c r="U88" s="51">
        <f t="shared" si="105"/>
        <v>3</v>
      </c>
      <c r="V88" s="52">
        <f t="shared" si="106"/>
        <v>7.6923076923076925</v>
      </c>
      <c r="W88" s="53">
        <f>COUNTIFS('00 Encuesta'!$B$2:$B$511,"*b)*",'00 Encuesta'!$C$2:$C$511,"*c)*",'00 Encuesta'!$E$2:$E$511,"*a)*",'00 Encuesta'!$L$2:$L$511,"*k)*")</f>
        <v>1</v>
      </c>
      <c r="X88" s="52">
        <f t="shared" si="119"/>
        <v>4.7619047619047619</v>
      </c>
      <c r="Y88" s="53">
        <f>COUNTIFS('00 Encuesta'!$B$2:$B$511,"*b)*",'00 Encuesta'!$C$2:$C$511,"*c)*",'00 Encuesta'!$E$2:$E$511,"*b)*",'00 Encuesta'!$L$2:$L$511,"*k)*")</f>
        <v>2</v>
      </c>
      <c r="Z88" s="52">
        <f t="shared" si="107"/>
        <v>11.111111111111111</v>
      </c>
      <c r="AA88" s="3"/>
      <c r="AB88" s="62">
        <f t="shared" si="108"/>
        <v>6</v>
      </c>
      <c r="AC88" s="52">
        <f t="shared" si="109"/>
        <v>5.5045871559633026</v>
      </c>
      <c r="AD88" s="7"/>
      <c r="AE88" s="7"/>
      <c r="AF88" s="9" t="str">
        <f t="shared" si="110"/>
        <v>k) Internet</v>
      </c>
      <c r="AG88" s="72">
        <f t="shared" si="111"/>
        <v>9.5238095238095237</v>
      </c>
      <c r="AH88" s="72">
        <f t="shared" si="112"/>
        <v>0</v>
      </c>
      <c r="AI88" s="73">
        <f t="shared" si="113"/>
        <v>5.2631578947368416</v>
      </c>
      <c r="AJ88" s="73"/>
      <c r="AK88" s="76">
        <f t="shared" si="114"/>
        <v>0</v>
      </c>
      <c r="AL88" s="76">
        <f t="shared" si="115"/>
        <v>6.666666666666667</v>
      </c>
      <c r="AM88" s="76">
        <f t="shared" si="116"/>
        <v>3.125</v>
      </c>
      <c r="AN88" s="76"/>
      <c r="AO88" s="81">
        <f t="shared" si="120"/>
        <v>4.7619047619047619</v>
      </c>
      <c r="AP88" s="81">
        <f t="shared" si="117"/>
        <v>11.111111111111111</v>
      </c>
      <c r="AQ88" s="81">
        <f t="shared" si="118"/>
        <v>7.6923076923076925</v>
      </c>
      <c r="AR88" s="7"/>
      <c r="AS88" s="76">
        <f t="shared" si="121"/>
        <v>5.5045871559633026</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ht="15" x14ac:dyDescent="0.25">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0"/>
        <v>S/R Sin Respuesta</v>
      </c>
      <c r="AG89" s="72">
        <f t="shared" si="111"/>
        <v>0</v>
      </c>
      <c r="AH89" s="72">
        <f t="shared" si="112"/>
        <v>0</v>
      </c>
      <c r="AI89" s="73">
        <f t="shared" si="113"/>
        <v>0</v>
      </c>
      <c r="AJ89" s="73"/>
      <c r="AK89" s="76">
        <f t="shared" si="114"/>
        <v>0</v>
      </c>
      <c r="AL89" s="76">
        <f t="shared" si="115"/>
        <v>0</v>
      </c>
      <c r="AM89" s="76">
        <f t="shared" si="116"/>
        <v>0</v>
      </c>
      <c r="AN89" s="76"/>
      <c r="AO89" s="81">
        <f t="shared" si="120"/>
        <v>0</v>
      </c>
      <c r="AP89" s="81">
        <f t="shared" si="117"/>
        <v>0</v>
      </c>
      <c r="AQ89" s="81">
        <f t="shared" si="118"/>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ht="15" x14ac:dyDescent="0.25">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ht="15" x14ac:dyDescent="0.25">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ht="15" x14ac:dyDescent="0.25">
      <c r="A92" s="8" t="s">
        <v>17</v>
      </c>
      <c r="B92" s="9" t="s">
        <v>93</v>
      </c>
      <c r="C92" s="7"/>
      <c r="D92" s="7"/>
      <c r="E92" s="7"/>
      <c r="F92" s="71"/>
      <c r="G92" s="51">
        <f t="shared" ref="G92:G99" si="122">I92+K92</f>
        <v>8</v>
      </c>
      <c r="H92" s="52">
        <f t="shared" ref="H92:H99" si="123">G92/$J$5*100</f>
        <v>21.052631578947366</v>
      </c>
      <c r="I92" s="53">
        <f>COUNTIFS('00 Encuesta'!$B$2:$B$511,"*b)*",'00 Encuesta'!$C$2:$C$511,"*a)*",'00 Encuesta'!$E$2:$E$511,"*a)*",'00 Encuesta'!$N$2:$N$511,"*a)*")</f>
        <v>1</v>
      </c>
      <c r="J92" s="52">
        <f t="shared" ref="J92:J99" si="124">I92/$J$6*100</f>
        <v>4.7619047619047619</v>
      </c>
      <c r="K92" s="53">
        <f>COUNTIFS('00 Encuesta'!$B$2:$B$511,"*b)*",'00 Encuesta'!$C$2:$C$511,"*a)*",'00 Encuesta'!$E$2:$E$511,"*b)*",'00 Encuesta'!$N$2:$N$511,"*a)*")</f>
        <v>7</v>
      </c>
      <c r="L92" s="52">
        <f t="shared" ref="L92:L99" si="125">K92/$J$7*100</f>
        <v>41.17647058823529</v>
      </c>
      <c r="M92" s="23"/>
      <c r="N92" s="51">
        <f t="shared" ref="N92:N99" si="126">P92+R92</f>
        <v>3</v>
      </c>
      <c r="O92" s="52">
        <f t="shared" ref="O92:O99" si="127">N92/$Q$5*100</f>
        <v>9.375</v>
      </c>
      <c r="P92" s="53">
        <f>COUNTIFS('00 Encuesta'!$B$2:$B$511,"*b)*",'00 Encuesta'!$C$2:$C$511,"*b)*",'00 Encuesta'!$E$2:$E$511,"*a)*",'00 Encuesta'!$N$2:$N$511,"*a)*")</f>
        <v>0</v>
      </c>
      <c r="Q92" s="52">
        <f t="shared" ref="Q92:Q99" si="128">P92/$Q$6*100</f>
        <v>0</v>
      </c>
      <c r="R92" s="53">
        <f>COUNTIFS('00 Encuesta'!$B$2:$B$511,"*b)*",'00 Encuesta'!$C$2:$C$511,"*b)*",'00 Encuesta'!$E$2:$E$511,"*b)*",'00 Encuesta'!$N$2:$N$511,"*a)*")</f>
        <v>3</v>
      </c>
      <c r="S92" s="52">
        <f t="shared" ref="S92:S99" si="129">R92/$Q$7*100</f>
        <v>20</v>
      </c>
      <c r="T92" s="3"/>
      <c r="U92" s="51">
        <f t="shared" ref="U92:U99" si="130">W92+Y92</f>
        <v>8</v>
      </c>
      <c r="V92" s="52">
        <f t="shared" ref="V92:V99" si="131">U92/$X$5*100</f>
        <v>20.512820512820511</v>
      </c>
      <c r="W92" s="53">
        <f>COUNTIFS('00 Encuesta'!$B$2:$B$511,"*b)*",'00 Encuesta'!$C$2:$C$511,"*c)*",'00 Encuesta'!$E$2:$E$511,"*a)*",'00 Encuesta'!$N$2:$N$511,"*a)*")</f>
        <v>6</v>
      </c>
      <c r="X92" s="52">
        <f t="shared" ref="X92:X99" si="132">W92/$X$6*100</f>
        <v>28.571428571428569</v>
      </c>
      <c r="Y92" s="53">
        <f>COUNTIFS('00 Encuesta'!$B$2:$B$511,"*b)*",'00 Encuesta'!$C$2:$C$511,"*c)*",'00 Encuesta'!$E$2:$E$511,"*b)*",'00 Encuesta'!$N$2:$N$511,"*a)*")</f>
        <v>2</v>
      </c>
      <c r="Z92" s="52">
        <f t="shared" ref="Z92:Z99" si="133">Y92/$X$7*100</f>
        <v>11.111111111111111</v>
      </c>
      <c r="AA92" s="3"/>
      <c r="AB92" s="62">
        <f t="shared" ref="AB92:AB99" si="134">G92+N92+U92</f>
        <v>19</v>
      </c>
      <c r="AC92" s="52">
        <f t="shared" ref="AC92:AC99" si="135">AB92*100/$AC$5</f>
        <v>17.431192660550458</v>
      </c>
      <c r="AD92" s="7"/>
      <c r="AE92" s="7"/>
      <c r="AF92" s="9" t="str">
        <f t="shared" ref="AF92:AF100" si="136">A92&amp;" "&amp;B92</f>
        <v>a) Seguridad personal  (la violencia y la delincuencia)</v>
      </c>
      <c r="AG92" s="72">
        <f t="shared" ref="AG92:AG100" si="137">J92</f>
        <v>4.7619047619047619</v>
      </c>
      <c r="AH92" s="72">
        <f t="shared" ref="AH92:AH100" si="138">L92</f>
        <v>41.17647058823529</v>
      </c>
      <c r="AI92" s="73">
        <f t="shared" ref="AI92:AI100" si="139">H92</f>
        <v>21.052631578947366</v>
      </c>
      <c r="AJ92" s="73"/>
      <c r="AK92" s="76">
        <f t="shared" ref="AK92:AK100" si="140">Q92</f>
        <v>0</v>
      </c>
      <c r="AL92" s="76">
        <f t="shared" ref="AL92:AL100" si="141">S92</f>
        <v>20</v>
      </c>
      <c r="AM92" s="76">
        <f t="shared" ref="AM92:AM100" si="142">O92</f>
        <v>9.375</v>
      </c>
      <c r="AN92" s="76"/>
      <c r="AO92" s="81">
        <f t="shared" ref="AO92:AO100" si="143">X92</f>
        <v>28.571428571428569</v>
      </c>
      <c r="AP92" s="81">
        <f t="shared" ref="AP92:AP100" si="144">Z92</f>
        <v>11.111111111111111</v>
      </c>
      <c r="AQ92" s="81">
        <f t="shared" ref="AQ92:AQ100" si="145">V92</f>
        <v>20.512820512820511</v>
      </c>
      <c r="AR92" s="7"/>
      <c r="AS92" s="76">
        <f t="shared" si="121"/>
        <v>17.431192660550458</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ht="15" x14ac:dyDescent="0.25">
      <c r="A93" s="8" t="s">
        <v>18</v>
      </c>
      <c r="B93" s="9" t="s">
        <v>94</v>
      </c>
      <c r="C93" s="7"/>
      <c r="D93" s="7"/>
      <c r="E93" s="7"/>
      <c r="F93" s="71"/>
      <c r="G93" s="51">
        <f t="shared" si="122"/>
        <v>17</v>
      </c>
      <c r="H93" s="52">
        <f t="shared" si="123"/>
        <v>44.736842105263158</v>
      </c>
      <c r="I93" s="53">
        <f>COUNTIFS('00 Encuesta'!$B$2:$B$511,"*b)*",'00 Encuesta'!$C$2:$C$511,"*a)*",'00 Encuesta'!$E$2:$E$511,"*a)*",'00 Encuesta'!$N$2:$N$511,"*b)*")</f>
        <v>12</v>
      </c>
      <c r="J93" s="52">
        <f t="shared" si="124"/>
        <v>57.142857142857139</v>
      </c>
      <c r="K93" s="53">
        <f>COUNTIFS('00 Encuesta'!$B$2:$B$511,"*b)*",'00 Encuesta'!$C$2:$C$511,"*a)*",'00 Encuesta'!$E$2:$E$511,"*b)*",'00 Encuesta'!$N$2:$N$511,"*b)*")</f>
        <v>5</v>
      </c>
      <c r="L93" s="52">
        <f t="shared" si="125"/>
        <v>29.411764705882355</v>
      </c>
      <c r="M93" s="23"/>
      <c r="N93" s="51">
        <f t="shared" si="126"/>
        <v>20</v>
      </c>
      <c r="O93" s="52">
        <f t="shared" si="127"/>
        <v>62.5</v>
      </c>
      <c r="P93" s="53">
        <f>COUNTIFS('00 Encuesta'!$B$2:$B$511,"*b)*",'00 Encuesta'!$C$2:$C$511,"*b)*",'00 Encuesta'!$E$2:$E$511,"*a)*",'00 Encuesta'!$N$2:$N$511,"*b)*")</f>
        <v>13</v>
      </c>
      <c r="Q93" s="52">
        <f t="shared" si="128"/>
        <v>76.470588235294116</v>
      </c>
      <c r="R93" s="53">
        <f>COUNTIFS('00 Encuesta'!$B$2:$B$511,"*b)*",'00 Encuesta'!$C$2:$C$511,"*b)*",'00 Encuesta'!$E$2:$E$511,"*b)*",'00 Encuesta'!$N$2:$N$511,"*b)*")</f>
        <v>7</v>
      </c>
      <c r="S93" s="52">
        <f t="shared" si="129"/>
        <v>46.666666666666664</v>
      </c>
      <c r="T93" s="3"/>
      <c r="U93" s="51">
        <f t="shared" si="130"/>
        <v>16</v>
      </c>
      <c r="V93" s="52">
        <f t="shared" si="131"/>
        <v>41.025641025641022</v>
      </c>
      <c r="W93" s="53">
        <f>COUNTIFS('00 Encuesta'!$B$2:$B$511,"*b)*",'00 Encuesta'!$C$2:$C$511,"*c)*",'00 Encuesta'!$E$2:$E$511,"*a)*",'00 Encuesta'!$N$2:$N$511,"*b)*")</f>
        <v>7</v>
      </c>
      <c r="X93" s="52">
        <f t="shared" si="132"/>
        <v>33.333333333333329</v>
      </c>
      <c r="Y93" s="53">
        <f>COUNTIFS('00 Encuesta'!$B$2:$B$511,"*b)*",'00 Encuesta'!$C$2:$C$511,"*c)*",'00 Encuesta'!$E$2:$E$511,"*b)*",'00 Encuesta'!$N$2:$N$511,"*b)*")</f>
        <v>9</v>
      </c>
      <c r="Z93" s="52">
        <f t="shared" si="133"/>
        <v>50</v>
      </c>
      <c r="AA93" s="3"/>
      <c r="AB93" s="62">
        <f t="shared" si="134"/>
        <v>53</v>
      </c>
      <c r="AC93" s="52">
        <f t="shared" si="135"/>
        <v>48.623853211009177</v>
      </c>
      <c r="AD93" s="7"/>
      <c r="AE93" s="7"/>
      <c r="AF93" s="9" t="str">
        <f t="shared" si="136"/>
        <v>b) El futuro</v>
      </c>
      <c r="AG93" s="72">
        <f t="shared" si="137"/>
        <v>57.142857142857139</v>
      </c>
      <c r="AH93" s="72">
        <f t="shared" si="138"/>
        <v>29.411764705882355</v>
      </c>
      <c r="AI93" s="73">
        <f t="shared" si="139"/>
        <v>44.736842105263158</v>
      </c>
      <c r="AJ93" s="73"/>
      <c r="AK93" s="76">
        <f t="shared" si="140"/>
        <v>76.470588235294116</v>
      </c>
      <c r="AL93" s="76">
        <f t="shared" si="141"/>
        <v>46.666666666666664</v>
      </c>
      <c r="AM93" s="76">
        <f t="shared" si="142"/>
        <v>62.5</v>
      </c>
      <c r="AN93" s="76"/>
      <c r="AO93" s="81">
        <f t="shared" si="143"/>
        <v>33.333333333333329</v>
      </c>
      <c r="AP93" s="81">
        <f t="shared" si="144"/>
        <v>50</v>
      </c>
      <c r="AQ93" s="81">
        <f t="shared" si="145"/>
        <v>41.025641025641022</v>
      </c>
      <c r="AR93" s="7"/>
      <c r="AS93" s="76">
        <f t="shared" si="121"/>
        <v>48.623853211009177</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ht="15" x14ac:dyDescent="0.25">
      <c r="A94" s="8" t="s">
        <v>20</v>
      </c>
      <c r="B94" s="9" t="s">
        <v>95</v>
      </c>
      <c r="C94" s="7"/>
      <c r="D94" s="7"/>
      <c r="E94" s="7"/>
      <c r="F94" s="71"/>
      <c r="G94" s="51">
        <f t="shared" si="122"/>
        <v>1</v>
      </c>
      <c r="H94" s="52">
        <f t="shared" si="123"/>
        <v>2.6315789473684208</v>
      </c>
      <c r="I94" s="53">
        <f>COUNTIFS('00 Encuesta'!$B$2:$B$511,"*b)*",'00 Encuesta'!$C$2:$C$511,"*a)*",'00 Encuesta'!$E$2:$E$511,"*a)*",'00 Encuesta'!$N$2:$N$511,"*c)*")</f>
        <v>1</v>
      </c>
      <c r="J94" s="52">
        <f t="shared" si="124"/>
        <v>4.7619047619047619</v>
      </c>
      <c r="K94" s="53">
        <f>COUNTIFS('00 Encuesta'!$B$2:$B$511,"*b)*",'00 Encuesta'!$C$2:$C$511,"*a)*",'00 Encuesta'!$E$2:$E$511,"*b)*",'00 Encuesta'!$N$2:$N$511,"*c)*")</f>
        <v>0</v>
      </c>
      <c r="L94" s="52">
        <f t="shared" si="125"/>
        <v>0</v>
      </c>
      <c r="M94" s="23"/>
      <c r="N94" s="51">
        <f t="shared" si="126"/>
        <v>0</v>
      </c>
      <c r="O94" s="52">
        <f t="shared" si="127"/>
        <v>0</v>
      </c>
      <c r="P94" s="53">
        <f>COUNTIFS('00 Encuesta'!$B$2:$B$511,"*b)*",'00 Encuesta'!$C$2:$C$511,"*b)*",'00 Encuesta'!$E$2:$E$511,"*a)*",'00 Encuesta'!$N$2:$N$511,"*c)*")</f>
        <v>0</v>
      </c>
      <c r="Q94" s="52">
        <f t="shared" si="128"/>
        <v>0</v>
      </c>
      <c r="R94" s="53">
        <f>COUNTIFS('00 Encuesta'!$B$2:$B$511,"*b)*",'00 Encuesta'!$C$2:$C$511,"*b)*",'00 Encuesta'!$E$2:$E$511,"*b)*",'00 Encuesta'!$N$2:$N$511,"*c)*")</f>
        <v>0</v>
      </c>
      <c r="S94" s="52">
        <f t="shared" si="129"/>
        <v>0</v>
      </c>
      <c r="T94" s="3"/>
      <c r="U94" s="51">
        <f t="shared" si="130"/>
        <v>2</v>
      </c>
      <c r="V94" s="52">
        <f t="shared" si="131"/>
        <v>5.1282051282051277</v>
      </c>
      <c r="W94" s="53">
        <f>COUNTIFS('00 Encuesta'!$B$2:$B$511,"*b)*",'00 Encuesta'!$C$2:$C$511,"*c)*",'00 Encuesta'!$E$2:$E$511,"*a)*",'00 Encuesta'!$N$2:$N$511,"*c)*")</f>
        <v>2</v>
      </c>
      <c r="X94" s="52">
        <f t="shared" si="132"/>
        <v>9.5238095238095237</v>
      </c>
      <c r="Y94" s="53">
        <f>COUNTIFS('00 Encuesta'!$B$2:$B$511,"*b)*",'00 Encuesta'!$C$2:$C$511,"*c)*",'00 Encuesta'!$E$2:$E$511,"*b)*",'00 Encuesta'!$N$2:$N$511,"*c)*")</f>
        <v>0</v>
      </c>
      <c r="Z94" s="52">
        <f t="shared" si="133"/>
        <v>0</v>
      </c>
      <c r="AA94" s="3"/>
      <c r="AB94" s="62">
        <f t="shared" si="134"/>
        <v>3</v>
      </c>
      <c r="AC94" s="52">
        <f t="shared" si="135"/>
        <v>2.7522935779816513</v>
      </c>
      <c r="AD94" s="7"/>
      <c r="AE94" s="7"/>
      <c r="AF94" s="9" t="str">
        <f t="shared" si="136"/>
        <v>c) Yo mismo</v>
      </c>
      <c r="AG94" s="72">
        <f t="shared" si="137"/>
        <v>4.7619047619047619</v>
      </c>
      <c r="AH94" s="72">
        <f t="shared" si="138"/>
        <v>0</v>
      </c>
      <c r="AI94" s="73">
        <f t="shared" si="139"/>
        <v>2.6315789473684208</v>
      </c>
      <c r="AJ94" s="73"/>
      <c r="AK94" s="76">
        <f t="shared" si="140"/>
        <v>0</v>
      </c>
      <c r="AL94" s="76">
        <f t="shared" si="141"/>
        <v>0</v>
      </c>
      <c r="AM94" s="76">
        <f t="shared" si="142"/>
        <v>0</v>
      </c>
      <c r="AN94" s="76"/>
      <c r="AO94" s="81">
        <f t="shared" si="143"/>
        <v>9.5238095238095237</v>
      </c>
      <c r="AP94" s="81">
        <f t="shared" si="144"/>
        <v>0</v>
      </c>
      <c r="AQ94" s="81">
        <f t="shared" si="145"/>
        <v>5.1282051282051277</v>
      </c>
      <c r="AR94" s="7"/>
      <c r="AS94" s="76">
        <f t="shared" si="121"/>
        <v>2.7522935779816513</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ht="15" x14ac:dyDescent="0.25">
      <c r="A95" s="8" t="s">
        <v>21</v>
      </c>
      <c r="B95" s="9" t="s">
        <v>96</v>
      </c>
      <c r="C95" s="7"/>
      <c r="D95" s="7"/>
      <c r="E95" s="7"/>
      <c r="F95" s="71"/>
      <c r="G95" s="51">
        <f t="shared" si="122"/>
        <v>2</v>
      </c>
      <c r="H95" s="52">
        <f t="shared" si="123"/>
        <v>5.2631578947368416</v>
      </c>
      <c r="I95" s="53">
        <f>COUNTIFS('00 Encuesta'!$B$2:$B$511,"*b)*",'00 Encuesta'!$C$2:$C$511,"*a)*",'00 Encuesta'!$E$2:$E$511,"*a)*",'00 Encuesta'!$N$2:$N$511,"*d)*")</f>
        <v>0</v>
      </c>
      <c r="J95" s="52">
        <f t="shared" si="124"/>
        <v>0</v>
      </c>
      <c r="K95" s="53">
        <f>COUNTIFS('00 Encuesta'!$B$2:$B$511,"*b)*",'00 Encuesta'!$C$2:$C$511,"*a)*",'00 Encuesta'!$E$2:$E$511,"*b)*",'00 Encuesta'!$N$2:$N$511,"*d)*")</f>
        <v>2</v>
      </c>
      <c r="L95" s="52">
        <f t="shared" si="125"/>
        <v>11.76470588235294</v>
      </c>
      <c r="M95" s="23"/>
      <c r="N95" s="51">
        <f t="shared" si="126"/>
        <v>1</v>
      </c>
      <c r="O95" s="52">
        <f t="shared" si="127"/>
        <v>3.125</v>
      </c>
      <c r="P95" s="53">
        <f>COUNTIFS('00 Encuesta'!$B$2:$B$511,"*b)*",'00 Encuesta'!$C$2:$C$511,"*b)*",'00 Encuesta'!$E$2:$E$511,"*a)*",'00 Encuesta'!$N$2:$N$511,"*d)*")</f>
        <v>0</v>
      </c>
      <c r="Q95" s="52">
        <f t="shared" si="128"/>
        <v>0</v>
      </c>
      <c r="R95" s="53">
        <f>COUNTIFS('00 Encuesta'!$B$2:$B$511,"*b)*",'00 Encuesta'!$C$2:$C$511,"*b)*",'00 Encuesta'!$E$2:$E$511,"*b)*",'00 Encuesta'!$N$2:$N$511,"*d)*")</f>
        <v>1</v>
      </c>
      <c r="S95" s="52">
        <f t="shared" si="129"/>
        <v>6.666666666666667</v>
      </c>
      <c r="T95" s="3"/>
      <c r="U95" s="51">
        <f t="shared" si="130"/>
        <v>3</v>
      </c>
      <c r="V95" s="52">
        <f t="shared" si="131"/>
        <v>7.6923076923076925</v>
      </c>
      <c r="W95" s="53">
        <f>COUNTIFS('00 Encuesta'!$B$2:$B$511,"*b)*",'00 Encuesta'!$C$2:$C$511,"*c)*",'00 Encuesta'!$E$2:$E$511,"*a)*",'00 Encuesta'!$N$2:$N$511,"*d)*")</f>
        <v>1</v>
      </c>
      <c r="X95" s="52">
        <f t="shared" si="132"/>
        <v>4.7619047619047619</v>
      </c>
      <c r="Y95" s="53">
        <f>COUNTIFS('00 Encuesta'!$B$2:$B$511,"*b)*",'00 Encuesta'!$C$2:$C$511,"*c)*",'00 Encuesta'!$E$2:$E$511,"*b)*",'00 Encuesta'!$N$2:$N$511,"*d)*")</f>
        <v>2</v>
      </c>
      <c r="Z95" s="52">
        <f t="shared" si="133"/>
        <v>11.111111111111111</v>
      </c>
      <c r="AA95" s="3"/>
      <c r="AB95" s="62">
        <f t="shared" si="134"/>
        <v>6</v>
      </c>
      <c r="AC95" s="52">
        <f t="shared" si="135"/>
        <v>5.5045871559633026</v>
      </c>
      <c r="AD95" s="7"/>
      <c r="AE95" s="7"/>
      <c r="AF95" s="9" t="str">
        <f t="shared" si="136"/>
        <v>d) Los problemas familiares</v>
      </c>
      <c r="AG95" s="72">
        <f t="shared" si="137"/>
        <v>0</v>
      </c>
      <c r="AH95" s="72">
        <f t="shared" si="138"/>
        <v>11.76470588235294</v>
      </c>
      <c r="AI95" s="73">
        <f t="shared" si="139"/>
        <v>5.2631578947368416</v>
      </c>
      <c r="AJ95" s="73"/>
      <c r="AK95" s="76">
        <f t="shared" si="140"/>
        <v>0</v>
      </c>
      <c r="AL95" s="76">
        <f t="shared" si="141"/>
        <v>6.666666666666667</v>
      </c>
      <c r="AM95" s="76">
        <f t="shared" si="142"/>
        <v>3.125</v>
      </c>
      <c r="AN95" s="76"/>
      <c r="AO95" s="81">
        <f t="shared" si="143"/>
        <v>4.7619047619047619</v>
      </c>
      <c r="AP95" s="81">
        <f t="shared" si="144"/>
        <v>11.111111111111111</v>
      </c>
      <c r="AQ95" s="81">
        <f t="shared" si="145"/>
        <v>7.6923076923076925</v>
      </c>
      <c r="AR95" s="7"/>
      <c r="AS95" s="76">
        <f t="shared" si="121"/>
        <v>5.5045871559633026</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1</v>
      </c>
      <c r="H96" s="52">
        <f t="shared" si="123"/>
        <v>2.6315789473684208</v>
      </c>
      <c r="I96" s="53">
        <f>COUNTIFS('00 Encuesta'!$B$2:$B$511,"*b)*",'00 Encuesta'!$C$2:$C$511,"*a)*",'00 Encuesta'!$E$2:$E$511,"*a)*",'00 Encuesta'!$N$2:$N$511,"*e)*")</f>
        <v>1</v>
      </c>
      <c r="J96" s="52">
        <f t="shared" si="124"/>
        <v>4.7619047619047619</v>
      </c>
      <c r="K96" s="53">
        <f>COUNTIFS('00 Encuesta'!$B$2:$B$511,"*b)*",'00 Encuesta'!$C$2:$C$511,"*a)*",'00 Encuesta'!$E$2:$E$511,"*b)*",'00 Encuesta'!$N$2:$N$511,"*e)*")</f>
        <v>0</v>
      </c>
      <c r="L96" s="52">
        <f t="shared" si="125"/>
        <v>0</v>
      </c>
      <c r="M96" s="23"/>
      <c r="N96" s="51">
        <f t="shared" si="126"/>
        <v>1</v>
      </c>
      <c r="O96" s="52">
        <f t="shared" si="127"/>
        <v>3.125</v>
      </c>
      <c r="P96" s="53">
        <f>COUNTIFS('00 Encuesta'!$B$2:$B$511,"*b)*",'00 Encuesta'!$C$2:$C$511,"*b)*",'00 Encuesta'!$E$2:$E$511,"*a)*",'00 Encuesta'!$N$2:$N$511,"*e)*")</f>
        <v>1</v>
      </c>
      <c r="Q96" s="52">
        <f t="shared" si="128"/>
        <v>5.8823529411764701</v>
      </c>
      <c r="R96" s="53">
        <f>COUNTIFS('00 Encuesta'!$B$2:$B$511,"*b)*",'00 Encuesta'!$C$2:$C$511,"*b)*",'00 Encuesta'!$E$2:$E$511,"*b)*",'00 Encuesta'!$N$2:$N$511,"*e)*")</f>
        <v>0</v>
      </c>
      <c r="S96" s="52">
        <f t="shared" si="129"/>
        <v>0</v>
      </c>
      <c r="T96" s="3"/>
      <c r="U96" s="51">
        <f t="shared" si="130"/>
        <v>1</v>
      </c>
      <c r="V96" s="52">
        <f t="shared" si="131"/>
        <v>2.5641025641025639</v>
      </c>
      <c r="W96" s="53">
        <f>COUNTIFS('00 Encuesta'!$B$2:$B$511,"*b)*",'00 Encuesta'!$C$2:$C$511,"*c)*",'00 Encuesta'!$E$2:$E$511,"*a)*",'00 Encuesta'!$N$2:$N$511,"*e)*")</f>
        <v>1</v>
      </c>
      <c r="X96" s="52">
        <f t="shared" si="132"/>
        <v>4.7619047619047619</v>
      </c>
      <c r="Y96" s="53">
        <f>COUNTIFS('00 Encuesta'!$B$2:$B$511,"*b)*",'00 Encuesta'!$C$2:$C$511,"*c)*",'00 Encuesta'!$E$2:$E$511,"*b)*",'00 Encuesta'!$N$2:$N$511,"*e)*")</f>
        <v>0</v>
      </c>
      <c r="Z96" s="52">
        <f t="shared" si="133"/>
        <v>0</v>
      </c>
      <c r="AA96" s="3"/>
      <c r="AB96" s="62">
        <f t="shared" si="134"/>
        <v>3</v>
      </c>
      <c r="AC96" s="52">
        <f t="shared" si="135"/>
        <v>2.7522935779816513</v>
      </c>
      <c r="AD96" s="7"/>
      <c r="AE96" s="7"/>
      <c r="AF96" s="9" t="str">
        <f t="shared" si="136"/>
        <v>e) La situación económica</v>
      </c>
      <c r="AG96" s="72">
        <f t="shared" si="137"/>
        <v>4.7619047619047619</v>
      </c>
      <c r="AH96" s="72">
        <f t="shared" si="138"/>
        <v>0</v>
      </c>
      <c r="AI96" s="73">
        <f t="shared" si="139"/>
        <v>2.6315789473684208</v>
      </c>
      <c r="AJ96" s="73"/>
      <c r="AK96" s="76">
        <f t="shared" si="140"/>
        <v>5.8823529411764701</v>
      </c>
      <c r="AL96" s="76">
        <f t="shared" si="141"/>
        <v>0</v>
      </c>
      <c r="AM96" s="76">
        <f t="shared" si="142"/>
        <v>3.125</v>
      </c>
      <c r="AN96" s="76"/>
      <c r="AO96" s="81">
        <f t="shared" si="143"/>
        <v>4.7619047619047619</v>
      </c>
      <c r="AP96" s="81">
        <f t="shared" si="144"/>
        <v>0</v>
      </c>
      <c r="AQ96" s="81">
        <f t="shared" si="145"/>
        <v>2.5641025641025639</v>
      </c>
      <c r="AR96" s="7"/>
      <c r="AS96" s="76">
        <f t="shared" si="121"/>
        <v>2.7522935779816513</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6</v>
      </c>
      <c r="H97" s="52">
        <f t="shared" si="123"/>
        <v>15.789473684210526</v>
      </c>
      <c r="I97" s="53">
        <f>COUNTIFS('00 Encuesta'!$B$2:$B$511,"*b)*",'00 Encuesta'!$C$2:$C$511,"*a)*",'00 Encuesta'!$E$2:$E$511,"*a)*",'00 Encuesta'!$N$2:$N$511,"*f)*")</f>
        <v>4</v>
      </c>
      <c r="J97" s="52">
        <f t="shared" si="124"/>
        <v>19.047619047619047</v>
      </c>
      <c r="K97" s="53">
        <f>COUNTIFS('00 Encuesta'!$B$2:$B$511,"*b)*",'00 Encuesta'!$C$2:$C$511,"*a)*",'00 Encuesta'!$E$2:$E$511,"*b)*",'00 Encuesta'!$N$2:$N$511,"*f)*")</f>
        <v>2</v>
      </c>
      <c r="L97" s="52">
        <f t="shared" si="125"/>
        <v>11.76470588235294</v>
      </c>
      <c r="M97" s="23"/>
      <c r="N97" s="51">
        <f t="shared" si="126"/>
        <v>3</v>
      </c>
      <c r="O97" s="52">
        <f t="shared" si="127"/>
        <v>9.375</v>
      </c>
      <c r="P97" s="53">
        <f>COUNTIFS('00 Encuesta'!$B$2:$B$511,"*b)*",'00 Encuesta'!$C$2:$C$511,"*b)*",'00 Encuesta'!$E$2:$E$511,"*a)*",'00 Encuesta'!$N$2:$N$511,"*f)*")</f>
        <v>0</v>
      </c>
      <c r="Q97" s="52">
        <f t="shared" si="128"/>
        <v>0</v>
      </c>
      <c r="R97" s="53">
        <f>COUNTIFS('00 Encuesta'!$B$2:$B$511,"*b)*",'00 Encuesta'!$C$2:$C$511,"*b)*",'00 Encuesta'!$E$2:$E$511,"*b)*",'00 Encuesta'!$N$2:$N$511,"*f)*")</f>
        <v>3</v>
      </c>
      <c r="S97" s="52">
        <f t="shared" si="129"/>
        <v>20</v>
      </c>
      <c r="T97" s="3"/>
      <c r="U97" s="51">
        <f t="shared" si="130"/>
        <v>4</v>
      </c>
      <c r="V97" s="52">
        <f t="shared" si="131"/>
        <v>10.256410256410255</v>
      </c>
      <c r="W97" s="53">
        <f>COUNTIFS('00 Encuesta'!$B$2:$B$511,"*b)*",'00 Encuesta'!$C$2:$C$511,"*c)*",'00 Encuesta'!$E$2:$E$511,"*a)*",'00 Encuesta'!$N$2:$N$511,"*f)*")</f>
        <v>2</v>
      </c>
      <c r="X97" s="52">
        <f t="shared" si="132"/>
        <v>9.5238095238095237</v>
      </c>
      <c r="Y97" s="53">
        <f>COUNTIFS('00 Encuesta'!$B$2:$B$511,"*b)*",'00 Encuesta'!$C$2:$C$511,"*c)*",'00 Encuesta'!$E$2:$E$511,"*b)*",'00 Encuesta'!$N$2:$N$511,"*f)*")</f>
        <v>2</v>
      </c>
      <c r="Z97" s="52">
        <f t="shared" si="133"/>
        <v>11.111111111111111</v>
      </c>
      <c r="AA97" s="3"/>
      <c r="AB97" s="62">
        <f t="shared" si="134"/>
        <v>13</v>
      </c>
      <c r="AC97" s="52">
        <f t="shared" si="135"/>
        <v>11.926605504587156</v>
      </c>
      <c r="AD97" s="7"/>
      <c r="AE97" s="7"/>
      <c r="AF97" s="9" t="str">
        <f t="shared" si="136"/>
        <v>f) La situación política del país</v>
      </c>
      <c r="AG97" s="72">
        <f t="shared" si="137"/>
        <v>19.047619047619047</v>
      </c>
      <c r="AH97" s="72">
        <f t="shared" si="138"/>
        <v>11.76470588235294</v>
      </c>
      <c r="AI97" s="73">
        <f t="shared" si="139"/>
        <v>15.789473684210526</v>
      </c>
      <c r="AJ97" s="73"/>
      <c r="AK97" s="76">
        <f t="shared" si="140"/>
        <v>0</v>
      </c>
      <c r="AL97" s="76">
        <f t="shared" si="141"/>
        <v>20</v>
      </c>
      <c r="AM97" s="76">
        <f t="shared" si="142"/>
        <v>9.375</v>
      </c>
      <c r="AN97" s="76"/>
      <c r="AO97" s="81">
        <f t="shared" si="143"/>
        <v>9.5238095238095237</v>
      </c>
      <c r="AP97" s="81">
        <f t="shared" si="144"/>
        <v>11.111111111111111</v>
      </c>
      <c r="AQ97" s="81">
        <f t="shared" si="145"/>
        <v>10.256410256410255</v>
      </c>
      <c r="AR97" s="7"/>
      <c r="AS97" s="76">
        <f t="shared" si="121"/>
        <v>11.926605504587156</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ht="15" x14ac:dyDescent="0.25">
      <c r="A98" s="8" t="s">
        <v>61</v>
      </c>
      <c r="B98" s="9" t="s">
        <v>99</v>
      </c>
      <c r="C98" s="7"/>
      <c r="D98" s="7"/>
      <c r="E98" s="7"/>
      <c r="F98" s="71"/>
      <c r="G98" s="51">
        <f t="shared" si="122"/>
        <v>2</v>
      </c>
      <c r="H98" s="52">
        <f t="shared" si="123"/>
        <v>5.2631578947368416</v>
      </c>
      <c r="I98" s="53">
        <f>COUNTIFS('00 Encuesta'!$B$2:$B$511,"*b)*",'00 Encuesta'!$C$2:$C$511,"*a)*",'00 Encuesta'!$E$2:$E$511,"*a)*",'00 Encuesta'!$N$2:$N$511,"*g)*")</f>
        <v>2</v>
      </c>
      <c r="J98" s="52">
        <f t="shared" si="124"/>
        <v>9.5238095238095237</v>
      </c>
      <c r="K98" s="53">
        <f>COUNTIFS('00 Encuesta'!$B$2:$B$511,"*b)*",'00 Encuesta'!$C$2:$C$511,"*a)*",'00 Encuesta'!$E$2:$E$511,"*b)*",'00 Encuesta'!$N$2:$N$511,"*g)*")</f>
        <v>0</v>
      </c>
      <c r="L98" s="52">
        <f t="shared" si="125"/>
        <v>0</v>
      </c>
      <c r="M98" s="23"/>
      <c r="N98" s="51">
        <f t="shared" si="126"/>
        <v>1</v>
      </c>
      <c r="O98" s="52">
        <f t="shared" si="127"/>
        <v>3.125</v>
      </c>
      <c r="P98" s="53">
        <f>COUNTIFS('00 Encuesta'!$B$2:$B$511,"*b)*",'00 Encuesta'!$C$2:$C$511,"*b)*",'00 Encuesta'!$E$2:$E$511,"*a)*",'00 Encuesta'!$N$2:$N$511,"*g)*")</f>
        <v>0</v>
      </c>
      <c r="Q98" s="52">
        <f t="shared" si="128"/>
        <v>0</v>
      </c>
      <c r="R98" s="53">
        <f>COUNTIFS('00 Encuesta'!$B$2:$B$511,"*b)*",'00 Encuesta'!$C$2:$C$511,"*b)*",'00 Encuesta'!$E$2:$E$511,"*b)*",'00 Encuesta'!$N$2:$N$511,"*g)*")</f>
        <v>1</v>
      </c>
      <c r="S98" s="52">
        <f t="shared" si="129"/>
        <v>6.666666666666667</v>
      </c>
      <c r="T98" s="3"/>
      <c r="U98" s="51">
        <f t="shared" si="130"/>
        <v>4</v>
      </c>
      <c r="V98" s="52">
        <f t="shared" si="131"/>
        <v>10.256410256410255</v>
      </c>
      <c r="W98" s="53">
        <f>COUNTIFS('00 Encuesta'!$B$2:$B$511,"*b)*",'00 Encuesta'!$C$2:$C$511,"*c)*",'00 Encuesta'!$E$2:$E$511,"*a)*",'00 Encuesta'!$N$2:$N$511,"*g)*")</f>
        <v>1</v>
      </c>
      <c r="X98" s="52">
        <f t="shared" si="132"/>
        <v>4.7619047619047619</v>
      </c>
      <c r="Y98" s="53">
        <f>COUNTIFS('00 Encuesta'!$B$2:$B$511,"*b)*",'00 Encuesta'!$C$2:$C$511,"*c)*",'00 Encuesta'!$E$2:$E$511,"*b)*",'00 Encuesta'!$N$2:$N$511,"*g)*")</f>
        <v>3</v>
      </c>
      <c r="Z98" s="52">
        <f t="shared" si="133"/>
        <v>16.666666666666664</v>
      </c>
      <c r="AA98" s="3"/>
      <c r="AB98" s="62">
        <f t="shared" si="134"/>
        <v>7</v>
      </c>
      <c r="AC98" s="52">
        <f t="shared" si="135"/>
        <v>6.4220183486238529</v>
      </c>
      <c r="AD98" s="7"/>
      <c r="AE98" s="7"/>
      <c r="AF98" s="9" t="str">
        <f t="shared" si="136"/>
        <v>g) Mis estudios</v>
      </c>
      <c r="AG98" s="72">
        <f t="shared" si="137"/>
        <v>9.5238095238095237</v>
      </c>
      <c r="AH98" s="72">
        <f t="shared" si="138"/>
        <v>0</v>
      </c>
      <c r="AI98" s="73">
        <f t="shared" si="139"/>
        <v>5.2631578947368416</v>
      </c>
      <c r="AJ98" s="73"/>
      <c r="AK98" s="76">
        <f t="shared" si="140"/>
        <v>0</v>
      </c>
      <c r="AL98" s="76">
        <f t="shared" si="141"/>
        <v>6.666666666666667</v>
      </c>
      <c r="AM98" s="76">
        <f t="shared" si="142"/>
        <v>3.125</v>
      </c>
      <c r="AN98" s="76"/>
      <c r="AO98" s="81">
        <f t="shared" si="143"/>
        <v>4.7619047619047619</v>
      </c>
      <c r="AP98" s="81">
        <f t="shared" si="144"/>
        <v>16.666666666666664</v>
      </c>
      <c r="AQ98" s="81">
        <f t="shared" si="145"/>
        <v>10.256410256410255</v>
      </c>
      <c r="AR98" s="7"/>
      <c r="AS98" s="76">
        <f t="shared" si="121"/>
        <v>6.4220183486238529</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ht="15" x14ac:dyDescent="0.25">
      <c r="A99" s="8" t="s">
        <v>63</v>
      </c>
      <c r="B99" s="9" t="s">
        <v>81</v>
      </c>
      <c r="C99" s="7"/>
      <c r="D99" s="7"/>
      <c r="E99" s="7"/>
      <c r="F99" s="71"/>
      <c r="G99" s="51">
        <f t="shared" si="122"/>
        <v>0</v>
      </c>
      <c r="H99" s="52">
        <f t="shared" si="123"/>
        <v>0</v>
      </c>
      <c r="I99" s="53">
        <f>COUNTIFS('00 Encuesta'!$B$2:$B$511,"*b)*",'00 Encuesta'!$C$2:$C$511,"*a)*",'00 Encuesta'!$E$2:$E$511,"*a)*",'00 Encuesta'!$N$2:$N$511,"*h)*")</f>
        <v>0</v>
      </c>
      <c r="J99" s="52">
        <f t="shared" si="124"/>
        <v>0</v>
      </c>
      <c r="K99" s="53">
        <f>COUNTIFS('00 Encuesta'!$B$2:$B$511,"*b)*",'00 Encuesta'!$C$2:$C$511,"*a)*",'00 Encuesta'!$E$2:$E$511,"*b)*",'00 Encuesta'!$N$2:$N$511,"*h)*")</f>
        <v>0</v>
      </c>
      <c r="L99" s="52">
        <f t="shared" si="125"/>
        <v>0</v>
      </c>
      <c r="M99" s="23"/>
      <c r="N99" s="51">
        <f t="shared" si="126"/>
        <v>2</v>
      </c>
      <c r="O99" s="52">
        <f t="shared" si="127"/>
        <v>6.25</v>
      </c>
      <c r="P99" s="53">
        <f>COUNTIFS('00 Encuesta'!$B$2:$B$511,"*b)*",'00 Encuesta'!$C$2:$C$511,"*b)*",'00 Encuesta'!$E$2:$E$511,"*a)*",'00 Encuesta'!$N$2:$N$511,"*h)*")</f>
        <v>2</v>
      </c>
      <c r="Q99" s="52">
        <f t="shared" si="128"/>
        <v>11.76470588235294</v>
      </c>
      <c r="R99" s="53">
        <f>COUNTIFS('00 Encuesta'!$B$2:$B$511,"*b)*",'00 Encuesta'!$C$2:$C$511,"*b)*",'00 Encuesta'!$E$2:$E$511,"*b)*",'00 Encuesta'!$N$2:$N$511,"*h)*")</f>
        <v>0</v>
      </c>
      <c r="S99" s="52">
        <f t="shared" si="129"/>
        <v>0</v>
      </c>
      <c r="T99" s="3"/>
      <c r="U99" s="51">
        <f t="shared" si="130"/>
        <v>1</v>
      </c>
      <c r="V99" s="52">
        <f t="shared" si="131"/>
        <v>2.5641025641025639</v>
      </c>
      <c r="W99" s="53">
        <f>COUNTIFS('00 Encuesta'!$B$2:$B$511,"*b)*",'00 Encuesta'!$C$2:$C$511,"*c)*",'00 Encuesta'!$E$2:$E$511,"*a)*",'00 Encuesta'!$N$2:$N$511,"*h)*")</f>
        <v>1</v>
      </c>
      <c r="X99" s="52">
        <f t="shared" si="132"/>
        <v>4.7619047619047619</v>
      </c>
      <c r="Y99" s="53">
        <f>COUNTIFS('00 Encuesta'!$B$2:$B$511,"*b)*",'00 Encuesta'!$C$2:$C$511,"*c)*",'00 Encuesta'!$E$2:$E$511,"*b)*",'00 Encuesta'!$N$2:$N$511,"*h)*")</f>
        <v>0</v>
      </c>
      <c r="Z99" s="52">
        <f t="shared" si="133"/>
        <v>0</v>
      </c>
      <c r="AA99" s="3"/>
      <c r="AB99" s="62">
        <f t="shared" si="134"/>
        <v>3</v>
      </c>
      <c r="AC99" s="52">
        <f t="shared" si="135"/>
        <v>2.7522935779816513</v>
      </c>
      <c r="AD99" s="7"/>
      <c r="AE99" s="7"/>
      <c r="AF99" s="9" t="str">
        <f t="shared" si="136"/>
        <v>h) Los amigos</v>
      </c>
      <c r="AG99" s="72">
        <f t="shared" si="137"/>
        <v>0</v>
      </c>
      <c r="AH99" s="72">
        <f t="shared" si="138"/>
        <v>0</v>
      </c>
      <c r="AI99" s="73">
        <f t="shared" si="139"/>
        <v>0</v>
      </c>
      <c r="AJ99" s="73"/>
      <c r="AK99" s="76">
        <f t="shared" si="140"/>
        <v>11.76470588235294</v>
      </c>
      <c r="AL99" s="76">
        <f t="shared" si="141"/>
        <v>0</v>
      </c>
      <c r="AM99" s="76">
        <f t="shared" si="142"/>
        <v>6.25</v>
      </c>
      <c r="AN99" s="76"/>
      <c r="AO99" s="81">
        <f t="shared" si="143"/>
        <v>4.7619047619047619</v>
      </c>
      <c r="AP99" s="81">
        <f t="shared" si="144"/>
        <v>0</v>
      </c>
      <c r="AQ99" s="81">
        <f t="shared" si="145"/>
        <v>2.5641025641025639</v>
      </c>
      <c r="AR99" s="7"/>
      <c r="AS99" s="76">
        <f t="shared" si="121"/>
        <v>2.7522935779816513</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ht="15" x14ac:dyDescent="0.25">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ht="15" x14ac:dyDescent="0.25">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ht="15" x14ac:dyDescent="0.25">
      <c r="A103" s="8" t="s">
        <v>17</v>
      </c>
      <c r="B103" s="9" t="s">
        <v>102</v>
      </c>
      <c r="C103" s="7"/>
      <c r="D103" s="7"/>
      <c r="E103" s="7"/>
      <c r="F103" s="71">
        <v>100</v>
      </c>
      <c r="G103" s="51">
        <f>I103+K103</f>
        <v>16</v>
      </c>
      <c r="H103" s="52">
        <f>G103/$J$5*100</f>
        <v>42.105263157894733</v>
      </c>
      <c r="I103" s="53">
        <f>COUNTIFS('00 Encuesta'!$B$2:$B$511,"*b)*",'00 Encuesta'!$C$2:$C$511,"*a)*",'00 Encuesta'!$E$2:$E$511,"*a)*",'00 Encuesta'!$O$2:$O$511,"*a)*")</f>
        <v>9</v>
      </c>
      <c r="J103" s="52">
        <f>I103/$J$6*100</f>
        <v>42.857142857142854</v>
      </c>
      <c r="K103" s="53">
        <f>COUNTIFS('00 Encuesta'!$B$2:$B$511,"*b)*",'00 Encuesta'!$C$2:$C$511,"*a)*",'00 Encuesta'!$E$2:$E$511,"*b)*",'00 Encuesta'!$O$2:$O$511,"*a)*")</f>
        <v>7</v>
      </c>
      <c r="L103" s="52">
        <f>K103/$J$7*100</f>
        <v>41.17647058823529</v>
      </c>
      <c r="M103" s="23"/>
      <c r="N103" s="51">
        <f>P103+R103</f>
        <v>14</v>
      </c>
      <c r="O103" s="52">
        <f>N103/$Q$5*100</f>
        <v>43.75</v>
      </c>
      <c r="P103" s="53">
        <f>COUNTIFS('00 Encuesta'!$B$2:$B$511,"*b)*",'00 Encuesta'!$C$2:$C$511,"*b)*",'00 Encuesta'!$E$2:$E$511,"*a)*",'00 Encuesta'!$O$2:$O$511,"*a)*")</f>
        <v>3</v>
      </c>
      <c r="Q103" s="52">
        <f>P103/$Q$6*100</f>
        <v>17.647058823529413</v>
      </c>
      <c r="R103" s="53">
        <f>COUNTIFS('00 Encuesta'!$B$2:$B$511,"*b)*",'00 Encuesta'!$C$2:$C$511,"*b)*",'00 Encuesta'!$E$2:$E$511,"*b)*",'00 Encuesta'!$O$2:$O$511,"*a)*")</f>
        <v>11</v>
      </c>
      <c r="S103" s="52">
        <f>R103/$Q$7*100</f>
        <v>73.333333333333329</v>
      </c>
      <c r="T103" s="3"/>
      <c r="U103" s="51">
        <f>W103+Y103</f>
        <v>16</v>
      </c>
      <c r="V103" s="52">
        <f>U103/$X$5*100</f>
        <v>41.025641025641022</v>
      </c>
      <c r="W103" s="53">
        <f>COUNTIFS('00 Encuesta'!$B$2:$B$511,"*b)*",'00 Encuesta'!$C$2:$C$511,"*c)*",'00 Encuesta'!$E$2:$E$511,"*a)*",'00 Encuesta'!$O$2:$O$511,"*a)*")</f>
        <v>9</v>
      </c>
      <c r="X103" s="52">
        <f>W103/$X$6*100</f>
        <v>42.857142857142854</v>
      </c>
      <c r="Y103" s="53">
        <f>COUNTIFS('00 Encuesta'!$B$2:$B$511,"*b)*",'00 Encuesta'!$C$2:$C$511,"*c)*",'00 Encuesta'!$E$2:$E$511,"*b)*",'00 Encuesta'!$O$2:$O$511,"*a)*")</f>
        <v>7</v>
      </c>
      <c r="Z103" s="52">
        <f>Y103/$X$7*100</f>
        <v>38.888888888888893</v>
      </c>
      <c r="AA103" s="3"/>
      <c r="AB103" s="62">
        <f>G103+N103+U103</f>
        <v>46</v>
      </c>
      <c r="AC103" s="52">
        <f>AB103*100/$AC$5</f>
        <v>42.201834862385319</v>
      </c>
      <c r="AD103" s="7"/>
      <c r="AE103" s="7"/>
      <c r="AF103" s="9" t="str">
        <f t="shared" si="146"/>
        <v>a) Mucho</v>
      </c>
      <c r="AG103" s="72">
        <f>J103</f>
        <v>42.857142857142854</v>
      </c>
      <c r="AH103" s="72">
        <f>L103</f>
        <v>41.17647058823529</v>
      </c>
      <c r="AI103" s="73">
        <f>H103</f>
        <v>42.105263157894733</v>
      </c>
      <c r="AJ103" s="73"/>
      <c r="AK103" s="76">
        <f>Q103</f>
        <v>17.647058823529413</v>
      </c>
      <c r="AL103" s="76">
        <f>S103</f>
        <v>73.333333333333329</v>
      </c>
      <c r="AM103" s="76">
        <f>O103</f>
        <v>43.75</v>
      </c>
      <c r="AN103" s="76"/>
      <c r="AO103" s="81">
        <f>X103</f>
        <v>42.857142857142854</v>
      </c>
      <c r="AP103" s="81">
        <f>Z103</f>
        <v>38.888888888888893</v>
      </c>
      <c r="AQ103" s="81">
        <f>V103</f>
        <v>41.025641025641022</v>
      </c>
      <c r="AR103" s="7"/>
      <c r="AS103" s="76">
        <f t="shared" si="121"/>
        <v>42.201834862385319</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ht="15" x14ac:dyDescent="0.25">
      <c r="A104" s="8" t="s">
        <v>18</v>
      </c>
      <c r="B104" s="9" t="s">
        <v>103</v>
      </c>
      <c r="C104" s="7"/>
      <c r="D104" s="7"/>
      <c r="E104" s="7"/>
      <c r="F104" s="71">
        <v>66.66</v>
      </c>
      <c r="G104" s="51">
        <f>I104+K104</f>
        <v>12</v>
      </c>
      <c r="H104" s="52">
        <f>G104/$J$5*100</f>
        <v>31.578947368421051</v>
      </c>
      <c r="I104" s="53">
        <f>COUNTIFS('00 Encuesta'!$B$2:$B$511,"*b)*",'00 Encuesta'!$C$2:$C$511,"*a)*",'00 Encuesta'!$E$2:$E$511,"*a)*",'00 Encuesta'!$O$2:$O$511,"*b)*")</f>
        <v>9</v>
      </c>
      <c r="J104" s="52">
        <f>I104/$J$6*100</f>
        <v>42.857142857142854</v>
      </c>
      <c r="K104" s="53">
        <f>COUNTIFS('00 Encuesta'!$B$2:$B$511,"*b)*",'00 Encuesta'!$C$2:$C$511,"*a)*",'00 Encuesta'!$E$2:$E$511,"*b)*",'00 Encuesta'!$O$2:$O$511,"*b)*")</f>
        <v>3</v>
      </c>
      <c r="L104" s="52">
        <f>K104/$J$7*100</f>
        <v>17.647058823529413</v>
      </c>
      <c r="M104" s="23"/>
      <c r="N104" s="51">
        <f>P104+R104</f>
        <v>15</v>
      </c>
      <c r="O104" s="52">
        <f>N104/$Q$5*100</f>
        <v>46.875</v>
      </c>
      <c r="P104" s="53">
        <f>COUNTIFS('00 Encuesta'!$B$2:$B$511,"*b)*",'00 Encuesta'!$C$2:$C$511,"*b)*",'00 Encuesta'!$E$2:$E$511,"*a)*",'00 Encuesta'!$O$2:$O$511,"*b)*")</f>
        <v>12</v>
      </c>
      <c r="Q104" s="52">
        <f>P104/$Q$6*100</f>
        <v>70.588235294117652</v>
      </c>
      <c r="R104" s="53">
        <f>COUNTIFS('00 Encuesta'!$B$2:$B$511,"*b)*",'00 Encuesta'!$C$2:$C$511,"*b)*",'00 Encuesta'!$E$2:$E$511,"*b)*",'00 Encuesta'!$O$2:$O$511,"*b)*")</f>
        <v>3</v>
      </c>
      <c r="S104" s="52">
        <f>R104/$Q$7*100</f>
        <v>20</v>
      </c>
      <c r="T104" s="3"/>
      <c r="U104" s="51">
        <f>W104+Y104</f>
        <v>18</v>
      </c>
      <c r="V104" s="52">
        <f>U104/$X$5*100</f>
        <v>46.153846153846153</v>
      </c>
      <c r="W104" s="53">
        <f>COUNTIFS('00 Encuesta'!$B$2:$B$511,"*b)*",'00 Encuesta'!$C$2:$C$511,"*c)*",'00 Encuesta'!$E$2:$E$511,"*a)*",'00 Encuesta'!$O$2:$O$511,"*b)*")</f>
        <v>9</v>
      </c>
      <c r="X104" s="52">
        <f>W104/$X$6*100</f>
        <v>42.857142857142854</v>
      </c>
      <c r="Y104" s="53">
        <f>COUNTIFS('00 Encuesta'!$B$2:$B$511,"*b)*",'00 Encuesta'!$C$2:$C$511,"*c)*",'00 Encuesta'!$E$2:$E$511,"*b)*",'00 Encuesta'!$O$2:$O$511,"*b)*")</f>
        <v>9</v>
      </c>
      <c r="Z104" s="52">
        <f>Y104/$X$7*100</f>
        <v>50</v>
      </c>
      <c r="AA104" s="3"/>
      <c r="AB104" s="62">
        <f>G104+N104+U104</f>
        <v>45</v>
      </c>
      <c r="AC104" s="52">
        <f>AB104*100/$AC$5</f>
        <v>41.284403669724767</v>
      </c>
      <c r="AD104" s="7"/>
      <c r="AE104" s="7"/>
      <c r="AF104" s="9" t="str">
        <f t="shared" si="146"/>
        <v>b) Suficiente</v>
      </c>
      <c r="AG104" s="72">
        <f>J104</f>
        <v>42.857142857142854</v>
      </c>
      <c r="AH104" s="72">
        <f>L104</f>
        <v>17.647058823529413</v>
      </c>
      <c r="AI104" s="73">
        <f>H104</f>
        <v>31.578947368421051</v>
      </c>
      <c r="AJ104" s="73"/>
      <c r="AK104" s="76">
        <f>Q104</f>
        <v>70.588235294117652</v>
      </c>
      <c r="AL104" s="76">
        <f>S104</f>
        <v>20</v>
      </c>
      <c r="AM104" s="76">
        <f>O104</f>
        <v>46.875</v>
      </c>
      <c r="AN104" s="76"/>
      <c r="AO104" s="81">
        <f>X104</f>
        <v>42.857142857142854</v>
      </c>
      <c r="AP104" s="81">
        <f>Z104</f>
        <v>50</v>
      </c>
      <c r="AQ104" s="81">
        <f>V104</f>
        <v>46.153846153846153</v>
      </c>
      <c r="AR104" s="7"/>
      <c r="AS104" s="76">
        <f t="shared" si="121"/>
        <v>41.284403669724767</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ht="15" x14ac:dyDescent="0.25">
      <c r="A105" s="8" t="s">
        <v>20</v>
      </c>
      <c r="B105" s="9" t="s">
        <v>104</v>
      </c>
      <c r="C105" s="7"/>
      <c r="D105" s="7"/>
      <c r="E105" s="7"/>
      <c r="F105" s="71">
        <v>33.33</v>
      </c>
      <c r="G105" s="51">
        <f>I105+K105</f>
        <v>5</v>
      </c>
      <c r="H105" s="52">
        <f>G105/$J$5*100</f>
        <v>13.157894736842104</v>
      </c>
      <c r="I105" s="53">
        <f>COUNTIFS('00 Encuesta'!$B$2:$B$511,"*b)*",'00 Encuesta'!$C$2:$C$511,"*a)*",'00 Encuesta'!$E$2:$E$511,"*a)*",'00 Encuesta'!$O$2:$O$511,"*c)*")</f>
        <v>1</v>
      </c>
      <c r="J105" s="52">
        <f>I105/$J$6*100</f>
        <v>4.7619047619047619</v>
      </c>
      <c r="K105" s="53">
        <f>COUNTIFS('00 Encuesta'!$B$2:$B$511,"*b)*",'00 Encuesta'!$C$2:$C$511,"*a)*",'00 Encuesta'!$E$2:$E$511,"*b)*",'00 Encuesta'!$O$2:$O$511,"*c)*")</f>
        <v>4</v>
      </c>
      <c r="L105" s="52">
        <f>K105/$J$7*100</f>
        <v>23.52941176470588</v>
      </c>
      <c r="M105" s="23"/>
      <c r="N105" s="51">
        <f>P105+R105</f>
        <v>2</v>
      </c>
      <c r="O105" s="52">
        <f>N105/$Q$5*100</f>
        <v>6.25</v>
      </c>
      <c r="P105" s="53">
        <f>COUNTIFS('00 Encuesta'!$B$2:$B$511,"*b)*",'00 Encuesta'!$C$2:$C$511,"*b)*",'00 Encuesta'!$E$2:$E$511,"*a)*",'00 Encuesta'!$O$2:$O$511,"*c)*")</f>
        <v>1</v>
      </c>
      <c r="Q105" s="52">
        <f>P105/$Q$6*100</f>
        <v>5.8823529411764701</v>
      </c>
      <c r="R105" s="53">
        <f>COUNTIFS('00 Encuesta'!$B$2:$B$511,"*b)*",'00 Encuesta'!$C$2:$C$511,"*b)*",'00 Encuesta'!$E$2:$E$511,"*b)*",'00 Encuesta'!$O$2:$O$511,"*c)*")</f>
        <v>1</v>
      </c>
      <c r="S105" s="52">
        <f>R105/$Q$7*100</f>
        <v>6.666666666666667</v>
      </c>
      <c r="T105" s="3"/>
      <c r="U105" s="51">
        <f>W105+Y105</f>
        <v>5</v>
      </c>
      <c r="V105" s="52">
        <f>U105/$X$5*100</f>
        <v>12.820512820512819</v>
      </c>
      <c r="W105" s="53">
        <f>COUNTIFS('00 Encuesta'!$B$2:$B$511,"*b)*",'00 Encuesta'!$C$2:$C$511,"*c)*",'00 Encuesta'!$E$2:$E$511,"*a)*",'00 Encuesta'!$O$2:$O$511,"*c)*")</f>
        <v>3</v>
      </c>
      <c r="X105" s="52">
        <f>W105/$X$6*100</f>
        <v>14.285714285714285</v>
      </c>
      <c r="Y105" s="53">
        <f>COUNTIFS('00 Encuesta'!$B$2:$B$511,"*b)*",'00 Encuesta'!$C$2:$C$511,"*c)*",'00 Encuesta'!$E$2:$E$511,"*b)*",'00 Encuesta'!$O$2:$O$511,"*c)*")</f>
        <v>2</v>
      </c>
      <c r="Z105" s="52">
        <f>Y105/$X$7*100</f>
        <v>11.111111111111111</v>
      </c>
      <c r="AA105" s="3"/>
      <c r="AB105" s="62">
        <f>G105+N105+U105</f>
        <v>12</v>
      </c>
      <c r="AC105" s="52">
        <f>AB105*100/$AC$5</f>
        <v>11.009174311926605</v>
      </c>
      <c r="AD105" s="7"/>
      <c r="AE105" s="7"/>
      <c r="AF105" s="9" t="str">
        <f t="shared" si="146"/>
        <v>c) Poco</v>
      </c>
      <c r="AG105" s="72">
        <f>J105</f>
        <v>4.7619047619047619</v>
      </c>
      <c r="AH105" s="72">
        <f>L105</f>
        <v>23.52941176470588</v>
      </c>
      <c r="AI105" s="73">
        <f>H105</f>
        <v>13.157894736842104</v>
      </c>
      <c r="AJ105" s="73"/>
      <c r="AK105" s="76">
        <f>Q105</f>
        <v>5.8823529411764701</v>
      </c>
      <c r="AL105" s="76">
        <f>S105</f>
        <v>6.666666666666667</v>
      </c>
      <c r="AM105" s="76">
        <f>O105</f>
        <v>6.25</v>
      </c>
      <c r="AN105" s="76"/>
      <c r="AO105" s="81">
        <f>X105</f>
        <v>14.285714285714285</v>
      </c>
      <c r="AP105" s="81">
        <f>Z105</f>
        <v>11.111111111111111</v>
      </c>
      <c r="AQ105" s="81">
        <f>V105</f>
        <v>12.820512820512819</v>
      </c>
      <c r="AR105" s="7"/>
      <c r="AS105" s="76">
        <f t="shared" si="121"/>
        <v>11.009174311926605</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ht="15" x14ac:dyDescent="0.25">
      <c r="A106" s="8" t="s">
        <v>21</v>
      </c>
      <c r="B106" s="9" t="s">
        <v>105</v>
      </c>
      <c r="C106" s="7"/>
      <c r="D106" s="7"/>
      <c r="E106" s="7"/>
      <c r="F106" s="71">
        <v>0</v>
      </c>
      <c r="G106" s="51">
        <f>I106+K106</f>
        <v>0</v>
      </c>
      <c r="H106" s="52">
        <f>G106/$J$5*100</f>
        <v>0</v>
      </c>
      <c r="I106" s="53">
        <f>COUNTIFS('00 Encuesta'!$B$2:$B$511,"*b)*",'00 Encuesta'!$C$2:$C$511,"*a)*",'00 Encuesta'!$E$2:$E$511,"*a)*",'00 Encuesta'!$O$2:$O$511,"*d)*")</f>
        <v>0</v>
      </c>
      <c r="J106" s="52">
        <f>I106/$J$6*100</f>
        <v>0</v>
      </c>
      <c r="K106" s="53">
        <f>COUNTIFS('00 Encuesta'!$B$2:$B$511,"*b)*",'00 Encuesta'!$C$2:$C$511,"*a)*",'00 Encuesta'!$E$2:$E$511,"*b)*",'00 Encuesta'!$O$2:$O$511,"*d)*")</f>
        <v>0</v>
      </c>
      <c r="L106" s="52">
        <f>K106/$J$7*100</f>
        <v>0</v>
      </c>
      <c r="M106" s="23"/>
      <c r="N106" s="51">
        <f>P106+R106</f>
        <v>1</v>
      </c>
      <c r="O106" s="52">
        <f>N106/$Q$5*100</f>
        <v>3.125</v>
      </c>
      <c r="P106" s="53">
        <f>COUNTIFS('00 Encuesta'!$B$2:$B$511,"*b)*",'00 Encuesta'!$C$2:$C$511,"*b)*",'00 Encuesta'!$E$2:$E$511,"*a)*",'00 Encuesta'!$O$2:$O$511,"*d)*")</f>
        <v>1</v>
      </c>
      <c r="Q106" s="52">
        <f>P106/$Q$6*100</f>
        <v>5.8823529411764701</v>
      </c>
      <c r="R106" s="53">
        <f>COUNTIFS('00 Encuesta'!$B$2:$B$511,"*b)*",'00 Encuesta'!$C$2:$C$511,"*b)*",'00 Encuesta'!$E$2:$E$511,"*b)*",'00 Encuesta'!$O$2:$O$511,"*d)*")</f>
        <v>0</v>
      </c>
      <c r="S106" s="52">
        <f>R106/$Q$7*100</f>
        <v>0</v>
      </c>
      <c r="T106" s="3"/>
      <c r="U106" s="51">
        <f>W106+Y106</f>
        <v>0</v>
      </c>
      <c r="V106" s="52">
        <f>U106/$X$5*100</f>
        <v>0</v>
      </c>
      <c r="W106" s="53">
        <f>COUNTIFS('00 Encuesta'!$B$2:$B$511,"*b)*",'00 Encuesta'!$C$2:$C$511,"*c)*",'00 Encuesta'!$E$2:$E$511,"*a)*",'00 Encuesta'!$O$2:$O$511,"*d)*")</f>
        <v>0</v>
      </c>
      <c r="X106" s="52">
        <f>W106/$X$6*100</f>
        <v>0</v>
      </c>
      <c r="Y106" s="53">
        <f>COUNTIFS('00 Encuesta'!$B$2:$B$511,"*b)*",'00 Encuesta'!$C$2:$C$511,"*c)*",'00 Encuesta'!$E$2:$E$511,"*b)*",'00 Encuesta'!$O$2:$O$511,"*d)*")</f>
        <v>0</v>
      </c>
      <c r="Z106" s="52">
        <f>Y106/$X$7*100</f>
        <v>0</v>
      </c>
      <c r="AA106" s="3"/>
      <c r="AB106" s="62">
        <f>G106+N106+U106</f>
        <v>1</v>
      </c>
      <c r="AC106" s="52">
        <f>AB106*100/$AC$5</f>
        <v>0.91743119266055051</v>
      </c>
      <c r="AD106" s="7"/>
      <c r="AE106" s="7"/>
      <c r="AF106" s="9" t="str">
        <f t="shared" si="146"/>
        <v>d) Nada</v>
      </c>
      <c r="AG106" s="72">
        <f>J106</f>
        <v>0</v>
      </c>
      <c r="AH106" s="72">
        <f>L106</f>
        <v>0</v>
      </c>
      <c r="AI106" s="73">
        <f>H106</f>
        <v>0</v>
      </c>
      <c r="AJ106" s="73"/>
      <c r="AK106" s="76">
        <f>Q106</f>
        <v>5.8823529411764701</v>
      </c>
      <c r="AL106" s="76">
        <f>S106</f>
        <v>0</v>
      </c>
      <c r="AM106" s="76">
        <f>O106</f>
        <v>3.125</v>
      </c>
      <c r="AN106" s="76"/>
      <c r="AO106" s="81">
        <f>X106</f>
        <v>0</v>
      </c>
      <c r="AP106" s="81">
        <f>Z106</f>
        <v>0</v>
      </c>
      <c r="AQ106" s="81">
        <f>V106</f>
        <v>0</v>
      </c>
      <c r="AR106" s="7"/>
      <c r="AS106" s="76">
        <f t="shared" si="121"/>
        <v>0.91743119266055051</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ht="15" x14ac:dyDescent="0.25">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f>N107/$Q$5*100</f>
        <v>0</v>
      </c>
      <c r="P107" s="53"/>
      <c r="Q107" s="52">
        <f>P107/$Q$6*100</f>
        <v>0</v>
      </c>
      <c r="R107" s="53"/>
      <c r="S107" s="52">
        <f>R107/$Q$7*100</f>
        <v>0</v>
      </c>
      <c r="T107" s="3"/>
      <c r="U107" s="51">
        <f>W107+Y107</f>
        <v>0</v>
      </c>
      <c r="V107" s="52">
        <f>U107/$X$5*100</f>
        <v>0</v>
      </c>
      <c r="W107" s="53"/>
      <c r="X107" s="52">
        <f>W107/$X$6*100</f>
        <v>0</v>
      </c>
      <c r="Y107" s="53"/>
      <c r="Z107" s="52">
        <f>Y107/$X$7*100</f>
        <v>0</v>
      </c>
      <c r="AA107" s="3"/>
      <c r="AB107" s="62">
        <f>G107+N107+U107</f>
        <v>0</v>
      </c>
      <c r="AC107" s="52">
        <f>AB107*100/$AC$5</f>
        <v>0</v>
      </c>
      <c r="AD107" s="7"/>
      <c r="AE107" s="7"/>
      <c r="AF107" s="9" t="str">
        <f t="shared" si="146"/>
        <v>S/R Sin Respuesta</v>
      </c>
      <c r="AG107" s="72">
        <f>J107</f>
        <v>0</v>
      </c>
      <c r="AH107" s="72">
        <f>L107</f>
        <v>0</v>
      </c>
      <c r="AI107" s="73">
        <f>H107</f>
        <v>0</v>
      </c>
      <c r="AJ107" s="73"/>
      <c r="AK107" s="76">
        <f>Q107</f>
        <v>0</v>
      </c>
      <c r="AL107" s="76">
        <f>S107</f>
        <v>0</v>
      </c>
      <c r="AM107" s="76">
        <f>O107</f>
        <v>0</v>
      </c>
      <c r="AN107" s="76"/>
      <c r="AO107" s="81">
        <f>X107</f>
        <v>0</v>
      </c>
      <c r="AP107" s="81">
        <f>Z107</f>
        <v>0</v>
      </c>
      <c r="AQ107" s="81">
        <f>V107</f>
        <v>0</v>
      </c>
      <c r="AR107" s="7"/>
      <c r="AS107" s="76">
        <f t="shared" si="121"/>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ht="15" x14ac:dyDescent="0.25">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80.698421052631574</v>
      </c>
      <c r="AH108" s="82">
        <f>($F103*K103+$F104*K104+$F105*K105+$F106*K106)/(+K103+K104+K105+K106)</f>
        <v>73.80714285714285</v>
      </c>
      <c r="AI108" s="82">
        <f>($F103*G103+$F104*G104+$F105*G105+$F106*G106)/(G103+G104+G105+G106)</f>
        <v>77.774848484848491</v>
      </c>
      <c r="AJ108" s="82"/>
      <c r="AK108" s="82">
        <f>($F103*P103+$F104*P104+$F105*P105+$F106*P106)/(P103+P104+P105+P106)</f>
        <v>66.661764705882348</v>
      </c>
      <c r="AL108" s="82">
        <f>($F103*R103+$F104*R104+$F105*R105+$F106*R106)/(R103+R104+R105+R106)</f>
        <v>88.887333333333331</v>
      </c>
      <c r="AM108" s="82">
        <f>($F103*N103+$F104*N104+$F105*N105+$F106*N106)/(N103+N104+N105+N106)</f>
        <v>77.08</v>
      </c>
      <c r="AN108" s="82"/>
      <c r="AO108" s="82">
        <f>($F103*W103+$F104*W104+$F105*W105+$F106*W106)/(W103+W104+W105+W106)</f>
        <v>76.187142857142859</v>
      </c>
      <c r="AP108" s="82">
        <f>($F103*Y103+$F104*Y104+$F105*Y105+$F106*Y106)/(Y103+Y104+Y105+Y106)</f>
        <v>75.922222222222231</v>
      </c>
      <c r="AQ108" s="82">
        <f>($F103*U103+$F104*U104+$F105*U105+$F106*U106)/(U103+U104+U105+U106)</f>
        <v>76.064871794871806</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ht="15" x14ac:dyDescent="0.25">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ht="15" x14ac:dyDescent="0.25">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ht="15" x14ac:dyDescent="0.25">
      <c r="A111" s="8" t="s">
        <v>17</v>
      </c>
      <c r="B111" s="9" t="s">
        <v>102</v>
      </c>
      <c r="C111" s="7"/>
      <c r="D111" s="7"/>
      <c r="E111" s="7"/>
      <c r="F111" s="71">
        <v>100</v>
      </c>
      <c r="G111" s="51">
        <f>I111+K111</f>
        <v>3</v>
      </c>
      <c r="H111" s="52">
        <f>G111/$J$5*100</f>
        <v>7.8947368421052628</v>
      </c>
      <c r="I111" s="53">
        <f>COUNTIFS('00 Encuesta'!$B$2:$B$511,"*b)*",'00 Encuesta'!$C$2:$C$511,"*a)*",'00 Encuesta'!$E$2:$E$511,"*a)*",'00 Encuesta'!$P$2:$P$511,"*a)*")</f>
        <v>2</v>
      </c>
      <c r="J111" s="52">
        <f>I111/$J$6*100</f>
        <v>9.5238095238095237</v>
      </c>
      <c r="K111" s="53">
        <f>COUNTIFS('00 Encuesta'!$B$2:$B$511,"*b)*",'00 Encuesta'!$C$2:$C$511,"*a)*",'00 Encuesta'!$E$2:$E$511,"*b)*",'00 Encuesta'!$P$2:$P$511,"*a)*")</f>
        <v>1</v>
      </c>
      <c r="L111" s="52">
        <f>K111/$J$7*100</f>
        <v>5.8823529411764701</v>
      </c>
      <c r="M111" s="23"/>
      <c r="N111" s="51">
        <f>P111+R111</f>
        <v>5</v>
      </c>
      <c r="O111" s="52">
        <f>N111/$Q$5*100</f>
        <v>15.625</v>
      </c>
      <c r="P111" s="53">
        <f>COUNTIFS('00 Encuesta'!$B$2:$B$511,"*b)*",'00 Encuesta'!$C$2:$C$511,"*b)*",'00 Encuesta'!$E$2:$E$511,"*a)*",'00 Encuesta'!$P$2:$P$511,"*a)*")</f>
        <v>4</v>
      </c>
      <c r="Q111" s="52">
        <f>P111/$Q$6*100</f>
        <v>23.52941176470588</v>
      </c>
      <c r="R111" s="53">
        <f>COUNTIFS('00 Encuesta'!$B$2:$B$511,"*b)*",'00 Encuesta'!$C$2:$C$511,"*b)*",'00 Encuesta'!$E$2:$E$511,"*b)*",'00 Encuesta'!$P$2:$P$511,"*a)*")</f>
        <v>1</v>
      </c>
      <c r="S111" s="52">
        <f>R111/$Q$7*100</f>
        <v>6.666666666666667</v>
      </c>
      <c r="T111" s="3"/>
      <c r="U111" s="51">
        <f>W111+Y111</f>
        <v>5</v>
      </c>
      <c r="V111" s="52">
        <f>U111/$X$5*100</f>
        <v>12.820512820512819</v>
      </c>
      <c r="W111" s="53">
        <f>COUNTIFS('00 Encuesta'!$B$2:$B$511,"*b)*",'00 Encuesta'!$C$2:$C$511,"*c)*",'00 Encuesta'!$E$2:$E$511,"*a)*",'00 Encuesta'!$P$2:$P$511,"*a)*")</f>
        <v>3</v>
      </c>
      <c r="X111" s="52">
        <f>W111/$X$6*100</f>
        <v>14.285714285714285</v>
      </c>
      <c r="Y111" s="53">
        <f>COUNTIFS('00 Encuesta'!$B$2:$B$511,"*b)*",'00 Encuesta'!$C$2:$C$511,"*c)*",'00 Encuesta'!$E$2:$E$511,"*b)*",'00 Encuesta'!$P$2:$P$511,"*a)*")</f>
        <v>2</v>
      </c>
      <c r="Z111" s="52">
        <f>Y111/$X$7*100</f>
        <v>11.111111111111111</v>
      </c>
      <c r="AA111" s="3"/>
      <c r="AB111" s="62">
        <f>G111+N111+U111</f>
        <v>13</v>
      </c>
      <c r="AC111" s="52">
        <f>AB111*100/$AC$5</f>
        <v>11.926605504587156</v>
      </c>
      <c r="AD111" s="7"/>
      <c r="AE111" s="7"/>
      <c r="AF111" s="9" t="str">
        <f t="shared" si="147"/>
        <v>a) Mucho</v>
      </c>
      <c r="AG111" s="72">
        <f>J111</f>
        <v>9.5238095238095237</v>
      </c>
      <c r="AH111" s="72">
        <f>L111</f>
        <v>5.8823529411764701</v>
      </c>
      <c r="AI111" s="73">
        <f>H111</f>
        <v>7.8947368421052628</v>
      </c>
      <c r="AJ111" s="73"/>
      <c r="AK111" s="76">
        <f>Q111</f>
        <v>23.52941176470588</v>
      </c>
      <c r="AL111" s="76">
        <f>S111</f>
        <v>6.666666666666667</v>
      </c>
      <c r="AM111" s="76">
        <f>O111</f>
        <v>15.625</v>
      </c>
      <c r="AN111" s="76"/>
      <c r="AO111" s="81">
        <f>X111</f>
        <v>14.285714285714285</v>
      </c>
      <c r="AP111" s="81">
        <f>Z111</f>
        <v>11.111111111111111</v>
      </c>
      <c r="AQ111" s="81">
        <f>V111</f>
        <v>12.820512820512819</v>
      </c>
      <c r="AR111" s="7"/>
      <c r="AS111" s="76">
        <f t="shared" si="121"/>
        <v>11.926605504587156</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ht="15" x14ac:dyDescent="0.25">
      <c r="A112" s="8" t="s">
        <v>18</v>
      </c>
      <c r="B112" s="9" t="s">
        <v>103</v>
      </c>
      <c r="C112" s="7"/>
      <c r="D112" s="7"/>
      <c r="E112" s="7"/>
      <c r="F112" s="71">
        <v>66.66</v>
      </c>
      <c r="G112" s="51">
        <f>I112+K112</f>
        <v>18</v>
      </c>
      <c r="H112" s="52">
        <f>G112/$J$5*100</f>
        <v>47.368421052631575</v>
      </c>
      <c r="I112" s="53">
        <f>COUNTIFS('00 Encuesta'!$B$2:$B$511,"*b)*",'00 Encuesta'!$C$2:$C$511,"*a)*",'00 Encuesta'!$E$2:$E$511,"*a)*",'00 Encuesta'!$P$2:$P$511,"*b)*")</f>
        <v>10</v>
      </c>
      <c r="J112" s="52">
        <f>I112/$J$6*100</f>
        <v>47.619047619047613</v>
      </c>
      <c r="K112" s="53">
        <f>COUNTIFS('00 Encuesta'!$B$2:$B$511,"*b)*",'00 Encuesta'!$C$2:$C$511,"*a)*",'00 Encuesta'!$E$2:$E$511,"*b)*",'00 Encuesta'!$P$2:$P$511,"*b)*")</f>
        <v>8</v>
      </c>
      <c r="L112" s="52">
        <f>K112/$J$7*100</f>
        <v>47.058823529411761</v>
      </c>
      <c r="M112" s="23"/>
      <c r="N112" s="51">
        <f>P112+R112</f>
        <v>15</v>
      </c>
      <c r="O112" s="52">
        <f>N112/$Q$5*100</f>
        <v>46.875</v>
      </c>
      <c r="P112" s="53">
        <f>COUNTIFS('00 Encuesta'!$B$2:$B$511,"*b)*",'00 Encuesta'!$C$2:$C$511,"*b)*",'00 Encuesta'!$E$2:$E$511,"*a)*",'00 Encuesta'!$P$2:$P$511,"*b)*")</f>
        <v>7</v>
      </c>
      <c r="Q112" s="52">
        <f>P112/$Q$6*100</f>
        <v>41.17647058823529</v>
      </c>
      <c r="R112" s="53">
        <f>COUNTIFS('00 Encuesta'!$B$2:$B$511,"*b)*",'00 Encuesta'!$C$2:$C$511,"*b)*",'00 Encuesta'!$E$2:$E$511,"*b)*",'00 Encuesta'!$P$2:$P$511,"*b)*")</f>
        <v>8</v>
      </c>
      <c r="S112" s="52">
        <f>R112/$Q$7*100</f>
        <v>53.333333333333336</v>
      </c>
      <c r="T112" s="3"/>
      <c r="U112" s="51">
        <f>W112+Y112</f>
        <v>21</v>
      </c>
      <c r="V112" s="52">
        <f>U112/$X$5*100</f>
        <v>53.846153846153847</v>
      </c>
      <c r="W112" s="53">
        <f>COUNTIFS('00 Encuesta'!$B$2:$B$511,"*b)*",'00 Encuesta'!$C$2:$C$511,"*c)*",'00 Encuesta'!$E$2:$E$511,"*a)*",'00 Encuesta'!$P$2:$P$511,"*b)*")</f>
        <v>14</v>
      </c>
      <c r="X112" s="52">
        <f>W112/$X$6*100</f>
        <v>66.666666666666657</v>
      </c>
      <c r="Y112" s="53">
        <f>COUNTIFS('00 Encuesta'!$B$2:$B$511,"*b)*",'00 Encuesta'!$C$2:$C$511,"*c)*",'00 Encuesta'!$E$2:$E$511,"*b)*",'00 Encuesta'!$P$2:$P$511,"*b)*")</f>
        <v>7</v>
      </c>
      <c r="Z112" s="52">
        <f>Y112/$X$7*100</f>
        <v>38.888888888888893</v>
      </c>
      <c r="AA112" s="3"/>
      <c r="AB112" s="62">
        <f>G112+N112+U112</f>
        <v>54</v>
      </c>
      <c r="AC112" s="52">
        <f>AB112*100/$AC$5</f>
        <v>49.541284403669728</v>
      </c>
      <c r="AD112" s="7"/>
      <c r="AE112" s="7"/>
      <c r="AF112" s="9" t="str">
        <f t="shared" si="147"/>
        <v>b) Suficiente</v>
      </c>
      <c r="AG112" s="72">
        <f>J112</f>
        <v>47.619047619047613</v>
      </c>
      <c r="AH112" s="72">
        <f>L112</f>
        <v>47.058823529411761</v>
      </c>
      <c r="AI112" s="73">
        <f>H112</f>
        <v>47.368421052631575</v>
      </c>
      <c r="AJ112" s="73"/>
      <c r="AK112" s="76">
        <f>Q112</f>
        <v>41.17647058823529</v>
      </c>
      <c r="AL112" s="76">
        <f>S112</f>
        <v>53.333333333333336</v>
      </c>
      <c r="AM112" s="76">
        <f>O112</f>
        <v>46.875</v>
      </c>
      <c r="AN112" s="76"/>
      <c r="AO112" s="81">
        <f>X112</f>
        <v>66.666666666666657</v>
      </c>
      <c r="AP112" s="81">
        <f>Z112</f>
        <v>38.888888888888893</v>
      </c>
      <c r="AQ112" s="81">
        <f>V112</f>
        <v>53.846153846153847</v>
      </c>
      <c r="AR112" s="7"/>
      <c r="AS112" s="76">
        <f t="shared" si="121"/>
        <v>49.541284403669728</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ht="15" x14ac:dyDescent="0.25">
      <c r="A113" s="8" t="s">
        <v>20</v>
      </c>
      <c r="B113" s="9" t="s">
        <v>104</v>
      </c>
      <c r="C113" s="7"/>
      <c r="D113" s="7"/>
      <c r="E113" s="7"/>
      <c r="F113" s="71">
        <v>33.33</v>
      </c>
      <c r="G113" s="51">
        <f>I113+K113</f>
        <v>11</v>
      </c>
      <c r="H113" s="52">
        <f>G113/$J$5*100</f>
        <v>28.947368421052634</v>
      </c>
      <c r="I113" s="53">
        <f>COUNTIFS('00 Encuesta'!$B$2:$B$511,"*b)*",'00 Encuesta'!$C$2:$C$511,"*a)*",'00 Encuesta'!$E$2:$E$511,"*a)*",'00 Encuesta'!$P$2:$P$511,"*c)*")</f>
        <v>7</v>
      </c>
      <c r="J113" s="52">
        <f>I113/$J$6*100</f>
        <v>33.333333333333329</v>
      </c>
      <c r="K113" s="53">
        <f>COUNTIFS('00 Encuesta'!$B$2:$B$511,"*b)*",'00 Encuesta'!$C$2:$C$511,"*a)*",'00 Encuesta'!$E$2:$E$511,"*b)*",'00 Encuesta'!$P$2:$P$511,"*c)*")</f>
        <v>4</v>
      </c>
      <c r="L113" s="52">
        <f>K113/$J$7*100</f>
        <v>23.52941176470588</v>
      </c>
      <c r="M113" s="23"/>
      <c r="N113" s="51">
        <f>P113+R113</f>
        <v>11</v>
      </c>
      <c r="O113" s="52">
        <f>N113/$Q$5*100</f>
        <v>34.375</v>
      </c>
      <c r="P113" s="53">
        <f>COUNTIFS('00 Encuesta'!$B$2:$B$511,"*b)*",'00 Encuesta'!$C$2:$C$511,"*b)*",'00 Encuesta'!$E$2:$E$511,"*a)*",'00 Encuesta'!$P$2:$P$511,"*c)*")</f>
        <v>6</v>
      </c>
      <c r="Q113" s="52">
        <f>P113/$Q$6*100</f>
        <v>35.294117647058826</v>
      </c>
      <c r="R113" s="53">
        <f>COUNTIFS('00 Encuesta'!$B$2:$B$511,"*b)*",'00 Encuesta'!$C$2:$C$511,"*b)*",'00 Encuesta'!$E$2:$E$511,"*b)*",'00 Encuesta'!$P$2:$P$511,"*c)*")</f>
        <v>5</v>
      </c>
      <c r="S113" s="52">
        <f>R113/$Q$7*100</f>
        <v>33.333333333333329</v>
      </c>
      <c r="T113" s="3"/>
      <c r="U113" s="51">
        <f>W113+Y113</f>
        <v>11</v>
      </c>
      <c r="V113" s="52">
        <f>U113/$X$5*100</f>
        <v>28.205128205128204</v>
      </c>
      <c r="W113" s="53">
        <f>COUNTIFS('00 Encuesta'!$B$2:$B$511,"*b)*",'00 Encuesta'!$C$2:$C$511,"*c)*",'00 Encuesta'!$E$2:$E$511,"*a)*",'00 Encuesta'!$P$2:$P$511,"*c)*")</f>
        <v>4</v>
      </c>
      <c r="X113" s="52">
        <f>W113/$X$6*100</f>
        <v>19.047619047619047</v>
      </c>
      <c r="Y113" s="53">
        <f>COUNTIFS('00 Encuesta'!$B$2:$B$511,"*b)*",'00 Encuesta'!$C$2:$C$511,"*c)*",'00 Encuesta'!$E$2:$E$511,"*b)*",'00 Encuesta'!$P$2:$P$511,"*c)*")</f>
        <v>7</v>
      </c>
      <c r="Z113" s="52">
        <f>Y113/$X$7*100</f>
        <v>38.888888888888893</v>
      </c>
      <c r="AA113" s="3"/>
      <c r="AB113" s="62">
        <f>G113+N113+U113</f>
        <v>33</v>
      </c>
      <c r="AC113" s="52">
        <f>AB113*100/$AC$5</f>
        <v>30.275229357798164</v>
      </c>
      <c r="AD113" s="7"/>
      <c r="AE113" s="7"/>
      <c r="AF113" s="9" t="str">
        <f t="shared" si="147"/>
        <v>c) Poco</v>
      </c>
      <c r="AG113" s="72">
        <f>J113</f>
        <v>33.333333333333329</v>
      </c>
      <c r="AH113" s="72">
        <f>L113</f>
        <v>23.52941176470588</v>
      </c>
      <c r="AI113" s="73">
        <f>H113</f>
        <v>28.947368421052634</v>
      </c>
      <c r="AJ113" s="73"/>
      <c r="AK113" s="76">
        <f>Q113</f>
        <v>35.294117647058826</v>
      </c>
      <c r="AL113" s="76">
        <f>S113</f>
        <v>33.333333333333329</v>
      </c>
      <c r="AM113" s="76">
        <f>O113</f>
        <v>34.375</v>
      </c>
      <c r="AN113" s="76"/>
      <c r="AO113" s="81">
        <f>X113</f>
        <v>19.047619047619047</v>
      </c>
      <c r="AP113" s="81">
        <f>Z113</f>
        <v>38.888888888888893</v>
      </c>
      <c r="AQ113" s="81">
        <f>V113</f>
        <v>28.205128205128204</v>
      </c>
      <c r="AR113" s="7"/>
      <c r="AS113" s="76">
        <f t="shared" si="121"/>
        <v>30.275229357798164</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ht="15" x14ac:dyDescent="0.25">
      <c r="A114" s="8" t="s">
        <v>21</v>
      </c>
      <c r="B114" s="9" t="s">
        <v>105</v>
      </c>
      <c r="C114" s="7"/>
      <c r="D114" s="7"/>
      <c r="E114" s="7"/>
      <c r="F114" s="71">
        <v>0</v>
      </c>
      <c r="G114" s="51">
        <f>I114+K114</f>
        <v>1</v>
      </c>
      <c r="H114" s="52">
        <f>G114/$J$5*100</f>
        <v>2.6315789473684208</v>
      </c>
      <c r="I114" s="53">
        <f>COUNTIFS('00 Encuesta'!$B$2:$B$511,"*b)*",'00 Encuesta'!$C$2:$C$511,"*a)*",'00 Encuesta'!$E$2:$E$511,"*a)*",'00 Encuesta'!$P$2:$P$511,"*d)*")</f>
        <v>0</v>
      </c>
      <c r="J114" s="52">
        <f>I114/$J$6*100</f>
        <v>0</v>
      </c>
      <c r="K114" s="53">
        <f>COUNTIFS('00 Encuesta'!$B$2:$B$511,"*b)*",'00 Encuesta'!$C$2:$C$511,"*a)*",'00 Encuesta'!$E$2:$E$511,"*b)*",'00 Encuesta'!$P$2:$P$511,"*d)*")</f>
        <v>1</v>
      </c>
      <c r="L114" s="52">
        <f>K114/$J$7*100</f>
        <v>5.8823529411764701</v>
      </c>
      <c r="M114" s="23"/>
      <c r="N114" s="51">
        <f>P114+R114</f>
        <v>1</v>
      </c>
      <c r="O114" s="52">
        <f>N114/$Q$5*100</f>
        <v>3.125</v>
      </c>
      <c r="P114" s="53">
        <f>COUNTIFS('00 Encuesta'!$B$2:$B$511,"*b)*",'00 Encuesta'!$C$2:$C$511,"*b)*",'00 Encuesta'!$E$2:$E$511,"*a)*",'00 Encuesta'!$P$2:$P$511,"*d)*")</f>
        <v>0</v>
      </c>
      <c r="Q114" s="52">
        <f>P114/$Q$6*100</f>
        <v>0</v>
      </c>
      <c r="R114" s="53">
        <f>COUNTIFS('00 Encuesta'!$B$2:$B$511,"*b)*",'00 Encuesta'!$C$2:$C$511,"*b)*",'00 Encuesta'!$E$2:$E$511,"*b)*",'00 Encuesta'!$P$2:$P$511,"*d)*")</f>
        <v>1</v>
      </c>
      <c r="S114" s="52">
        <f>R114/$Q$7*100</f>
        <v>6.666666666666667</v>
      </c>
      <c r="T114" s="3"/>
      <c r="U114" s="51">
        <f>W114+Y114</f>
        <v>2</v>
      </c>
      <c r="V114" s="52">
        <f>U114/$X$5*100</f>
        <v>5.1282051282051277</v>
      </c>
      <c r="W114" s="53">
        <f>COUNTIFS('00 Encuesta'!$B$2:$B$511,"*b)*",'00 Encuesta'!$C$2:$C$511,"*c)*",'00 Encuesta'!$E$2:$E$511,"*a)*",'00 Encuesta'!$P$2:$P$511,"*d)*")</f>
        <v>0</v>
      </c>
      <c r="X114" s="52">
        <f>W114/$X$6*100</f>
        <v>0</v>
      </c>
      <c r="Y114" s="53">
        <f>COUNTIFS('00 Encuesta'!$B$2:$B$511,"*b)*",'00 Encuesta'!$C$2:$C$511,"*c)*",'00 Encuesta'!$E$2:$E$511,"*b)*",'00 Encuesta'!$P$2:$P$511,"*d)*")</f>
        <v>2</v>
      </c>
      <c r="Z114" s="52">
        <f>Y114/$X$7*100</f>
        <v>11.111111111111111</v>
      </c>
      <c r="AA114" s="3"/>
      <c r="AB114" s="62">
        <f>G114+N114+U114</f>
        <v>4</v>
      </c>
      <c r="AC114" s="52">
        <f>AB114*100/$AC$5</f>
        <v>3.669724770642202</v>
      </c>
      <c r="AD114" s="7"/>
      <c r="AE114" s="7"/>
      <c r="AF114" s="9" t="str">
        <f t="shared" si="147"/>
        <v>d) Nada</v>
      </c>
      <c r="AG114" s="72">
        <f>J114</f>
        <v>0</v>
      </c>
      <c r="AH114" s="72">
        <f>L114</f>
        <v>5.8823529411764701</v>
      </c>
      <c r="AI114" s="73">
        <f>H114</f>
        <v>2.6315789473684208</v>
      </c>
      <c r="AJ114" s="73"/>
      <c r="AK114" s="76">
        <f>Q114</f>
        <v>0</v>
      </c>
      <c r="AL114" s="76">
        <f>S114</f>
        <v>6.666666666666667</v>
      </c>
      <c r="AM114" s="76">
        <f>O114</f>
        <v>3.125</v>
      </c>
      <c r="AN114" s="76"/>
      <c r="AO114" s="81">
        <f>X114</f>
        <v>0</v>
      </c>
      <c r="AP114" s="81">
        <f>Z114</f>
        <v>11.111111111111111</v>
      </c>
      <c r="AQ114" s="81">
        <f>V114</f>
        <v>5.1282051282051277</v>
      </c>
      <c r="AR114" s="7"/>
      <c r="AS114" s="76">
        <f t="shared" si="121"/>
        <v>3.669724770642202</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ht="15" x14ac:dyDescent="0.25">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f>N115/$Q$5*100</f>
        <v>0</v>
      </c>
      <c r="P115" s="53"/>
      <c r="Q115" s="52">
        <f>P115/$Q$6*100</f>
        <v>0</v>
      </c>
      <c r="R115" s="53"/>
      <c r="S115" s="52">
        <f>R115/$Q$7*100</f>
        <v>0</v>
      </c>
      <c r="T115" s="3"/>
      <c r="U115" s="51">
        <f>W115+Y115</f>
        <v>0</v>
      </c>
      <c r="V115" s="52">
        <f>U115/$X$5*100</f>
        <v>0</v>
      </c>
      <c r="W115" s="53"/>
      <c r="X115" s="52">
        <f>W115/$X$6*100</f>
        <v>0</v>
      </c>
      <c r="Y115" s="53"/>
      <c r="Z115" s="52">
        <f>Y115/$X$7*100</f>
        <v>0</v>
      </c>
      <c r="AA115" s="3"/>
      <c r="AB115" s="62">
        <f>G115+N115+U115</f>
        <v>0</v>
      </c>
      <c r="AC115" s="52">
        <f>AB115*100/$AC$5</f>
        <v>0</v>
      </c>
      <c r="AD115" s="7"/>
      <c r="AE115" s="7"/>
      <c r="AF115" s="9" t="str">
        <f t="shared" si="147"/>
        <v>S/R Sin Respuesta</v>
      </c>
      <c r="AG115" s="72">
        <f>J115</f>
        <v>0</v>
      </c>
      <c r="AH115" s="72">
        <f>L115</f>
        <v>0</v>
      </c>
      <c r="AI115" s="73">
        <f>H115</f>
        <v>0</v>
      </c>
      <c r="AJ115" s="73"/>
      <c r="AK115" s="76">
        <f>Q115</f>
        <v>0</v>
      </c>
      <c r="AL115" s="76">
        <f>S115</f>
        <v>0</v>
      </c>
      <c r="AM115" s="76">
        <f>O115</f>
        <v>0</v>
      </c>
      <c r="AN115" s="76"/>
      <c r="AO115" s="81">
        <f>X115</f>
        <v>0</v>
      </c>
      <c r="AP115" s="81">
        <f>Z115</f>
        <v>0</v>
      </c>
      <c r="AQ115" s="81">
        <f>V115</f>
        <v>0</v>
      </c>
      <c r="AR115" s="7"/>
      <c r="AS115" s="76">
        <f t="shared" si="121"/>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ht="15" x14ac:dyDescent="0.25">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57.889999999999993</v>
      </c>
      <c r="AH116" s="82">
        <f>($F111*K111+$F112*K112+$F113*K113+$F114*K114)/(+K111+K112+K113+K114)</f>
        <v>54.757142857142853</v>
      </c>
      <c r="AI116" s="82">
        <f>($F111*G111+$F112*G112+$F113*G113+$F114*G114)/(G111+G112+G113+G114)</f>
        <v>56.560909090909085</v>
      </c>
      <c r="AJ116" s="82"/>
      <c r="AK116" s="82">
        <f>($F111*P111+$F112*P112+$F113*P113+$F114*P114)/(P111+P112+P113+P114)</f>
        <v>62.741176470588229</v>
      </c>
      <c r="AL116" s="82">
        <f>($F111*R111+$F112*R112+$F113*R113+$F114*R114)/(R111+R112+R113+R114)</f>
        <v>53.328666666666663</v>
      </c>
      <c r="AM116" s="82">
        <f>($F111*N111+$F112*N112+$F113*N113+$F114*N114)/(N111+N112+N113+N114)</f>
        <v>58.329062500000006</v>
      </c>
      <c r="AN116" s="82"/>
      <c r="AO116" s="82">
        <f>($F111*W111+$F112*W112+$F113*W113+$F114*W114)/(W111+W112+W113+W114)</f>
        <v>65.074285714285708</v>
      </c>
      <c r="AP116" s="82">
        <f>($F111*Y111+$F112*Y112+$F113*Y113+$F114*Y114)/(Y111+Y112+Y113+Y114)</f>
        <v>49.996111111111112</v>
      </c>
      <c r="AQ116" s="82">
        <f>($F111*U111+$F112*U112+$F113*U113+$F114*U114)/(U111+U112+U113+U114)</f>
        <v>58.115128205128201</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ht="15" x14ac:dyDescent="0.25">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ht="15" x14ac:dyDescent="0.25">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ht="15" x14ac:dyDescent="0.25">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ht="15" x14ac:dyDescent="0.25">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ht="15" x14ac:dyDescent="0.25">
      <c r="A121" s="8" t="s">
        <v>17</v>
      </c>
      <c r="B121" s="9" t="s">
        <v>102</v>
      </c>
      <c r="C121" s="7"/>
      <c r="D121" s="7"/>
      <c r="E121" s="7"/>
      <c r="F121" s="71">
        <v>100</v>
      </c>
      <c r="G121" s="51">
        <f>I121+K121</f>
        <v>9</v>
      </c>
      <c r="H121" s="52">
        <f>G121/$J$5*100</f>
        <v>23.684210526315788</v>
      </c>
      <c r="I121" s="53">
        <f>COUNTIFS('00 Encuesta'!$B$2:$B$511,"*b)*",'00 Encuesta'!$C$2:$C$511,"*a)*",'00 Encuesta'!$E$2:$E$511,"*a)*",'00 Encuesta'!$Q$2:$Q$511,"*a)*")</f>
        <v>4</v>
      </c>
      <c r="J121" s="52">
        <f>I121/$J$6*100</f>
        <v>19.047619047619047</v>
      </c>
      <c r="K121" s="53">
        <f>COUNTIFS('00 Encuesta'!$B$2:$B$511,"*b)*",'00 Encuesta'!$C$2:$C$511,"*a)*",'00 Encuesta'!$E$2:$E$511,"*b)*",'00 Encuesta'!$Q$2:$Q$511,"*a)*")</f>
        <v>5</v>
      </c>
      <c r="L121" s="52">
        <f>K121/$J$7*100</f>
        <v>29.411764705882355</v>
      </c>
      <c r="M121" s="23"/>
      <c r="N121" s="51">
        <f>P121+R121</f>
        <v>6</v>
      </c>
      <c r="O121" s="52">
        <f>N121/$Q$5*100</f>
        <v>18.75</v>
      </c>
      <c r="P121" s="53">
        <f>COUNTIFS('00 Encuesta'!$B$2:$B$511,"*b)*",'00 Encuesta'!$C$2:$C$511,"*b)*",'00 Encuesta'!$E$2:$E$511,"*a)*",'00 Encuesta'!$Q$2:$Q$511,"*a)*")</f>
        <v>4</v>
      </c>
      <c r="Q121" s="52">
        <f>P121/$Q$6*100</f>
        <v>23.52941176470588</v>
      </c>
      <c r="R121" s="53">
        <f>COUNTIFS('00 Encuesta'!$B$2:$B$511,"*b)*",'00 Encuesta'!$C$2:$C$511,"*b)*",'00 Encuesta'!$E$2:$E$511,"*b)*",'00 Encuesta'!$Q$2:$Q$511,"*a)*")</f>
        <v>2</v>
      </c>
      <c r="S121" s="52">
        <f>R121/$Q$7*100</f>
        <v>13.333333333333334</v>
      </c>
      <c r="T121" s="3"/>
      <c r="U121" s="51">
        <f>W121+Y121</f>
        <v>8</v>
      </c>
      <c r="V121" s="52">
        <f>U121/$X$5*100</f>
        <v>20.512820512820511</v>
      </c>
      <c r="W121" s="53">
        <f>COUNTIFS('00 Encuesta'!$B$2:$B$511,"*b)*",'00 Encuesta'!$C$2:$C$511,"*c)*",'00 Encuesta'!$E$2:$E$511,"*a)*",'00 Encuesta'!$Q$2:$Q$511,"*a)*")</f>
        <v>3</v>
      </c>
      <c r="X121" s="52">
        <f>W121/$X$6*100</f>
        <v>14.285714285714285</v>
      </c>
      <c r="Y121" s="53">
        <f>COUNTIFS('00 Encuesta'!$B$2:$B$511,"*b)*",'00 Encuesta'!$C$2:$C$511,"*c)*",'00 Encuesta'!$E$2:$E$511,"*b)*",'00 Encuesta'!$Q$2:$Q$511,"*a)*")</f>
        <v>5</v>
      </c>
      <c r="Z121" s="52">
        <f>Y121/$X$7*100</f>
        <v>27.777777777777779</v>
      </c>
      <c r="AA121" s="3"/>
      <c r="AB121" s="62">
        <f>G121+N121+U121</f>
        <v>23</v>
      </c>
      <c r="AC121" s="52">
        <f>AB121*100/$AC$5</f>
        <v>21.100917431192659</v>
      </c>
      <c r="AD121" s="7"/>
      <c r="AE121" s="7"/>
      <c r="AF121" s="9" t="str">
        <f t="shared" si="148"/>
        <v>a) Mucho</v>
      </c>
      <c r="AG121" s="72">
        <f>J121</f>
        <v>19.047619047619047</v>
      </c>
      <c r="AH121" s="72">
        <f>L121</f>
        <v>29.411764705882355</v>
      </c>
      <c r="AI121" s="73">
        <f>H121</f>
        <v>23.684210526315788</v>
      </c>
      <c r="AJ121" s="73"/>
      <c r="AK121" s="76">
        <f>Q121</f>
        <v>23.52941176470588</v>
      </c>
      <c r="AL121" s="76">
        <f>S121</f>
        <v>13.333333333333334</v>
      </c>
      <c r="AM121" s="76">
        <f>O121</f>
        <v>18.75</v>
      </c>
      <c r="AN121" s="76"/>
      <c r="AO121" s="81">
        <f>X121</f>
        <v>14.285714285714285</v>
      </c>
      <c r="AP121" s="81">
        <f>Z121</f>
        <v>27.777777777777779</v>
      </c>
      <c r="AQ121" s="81">
        <f>V121</f>
        <v>20.512820512820511</v>
      </c>
      <c r="AR121" s="7"/>
      <c r="AS121" s="76">
        <f t="shared" si="121"/>
        <v>21.100917431192659</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ht="15" x14ac:dyDescent="0.25">
      <c r="A122" s="8" t="s">
        <v>18</v>
      </c>
      <c r="B122" s="9" t="s">
        <v>103</v>
      </c>
      <c r="C122" s="7"/>
      <c r="D122" s="7"/>
      <c r="E122" s="7"/>
      <c r="F122" s="71">
        <v>66.66</v>
      </c>
      <c r="G122" s="51">
        <f>I122+K122</f>
        <v>15</v>
      </c>
      <c r="H122" s="52">
        <f>G122/$J$5*100</f>
        <v>39.473684210526315</v>
      </c>
      <c r="I122" s="53">
        <f>COUNTIFS('00 Encuesta'!$B$2:$B$511,"*b)*",'00 Encuesta'!$C$2:$C$511,"*a)*",'00 Encuesta'!$E$2:$E$511,"*a)*",'00 Encuesta'!$Q$2:$Q$511,"*b)*")</f>
        <v>9</v>
      </c>
      <c r="J122" s="52">
        <f>I122/$J$6*100</f>
        <v>42.857142857142854</v>
      </c>
      <c r="K122" s="53">
        <f>COUNTIFS('00 Encuesta'!$B$2:$B$511,"*b)*",'00 Encuesta'!$C$2:$C$511,"*a)*",'00 Encuesta'!$E$2:$E$511,"*b)*",'00 Encuesta'!$Q$2:$Q$511,"*b)*")</f>
        <v>6</v>
      </c>
      <c r="L122" s="52">
        <f>K122/$J$7*100</f>
        <v>35.294117647058826</v>
      </c>
      <c r="M122" s="23"/>
      <c r="N122" s="51">
        <f>P122+R122</f>
        <v>20</v>
      </c>
      <c r="O122" s="52">
        <f>N122/$Q$5*100</f>
        <v>62.5</v>
      </c>
      <c r="P122" s="53">
        <f>COUNTIFS('00 Encuesta'!$B$2:$B$511,"*b)*",'00 Encuesta'!$C$2:$C$511,"*b)*",'00 Encuesta'!$E$2:$E$511,"*a)*",'00 Encuesta'!$Q$2:$Q$511,"*b)*")</f>
        <v>10</v>
      </c>
      <c r="Q122" s="52">
        <f>P122/$Q$6*100</f>
        <v>58.82352941176471</v>
      </c>
      <c r="R122" s="53">
        <f>COUNTIFS('00 Encuesta'!$B$2:$B$511,"*b)*",'00 Encuesta'!$C$2:$C$511,"*b)*",'00 Encuesta'!$E$2:$E$511,"*b)*",'00 Encuesta'!$Q$2:$Q$511,"*b)*")</f>
        <v>10</v>
      </c>
      <c r="S122" s="52">
        <f>R122/$Q$7*100</f>
        <v>66.666666666666657</v>
      </c>
      <c r="T122" s="3"/>
      <c r="U122" s="51">
        <f>W122+Y122</f>
        <v>19</v>
      </c>
      <c r="V122" s="52">
        <f>U122/$X$5*100</f>
        <v>48.717948717948715</v>
      </c>
      <c r="W122" s="53">
        <f>COUNTIFS('00 Encuesta'!$B$2:$B$511,"*b)*",'00 Encuesta'!$C$2:$C$511,"*c)*",'00 Encuesta'!$E$2:$E$511,"*a)*",'00 Encuesta'!$Q$2:$Q$511,"*b)*")</f>
        <v>12</v>
      </c>
      <c r="X122" s="52">
        <f>W122/$X$6*100</f>
        <v>57.142857142857139</v>
      </c>
      <c r="Y122" s="53">
        <f>COUNTIFS('00 Encuesta'!$B$2:$B$511,"*b)*",'00 Encuesta'!$C$2:$C$511,"*c)*",'00 Encuesta'!$E$2:$E$511,"*b)*",'00 Encuesta'!$Q$2:$Q$511,"*b)*")</f>
        <v>7</v>
      </c>
      <c r="Z122" s="52">
        <f>Y122/$X$7*100</f>
        <v>38.888888888888893</v>
      </c>
      <c r="AA122" s="3"/>
      <c r="AB122" s="62">
        <f>G122+N122+U122</f>
        <v>54</v>
      </c>
      <c r="AC122" s="52">
        <f>AB122*100/$AC$5</f>
        <v>49.541284403669728</v>
      </c>
      <c r="AD122" s="7"/>
      <c r="AE122" s="7"/>
      <c r="AF122" s="9" t="str">
        <f t="shared" si="148"/>
        <v>b) Suficiente</v>
      </c>
      <c r="AG122" s="72">
        <f>J122</f>
        <v>42.857142857142854</v>
      </c>
      <c r="AH122" s="72">
        <f>L122</f>
        <v>35.294117647058826</v>
      </c>
      <c r="AI122" s="73">
        <f>H122</f>
        <v>39.473684210526315</v>
      </c>
      <c r="AJ122" s="73"/>
      <c r="AK122" s="76">
        <f>Q122</f>
        <v>58.82352941176471</v>
      </c>
      <c r="AL122" s="76">
        <f>S122</f>
        <v>66.666666666666657</v>
      </c>
      <c r="AM122" s="76">
        <f>O122</f>
        <v>62.5</v>
      </c>
      <c r="AN122" s="76"/>
      <c r="AO122" s="81">
        <f>X122</f>
        <v>57.142857142857139</v>
      </c>
      <c r="AP122" s="81">
        <f>Z122</f>
        <v>38.888888888888893</v>
      </c>
      <c r="AQ122" s="81">
        <f>V122</f>
        <v>48.717948717948715</v>
      </c>
      <c r="AR122" s="7"/>
      <c r="AS122" s="76">
        <f t="shared" si="121"/>
        <v>49.541284403669728</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ht="15" x14ac:dyDescent="0.25">
      <c r="A123" s="8" t="s">
        <v>20</v>
      </c>
      <c r="B123" s="9" t="s">
        <v>104</v>
      </c>
      <c r="C123" s="7"/>
      <c r="D123" s="7"/>
      <c r="E123" s="7"/>
      <c r="F123" s="71">
        <v>33.33</v>
      </c>
      <c r="G123" s="51">
        <f>I123+K123</f>
        <v>7</v>
      </c>
      <c r="H123" s="52">
        <f>G123/$J$5*100</f>
        <v>18.421052631578945</v>
      </c>
      <c r="I123" s="53">
        <f>COUNTIFS('00 Encuesta'!$B$2:$B$511,"*b)*",'00 Encuesta'!$C$2:$C$511,"*a)*",'00 Encuesta'!$E$2:$E$511,"*a)*",'00 Encuesta'!$Q$2:$Q$511,"*c)*")</f>
        <v>5</v>
      </c>
      <c r="J123" s="52">
        <f>I123/$J$6*100</f>
        <v>23.809523809523807</v>
      </c>
      <c r="K123" s="53">
        <f>COUNTIFS('00 Encuesta'!$B$2:$B$511,"*b)*",'00 Encuesta'!$C$2:$C$511,"*a)*",'00 Encuesta'!$E$2:$E$511,"*b)*",'00 Encuesta'!$Q$2:$Q$511,"*c)*")</f>
        <v>2</v>
      </c>
      <c r="L123" s="52">
        <f>K123/$J$7*100</f>
        <v>11.76470588235294</v>
      </c>
      <c r="M123" s="23"/>
      <c r="N123" s="51">
        <f>P123+R123</f>
        <v>6</v>
      </c>
      <c r="O123" s="52">
        <f>N123/$Q$5*100</f>
        <v>18.75</v>
      </c>
      <c r="P123" s="53">
        <f>COUNTIFS('00 Encuesta'!$B$2:$B$511,"*b)*",'00 Encuesta'!$C$2:$C$511,"*b)*",'00 Encuesta'!$E$2:$E$511,"*a)*",'00 Encuesta'!$Q$2:$Q$511,"*c)*")</f>
        <v>3</v>
      </c>
      <c r="Q123" s="52">
        <f>P123/$Q$6*100</f>
        <v>17.647058823529413</v>
      </c>
      <c r="R123" s="53">
        <f>COUNTIFS('00 Encuesta'!$B$2:$B$511,"*b)*",'00 Encuesta'!$C$2:$C$511,"*b)*",'00 Encuesta'!$E$2:$E$511,"*b)*",'00 Encuesta'!$Q$2:$Q$511,"*c)*")</f>
        <v>3</v>
      </c>
      <c r="S123" s="52">
        <f>R123/$Q$7*100</f>
        <v>20</v>
      </c>
      <c r="T123" s="3"/>
      <c r="U123" s="51">
        <f>W123+Y123</f>
        <v>8</v>
      </c>
      <c r="V123" s="52">
        <f>U123/$X$5*100</f>
        <v>20.512820512820511</v>
      </c>
      <c r="W123" s="53">
        <f>COUNTIFS('00 Encuesta'!$B$2:$B$511,"*b)*",'00 Encuesta'!$C$2:$C$511,"*c)*",'00 Encuesta'!$E$2:$E$511,"*a)*",'00 Encuesta'!$Q$2:$Q$511,"*c)*")</f>
        <v>4</v>
      </c>
      <c r="X123" s="52">
        <f>W123/$X$6*100</f>
        <v>19.047619047619047</v>
      </c>
      <c r="Y123" s="53">
        <f>COUNTIFS('00 Encuesta'!$B$2:$B$511,"*b)*",'00 Encuesta'!$C$2:$C$511,"*c)*",'00 Encuesta'!$E$2:$E$511,"*b)*",'00 Encuesta'!$Q$2:$Q$511,"*c)*")</f>
        <v>4</v>
      </c>
      <c r="Z123" s="52">
        <f>Y123/$X$7*100</f>
        <v>22.222222222222221</v>
      </c>
      <c r="AA123" s="3"/>
      <c r="AB123" s="62">
        <f>G123+N123+U123</f>
        <v>21</v>
      </c>
      <c r="AC123" s="52">
        <f>AB123*100/$AC$5</f>
        <v>19.26605504587156</v>
      </c>
      <c r="AD123" s="7"/>
      <c r="AE123" s="7"/>
      <c r="AF123" s="9" t="str">
        <f t="shared" si="148"/>
        <v>c) Poco</v>
      </c>
      <c r="AG123" s="72">
        <f>J123</f>
        <v>23.809523809523807</v>
      </c>
      <c r="AH123" s="72">
        <f>L123</f>
        <v>11.76470588235294</v>
      </c>
      <c r="AI123" s="73">
        <f>H123</f>
        <v>18.421052631578945</v>
      </c>
      <c r="AJ123" s="73"/>
      <c r="AK123" s="76">
        <f>Q123</f>
        <v>17.647058823529413</v>
      </c>
      <c r="AL123" s="76">
        <f>S123</f>
        <v>20</v>
      </c>
      <c r="AM123" s="76">
        <f>O123</f>
        <v>18.75</v>
      </c>
      <c r="AN123" s="76"/>
      <c r="AO123" s="81">
        <f>X123</f>
        <v>19.047619047619047</v>
      </c>
      <c r="AP123" s="81">
        <f>Z123</f>
        <v>22.222222222222221</v>
      </c>
      <c r="AQ123" s="81">
        <f>V123</f>
        <v>20.512820512820511</v>
      </c>
      <c r="AR123" s="7"/>
      <c r="AS123" s="76">
        <f t="shared" si="121"/>
        <v>19.26605504587156</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ht="15" x14ac:dyDescent="0.25">
      <c r="A124" s="8" t="s">
        <v>21</v>
      </c>
      <c r="B124" s="9" t="s">
        <v>105</v>
      </c>
      <c r="C124" s="7"/>
      <c r="D124" s="7"/>
      <c r="E124" s="7"/>
      <c r="F124" s="71">
        <v>0</v>
      </c>
      <c r="G124" s="51">
        <f>I124+K124</f>
        <v>1</v>
      </c>
      <c r="H124" s="52">
        <f>G124/$J$5*100</f>
        <v>2.6315789473684208</v>
      </c>
      <c r="I124" s="53">
        <f>COUNTIFS('00 Encuesta'!$B$2:$B$511,"*b)*",'00 Encuesta'!$C$2:$C$511,"*a)*",'00 Encuesta'!$E$2:$E$511,"*a)*",'00 Encuesta'!$Q$2:$Q$511,"*d)*")</f>
        <v>0</v>
      </c>
      <c r="J124" s="52">
        <f>I124/$J$6*100</f>
        <v>0</v>
      </c>
      <c r="K124" s="53">
        <f>COUNTIFS('00 Encuesta'!$B$2:$B$511,"*b)*",'00 Encuesta'!$C$2:$C$511,"*a)*",'00 Encuesta'!$E$2:$E$511,"*b)*",'00 Encuesta'!$Q$2:$Q$511,"*d)*")</f>
        <v>1</v>
      </c>
      <c r="L124" s="52">
        <f>K124/$J$7*100</f>
        <v>5.8823529411764701</v>
      </c>
      <c r="M124" s="23"/>
      <c r="N124" s="51">
        <f>P124+R124</f>
        <v>0</v>
      </c>
      <c r="O124" s="52">
        <f>N124/$Q$5*100</f>
        <v>0</v>
      </c>
      <c r="P124" s="53">
        <f>COUNTIFS('00 Encuesta'!$B$2:$B$511,"*b)*",'00 Encuesta'!$C$2:$C$511,"*b)*",'00 Encuesta'!$E$2:$E$511,"*a)*",'00 Encuesta'!$Q$2:$Q$511,"*d)*")</f>
        <v>0</v>
      </c>
      <c r="Q124" s="52">
        <f>P124/$Q$6*100</f>
        <v>0</v>
      </c>
      <c r="R124" s="53">
        <f>COUNTIFS('00 Encuesta'!$B$2:$B$511,"*b)*",'00 Encuesta'!$C$2:$C$511,"*b)*",'00 Encuesta'!$E$2:$E$511,"*b)*",'00 Encuesta'!$Q$2:$Q$511,"*d)*")</f>
        <v>0</v>
      </c>
      <c r="S124" s="52">
        <f>R124/$Q$7*100</f>
        <v>0</v>
      </c>
      <c r="T124" s="3"/>
      <c r="U124" s="51">
        <f>W124+Y124</f>
        <v>3</v>
      </c>
      <c r="V124" s="52">
        <f>U124/$X$5*100</f>
        <v>7.6923076923076925</v>
      </c>
      <c r="W124" s="53">
        <f>COUNTIFS('00 Encuesta'!$B$2:$B$511,"*b)*",'00 Encuesta'!$C$2:$C$511,"*c)*",'00 Encuesta'!$E$2:$E$511,"*a)*",'00 Encuesta'!$Q$2:$Q$511,"*d)*")</f>
        <v>2</v>
      </c>
      <c r="X124" s="52">
        <f>W124/$X$6*100</f>
        <v>9.5238095238095237</v>
      </c>
      <c r="Y124" s="53">
        <f>COUNTIFS('00 Encuesta'!$B$2:$B$511,"*b)*",'00 Encuesta'!$C$2:$C$511,"*c)*",'00 Encuesta'!$E$2:$E$511,"*b)*",'00 Encuesta'!$Q$2:$Q$511,"*d)*")</f>
        <v>1</v>
      </c>
      <c r="Z124" s="52">
        <f>Y124/$X$7*100</f>
        <v>5.5555555555555554</v>
      </c>
      <c r="AA124" s="3"/>
      <c r="AB124" s="62">
        <f>G124+N124+U124</f>
        <v>4</v>
      </c>
      <c r="AC124" s="52">
        <f>AB124*100/$AC$5</f>
        <v>3.669724770642202</v>
      </c>
      <c r="AD124" s="7"/>
      <c r="AE124" s="7"/>
      <c r="AF124" s="9" t="str">
        <f t="shared" si="148"/>
        <v>d) Nada</v>
      </c>
      <c r="AG124" s="72">
        <f>J124</f>
        <v>0</v>
      </c>
      <c r="AH124" s="72">
        <f>L124</f>
        <v>5.8823529411764701</v>
      </c>
      <c r="AI124" s="73">
        <f>H124</f>
        <v>2.6315789473684208</v>
      </c>
      <c r="AJ124" s="73"/>
      <c r="AK124" s="76">
        <f>Q124</f>
        <v>0</v>
      </c>
      <c r="AL124" s="76">
        <f>S124</f>
        <v>0</v>
      </c>
      <c r="AM124" s="76">
        <f>O124</f>
        <v>0</v>
      </c>
      <c r="AN124" s="76"/>
      <c r="AO124" s="81">
        <f>X124</f>
        <v>9.5238095238095237</v>
      </c>
      <c r="AP124" s="81">
        <f>Z124</f>
        <v>5.5555555555555554</v>
      </c>
      <c r="AQ124" s="81">
        <f>V124</f>
        <v>7.6923076923076925</v>
      </c>
      <c r="AR124" s="7"/>
      <c r="AS124" s="76">
        <f t="shared" si="121"/>
        <v>3.669724770642202</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ht="15" x14ac:dyDescent="0.25">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f>N125/$Q$5*100</f>
        <v>0</v>
      </c>
      <c r="P125" s="53"/>
      <c r="Q125" s="52">
        <f>P125/$Q$6*100</f>
        <v>0</v>
      </c>
      <c r="R125" s="53"/>
      <c r="S125" s="52">
        <f>R125/$Q$7*100</f>
        <v>0</v>
      </c>
      <c r="T125" s="3"/>
      <c r="U125" s="51">
        <f>W125+Y125</f>
        <v>0</v>
      </c>
      <c r="V125" s="52">
        <f>U125/$X$5*100</f>
        <v>0</v>
      </c>
      <c r="W125" s="53"/>
      <c r="X125" s="52">
        <f>W125/$X$6*100</f>
        <v>0</v>
      </c>
      <c r="Y125" s="53"/>
      <c r="Z125" s="52">
        <f>Y125/$X$7*100</f>
        <v>0</v>
      </c>
      <c r="AA125" s="3"/>
      <c r="AB125" s="62">
        <f>G125+N125+U125</f>
        <v>0</v>
      </c>
      <c r="AC125" s="52">
        <f>AB125*100/$AC$5</f>
        <v>0</v>
      </c>
      <c r="AD125" s="7"/>
      <c r="AE125" s="7"/>
      <c r="AF125" s="9" t="str">
        <f t="shared" si="148"/>
        <v>S/R Sin Respuesta</v>
      </c>
      <c r="AG125" s="72">
        <f>J125</f>
        <v>0</v>
      </c>
      <c r="AH125" s="72">
        <f>L125</f>
        <v>0</v>
      </c>
      <c r="AI125" s="73">
        <f>H125</f>
        <v>0</v>
      </c>
      <c r="AJ125" s="73"/>
      <c r="AK125" s="76">
        <f>Q125</f>
        <v>0</v>
      </c>
      <c r="AL125" s="76">
        <f>S125</f>
        <v>0</v>
      </c>
      <c r="AM125" s="76">
        <f>O125</f>
        <v>0</v>
      </c>
      <c r="AN125" s="76"/>
      <c r="AO125" s="81">
        <f>X125</f>
        <v>0</v>
      </c>
      <c r="AP125" s="81">
        <f>Z125</f>
        <v>0</v>
      </c>
      <c r="AQ125" s="81">
        <f>V125</f>
        <v>0</v>
      </c>
      <c r="AR125" s="7"/>
      <c r="AS125" s="76">
        <f t="shared" si="121"/>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ht="15" x14ac:dyDescent="0.25">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64.810555555555553</v>
      </c>
      <c r="AH126" s="82">
        <f>($F121*K121+$F122*K122+$F123*K123+$F124*K124)/(+K121+K122+K123+K124)</f>
        <v>69.044285714285721</v>
      </c>
      <c r="AI126" s="82">
        <f>($F121*G121+$F122*G122+$F123*G123+$F124*G124)/(G121+G122+G123+G124)</f>
        <v>66.662812500000001</v>
      </c>
      <c r="AJ126" s="82"/>
      <c r="AK126" s="82">
        <f>($F121*P121+$F122*P122+$F123*P123+$F124*P124)/(P121+P122+P123+P124)</f>
        <v>68.62294117647059</v>
      </c>
      <c r="AL126" s="82">
        <f>($F121*R121+$F122*R122+$F123*R123+$F124*R124)/(R121+R122+R123+R124)</f>
        <v>64.439333333333323</v>
      </c>
      <c r="AM126" s="82">
        <f>($F121*N121+$F122*N122+$F123*N123+$F124*N124)/(N121+N122+N123+N124)</f>
        <v>66.661874999999995</v>
      </c>
      <c r="AN126" s="82"/>
      <c r="AO126" s="82">
        <f>($F121*W121+$F122*W122+$F123*W123+$F124*W124)/(W121+W122+W123+W124)</f>
        <v>58.72571428571429</v>
      </c>
      <c r="AP126" s="82">
        <f>($F121*Y121+$F122*Y122+$F123*Y123+$F124*Y124)/(Y121+Y122+Y123+Y124)</f>
        <v>64.702352941176471</v>
      </c>
      <c r="AQ126" s="82">
        <f>($F121*U121+$F122*U122+$F123*U123+$F124*U124)/(U121+U122+U123+U124)</f>
        <v>61.39947368421052</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ht="15" x14ac:dyDescent="0.25">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ht="15" x14ac:dyDescent="0.25">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ht="15" x14ac:dyDescent="0.25">
      <c r="A130" s="8" t="s">
        <v>17</v>
      </c>
      <c r="B130" s="9" t="s">
        <v>80</v>
      </c>
      <c r="C130" s="7"/>
      <c r="D130" s="7"/>
      <c r="E130" s="7"/>
      <c r="F130" s="71"/>
      <c r="G130" s="51">
        <f t="shared" ref="G130:G140" si="149">I130+K130</f>
        <v>14</v>
      </c>
      <c r="H130" s="52">
        <f t="shared" ref="H130:H140" si="150">G130/$J$5*100</f>
        <v>36.84210526315789</v>
      </c>
      <c r="I130" s="53">
        <f>COUNTIFS('00 Encuesta'!$B$2:$B$511,"*b)*",'00 Encuesta'!$C$2:$C$511,"*a)*",'00 Encuesta'!$E$2:$E$511,"*a)*",'00 Encuesta'!$R$2:$R$511,"*a)*")</f>
        <v>8</v>
      </c>
      <c r="J130" s="52">
        <f t="shared" ref="J130:J140" si="151">I130/$J$6*100</f>
        <v>38.095238095238095</v>
      </c>
      <c r="K130" s="53">
        <f>COUNTIFS('00 Encuesta'!$B$2:$B$511,"*b)*",'00 Encuesta'!$C$2:$C$511,"*a)*",'00 Encuesta'!$E$2:$E$511,"*b)*",'00 Encuesta'!$R$2:$R$511,"*a)*")</f>
        <v>6</v>
      </c>
      <c r="L130" s="52">
        <f t="shared" ref="L130:L140" si="152">K130/$J$7*100</f>
        <v>35.294117647058826</v>
      </c>
      <c r="M130" s="23"/>
      <c r="N130" s="51">
        <f t="shared" ref="N130:N140" si="153">P130+R130</f>
        <v>20</v>
      </c>
      <c r="O130" s="52">
        <f t="shared" ref="O130:O140" si="154">N130/$Q$5*100</f>
        <v>62.5</v>
      </c>
      <c r="P130" s="53">
        <f>COUNTIFS('00 Encuesta'!$B$2:$B$511,"*b)*",'00 Encuesta'!$C$2:$C$511,"*b)*",'00 Encuesta'!$E$2:$E$511,"*a)*",'00 Encuesta'!$R$2:$R$511,"*a)*")</f>
        <v>10</v>
      </c>
      <c r="Q130" s="52">
        <f t="shared" ref="Q130:Q140" si="155">P130/$Q$6*100</f>
        <v>58.82352941176471</v>
      </c>
      <c r="R130" s="53">
        <f>COUNTIFS('00 Encuesta'!$B$2:$B$511,"*b)*",'00 Encuesta'!$C$2:$C$511,"*b)*",'00 Encuesta'!$E$2:$E$511,"*b)*",'00 Encuesta'!$R$2:$R$511,"*a)*")</f>
        <v>10</v>
      </c>
      <c r="S130" s="52">
        <f t="shared" ref="S130:S140" si="156">R130/$Q$7*100</f>
        <v>66.666666666666657</v>
      </c>
      <c r="T130" s="3"/>
      <c r="U130" s="51">
        <f t="shared" ref="U130:U140" si="157">W130+Y130</f>
        <v>26</v>
      </c>
      <c r="V130" s="52">
        <f t="shared" ref="V130:V140" si="158">U130/$X$5*100</f>
        <v>66.666666666666657</v>
      </c>
      <c r="W130" s="53">
        <f>COUNTIFS('00 Encuesta'!$B$2:$B$511,"*b)*",'00 Encuesta'!$C$2:$C$511,"*c)*",'00 Encuesta'!$E$2:$E$511,"*a)*",'00 Encuesta'!$R$2:$R$511,"*a)*")</f>
        <v>12</v>
      </c>
      <c r="X130" s="52">
        <f t="shared" ref="X130:X140" si="159">W130/$X$6*100</f>
        <v>57.142857142857139</v>
      </c>
      <c r="Y130" s="53">
        <f>COUNTIFS('00 Encuesta'!$B$2:$B$511,"*b)*",'00 Encuesta'!$C$2:$C$511,"*c)*",'00 Encuesta'!$E$2:$E$511,"*b)*",'00 Encuesta'!$R$2:$R$511,"*a)*")</f>
        <v>14</v>
      </c>
      <c r="Z130" s="52">
        <f t="shared" ref="Z130:Z140" si="160">Y130/$X$7*100</f>
        <v>77.777777777777786</v>
      </c>
      <c r="AA130" s="3"/>
      <c r="AB130" s="62">
        <f t="shared" ref="AB130:AB140" si="161">G130+N130+U130</f>
        <v>60</v>
      </c>
      <c r="AC130" s="52">
        <f t="shared" ref="AC130:AC140" si="162">AB130*100/$AC$5</f>
        <v>55.045871559633028</v>
      </c>
      <c r="AD130" s="7"/>
      <c r="AE130" s="7"/>
      <c r="AF130" s="9" t="str">
        <f t="shared" ref="AF130:AF141" si="163">A130&amp;" "&amp;B130</f>
        <v>a) La familia</v>
      </c>
      <c r="AG130" s="72">
        <f t="shared" ref="AG130:AG141" si="164">J130</f>
        <v>38.095238095238095</v>
      </c>
      <c r="AH130" s="72">
        <f t="shared" ref="AH130:AH141" si="165">L130</f>
        <v>35.294117647058826</v>
      </c>
      <c r="AI130" s="73">
        <f t="shared" ref="AI130:AI141" si="166">H130</f>
        <v>36.84210526315789</v>
      </c>
      <c r="AJ130" s="73"/>
      <c r="AK130" s="76">
        <f t="shared" ref="AK130:AK141" si="167">Q130</f>
        <v>58.82352941176471</v>
      </c>
      <c r="AL130" s="76">
        <f t="shared" ref="AL130:AL141" si="168">S130</f>
        <v>66.666666666666657</v>
      </c>
      <c r="AM130" s="76">
        <f t="shared" ref="AM130:AM141" si="169">O130</f>
        <v>62.5</v>
      </c>
      <c r="AN130" s="76"/>
      <c r="AO130" s="81">
        <f t="shared" ref="AO130:AO141" si="170">X130</f>
        <v>57.142857142857139</v>
      </c>
      <c r="AP130" s="81">
        <f t="shared" ref="AP130:AP141" si="171">Z130</f>
        <v>77.777777777777786</v>
      </c>
      <c r="AQ130" s="81">
        <f t="shared" ref="AQ130:AQ141" si="172">V130</f>
        <v>66.666666666666657</v>
      </c>
      <c r="AR130" s="7"/>
      <c r="AS130" s="76">
        <f t="shared" si="121"/>
        <v>55.045871559633028</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ht="15" x14ac:dyDescent="0.25">
      <c r="A131" s="8" t="s">
        <v>18</v>
      </c>
      <c r="B131" s="9" t="s">
        <v>81</v>
      </c>
      <c r="C131" s="7"/>
      <c r="D131" s="7"/>
      <c r="E131" s="7"/>
      <c r="F131" s="71"/>
      <c r="G131" s="51">
        <f t="shared" si="149"/>
        <v>4</v>
      </c>
      <c r="H131" s="52">
        <f t="shared" si="150"/>
        <v>10.526315789473683</v>
      </c>
      <c r="I131" s="53">
        <f>COUNTIFS('00 Encuesta'!$B$2:$B$511,"*b)*",'00 Encuesta'!$C$2:$C$511,"*a)*",'00 Encuesta'!$E$2:$E$511,"*a)*",'00 Encuesta'!$R$2:$R$511,"*b)*")</f>
        <v>0</v>
      </c>
      <c r="J131" s="52">
        <f t="shared" si="151"/>
        <v>0</v>
      </c>
      <c r="K131" s="53">
        <f>COUNTIFS('00 Encuesta'!$B$2:$B$511,"*b)*",'00 Encuesta'!$C$2:$C$511,"*a)*",'00 Encuesta'!$E$2:$E$511,"*b)*",'00 Encuesta'!$R$2:$R$511,"*b)*")</f>
        <v>4</v>
      </c>
      <c r="L131" s="52">
        <f t="shared" si="152"/>
        <v>23.52941176470588</v>
      </c>
      <c r="M131" s="23"/>
      <c r="N131" s="51">
        <f t="shared" si="153"/>
        <v>5</v>
      </c>
      <c r="O131" s="52">
        <f t="shared" si="154"/>
        <v>15.625</v>
      </c>
      <c r="P131" s="53">
        <f>COUNTIFS('00 Encuesta'!$B$2:$B$511,"*b)*",'00 Encuesta'!$C$2:$C$511,"*b)*",'00 Encuesta'!$E$2:$E$511,"*a)*",'00 Encuesta'!$R$2:$R$511,"*b)*")</f>
        <v>4</v>
      </c>
      <c r="Q131" s="52">
        <f t="shared" si="155"/>
        <v>23.52941176470588</v>
      </c>
      <c r="R131" s="53">
        <f>COUNTIFS('00 Encuesta'!$B$2:$B$511,"*b)*",'00 Encuesta'!$C$2:$C$511,"*b)*",'00 Encuesta'!$E$2:$E$511,"*b)*",'00 Encuesta'!$R$2:$R$511,"*b)*")</f>
        <v>1</v>
      </c>
      <c r="S131" s="52">
        <f t="shared" si="156"/>
        <v>6.666666666666667</v>
      </c>
      <c r="T131" s="3"/>
      <c r="U131" s="51">
        <f t="shared" si="157"/>
        <v>8</v>
      </c>
      <c r="V131" s="52">
        <f t="shared" si="158"/>
        <v>20.512820512820511</v>
      </c>
      <c r="W131" s="53">
        <f>COUNTIFS('00 Encuesta'!$B$2:$B$511,"*b)*",'00 Encuesta'!$C$2:$C$511,"*c)*",'00 Encuesta'!$E$2:$E$511,"*a)*",'00 Encuesta'!$R$2:$R$511,"*b)*")</f>
        <v>5</v>
      </c>
      <c r="X131" s="52">
        <f t="shared" si="159"/>
        <v>23.809523809523807</v>
      </c>
      <c r="Y131" s="53">
        <f>COUNTIFS('00 Encuesta'!$B$2:$B$511,"*b)*",'00 Encuesta'!$C$2:$C$511,"*c)*",'00 Encuesta'!$E$2:$E$511,"*b)*",'00 Encuesta'!$R$2:$R$511,"*b)*")</f>
        <v>3</v>
      </c>
      <c r="Z131" s="52">
        <f t="shared" si="160"/>
        <v>16.666666666666664</v>
      </c>
      <c r="AA131" s="3"/>
      <c r="AB131" s="62">
        <f t="shared" si="161"/>
        <v>17</v>
      </c>
      <c r="AC131" s="52">
        <f t="shared" si="162"/>
        <v>15.596330275229358</v>
      </c>
      <c r="AD131" s="7"/>
      <c r="AE131" s="7"/>
      <c r="AF131" s="9" t="str">
        <f t="shared" si="163"/>
        <v>b) Los amigos</v>
      </c>
      <c r="AG131" s="72">
        <f t="shared" si="164"/>
        <v>0</v>
      </c>
      <c r="AH131" s="72">
        <f t="shared" si="165"/>
        <v>23.52941176470588</v>
      </c>
      <c r="AI131" s="73">
        <f t="shared" si="166"/>
        <v>10.526315789473683</v>
      </c>
      <c r="AJ131" s="73"/>
      <c r="AK131" s="76">
        <f t="shared" si="167"/>
        <v>23.52941176470588</v>
      </c>
      <c r="AL131" s="76">
        <f t="shared" si="168"/>
        <v>6.666666666666667</v>
      </c>
      <c r="AM131" s="76">
        <f t="shared" si="169"/>
        <v>15.625</v>
      </c>
      <c r="AN131" s="76"/>
      <c r="AO131" s="81">
        <f t="shared" si="170"/>
        <v>23.809523809523807</v>
      </c>
      <c r="AP131" s="81">
        <f t="shared" si="171"/>
        <v>16.666666666666664</v>
      </c>
      <c r="AQ131" s="81">
        <f t="shared" si="172"/>
        <v>20.512820512820511</v>
      </c>
      <c r="AR131" s="7"/>
      <c r="AS131" s="76">
        <f t="shared" si="121"/>
        <v>15.596330275229358</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ht="15" x14ac:dyDescent="0.25">
      <c r="A132" s="8" t="s">
        <v>20</v>
      </c>
      <c r="B132" s="9" t="s">
        <v>82</v>
      </c>
      <c r="C132" s="7"/>
      <c r="D132" s="7"/>
      <c r="E132" s="7"/>
      <c r="F132" s="71"/>
      <c r="G132" s="51">
        <f t="shared" si="149"/>
        <v>20</v>
      </c>
      <c r="H132" s="52">
        <f t="shared" si="150"/>
        <v>52.631578947368418</v>
      </c>
      <c r="I132" s="53">
        <f>COUNTIFS('00 Encuesta'!$B$2:$B$511,"*b)*",'00 Encuesta'!$C$2:$C$511,"*a)*",'00 Encuesta'!$E$2:$E$511,"*a)*",'00 Encuesta'!$R$2:$R$511,"*c)*")</f>
        <v>12</v>
      </c>
      <c r="J132" s="52">
        <f t="shared" si="151"/>
        <v>57.142857142857139</v>
      </c>
      <c r="K132" s="53">
        <f>COUNTIFS('00 Encuesta'!$B$2:$B$511,"*b)*",'00 Encuesta'!$C$2:$C$511,"*a)*",'00 Encuesta'!$E$2:$E$511,"*b)*",'00 Encuesta'!$R$2:$R$511,"*c)*")</f>
        <v>8</v>
      </c>
      <c r="L132" s="52">
        <f t="shared" si="152"/>
        <v>47.058823529411761</v>
      </c>
      <c r="M132" s="23"/>
      <c r="N132" s="51">
        <f t="shared" si="153"/>
        <v>27</v>
      </c>
      <c r="O132" s="52">
        <f t="shared" si="154"/>
        <v>84.375</v>
      </c>
      <c r="P132" s="53">
        <f>COUNTIFS('00 Encuesta'!$B$2:$B$511,"*b)*",'00 Encuesta'!$C$2:$C$511,"*b)*",'00 Encuesta'!$E$2:$E$511,"*a)*",'00 Encuesta'!$R$2:$R$511,"*c)*")</f>
        <v>15</v>
      </c>
      <c r="Q132" s="52">
        <f t="shared" si="155"/>
        <v>88.235294117647058</v>
      </c>
      <c r="R132" s="53">
        <f>COUNTIFS('00 Encuesta'!$B$2:$B$511,"*b)*",'00 Encuesta'!$C$2:$C$511,"*b)*",'00 Encuesta'!$E$2:$E$511,"*b)*",'00 Encuesta'!$R$2:$R$511,"*c)*")</f>
        <v>12</v>
      </c>
      <c r="S132" s="52">
        <f t="shared" si="156"/>
        <v>80</v>
      </c>
      <c r="T132" s="3"/>
      <c r="U132" s="51">
        <f t="shared" si="157"/>
        <v>28</v>
      </c>
      <c r="V132" s="52">
        <f t="shared" si="158"/>
        <v>71.794871794871796</v>
      </c>
      <c r="W132" s="53">
        <f>COUNTIFS('00 Encuesta'!$B$2:$B$511,"*b)*",'00 Encuesta'!$C$2:$C$511,"*c)*",'00 Encuesta'!$E$2:$E$511,"*a)*",'00 Encuesta'!$R$2:$R$511,"*c)*")</f>
        <v>14</v>
      </c>
      <c r="X132" s="52">
        <f t="shared" si="159"/>
        <v>66.666666666666657</v>
      </c>
      <c r="Y132" s="53">
        <f>COUNTIFS('00 Encuesta'!$B$2:$B$511,"*b)*",'00 Encuesta'!$C$2:$C$511,"*c)*",'00 Encuesta'!$E$2:$E$511,"*b)*",'00 Encuesta'!$R$2:$R$511,"*c)*")</f>
        <v>14</v>
      </c>
      <c r="Z132" s="52">
        <f t="shared" si="160"/>
        <v>77.777777777777786</v>
      </c>
      <c r="AA132" s="3"/>
      <c r="AB132" s="62">
        <f t="shared" si="161"/>
        <v>75</v>
      </c>
      <c r="AC132" s="52">
        <f t="shared" si="162"/>
        <v>68.807339449541288</v>
      </c>
      <c r="AD132" s="7"/>
      <c r="AE132" s="7"/>
      <c r="AF132" s="9" t="str">
        <f t="shared" si="163"/>
        <v>c) Los estudios</v>
      </c>
      <c r="AG132" s="72">
        <f t="shared" si="164"/>
        <v>57.142857142857139</v>
      </c>
      <c r="AH132" s="72">
        <f t="shared" si="165"/>
        <v>47.058823529411761</v>
      </c>
      <c r="AI132" s="73">
        <f t="shared" si="166"/>
        <v>52.631578947368418</v>
      </c>
      <c r="AJ132" s="73"/>
      <c r="AK132" s="76">
        <f t="shared" si="167"/>
        <v>88.235294117647058</v>
      </c>
      <c r="AL132" s="76">
        <f t="shared" si="168"/>
        <v>80</v>
      </c>
      <c r="AM132" s="76">
        <f t="shared" si="169"/>
        <v>84.375</v>
      </c>
      <c r="AN132" s="76"/>
      <c r="AO132" s="81">
        <f t="shared" si="170"/>
        <v>66.666666666666657</v>
      </c>
      <c r="AP132" s="81">
        <f t="shared" si="171"/>
        <v>77.777777777777786</v>
      </c>
      <c r="AQ132" s="81">
        <f t="shared" si="172"/>
        <v>71.794871794871796</v>
      </c>
      <c r="AR132" s="7"/>
      <c r="AS132" s="76">
        <f t="shared" si="121"/>
        <v>68.807339449541288</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ht="15" x14ac:dyDescent="0.25">
      <c r="A133" s="8" t="s">
        <v>21</v>
      </c>
      <c r="B133" s="9" t="s">
        <v>83</v>
      </c>
      <c r="C133" s="7"/>
      <c r="D133" s="7"/>
      <c r="E133" s="7"/>
      <c r="F133" s="71"/>
      <c r="G133" s="51">
        <f t="shared" si="149"/>
        <v>8</v>
      </c>
      <c r="H133" s="52">
        <f t="shared" si="150"/>
        <v>21.052631578947366</v>
      </c>
      <c r="I133" s="53">
        <f>COUNTIFS('00 Encuesta'!$B$2:$B$511,"*b)*",'00 Encuesta'!$C$2:$C$511,"*a)*",'00 Encuesta'!$E$2:$E$511,"*a)*",'00 Encuesta'!$R$2:$R$511,"*d)*")</f>
        <v>3</v>
      </c>
      <c r="J133" s="52">
        <f t="shared" si="151"/>
        <v>14.285714285714285</v>
      </c>
      <c r="K133" s="53">
        <f>COUNTIFS('00 Encuesta'!$B$2:$B$511,"*b)*",'00 Encuesta'!$C$2:$C$511,"*a)*",'00 Encuesta'!$E$2:$E$511,"*b)*",'00 Encuesta'!$R$2:$R$511,"*d)*")</f>
        <v>5</v>
      </c>
      <c r="L133" s="52">
        <f t="shared" si="152"/>
        <v>29.411764705882355</v>
      </c>
      <c r="M133" s="23"/>
      <c r="N133" s="51">
        <f t="shared" si="153"/>
        <v>6</v>
      </c>
      <c r="O133" s="52">
        <f t="shared" si="154"/>
        <v>18.75</v>
      </c>
      <c r="P133" s="53">
        <f>COUNTIFS('00 Encuesta'!$B$2:$B$511,"*b)*",'00 Encuesta'!$C$2:$C$511,"*b)*",'00 Encuesta'!$E$2:$E$511,"*a)*",'00 Encuesta'!$R$2:$R$511,"*d)*")</f>
        <v>2</v>
      </c>
      <c r="Q133" s="52">
        <f t="shared" si="155"/>
        <v>11.76470588235294</v>
      </c>
      <c r="R133" s="53">
        <f>COUNTIFS('00 Encuesta'!$B$2:$B$511,"*b)*",'00 Encuesta'!$C$2:$C$511,"*b)*",'00 Encuesta'!$E$2:$E$511,"*b)*",'00 Encuesta'!$R$2:$R$511,"*d)*")</f>
        <v>4</v>
      </c>
      <c r="S133" s="52">
        <f t="shared" si="156"/>
        <v>26.666666666666668</v>
      </c>
      <c r="T133" s="3"/>
      <c r="U133" s="51">
        <f t="shared" si="157"/>
        <v>6</v>
      </c>
      <c r="V133" s="52">
        <f t="shared" si="158"/>
        <v>15.384615384615385</v>
      </c>
      <c r="W133" s="53">
        <f>COUNTIFS('00 Encuesta'!$B$2:$B$511,"*b)*",'00 Encuesta'!$C$2:$C$511,"*c)*",'00 Encuesta'!$E$2:$E$511,"*a)*",'00 Encuesta'!$R$2:$R$511,"*d)*")</f>
        <v>1</v>
      </c>
      <c r="X133" s="52">
        <f t="shared" si="159"/>
        <v>4.7619047619047619</v>
      </c>
      <c r="Y133" s="53">
        <f>COUNTIFS('00 Encuesta'!$B$2:$B$511,"*b)*",'00 Encuesta'!$C$2:$C$511,"*c)*",'00 Encuesta'!$E$2:$E$511,"*b)*",'00 Encuesta'!$R$2:$R$511,"*d)*")</f>
        <v>5</v>
      </c>
      <c r="Z133" s="52">
        <f t="shared" si="160"/>
        <v>27.777777777777779</v>
      </c>
      <c r="AA133" s="3"/>
      <c r="AB133" s="62">
        <f t="shared" si="161"/>
        <v>20</v>
      </c>
      <c r="AC133" s="52">
        <f t="shared" si="162"/>
        <v>18.348623853211009</v>
      </c>
      <c r="AD133" s="7"/>
      <c r="AE133" s="7"/>
      <c r="AF133" s="9" t="str">
        <f t="shared" si="163"/>
        <v>d) El cuidado de mi cuerpo</v>
      </c>
      <c r="AG133" s="72">
        <f t="shared" si="164"/>
        <v>14.285714285714285</v>
      </c>
      <c r="AH133" s="72">
        <f t="shared" si="165"/>
        <v>29.411764705882355</v>
      </c>
      <c r="AI133" s="73">
        <f t="shared" si="166"/>
        <v>21.052631578947366</v>
      </c>
      <c r="AJ133" s="73"/>
      <c r="AK133" s="76">
        <f t="shared" si="167"/>
        <v>11.76470588235294</v>
      </c>
      <c r="AL133" s="76">
        <f t="shared" si="168"/>
        <v>26.666666666666668</v>
      </c>
      <c r="AM133" s="76">
        <f t="shared" si="169"/>
        <v>18.75</v>
      </c>
      <c r="AN133" s="76"/>
      <c r="AO133" s="81">
        <f t="shared" si="170"/>
        <v>4.7619047619047619</v>
      </c>
      <c r="AP133" s="81">
        <f t="shared" si="171"/>
        <v>27.777777777777779</v>
      </c>
      <c r="AQ133" s="81">
        <f t="shared" si="172"/>
        <v>15.384615384615385</v>
      </c>
      <c r="AR133" s="7"/>
      <c r="AS133" s="76">
        <f t="shared" si="121"/>
        <v>18.348623853211009</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ht="15" x14ac:dyDescent="0.25">
      <c r="A134" s="8" t="s">
        <v>22</v>
      </c>
      <c r="B134" s="9" t="s">
        <v>84</v>
      </c>
      <c r="C134" s="7"/>
      <c r="D134" s="7"/>
      <c r="E134" s="7"/>
      <c r="F134" s="71"/>
      <c r="G134" s="51">
        <f t="shared" si="149"/>
        <v>3</v>
      </c>
      <c r="H134" s="52">
        <f t="shared" si="150"/>
        <v>7.8947368421052628</v>
      </c>
      <c r="I134" s="53">
        <f>COUNTIFS('00 Encuesta'!$B$2:$B$511,"*b)*",'00 Encuesta'!$C$2:$C$511,"*a)*",'00 Encuesta'!$E$2:$E$511,"*a)*",'00 Encuesta'!$R$2:$R$511,"*e)*")</f>
        <v>2</v>
      </c>
      <c r="J134" s="52">
        <f t="shared" si="151"/>
        <v>9.5238095238095237</v>
      </c>
      <c r="K134" s="53">
        <f>COUNTIFS('00 Encuesta'!$B$2:$B$511,"*b)*",'00 Encuesta'!$C$2:$C$511,"*a)*",'00 Encuesta'!$E$2:$E$511,"*b)*",'00 Encuesta'!$R$2:$R$511,"*e)*")</f>
        <v>1</v>
      </c>
      <c r="L134" s="52">
        <f t="shared" si="152"/>
        <v>5.8823529411764701</v>
      </c>
      <c r="M134" s="23"/>
      <c r="N134" s="51">
        <f t="shared" si="153"/>
        <v>0</v>
      </c>
      <c r="O134" s="52">
        <f t="shared" si="154"/>
        <v>0</v>
      </c>
      <c r="P134" s="53">
        <f>COUNTIFS('00 Encuesta'!$B$2:$B$511,"*b)*",'00 Encuesta'!$C$2:$C$511,"*b)*",'00 Encuesta'!$E$2:$E$511,"*a)*",'00 Encuesta'!$R$2:$R$511,"*e)*")</f>
        <v>0</v>
      </c>
      <c r="Q134" s="52">
        <f t="shared" si="155"/>
        <v>0</v>
      </c>
      <c r="R134" s="53">
        <f>COUNTIFS('00 Encuesta'!$B$2:$B$511,"*b)*",'00 Encuesta'!$C$2:$C$511,"*b)*",'00 Encuesta'!$E$2:$E$511,"*b)*",'00 Encuesta'!$R$2:$R$511,"*e)*")</f>
        <v>0</v>
      </c>
      <c r="S134" s="52">
        <f t="shared" si="156"/>
        <v>0</v>
      </c>
      <c r="T134" s="3"/>
      <c r="U134" s="51">
        <f t="shared" si="157"/>
        <v>11</v>
      </c>
      <c r="V134" s="52">
        <f t="shared" si="158"/>
        <v>28.205128205128204</v>
      </c>
      <c r="W134" s="53">
        <f>COUNTIFS('00 Encuesta'!$B$2:$B$511,"*b)*",'00 Encuesta'!$C$2:$C$511,"*c)*",'00 Encuesta'!$E$2:$E$511,"*a)*",'00 Encuesta'!$R$2:$R$511,"*e)*")</f>
        <v>5</v>
      </c>
      <c r="X134" s="52">
        <f t="shared" si="159"/>
        <v>23.809523809523807</v>
      </c>
      <c r="Y134" s="53">
        <f>COUNTIFS('00 Encuesta'!$B$2:$B$511,"*b)*",'00 Encuesta'!$C$2:$C$511,"*c)*",'00 Encuesta'!$E$2:$E$511,"*b)*",'00 Encuesta'!$R$2:$R$511,"*e)*")</f>
        <v>6</v>
      </c>
      <c r="Z134" s="52">
        <f t="shared" si="160"/>
        <v>33.333333333333329</v>
      </c>
      <c r="AA134" s="3"/>
      <c r="AB134" s="62">
        <f t="shared" si="161"/>
        <v>14</v>
      </c>
      <c r="AC134" s="52">
        <f t="shared" si="162"/>
        <v>12.844036697247706</v>
      </c>
      <c r="AD134" s="7"/>
      <c r="AE134" s="7"/>
      <c r="AF134" s="9" t="str">
        <f t="shared" si="163"/>
        <v>e) Disponer de dinero</v>
      </c>
      <c r="AG134" s="72">
        <f t="shared" si="164"/>
        <v>9.5238095238095237</v>
      </c>
      <c r="AH134" s="72">
        <f t="shared" si="165"/>
        <v>5.8823529411764701</v>
      </c>
      <c r="AI134" s="73">
        <f t="shared" si="166"/>
        <v>7.8947368421052628</v>
      </c>
      <c r="AJ134" s="73"/>
      <c r="AK134" s="76">
        <f t="shared" si="167"/>
        <v>0</v>
      </c>
      <c r="AL134" s="76">
        <f t="shared" si="168"/>
        <v>0</v>
      </c>
      <c r="AM134" s="76">
        <f t="shared" si="169"/>
        <v>0</v>
      </c>
      <c r="AN134" s="76"/>
      <c r="AO134" s="81">
        <f t="shared" si="170"/>
        <v>23.809523809523807</v>
      </c>
      <c r="AP134" s="81">
        <f t="shared" si="171"/>
        <v>33.333333333333329</v>
      </c>
      <c r="AQ134" s="81">
        <f t="shared" si="172"/>
        <v>28.205128205128204</v>
      </c>
      <c r="AR134" s="7"/>
      <c r="AS134" s="76">
        <f t="shared" si="121"/>
        <v>12.844036697247706</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ht="15" x14ac:dyDescent="0.25">
      <c r="A135" s="8" t="s">
        <v>45</v>
      </c>
      <c r="B135" s="9" t="s">
        <v>110</v>
      </c>
      <c r="C135" s="7"/>
      <c r="D135" s="7"/>
      <c r="E135" s="7"/>
      <c r="F135" s="71"/>
      <c r="G135" s="51">
        <f t="shared" si="149"/>
        <v>4</v>
      </c>
      <c r="H135" s="52">
        <f t="shared" si="150"/>
        <v>10.526315789473683</v>
      </c>
      <c r="I135" s="53">
        <f>COUNTIFS('00 Encuesta'!$B$2:$B$511,"*b)*",'00 Encuesta'!$C$2:$C$511,"*a)*",'00 Encuesta'!$E$2:$E$511,"*a)*",'00 Encuesta'!$R$2:$R$511,"*f)*")</f>
        <v>3</v>
      </c>
      <c r="J135" s="52">
        <f t="shared" si="151"/>
        <v>14.285714285714285</v>
      </c>
      <c r="K135" s="53">
        <f>COUNTIFS('00 Encuesta'!$B$2:$B$511,"*b)*",'00 Encuesta'!$C$2:$C$511,"*a)*",'00 Encuesta'!$E$2:$E$511,"*b)*",'00 Encuesta'!$R$2:$R$511,"*f)*")</f>
        <v>1</v>
      </c>
      <c r="L135" s="52">
        <f t="shared" si="152"/>
        <v>5.8823529411764701</v>
      </c>
      <c r="M135" s="23"/>
      <c r="N135" s="51">
        <f t="shared" si="153"/>
        <v>7</v>
      </c>
      <c r="O135" s="52">
        <f t="shared" si="154"/>
        <v>21.875</v>
      </c>
      <c r="P135" s="53">
        <f>COUNTIFS('00 Encuesta'!$B$2:$B$511,"*b)*",'00 Encuesta'!$C$2:$C$511,"*b)*",'00 Encuesta'!$E$2:$E$511,"*a)*",'00 Encuesta'!$R$2:$R$511,"*f)*")</f>
        <v>2</v>
      </c>
      <c r="Q135" s="52">
        <f t="shared" si="155"/>
        <v>11.76470588235294</v>
      </c>
      <c r="R135" s="53">
        <f>COUNTIFS('00 Encuesta'!$B$2:$B$511,"*b)*",'00 Encuesta'!$C$2:$C$511,"*b)*",'00 Encuesta'!$E$2:$E$511,"*b)*",'00 Encuesta'!$R$2:$R$511,"*f)*")</f>
        <v>5</v>
      </c>
      <c r="S135" s="52">
        <f t="shared" si="156"/>
        <v>33.333333333333329</v>
      </c>
      <c r="T135" s="3"/>
      <c r="U135" s="51">
        <f t="shared" si="157"/>
        <v>3</v>
      </c>
      <c r="V135" s="52">
        <f t="shared" si="158"/>
        <v>7.6923076923076925</v>
      </c>
      <c r="W135" s="53">
        <f>COUNTIFS('00 Encuesta'!$B$2:$B$511,"*b)*",'00 Encuesta'!$C$2:$C$511,"*c)*",'00 Encuesta'!$E$2:$E$511,"*a)*",'00 Encuesta'!$R$2:$R$511,"*f)*")</f>
        <v>2</v>
      </c>
      <c r="X135" s="52">
        <f t="shared" si="159"/>
        <v>9.5238095238095237</v>
      </c>
      <c r="Y135" s="53">
        <f>COUNTIFS('00 Encuesta'!$B$2:$B$511,"*b)*",'00 Encuesta'!$C$2:$C$511,"*c)*",'00 Encuesta'!$E$2:$E$511,"*b)*",'00 Encuesta'!$R$2:$R$511,"*f)*")</f>
        <v>1</v>
      </c>
      <c r="Z135" s="52">
        <f t="shared" si="160"/>
        <v>5.5555555555555554</v>
      </c>
      <c r="AA135" s="3"/>
      <c r="AB135" s="62">
        <f t="shared" si="161"/>
        <v>14</v>
      </c>
      <c r="AC135" s="52">
        <f t="shared" si="162"/>
        <v>12.844036697247706</v>
      </c>
      <c r="AD135" s="7"/>
      <c r="AE135" s="7"/>
      <c r="AF135" s="9" t="str">
        <f t="shared" si="163"/>
        <v>f) Mi fe y mi vida cristiana</v>
      </c>
      <c r="AG135" s="72">
        <f t="shared" si="164"/>
        <v>14.285714285714285</v>
      </c>
      <c r="AH135" s="72">
        <f t="shared" si="165"/>
        <v>5.8823529411764701</v>
      </c>
      <c r="AI135" s="73">
        <f t="shared" si="166"/>
        <v>10.526315789473683</v>
      </c>
      <c r="AJ135" s="73"/>
      <c r="AK135" s="76">
        <f t="shared" si="167"/>
        <v>11.76470588235294</v>
      </c>
      <c r="AL135" s="76">
        <f t="shared" si="168"/>
        <v>33.333333333333329</v>
      </c>
      <c r="AM135" s="76">
        <f t="shared" si="169"/>
        <v>21.875</v>
      </c>
      <c r="AN135" s="76"/>
      <c r="AO135" s="81">
        <f t="shared" si="170"/>
        <v>9.5238095238095237</v>
      </c>
      <c r="AP135" s="81">
        <f t="shared" si="171"/>
        <v>5.5555555555555554</v>
      </c>
      <c r="AQ135" s="81">
        <f t="shared" si="172"/>
        <v>7.6923076923076925</v>
      </c>
      <c r="AR135" s="7"/>
      <c r="AS135" s="76">
        <f t="shared" si="121"/>
        <v>12.844036697247706</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ht="15" x14ac:dyDescent="0.25">
      <c r="A136" s="8" t="s">
        <v>61</v>
      </c>
      <c r="B136" s="9" t="s">
        <v>86</v>
      </c>
      <c r="C136" s="7"/>
      <c r="D136" s="7"/>
      <c r="E136" s="7"/>
      <c r="F136" s="71"/>
      <c r="G136" s="51">
        <f t="shared" si="149"/>
        <v>7</v>
      </c>
      <c r="H136" s="52">
        <f t="shared" si="150"/>
        <v>18.421052631578945</v>
      </c>
      <c r="I136" s="53">
        <f>COUNTIFS('00 Encuesta'!$B$2:$B$511,"*b)*",'00 Encuesta'!$C$2:$C$511,"*a)*",'00 Encuesta'!$E$2:$E$511,"*a)*",'00 Encuesta'!$R$2:$R$511,"*g)*")</f>
        <v>6</v>
      </c>
      <c r="J136" s="52">
        <f t="shared" si="151"/>
        <v>28.571428571428569</v>
      </c>
      <c r="K136" s="53">
        <f>COUNTIFS('00 Encuesta'!$B$2:$B$511,"*b)*",'00 Encuesta'!$C$2:$C$511,"*a)*",'00 Encuesta'!$E$2:$E$511,"*b)*",'00 Encuesta'!$R$2:$R$511,"*g)*")</f>
        <v>1</v>
      </c>
      <c r="L136" s="52">
        <f t="shared" si="152"/>
        <v>5.8823529411764701</v>
      </c>
      <c r="M136" s="23"/>
      <c r="N136" s="51">
        <f t="shared" si="153"/>
        <v>16</v>
      </c>
      <c r="O136" s="52">
        <f t="shared" si="154"/>
        <v>50</v>
      </c>
      <c r="P136" s="53">
        <f>COUNTIFS('00 Encuesta'!$B$2:$B$511,"*b)*",'00 Encuesta'!$C$2:$C$511,"*b)*",'00 Encuesta'!$E$2:$E$511,"*a)*",'00 Encuesta'!$R$2:$R$511,"*g)*")</f>
        <v>8</v>
      </c>
      <c r="Q136" s="52">
        <f t="shared" si="155"/>
        <v>47.058823529411761</v>
      </c>
      <c r="R136" s="53">
        <f>COUNTIFS('00 Encuesta'!$B$2:$B$511,"*b)*",'00 Encuesta'!$C$2:$C$511,"*b)*",'00 Encuesta'!$E$2:$E$511,"*b)*",'00 Encuesta'!$R$2:$R$511,"*g)*")</f>
        <v>8</v>
      </c>
      <c r="S136" s="52">
        <f t="shared" si="156"/>
        <v>53.333333333333336</v>
      </c>
      <c r="T136" s="3"/>
      <c r="U136" s="51">
        <f t="shared" si="157"/>
        <v>15</v>
      </c>
      <c r="V136" s="52">
        <f t="shared" si="158"/>
        <v>38.461538461538467</v>
      </c>
      <c r="W136" s="53">
        <f>COUNTIFS('00 Encuesta'!$B$2:$B$511,"*b)*",'00 Encuesta'!$C$2:$C$511,"*c)*",'00 Encuesta'!$E$2:$E$511,"*a)*",'00 Encuesta'!$R$2:$R$511,"*g)*")</f>
        <v>5</v>
      </c>
      <c r="X136" s="52">
        <f t="shared" si="159"/>
        <v>23.809523809523807</v>
      </c>
      <c r="Y136" s="53">
        <f>COUNTIFS('00 Encuesta'!$B$2:$B$511,"*b)*",'00 Encuesta'!$C$2:$C$511,"*c)*",'00 Encuesta'!$E$2:$E$511,"*b)*",'00 Encuesta'!$R$2:$R$511,"*g)*")</f>
        <v>10</v>
      </c>
      <c r="Z136" s="52">
        <f t="shared" si="160"/>
        <v>55.555555555555557</v>
      </c>
      <c r="AA136" s="3"/>
      <c r="AB136" s="62">
        <f t="shared" si="161"/>
        <v>38</v>
      </c>
      <c r="AC136" s="52">
        <f t="shared" si="162"/>
        <v>34.862385321100916</v>
      </c>
      <c r="AD136" s="7"/>
      <c r="AE136" s="7"/>
      <c r="AF136" s="9" t="str">
        <f t="shared" si="163"/>
        <v>g) La felicidad</v>
      </c>
      <c r="AG136" s="72">
        <f t="shared" si="164"/>
        <v>28.571428571428569</v>
      </c>
      <c r="AH136" s="72">
        <f t="shared" si="165"/>
        <v>5.8823529411764701</v>
      </c>
      <c r="AI136" s="73">
        <f t="shared" si="166"/>
        <v>18.421052631578945</v>
      </c>
      <c r="AJ136" s="73"/>
      <c r="AK136" s="76">
        <f t="shared" si="167"/>
        <v>47.058823529411761</v>
      </c>
      <c r="AL136" s="76">
        <f t="shared" si="168"/>
        <v>53.333333333333336</v>
      </c>
      <c r="AM136" s="76">
        <f t="shared" si="169"/>
        <v>50</v>
      </c>
      <c r="AN136" s="76"/>
      <c r="AO136" s="81">
        <f t="shared" si="170"/>
        <v>23.809523809523807</v>
      </c>
      <c r="AP136" s="81">
        <f t="shared" si="171"/>
        <v>55.555555555555557</v>
      </c>
      <c r="AQ136" s="81">
        <f t="shared" si="172"/>
        <v>38.461538461538467</v>
      </c>
      <c r="AR136" s="7"/>
      <c r="AS136" s="76">
        <f t="shared" si="121"/>
        <v>34.862385321100916</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ht="15" x14ac:dyDescent="0.25">
      <c r="A137" s="8" t="s">
        <v>63</v>
      </c>
      <c r="B137" s="9" t="s">
        <v>87</v>
      </c>
      <c r="C137" s="7"/>
      <c r="D137" s="7"/>
      <c r="E137" s="7"/>
      <c r="F137" s="71"/>
      <c r="G137" s="51">
        <f t="shared" si="149"/>
        <v>0</v>
      </c>
      <c r="H137" s="52">
        <f t="shared" si="150"/>
        <v>0</v>
      </c>
      <c r="I137" s="53">
        <f>COUNTIFS('00 Encuesta'!$B$2:$B$511,"*b)*",'00 Encuesta'!$C$2:$C$511,"*a)*",'00 Encuesta'!$E$2:$E$511,"*a)*",'00 Encuesta'!$R$2:$R$511,"*h)*")</f>
        <v>0</v>
      </c>
      <c r="J137" s="52">
        <f t="shared" si="151"/>
        <v>0</v>
      </c>
      <c r="K137" s="53">
        <f>COUNTIFS('00 Encuesta'!$B$2:$B$511,"*b)*",'00 Encuesta'!$C$2:$C$511,"*a)*",'00 Encuesta'!$E$2:$E$511,"*b)*",'00 Encuesta'!$R$2:$R$511,"*h)*")</f>
        <v>0</v>
      </c>
      <c r="L137" s="52">
        <f t="shared" si="152"/>
        <v>0</v>
      </c>
      <c r="M137" s="23"/>
      <c r="N137" s="51">
        <f t="shared" si="153"/>
        <v>0</v>
      </c>
      <c r="O137" s="52">
        <f t="shared" si="154"/>
        <v>0</v>
      </c>
      <c r="P137" s="53">
        <f>COUNTIFS('00 Encuesta'!$B$2:$B$511,"*b)*",'00 Encuesta'!$C$2:$C$511,"*b)*",'00 Encuesta'!$E$2:$E$511,"*a)*",'00 Encuesta'!$R$2:$R$511,"*h)*")</f>
        <v>0</v>
      </c>
      <c r="Q137" s="52">
        <f t="shared" si="155"/>
        <v>0</v>
      </c>
      <c r="R137" s="53">
        <f>COUNTIFS('00 Encuesta'!$B$2:$B$511,"*b)*",'00 Encuesta'!$C$2:$C$511,"*b)*",'00 Encuesta'!$E$2:$E$511,"*b)*",'00 Encuesta'!$R$2:$R$511,"*h)*")</f>
        <v>0</v>
      </c>
      <c r="S137" s="52">
        <f t="shared" si="156"/>
        <v>0</v>
      </c>
      <c r="T137" s="3"/>
      <c r="U137" s="51">
        <f t="shared" si="157"/>
        <v>2</v>
      </c>
      <c r="V137" s="52">
        <f t="shared" si="158"/>
        <v>5.1282051282051277</v>
      </c>
      <c r="W137" s="53">
        <f>COUNTIFS('00 Encuesta'!$B$2:$B$511,"*b)*",'00 Encuesta'!$C$2:$C$511,"*c)*",'00 Encuesta'!$E$2:$E$511,"*a)*",'00 Encuesta'!$R$2:$R$511,"*h)*")</f>
        <v>2</v>
      </c>
      <c r="X137" s="52">
        <f t="shared" si="159"/>
        <v>9.5238095238095237</v>
      </c>
      <c r="Y137" s="53">
        <f>COUNTIFS('00 Encuesta'!$B$2:$B$511,"*b)*",'00 Encuesta'!$C$2:$C$511,"*c)*",'00 Encuesta'!$E$2:$E$511,"*b)*",'00 Encuesta'!$R$2:$R$511,"*h)*")</f>
        <v>0</v>
      </c>
      <c r="Z137" s="52">
        <f t="shared" si="160"/>
        <v>0</v>
      </c>
      <c r="AA137" s="3"/>
      <c r="AB137" s="62">
        <f t="shared" si="161"/>
        <v>2</v>
      </c>
      <c r="AC137" s="52">
        <f t="shared" si="162"/>
        <v>1.834862385321101</v>
      </c>
      <c r="AD137" s="7"/>
      <c r="AE137" s="7"/>
      <c r="AF137" s="9" t="str">
        <f t="shared" si="163"/>
        <v>h) La sexualidad</v>
      </c>
      <c r="AG137" s="72">
        <f t="shared" si="164"/>
        <v>0</v>
      </c>
      <c r="AH137" s="72">
        <f t="shared" si="165"/>
        <v>0</v>
      </c>
      <c r="AI137" s="73">
        <f t="shared" si="166"/>
        <v>0</v>
      </c>
      <c r="AJ137" s="73"/>
      <c r="AK137" s="76">
        <f t="shared" si="167"/>
        <v>0</v>
      </c>
      <c r="AL137" s="76">
        <f t="shared" si="168"/>
        <v>0</v>
      </c>
      <c r="AM137" s="76">
        <f t="shared" si="169"/>
        <v>0</v>
      </c>
      <c r="AN137" s="76"/>
      <c r="AO137" s="81">
        <f t="shared" si="170"/>
        <v>9.5238095238095237</v>
      </c>
      <c r="AP137" s="81">
        <f t="shared" si="171"/>
        <v>0</v>
      </c>
      <c r="AQ137" s="81">
        <f t="shared" si="172"/>
        <v>5.1282051282051277</v>
      </c>
      <c r="AR137" s="7"/>
      <c r="AS137" s="76">
        <f t="shared" si="121"/>
        <v>1.834862385321101</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f t="shared" si="150"/>
        <v>0</v>
      </c>
      <c r="I138" s="53">
        <f>COUNTIFS('00 Encuesta'!$B$2:$B$511,"*b)*",'00 Encuesta'!$C$2:$C$511,"*a)*",'00 Encuesta'!$E$2:$E$511,"*a)*",'00 Encuesta'!$R$2:$R$511,"*i)*")</f>
        <v>0</v>
      </c>
      <c r="J138" s="52">
        <f t="shared" si="151"/>
        <v>0</v>
      </c>
      <c r="K138" s="53">
        <f>COUNTIFS('00 Encuesta'!$B$2:$B$511,"*b)*",'00 Encuesta'!$C$2:$C$511,"*a)*",'00 Encuesta'!$E$2:$E$511,"*b)*",'00 Encuesta'!$R$2:$R$511,"*i)*")</f>
        <v>0</v>
      </c>
      <c r="L138" s="52">
        <f t="shared" si="152"/>
        <v>0</v>
      </c>
      <c r="M138" s="23"/>
      <c r="N138" s="51">
        <f t="shared" si="153"/>
        <v>0</v>
      </c>
      <c r="O138" s="52">
        <f t="shared" si="154"/>
        <v>0</v>
      </c>
      <c r="P138" s="53">
        <f>COUNTIFS('00 Encuesta'!$B$2:$B$511,"*b)*",'00 Encuesta'!$C$2:$C$511,"*b)*",'00 Encuesta'!$E$2:$E$511,"*a)*",'00 Encuesta'!$R$2:$R$511,"*i)*")</f>
        <v>0</v>
      </c>
      <c r="Q138" s="52">
        <f t="shared" si="155"/>
        <v>0</v>
      </c>
      <c r="R138" s="53">
        <f>COUNTIFS('00 Encuesta'!$B$2:$B$511,"*b)*",'00 Encuesta'!$C$2:$C$511,"*b)*",'00 Encuesta'!$E$2:$E$511,"*b)*",'00 Encuesta'!$R$2:$R$511,"*i)*")</f>
        <v>0</v>
      </c>
      <c r="S138" s="52">
        <f t="shared" si="156"/>
        <v>0</v>
      </c>
      <c r="T138" s="3"/>
      <c r="U138" s="51">
        <f t="shared" si="157"/>
        <v>0</v>
      </c>
      <c r="V138" s="52">
        <f t="shared" si="158"/>
        <v>0</v>
      </c>
      <c r="W138" s="53">
        <f>COUNTIFS('00 Encuesta'!$B$2:$B$511,"*b)*",'00 Encuesta'!$C$2:$C$511,"*c)*",'00 Encuesta'!$E$2:$E$511,"*a)*",'00 Encuesta'!$R$2:$R$511,"*i)*")</f>
        <v>0</v>
      </c>
      <c r="X138" s="52">
        <f t="shared" si="159"/>
        <v>0</v>
      </c>
      <c r="Y138" s="53">
        <f>COUNTIFS('00 Encuesta'!$B$2:$B$511,"*b)*",'00 Encuesta'!$C$2:$C$511,"*c)*",'00 Encuesta'!$E$2:$E$511,"*b)*",'00 Encuesta'!$R$2:$R$511,"*i)*")</f>
        <v>0</v>
      </c>
      <c r="Z138" s="52">
        <f t="shared" si="160"/>
        <v>0</v>
      </c>
      <c r="AA138" s="3"/>
      <c r="AB138" s="62">
        <f t="shared" si="161"/>
        <v>0</v>
      </c>
      <c r="AC138" s="52">
        <f t="shared" si="162"/>
        <v>0</v>
      </c>
      <c r="AD138" s="7"/>
      <c r="AE138" s="7"/>
      <c r="AF138" s="9" t="str">
        <f t="shared" si="163"/>
        <v>i) La música</v>
      </c>
      <c r="AG138" s="72">
        <f t="shared" si="164"/>
        <v>0</v>
      </c>
      <c r="AH138" s="72">
        <f t="shared" si="165"/>
        <v>0</v>
      </c>
      <c r="AI138" s="73">
        <f t="shared" si="166"/>
        <v>0</v>
      </c>
      <c r="AJ138" s="73"/>
      <c r="AK138" s="76">
        <f t="shared" si="167"/>
        <v>0</v>
      </c>
      <c r="AL138" s="76">
        <f t="shared" si="168"/>
        <v>0</v>
      </c>
      <c r="AM138" s="76">
        <f t="shared" si="169"/>
        <v>0</v>
      </c>
      <c r="AN138" s="76"/>
      <c r="AO138" s="81">
        <f t="shared" si="170"/>
        <v>0</v>
      </c>
      <c r="AP138" s="81">
        <f t="shared" si="171"/>
        <v>0</v>
      </c>
      <c r="AQ138" s="81">
        <f t="shared" si="172"/>
        <v>0</v>
      </c>
      <c r="AR138" s="7"/>
      <c r="AS138" s="76">
        <f t="shared" si="121"/>
        <v>0</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ht="15.75" x14ac:dyDescent="0.3">
      <c r="A139" s="1" t="s">
        <v>67</v>
      </c>
      <c r="B139" s="2" t="s">
        <v>89</v>
      </c>
      <c r="C139" s="3"/>
      <c r="D139" s="7"/>
      <c r="E139" s="7"/>
      <c r="F139" s="71"/>
      <c r="G139" s="51">
        <f t="shared" si="149"/>
        <v>2</v>
      </c>
      <c r="H139" s="52">
        <f t="shared" si="150"/>
        <v>5.2631578947368416</v>
      </c>
      <c r="I139" s="53">
        <f>COUNTIFS('00 Encuesta'!$B$2:$B$511,"*b)*",'00 Encuesta'!$C$2:$C$511,"*a)*",'00 Encuesta'!$E$2:$E$511,"*a)*",'00 Encuesta'!$R$2:$R$511,"*j)*")</f>
        <v>2</v>
      </c>
      <c r="J139" s="52">
        <f t="shared" si="151"/>
        <v>9.5238095238095237</v>
      </c>
      <c r="K139" s="53">
        <f>COUNTIFS('00 Encuesta'!$B$2:$B$511,"*b)*",'00 Encuesta'!$C$2:$C$511,"*a)*",'00 Encuesta'!$E$2:$E$511,"*b)*",'00 Encuesta'!$R$2:$R$511,"*j)*")</f>
        <v>0</v>
      </c>
      <c r="L139" s="52">
        <f t="shared" si="152"/>
        <v>0</v>
      </c>
      <c r="M139" s="23"/>
      <c r="N139" s="51">
        <f t="shared" si="153"/>
        <v>5</v>
      </c>
      <c r="O139" s="52">
        <f t="shared" si="154"/>
        <v>15.625</v>
      </c>
      <c r="P139" s="53">
        <f>COUNTIFS('00 Encuesta'!$B$2:$B$511,"*b)*",'00 Encuesta'!$C$2:$C$511,"*b)*",'00 Encuesta'!$E$2:$E$511,"*a)*",'00 Encuesta'!$R$2:$R$511,"*j)*")</f>
        <v>3</v>
      </c>
      <c r="Q139" s="52">
        <f t="shared" si="155"/>
        <v>17.647058823529413</v>
      </c>
      <c r="R139" s="53">
        <f>COUNTIFS('00 Encuesta'!$B$2:$B$511,"*b)*",'00 Encuesta'!$C$2:$C$511,"*b)*",'00 Encuesta'!$E$2:$E$511,"*b)*",'00 Encuesta'!$R$2:$R$511,"*j)*")</f>
        <v>2</v>
      </c>
      <c r="S139" s="52">
        <f t="shared" si="156"/>
        <v>13.333333333333334</v>
      </c>
      <c r="T139" s="3"/>
      <c r="U139" s="51">
        <f t="shared" si="157"/>
        <v>3</v>
      </c>
      <c r="V139" s="52">
        <f t="shared" si="158"/>
        <v>7.6923076923076925</v>
      </c>
      <c r="W139" s="53">
        <f>COUNTIFS('00 Encuesta'!$B$2:$B$511,"*b)*",'00 Encuesta'!$C$2:$C$511,"*c)*",'00 Encuesta'!$E$2:$E$511,"*a)*",'00 Encuesta'!$R$2:$R$511,"*j)*")</f>
        <v>2</v>
      </c>
      <c r="X139" s="52">
        <f t="shared" si="159"/>
        <v>9.5238095238095237</v>
      </c>
      <c r="Y139" s="53">
        <f>COUNTIFS('00 Encuesta'!$B$2:$B$511,"*b)*",'00 Encuesta'!$C$2:$C$511,"*c)*",'00 Encuesta'!$E$2:$E$511,"*b)*",'00 Encuesta'!$R$2:$R$511,"*j)*")</f>
        <v>1</v>
      </c>
      <c r="Z139" s="52">
        <f t="shared" si="160"/>
        <v>5.5555555555555554</v>
      </c>
      <c r="AA139" s="3"/>
      <c r="AB139" s="62">
        <f t="shared" si="161"/>
        <v>10</v>
      </c>
      <c r="AC139" s="52">
        <f t="shared" si="162"/>
        <v>9.1743119266055047</v>
      </c>
      <c r="AD139" s="7"/>
      <c r="AE139" s="7"/>
      <c r="AF139" s="9" t="str">
        <f t="shared" si="163"/>
        <v>j) El deporte</v>
      </c>
      <c r="AG139" s="72">
        <f t="shared" si="164"/>
        <v>9.5238095238095237</v>
      </c>
      <c r="AH139" s="72">
        <f t="shared" si="165"/>
        <v>0</v>
      </c>
      <c r="AI139" s="73">
        <f t="shared" si="166"/>
        <v>5.2631578947368416</v>
      </c>
      <c r="AJ139" s="73"/>
      <c r="AK139" s="76">
        <f t="shared" si="167"/>
        <v>17.647058823529413</v>
      </c>
      <c r="AL139" s="76">
        <f t="shared" si="168"/>
        <v>13.333333333333334</v>
      </c>
      <c r="AM139" s="76">
        <f t="shared" si="169"/>
        <v>15.625</v>
      </c>
      <c r="AN139" s="76"/>
      <c r="AO139" s="81">
        <f t="shared" si="170"/>
        <v>9.5238095238095237</v>
      </c>
      <c r="AP139" s="81">
        <f t="shared" si="171"/>
        <v>5.5555555555555554</v>
      </c>
      <c r="AQ139" s="81">
        <f t="shared" si="172"/>
        <v>7.6923076923076925</v>
      </c>
      <c r="AR139" s="7"/>
      <c r="AS139" s="76">
        <f t="shared" si="121"/>
        <v>9.1743119266055047</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ht="15" x14ac:dyDescent="0.25">
      <c r="A140" s="8" t="s">
        <v>69</v>
      </c>
      <c r="B140" s="9" t="s">
        <v>90</v>
      </c>
      <c r="C140" s="7"/>
      <c r="D140" s="7"/>
      <c r="E140" s="7"/>
      <c r="F140" s="71"/>
      <c r="G140" s="51">
        <f t="shared" si="149"/>
        <v>1</v>
      </c>
      <c r="H140" s="52">
        <f t="shared" si="150"/>
        <v>2.6315789473684208</v>
      </c>
      <c r="I140" s="53">
        <f>COUNTIFS('00 Encuesta'!$B$2:$B$511,"*b)*",'00 Encuesta'!$C$2:$C$511,"*a)*",'00 Encuesta'!$E$2:$E$511,"*a)*",'00 Encuesta'!$R$2:$R$511,"*k)*")</f>
        <v>0</v>
      </c>
      <c r="J140" s="52">
        <f t="shared" si="151"/>
        <v>0</v>
      </c>
      <c r="K140" s="53">
        <f>COUNTIFS('00 Encuesta'!$B$2:$B$511,"*b)*",'00 Encuesta'!$C$2:$C$511,"*a)*",'00 Encuesta'!$E$2:$E$511,"*b)*",'00 Encuesta'!$R$2:$R$511,"*k)*")</f>
        <v>1</v>
      </c>
      <c r="L140" s="52">
        <f t="shared" si="152"/>
        <v>5.8823529411764701</v>
      </c>
      <c r="M140" s="23"/>
      <c r="N140" s="51">
        <f t="shared" si="153"/>
        <v>0</v>
      </c>
      <c r="O140" s="52">
        <f t="shared" si="154"/>
        <v>0</v>
      </c>
      <c r="P140" s="53">
        <f>COUNTIFS('00 Encuesta'!$B$2:$B$511,"*b)*",'00 Encuesta'!$C$2:$C$511,"*b)*",'00 Encuesta'!$E$2:$E$511,"*a)*",'00 Encuesta'!$R$2:$R$511,"*k)*")</f>
        <v>0</v>
      </c>
      <c r="Q140" s="52">
        <f t="shared" si="155"/>
        <v>0</v>
      </c>
      <c r="R140" s="53">
        <f>COUNTIFS('00 Encuesta'!$B$2:$B$511,"*b)*",'00 Encuesta'!$C$2:$C$511,"*b)*",'00 Encuesta'!$E$2:$E$511,"*b)*",'00 Encuesta'!$R$2:$R$511,"*k)*")</f>
        <v>0</v>
      </c>
      <c r="S140" s="52">
        <f t="shared" si="156"/>
        <v>0</v>
      </c>
      <c r="T140" s="3"/>
      <c r="U140" s="51">
        <f t="shared" si="157"/>
        <v>0</v>
      </c>
      <c r="V140" s="52">
        <f t="shared" si="158"/>
        <v>0</v>
      </c>
      <c r="W140" s="53">
        <f>COUNTIFS('00 Encuesta'!$B$2:$B$511,"*b)*",'00 Encuesta'!$C$2:$C$511,"*c)*",'00 Encuesta'!$E$2:$E$511,"*a)*",'00 Encuesta'!$R$2:$R$511,"*k)*")</f>
        <v>0</v>
      </c>
      <c r="X140" s="52">
        <f t="shared" si="159"/>
        <v>0</v>
      </c>
      <c r="Y140" s="53">
        <f>COUNTIFS('00 Encuesta'!$B$2:$B$511,"*b)*",'00 Encuesta'!$C$2:$C$511,"*c)*",'00 Encuesta'!$E$2:$E$511,"*b)*",'00 Encuesta'!$R$2:$R$511,"*k)*")</f>
        <v>0</v>
      </c>
      <c r="Z140" s="52">
        <f t="shared" si="160"/>
        <v>0</v>
      </c>
      <c r="AA140" s="3"/>
      <c r="AB140" s="62">
        <f t="shared" si="161"/>
        <v>1</v>
      </c>
      <c r="AC140" s="52">
        <f t="shared" si="162"/>
        <v>0.91743119266055051</v>
      </c>
      <c r="AD140" s="7"/>
      <c r="AE140" s="7"/>
      <c r="AF140" s="9" t="str">
        <f t="shared" si="163"/>
        <v>k) Internet</v>
      </c>
      <c r="AG140" s="72">
        <f t="shared" si="164"/>
        <v>0</v>
      </c>
      <c r="AH140" s="72">
        <f t="shared" si="165"/>
        <v>5.8823529411764701</v>
      </c>
      <c r="AI140" s="73">
        <f t="shared" si="166"/>
        <v>2.6315789473684208</v>
      </c>
      <c r="AJ140" s="73"/>
      <c r="AK140" s="76">
        <f t="shared" si="167"/>
        <v>0</v>
      </c>
      <c r="AL140" s="76">
        <f t="shared" si="168"/>
        <v>0</v>
      </c>
      <c r="AM140" s="76">
        <f t="shared" si="169"/>
        <v>0</v>
      </c>
      <c r="AN140" s="76"/>
      <c r="AO140" s="81">
        <f t="shared" si="170"/>
        <v>0</v>
      </c>
      <c r="AP140" s="81">
        <f t="shared" si="171"/>
        <v>0</v>
      </c>
      <c r="AQ140" s="81">
        <f t="shared" si="172"/>
        <v>0</v>
      </c>
      <c r="AR140" s="7"/>
      <c r="AS140" s="76">
        <f t="shared" si="121"/>
        <v>0.91743119266055051</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ht="15" x14ac:dyDescent="0.25">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ht="15" x14ac:dyDescent="0.25">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ht="15" x14ac:dyDescent="0.25">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ht="15" x14ac:dyDescent="0.25">
      <c r="A144" s="8" t="s">
        <v>17</v>
      </c>
      <c r="B144" s="9" t="s">
        <v>102</v>
      </c>
      <c r="C144" s="7"/>
      <c r="D144" s="7"/>
      <c r="E144" s="7"/>
      <c r="F144" s="71">
        <v>100</v>
      </c>
      <c r="G144" s="51">
        <f>I144+K144</f>
        <v>24</v>
      </c>
      <c r="H144" s="52">
        <f>G144/$J$5*100</f>
        <v>63.157894736842103</v>
      </c>
      <c r="I144" s="53">
        <f>COUNTIFS('00 Encuesta'!$B$2:$B$511,"*b)*",'00 Encuesta'!$C$2:$C$511,"*a)*",'00 Encuesta'!$E$2:$E$511,"*a)*",'00 Encuesta'!$T$2:$T$511,"*a)*")</f>
        <v>13</v>
      </c>
      <c r="J144" s="52">
        <f>I144/$J$6*100</f>
        <v>61.904761904761905</v>
      </c>
      <c r="K144" s="53">
        <f>COUNTIFS('00 Encuesta'!$B$2:$B$511,"*b)*",'00 Encuesta'!$C$2:$C$511,"*a)*",'00 Encuesta'!$E$2:$E$511,"*b)*",'00 Encuesta'!$T$2:$T$511,"*a)*")</f>
        <v>11</v>
      </c>
      <c r="L144" s="52">
        <f>K144/$J$7*100</f>
        <v>64.705882352941174</v>
      </c>
      <c r="M144" s="23"/>
      <c r="N144" s="51">
        <f>P144+R144</f>
        <v>25</v>
      </c>
      <c r="O144" s="52">
        <f>N144/$Q$5*100</f>
        <v>78.125</v>
      </c>
      <c r="P144" s="53">
        <f>COUNTIFS('00 Encuesta'!$B$2:$B$511,"*b)*",'00 Encuesta'!$C$2:$C$511,"*b)*",'00 Encuesta'!$E$2:$E$511,"*a)*",'00 Encuesta'!$T$2:$T$511,"*a)*")</f>
        <v>11</v>
      </c>
      <c r="Q144" s="52">
        <f>P144/$Q$6*100</f>
        <v>64.705882352941174</v>
      </c>
      <c r="R144" s="53">
        <f>COUNTIFS('00 Encuesta'!$B$2:$B$511,"*b)*",'00 Encuesta'!$C$2:$C$511,"*b)*",'00 Encuesta'!$E$2:$E$511,"*b)*",'00 Encuesta'!$T$2:$T$511,"*a)*")</f>
        <v>14</v>
      </c>
      <c r="S144" s="52">
        <f>R144/$Q$7*100</f>
        <v>93.333333333333329</v>
      </c>
      <c r="T144" s="3"/>
      <c r="U144" s="51">
        <f>W144+Y144</f>
        <v>19</v>
      </c>
      <c r="V144" s="52">
        <f>U144/$X$5*100</f>
        <v>48.717948717948715</v>
      </c>
      <c r="W144" s="53">
        <f>COUNTIFS('00 Encuesta'!$B$2:$B$511,"*b)*",'00 Encuesta'!$C$2:$C$511,"*c)*",'00 Encuesta'!$E$2:$E$511,"*a)*",'00 Encuesta'!$T$2:$T$511,"*a)*")</f>
        <v>8</v>
      </c>
      <c r="X144" s="52">
        <f>W144/$X$6*100</f>
        <v>38.095238095238095</v>
      </c>
      <c r="Y144" s="53">
        <f>COUNTIFS('00 Encuesta'!$B$2:$B$511,"*b)*",'00 Encuesta'!$C$2:$C$511,"*c)*",'00 Encuesta'!$E$2:$E$511,"*b)*",'00 Encuesta'!$T$2:$T$511,"*a)*")</f>
        <v>11</v>
      </c>
      <c r="Z144" s="52">
        <f>Y144/$X$7*100</f>
        <v>61.111111111111114</v>
      </c>
      <c r="AA144" s="3"/>
      <c r="AB144" s="62">
        <f>G144+N144+U144</f>
        <v>68</v>
      </c>
      <c r="AC144" s="52">
        <f>AB144*100/$AC$5</f>
        <v>62.38532110091743</v>
      </c>
      <c r="AD144" s="7"/>
      <c r="AE144" s="7"/>
      <c r="AF144" s="9" t="str">
        <f t="shared" si="173"/>
        <v>a) Mucho</v>
      </c>
      <c r="AG144" s="72">
        <f>J144</f>
        <v>61.904761904761905</v>
      </c>
      <c r="AH144" s="72">
        <f>L144</f>
        <v>64.705882352941174</v>
      </c>
      <c r="AI144" s="73">
        <f>H144</f>
        <v>63.157894736842103</v>
      </c>
      <c r="AJ144" s="73"/>
      <c r="AK144" s="76">
        <f>Q144</f>
        <v>64.705882352941174</v>
      </c>
      <c r="AL144" s="76">
        <f>S144</f>
        <v>93.333333333333329</v>
      </c>
      <c r="AM144" s="76">
        <f>O144</f>
        <v>78.125</v>
      </c>
      <c r="AN144" s="76"/>
      <c r="AO144" s="81">
        <f>X144</f>
        <v>38.095238095238095</v>
      </c>
      <c r="AP144" s="81">
        <f>Z144</f>
        <v>61.111111111111114</v>
      </c>
      <c r="AQ144" s="81">
        <f>V144</f>
        <v>48.717948717948715</v>
      </c>
      <c r="AR144" s="7"/>
      <c r="AS144" s="76">
        <f t="shared" ref="AS144:AS206" si="174">AC144</f>
        <v>62.38532110091743</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ht="15" x14ac:dyDescent="0.25">
      <c r="A145" s="8" t="s">
        <v>18</v>
      </c>
      <c r="B145" s="9" t="s">
        <v>103</v>
      </c>
      <c r="C145" s="7"/>
      <c r="D145" s="7"/>
      <c r="E145" s="7"/>
      <c r="F145" s="71">
        <v>66.66</v>
      </c>
      <c r="G145" s="51">
        <f>I145+K145</f>
        <v>9</v>
      </c>
      <c r="H145" s="52">
        <f>G145/$J$5*100</f>
        <v>23.684210526315788</v>
      </c>
      <c r="I145" s="53">
        <f>COUNTIFS('00 Encuesta'!$B$2:$B$511,"*b)*",'00 Encuesta'!$C$2:$C$511,"*a)*",'00 Encuesta'!$E$2:$E$511,"*a)*",'00 Encuesta'!$T$2:$T$511,"*b)*")</f>
        <v>5</v>
      </c>
      <c r="J145" s="52">
        <f>I145/$J$6*100</f>
        <v>23.809523809523807</v>
      </c>
      <c r="K145" s="53">
        <f>COUNTIFS('00 Encuesta'!$B$2:$B$511,"*b)*",'00 Encuesta'!$C$2:$C$511,"*a)*",'00 Encuesta'!$E$2:$E$511,"*b)*",'00 Encuesta'!$T$2:$T$511,"*b)*")</f>
        <v>4</v>
      </c>
      <c r="L145" s="52">
        <f>K145/$J$7*100</f>
        <v>23.52941176470588</v>
      </c>
      <c r="M145" s="23"/>
      <c r="N145" s="51">
        <f>P145+R145</f>
        <v>5</v>
      </c>
      <c r="O145" s="52">
        <f>N145/$Q$5*100</f>
        <v>15.625</v>
      </c>
      <c r="P145" s="53">
        <f>COUNTIFS('00 Encuesta'!$B$2:$B$511,"*b)*",'00 Encuesta'!$C$2:$C$511,"*b)*",'00 Encuesta'!$E$2:$E$511,"*a)*",'00 Encuesta'!$T$2:$T$511,"*b)*")</f>
        <v>4</v>
      </c>
      <c r="Q145" s="52">
        <f>P145/$Q$6*100</f>
        <v>23.52941176470588</v>
      </c>
      <c r="R145" s="53">
        <f>COUNTIFS('00 Encuesta'!$B$2:$B$511,"*b)*",'00 Encuesta'!$C$2:$C$511,"*b)*",'00 Encuesta'!$E$2:$E$511,"*b)*",'00 Encuesta'!$T$2:$T$511,"*b)*")</f>
        <v>1</v>
      </c>
      <c r="S145" s="52">
        <f>R145/$Q$7*100</f>
        <v>6.666666666666667</v>
      </c>
      <c r="T145" s="3"/>
      <c r="U145" s="51">
        <f>W145+Y145</f>
        <v>13</v>
      </c>
      <c r="V145" s="52">
        <f>U145/$X$5*100</f>
        <v>33.333333333333329</v>
      </c>
      <c r="W145" s="53">
        <f>COUNTIFS('00 Encuesta'!$B$2:$B$511,"*b)*",'00 Encuesta'!$C$2:$C$511,"*c)*",'00 Encuesta'!$E$2:$E$511,"*a)*",'00 Encuesta'!$T$2:$T$511,"*b)*")</f>
        <v>9</v>
      </c>
      <c r="X145" s="52">
        <f>W145/$X$6*100</f>
        <v>42.857142857142854</v>
      </c>
      <c r="Y145" s="53">
        <f>COUNTIFS('00 Encuesta'!$B$2:$B$511,"*b)*",'00 Encuesta'!$C$2:$C$511,"*c)*",'00 Encuesta'!$E$2:$E$511,"*b)*",'00 Encuesta'!$T$2:$T$511,"*b)*")</f>
        <v>4</v>
      </c>
      <c r="Z145" s="52">
        <f>Y145/$X$7*100</f>
        <v>22.222222222222221</v>
      </c>
      <c r="AA145" s="3"/>
      <c r="AB145" s="62">
        <f>G145+N145+U145</f>
        <v>27</v>
      </c>
      <c r="AC145" s="52">
        <f>AB145*100/$AC$5</f>
        <v>24.770642201834864</v>
      </c>
      <c r="AD145" s="7"/>
      <c r="AE145" s="7"/>
      <c r="AF145" s="9" t="str">
        <f t="shared" si="173"/>
        <v>b) Suficiente</v>
      </c>
      <c r="AG145" s="72">
        <f>J145</f>
        <v>23.809523809523807</v>
      </c>
      <c r="AH145" s="72">
        <f>L145</f>
        <v>23.52941176470588</v>
      </c>
      <c r="AI145" s="73">
        <f>H145</f>
        <v>23.684210526315788</v>
      </c>
      <c r="AJ145" s="73"/>
      <c r="AK145" s="76">
        <f>Q145</f>
        <v>23.52941176470588</v>
      </c>
      <c r="AL145" s="76">
        <f>S145</f>
        <v>6.666666666666667</v>
      </c>
      <c r="AM145" s="76">
        <f>O145</f>
        <v>15.625</v>
      </c>
      <c r="AN145" s="76"/>
      <c r="AO145" s="81">
        <f>X145</f>
        <v>42.857142857142854</v>
      </c>
      <c r="AP145" s="81">
        <f>Z145</f>
        <v>22.222222222222221</v>
      </c>
      <c r="AQ145" s="81">
        <f>V145</f>
        <v>33.333333333333329</v>
      </c>
      <c r="AR145" s="7"/>
      <c r="AS145" s="76">
        <f t="shared" si="174"/>
        <v>24.770642201834864</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ht="15" x14ac:dyDescent="0.25">
      <c r="A146" s="8" t="s">
        <v>20</v>
      </c>
      <c r="B146" s="9" t="s">
        <v>104</v>
      </c>
      <c r="C146" s="7"/>
      <c r="D146" s="7"/>
      <c r="E146" s="7"/>
      <c r="F146" s="71">
        <v>33.33</v>
      </c>
      <c r="G146" s="51">
        <f>I146+K146</f>
        <v>1</v>
      </c>
      <c r="H146" s="52">
        <f>G146/$J$5*100</f>
        <v>2.6315789473684208</v>
      </c>
      <c r="I146" s="53">
        <f>COUNTIFS('00 Encuesta'!$B$2:$B$511,"*b)*",'00 Encuesta'!$C$2:$C$511,"*a)*",'00 Encuesta'!$E$2:$E$511,"*a)*",'00 Encuesta'!$T$2:$T$511,"*c)*")</f>
        <v>1</v>
      </c>
      <c r="J146" s="52">
        <f>I146/$J$6*100</f>
        <v>4.7619047619047619</v>
      </c>
      <c r="K146" s="53">
        <f>COUNTIFS('00 Encuesta'!$B$2:$B$511,"*b)*",'00 Encuesta'!$C$2:$C$511,"*a)*",'00 Encuesta'!$E$2:$E$511,"*b)*",'00 Encuesta'!$T$2:$T$511,"*c)*")</f>
        <v>0</v>
      </c>
      <c r="L146" s="52">
        <f>K146/$J$7*100</f>
        <v>0</v>
      </c>
      <c r="M146" s="23"/>
      <c r="N146" s="51">
        <f>P146+R146</f>
        <v>1</v>
      </c>
      <c r="O146" s="52">
        <f>N146/$Q$5*100</f>
        <v>3.125</v>
      </c>
      <c r="P146" s="53">
        <f>COUNTIFS('00 Encuesta'!$B$2:$B$511,"*b)*",'00 Encuesta'!$C$2:$C$511,"*b)*",'00 Encuesta'!$E$2:$E$511,"*a)*",'00 Encuesta'!$T$2:$T$511,"*c)*")</f>
        <v>1</v>
      </c>
      <c r="Q146" s="52">
        <f>P146/$Q$6*100</f>
        <v>5.8823529411764701</v>
      </c>
      <c r="R146" s="53">
        <f>COUNTIFS('00 Encuesta'!$B$2:$B$511,"*b)*",'00 Encuesta'!$C$2:$C$511,"*b)*",'00 Encuesta'!$E$2:$E$511,"*b)*",'00 Encuesta'!$T$2:$T$511,"*c)*")</f>
        <v>0</v>
      </c>
      <c r="S146" s="52">
        <f>R146/$Q$7*100</f>
        <v>0</v>
      </c>
      <c r="T146" s="3"/>
      <c r="U146" s="51">
        <f>W146+Y146</f>
        <v>3</v>
      </c>
      <c r="V146" s="52">
        <f>U146/$X$5*100</f>
        <v>7.6923076923076925</v>
      </c>
      <c r="W146" s="53">
        <f>COUNTIFS('00 Encuesta'!$B$2:$B$511,"*b)*",'00 Encuesta'!$C$2:$C$511,"*c)*",'00 Encuesta'!$E$2:$E$511,"*a)*",'00 Encuesta'!$T$2:$T$511,"*c)*")</f>
        <v>2</v>
      </c>
      <c r="X146" s="52">
        <f>W146/$X$6*100</f>
        <v>9.5238095238095237</v>
      </c>
      <c r="Y146" s="53">
        <f>COUNTIFS('00 Encuesta'!$B$2:$B$511,"*b)*",'00 Encuesta'!$C$2:$C$511,"*c)*",'00 Encuesta'!$E$2:$E$511,"*b)*",'00 Encuesta'!$T$2:$T$511,"*c)*")</f>
        <v>1</v>
      </c>
      <c r="Z146" s="52">
        <f>Y146/$X$7*100</f>
        <v>5.5555555555555554</v>
      </c>
      <c r="AA146" s="3"/>
      <c r="AB146" s="62">
        <f>G146+N146+U146</f>
        <v>5</v>
      </c>
      <c r="AC146" s="52">
        <f>AB146*100/$AC$5</f>
        <v>4.5871559633027523</v>
      </c>
      <c r="AD146" s="7"/>
      <c r="AE146" s="7"/>
      <c r="AF146" s="9" t="str">
        <f t="shared" si="173"/>
        <v>c) Poco</v>
      </c>
      <c r="AG146" s="72">
        <f>J146</f>
        <v>4.7619047619047619</v>
      </c>
      <c r="AH146" s="72">
        <f>L146</f>
        <v>0</v>
      </c>
      <c r="AI146" s="73">
        <f>H146</f>
        <v>2.6315789473684208</v>
      </c>
      <c r="AJ146" s="73"/>
      <c r="AK146" s="76">
        <f>Q146</f>
        <v>5.8823529411764701</v>
      </c>
      <c r="AL146" s="76">
        <f>S146</f>
        <v>0</v>
      </c>
      <c r="AM146" s="76">
        <f>O146</f>
        <v>3.125</v>
      </c>
      <c r="AN146" s="76"/>
      <c r="AO146" s="81">
        <f>X146</f>
        <v>9.5238095238095237</v>
      </c>
      <c r="AP146" s="81">
        <f>Z146</f>
        <v>5.5555555555555554</v>
      </c>
      <c r="AQ146" s="81">
        <f>V146</f>
        <v>7.6923076923076925</v>
      </c>
      <c r="AR146" s="7"/>
      <c r="AS146" s="76">
        <f t="shared" si="174"/>
        <v>4.5871559633027523</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ht="15" x14ac:dyDescent="0.25">
      <c r="A147" s="8" t="s">
        <v>21</v>
      </c>
      <c r="B147" s="9" t="s">
        <v>105</v>
      </c>
      <c r="C147" s="7"/>
      <c r="D147" s="7"/>
      <c r="E147" s="7"/>
      <c r="F147" s="71">
        <v>0</v>
      </c>
      <c r="G147" s="51">
        <f>I147+K147</f>
        <v>1</v>
      </c>
      <c r="H147" s="52">
        <f>G147/$J$5*100</f>
        <v>2.6315789473684208</v>
      </c>
      <c r="I147" s="53">
        <f>COUNTIFS('00 Encuesta'!$B$2:$B$511,"*b)*",'00 Encuesta'!$C$2:$C$511,"*a)*",'00 Encuesta'!$E$2:$E$511,"*a)*",'00 Encuesta'!$T$2:$T$511,"*d)*")</f>
        <v>0</v>
      </c>
      <c r="J147" s="52">
        <f>I147/$J$6*100</f>
        <v>0</v>
      </c>
      <c r="K147" s="53">
        <f>COUNTIFS('00 Encuesta'!$B$2:$B$511,"*b)*",'00 Encuesta'!$C$2:$C$511,"*a)*",'00 Encuesta'!$E$2:$E$511,"*b)*",'00 Encuesta'!$T$2:$T$511,"*d)*")</f>
        <v>1</v>
      </c>
      <c r="L147" s="52">
        <f>K147/$J$7*100</f>
        <v>5.8823529411764701</v>
      </c>
      <c r="M147" s="23"/>
      <c r="N147" s="51">
        <f>P147+R147</f>
        <v>0</v>
      </c>
      <c r="O147" s="52">
        <f>N147/$Q$5*100</f>
        <v>0</v>
      </c>
      <c r="P147" s="53">
        <f>COUNTIFS('00 Encuesta'!$B$2:$B$511,"*b)*",'00 Encuesta'!$C$2:$C$511,"*b)*",'00 Encuesta'!$E$2:$E$511,"*a)*",'00 Encuesta'!$T$2:$T$511,"*d)*")</f>
        <v>0</v>
      </c>
      <c r="Q147" s="52">
        <f>P147/$Q$6*100</f>
        <v>0</v>
      </c>
      <c r="R147" s="53">
        <f>COUNTIFS('00 Encuesta'!$B$2:$B$511,"*b)*",'00 Encuesta'!$C$2:$C$511,"*b)*",'00 Encuesta'!$E$2:$E$511,"*b)*",'00 Encuesta'!$T$2:$T$511,"*d)*")</f>
        <v>0</v>
      </c>
      <c r="S147" s="52">
        <f>R147/$Q$7*100</f>
        <v>0</v>
      </c>
      <c r="T147" s="3"/>
      <c r="U147" s="51">
        <f>W147+Y147</f>
        <v>2</v>
      </c>
      <c r="V147" s="52">
        <f>U147/$X$5*100</f>
        <v>5.1282051282051277</v>
      </c>
      <c r="W147" s="53">
        <f>COUNTIFS('00 Encuesta'!$B$2:$B$511,"*b)*",'00 Encuesta'!$C$2:$C$511,"*c)*",'00 Encuesta'!$E$2:$E$511,"*a)*",'00 Encuesta'!$T$2:$T$511,"*d)*")</f>
        <v>2</v>
      </c>
      <c r="X147" s="52">
        <f>W147/$X$6*100</f>
        <v>9.5238095238095237</v>
      </c>
      <c r="Y147" s="53">
        <f>COUNTIFS('00 Encuesta'!$B$2:$B$511,"*b)*",'00 Encuesta'!$C$2:$C$511,"*c)*",'00 Encuesta'!$E$2:$E$511,"*b)*",'00 Encuesta'!$T$2:$T$511,"*d)*")</f>
        <v>0</v>
      </c>
      <c r="Z147" s="52">
        <f>Y147/$X$7*100</f>
        <v>0</v>
      </c>
      <c r="AA147" s="3"/>
      <c r="AB147" s="62">
        <f>G147+N147+U147</f>
        <v>3</v>
      </c>
      <c r="AC147" s="52">
        <f>AB147*100/$AC$5</f>
        <v>2.7522935779816513</v>
      </c>
      <c r="AD147" s="7"/>
      <c r="AE147" s="7"/>
      <c r="AF147" s="9" t="str">
        <f t="shared" si="173"/>
        <v>d) Nada</v>
      </c>
      <c r="AG147" s="72">
        <f>J147</f>
        <v>0</v>
      </c>
      <c r="AH147" s="72">
        <f>L147</f>
        <v>5.8823529411764701</v>
      </c>
      <c r="AI147" s="73">
        <f>H147</f>
        <v>2.6315789473684208</v>
      </c>
      <c r="AJ147" s="73"/>
      <c r="AK147" s="76">
        <f>Q147</f>
        <v>0</v>
      </c>
      <c r="AL147" s="76">
        <f>S147</f>
        <v>0</v>
      </c>
      <c r="AM147" s="76">
        <f>O147</f>
        <v>0</v>
      </c>
      <c r="AN147" s="76"/>
      <c r="AO147" s="81">
        <f>X147</f>
        <v>9.5238095238095237</v>
      </c>
      <c r="AP147" s="81">
        <f>Z147</f>
        <v>0</v>
      </c>
      <c r="AQ147" s="81">
        <f>V147</f>
        <v>5.1282051282051277</v>
      </c>
      <c r="AR147" s="7"/>
      <c r="AS147" s="76">
        <f t="shared" si="174"/>
        <v>2.7522935779816513</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ht="15" x14ac:dyDescent="0.25">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f>N148/$Q$5*100</f>
        <v>0</v>
      </c>
      <c r="P148" s="53"/>
      <c r="Q148" s="52">
        <f>P148/$Q$6*100</f>
        <v>0</v>
      </c>
      <c r="R148" s="53"/>
      <c r="S148" s="52">
        <f>R148/$Q$7*100</f>
        <v>0</v>
      </c>
      <c r="T148" s="3"/>
      <c r="U148" s="51">
        <f>W148+Y148</f>
        <v>0</v>
      </c>
      <c r="V148" s="52">
        <f>U148/$X$5*100</f>
        <v>0</v>
      </c>
      <c r="W148" s="53"/>
      <c r="X148" s="52">
        <f>W148/$X$6*100</f>
        <v>0</v>
      </c>
      <c r="Y148" s="53"/>
      <c r="Z148" s="52">
        <f>Y148/$X$7*100</f>
        <v>0</v>
      </c>
      <c r="AA148" s="3"/>
      <c r="AB148" s="62">
        <f>G148+N148+U148</f>
        <v>0</v>
      </c>
      <c r="AC148" s="52">
        <f>AB148*100/$AC$5</f>
        <v>0</v>
      </c>
      <c r="AD148" s="7"/>
      <c r="AE148" s="7"/>
      <c r="AF148" s="9" t="str">
        <f t="shared" si="173"/>
        <v>S/R Sin Respuesta</v>
      </c>
      <c r="AG148" s="72">
        <f>J148</f>
        <v>0</v>
      </c>
      <c r="AH148" s="72">
        <f>L148</f>
        <v>0</v>
      </c>
      <c r="AI148" s="73">
        <f>H148</f>
        <v>0</v>
      </c>
      <c r="AJ148" s="73"/>
      <c r="AK148" s="76">
        <f>Q148</f>
        <v>0</v>
      </c>
      <c r="AL148" s="76">
        <f>S148</f>
        <v>0</v>
      </c>
      <c r="AM148" s="76">
        <f>O148</f>
        <v>0</v>
      </c>
      <c r="AN148" s="76"/>
      <c r="AO148" s="81">
        <f>X148</f>
        <v>0</v>
      </c>
      <c r="AP148" s="81">
        <f>Z148</f>
        <v>0</v>
      </c>
      <c r="AQ148" s="81">
        <f>V148</f>
        <v>0</v>
      </c>
      <c r="AR148" s="7"/>
      <c r="AS148" s="76">
        <f t="shared" si="174"/>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ht="15" x14ac:dyDescent="0.25">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87.717368421052626</v>
      </c>
      <c r="AH149" s="82">
        <f>($F144*K144+$F145*K145+$F146*K146+$F147*K147)/(+K144+K145+K146+K147)</f>
        <v>85.414999999999992</v>
      </c>
      <c r="AI149" s="82">
        <f>($F144*G144+$F145*G145+$F146*G146+$F147*G147)/(G144+G145+G146+G147)</f>
        <v>86.664857142857144</v>
      </c>
      <c r="AJ149" s="82"/>
      <c r="AK149" s="82">
        <f>($F144*P144+$F145*P145+$F146*P146+$F147*P147)/(P144+P145+P146+P147)</f>
        <v>87.498124999999987</v>
      </c>
      <c r="AL149" s="82">
        <f>($F144*R144+$F145*R145+$F146*R146+$F147*R147)/(R144+R145+R146+R147)</f>
        <v>97.777333333333345</v>
      </c>
      <c r="AM149" s="82">
        <f>($F144*N144+$F145*N145+$F146*N146+$F147*N147)/(N144+N145+N146+N147)</f>
        <v>92.471935483870965</v>
      </c>
      <c r="AN149" s="82"/>
      <c r="AO149" s="82">
        <f>($F144*W144+$F145*W145+$F146*W146+$F147*W147)/(W144+W145+W146+W147)</f>
        <v>69.838095238095249</v>
      </c>
      <c r="AP149" s="82">
        <f>($F144*Y144+$F145*Y145+$F146*Y146+$F147*Y147)/(Y144+Y145+Y146+Y147)</f>
        <v>87.498124999999987</v>
      </c>
      <c r="AQ149" s="82">
        <f>($F144*U144+$F145*U145+$F146*U146+$F147*U147)/(U144+U145+U146+U147)</f>
        <v>77.474864864864855</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ht="15" x14ac:dyDescent="0.25">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ht="15" x14ac:dyDescent="0.25">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ht="15" x14ac:dyDescent="0.25">
      <c r="A153" s="8" t="s">
        <v>17</v>
      </c>
      <c r="B153" s="9" t="s">
        <v>114</v>
      </c>
      <c r="C153" s="7"/>
      <c r="D153" s="7"/>
      <c r="E153" s="7"/>
      <c r="F153" s="71"/>
      <c r="G153" s="51">
        <f t="shared" ref="G153:G164" si="175">I153+K153</f>
        <v>32</v>
      </c>
      <c r="H153" s="52">
        <f t="shared" ref="H153:H164" si="176">G153/$J$5*100</f>
        <v>84.210526315789465</v>
      </c>
      <c r="I153" s="53">
        <f>COUNTIFS('00 Encuesta'!$B$2:$B$511,"*b)*",'00 Encuesta'!$C$2:$C$511,"*a)*",'00 Encuesta'!$E$2:$E$511,"*a)*",'00 Encuesta'!$U$2:$U$511,"*a)*")</f>
        <v>17</v>
      </c>
      <c r="J153" s="52">
        <f t="shared" ref="J153:J164" si="177">I153/$J$6*100</f>
        <v>80.952380952380949</v>
      </c>
      <c r="K153" s="53">
        <f>COUNTIFS('00 Encuesta'!$B$2:$B$511,"*b)*",'00 Encuesta'!$C$2:$C$511,"*a)*",'00 Encuesta'!$E$2:$E$511,"*b)*",'00 Encuesta'!$U$2:$U$511,"*a)*")</f>
        <v>15</v>
      </c>
      <c r="L153" s="52">
        <f t="shared" ref="L153:L164" si="178">K153/$J$7*100</f>
        <v>88.235294117647058</v>
      </c>
      <c r="M153" s="23"/>
      <c r="N153" s="51">
        <f t="shared" ref="N153:N164" si="179">P153+R153</f>
        <v>27</v>
      </c>
      <c r="O153" s="52">
        <f t="shared" ref="O153:O164" si="180">N153/$Q$5*100</f>
        <v>84.375</v>
      </c>
      <c r="P153" s="53">
        <f>COUNTIFS('00 Encuesta'!$B$2:$B$511,"*b)*",'00 Encuesta'!$C$2:$C$511,"*b)*",'00 Encuesta'!$E$2:$E$511,"*a)*",'00 Encuesta'!$U$2:$U$511,"*a)*")</f>
        <v>15</v>
      </c>
      <c r="Q153" s="52">
        <f t="shared" ref="Q153:Q164" si="181">P153/$Q$6*100</f>
        <v>88.235294117647058</v>
      </c>
      <c r="R153" s="53">
        <f>COUNTIFS('00 Encuesta'!$B$2:$B$511,"*b)*",'00 Encuesta'!$C$2:$C$511,"*b)*",'00 Encuesta'!$E$2:$E$511,"*b)*",'00 Encuesta'!$U$2:$U$511,"*a)*")</f>
        <v>12</v>
      </c>
      <c r="S153" s="52">
        <f t="shared" ref="S153:S164" si="182">R153/$Q$7*100</f>
        <v>80</v>
      </c>
      <c r="T153" s="3"/>
      <c r="U153" s="51">
        <f t="shared" ref="U153:U164" si="183">W153+Y153</f>
        <v>28</v>
      </c>
      <c r="V153" s="52">
        <f t="shared" ref="V153:V164" si="184">U153/$X$5*100</f>
        <v>71.794871794871796</v>
      </c>
      <c r="W153" s="53">
        <f>COUNTIFS('00 Encuesta'!$B$2:$B$511,"*b)*",'00 Encuesta'!$C$2:$C$511,"*c)*",'00 Encuesta'!$E$2:$E$511,"*a)*",'00 Encuesta'!$U$2:$U$511,"*a)*")</f>
        <v>16</v>
      </c>
      <c r="X153" s="52">
        <f t="shared" ref="X153:X164" si="185">W153/$X$6*100</f>
        <v>76.19047619047619</v>
      </c>
      <c r="Y153" s="53">
        <f>COUNTIFS('00 Encuesta'!$B$2:$B$511,"*b)*",'00 Encuesta'!$C$2:$C$511,"*c)*",'00 Encuesta'!$E$2:$E$511,"*b)*",'00 Encuesta'!$U$2:$U$511,"*a)*")</f>
        <v>12</v>
      </c>
      <c r="Z153" s="52">
        <f t="shared" ref="Z153:Z164" si="186">Y153/$X$7*100</f>
        <v>66.666666666666657</v>
      </c>
      <c r="AA153" s="3"/>
      <c r="AB153" s="62">
        <f t="shared" ref="AB153:AB164" si="187">G153+N153+U153</f>
        <v>87</v>
      </c>
      <c r="AC153" s="52">
        <f t="shared" ref="AC153:AC164" si="188">AB153*100/$AC$5</f>
        <v>79.816513761467888</v>
      </c>
      <c r="AD153" s="7"/>
      <c r="AE153" s="7"/>
      <c r="AF153" s="9" t="str">
        <f t="shared" ref="AF153:AF165" si="189">A153&amp;" "&amp;B153</f>
        <v>a) La iglesia</v>
      </c>
      <c r="AG153" s="72">
        <f t="shared" ref="AG153:AG165" si="190">J153</f>
        <v>80.952380952380949</v>
      </c>
      <c r="AH153" s="72">
        <f t="shared" ref="AH153:AH165" si="191">L153</f>
        <v>88.235294117647058</v>
      </c>
      <c r="AI153" s="73">
        <f t="shared" ref="AI153:AI165" si="192">H153</f>
        <v>84.210526315789465</v>
      </c>
      <c r="AJ153" s="73"/>
      <c r="AK153" s="76">
        <f t="shared" ref="AK153:AK165" si="193">Q153</f>
        <v>88.235294117647058</v>
      </c>
      <c r="AL153" s="76">
        <f t="shared" ref="AL153:AL165" si="194">S153</f>
        <v>80</v>
      </c>
      <c r="AM153" s="76">
        <f t="shared" ref="AM153:AM165" si="195">O153</f>
        <v>84.375</v>
      </c>
      <c r="AN153" s="76"/>
      <c r="AO153" s="81">
        <f t="shared" ref="AO153:AO165" si="196">X153</f>
        <v>76.19047619047619</v>
      </c>
      <c r="AP153" s="81">
        <f t="shared" ref="AP153:AP165" si="197">Z153</f>
        <v>66.666666666666657</v>
      </c>
      <c r="AQ153" s="81">
        <f t="shared" ref="AQ153:AQ165" si="198">V153</f>
        <v>71.794871794871796</v>
      </c>
      <c r="AR153" s="7"/>
      <c r="AS153" s="76">
        <f t="shared" si="174"/>
        <v>79.816513761467888</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ht="15" x14ac:dyDescent="0.25">
      <c r="A154" s="8" t="s">
        <v>18</v>
      </c>
      <c r="B154" s="9" t="s">
        <v>115</v>
      </c>
      <c r="C154" s="7"/>
      <c r="D154" s="7"/>
      <c r="E154" s="7"/>
      <c r="F154" s="71"/>
      <c r="G154" s="51">
        <f t="shared" si="175"/>
        <v>18</v>
      </c>
      <c r="H154" s="52">
        <f t="shared" si="176"/>
        <v>47.368421052631575</v>
      </c>
      <c r="I154" s="53">
        <f>COUNTIFS('00 Encuesta'!$B$2:$B$511,"*b)*",'00 Encuesta'!$C$2:$C$511,"*a)*",'00 Encuesta'!$E$2:$E$511,"*a)*",'00 Encuesta'!$U$2:$U$511,"*b)*")</f>
        <v>10</v>
      </c>
      <c r="J154" s="52">
        <f t="shared" si="177"/>
        <v>47.619047619047613</v>
      </c>
      <c r="K154" s="53">
        <f>COUNTIFS('00 Encuesta'!$B$2:$B$511,"*b)*",'00 Encuesta'!$C$2:$C$511,"*a)*",'00 Encuesta'!$E$2:$E$511,"*b)*",'00 Encuesta'!$U$2:$U$511,"*b)*")</f>
        <v>8</v>
      </c>
      <c r="L154" s="52">
        <f t="shared" si="178"/>
        <v>47.058823529411761</v>
      </c>
      <c r="M154" s="23"/>
      <c r="N154" s="51">
        <f t="shared" si="179"/>
        <v>13</v>
      </c>
      <c r="O154" s="52">
        <f t="shared" si="180"/>
        <v>40.625</v>
      </c>
      <c r="P154" s="53">
        <f>COUNTIFS('00 Encuesta'!$B$2:$B$511,"*b)*",'00 Encuesta'!$C$2:$C$511,"*b)*",'00 Encuesta'!$E$2:$E$511,"*a)*",'00 Encuesta'!$U$2:$U$511,"*b)*")</f>
        <v>8</v>
      </c>
      <c r="Q154" s="52">
        <f t="shared" si="181"/>
        <v>47.058823529411761</v>
      </c>
      <c r="R154" s="53">
        <f>COUNTIFS('00 Encuesta'!$B$2:$B$511,"*b)*",'00 Encuesta'!$C$2:$C$511,"*b)*",'00 Encuesta'!$E$2:$E$511,"*b)*",'00 Encuesta'!$U$2:$U$511,"*b)*")</f>
        <v>5</v>
      </c>
      <c r="S154" s="52">
        <f t="shared" si="182"/>
        <v>33.333333333333329</v>
      </c>
      <c r="T154" s="3"/>
      <c r="U154" s="51">
        <f t="shared" si="183"/>
        <v>20</v>
      </c>
      <c r="V154" s="52">
        <f t="shared" si="184"/>
        <v>51.282051282051277</v>
      </c>
      <c r="W154" s="53">
        <f>COUNTIFS('00 Encuesta'!$B$2:$B$511,"*b)*",'00 Encuesta'!$C$2:$C$511,"*c)*",'00 Encuesta'!$E$2:$E$511,"*a)*",'00 Encuesta'!$U$2:$U$511,"*b)*")</f>
        <v>11</v>
      </c>
      <c r="X154" s="52">
        <f t="shared" si="185"/>
        <v>52.380952380952387</v>
      </c>
      <c r="Y154" s="53">
        <f>COUNTIFS('00 Encuesta'!$B$2:$B$511,"*b)*",'00 Encuesta'!$C$2:$C$511,"*c)*",'00 Encuesta'!$E$2:$E$511,"*b)*",'00 Encuesta'!$U$2:$U$511,"*b)*")</f>
        <v>9</v>
      </c>
      <c r="Z154" s="52">
        <f t="shared" si="186"/>
        <v>50</v>
      </c>
      <c r="AA154" s="3"/>
      <c r="AB154" s="62">
        <f t="shared" si="187"/>
        <v>51</v>
      </c>
      <c r="AC154" s="52">
        <f t="shared" si="188"/>
        <v>46.788990825688074</v>
      </c>
      <c r="AD154" s="7"/>
      <c r="AE154" s="7"/>
      <c r="AF154" s="9" t="str">
        <f t="shared" si="189"/>
        <v>b) La naturaleza</v>
      </c>
      <c r="AG154" s="72">
        <f t="shared" si="190"/>
        <v>47.619047619047613</v>
      </c>
      <c r="AH154" s="72">
        <f t="shared" si="191"/>
        <v>47.058823529411761</v>
      </c>
      <c r="AI154" s="73">
        <f t="shared" si="192"/>
        <v>47.368421052631575</v>
      </c>
      <c r="AJ154" s="73"/>
      <c r="AK154" s="76">
        <f t="shared" si="193"/>
        <v>47.058823529411761</v>
      </c>
      <c r="AL154" s="76">
        <f t="shared" si="194"/>
        <v>33.333333333333329</v>
      </c>
      <c r="AM154" s="76">
        <f t="shared" si="195"/>
        <v>40.625</v>
      </c>
      <c r="AN154" s="76"/>
      <c r="AO154" s="81">
        <f t="shared" si="196"/>
        <v>52.380952380952387</v>
      </c>
      <c r="AP154" s="81">
        <f t="shared" si="197"/>
        <v>50</v>
      </c>
      <c r="AQ154" s="81">
        <f t="shared" si="198"/>
        <v>51.282051282051277</v>
      </c>
      <c r="AR154" s="7"/>
      <c r="AS154" s="76">
        <f t="shared" si="174"/>
        <v>46.788990825688074</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9</v>
      </c>
      <c r="H155" s="52">
        <f t="shared" si="176"/>
        <v>23.684210526315788</v>
      </c>
      <c r="I155" s="53">
        <f>COUNTIFS('00 Encuesta'!$B$2:$B$511,"*b)*",'00 Encuesta'!$C$2:$C$511,"*a)*",'00 Encuesta'!$E$2:$E$511,"*a)*",'00 Encuesta'!$U$2:$U$511,"*c)*")</f>
        <v>5</v>
      </c>
      <c r="J155" s="52">
        <f t="shared" si="177"/>
        <v>23.809523809523807</v>
      </c>
      <c r="K155" s="53">
        <f>COUNTIFS('00 Encuesta'!$B$2:$B$511,"*b)*",'00 Encuesta'!$C$2:$C$511,"*a)*",'00 Encuesta'!$E$2:$E$511,"*b)*",'00 Encuesta'!$U$2:$U$511,"*c)*")</f>
        <v>4</v>
      </c>
      <c r="L155" s="52">
        <f t="shared" si="178"/>
        <v>23.52941176470588</v>
      </c>
      <c r="M155" s="23"/>
      <c r="N155" s="51">
        <f t="shared" si="179"/>
        <v>10</v>
      </c>
      <c r="O155" s="52">
        <f t="shared" si="180"/>
        <v>31.25</v>
      </c>
      <c r="P155" s="53">
        <f>COUNTIFS('00 Encuesta'!$B$2:$B$511,"*b)*",'00 Encuesta'!$C$2:$C$511,"*b)*",'00 Encuesta'!$E$2:$E$511,"*a)*",'00 Encuesta'!$U$2:$U$511,"*c)*")</f>
        <v>7</v>
      </c>
      <c r="Q155" s="52">
        <f t="shared" si="181"/>
        <v>41.17647058823529</v>
      </c>
      <c r="R155" s="53">
        <f>COUNTIFS('00 Encuesta'!$B$2:$B$511,"*b)*",'00 Encuesta'!$C$2:$C$511,"*b)*",'00 Encuesta'!$E$2:$E$511,"*b)*",'00 Encuesta'!$U$2:$U$511,"*c)*")</f>
        <v>3</v>
      </c>
      <c r="S155" s="52">
        <f t="shared" si="182"/>
        <v>20</v>
      </c>
      <c r="T155" s="3"/>
      <c r="U155" s="51">
        <f t="shared" si="183"/>
        <v>6</v>
      </c>
      <c r="V155" s="52">
        <f t="shared" si="184"/>
        <v>15.384615384615385</v>
      </c>
      <c r="W155" s="53">
        <f>COUNTIFS('00 Encuesta'!$B$2:$B$511,"*b)*",'00 Encuesta'!$C$2:$C$511,"*c)*",'00 Encuesta'!$E$2:$E$511,"*a)*",'00 Encuesta'!$U$2:$U$511,"*c)*")</f>
        <v>3</v>
      </c>
      <c r="X155" s="52">
        <f t="shared" si="185"/>
        <v>14.285714285714285</v>
      </c>
      <c r="Y155" s="53">
        <f>COUNTIFS('00 Encuesta'!$B$2:$B$511,"*b)*",'00 Encuesta'!$C$2:$C$511,"*c)*",'00 Encuesta'!$E$2:$E$511,"*b)*",'00 Encuesta'!$U$2:$U$511,"*c)*")</f>
        <v>3</v>
      </c>
      <c r="Z155" s="52">
        <f t="shared" si="186"/>
        <v>16.666666666666664</v>
      </c>
      <c r="AA155" s="3"/>
      <c r="AB155" s="62">
        <f t="shared" si="187"/>
        <v>25</v>
      </c>
      <c r="AC155" s="52">
        <f t="shared" si="188"/>
        <v>22.935779816513762</v>
      </c>
      <c r="AD155" s="7"/>
      <c r="AE155" s="7"/>
      <c r="AF155" s="9" t="str">
        <f t="shared" si="189"/>
        <v>c) El salón de clase</v>
      </c>
      <c r="AG155" s="72">
        <f t="shared" si="190"/>
        <v>23.809523809523807</v>
      </c>
      <c r="AH155" s="72">
        <f t="shared" si="191"/>
        <v>23.52941176470588</v>
      </c>
      <c r="AI155" s="73">
        <f t="shared" si="192"/>
        <v>23.684210526315788</v>
      </c>
      <c r="AJ155" s="73"/>
      <c r="AK155" s="76">
        <f t="shared" si="193"/>
        <v>41.17647058823529</v>
      </c>
      <c r="AL155" s="76">
        <f t="shared" si="194"/>
        <v>20</v>
      </c>
      <c r="AM155" s="76">
        <f t="shared" si="195"/>
        <v>31.25</v>
      </c>
      <c r="AN155" s="76"/>
      <c r="AO155" s="81">
        <f t="shared" si="196"/>
        <v>14.285714285714285</v>
      </c>
      <c r="AP155" s="81">
        <f t="shared" si="197"/>
        <v>16.666666666666664</v>
      </c>
      <c r="AQ155" s="81">
        <f t="shared" si="198"/>
        <v>15.384615384615385</v>
      </c>
      <c r="AR155" s="7"/>
      <c r="AS155" s="76">
        <f t="shared" si="174"/>
        <v>22.935779816513762</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ht="15" x14ac:dyDescent="0.25">
      <c r="A156" s="8" t="s">
        <v>21</v>
      </c>
      <c r="B156" s="9" t="s">
        <v>117</v>
      </c>
      <c r="C156" s="7"/>
      <c r="D156" s="7"/>
      <c r="E156" s="7"/>
      <c r="F156" s="71"/>
      <c r="G156" s="51">
        <f t="shared" si="175"/>
        <v>15</v>
      </c>
      <c r="H156" s="52">
        <f t="shared" si="176"/>
        <v>39.473684210526315</v>
      </c>
      <c r="I156" s="53">
        <f>COUNTIFS('00 Encuesta'!$B$2:$B$511,"*b)*",'00 Encuesta'!$C$2:$C$511,"*a)*",'00 Encuesta'!$E$2:$E$511,"*a)*",'00 Encuesta'!$U$2:$U$511,"*d)*")</f>
        <v>8</v>
      </c>
      <c r="J156" s="52">
        <f t="shared" si="177"/>
        <v>38.095238095238095</v>
      </c>
      <c r="K156" s="53">
        <f>COUNTIFS('00 Encuesta'!$B$2:$B$511,"*b)*",'00 Encuesta'!$C$2:$C$511,"*a)*",'00 Encuesta'!$E$2:$E$511,"*b)*",'00 Encuesta'!$U$2:$U$511,"*d)*")</f>
        <v>7</v>
      </c>
      <c r="L156" s="52">
        <f t="shared" si="178"/>
        <v>41.17647058823529</v>
      </c>
      <c r="M156" s="23"/>
      <c r="N156" s="51">
        <f t="shared" si="179"/>
        <v>15</v>
      </c>
      <c r="O156" s="52">
        <f t="shared" si="180"/>
        <v>46.875</v>
      </c>
      <c r="P156" s="53">
        <f>COUNTIFS('00 Encuesta'!$B$2:$B$511,"*b)*",'00 Encuesta'!$C$2:$C$511,"*b)*",'00 Encuesta'!$E$2:$E$511,"*a)*",'00 Encuesta'!$U$2:$U$511,"*d)*")</f>
        <v>7</v>
      </c>
      <c r="Q156" s="52">
        <f t="shared" si="181"/>
        <v>41.17647058823529</v>
      </c>
      <c r="R156" s="53">
        <f>COUNTIFS('00 Encuesta'!$B$2:$B$511,"*b)*",'00 Encuesta'!$C$2:$C$511,"*b)*",'00 Encuesta'!$E$2:$E$511,"*b)*",'00 Encuesta'!$U$2:$U$511,"*d)*")</f>
        <v>8</v>
      </c>
      <c r="S156" s="52">
        <f t="shared" si="182"/>
        <v>53.333333333333336</v>
      </c>
      <c r="T156" s="3"/>
      <c r="U156" s="51">
        <f t="shared" si="183"/>
        <v>14</v>
      </c>
      <c r="V156" s="52">
        <f t="shared" si="184"/>
        <v>35.897435897435898</v>
      </c>
      <c r="W156" s="53">
        <f>COUNTIFS('00 Encuesta'!$B$2:$B$511,"*b)*",'00 Encuesta'!$C$2:$C$511,"*c)*",'00 Encuesta'!$E$2:$E$511,"*a)*",'00 Encuesta'!$U$2:$U$511,"*d)*")</f>
        <v>10</v>
      </c>
      <c r="X156" s="52">
        <f t="shared" si="185"/>
        <v>47.619047619047613</v>
      </c>
      <c r="Y156" s="53">
        <f>COUNTIFS('00 Encuesta'!$B$2:$B$511,"*b)*",'00 Encuesta'!$C$2:$C$511,"*c)*",'00 Encuesta'!$E$2:$E$511,"*b)*",'00 Encuesta'!$U$2:$U$511,"*d)*")</f>
        <v>4</v>
      </c>
      <c r="Z156" s="52">
        <f t="shared" si="186"/>
        <v>22.222222222222221</v>
      </c>
      <c r="AA156" s="3"/>
      <c r="AB156" s="62">
        <f t="shared" si="187"/>
        <v>44</v>
      </c>
      <c r="AC156" s="52">
        <f t="shared" si="188"/>
        <v>40.366972477064223</v>
      </c>
      <c r="AD156" s="7"/>
      <c r="AE156" s="7"/>
      <c r="AF156" s="9" t="str">
        <f t="shared" si="189"/>
        <v>d) Las convivencias</v>
      </c>
      <c r="AG156" s="72">
        <f t="shared" si="190"/>
        <v>38.095238095238095</v>
      </c>
      <c r="AH156" s="72">
        <f t="shared" si="191"/>
        <v>41.17647058823529</v>
      </c>
      <c r="AI156" s="73">
        <f t="shared" si="192"/>
        <v>39.473684210526315</v>
      </c>
      <c r="AJ156" s="73"/>
      <c r="AK156" s="76">
        <f t="shared" si="193"/>
        <v>41.17647058823529</v>
      </c>
      <c r="AL156" s="76">
        <f t="shared" si="194"/>
        <v>53.333333333333336</v>
      </c>
      <c r="AM156" s="76">
        <f t="shared" si="195"/>
        <v>46.875</v>
      </c>
      <c r="AN156" s="76"/>
      <c r="AO156" s="81">
        <f t="shared" si="196"/>
        <v>47.619047619047613</v>
      </c>
      <c r="AP156" s="81">
        <f t="shared" si="197"/>
        <v>22.222222222222221</v>
      </c>
      <c r="AQ156" s="81">
        <f t="shared" si="198"/>
        <v>35.897435897435898</v>
      </c>
      <c r="AR156" s="7"/>
      <c r="AS156" s="76">
        <f t="shared" si="174"/>
        <v>40.366972477064223</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ht="15" x14ac:dyDescent="0.25">
      <c r="A157" s="8" t="s">
        <v>22</v>
      </c>
      <c r="B157" s="9" t="s">
        <v>81</v>
      </c>
      <c r="C157" s="7"/>
      <c r="D157" s="7"/>
      <c r="E157" s="7"/>
      <c r="F157" s="71"/>
      <c r="G157" s="51">
        <f t="shared" si="175"/>
        <v>10</v>
      </c>
      <c r="H157" s="52">
        <f t="shared" si="176"/>
        <v>26.315789473684209</v>
      </c>
      <c r="I157" s="53">
        <f>COUNTIFS('00 Encuesta'!$B$2:$B$511,"*b)*",'00 Encuesta'!$C$2:$C$511,"*a)*",'00 Encuesta'!$E$2:$E$511,"*a)*",'00 Encuesta'!$U$2:$U$511,"*e)*")</f>
        <v>6</v>
      </c>
      <c r="J157" s="52">
        <f t="shared" si="177"/>
        <v>28.571428571428569</v>
      </c>
      <c r="K157" s="53">
        <f>COUNTIFS('00 Encuesta'!$B$2:$B$511,"*b)*",'00 Encuesta'!$C$2:$C$511,"*a)*",'00 Encuesta'!$E$2:$E$511,"*b)*",'00 Encuesta'!$U$2:$U$511,"*e)*")</f>
        <v>4</v>
      </c>
      <c r="L157" s="52">
        <f t="shared" si="178"/>
        <v>23.52941176470588</v>
      </c>
      <c r="M157" s="23"/>
      <c r="N157" s="51">
        <f t="shared" si="179"/>
        <v>9</v>
      </c>
      <c r="O157" s="52">
        <f t="shared" si="180"/>
        <v>28.125</v>
      </c>
      <c r="P157" s="53">
        <f>COUNTIFS('00 Encuesta'!$B$2:$B$511,"*b)*",'00 Encuesta'!$C$2:$C$511,"*b)*",'00 Encuesta'!$E$2:$E$511,"*a)*",'00 Encuesta'!$U$2:$U$511,"*e)*")</f>
        <v>7</v>
      </c>
      <c r="Q157" s="52">
        <f t="shared" si="181"/>
        <v>41.17647058823529</v>
      </c>
      <c r="R157" s="53">
        <f>COUNTIFS('00 Encuesta'!$B$2:$B$511,"*b)*",'00 Encuesta'!$C$2:$C$511,"*b)*",'00 Encuesta'!$E$2:$E$511,"*b)*",'00 Encuesta'!$U$2:$U$511,"*e)*")</f>
        <v>2</v>
      </c>
      <c r="S157" s="52">
        <f t="shared" si="182"/>
        <v>13.333333333333334</v>
      </c>
      <c r="T157" s="3"/>
      <c r="U157" s="51">
        <f t="shared" si="183"/>
        <v>11</v>
      </c>
      <c r="V157" s="52">
        <f t="shared" si="184"/>
        <v>28.205128205128204</v>
      </c>
      <c r="W157" s="53">
        <f>COUNTIFS('00 Encuesta'!$B$2:$B$511,"*b)*",'00 Encuesta'!$C$2:$C$511,"*c)*",'00 Encuesta'!$E$2:$E$511,"*a)*",'00 Encuesta'!$U$2:$U$511,"*e)*")</f>
        <v>8</v>
      </c>
      <c r="X157" s="52">
        <f t="shared" si="185"/>
        <v>38.095238095238095</v>
      </c>
      <c r="Y157" s="53">
        <f>COUNTIFS('00 Encuesta'!$B$2:$B$511,"*b)*",'00 Encuesta'!$C$2:$C$511,"*c)*",'00 Encuesta'!$E$2:$E$511,"*b)*",'00 Encuesta'!$U$2:$U$511,"*e)*")</f>
        <v>3</v>
      </c>
      <c r="Z157" s="52">
        <f t="shared" si="186"/>
        <v>16.666666666666664</v>
      </c>
      <c r="AA157" s="3"/>
      <c r="AB157" s="62">
        <f t="shared" si="187"/>
        <v>30</v>
      </c>
      <c r="AC157" s="52">
        <f t="shared" si="188"/>
        <v>27.522935779816514</v>
      </c>
      <c r="AD157" s="7"/>
      <c r="AE157" s="7"/>
      <c r="AF157" s="9" t="str">
        <f t="shared" si="189"/>
        <v>e) Los amigos</v>
      </c>
      <c r="AG157" s="72">
        <f t="shared" si="190"/>
        <v>28.571428571428569</v>
      </c>
      <c r="AH157" s="72">
        <f t="shared" si="191"/>
        <v>23.52941176470588</v>
      </c>
      <c r="AI157" s="73">
        <f t="shared" si="192"/>
        <v>26.315789473684209</v>
      </c>
      <c r="AJ157" s="73"/>
      <c r="AK157" s="76">
        <f t="shared" si="193"/>
        <v>41.17647058823529</v>
      </c>
      <c r="AL157" s="76">
        <f t="shared" si="194"/>
        <v>13.333333333333334</v>
      </c>
      <c r="AM157" s="76">
        <f t="shared" si="195"/>
        <v>28.125</v>
      </c>
      <c r="AN157" s="76"/>
      <c r="AO157" s="81">
        <f t="shared" si="196"/>
        <v>38.095238095238095</v>
      </c>
      <c r="AP157" s="81">
        <f t="shared" si="197"/>
        <v>16.666666666666664</v>
      </c>
      <c r="AQ157" s="81">
        <f t="shared" si="198"/>
        <v>28.205128205128204</v>
      </c>
      <c r="AR157" s="7"/>
      <c r="AS157" s="76">
        <f t="shared" si="174"/>
        <v>27.522935779816514</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ht="15" x14ac:dyDescent="0.25">
      <c r="A158" s="8" t="s">
        <v>45</v>
      </c>
      <c r="B158" s="9" t="s">
        <v>118</v>
      </c>
      <c r="C158" s="7"/>
      <c r="D158" s="7"/>
      <c r="E158" s="7"/>
      <c r="F158" s="71"/>
      <c r="G158" s="51">
        <f t="shared" si="175"/>
        <v>7</v>
      </c>
      <c r="H158" s="52">
        <f t="shared" si="176"/>
        <v>18.421052631578945</v>
      </c>
      <c r="I158" s="53">
        <f>COUNTIFS('00 Encuesta'!$B$2:$B$511,"*b)*",'00 Encuesta'!$C$2:$C$511,"*a)*",'00 Encuesta'!$E$2:$E$511,"*a)*",'00 Encuesta'!$U$2:$U$511,"*f)*")</f>
        <v>4</v>
      </c>
      <c r="J158" s="52">
        <f t="shared" si="177"/>
        <v>19.047619047619047</v>
      </c>
      <c r="K158" s="53">
        <f>COUNTIFS('00 Encuesta'!$B$2:$B$511,"*b)*",'00 Encuesta'!$C$2:$C$511,"*a)*",'00 Encuesta'!$E$2:$E$511,"*b)*",'00 Encuesta'!$U$2:$U$511,"*f)*")</f>
        <v>3</v>
      </c>
      <c r="L158" s="52">
        <f t="shared" si="178"/>
        <v>17.647058823529413</v>
      </c>
      <c r="M158" s="23"/>
      <c r="N158" s="51">
        <f t="shared" si="179"/>
        <v>5</v>
      </c>
      <c r="O158" s="52">
        <f t="shared" si="180"/>
        <v>15.625</v>
      </c>
      <c r="P158" s="53">
        <f>COUNTIFS('00 Encuesta'!$B$2:$B$511,"*b)*",'00 Encuesta'!$C$2:$C$511,"*b)*",'00 Encuesta'!$E$2:$E$511,"*a)*",'00 Encuesta'!$U$2:$U$511,"*f)*")</f>
        <v>2</v>
      </c>
      <c r="Q158" s="52">
        <f t="shared" si="181"/>
        <v>11.76470588235294</v>
      </c>
      <c r="R158" s="53">
        <f>COUNTIFS('00 Encuesta'!$B$2:$B$511,"*b)*",'00 Encuesta'!$C$2:$C$511,"*b)*",'00 Encuesta'!$E$2:$E$511,"*b)*",'00 Encuesta'!$U$2:$U$511,"*f)*")</f>
        <v>3</v>
      </c>
      <c r="S158" s="52">
        <f t="shared" si="182"/>
        <v>20</v>
      </c>
      <c r="T158" s="3"/>
      <c r="U158" s="51">
        <f t="shared" si="183"/>
        <v>6</v>
      </c>
      <c r="V158" s="52">
        <f t="shared" si="184"/>
        <v>15.384615384615385</v>
      </c>
      <c r="W158" s="53">
        <f>COUNTIFS('00 Encuesta'!$B$2:$B$511,"*b)*",'00 Encuesta'!$C$2:$C$511,"*c)*",'00 Encuesta'!$E$2:$E$511,"*a)*",'00 Encuesta'!$U$2:$U$511,"*f)*")</f>
        <v>4</v>
      </c>
      <c r="X158" s="52">
        <f t="shared" si="185"/>
        <v>19.047619047619047</v>
      </c>
      <c r="Y158" s="53">
        <f>COUNTIFS('00 Encuesta'!$B$2:$B$511,"*b)*",'00 Encuesta'!$C$2:$C$511,"*c)*",'00 Encuesta'!$E$2:$E$511,"*b)*",'00 Encuesta'!$U$2:$U$511,"*f)*")</f>
        <v>2</v>
      </c>
      <c r="Z158" s="52">
        <f t="shared" si="186"/>
        <v>11.111111111111111</v>
      </c>
      <c r="AA158" s="3"/>
      <c r="AB158" s="62">
        <f t="shared" si="187"/>
        <v>18</v>
      </c>
      <c r="AC158" s="52">
        <f t="shared" si="188"/>
        <v>16.513761467889907</v>
      </c>
      <c r="AD158" s="7"/>
      <c r="AE158" s="7"/>
      <c r="AF158" s="9" t="str">
        <f t="shared" si="189"/>
        <v>f) Todas las personas</v>
      </c>
      <c r="AG158" s="72">
        <f t="shared" si="190"/>
        <v>19.047619047619047</v>
      </c>
      <c r="AH158" s="72">
        <f t="shared" si="191"/>
        <v>17.647058823529413</v>
      </c>
      <c r="AI158" s="73">
        <f t="shared" si="192"/>
        <v>18.421052631578945</v>
      </c>
      <c r="AJ158" s="73"/>
      <c r="AK158" s="76">
        <f t="shared" si="193"/>
        <v>11.76470588235294</v>
      </c>
      <c r="AL158" s="76">
        <f t="shared" si="194"/>
        <v>20</v>
      </c>
      <c r="AM158" s="76">
        <f t="shared" si="195"/>
        <v>15.625</v>
      </c>
      <c r="AN158" s="76"/>
      <c r="AO158" s="81">
        <f t="shared" si="196"/>
        <v>19.047619047619047</v>
      </c>
      <c r="AP158" s="81">
        <f t="shared" si="197"/>
        <v>11.111111111111111</v>
      </c>
      <c r="AQ158" s="81">
        <f t="shared" si="198"/>
        <v>15.384615384615385</v>
      </c>
      <c r="AR158" s="7"/>
      <c r="AS158" s="76">
        <f t="shared" si="174"/>
        <v>16.513761467889907</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ht="15" x14ac:dyDescent="0.25">
      <c r="A159" s="8" t="s">
        <v>61</v>
      </c>
      <c r="B159" s="9" t="s">
        <v>119</v>
      </c>
      <c r="C159" s="7"/>
      <c r="D159" s="7"/>
      <c r="E159" s="56"/>
      <c r="F159" s="71"/>
      <c r="G159" s="51">
        <f t="shared" si="175"/>
        <v>19</v>
      </c>
      <c r="H159" s="52">
        <f t="shared" si="176"/>
        <v>50</v>
      </c>
      <c r="I159" s="53">
        <f>COUNTIFS('00 Encuesta'!$B$2:$B$511,"*b)*",'00 Encuesta'!$C$2:$C$511,"*a)*",'00 Encuesta'!$E$2:$E$511,"*a)*",'00 Encuesta'!$U$2:$U$511,"*g)*")</f>
        <v>10</v>
      </c>
      <c r="J159" s="52">
        <f t="shared" si="177"/>
        <v>47.619047619047613</v>
      </c>
      <c r="K159" s="53">
        <f>COUNTIFS('00 Encuesta'!$B$2:$B$511,"*b)*",'00 Encuesta'!$C$2:$C$511,"*a)*",'00 Encuesta'!$E$2:$E$511,"*b)*",'00 Encuesta'!$U$2:$U$511,"*g)*")</f>
        <v>9</v>
      </c>
      <c r="L159" s="52">
        <f t="shared" si="178"/>
        <v>52.941176470588239</v>
      </c>
      <c r="M159" s="23"/>
      <c r="N159" s="51">
        <f t="shared" si="179"/>
        <v>19</v>
      </c>
      <c r="O159" s="52">
        <f t="shared" si="180"/>
        <v>59.375</v>
      </c>
      <c r="P159" s="53">
        <f>COUNTIFS('00 Encuesta'!$B$2:$B$511,"*b)*",'00 Encuesta'!$C$2:$C$511,"*b)*",'00 Encuesta'!$E$2:$E$511,"*a)*",'00 Encuesta'!$U$2:$U$511,"*g)*")</f>
        <v>11</v>
      </c>
      <c r="Q159" s="52">
        <f t="shared" si="181"/>
        <v>64.705882352941174</v>
      </c>
      <c r="R159" s="53">
        <f>COUNTIFS('00 Encuesta'!$B$2:$B$511,"*b)*",'00 Encuesta'!$C$2:$C$511,"*b)*",'00 Encuesta'!$E$2:$E$511,"*b)*",'00 Encuesta'!$U$2:$U$511,"*g)*")</f>
        <v>8</v>
      </c>
      <c r="S159" s="52">
        <f t="shared" si="182"/>
        <v>53.333333333333336</v>
      </c>
      <c r="T159" s="3"/>
      <c r="U159" s="51">
        <f t="shared" si="183"/>
        <v>21</v>
      </c>
      <c r="V159" s="52">
        <f t="shared" si="184"/>
        <v>53.846153846153847</v>
      </c>
      <c r="W159" s="53">
        <f>COUNTIFS('00 Encuesta'!$B$2:$B$511,"*b)*",'00 Encuesta'!$C$2:$C$511,"*c)*",'00 Encuesta'!$E$2:$E$511,"*a)*",'00 Encuesta'!$U$2:$U$511,"*g)*")</f>
        <v>10</v>
      </c>
      <c r="X159" s="52">
        <f t="shared" si="185"/>
        <v>47.619047619047613</v>
      </c>
      <c r="Y159" s="53">
        <f>COUNTIFS('00 Encuesta'!$B$2:$B$511,"*b)*",'00 Encuesta'!$C$2:$C$511,"*c)*",'00 Encuesta'!$E$2:$E$511,"*b)*",'00 Encuesta'!$U$2:$U$511,"*g)*")</f>
        <v>11</v>
      </c>
      <c r="Z159" s="52">
        <f t="shared" si="186"/>
        <v>61.111111111111114</v>
      </c>
      <c r="AA159" s="3"/>
      <c r="AB159" s="62">
        <f t="shared" si="187"/>
        <v>59</v>
      </c>
      <c r="AC159" s="52">
        <f t="shared" si="188"/>
        <v>54.128440366972477</v>
      </c>
      <c r="AD159" s="7"/>
      <c r="AE159" s="7"/>
      <c r="AF159" s="9" t="str">
        <f t="shared" si="189"/>
        <v>g) Mi familia</v>
      </c>
      <c r="AG159" s="72">
        <f t="shared" si="190"/>
        <v>47.619047619047613</v>
      </c>
      <c r="AH159" s="72">
        <f t="shared" si="191"/>
        <v>52.941176470588239</v>
      </c>
      <c r="AI159" s="73">
        <f t="shared" si="192"/>
        <v>50</v>
      </c>
      <c r="AJ159" s="73"/>
      <c r="AK159" s="76">
        <f t="shared" si="193"/>
        <v>64.705882352941174</v>
      </c>
      <c r="AL159" s="76">
        <f t="shared" si="194"/>
        <v>53.333333333333336</v>
      </c>
      <c r="AM159" s="76">
        <f t="shared" si="195"/>
        <v>59.375</v>
      </c>
      <c r="AN159" s="76"/>
      <c r="AO159" s="81">
        <f t="shared" si="196"/>
        <v>47.619047619047613</v>
      </c>
      <c r="AP159" s="81">
        <f t="shared" si="197"/>
        <v>61.111111111111114</v>
      </c>
      <c r="AQ159" s="81">
        <f t="shared" si="198"/>
        <v>53.846153846153847</v>
      </c>
      <c r="AR159" s="7"/>
      <c r="AS159" s="76">
        <f t="shared" si="174"/>
        <v>54.128440366972477</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ht="15" x14ac:dyDescent="0.25">
      <c r="A160" s="8" t="s">
        <v>63</v>
      </c>
      <c r="B160" s="9" t="s">
        <v>120</v>
      </c>
      <c r="C160" s="7"/>
      <c r="D160" s="7"/>
      <c r="E160" s="7"/>
      <c r="F160" s="71"/>
      <c r="G160" s="51">
        <f t="shared" si="175"/>
        <v>12</v>
      </c>
      <c r="H160" s="52">
        <f t="shared" si="176"/>
        <v>31.578947368421051</v>
      </c>
      <c r="I160" s="53">
        <f>COUNTIFS('00 Encuesta'!$B$2:$B$511,"*b)*",'00 Encuesta'!$C$2:$C$511,"*a)*",'00 Encuesta'!$E$2:$E$511,"*a)*",'00 Encuesta'!$U$2:$U$511,"*h)*")</f>
        <v>9</v>
      </c>
      <c r="J160" s="52">
        <f t="shared" si="177"/>
        <v>42.857142857142854</v>
      </c>
      <c r="K160" s="53">
        <f>COUNTIFS('00 Encuesta'!$B$2:$B$511,"*b)*",'00 Encuesta'!$C$2:$C$511,"*a)*",'00 Encuesta'!$E$2:$E$511,"*b)*",'00 Encuesta'!$U$2:$U$511,"*h)*")</f>
        <v>3</v>
      </c>
      <c r="L160" s="52">
        <f t="shared" si="178"/>
        <v>17.647058823529413</v>
      </c>
      <c r="M160" s="23"/>
      <c r="N160" s="51">
        <f t="shared" si="179"/>
        <v>11</v>
      </c>
      <c r="O160" s="52">
        <f t="shared" si="180"/>
        <v>34.375</v>
      </c>
      <c r="P160" s="53">
        <f>COUNTIFS('00 Encuesta'!$B$2:$B$511,"*b)*",'00 Encuesta'!$C$2:$C$511,"*b)*",'00 Encuesta'!$E$2:$E$511,"*a)*",'00 Encuesta'!$U$2:$U$511,"*h)*")</f>
        <v>5</v>
      </c>
      <c r="Q160" s="52">
        <f t="shared" si="181"/>
        <v>29.411764705882355</v>
      </c>
      <c r="R160" s="53">
        <f>COUNTIFS('00 Encuesta'!$B$2:$B$511,"*b)*",'00 Encuesta'!$C$2:$C$511,"*b)*",'00 Encuesta'!$E$2:$E$511,"*b)*",'00 Encuesta'!$U$2:$U$511,"*h)*")</f>
        <v>6</v>
      </c>
      <c r="S160" s="52">
        <f t="shared" si="182"/>
        <v>40</v>
      </c>
      <c r="T160" s="3"/>
      <c r="U160" s="51">
        <f t="shared" si="183"/>
        <v>12</v>
      </c>
      <c r="V160" s="52">
        <f t="shared" si="184"/>
        <v>30.76923076923077</v>
      </c>
      <c r="W160" s="53">
        <f>COUNTIFS('00 Encuesta'!$B$2:$B$511,"*b)*",'00 Encuesta'!$C$2:$C$511,"*c)*",'00 Encuesta'!$E$2:$E$511,"*a)*",'00 Encuesta'!$U$2:$U$511,"*h)*")</f>
        <v>6</v>
      </c>
      <c r="X160" s="52">
        <f t="shared" si="185"/>
        <v>28.571428571428569</v>
      </c>
      <c r="Y160" s="53">
        <f>COUNTIFS('00 Encuesta'!$B$2:$B$511,"*b)*",'00 Encuesta'!$C$2:$C$511,"*c)*",'00 Encuesta'!$E$2:$E$511,"*b)*",'00 Encuesta'!$U$2:$U$511,"*h)*")</f>
        <v>6</v>
      </c>
      <c r="Z160" s="52">
        <f t="shared" si="186"/>
        <v>33.333333333333329</v>
      </c>
      <c r="AA160" s="3"/>
      <c r="AB160" s="62">
        <f t="shared" si="187"/>
        <v>35</v>
      </c>
      <c r="AC160" s="52">
        <f t="shared" si="188"/>
        <v>32.110091743119263</v>
      </c>
      <c r="AD160" s="7"/>
      <c r="AE160" s="7"/>
      <c r="AF160" s="9" t="str">
        <f t="shared" si="189"/>
        <v>h) Algunas personas cercanas a dios</v>
      </c>
      <c r="AG160" s="72">
        <f t="shared" si="190"/>
        <v>42.857142857142854</v>
      </c>
      <c r="AH160" s="72">
        <f t="shared" si="191"/>
        <v>17.647058823529413</v>
      </c>
      <c r="AI160" s="73">
        <f t="shared" si="192"/>
        <v>31.578947368421051</v>
      </c>
      <c r="AJ160" s="73"/>
      <c r="AK160" s="76">
        <f t="shared" si="193"/>
        <v>29.411764705882355</v>
      </c>
      <c r="AL160" s="76">
        <f t="shared" si="194"/>
        <v>40</v>
      </c>
      <c r="AM160" s="76">
        <f t="shared" si="195"/>
        <v>34.375</v>
      </c>
      <c r="AN160" s="76"/>
      <c r="AO160" s="81">
        <f t="shared" si="196"/>
        <v>28.571428571428569</v>
      </c>
      <c r="AP160" s="81">
        <f t="shared" si="197"/>
        <v>33.333333333333329</v>
      </c>
      <c r="AQ160" s="81">
        <f t="shared" si="198"/>
        <v>30.76923076923077</v>
      </c>
      <c r="AR160" s="7"/>
      <c r="AS160" s="76">
        <f t="shared" si="174"/>
        <v>32.110091743119263</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ht="15" x14ac:dyDescent="0.25">
      <c r="A161" s="8" t="s">
        <v>65</v>
      </c>
      <c r="B161" s="9" t="s">
        <v>121</v>
      </c>
      <c r="C161" s="7"/>
      <c r="D161" s="7"/>
      <c r="E161" s="7"/>
      <c r="F161" s="71"/>
      <c r="G161" s="51">
        <f t="shared" si="175"/>
        <v>9</v>
      </c>
      <c r="H161" s="52">
        <f t="shared" si="176"/>
        <v>23.684210526315788</v>
      </c>
      <c r="I161" s="53">
        <f>COUNTIFS('00 Encuesta'!$B$2:$B$511,"*b)*",'00 Encuesta'!$C$2:$C$511,"*a)*",'00 Encuesta'!$E$2:$E$511,"*a)*",'00 Encuesta'!$U$2:$U$511,"*i)*")</f>
        <v>6</v>
      </c>
      <c r="J161" s="52">
        <f t="shared" si="177"/>
        <v>28.571428571428569</v>
      </c>
      <c r="K161" s="53">
        <f>COUNTIFS('00 Encuesta'!$B$2:$B$511,"*b)*",'00 Encuesta'!$C$2:$C$511,"*a)*",'00 Encuesta'!$E$2:$E$511,"*b)*",'00 Encuesta'!$U$2:$U$511,"*i)*")</f>
        <v>3</v>
      </c>
      <c r="L161" s="52">
        <f t="shared" si="178"/>
        <v>17.647058823529413</v>
      </c>
      <c r="M161" s="23"/>
      <c r="N161" s="51">
        <f t="shared" si="179"/>
        <v>11</v>
      </c>
      <c r="O161" s="52">
        <f t="shared" si="180"/>
        <v>34.375</v>
      </c>
      <c r="P161" s="53">
        <f>COUNTIFS('00 Encuesta'!$B$2:$B$511,"*b)*",'00 Encuesta'!$C$2:$C$511,"*b)*",'00 Encuesta'!$E$2:$E$511,"*a)*",'00 Encuesta'!$U$2:$U$511,"*i)*")</f>
        <v>8</v>
      </c>
      <c r="Q161" s="52">
        <f t="shared" si="181"/>
        <v>47.058823529411761</v>
      </c>
      <c r="R161" s="53">
        <f>COUNTIFS('00 Encuesta'!$B$2:$B$511,"*b)*",'00 Encuesta'!$C$2:$C$511,"*b)*",'00 Encuesta'!$E$2:$E$511,"*b)*",'00 Encuesta'!$U$2:$U$511,"*i)*")</f>
        <v>3</v>
      </c>
      <c r="S161" s="52">
        <f t="shared" si="182"/>
        <v>20</v>
      </c>
      <c r="T161" s="3"/>
      <c r="U161" s="51">
        <f t="shared" si="183"/>
        <v>10</v>
      </c>
      <c r="V161" s="52">
        <f t="shared" si="184"/>
        <v>25.641025641025639</v>
      </c>
      <c r="W161" s="53">
        <f>COUNTIFS('00 Encuesta'!$B$2:$B$511,"*b)*",'00 Encuesta'!$C$2:$C$511,"*c)*",'00 Encuesta'!$E$2:$E$511,"*a)*",'00 Encuesta'!$U$2:$U$511,"*i)*")</f>
        <v>5</v>
      </c>
      <c r="X161" s="52">
        <f t="shared" si="185"/>
        <v>23.809523809523807</v>
      </c>
      <c r="Y161" s="53">
        <f>COUNTIFS('00 Encuesta'!$B$2:$B$511,"*b)*",'00 Encuesta'!$C$2:$C$511,"*c)*",'00 Encuesta'!$E$2:$E$511,"*b)*",'00 Encuesta'!$U$2:$U$511,"*i)*")</f>
        <v>5</v>
      </c>
      <c r="Z161" s="52">
        <f t="shared" si="186"/>
        <v>27.777777777777779</v>
      </c>
      <c r="AA161" s="3"/>
      <c r="AB161" s="62">
        <f t="shared" si="187"/>
        <v>30</v>
      </c>
      <c r="AC161" s="52">
        <f t="shared" si="188"/>
        <v>27.522935779816514</v>
      </c>
      <c r="AD161" s="7"/>
      <c r="AE161" s="7"/>
      <c r="AF161" s="9" t="str">
        <f t="shared" si="189"/>
        <v>i) Los necesitados</v>
      </c>
      <c r="AG161" s="72">
        <f t="shared" si="190"/>
        <v>28.571428571428569</v>
      </c>
      <c r="AH161" s="72">
        <f t="shared" si="191"/>
        <v>17.647058823529413</v>
      </c>
      <c r="AI161" s="73">
        <f t="shared" si="192"/>
        <v>23.684210526315788</v>
      </c>
      <c r="AJ161" s="73"/>
      <c r="AK161" s="76">
        <f t="shared" si="193"/>
        <v>47.058823529411761</v>
      </c>
      <c r="AL161" s="76">
        <f t="shared" si="194"/>
        <v>20</v>
      </c>
      <c r="AM161" s="76">
        <f t="shared" si="195"/>
        <v>34.375</v>
      </c>
      <c r="AN161" s="76"/>
      <c r="AO161" s="81">
        <f t="shared" si="196"/>
        <v>23.809523809523807</v>
      </c>
      <c r="AP161" s="81">
        <f t="shared" si="197"/>
        <v>27.777777777777779</v>
      </c>
      <c r="AQ161" s="81">
        <f t="shared" si="198"/>
        <v>25.641025641025639</v>
      </c>
      <c r="AR161" s="7"/>
      <c r="AS161" s="76">
        <f t="shared" si="174"/>
        <v>27.522935779816514</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ht="15" x14ac:dyDescent="0.25">
      <c r="A162" s="8" t="s">
        <v>67</v>
      </c>
      <c r="B162" s="9" t="s">
        <v>122</v>
      </c>
      <c r="C162" s="7"/>
      <c r="D162" s="7"/>
      <c r="E162" s="7"/>
      <c r="F162" s="71"/>
      <c r="G162" s="51">
        <f t="shared" si="175"/>
        <v>12</v>
      </c>
      <c r="H162" s="52">
        <f t="shared" si="176"/>
        <v>31.578947368421051</v>
      </c>
      <c r="I162" s="53">
        <f>COUNTIFS('00 Encuesta'!$B$2:$B$511,"*b)*",'00 Encuesta'!$C$2:$C$511,"*a)*",'00 Encuesta'!$E$2:$E$511,"*a)*",'00 Encuesta'!$U$2:$U$511,"*j)*")</f>
        <v>5</v>
      </c>
      <c r="J162" s="52">
        <f t="shared" si="177"/>
        <v>23.809523809523807</v>
      </c>
      <c r="K162" s="53">
        <f>COUNTIFS('00 Encuesta'!$B$2:$B$511,"*b)*",'00 Encuesta'!$C$2:$C$511,"*a)*",'00 Encuesta'!$E$2:$E$511,"*b)*",'00 Encuesta'!$U$2:$U$511,"*j)*")</f>
        <v>7</v>
      </c>
      <c r="L162" s="52">
        <f t="shared" si="178"/>
        <v>41.17647058823529</v>
      </c>
      <c r="M162" s="23"/>
      <c r="N162" s="51">
        <f t="shared" si="179"/>
        <v>9</v>
      </c>
      <c r="O162" s="52">
        <f t="shared" si="180"/>
        <v>28.125</v>
      </c>
      <c r="P162" s="53">
        <f>COUNTIFS('00 Encuesta'!$B$2:$B$511,"*b)*",'00 Encuesta'!$C$2:$C$511,"*b)*",'00 Encuesta'!$E$2:$E$511,"*a)*",'00 Encuesta'!$U$2:$U$511,"*j)*")</f>
        <v>3</v>
      </c>
      <c r="Q162" s="52">
        <f t="shared" si="181"/>
        <v>17.647058823529413</v>
      </c>
      <c r="R162" s="53">
        <f>COUNTIFS('00 Encuesta'!$B$2:$B$511,"*b)*",'00 Encuesta'!$C$2:$C$511,"*b)*",'00 Encuesta'!$E$2:$E$511,"*b)*",'00 Encuesta'!$U$2:$U$511,"*j)*")</f>
        <v>6</v>
      </c>
      <c r="S162" s="52">
        <f t="shared" si="182"/>
        <v>40</v>
      </c>
      <c r="T162" s="3"/>
      <c r="U162" s="51">
        <f t="shared" si="183"/>
        <v>9</v>
      </c>
      <c r="V162" s="52">
        <f t="shared" si="184"/>
        <v>23.076923076923077</v>
      </c>
      <c r="W162" s="53">
        <f>COUNTIFS('00 Encuesta'!$B$2:$B$511,"*b)*",'00 Encuesta'!$C$2:$C$511,"*c)*",'00 Encuesta'!$E$2:$E$511,"*a)*",'00 Encuesta'!$U$2:$U$511,"*j)*")</f>
        <v>6</v>
      </c>
      <c r="X162" s="52">
        <f t="shared" si="185"/>
        <v>28.571428571428569</v>
      </c>
      <c r="Y162" s="53">
        <f>COUNTIFS('00 Encuesta'!$B$2:$B$511,"*b)*",'00 Encuesta'!$C$2:$C$511,"*c)*",'00 Encuesta'!$E$2:$E$511,"*b)*",'00 Encuesta'!$U$2:$U$511,"*j)*")</f>
        <v>3</v>
      </c>
      <c r="Z162" s="52">
        <f t="shared" si="186"/>
        <v>16.666666666666664</v>
      </c>
      <c r="AA162" s="3"/>
      <c r="AB162" s="62">
        <f t="shared" si="187"/>
        <v>30</v>
      </c>
      <c r="AC162" s="52">
        <f t="shared" si="188"/>
        <v>27.522935779816514</v>
      </c>
      <c r="AD162" s="7"/>
      <c r="AE162" s="7"/>
      <c r="AF162" s="9" t="str">
        <f t="shared" si="189"/>
        <v>j) Todas partes</v>
      </c>
      <c r="AG162" s="72">
        <f t="shared" si="190"/>
        <v>23.809523809523807</v>
      </c>
      <c r="AH162" s="72">
        <f t="shared" si="191"/>
        <v>41.17647058823529</v>
      </c>
      <c r="AI162" s="73">
        <f t="shared" si="192"/>
        <v>31.578947368421051</v>
      </c>
      <c r="AJ162" s="73"/>
      <c r="AK162" s="76">
        <f t="shared" si="193"/>
        <v>17.647058823529413</v>
      </c>
      <c r="AL162" s="76">
        <f t="shared" si="194"/>
        <v>40</v>
      </c>
      <c r="AM162" s="76">
        <f t="shared" si="195"/>
        <v>28.125</v>
      </c>
      <c r="AN162" s="76"/>
      <c r="AO162" s="81">
        <f t="shared" si="196"/>
        <v>28.571428571428569</v>
      </c>
      <c r="AP162" s="81">
        <f t="shared" si="197"/>
        <v>16.666666666666664</v>
      </c>
      <c r="AQ162" s="81">
        <f t="shared" si="198"/>
        <v>23.076923076923077</v>
      </c>
      <c r="AR162" s="7"/>
      <c r="AS162" s="76">
        <f t="shared" si="174"/>
        <v>27.522935779816514</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22</v>
      </c>
      <c r="H163" s="52">
        <f t="shared" si="176"/>
        <v>57.894736842105267</v>
      </c>
      <c r="I163" s="53">
        <f>COUNTIFS('00 Encuesta'!$B$2:$B$511,"*b)*",'00 Encuesta'!$C$2:$C$511,"*a)*",'00 Encuesta'!$E$2:$E$511,"*a)*",'00 Encuesta'!$U$2:$U$511,"*k)*")</f>
        <v>11</v>
      </c>
      <c r="J163" s="52">
        <f t="shared" si="177"/>
        <v>52.380952380952387</v>
      </c>
      <c r="K163" s="53">
        <f>COUNTIFS('00 Encuesta'!$B$2:$B$511,"*b)*",'00 Encuesta'!$C$2:$C$511,"*a)*",'00 Encuesta'!$E$2:$E$511,"*b)*",'00 Encuesta'!$U$2:$U$511,"*k)*")</f>
        <v>11</v>
      </c>
      <c r="L163" s="52">
        <f t="shared" si="178"/>
        <v>64.705882352941174</v>
      </c>
      <c r="M163" s="23"/>
      <c r="N163" s="51">
        <f t="shared" si="179"/>
        <v>22</v>
      </c>
      <c r="O163" s="52">
        <f t="shared" si="180"/>
        <v>68.75</v>
      </c>
      <c r="P163" s="53">
        <f>COUNTIFS('00 Encuesta'!$B$2:$B$511,"*b)*",'00 Encuesta'!$C$2:$C$511,"*b)*",'00 Encuesta'!$E$2:$E$511,"*a)*",'00 Encuesta'!$U$2:$U$511,"*k)*")</f>
        <v>11</v>
      </c>
      <c r="Q163" s="52">
        <f t="shared" si="181"/>
        <v>64.705882352941174</v>
      </c>
      <c r="R163" s="53">
        <f>COUNTIFS('00 Encuesta'!$B$2:$B$511,"*b)*",'00 Encuesta'!$C$2:$C$511,"*b)*",'00 Encuesta'!$E$2:$E$511,"*b)*",'00 Encuesta'!$U$2:$U$511,"*k)*")</f>
        <v>11</v>
      </c>
      <c r="S163" s="52">
        <f t="shared" si="182"/>
        <v>73.333333333333329</v>
      </c>
      <c r="T163" s="3"/>
      <c r="U163" s="51">
        <f t="shared" si="183"/>
        <v>29</v>
      </c>
      <c r="V163" s="52">
        <f t="shared" si="184"/>
        <v>74.358974358974365</v>
      </c>
      <c r="W163" s="53">
        <f>COUNTIFS('00 Encuesta'!$B$2:$B$511,"*b)*",'00 Encuesta'!$C$2:$C$511,"*c)*",'00 Encuesta'!$E$2:$E$511,"*a)*",'00 Encuesta'!$U$2:$U$511,"*k)*")</f>
        <v>18</v>
      </c>
      <c r="X163" s="52">
        <f t="shared" si="185"/>
        <v>85.714285714285708</v>
      </c>
      <c r="Y163" s="53">
        <f>COUNTIFS('00 Encuesta'!$B$2:$B$511,"*b)*",'00 Encuesta'!$C$2:$C$511,"*c)*",'00 Encuesta'!$E$2:$E$511,"*b)*",'00 Encuesta'!$U$2:$U$511,"*k)*")</f>
        <v>11</v>
      </c>
      <c r="Z163" s="52">
        <f t="shared" si="186"/>
        <v>61.111111111111114</v>
      </c>
      <c r="AA163" s="3"/>
      <c r="AB163" s="62">
        <f t="shared" si="187"/>
        <v>73</v>
      </c>
      <c r="AC163" s="52">
        <f t="shared" si="188"/>
        <v>66.972477064220186</v>
      </c>
      <c r="AD163" s="7"/>
      <c r="AE163" s="7"/>
      <c r="AF163" s="9" t="str">
        <f t="shared" si="189"/>
        <v>k) Oración</v>
      </c>
      <c r="AG163" s="72">
        <f t="shared" si="190"/>
        <v>52.380952380952387</v>
      </c>
      <c r="AH163" s="72">
        <f t="shared" si="191"/>
        <v>64.705882352941174</v>
      </c>
      <c r="AI163" s="73">
        <f t="shared" si="192"/>
        <v>57.894736842105267</v>
      </c>
      <c r="AJ163" s="73"/>
      <c r="AK163" s="76">
        <f t="shared" si="193"/>
        <v>64.705882352941174</v>
      </c>
      <c r="AL163" s="76">
        <f t="shared" si="194"/>
        <v>73.333333333333329</v>
      </c>
      <c r="AM163" s="76">
        <f t="shared" si="195"/>
        <v>68.75</v>
      </c>
      <c r="AN163" s="76"/>
      <c r="AO163" s="81">
        <f t="shared" si="196"/>
        <v>85.714285714285708</v>
      </c>
      <c r="AP163" s="81">
        <f t="shared" si="197"/>
        <v>61.111111111111114</v>
      </c>
      <c r="AQ163" s="81">
        <f t="shared" si="198"/>
        <v>74.358974358974365</v>
      </c>
      <c r="AR163" s="7"/>
      <c r="AS163" s="76">
        <f t="shared" si="174"/>
        <v>66.972477064220186</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ht="15.75" x14ac:dyDescent="0.3">
      <c r="A164" s="1" t="s">
        <v>124</v>
      </c>
      <c r="B164" s="2" t="s">
        <v>125</v>
      </c>
      <c r="C164" s="3"/>
      <c r="D164" s="7"/>
      <c r="E164" s="7"/>
      <c r="F164" s="71"/>
      <c r="G164" s="51">
        <f t="shared" si="175"/>
        <v>15</v>
      </c>
      <c r="H164" s="52">
        <f t="shared" si="176"/>
        <v>39.473684210526315</v>
      </c>
      <c r="I164" s="53">
        <f>COUNTIFS('00 Encuesta'!$B$2:$B$511,"*b)*",'00 Encuesta'!$C$2:$C$511,"*a)*",'00 Encuesta'!$E$2:$E$511,"*a)*",'00 Encuesta'!$U$2:$U$511,"*l)*")</f>
        <v>8</v>
      </c>
      <c r="J164" s="52">
        <f t="shared" si="177"/>
        <v>38.095238095238095</v>
      </c>
      <c r="K164" s="53">
        <f>COUNTIFS('00 Encuesta'!$B$2:$B$511,"*b)*",'00 Encuesta'!$C$2:$C$511,"*a)*",'00 Encuesta'!$E$2:$E$511,"*b)*",'00 Encuesta'!$U$2:$U$511,"*l)*")</f>
        <v>7</v>
      </c>
      <c r="L164" s="52">
        <f t="shared" si="178"/>
        <v>41.17647058823529</v>
      </c>
      <c r="M164" s="23"/>
      <c r="N164" s="51">
        <f t="shared" si="179"/>
        <v>12</v>
      </c>
      <c r="O164" s="52">
        <f t="shared" si="180"/>
        <v>37.5</v>
      </c>
      <c r="P164" s="53">
        <f>COUNTIFS('00 Encuesta'!$B$2:$B$511,"*b)*",'00 Encuesta'!$C$2:$C$511,"*b)*",'00 Encuesta'!$E$2:$E$511,"*a)*",'00 Encuesta'!$U$2:$U$511,"*l)*")</f>
        <v>6</v>
      </c>
      <c r="Q164" s="52">
        <f t="shared" si="181"/>
        <v>35.294117647058826</v>
      </c>
      <c r="R164" s="53">
        <f>COUNTIFS('00 Encuesta'!$B$2:$B$511,"*b)*",'00 Encuesta'!$C$2:$C$511,"*b)*",'00 Encuesta'!$E$2:$E$511,"*b)*",'00 Encuesta'!$U$2:$U$511,"*l)*")</f>
        <v>6</v>
      </c>
      <c r="S164" s="52">
        <f t="shared" si="182"/>
        <v>40</v>
      </c>
      <c r="T164" s="3"/>
      <c r="U164" s="51">
        <f t="shared" si="183"/>
        <v>18</v>
      </c>
      <c r="V164" s="52">
        <f t="shared" si="184"/>
        <v>46.153846153846153</v>
      </c>
      <c r="W164" s="53">
        <f>COUNTIFS('00 Encuesta'!$B$2:$B$511,"*b)*",'00 Encuesta'!$C$2:$C$511,"*c)*",'00 Encuesta'!$E$2:$E$511,"*a)*",'00 Encuesta'!$U$2:$U$511,"*l)*")</f>
        <v>12</v>
      </c>
      <c r="X164" s="52">
        <f t="shared" si="185"/>
        <v>57.142857142857139</v>
      </c>
      <c r="Y164" s="53">
        <f>COUNTIFS('00 Encuesta'!$B$2:$B$511,"*b)*",'00 Encuesta'!$C$2:$C$511,"*c)*",'00 Encuesta'!$E$2:$E$511,"*b)*",'00 Encuesta'!$U$2:$U$511,"*l)*")</f>
        <v>6</v>
      </c>
      <c r="Z164" s="52">
        <f t="shared" si="186"/>
        <v>33.333333333333329</v>
      </c>
      <c r="AA164" s="3"/>
      <c r="AB164" s="62">
        <f t="shared" si="187"/>
        <v>45</v>
      </c>
      <c r="AC164" s="52">
        <f t="shared" si="188"/>
        <v>41.284403669724767</v>
      </c>
      <c r="AD164" s="7"/>
      <c r="AE164" s="7"/>
      <c r="AF164" s="9" t="str">
        <f t="shared" si="189"/>
        <v>l) Sacramentos</v>
      </c>
      <c r="AG164" s="72">
        <f t="shared" si="190"/>
        <v>38.095238095238095</v>
      </c>
      <c r="AH164" s="72">
        <f t="shared" si="191"/>
        <v>41.17647058823529</v>
      </c>
      <c r="AI164" s="73">
        <f t="shared" si="192"/>
        <v>39.473684210526315</v>
      </c>
      <c r="AJ164" s="73"/>
      <c r="AK164" s="76">
        <f t="shared" si="193"/>
        <v>35.294117647058826</v>
      </c>
      <c r="AL164" s="76">
        <f t="shared" si="194"/>
        <v>40</v>
      </c>
      <c r="AM164" s="76">
        <f t="shared" si="195"/>
        <v>37.5</v>
      </c>
      <c r="AN164" s="76"/>
      <c r="AO164" s="81">
        <f t="shared" si="196"/>
        <v>57.142857142857139</v>
      </c>
      <c r="AP164" s="81">
        <f t="shared" si="197"/>
        <v>33.333333333333329</v>
      </c>
      <c r="AQ164" s="81">
        <f t="shared" si="198"/>
        <v>46.153846153846153</v>
      </c>
      <c r="AR164" s="7"/>
      <c r="AS164" s="76">
        <f t="shared" si="174"/>
        <v>41.284403669724767</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ht="15" x14ac:dyDescent="0.25">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ht="15" x14ac:dyDescent="0.25">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10</v>
      </c>
      <c r="H168" s="52">
        <f>G168/$J$5*100</f>
        <v>26.315789473684209</v>
      </c>
      <c r="I168" s="53">
        <f>COUNTIFS('00 Encuesta'!$B$2:$B$511,"*b)*",'00 Encuesta'!$C$2:$C$511,"*a)*",'00 Encuesta'!$E$2:$E$511,"*a)*",'00 Encuesta'!$V$2:$V$511,"*a)*")</f>
        <v>3</v>
      </c>
      <c r="J168" s="52">
        <f>I168/$J$6*100</f>
        <v>14.285714285714285</v>
      </c>
      <c r="K168" s="53">
        <f>COUNTIFS('00 Encuesta'!$B$2:$B$511,"*b)*",'00 Encuesta'!$C$2:$C$511,"*a)*",'00 Encuesta'!$E$2:$E$511,"*b)*",'00 Encuesta'!$V$2:$V$511,"*a)*")</f>
        <v>7</v>
      </c>
      <c r="L168" s="52">
        <f>K168/$J$7*100</f>
        <v>41.17647058823529</v>
      </c>
      <c r="M168" s="23"/>
      <c r="N168" s="51">
        <f>P168+R168</f>
        <v>9</v>
      </c>
      <c r="O168" s="52">
        <f>N168/$Q$5*100</f>
        <v>28.125</v>
      </c>
      <c r="P168" s="53">
        <f>COUNTIFS('00 Encuesta'!$B$2:$B$511,"*b)*",'00 Encuesta'!$C$2:$C$511,"*b)*",'00 Encuesta'!$E$2:$E$511,"*a)*",'00 Encuesta'!$V$2:$V$511,"*a)*")</f>
        <v>3</v>
      </c>
      <c r="Q168" s="52">
        <f>P168/$Q$6*100</f>
        <v>17.647058823529413</v>
      </c>
      <c r="R168" s="53">
        <f>COUNTIFS('00 Encuesta'!$B$2:$B$511,"*b)*",'00 Encuesta'!$C$2:$C$511,"*b)*",'00 Encuesta'!$E$2:$E$511,"*b)*",'00 Encuesta'!$V$2:$V$511,"*a)*")</f>
        <v>6</v>
      </c>
      <c r="S168" s="52">
        <f>R168/$Q$7*100</f>
        <v>40</v>
      </c>
      <c r="T168" s="3"/>
      <c r="U168" s="51">
        <f>W168+Y168</f>
        <v>13</v>
      </c>
      <c r="V168" s="52">
        <f>U168/$X$5*100</f>
        <v>33.333333333333329</v>
      </c>
      <c r="W168" s="53">
        <f>COUNTIFS('00 Encuesta'!$B$2:$B$511,"*b)*",'00 Encuesta'!$C$2:$C$511,"*c)*",'00 Encuesta'!$E$2:$E$511,"*a)*",'00 Encuesta'!$V$2:$V$511,"*a)*")</f>
        <v>8</v>
      </c>
      <c r="X168" s="52">
        <f>W168/$X$6*100</f>
        <v>38.095238095238095</v>
      </c>
      <c r="Y168" s="53">
        <f>COUNTIFS('00 Encuesta'!$B$2:$B$511,"*b)*",'00 Encuesta'!$C$2:$C$511,"*c)*",'00 Encuesta'!$E$2:$E$511,"*b)*",'00 Encuesta'!$V$2:$V$511,"*a)*")</f>
        <v>5</v>
      </c>
      <c r="Z168" s="52">
        <f>Y168/$X$7*100</f>
        <v>27.777777777777779</v>
      </c>
      <c r="AA168" s="3"/>
      <c r="AB168" s="62">
        <f>G168+N168+U168</f>
        <v>32</v>
      </c>
      <c r="AC168" s="52">
        <f>AB168*100/$AC$5</f>
        <v>29.357798165137616</v>
      </c>
      <c r="AD168" s="3"/>
      <c r="AE168" s="3"/>
      <c r="AF168" s="9" t="str">
        <f t="shared" si="199"/>
        <v>a) Suelo rezar por convicción o porque me gusta</v>
      </c>
      <c r="AG168" s="72">
        <f>J168</f>
        <v>14.285714285714285</v>
      </c>
      <c r="AH168" s="72">
        <f>L168</f>
        <v>41.17647058823529</v>
      </c>
      <c r="AI168" s="73">
        <f>H168</f>
        <v>26.315789473684209</v>
      </c>
      <c r="AJ168" s="73"/>
      <c r="AK168" s="76">
        <f>Q168</f>
        <v>17.647058823529413</v>
      </c>
      <c r="AL168" s="76">
        <f>S168</f>
        <v>40</v>
      </c>
      <c r="AM168" s="76">
        <f>O168</f>
        <v>28.125</v>
      </c>
      <c r="AN168" s="76"/>
      <c r="AO168" s="81">
        <f>X168</f>
        <v>38.095238095238095</v>
      </c>
      <c r="AP168" s="81">
        <f>Z168</f>
        <v>27.777777777777779</v>
      </c>
      <c r="AQ168" s="81">
        <f>V168</f>
        <v>33.333333333333329</v>
      </c>
      <c r="AR168" s="3"/>
      <c r="AS168" s="76">
        <f t="shared" si="174"/>
        <v>29.357798165137616</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ht="15" x14ac:dyDescent="0.25">
      <c r="A169" s="8" t="s">
        <v>18</v>
      </c>
      <c r="B169" s="9" t="s">
        <v>128</v>
      </c>
      <c r="C169" s="7"/>
      <c r="D169" s="7"/>
      <c r="E169" s="7"/>
      <c r="F169" s="71"/>
      <c r="G169" s="51">
        <f>I169+K169</f>
        <v>18</v>
      </c>
      <c r="H169" s="52">
        <f>G169/$J$5*100</f>
        <v>47.368421052631575</v>
      </c>
      <c r="I169" s="53">
        <f>COUNTIFS('00 Encuesta'!$B$2:$B$511,"*b)*",'00 Encuesta'!$C$2:$C$511,"*a)*",'00 Encuesta'!$E$2:$E$511,"*a)*",'00 Encuesta'!$V$2:$V$511,"*b)*")</f>
        <v>13</v>
      </c>
      <c r="J169" s="52">
        <f>I169/$J$6*100</f>
        <v>61.904761904761905</v>
      </c>
      <c r="K169" s="53">
        <f>COUNTIFS('00 Encuesta'!$B$2:$B$511,"*b)*",'00 Encuesta'!$C$2:$C$511,"*a)*",'00 Encuesta'!$E$2:$E$511,"*b)*",'00 Encuesta'!$V$2:$V$511,"*b)*")</f>
        <v>5</v>
      </c>
      <c r="L169" s="52">
        <f>K169/$J$7*100</f>
        <v>29.411764705882355</v>
      </c>
      <c r="M169" s="23"/>
      <c r="N169" s="51">
        <f>P169+R169</f>
        <v>16</v>
      </c>
      <c r="O169" s="52">
        <f>N169/$Q$5*100</f>
        <v>50</v>
      </c>
      <c r="P169" s="53">
        <f>COUNTIFS('00 Encuesta'!$B$2:$B$511,"*b)*",'00 Encuesta'!$C$2:$C$511,"*b)*",'00 Encuesta'!$E$2:$E$511,"*a)*",'00 Encuesta'!$V$2:$V$511,"*b)*")</f>
        <v>9</v>
      </c>
      <c r="Q169" s="52">
        <f>P169/$Q$6*100</f>
        <v>52.941176470588239</v>
      </c>
      <c r="R169" s="53">
        <f>COUNTIFS('00 Encuesta'!$B$2:$B$511,"*b)*",'00 Encuesta'!$C$2:$C$511,"*b)*",'00 Encuesta'!$E$2:$E$511,"*b)*",'00 Encuesta'!$V$2:$V$511,"*b)*")</f>
        <v>7</v>
      </c>
      <c r="S169" s="52">
        <f>R169/$Q$7*100</f>
        <v>46.666666666666664</v>
      </c>
      <c r="T169" s="3"/>
      <c r="U169" s="51">
        <f>W169+Y169</f>
        <v>9</v>
      </c>
      <c r="V169" s="52">
        <f>U169/$X$5*100</f>
        <v>23.076923076923077</v>
      </c>
      <c r="W169" s="53">
        <f>COUNTIFS('00 Encuesta'!$B$2:$B$511,"*b)*",'00 Encuesta'!$C$2:$C$511,"*c)*",'00 Encuesta'!$E$2:$E$511,"*a)*",'00 Encuesta'!$V$2:$V$511,"*b)*")</f>
        <v>6</v>
      </c>
      <c r="X169" s="52">
        <f>W169/$X$6*100</f>
        <v>28.571428571428569</v>
      </c>
      <c r="Y169" s="53">
        <f>COUNTIFS('00 Encuesta'!$B$2:$B$511,"*b)*",'00 Encuesta'!$C$2:$C$511,"*c)*",'00 Encuesta'!$E$2:$E$511,"*b)*",'00 Encuesta'!$V$2:$V$511,"*b)*")</f>
        <v>3</v>
      </c>
      <c r="Z169" s="52">
        <f>Y169/$X$7*100</f>
        <v>16.666666666666664</v>
      </c>
      <c r="AA169" s="3"/>
      <c r="AB169" s="62">
        <f>G169+N169+U169</f>
        <v>43</v>
      </c>
      <c r="AC169" s="52">
        <f>AB169*100/$AC$5</f>
        <v>39.449541284403672</v>
      </c>
      <c r="AD169" s="7"/>
      <c r="AE169" s="7"/>
      <c r="AF169" s="9" t="str">
        <f t="shared" si="199"/>
        <v>b) Rezo por costumbre</v>
      </c>
      <c r="AG169" s="72">
        <f>J169</f>
        <v>61.904761904761905</v>
      </c>
      <c r="AH169" s="72">
        <f>L169</f>
        <v>29.411764705882355</v>
      </c>
      <c r="AI169" s="73">
        <f>H169</f>
        <v>47.368421052631575</v>
      </c>
      <c r="AJ169" s="73"/>
      <c r="AK169" s="76">
        <f>Q169</f>
        <v>52.941176470588239</v>
      </c>
      <c r="AL169" s="76">
        <f>S169</f>
        <v>46.666666666666664</v>
      </c>
      <c r="AM169" s="76">
        <f>O169</f>
        <v>50</v>
      </c>
      <c r="AN169" s="76"/>
      <c r="AO169" s="81">
        <f>X169</f>
        <v>28.571428571428569</v>
      </c>
      <c r="AP169" s="81">
        <f>Z169</f>
        <v>16.666666666666664</v>
      </c>
      <c r="AQ169" s="81">
        <f>V169</f>
        <v>23.076923076923077</v>
      </c>
      <c r="AR169" s="3"/>
      <c r="AS169" s="76">
        <f t="shared" si="174"/>
        <v>39.449541284403672</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5</v>
      </c>
      <c r="H170" s="52">
        <f>G170/$J$5*100</f>
        <v>13.157894736842104</v>
      </c>
      <c r="I170" s="53">
        <f>COUNTIFS('00 Encuesta'!$B$2:$B$511,"*b)*",'00 Encuesta'!$C$2:$C$511,"*a)*",'00 Encuesta'!$E$2:$E$511,"*a)*",'00 Encuesta'!$V$2:$V$511,"*c)*")</f>
        <v>3</v>
      </c>
      <c r="J170" s="52">
        <f>I170/$J$6*100</f>
        <v>14.285714285714285</v>
      </c>
      <c r="K170" s="53">
        <f>COUNTIFS('00 Encuesta'!$B$2:$B$511,"*b)*",'00 Encuesta'!$C$2:$C$511,"*a)*",'00 Encuesta'!$E$2:$E$511,"*b)*",'00 Encuesta'!$V$2:$V$511,"*c)*")</f>
        <v>2</v>
      </c>
      <c r="L170" s="52">
        <f>K170/$J$7*100</f>
        <v>11.76470588235294</v>
      </c>
      <c r="M170" s="23"/>
      <c r="N170" s="51">
        <f>P170+R170</f>
        <v>6</v>
      </c>
      <c r="O170" s="52">
        <f>N170/$Q$5*100</f>
        <v>18.75</v>
      </c>
      <c r="P170" s="53">
        <f>COUNTIFS('00 Encuesta'!$B$2:$B$511,"*b)*",'00 Encuesta'!$C$2:$C$511,"*b)*",'00 Encuesta'!$E$2:$E$511,"*a)*",'00 Encuesta'!$V$2:$V$511,"*c)*")</f>
        <v>4</v>
      </c>
      <c r="Q170" s="52">
        <f>P170/$Q$6*100</f>
        <v>23.52941176470588</v>
      </c>
      <c r="R170" s="53">
        <f>COUNTIFS('00 Encuesta'!$B$2:$B$511,"*b)*",'00 Encuesta'!$C$2:$C$511,"*b)*",'00 Encuesta'!$E$2:$E$511,"*b)*",'00 Encuesta'!$V$2:$V$511,"*c)*")</f>
        <v>2</v>
      </c>
      <c r="S170" s="52">
        <f>R170/$Q$7*100</f>
        <v>13.333333333333334</v>
      </c>
      <c r="T170" s="3"/>
      <c r="U170" s="51">
        <f>W170+Y170</f>
        <v>11</v>
      </c>
      <c r="V170" s="52">
        <f>U170/$X$5*100</f>
        <v>28.205128205128204</v>
      </c>
      <c r="W170" s="53">
        <f>COUNTIFS('00 Encuesta'!$B$2:$B$511,"*b)*",'00 Encuesta'!$C$2:$C$511,"*c)*",'00 Encuesta'!$E$2:$E$511,"*a)*",'00 Encuesta'!$V$2:$V$511,"*c)*")</f>
        <v>4</v>
      </c>
      <c r="X170" s="52">
        <f>W170/$X$6*100</f>
        <v>19.047619047619047</v>
      </c>
      <c r="Y170" s="53">
        <f>COUNTIFS('00 Encuesta'!$B$2:$B$511,"*b)*",'00 Encuesta'!$C$2:$C$511,"*c)*",'00 Encuesta'!$E$2:$E$511,"*b)*",'00 Encuesta'!$V$2:$V$511,"*c)*")</f>
        <v>7</v>
      </c>
      <c r="Z170" s="52">
        <f>Y170/$X$7*100</f>
        <v>38.888888888888893</v>
      </c>
      <c r="AA170" s="3"/>
      <c r="AB170" s="62">
        <f>G170+N170+U170</f>
        <v>22</v>
      </c>
      <c r="AC170" s="52">
        <f>AB170*100/$AC$5</f>
        <v>20.183486238532112</v>
      </c>
      <c r="AD170" s="7"/>
      <c r="AE170" s="7"/>
      <c r="AF170" s="9" t="str">
        <f t="shared" si="199"/>
        <v>c) Rezo solo en situación de dificultad</v>
      </c>
      <c r="AG170" s="72">
        <f>J170</f>
        <v>14.285714285714285</v>
      </c>
      <c r="AH170" s="72">
        <f>L170</f>
        <v>11.76470588235294</v>
      </c>
      <c r="AI170" s="73">
        <f>H170</f>
        <v>13.157894736842104</v>
      </c>
      <c r="AJ170" s="73"/>
      <c r="AK170" s="76">
        <f>Q170</f>
        <v>23.52941176470588</v>
      </c>
      <c r="AL170" s="76">
        <f>S170</f>
        <v>13.333333333333334</v>
      </c>
      <c r="AM170" s="76">
        <f>O170</f>
        <v>18.75</v>
      </c>
      <c r="AN170" s="76"/>
      <c r="AO170" s="81">
        <f>X170</f>
        <v>19.047619047619047</v>
      </c>
      <c r="AP170" s="81">
        <f>Z170</f>
        <v>38.888888888888893</v>
      </c>
      <c r="AQ170" s="81">
        <f>V170</f>
        <v>28.205128205128204</v>
      </c>
      <c r="AR170" s="7"/>
      <c r="AS170" s="76">
        <f t="shared" si="174"/>
        <v>20.183486238532112</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ht="15" x14ac:dyDescent="0.25">
      <c r="A171" s="8" t="s">
        <v>21</v>
      </c>
      <c r="B171" s="9" t="s">
        <v>130</v>
      </c>
      <c r="C171" s="7"/>
      <c r="D171" s="7"/>
      <c r="E171" s="7"/>
      <c r="F171" s="71"/>
      <c r="G171" s="51">
        <f>I171+K171</f>
        <v>1</v>
      </c>
      <c r="H171" s="52">
        <f>G171/$J$5*100</f>
        <v>2.6315789473684208</v>
      </c>
      <c r="I171" s="53">
        <f>COUNTIFS('00 Encuesta'!$B$2:$B$511,"*b)*",'00 Encuesta'!$C$2:$C$511,"*a)*",'00 Encuesta'!$E$2:$E$511,"*a)*",'00 Encuesta'!$V$2:$V$511,"*d)*")</f>
        <v>0</v>
      </c>
      <c r="J171" s="52">
        <f>I171/$J$6*100</f>
        <v>0</v>
      </c>
      <c r="K171" s="53">
        <f>COUNTIFS('00 Encuesta'!$B$2:$B$511,"*b)*",'00 Encuesta'!$C$2:$C$511,"*a)*",'00 Encuesta'!$E$2:$E$511,"*b)*",'00 Encuesta'!$V$2:$V$511,"*d)*")</f>
        <v>1</v>
      </c>
      <c r="L171" s="52">
        <f>K171/$J$7*100</f>
        <v>5.8823529411764701</v>
      </c>
      <c r="M171" s="23"/>
      <c r="N171" s="51">
        <f>P171+R171</f>
        <v>1</v>
      </c>
      <c r="O171" s="52">
        <f>N171/$Q$5*100</f>
        <v>3.125</v>
      </c>
      <c r="P171" s="53">
        <f>COUNTIFS('00 Encuesta'!$B$2:$B$511,"*b)*",'00 Encuesta'!$C$2:$C$511,"*b)*",'00 Encuesta'!$E$2:$E$511,"*a)*",'00 Encuesta'!$V$2:$V$511,"*d)*")</f>
        <v>1</v>
      </c>
      <c r="Q171" s="52">
        <f>P171/$Q$6*100</f>
        <v>5.8823529411764701</v>
      </c>
      <c r="R171" s="53">
        <f>COUNTIFS('00 Encuesta'!$B$2:$B$511,"*b)*",'00 Encuesta'!$C$2:$C$511,"*b)*",'00 Encuesta'!$E$2:$E$511,"*b)*",'00 Encuesta'!$V$2:$V$511,"*d)*")</f>
        <v>0</v>
      </c>
      <c r="S171" s="52">
        <f>R171/$Q$7*100</f>
        <v>0</v>
      </c>
      <c r="T171" s="3"/>
      <c r="U171" s="51">
        <f>W171+Y171</f>
        <v>6</v>
      </c>
      <c r="V171" s="52">
        <f>U171/$X$5*100</f>
        <v>15.384615384615385</v>
      </c>
      <c r="W171" s="53">
        <f>COUNTIFS('00 Encuesta'!$B$2:$B$511,"*b)*",'00 Encuesta'!$C$2:$C$511,"*c)*",'00 Encuesta'!$E$2:$E$511,"*a)*",'00 Encuesta'!$V$2:$V$511,"*d)*")</f>
        <v>3</v>
      </c>
      <c r="X171" s="52">
        <f>W171/$X$6*100</f>
        <v>14.285714285714285</v>
      </c>
      <c r="Y171" s="53">
        <f>COUNTIFS('00 Encuesta'!$B$2:$B$511,"*b)*",'00 Encuesta'!$C$2:$C$511,"*c)*",'00 Encuesta'!$E$2:$E$511,"*b)*",'00 Encuesta'!$V$2:$V$511,"*d)*")</f>
        <v>3</v>
      </c>
      <c r="Z171" s="52">
        <f>Y171/$X$7*100</f>
        <v>16.666666666666664</v>
      </c>
      <c r="AA171" s="3"/>
      <c r="AB171" s="62">
        <f>G171+N171+U171</f>
        <v>8</v>
      </c>
      <c r="AC171" s="52">
        <f>AB171*100/$AC$5</f>
        <v>7.3394495412844041</v>
      </c>
      <c r="AD171" s="3"/>
      <c r="AE171" s="3"/>
      <c r="AF171" s="9" t="str">
        <f t="shared" si="199"/>
        <v>d) No rezo nunca</v>
      </c>
      <c r="AG171" s="72">
        <f>J171</f>
        <v>0</v>
      </c>
      <c r="AH171" s="72">
        <f>L171</f>
        <v>5.8823529411764701</v>
      </c>
      <c r="AI171" s="73">
        <f>H171</f>
        <v>2.6315789473684208</v>
      </c>
      <c r="AJ171" s="73"/>
      <c r="AK171" s="76">
        <f>Q171</f>
        <v>5.8823529411764701</v>
      </c>
      <c r="AL171" s="76">
        <f>S171</f>
        <v>0</v>
      </c>
      <c r="AM171" s="76">
        <f>O171</f>
        <v>3.125</v>
      </c>
      <c r="AN171" s="76"/>
      <c r="AO171" s="81">
        <f>X171</f>
        <v>14.285714285714285</v>
      </c>
      <c r="AP171" s="81">
        <f>Z171</f>
        <v>16.666666666666664</v>
      </c>
      <c r="AQ171" s="81">
        <f>V171</f>
        <v>15.384615384615385</v>
      </c>
      <c r="AR171" s="7"/>
      <c r="AS171" s="76">
        <f t="shared" si="174"/>
        <v>7.3394495412844041</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ht="15" x14ac:dyDescent="0.25">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f>N172/$Q$5*100</f>
        <v>0</v>
      </c>
      <c r="P172" s="53"/>
      <c r="Q172" s="52">
        <f>P172/$Q$6*100</f>
        <v>0</v>
      </c>
      <c r="R172" s="53"/>
      <c r="S172" s="52">
        <f>R172/$Q$7*100</f>
        <v>0</v>
      </c>
      <c r="T172" s="3"/>
      <c r="U172" s="51">
        <f>W172+Y172</f>
        <v>0</v>
      </c>
      <c r="V172" s="52">
        <f>U172/$X$5*100</f>
        <v>0</v>
      </c>
      <c r="W172" s="53"/>
      <c r="X172" s="52">
        <f>W172/$X$6*100</f>
        <v>0</v>
      </c>
      <c r="Y172" s="53"/>
      <c r="Z172" s="52">
        <f>Y172/$X$7*100</f>
        <v>0</v>
      </c>
      <c r="AA172" s="3"/>
      <c r="AB172" s="62">
        <f>G172+N172+U172</f>
        <v>0</v>
      </c>
      <c r="AC172" s="52">
        <f>AB172*100/$AC$5</f>
        <v>0</v>
      </c>
      <c r="AD172" s="3"/>
      <c r="AE172" s="3"/>
      <c r="AF172" s="9" t="str">
        <f t="shared" si="199"/>
        <v>S/R Sin Respuesta</v>
      </c>
      <c r="AG172" s="72">
        <f>J172</f>
        <v>0</v>
      </c>
      <c r="AH172" s="72">
        <f>L172</f>
        <v>0</v>
      </c>
      <c r="AI172" s="73">
        <f>H172</f>
        <v>0</v>
      </c>
      <c r="AJ172" s="73"/>
      <c r="AK172" s="76">
        <f>Q172</f>
        <v>0</v>
      </c>
      <c r="AL172" s="76">
        <f>S172</f>
        <v>0</v>
      </c>
      <c r="AM172" s="76">
        <f>O172</f>
        <v>0</v>
      </c>
      <c r="AN172" s="76"/>
      <c r="AO172" s="81">
        <f>X172</f>
        <v>0</v>
      </c>
      <c r="AP172" s="81">
        <f>Z172</f>
        <v>0</v>
      </c>
      <c r="AQ172" s="81">
        <f>V172</f>
        <v>0</v>
      </c>
      <c r="AR172" s="3"/>
      <c r="AS172" s="76">
        <f t="shared" si="174"/>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ht="15" x14ac:dyDescent="0.25">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ht="15" x14ac:dyDescent="0.25">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ht="15" x14ac:dyDescent="0.25">
      <c r="A175" s="8" t="s">
        <v>17</v>
      </c>
      <c r="B175" s="9" t="s">
        <v>132</v>
      </c>
      <c r="C175" s="7"/>
      <c r="D175" s="7"/>
      <c r="E175" s="7"/>
      <c r="F175" s="71"/>
      <c r="G175" s="51">
        <f>I175+K175</f>
        <v>1</v>
      </c>
      <c r="H175" s="52">
        <f>G175/$J$5*100</f>
        <v>2.6315789473684208</v>
      </c>
      <c r="I175" s="53">
        <f>COUNTIFS('00 Encuesta'!$B$2:$B$511,"*b)*",'00 Encuesta'!$C$2:$C$511,"*a)*",'00 Encuesta'!$E$2:$E$511,"*a)*",'00 Encuesta'!$W$2:$W$511,"*a)*")</f>
        <v>1</v>
      </c>
      <c r="J175" s="52">
        <f>I175/$J$6*100</f>
        <v>4.7619047619047619</v>
      </c>
      <c r="K175" s="53">
        <f>COUNTIFS('00 Encuesta'!$B$2:$B$511,"*b)*",'00 Encuesta'!$C$2:$C$511,"*a)*",'00 Encuesta'!$E$2:$E$511,"*b)*",'00 Encuesta'!$W$2:$W$511,"*a)*")</f>
        <v>0</v>
      </c>
      <c r="L175" s="52">
        <f>K175/$J$7*100</f>
        <v>0</v>
      </c>
      <c r="M175" s="23"/>
      <c r="N175" s="51">
        <f>P175+R175</f>
        <v>1</v>
      </c>
      <c r="O175" s="52">
        <f>N175/$Q$5*100</f>
        <v>3.125</v>
      </c>
      <c r="P175" s="53">
        <f>COUNTIFS('00 Encuesta'!$B$2:$B$511,"*b)*",'00 Encuesta'!$C$2:$C$511,"*b)*",'00 Encuesta'!$E$2:$E$511,"*a)*",'00 Encuesta'!$W$2:$W$511,"*a)*")</f>
        <v>0</v>
      </c>
      <c r="Q175" s="52">
        <f>P175/$Q$6*100</f>
        <v>0</v>
      </c>
      <c r="R175" s="53">
        <f>COUNTIFS('00 Encuesta'!$B$2:$B$511,"*b)*",'00 Encuesta'!$C$2:$C$511,"*b)*",'00 Encuesta'!$E$2:$E$511,"*b)*",'00 Encuesta'!$W$2:$W$511,"*a)*")</f>
        <v>1</v>
      </c>
      <c r="S175" s="52">
        <f>R175/$Q$7*100</f>
        <v>6.666666666666667</v>
      </c>
      <c r="T175" s="3"/>
      <c r="U175" s="51">
        <f>W175+Y175</f>
        <v>4</v>
      </c>
      <c r="V175" s="52">
        <f>U175/$X$5*100</f>
        <v>10.256410256410255</v>
      </c>
      <c r="W175" s="53">
        <f>COUNTIFS('00 Encuesta'!$B$2:$B$511,"*b)*",'00 Encuesta'!$C$2:$C$511,"*c)*",'00 Encuesta'!$E$2:$E$511,"*a)*",'00 Encuesta'!$W$2:$W$511,"*a)*")</f>
        <v>3</v>
      </c>
      <c r="X175" s="52">
        <f>W175/$X$6*100</f>
        <v>14.285714285714285</v>
      </c>
      <c r="Y175" s="53">
        <f>COUNTIFS('00 Encuesta'!$B$2:$B$511,"*b)*",'00 Encuesta'!$C$2:$C$511,"*c)*",'00 Encuesta'!$E$2:$E$511,"*b)*",'00 Encuesta'!$W$2:$W$511,"*a)*")</f>
        <v>1</v>
      </c>
      <c r="Z175" s="52">
        <f>Y175/$X$7*100</f>
        <v>5.5555555555555554</v>
      </c>
      <c r="AA175" s="3"/>
      <c r="AB175" s="62">
        <f>G175+N175+U175</f>
        <v>6</v>
      </c>
      <c r="AC175" s="52">
        <f>AB175*100/$AC$5</f>
        <v>5.5045871559633026</v>
      </c>
      <c r="AD175" s="3"/>
      <c r="AE175" s="3"/>
      <c r="AF175" s="9" t="str">
        <f t="shared" si="200"/>
        <v>a) Todos los domingos</v>
      </c>
      <c r="AG175" s="72">
        <f>J175</f>
        <v>4.7619047619047619</v>
      </c>
      <c r="AH175" s="72">
        <f>L175</f>
        <v>0</v>
      </c>
      <c r="AI175" s="73">
        <f>H175</f>
        <v>2.6315789473684208</v>
      </c>
      <c r="AJ175" s="73"/>
      <c r="AK175" s="76">
        <f>Q175</f>
        <v>0</v>
      </c>
      <c r="AL175" s="76">
        <f>S175</f>
        <v>6.666666666666667</v>
      </c>
      <c r="AM175" s="76">
        <f>O175</f>
        <v>3.125</v>
      </c>
      <c r="AN175" s="76"/>
      <c r="AO175" s="81">
        <f>X175</f>
        <v>14.285714285714285</v>
      </c>
      <c r="AP175" s="81">
        <f>Z175</f>
        <v>5.5555555555555554</v>
      </c>
      <c r="AQ175" s="81">
        <f>V175</f>
        <v>10.256410256410255</v>
      </c>
      <c r="AR175" s="3"/>
      <c r="AS175" s="76">
        <f t="shared" si="174"/>
        <v>5.5045871559633026</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ht="15" x14ac:dyDescent="0.25">
      <c r="A176" s="8" t="s">
        <v>18</v>
      </c>
      <c r="B176" s="9" t="s">
        <v>133</v>
      </c>
      <c r="C176" s="7"/>
      <c r="D176" s="7"/>
      <c r="E176" s="7"/>
      <c r="F176" s="71"/>
      <c r="G176" s="51">
        <f>I176+K176</f>
        <v>17</v>
      </c>
      <c r="H176" s="52">
        <f>G176/$J$5*100</f>
        <v>44.736842105263158</v>
      </c>
      <c r="I176" s="53">
        <f>COUNTIFS('00 Encuesta'!$B$2:$B$511,"*b)*",'00 Encuesta'!$C$2:$C$511,"*a)*",'00 Encuesta'!$E$2:$E$511,"*a)*",'00 Encuesta'!$W$2:$W$511,"*b)*")</f>
        <v>10</v>
      </c>
      <c r="J176" s="52">
        <f>I176/$J$6*100</f>
        <v>47.619047619047613</v>
      </c>
      <c r="K176" s="53">
        <f>COUNTIFS('00 Encuesta'!$B$2:$B$511,"*b)*",'00 Encuesta'!$C$2:$C$511,"*a)*",'00 Encuesta'!$E$2:$E$511,"*b)*",'00 Encuesta'!$W$2:$W$511,"*b)*")</f>
        <v>7</v>
      </c>
      <c r="L176" s="52">
        <f>K176/$J$7*100</f>
        <v>41.17647058823529</v>
      </c>
      <c r="M176" s="23"/>
      <c r="N176" s="51">
        <f>P176+R176</f>
        <v>16</v>
      </c>
      <c r="O176" s="52">
        <f>N176/$Q$5*100</f>
        <v>50</v>
      </c>
      <c r="P176" s="53">
        <f>COUNTIFS('00 Encuesta'!$B$2:$B$511,"*b)*",'00 Encuesta'!$C$2:$C$511,"*b)*",'00 Encuesta'!$E$2:$E$511,"*a)*",'00 Encuesta'!$W$2:$W$511,"*b)*")</f>
        <v>10</v>
      </c>
      <c r="Q176" s="52">
        <f>P176/$Q$6*100</f>
        <v>58.82352941176471</v>
      </c>
      <c r="R176" s="53">
        <f>COUNTIFS('00 Encuesta'!$B$2:$B$511,"*b)*",'00 Encuesta'!$C$2:$C$511,"*b)*",'00 Encuesta'!$E$2:$E$511,"*b)*",'00 Encuesta'!$W$2:$W$511,"*b)*")</f>
        <v>6</v>
      </c>
      <c r="S176" s="52">
        <f>R176/$Q$7*100</f>
        <v>40</v>
      </c>
      <c r="T176" s="3"/>
      <c r="U176" s="51">
        <f>W176+Y176</f>
        <v>12</v>
      </c>
      <c r="V176" s="52">
        <f>U176/$X$5*100</f>
        <v>30.76923076923077</v>
      </c>
      <c r="W176" s="53">
        <f>COUNTIFS('00 Encuesta'!$B$2:$B$511,"*b)*",'00 Encuesta'!$C$2:$C$511,"*c)*",'00 Encuesta'!$E$2:$E$511,"*a)*",'00 Encuesta'!$W$2:$W$511,"*b)*")</f>
        <v>6</v>
      </c>
      <c r="X176" s="52">
        <f>W176/$X$6*100</f>
        <v>28.571428571428569</v>
      </c>
      <c r="Y176" s="53">
        <f>COUNTIFS('00 Encuesta'!$B$2:$B$511,"*b)*",'00 Encuesta'!$C$2:$C$511,"*c)*",'00 Encuesta'!$E$2:$E$511,"*b)*",'00 Encuesta'!$W$2:$W$511,"*b)*")</f>
        <v>6</v>
      </c>
      <c r="Z176" s="52">
        <f>Y176/$X$7*100</f>
        <v>33.333333333333329</v>
      </c>
      <c r="AA176" s="3"/>
      <c r="AB176" s="62">
        <f>G176+N176+U176</f>
        <v>45</v>
      </c>
      <c r="AC176" s="52">
        <f>AB176*100/$AC$5</f>
        <v>41.284403669724767</v>
      </c>
      <c r="AD176" s="3"/>
      <c r="AE176" s="3"/>
      <c r="AF176" s="9" t="str">
        <f t="shared" si="200"/>
        <v>b) Algunos domingos</v>
      </c>
      <c r="AG176" s="72">
        <f>J176</f>
        <v>47.619047619047613</v>
      </c>
      <c r="AH176" s="72">
        <f>L176</f>
        <v>41.17647058823529</v>
      </c>
      <c r="AI176" s="73">
        <f>H176</f>
        <v>44.736842105263158</v>
      </c>
      <c r="AJ176" s="73"/>
      <c r="AK176" s="76">
        <f>Q176</f>
        <v>58.82352941176471</v>
      </c>
      <c r="AL176" s="76">
        <f>S176</f>
        <v>40</v>
      </c>
      <c r="AM176" s="76">
        <f>O176</f>
        <v>50</v>
      </c>
      <c r="AN176" s="76"/>
      <c r="AO176" s="81">
        <f>X176</f>
        <v>28.571428571428569</v>
      </c>
      <c r="AP176" s="81">
        <f>Z176</f>
        <v>33.333333333333329</v>
      </c>
      <c r="AQ176" s="81">
        <f>V176</f>
        <v>30.76923076923077</v>
      </c>
      <c r="AR176" s="3"/>
      <c r="AS176" s="76">
        <f t="shared" si="174"/>
        <v>41.284403669724767</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15</v>
      </c>
      <c r="H177" s="52">
        <f>G177/$J$5*100</f>
        <v>39.473684210526315</v>
      </c>
      <c r="I177" s="53">
        <f>COUNTIFS('00 Encuesta'!$B$2:$B$511,"*b)*",'00 Encuesta'!$C$2:$C$511,"*a)*",'00 Encuesta'!$E$2:$E$511,"*a)*",'00 Encuesta'!$W$2:$W$511,"*c)*")</f>
        <v>7</v>
      </c>
      <c r="J177" s="52">
        <f>I177/$J$6*100</f>
        <v>33.333333333333329</v>
      </c>
      <c r="K177" s="53">
        <f>COUNTIFS('00 Encuesta'!$B$2:$B$511,"*b)*",'00 Encuesta'!$C$2:$C$511,"*a)*",'00 Encuesta'!$E$2:$E$511,"*b)*",'00 Encuesta'!$W$2:$W$511,"*c)*")</f>
        <v>8</v>
      </c>
      <c r="L177" s="52">
        <f>K177/$J$7*100</f>
        <v>47.058823529411761</v>
      </c>
      <c r="M177" s="23"/>
      <c r="N177" s="51">
        <f>P177+R177</f>
        <v>11</v>
      </c>
      <c r="O177" s="52">
        <f>N177/$Q$5*100</f>
        <v>34.375</v>
      </c>
      <c r="P177" s="53">
        <f>COUNTIFS('00 Encuesta'!$B$2:$B$511,"*b)*",'00 Encuesta'!$C$2:$C$511,"*b)*",'00 Encuesta'!$E$2:$E$511,"*a)*",'00 Encuesta'!$W$2:$W$511,"*c)*")</f>
        <v>5</v>
      </c>
      <c r="Q177" s="52">
        <f>P177/$Q$6*100</f>
        <v>29.411764705882355</v>
      </c>
      <c r="R177" s="53">
        <f>COUNTIFS('00 Encuesta'!$B$2:$B$511,"*b)*",'00 Encuesta'!$C$2:$C$511,"*b)*",'00 Encuesta'!$E$2:$E$511,"*b)*",'00 Encuesta'!$W$2:$W$511,"*c)*")</f>
        <v>6</v>
      </c>
      <c r="S177" s="52">
        <f>R177/$Q$7*100</f>
        <v>40</v>
      </c>
      <c r="T177" s="3"/>
      <c r="U177" s="51">
        <f>W177+Y177</f>
        <v>15</v>
      </c>
      <c r="V177" s="52">
        <f>U177/$X$5*100</f>
        <v>38.461538461538467</v>
      </c>
      <c r="W177" s="53">
        <f>COUNTIFS('00 Encuesta'!$B$2:$B$511,"*b)*",'00 Encuesta'!$C$2:$C$511,"*c)*",'00 Encuesta'!$E$2:$E$511,"*a)*",'00 Encuesta'!$W$2:$W$511,"*c)*")</f>
        <v>8</v>
      </c>
      <c r="X177" s="52">
        <f>W177/$X$6*100</f>
        <v>38.095238095238095</v>
      </c>
      <c r="Y177" s="53">
        <f>COUNTIFS('00 Encuesta'!$B$2:$B$511,"*b)*",'00 Encuesta'!$C$2:$C$511,"*c)*",'00 Encuesta'!$E$2:$E$511,"*b)*",'00 Encuesta'!$W$2:$W$511,"*c)*")</f>
        <v>7</v>
      </c>
      <c r="Z177" s="52">
        <f>Y177/$X$7*100</f>
        <v>38.888888888888893</v>
      </c>
      <c r="AA177" s="3"/>
      <c r="AB177" s="62">
        <f>G177+N177+U177</f>
        <v>41</v>
      </c>
      <c r="AC177" s="52">
        <f>AB177*100/$AC$5</f>
        <v>37.61467889908257</v>
      </c>
      <c r="AD177" s="3"/>
      <c r="AE177" s="3"/>
      <c r="AF177" s="9" t="str">
        <f t="shared" si="200"/>
        <v>c) Sólo en fechas especiales</v>
      </c>
      <c r="AG177" s="72">
        <f>J177</f>
        <v>33.333333333333329</v>
      </c>
      <c r="AH177" s="72">
        <f>L177</f>
        <v>47.058823529411761</v>
      </c>
      <c r="AI177" s="73">
        <f>H177</f>
        <v>39.473684210526315</v>
      </c>
      <c r="AJ177" s="73"/>
      <c r="AK177" s="76">
        <f>Q177</f>
        <v>29.411764705882355</v>
      </c>
      <c r="AL177" s="76">
        <f>S177</f>
        <v>40</v>
      </c>
      <c r="AM177" s="76">
        <f>O177</f>
        <v>34.375</v>
      </c>
      <c r="AN177" s="76"/>
      <c r="AO177" s="81">
        <f>X177</f>
        <v>38.095238095238095</v>
      </c>
      <c r="AP177" s="81">
        <f>Z177</f>
        <v>38.888888888888893</v>
      </c>
      <c r="AQ177" s="81">
        <f>V177</f>
        <v>38.461538461538467</v>
      </c>
      <c r="AR177" s="3"/>
      <c r="AS177" s="76">
        <f t="shared" si="174"/>
        <v>37.61467889908257</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ht="15" x14ac:dyDescent="0.25">
      <c r="A178" s="8" t="s">
        <v>21</v>
      </c>
      <c r="B178" s="9" t="s">
        <v>135</v>
      </c>
      <c r="C178" s="7"/>
      <c r="D178" s="7"/>
      <c r="E178" s="7"/>
      <c r="F178" s="71"/>
      <c r="G178" s="51">
        <f>I178+K178</f>
        <v>0</v>
      </c>
      <c r="H178" s="52">
        <f>G178/$J$5*100</f>
        <v>0</v>
      </c>
      <c r="I178" s="53">
        <f>COUNTIFS('00 Encuesta'!$B$2:$B$511,"*b)*",'00 Encuesta'!$C$2:$C$511,"*a)*",'00 Encuesta'!$E$2:$E$511,"*a)*",'00 Encuesta'!$W$2:$W$511,"*d)*")</f>
        <v>0</v>
      </c>
      <c r="J178" s="52">
        <f>I178/$J$6*100</f>
        <v>0</v>
      </c>
      <c r="K178" s="53">
        <f>COUNTIFS('00 Encuesta'!$B$2:$B$511,"*b)*",'00 Encuesta'!$C$2:$C$511,"*a)*",'00 Encuesta'!$E$2:$E$511,"*b)*",'00 Encuesta'!$W$2:$W$511,"*d)*")</f>
        <v>0</v>
      </c>
      <c r="L178" s="52">
        <f>K178/$J$7*100</f>
        <v>0</v>
      </c>
      <c r="M178" s="23"/>
      <c r="N178" s="51">
        <f>P178+R178</f>
        <v>4</v>
      </c>
      <c r="O178" s="52">
        <f>N178/$Q$5*100</f>
        <v>12.5</v>
      </c>
      <c r="P178" s="53">
        <f>COUNTIFS('00 Encuesta'!$B$2:$B$511,"*b)*",'00 Encuesta'!$C$2:$C$511,"*b)*",'00 Encuesta'!$E$2:$E$511,"*a)*",'00 Encuesta'!$W$2:$W$511,"*d)*")</f>
        <v>2</v>
      </c>
      <c r="Q178" s="52">
        <f>P178/$Q$6*100</f>
        <v>11.76470588235294</v>
      </c>
      <c r="R178" s="53">
        <f>COUNTIFS('00 Encuesta'!$B$2:$B$511,"*b)*",'00 Encuesta'!$C$2:$C$511,"*b)*",'00 Encuesta'!$E$2:$E$511,"*b)*",'00 Encuesta'!$W$2:$W$511,"*d)*")</f>
        <v>2</v>
      </c>
      <c r="S178" s="52">
        <f>R178/$Q$7*100</f>
        <v>13.333333333333334</v>
      </c>
      <c r="T178" s="3"/>
      <c r="U178" s="51">
        <f>W178+Y178</f>
        <v>8</v>
      </c>
      <c r="V178" s="52">
        <f>U178/$X$5*100</f>
        <v>20.512820512820511</v>
      </c>
      <c r="W178" s="53">
        <f>COUNTIFS('00 Encuesta'!$B$2:$B$511,"*b)*",'00 Encuesta'!$C$2:$C$511,"*c)*",'00 Encuesta'!$E$2:$E$511,"*a)*",'00 Encuesta'!$W$2:$W$511,"*d)*")</f>
        <v>4</v>
      </c>
      <c r="X178" s="52">
        <f>W178/$X$6*100</f>
        <v>19.047619047619047</v>
      </c>
      <c r="Y178" s="53">
        <f>COUNTIFS('00 Encuesta'!$B$2:$B$511,"*b)*",'00 Encuesta'!$C$2:$C$511,"*c)*",'00 Encuesta'!$E$2:$E$511,"*b)*",'00 Encuesta'!$W$2:$W$511,"*d)*")</f>
        <v>4</v>
      </c>
      <c r="Z178" s="52">
        <f>Y178/$X$7*100</f>
        <v>22.222222222222221</v>
      </c>
      <c r="AA178" s="3"/>
      <c r="AB178" s="62">
        <f>G178+N178+U178</f>
        <v>12</v>
      </c>
      <c r="AC178" s="52">
        <f>AB178*100/$AC$5</f>
        <v>11.009174311926605</v>
      </c>
      <c r="AD178" s="7"/>
      <c r="AE178" s="7"/>
      <c r="AF178" s="9" t="str">
        <f t="shared" si="200"/>
        <v>d) Nunca</v>
      </c>
      <c r="AG178" s="72">
        <f>J178</f>
        <v>0</v>
      </c>
      <c r="AH178" s="72">
        <f>L178</f>
        <v>0</v>
      </c>
      <c r="AI178" s="73">
        <f>H178</f>
        <v>0</v>
      </c>
      <c r="AJ178" s="73"/>
      <c r="AK178" s="76">
        <f>Q178</f>
        <v>11.76470588235294</v>
      </c>
      <c r="AL178" s="76">
        <f>S178</f>
        <v>13.333333333333334</v>
      </c>
      <c r="AM178" s="76">
        <f>O178</f>
        <v>12.5</v>
      </c>
      <c r="AN178" s="76"/>
      <c r="AO178" s="81">
        <f>X178</f>
        <v>19.047619047619047</v>
      </c>
      <c r="AP178" s="81">
        <f>Z178</f>
        <v>22.222222222222221</v>
      </c>
      <c r="AQ178" s="81">
        <f>V178</f>
        <v>20.512820512820511</v>
      </c>
      <c r="AR178" s="3"/>
      <c r="AS178" s="76">
        <f t="shared" si="174"/>
        <v>11.009174311926605</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ht="15" x14ac:dyDescent="0.25">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f>N179/$Q$5*100</f>
        <v>0</v>
      </c>
      <c r="P179" s="53"/>
      <c r="Q179" s="52">
        <f>P179/$Q$6*100</f>
        <v>0</v>
      </c>
      <c r="R179" s="53"/>
      <c r="S179" s="52">
        <f>R179/$Q$7*100</f>
        <v>0</v>
      </c>
      <c r="T179" s="3"/>
      <c r="U179" s="51">
        <f>W179+Y179</f>
        <v>0</v>
      </c>
      <c r="V179" s="52">
        <f>U179/$X$5*100</f>
        <v>0</v>
      </c>
      <c r="W179" s="53"/>
      <c r="X179" s="52">
        <f>W179/$X$6*100</f>
        <v>0</v>
      </c>
      <c r="Y179" s="53"/>
      <c r="Z179" s="52">
        <f>Y179/$X$7*100</f>
        <v>0</v>
      </c>
      <c r="AA179" s="3"/>
      <c r="AB179" s="62">
        <f>G179+N179+U179</f>
        <v>0</v>
      </c>
      <c r="AC179" s="52">
        <f>AB179*100/$AC$5</f>
        <v>0</v>
      </c>
      <c r="AD179" s="3"/>
      <c r="AE179" s="3"/>
      <c r="AF179" s="9" t="str">
        <f t="shared" si="200"/>
        <v>S/R Sin Respuesta</v>
      </c>
      <c r="AG179" s="72">
        <f>J179</f>
        <v>0</v>
      </c>
      <c r="AH179" s="72">
        <f>L179</f>
        <v>0</v>
      </c>
      <c r="AI179" s="73">
        <f>H179</f>
        <v>0</v>
      </c>
      <c r="AJ179" s="73"/>
      <c r="AK179" s="76">
        <f>Q179</f>
        <v>0</v>
      </c>
      <c r="AL179" s="76">
        <f>S179</f>
        <v>0</v>
      </c>
      <c r="AM179" s="76">
        <f>O179</f>
        <v>0</v>
      </c>
      <c r="AN179" s="76"/>
      <c r="AO179" s="81">
        <f>X179</f>
        <v>0</v>
      </c>
      <c r="AP179" s="81">
        <f>Z179</f>
        <v>0</v>
      </c>
      <c r="AQ179" s="81">
        <f>V179</f>
        <v>0</v>
      </c>
      <c r="AR179" s="7"/>
      <c r="AS179" s="76">
        <f t="shared" si="174"/>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ht="15" x14ac:dyDescent="0.25">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ht="15" x14ac:dyDescent="0.25">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8</v>
      </c>
      <c r="H182" s="52">
        <f t="shared" ref="H182:H191" si="202">G182/$J$5*100</f>
        <v>21.052631578947366</v>
      </c>
      <c r="I182" s="53">
        <f>COUNTIFS('00 Encuesta'!$B$2:$B$511,"*b)*",'00 Encuesta'!$C$2:$C$511,"*a)*",'00 Encuesta'!$E$2:$E$511,"*a)*",'00 Encuesta'!$X$2:$X$511,"*a)*")</f>
        <v>5</v>
      </c>
      <c r="J182" s="52">
        <f t="shared" ref="J182:J191" si="203">I182/$J$6*100</f>
        <v>23.809523809523807</v>
      </c>
      <c r="K182" s="53">
        <f>COUNTIFS('00 Encuesta'!$B$2:$B$511,"*b)*",'00 Encuesta'!$C$2:$C$511,"*a)*",'00 Encuesta'!$E$2:$E$511,"*b)*",'00 Encuesta'!$X$2:$X$511,"*a)*")</f>
        <v>3</v>
      </c>
      <c r="L182" s="52">
        <f t="shared" ref="L182:L191" si="204">K182/$J$7*100</f>
        <v>17.647058823529413</v>
      </c>
      <c r="M182" s="23"/>
      <c r="N182" s="51">
        <f t="shared" ref="N182:N191" si="205">P182+R182</f>
        <v>9</v>
      </c>
      <c r="O182" s="52">
        <f t="shared" ref="O182:O191" si="206">N182/$Q$5*100</f>
        <v>28.125</v>
      </c>
      <c r="P182" s="53">
        <f>COUNTIFS('00 Encuesta'!$B$2:$B$511,"*b)*",'00 Encuesta'!$C$2:$C$511,"*b)*",'00 Encuesta'!$E$2:$E$511,"*a)*",'00 Encuesta'!$X$2:$X$511,"*a)*")</f>
        <v>5</v>
      </c>
      <c r="Q182" s="52">
        <f t="shared" ref="Q182:Q191" si="207">P182/$Q$6*100</f>
        <v>29.411764705882355</v>
      </c>
      <c r="R182" s="53">
        <f>COUNTIFS('00 Encuesta'!$B$2:$B$511,"*b)*",'00 Encuesta'!$C$2:$C$511,"*b)*",'00 Encuesta'!$E$2:$E$511,"*b)*",'00 Encuesta'!$X$2:$X$511,"*a)*")</f>
        <v>4</v>
      </c>
      <c r="S182" s="52">
        <f t="shared" ref="S182:S191" si="208">R182/$Q$7*100</f>
        <v>26.666666666666668</v>
      </c>
      <c r="T182" s="3"/>
      <c r="U182" s="51">
        <f t="shared" ref="U182:U191" si="209">W182+Y182</f>
        <v>15</v>
      </c>
      <c r="V182" s="52">
        <f t="shared" ref="V182:V191" si="210">U182/$X$5*100</f>
        <v>38.461538461538467</v>
      </c>
      <c r="W182" s="53">
        <f>COUNTIFS('00 Encuesta'!$B$2:$B$511,"*b)*",'00 Encuesta'!$C$2:$C$511,"*c)*",'00 Encuesta'!$E$2:$E$511,"*a)*",'00 Encuesta'!$X$2:$X$511,"*a)*")</f>
        <v>9</v>
      </c>
      <c r="X182" s="52">
        <f t="shared" ref="X182:X191" si="211">W182/$X$6*100</f>
        <v>42.857142857142854</v>
      </c>
      <c r="Y182" s="53">
        <f>COUNTIFS('00 Encuesta'!$B$2:$B$511,"*b)*",'00 Encuesta'!$C$2:$C$511,"*c)*",'00 Encuesta'!$E$2:$E$511,"*b)*",'00 Encuesta'!$X$2:$X$511,"*a)*")</f>
        <v>6</v>
      </c>
      <c r="Z182" s="52">
        <f t="shared" ref="Z182:Z191" si="212">Y182/$X$7*100</f>
        <v>33.333333333333329</v>
      </c>
      <c r="AA182" s="3"/>
      <c r="AB182" s="62">
        <f t="shared" ref="AB182:AB191" si="213">G182+N182+U182</f>
        <v>32</v>
      </c>
      <c r="AC182" s="52">
        <f t="shared" ref="AC182:AC191" si="214">AB182*100/$AC$5</f>
        <v>29.357798165137616</v>
      </c>
      <c r="AD182" s="3"/>
      <c r="AE182" s="3"/>
      <c r="AF182" s="9" t="str">
        <f t="shared" ref="AF182:AF191" si="215">A182&amp;" "&amp;B182</f>
        <v>a) Suelo llevar una cruz o algún objeto religioso</v>
      </c>
      <c r="AG182" s="72">
        <f t="shared" ref="AG182:AG191" si="216">J182</f>
        <v>23.809523809523807</v>
      </c>
      <c r="AH182" s="72">
        <f t="shared" ref="AH182:AH191" si="217">L182</f>
        <v>17.647058823529413</v>
      </c>
      <c r="AI182" s="73">
        <f t="shared" ref="AI182:AI191" si="218">H182</f>
        <v>21.052631578947366</v>
      </c>
      <c r="AJ182" s="73"/>
      <c r="AK182" s="76">
        <f t="shared" ref="AK182:AK191" si="219">Q182</f>
        <v>29.411764705882355</v>
      </c>
      <c r="AL182" s="76">
        <f t="shared" ref="AL182:AL191" si="220">S182</f>
        <v>26.666666666666668</v>
      </c>
      <c r="AM182" s="76">
        <f t="shared" ref="AM182:AM191" si="221">O182</f>
        <v>28.125</v>
      </c>
      <c r="AN182" s="76"/>
      <c r="AO182" s="81">
        <f t="shared" ref="AO182:AO191" si="222">X182</f>
        <v>42.857142857142854</v>
      </c>
      <c r="AP182" s="81">
        <f t="shared" ref="AP182:AP191" si="223">Z182</f>
        <v>33.333333333333329</v>
      </c>
      <c r="AQ182" s="81">
        <f t="shared" ref="AQ182:AQ191" si="224">V182</f>
        <v>38.461538461538467</v>
      </c>
      <c r="AR182" s="3"/>
      <c r="AS182" s="76">
        <f t="shared" si="174"/>
        <v>29.357798165137616</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ht="15" x14ac:dyDescent="0.25">
      <c r="A183" s="8" t="s">
        <v>18</v>
      </c>
      <c r="B183" s="9" t="s">
        <v>138</v>
      </c>
      <c r="C183" s="7"/>
      <c r="D183" s="7"/>
      <c r="E183" s="7"/>
      <c r="F183" s="71"/>
      <c r="G183" s="51">
        <f t="shared" si="201"/>
        <v>7</v>
      </c>
      <c r="H183" s="52">
        <f t="shared" si="202"/>
        <v>18.421052631578945</v>
      </c>
      <c r="I183" s="53">
        <f>COUNTIFS('00 Encuesta'!$B$2:$B$511,"*b)*",'00 Encuesta'!$C$2:$C$511,"*a)*",'00 Encuesta'!$E$2:$E$511,"*a)*",'00 Encuesta'!$X$2:$X$511,"*b)*")</f>
        <v>4</v>
      </c>
      <c r="J183" s="52">
        <f t="shared" si="203"/>
        <v>19.047619047619047</v>
      </c>
      <c r="K183" s="53">
        <f>COUNTIFS('00 Encuesta'!$B$2:$B$511,"*b)*",'00 Encuesta'!$C$2:$C$511,"*a)*",'00 Encuesta'!$E$2:$E$511,"*b)*",'00 Encuesta'!$X$2:$X$511,"*b)*")</f>
        <v>3</v>
      </c>
      <c r="L183" s="52">
        <f t="shared" si="204"/>
        <v>17.647058823529413</v>
      </c>
      <c r="M183" s="23"/>
      <c r="N183" s="51">
        <f t="shared" si="205"/>
        <v>4</v>
      </c>
      <c r="O183" s="52">
        <f t="shared" si="206"/>
        <v>12.5</v>
      </c>
      <c r="P183" s="53">
        <f>COUNTIFS('00 Encuesta'!$B$2:$B$511,"*b)*",'00 Encuesta'!$C$2:$C$511,"*b)*",'00 Encuesta'!$E$2:$E$511,"*a)*",'00 Encuesta'!$X$2:$X$511,"*b)*")</f>
        <v>4</v>
      </c>
      <c r="Q183" s="52">
        <f t="shared" si="207"/>
        <v>23.52941176470588</v>
      </c>
      <c r="R183" s="53">
        <f>COUNTIFS('00 Encuesta'!$B$2:$B$511,"*b)*",'00 Encuesta'!$C$2:$C$511,"*b)*",'00 Encuesta'!$E$2:$E$511,"*b)*",'00 Encuesta'!$X$2:$X$511,"*b)*")</f>
        <v>0</v>
      </c>
      <c r="S183" s="52">
        <f t="shared" si="208"/>
        <v>0</v>
      </c>
      <c r="T183" s="3"/>
      <c r="U183" s="51">
        <f t="shared" si="209"/>
        <v>4</v>
      </c>
      <c r="V183" s="52">
        <f t="shared" si="210"/>
        <v>10.256410256410255</v>
      </c>
      <c r="W183" s="53">
        <f>COUNTIFS('00 Encuesta'!$B$2:$B$511,"*b)*",'00 Encuesta'!$C$2:$C$511,"*c)*",'00 Encuesta'!$E$2:$E$511,"*a)*",'00 Encuesta'!$X$2:$X$511,"*b)*")</f>
        <v>3</v>
      </c>
      <c r="X183" s="52">
        <f t="shared" si="211"/>
        <v>14.285714285714285</v>
      </c>
      <c r="Y183" s="53">
        <f>COUNTIFS('00 Encuesta'!$B$2:$B$511,"*b)*",'00 Encuesta'!$C$2:$C$511,"*c)*",'00 Encuesta'!$E$2:$E$511,"*b)*",'00 Encuesta'!$X$2:$X$511,"*b)*")</f>
        <v>1</v>
      </c>
      <c r="Z183" s="52">
        <f t="shared" si="212"/>
        <v>5.5555555555555554</v>
      </c>
      <c r="AA183" s="3"/>
      <c r="AB183" s="62">
        <f t="shared" si="213"/>
        <v>15</v>
      </c>
      <c r="AC183" s="52">
        <f t="shared" si="214"/>
        <v>13.761467889908257</v>
      </c>
      <c r="AD183" s="3"/>
      <c r="AE183" s="3"/>
      <c r="AF183" s="9" t="str">
        <f t="shared" si="215"/>
        <v>b) Suelo bendecir los alimentos antes de comer</v>
      </c>
      <c r="AG183" s="72">
        <f t="shared" si="216"/>
        <v>19.047619047619047</v>
      </c>
      <c r="AH183" s="72">
        <f t="shared" si="217"/>
        <v>17.647058823529413</v>
      </c>
      <c r="AI183" s="73">
        <f t="shared" si="218"/>
        <v>18.421052631578945</v>
      </c>
      <c r="AJ183" s="73"/>
      <c r="AK183" s="76">
        <f t="shared" si="219"/>
        <v>23.52941176470588</v>
      </c>
      <c r="AL183" s="76">
        <f t="shared" si="220"/>
        <v>0</v>
      </c>
      <c r="AM183" s="76">
        <f t="shared" si="221"/>
        <v>12.5</v>
      </c>
      <c r="AN183" s="76"/>
      <c r="AO183" s="81">
        <f t="shared" si="222"/>
        <v>14.285714285714285</v>
      </c>
      <c r="AP183" s="81">
        <f t="shared" si="223"/>
        <v>5.5555555555555554</v>
      </c>
      <c r="AQ183" s="81">
        <f t="shared" si="224"/>
        <v>10.256410256410255</v>
      </c>
      <c r="AR183" s="3"/>
      <c r="AS183" s="76">
        <f t="shared" si="174"/>
        <v>13.761467889908257</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ht="15" x14ac:dyDescent="0.25">
      <c r="A184" s="8" t="s">
        <v>20</v>
      </c>
      <c r="B184" s="9" t="s">
        <v>139</v>
      </c>
      <c r="C184" s="7"/>
      <c r="D184" s="7"/>
      <c r="E184" s="7"/>
      <c r="F184" s="71"/>
      <c r="G184" s="51">
        <f t="shared" si="201"/>
        <v>11</v>
      </c>
      <c r="H184" s="52">
        <f t="shared" si="202"/>
        <v>28.947368421052634</v>
      </c>
      <c r="I184" s="53">
        <f>COUNTIFS('00 Encuesta'!$B$2:$B$511,"*b)*",'00 Encuesta'!$C$2:$C$511,"*a)*",'00 Encuesta'!$E$2:$E$511,"*a)*",'00 Encuesta'!$X$2:$X$511,"*c)*")</f>
        <v>4</v>
      </c>
      <c r="J184" s="52">
        <f t="shared" si="203"/>
        <v>19.047619047619047</v>
      </c>
      <c r="K184" s="53">
        <f>COUNTIFS('00 Encuesta'!$B$2:$B$511,"*b)*",'00 Encuesta'!$C$2:$C$511,"*a)*",'00 Encuesta'!$E$2:$E$511,"*b)*",'00 Encuesta'!$X$2:$X$511,"*c)*")</f>
        <v>7</v>
      </c>
      <c r="L184" s="52">
        <f t="shared" si="204"/>
        <v>41.17647058823529</v>
      </c>
      <c r="M184" s="23"/>
      <c r="N184" s="51">
        <f t="shared" si="205"/>
        <v>14</v>
      </c>
      <c r="O184" s="52">
        <f t="shared" si="206"/>
        <v>43.75</v>
      </c>
      <c r="P184" s="53">
        <f>COUNTIFS('00 Encuesta'!$B$2:$B$511,"*b)*",'00 Encuesta'!$C$2:$C$511,"*b)*",'00 Encuesta'!$E$2:$E$511,"*a)*",'00 Encuesta'!$X$2:$X$511,"*c)*")</f>
        <v>10</v>
      </c>
      <c r="Q184" s="52">
        <f t="shared" si="207"/>
        <v>58.82352941176471</v>
      </c>
      <c r="R184" s="53">
        <f>COUNTIFS('00 Encuesta'!$B$2:$B$511,"*b)*",'00 Encuesta'!$C$2:$C$511,"*b)*",'00 Encuesta'!$E$2:$E$511,"*b)*",'00 Encuesta'!$X$2:$X$511,"*c)*")</f>
        <v>4</v>
      </c>
      <c r="S184" s="52">
        <f t="shared" si="208"/>
        <v>26.666666666666668</v>
      </c>
      <c r="T184" s="3"/>
      <c r="U184" s="51">
        <f t="shared" si="209"/>
        <v>16</v>
      </c>
      <c r="V184" s="52">
        <f t="shared" si="210"/>
        <v>41.025641025641022</v>
      </c>
      <c r="W184" s="53">
        <f>COUNTIFS('00 Encuesta'!$B$2:$B$511,"*b)*",'00 Encuesta'!$C$2:$C$511,"*c)*",'00 Encuesta'!$E$2:$E$511,"*a)*",'00 Encuesta'!$X$2:$X$511,"*c)*")</f>
        <v>10</v>
      </c>
      <c r="X184" s="52">
        <f t="shared" si="211"/>
        <v>47.619047619047613</v>
      </c>
      <c r="Y184" s="53">
        <f>COUNTIFS('00 Encuesta'!$B$2:$B$511,"*b)*",'00 Encuesta'!$C$2:$C$511,"*c)*",'00 Encuesta'!$E$2:$E$511,"*b)*",'00 Encuesta'!$X$2:$X$511,"*c)*")</f>
        <v>6</v>
      </c>
      <c r="Z184" s="52">
        <f t="shared" si="212"/>
        <v>33.333333333333329</v>
      </c>
      <c r="AA184" s="3"/>
      <c r="AB184" s="62">
        <f t="shared" si="213"/>
        <v>41</v>
      </c>
      <c r="AC184" s="52">
        <f t="shared" si="214"/>
        <v>37.61467889908257</v>
      </c>
      <c r="AD184" s="3"/>
      <c r="AE184" s="3"/>
      <c r="AF184" s="9" t="str">
        <f t="shared" si="215"/>
        <v>c) Suelo ir los domingos y otras fechas especiales a la iglesia</v>
      </c>
      <c r="AG184" s="72">
        <f t="shared" si="216"/>
        <v>19.047619047619047</v>
      </c>
      <c r="AH184" s="72">
        <f t="shared" si="217"/>
        <v>41.17647058823529</v>
      </c>
      <c r="AI184" s="73">
        <f t="shared" si="218"/>
        <v>28.947368421052634</v>
      </c>
      <c r="AJ184" s="73"/>
      <c r="AK184" s="76">
        <f t="shared" si="219"/>
        <v>58.82352941176471</v>
      </c>
      <c r="AL184" s="76">
        <f t="shared" si="220"/>
        <v>26.666666666666668</v>
      </c>
      <c r="AM184" s="76">
        <f t="shared" si="221"/>
        <v>43.75</v>
      </c>
      <c r="AN184" s="76"/>
      <c r="AO184" s="81">
        <f t="shared" si="222"/>
        <v>47.619047619047613</v>
      </c>
      <c r="AP184" s="81">
        <f t="shared" si="223"/>
        <v>33.333333333333329</v>
      </c>
      <c r="AQ184" s="81">
        <f t="shared" si="224"/>
        <v>41.025641025641022</v>
      </c>
      <c r="AR184" s="3"/>
      <c r="AS184" s="76">
        <f t="shared" si="174"/>
        <v>37.61467889908257</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20</v>
      </c>
      <c r="H185" s="52">
        <f t="shared" si="202"/>
        <v>52.631578947368418</v>
      </c>
      <c r="I185" s="53">
        <f>COUNTIFS('00 Encuesta'!$B$2:$B$511,"*b)*",'00 Encuesta'!$C$2:$C$511,"*a)*",'00 Encuesta'!$E$2:$E$511,"*a)*",'00 Encuesta'!$X$2:$X$511,"*d)*")</f>
        <v>10</v>
      </c>
      <c r="J185" s="52">
        <f t="shared" si="203"/>
        <v>47.619047619047613</v>
      </c>
      <c r="K185" s="53">
        <f>COUNTIFS('00 Encuesta'!$B$2:$B$511,"*b)*",'00 Encuesta'!$C$2:$C$511,"*a)*",'00 Encuesta'!$E$2:$E$511,"*b)*",'00 Encuesta'!$X$2:$X$511,"*d)*")</f>
        <v>10</v>
      </c>
      <c r="L185" s="52">
        <f t="shared" si="204"/>
        <v>58.82352941176471</v>
      </c>
      <c r="M185" s="23"/>
      <c r="N185" s="51">
        <f t="shared" si="205"/>
        <v>15</v>
      </c>
      <c r="O185" s="52">
        <f t="shared" si="206"/>
        <v>46.875</v>
      </c>
      <c r="P185" s="53">
        <f>COUNTIFS('00 Encuesta'!$B$2:$B$511,"*b)*",'00 Encuesta'!$C$2:$C$511,"*b)*",'00 Encuesta'!$E$2:$E$511,"*a)*",'00 Encuesta'!$X$2:$X$511,"*d)*")</f>
        <v>4</v>
      </c>
      <c r="Q185" s="52">
        <f t="shared" si="207"/>
        <v>23.52941176470588</v>
      </c>
      <c r="R185" s="53">
        <f>COUNTIFS('00 Encuesta'!$B$2:$B$511,"*b)*",'00 Encuesta'!$C$2:$C$511,"*b)*",'00 Encuesta'!$E$2:$E$511,"*b)*",'00 Encuesta'!$X$2:$X$511,"*d)*")</f>
        <v>11</v>
      </c>
      <c r="S185" s="52">
        <f t="shared" si="208"/>
        <v>73.333333333333329</v>
      </c>
      <c r="T185" s="3"/>
      <c r="U185" s="51">
        <f t="shared" si="209"/>
        <v>11</v>
      </c>
      <c r="V185" s="52">
        <f t="shared" si="210"/>
        <v>28.205128205128204</v>
      </c>
      <c r="W185" s="53">
        <f>COUNTIFS('00 Encuesta'!$B$2:$B$511,"*b)*",'00 Encuesta'!$C$2:$C$511,"*c)*",'00 Encuesta'!$E$2:$E$511,"*a)*",'00 Encuesta'!$X$2:$X$511,"*d)*")</f>
        <v>4</v>
      </c>
      <c r="X185" s="52">
        <f t="shared" si="211"/>
        <v>19.047619047619047</v>
      </c>
      <c r="Y185" s="53">
        <f>COUNTIFS('00 Encuesta'!$B$2:$B$511,"*b)*",'00 Encuesta'!$C$2:$C$511,"*c)*",'00 Encuesta'!$E$2:$E$511,"*b)*",'00 Encuesta'!$X$2:$X$511,"*d)*")</f>
        <v>7</v>
      </c>
      <c r="Z185" s="52">
        <f t="shared" si="212"/>
        <v>38.888888888888893</v>
      </c>
      <c r="AA185" s="3"/>
      <c r="AB185" s="62">
        <f t="shared" si="213"/>
        <v>46</v>
      </c>
      <c r="AC185" s="52">
        <f t="shared" si="214"/>
        <v>42.201834862385319</v>
      </c>
      <c r="AD185" s="3"/>
      <c r="AE185" s="3"/>
      <c r="AF185" s="9" t="str">
        <f t="shared" si="215"/>
        <v>d) Suelo orar todos los días</v>
      </c>
      <c r="AG185" s="72">
        <f t="shared" si="216"/>
        <v>47.619047619047613</v>
      </c>
      <c r="AH185" s="72">
        <f t="shared" si="217"/>
        <v>58.82352941176471</v>
      </c>
      <c r="AI185" s="73">
        <f t="shared" si="218"/>
        <v>52.631578947368418</v>
      </c>
      <c r="AJ185" s="73"/>
      <c r="AK185" s="76">
        <f t="shared" si="219"/>
        <v>23.52941176470588</v>
      </c>
      <c r="AL185" s="76">
        <f t="shared" si="220"/>
        <v>73.333333333333329</v>
      </c>
      <c r="AM185" s="76">
        <f t="shared" si="221"/>
        <v>46.875</v>
      </c>
      <c r="AN185" s="76"/>
      <c r="AO185" s="81">
        <f t="shared" si="222"/>
        <v>19.047619047619047</v>
      </c>
      <c r="AP185" s="81">
        <f t="shared" si="223"/>
        <v>38.888888888888893</v>
      </c>
      <c r="AQ185" s="81">
        <f t="shared" si="224"/>
        <v>28.205128205128204</v>
      </c>
      <c r="AR185" s="3"/>
      <c r="AS185" s="76">
        <f t="shared" si="174"/>
        <v>42.201834862385319</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ht="15.75" x14ac:dyDescent="0.3">
      <c r="A186" s="1" t="s">
        <v>22</v>
      </c>
      <c r="B186" s="2" t="s">
        <v>141</v>
      </c>
      <c r="C186" s="3"/>
      <c r="D186" s="7"/>
      <c r="E186" s="7"/>
      <c r="F186" s="71"/>
      <c r="G186" s="51">
        <f t="shared" si="201"/>
        <v>17</v>
      </c>
      <c r="H186" s="52">
        <f t="shared" si="202"/>
        <v>44.736842105263158</v>
      </c>
      <c r="I186" s="53">
        <f>COUNTIFS('00 Encuesta'!$B$2:$B$511,"*b)*",'00 Encuesta'!$C$2:$C$511,"*a)*",'00 Encuesta'!$E$2:$E$511,"*a)*",'00 Encuesta'!$X$2:$X$511,"*e)*")</f>
        <v>9</v>
      </c>
      <c r="J186" s="52">
        <f t="shared" si="203"/>
        <v>42.857142857142854</v>
      </c>
      <c r="K186" s="53">
        <f>COUNTIFS('00 Encuesta'!$B$2:$B$511,"*b)*",'00 Encuesta'!$C$2:$C$511,"*a)*",'00 Encuesta'!$E$2:$E$511,"*b)*",'00 Encuesta'!$X$2:$X$511,"*e)*")</f>
        <v>8</v>
      </c>
      <c r="L186" s="52">
        <f t="shared" si="204"/>
        <v>47.058823529411761</v>
      </c>
      <c r="M186" s="23"/>
      <c r="N186" s="51">
        <f t="shared" si="205"/>
        <v>16</v>
      </c>
      <c r="O186" s="52">
        <f t="shared" si="206"/>
        <v>50</v>
      </c>
      <c r="P186" s="53">
        <f>COUNTIFS('00 Encuesta'!$B$2:$B$511,"*b)*",'00 Encuesta'!$C$2:$C$511,"*b)*",'00 Encuesta'!$E$2:$E$511,"*a)*",'00 Encuesta'!$X$2:$X$511,"*e)*")</f>
        <v>12</v>
      </c>
      <c r="Q186" s="52">
        <f t="shared" si="207"/>
        <v>70.588235294117652</v>
      </c>
      <c r="R186" s="53">
        <f>COUNTIFS('00 Encuesta'!$B$2:$B$511,"*b)*",'00 Encuesta'!$C$2:$C$511,"*b)*",'00 Encuesta'!$E$2:$E$511,"*b)*",'00 Encuesta'!$X$2:$X$511,"*e)*")</f>
        <v>4</v>
      </c>
      <c r="S186" s="52">
        <f t="shared" si="208"/>
        <v>26.666666666666668</v>
      </c>
      <c r="T186" s="3"/>
      <c r="U186" s="51">
        <f t="shared" si="209"/>
        <v>17</v>
      </c>
      <c r="V186" s="52">
        <f t="shared" si="210"/>
        <v>43.589743589743591</v>
      </c>
      <c r="W186" s="53">
        <f>COUNTIFS('00 Encuesta'!$B$2:$B$511,"*b)*",'00 Encuesta'!$C$2:$C$511,"*c)*",'00 Encuesta'!$E$2:$E$511,"*a)*",'00 Encuesta'!$X$2:$X$511,"*e)*")</f>
        <v>8</v>
      </c>
      <c r="X186" s="52">
        <f t="shared" si="211"/>
        <v>38.095238095238095</v>
      </c>
      <c r="Y186" s="53">
        <f>COUNTIFS('00 Encuesta'!$B$2:$B$511,"*b)*",'00 Encuesta'!$C$2:$C$511,"*c)*",'00 Encuesta'!$E$2:$E$511,"*b)*",'00 Encuesta'!$X$2:$X$511,"*e)*")</f>
        <v>9</v>
      </c>
      <c r="Z186" s="52">
        <f t="shared" si="212"/>
        <v>50</v>
      </c>
      <c r="AA186" s="3"/>
      <c r="AB186" s="62">
        <f t="shared" si="213"/>
        <v>50</v>
      </c>
      <c r="AC186" s="52">
        <f t="shared" si="214"/>
        <v>45.871559633027523</v>
      </c>
      <c r="AD186" s="7"/>
      <c r="AE186" s="7"/>
      <c r="AF186" s="9" t="str">
        <f t="shared" si="215"/>
        <v>e) Voy a misa en las fechas de mis familiares difuntos</v>
      </c>
      <c r="AG186" s="72">
        <f t="shared" si="216"/>
        <v>42.857142857142854</v>
      </c>
      <c r="AH186" s="72">
        <f t="shared" si="217"/>
        <v>47.058823529411761</v>
      </c>
      <c r="AI186" s="73">
        <f t="shared" si="218"/>
        <v>44.736842105263158</v>
      </c>
      <c r="AJ186" s="73"/>
      <c r="AK186" s="76">
        <f t="shared" si="219"/>
        <v>70.588235294117652</v>
      </c>
      <c r="AL186" s="76">
        <f t="shared" si="220"/>
        <v>26.666666666666668</v>
      </c>
      <c r="AM186" s="76">
        <f t="shared" si="221"/>
        <v>50</v>
      </c>
      <c r="AN186" s="76"/>
      <c r="AO186" s="81">
        <f t="shared" si="222"/>
        <v>38.095238095238095</v>
      </c>
      <c r="AP186" s="81">
        <f t="shared" si="223"/>
        <v>50</v>
      </c>
      <c r="AQ186" s="81">
        <f t="shared" si="224"/>
        <v>43.589743589743591</v>
      </c>
      <c r="AR186" s="3"/>
      <c r="AS186" s="76">
        <f t="shared" si="174"/>
        <v>45.871559633027523</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16</v>
      </c>
      <c r="H187" s="52">
        <f t="shared" si="202"/>
        <v>42.105263157894733</v>
      </c>
      <c r="I187" s="53">
        <f>COUNTIFS('00 Encuesta'!$B$2:$B$511,"*b)*",'00 Encuesta'!$C$2:$C$511,"*a)*",'00 Encuesta'!$E$2:$E$511,"*a)*",'00 Encuesta'!$X$2:$X$511,"*f)*")</f>
        <v>8</v>
      </c>
      <c r="J187" s="52">
        <f t="shared" si="203"/>
        <v>38.095238095238095</v>
      </c>
      <c r="K187" s="53">
        <f>COUNTIFS('00 Encuesta'!$B$2:$B$511,"*b)*",'00 Encuesta'!$C$2:$C$511,"*a)*",'00 Encuesta'!$E$2:$E$511,"*b)*",'00 Encuesta'!$X$2:$X$511,"*f)*")</f>
        <v>8</v>
      </c>
      <c r="L187" s="52">
        <f t="shared" si="204"/>
        <v>47.058823529411761</v>
      </c>
      <c r="M187" s="23"/>
      <c r="N187" s="51">
        <f t="shared" si="205"/>
        <v>11</v>
      </c>
      <c r="O187" s="52">
        <f t="shared" si="206"/>
        <v>34.375</v>
      </c>
      <c r="P187" s="53">
        <f>COUNTIFS('00 Encuesta'!$B$2:$B$511,"*b)*",'00 Encuesta'!$C$2:$C$511,"*b)*",'00 Encuesta'!$E$2:$E$511,"*a)*",'00 Encuesta'!$X$2:$X$511,"*f)*")</f>
        <v>6</v>
      </c>
      <c r="Q187" s="52">
        <f t="shared" si="207"/>
        <v>35.294117647058826</v>
      </c>
      <c r="R187" s="53">
        <f>COUNTIFS('00 Encuesta'!$B$2:$B$511,"*b)*",'00 Encuesta'!$C$2:$C$511,"*b)*",'00 Encuesta'!$E$2:$E$511,"*b)*",'00 Encuesta'!$X$2:$X$511,"*f)*")</f>
        <v>5</v>
      </c>
      <c r="S187" s="52">
        <f t="shared" si="208"/>
        <v>33.333333333333329</v>
      </c>
      <c r="T187" s="3"/>
      <c r="U187" s="51">
        <f t="shared" si="209"/>
        <v>29</v>
      </c>
      <c r="V187" s="52">
        <f t="shared" si="210"/>
        <v>74.358974358974365</v>
      </c>
      <c r="W187" s="53">
        <f>COUNTIFS('00 Encuesta'!$B$2:$B$511,"*b)*",'00 Encuesta'!$C$2:$C$511,"*c)*",'00 Encuesta'!$E$2:$E$511,"*a)*",'00 Encuesta'!$X$2:$X$511,"*f)*")</f>
        <v>17</v>
      </c>
      <c r="X187" s="52">
        <f t="shared" si="211"/>
        <v>80.952380952380949</v>
      </c>
      <c r="Y187" s="53">
        <f>COUNTIFS('00 Encuesta'!$B$2:$B$511,"*b)*",'00 Encuesta'!$C$2:$C$511,"*c)*",'00 Encuesta'!$E$2:$E$511,"*b)*",'00 Encuesta'!$X$2:$X$511,"*f)*")</f>
        <v>12</v>
      </c>
      <c r="Z187" s="52">
        <f t="shared" si="212"/>
        <v>66.666666666666657</v>
      </c>
      <c r="AA187" s="3"/>
      <c r="AB187" s="62">
        <f t="shared" si="213"/>
        <v>56</v>
      </c>
      <c r="AC187" s="52">
        <f t="shared" si="214"/>
        <v>51.376146788990823</v>
      </c>
      <c r="AD187" s="7"/>
      <c r="AE187" s="7"/>
      <c r="AF187" s="9" t="str">
        <f t="shared" si="215"/>
        <v>f) En alguna ocasión he rezado el rosario</v>
      </c>
      <c r="AG187" s="72">
        <f t="shared" si="216"/>
        <v>38.095238095238095</v>
      </c>
      <c r="AH187" s="72">
        <f t="shared" si="217"/>
        <v>47.058823529411761</v>
      </c>
      <c r="AI187" s="73">
        <f t="shared" si="218"/>
        <v>42.105263157894733</v>
      </c>
      <c r="AJ187" s="73"/>
      <c r="AK187" s="76">
        <f t="shared" si="219"/>
        <v>35.294117647058826</v>
      </c>
      <c r="AL187" s="76">
        <f t="shared" si="220"/>
        <v>33.333333333333329</v>
      </c>
      <c r="AM187" s="76">
        <f t="shared" si="221"/>
        <v>34.375</v>
      </c>
      <c r="AN187" s="76"/>
      <c r="AO187" s="81">
        <f t="shared" si="222"/>
        <v>80.952380952380949</v>
      </c>
      <c r="AP187" s="81">
        <f t="shared" si="223"/>
        <v>66.666666666666657</v>
      </c>
      <c r="AQ187" s="81">
        <f t="shared" si="224"/>
        <v>74.358974358974365</v>
      </c>
      <c r="AR187" s="7"/>
      <c r="AS187" s="76">
        <f t="shared" si="174"/>
        <v>51.376146788990823</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6</v>
      </c>
      <c r="H188" s="52">
        <f t="shared" si="202"/>
        <v>15.789473684210526</v>
      </c>
      <c r="I188" s="53">
        <f>COUNTIFS('00 Encuesta'!$B$2:$B$511,"*b)*",'00 Encuesta'!$C$2:$C$511,"*a)*",'00 Encuesta'!$E$2:$E$511,"*a)*",'00 Encuesta'!$X$2:$X$511,"*g)*")</f>
        <v>3</v>
      </c>
      <c r="J188" s="52">
        <f t="shared" si="203"/>
        <v>14.285714285714285</v>
      </c>
      <c r="K188" s="53">
        <f>COUNTIFS('00 Encuesta'!$B$2:$B$511,"*b)*",'00 Encuesta'!$C$2:$C$511,"*a)*",'00 Encuesta'!$E$2:$E$511,"*b)*",'00 Encuesta'!$X$2:$X$511,"*g)*")</f>
        <v>3</v>
      </c>
      <c r="L188" s="52">
        <f t="shared" si="204"/>
        <v>17.647058823529413</v>
      </c>
      <c r="M188" s="23"/>
      <c r="N188" s="51">
        <f t="shared" si="205"/>
        <v>9</v>
      </c>
      <c r="O188" s="52">
        <f t="shared" si="206"/>
        <v>28.125</v>
      </c>
      <c r="P188" s="53">
        <f>COUNTIFS('00 Encuesta'!$B$2:$B$511,"*b)*",'00 Encuesta'!$C$2:$C$511,"*b)*",'00 Encuesta'!$E$2:$E$511,"*a)*",'00 Encuesta'!$X$2:$X$511,"*g)*")</f>
        <v>6</v>
      </c>
      <c r="Q188" s="52">
        <f t="shared" si="207"/>
        <v>35.294117647058826</v>
      </c>
      <c r="R188" s="53">
        <f>COUNTIFS('00 Encuesta'!$B$2:$B$511,"*b)*",'00 Encuesta'!$C$2:$C$511,"*b)*",'00 Encuesta'!$E$2:$E$511,"*b)*",'00 Encuesta'!$X$2:$X$511,"*g)*")</f>
        <v>3</v>
      </c>
      <c r="S188" s="52">
        <f t="shared" si="208"/>
        <v>20</v>
      </c>
      <c r="T188" s="3"/>
      <c r="U188" s="51">
        <f t="shared" si="209"/>
        <v>9</v>
      </c>
      <c r="V188" s="52">
        <f t="shared" si="210"/>
        <v>23.076923076923077</v>
      </c>
      <c r="W188" s="53">
        <f>COUNTIFS('00 Encuesta'!$B$2:$B$511,"*b)*",'00 Encuesta'!$C$2:$C$511,"*c)*",'00 Encuesta'!$E$2:$E$511,"*a)*",'00 Encuesta'!$X$2:$X$511,"*g)*")</f>
        <v>5</v>
      </c>
      <c r="X188" s="52">
        <f t="shared" si="211"/>
        <v>23.809523809523807</v>
      </c>
      <c r="Y188" s="53">
        <f>COUNTIFS('00 Encuesta'!$B$2:$B$511,"*b)*",'00 Encuesta'!$C$2:$C$511,"*c)*",'00 Encuesta'!$E$2:$E$511,"*b)*",'00 Encuesta'!$X$2:$X$511,"*g)*")</f>
        <v>4</v>
      </c>
      <c r="Z188" s="52">
        <f t="shared" si="212"/>
        <v>22.222222222222221</v>
      </c>
      <c r="AA188" s="3"/>
      <c r="AB188" s="62">
        <f t="shared" si="213"/>
        <v>24</v>
      </c>
      <c r="AC188" s="52">
        <f t="shared" si="214"/>
        <v>22.01834862385321</v>
      </c>
      <c r="AD188" s="7"/>
      <c r="AE188" s="7"/>
      <c r="AF188" s="9" t="str">
        <f t="shared" si="215"/>
        <v>g) En ocasiones, en mi casa tenemos una oración familiar</v>
      </c>
      <c r="AG188" s="72">
        <f t="shared" si="216"/>
        <v>14.285714285714285</v>
      </c>
      <c r="AH188" s="72">
        <f t="shared" si="217"/>
        <v>17.647058823529413</v>
      </c>
      <c r="AI188" s="73">
        <f t="shared" si="218"/>
        <v>15.789473684210526</v>
      </c>
      <c r="AJ188" s="73"/>
      <c r="AK188" s="76">
        <f t="shared" si="219"/>
        <v>35.294117647058826</v>
      </c>
      <c r="AL188" s="76">
        <f t="shared" si="220"/>
        <v>20</v>
      </c>
      <c r="AM188" s="76">
        <f t="shared" si="221"/>
        <v>28.125</v>
      </c>
      <c r="AN188" s="76"/>
      <c r="AO188" s="81">
        <f t="shared" si="222"/>
        <v>23.809523809523807</v>
      </c>
      <c r="AP188" s="81">
        <f t="shared" si="223"/>
        <v>22.222222222222221</v>
      </c>
      <c r="AQ188" s="81">
        <f t="shared" si="224"/>
        <v>23.076923076923077</v>
      </c>
      <c r="AR188" s="7"/>
      <c r="AS188" s="76">
        <f t="shared" si="174"/>
        <v>22.01834862385321</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ht="15" x14ac:dyDescent="0.25">
      <c r="A189" s="8" t="s">
        <v>63</v>
      </c>
      <c r="B189" s="9" t="s">
        <v>144</v>
      </c>
      <c r="C189" s="7"/>
      <c r="D189" s="7"/>
      <c r="E189" s="7"/>
      <c r="F189" s="71"/>
      <c r="G189" s="51">
        <f t="shared" si="201"/>
        <v>11</v>
      </c>
      <c r="H189" s="52">
        <f t="shared" si="202"/>
        <v>28.947368421052634</v>
      </c>
      <c r="I189" s="53">
        <f>COUNTIFS('00 Encuesta'!$B$2:$B$511,"*b)*",'00 Encuesta'!$C$2:$C$511,"*a)*",'00 Encuesta'!$E$2:$E$511,"*a)*",'00 Encuesta'!$X$2:$X$511,"*h)*")</f>
        <v>5</v>
      </c>
      <c r="J189" s="52">
        <f t="shared" si="203"/>
        <v>23.809523809523807</v>
      </c>
      <c r="K189" s="53">
        <f>COUNTIFS('00 Encuesta'!$B$2:$B$511,"*b)*",'00 Encuesta'!$C$2:$C$511,"*a)*",'00 Encuesta'!$E$2:$E$511,"*b)*",'00 Encuesta'!$X$2:$X$511,"*h)*")</f>
        <v>6</v>
      </c>
      <c r="L189" s="52">
        <f t="shared" si="204"/>
        <v>35.294117647058826</v>
      </c>
      <c r="M189" s="23"/>
      <c r="N189" s="51">
        <f t="shared" si="205"/>
        <v>8</v>
      </c>
      <c r="O189" s="52">
        <f t="shared" si="206"/>
        <v>25</v>
      </c>
      <c r="P189" s="53">
        <f>COUNTIFS('00 Encuesta'!$B$2:$B$511,"*b)*",'00 Encuesta'!$C$2:$C$511,"*b)*",'00 Encuesta'!$E$2:$E$511,"*a)*",'00 Encuesta'!$X$2:$X$511,"*h)*")</f>
        <v>4</v>
      </c>
      <c r="Q189" s="52">
        <f t="shared" si="207"/>
        <v>23.52941176470588</v>
      </c>
      <c r="R189" s="53">
        <f>COUNTIFS('00 Encuesta'!$B$2:$B$511,"*b)*",'00 Encuesta'!$C$2:$C$511,"*b)*",'00 Encuesta'!$E$2:$E$511,"*b)*",'00 Encuesta'!$X$2:$X$511,"*h)*")</f>
        <v>4</v>
      </c>
      <c r="S189" s="52">
        <f t="shared" si="208"/>
        <v>26.666666666666668</v>
      </c>
      <c r="T189" s="3"/>
      <c r="U189" s="51">
        <f t="shared" si="209"/>
        <v>12</v>
      </c>
      <c r="V189" s="52">
        <f t="shared" si="210"/>
        <v>30.76923076923077</v>
      </c>
      <c r="W189" s="53">
        <f>COUNTIFS('00 Encuesta'!$B$2:$B$511,"*b)*",'00 Encuesta'!$C$2:$C$511,"*c)*",'00 Encuesta'!$E$2:$E$511,"*a)*",'00 Encuesta'!$X$2:$X$511,"*h)*")</f>
        <v>5</v>
      </c>
      <c r="X189" s="52">
        <f t="shared" si="211"/>
        <v>23.809523809523807</v>
      </c>
      <c r="Y189" s="53">
        <f>COUNTIFS('00 Encuesta'!$B$2:$B$511,"*b)*",'00 Encuesta'!$C$2:$C$511,"*c)*",'00 Encuesta'!$E$2:$E$511,"*b)*",'00 Encuesta'!$X$2:$X$511,"*h)*")</f>
        <v>7</v>
      </c>
      <c r="Z189" s="52">
        <f t="shared" si="212"/>
        <v>38.888888888888893</v>
      </c>
      <c r="AA189" s="3"/>
      <c r="AB189" s="62">
        <f t="shared" si="213"/>
        <v>31</v>
      </c>
      <c r="AC189" s="52">
        <f t="shared" si="214"/>
        <v>28.440366972477065</v>
      </c>
      <c r="AD189" s="7"/>
      <c r="AE189" s="7"/>
      <c r="AF189" s="9" t="str">
        <f t="shared" si="215"/>
        <v>h) En Semana Santa asisto a las procesiones</v>
      </c>
      <c r="AG189" s="72">
        <f t="shared" si="216"/>
        <v>23.809523809523807</v>
      </c>
      <c r="AH189" s="72">
        <f t="shared" si="217"/>
        <v>35.294117647058826</v>
      </c>
      <c r="AI189" s="73">
        <f t="shared" si="218"/>
        <v>28.947368421052634</v>
      </c>
      <c r="AJ189" s="73"/>
      <c r="AK189" s="76">
        <f t="shared" si="219"/>
        <v>23.52941176470588</v>
      </c>
      <c r="AL189" s="76">
        <f t="shared" si="220"/>
        <v>26.666666666666668</v>
      </c>
      <c r="AM189" s="76">
        <f t="shared" si="221"/>
        <v>25</v>
      </c>
      <c r="AN189" s="76"/>
      <c r="AO189" s="81">
        <f t="shared" si="222"/>
        <v>23.809523809523807</v>
      </c>
      <c r="AP189" s="81">
        <f t="shared" si="223"/>
        <v>38.888888888888893</v>
      </c>
      <c r="AQ189" s="81">
        <f t="shared" si="224"/>
        <v>30.76923076923077</v>
      </c>
      <c r="AR189" s="7"/>
      <c r="AS189" s="76">
        <f t="shared" si="174"/>
        <v>28.440366972477065</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ht="15" x14ac:dyDescent="0.25">
      <c r="A190" s="8" t="s">
        <v>65</v>
      </c>
      <c r="B190" s="9" t="s">
        <v>145</v>
      </c>
      <c r="C190" s="7"/>
      <c r="D190" s="7"/>
      <c r="E190" s="7"/>
      <c r="F190" s="71"/>
      <c r="G190" s="51">
        <f t="shared" si="201"/>
        <v>17</v>
      </c>
      <c r="H190" s="52">
        <f t="shared" si="202"/>
        <v>44.736842105263158</v>
      </c>
      <c r="I190" s="53">
        <f>COUNTIFS('00 Encuesta'!$B$2:$B$511,"*b)*",'00 Encuesta'!$C$2:$C$511,"*a)*",'00 Encuesta'!$E$2:$E$511,"*a)*",'00 Encuesta'!$X$2:$X$511,"*i)*")</f>
        <v>6</v>
      </c>
      <c r="J190" s="52">
        <f t="shared" si="203"/>
        <v>28.571428571428569</v>
      </c>
      <c r="K190" s="53">
        <f>COUNTIFS('00 Encuesta'!$B$2:$B$511,"*b)*",'00 Encuesta'!$C$2:$C$511,"*a)*",'00 Encuesta'!$E$2:$E$511,"*b)*",'00 Encuesta'!$X$2:$X$511,"*i)*")</f>
        <v>11</v>
      </c>
      <c r="L190" s="52">
        <f t="shared" si="204"/>
        <v>64.705882352941174</v>
      </c>
      <c r="M190" s="23"/>
      <c r="N190" s="51">
        <f t="shared" si="205"/>
        <v>21</v>
      </c>
      <c r="O190" s="52">
        <f t="shared" si="206"/>
        <v>65.625</v>
      </c>
      <c r="P190" s="53">
        <f>COUNTIFS('00 Encuesta'!$B$2:$B$511,"*b)*",'00 Encuesta'!$C$2:$C$511,"*b)*",'00 Encuesta'!$E$2:$E$511,"*a)*",'00 Encuesta'!$X$2:$X$511,"*i)*")</f>
        <v>10</v>
      </c>
      <c r="Q190" s="52">
        <f t="shared" si="207"/>
        <v>58.82352941176471</v>
      </c>
      <c r="R190" s="53">
        <f>COUNTIFS('00 Encuesta'!$B$2:$B$511,"*b)*",'00 Encuesta'!$C$2:$C$511,"*b)*",'00 Encuesta'!$E$2:$E$511,"*b)*",'00 Encuesta'!$X$2:$X$511,"*i)*")</f>
        <v>11</v>
      </c>
      <c r="S190" s="52">
        <f t="shared" si="208"/>
        <v>73.333333333333329</v>
      </c>
      <c r="T190" s="3"/>
      <c r="U190" s="51">
        <f t="shared" si="209"/>
        <v>26</v>
      </c>
      <c r="V190" s="52">
        <f t="shared" si="210"/>
        <v>66.666666666666657</v>
      </c>
      <c r="W190" s="53">
        <f>COUNTIFS('00 Encuesta'!$B$2:$B$511,"*b)*",'00 Encuesta'!$C$2:$C$511,"*c)*",'00 Encuesta'!$E$2:$E$511,"*a)*",'00 Encuesta'!$X$2:$X$511,"*i)*")</f>
        <v>12</v>
      </c>
      <c r="X190" s="52">
        <f t="shared" si="211"/>
        <v>57.142857142857139</v>
      </c>
      <c r="Y190" s="53">
        <f>COUNTIFS('00 Encuesta'!$B$2:$B$511,"*b)*",'00 Encuesta'!$C$2:$C$511,"*c)*",'00 Encuesta'!$E$2:$E$511,"*b)*",'00 Encuesta'!$X$2:$X$511,"*i)*")</f>
        <v>14</v>
      </c>
      <c r="Z190" s="52">
        <f t="shared" si="212"/>
        <v>77.777777777777786</v>
      </c>
      <c r="AA190" s="3"/>
      <c r="AB190" s="62">
        <f t="shared" si="213"/>
        <v>64</v>
      </c>
      <c r="AC190" s="52">
        <f t="shared" si="214"/>
        <v>58.715596330275233</v>
      </c>
      <c r="AD190" s="7"/>
      <c r="AE190" s="7"/>
      <c r="AF190" s="9" t="str">
        <f t="shared" si="215"/>
        <v>i) Tengo en mi cuarto alguna imagen religiosa</v>
      </c>
      <c r="AG190" s="72">
        <f t="shared" si="216"/>
        <v>28.571428571428569</v>
      </c>
      <c r="AH190" s="72">
        <f t="shared" si="217"/>
        <v>64.705882352941174</v>
      </c>
      <c r="AI190" s="73">
        <f t="shared" si="218"/>
        <v>44.736842105263158</v>
      </c>
      <c r="AJ190" s="73"/>
      <c r="AK190" s="76">
        <f t="shared" si="219"/>
        <v>58.82352941176471</v>
      </c>
      <c r="AL190" s="76">
        <f t="shared" si="220"/>
        <v>73.333333333333329</v>
      </c>
      <c r="AM190" s="76">
        <f t="shared" si="221"/>
        <v>65.625</v>
      </c>
      <c r="AN190" s="76"/>
      <c r="AO190" s="81">
        <f t="shared" si="222"/>
        <v>57.142857142857139</v>
      </c>
      <c r="AP190" s="81">
        <f t="shared" si="223"/>
        <v>77.777777777777786</v>
      </c>
      <c r="AQ190" s="81">
        <f t="shared" si="224"/>
        <v>66.666666666666657</v>
      </c>
      <c r="AR190" s="7"/>
      <c r="AS190" s="76">
        <f t="shared" si="174"/>
        <v>58.715596330275233</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ht="15" x14ac:dyDescent="0.25">
      <c r="A191" s="8" t="s">
        <v>23</v>
      </c>
      <c r="B191" s="9" t="s">
        <v>24</v>
      </c>
      <c r="C191" s="7"/>
      <c r="D191" s="7"/>
      <c r="E191" s="7"/>
      <c r="F191" s="71"/>
      <c r="G191" s="51">
        <f t="shared" si="201"/>
        <v>0</v>
      </c>
      <c r="H191" s="52">
        <f t="shared" si="202"/>
        <v>0</v>
      </c>
      <c r="I191" s="53"/>
      <c r="J191" s="52">
        <f t="shared" si="203"/>
        <v>0</v>
      </c>
      <c r="K191" s="53"/>
      <c r="L191" s="52">
        <f t="shared" si="204"/>
        <v>0</v>
      </c>
      <c r="M191" s="23"/>
      <c r="N191" s="51">
        <f t="shared" si="205"/>
        <v>0</v>
      </c>
      <c r="O191" s="52">
        <f t="shared" si="206"/>
        <v>0</v>
      </c>
      <c r="P191" s="53"/>
      <c r="Q191" s="52">
        <f t="shared" si="207"/>
        <v>0</v>
      </c>
      <c r="R191" s="53"/>
      <c r="S191" s="52">
        <f t="shared" si="208"/>
        <v>0</v>
      </c>
      <c r="T191" s="3"/>
      <c r="U191" s="51">
        <f t="shared" si="209"/>
        <v>0</v>
      </c>
      <c r="V191" s="52">
        <f t="shared" si="210"/>
        <v>0</v>
      </c>
      <c r="W191" s="53"/>
      <c r="X191" s="52">
        <f t="shared" si="211"/>
        <v>0</v>
      </c>
      <c r="Y191" s="53"/>
      <c r="Z191" s="52">
        <f t="shared" si="212"/>
        <v>0</v>
      </c>
      <c r="AA191" s="3"/>
      <c r="AB191" s="62">
        <f t="shared" si="213"/>
        <v>0</v>
      </c>
      <c r="AC191" s="52">
        <f t="shared" si="214"/>
        <v>0</v>
      </c>
      <c r="AD191" s="7"/>
      <c r="AE191" s="7"/>
      <c r="AF191" s="9" t="str">
        <f t="shared" si="215"/>
        <v>S/R Sin Respuesta</v>
      </c>
      <c r="AG191" s="72">
        <f t="shared" si="216"/>
        <v>0</v>
      </c>
      <c r="AH191" s="72">
        <f t="shared" si="217"/>
        <v>0</v>
      </c>
      <c r="AI191" s="73">
        <f t="shared" si="218"/>
        <v>0</v>
      </c>
      <c r="AJ191" s="73"/>
      <c r="AK191" s="76">
        <f t="shared" si="219"/>
        <v>0</v>
      </c>
      <c r="AL191" s="76">
        <f t="shared" si="220"/>
        <v>0</v>
      </c>
      <c r="AM191" s="76">
        <f t="shared" si="221"/>
        <v>0</v>
      </c>
      <c r="AN191" s="76"/>
      <c r="AO191" s="81">
        <f t="shared" si="222"/>
        <v>0</v>
      </c>
      <c r="AP191" s="81">
        <f t="shared" si="223"/>
        <v>0</v>
      </c>
      <c r="AQ191" s="81">
        <f t="shared" si="224"/>
        <v>0</v>
      </c>
      <c r="AR191" s="7"/>
      <c r="AS191" s="76">
        <f t="shared" si="174"/>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ht="15" x14ac:dyDescent="0.25">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ht="15" x14ac:dyDescent="0.25">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ht="15" x14ac:dyDescent="0.25">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ht="15" x14ac:dyDescent="0.25">
      <c r="A195" s="8" t="s">
        <v>17</v>
      </c>
      <c r="B195" s="9" t="s">
        <v>147</v>
      </c>
      <c r="C195" s="7"/>
      <c r="D195" s="7"/>
      <c r="E195" s="7"/>
      <c r="F195" s="71"/>
      <c r="G195" s="51">
        <f>I195+K195</f>
        <v>24</v>
      </c>
      <c r="H195" s="52">
        <f>G195/$J$5*100</f>
        <v>63.157894736842103</v>
      </c>
      <c r="I195" s="53">
        <f>COUNTIFS('00 Encuesta'!$B$2:$B$511,"*b)*",'00 Encuesta'!$C$2:$C$511,"*a)*",'00 Encuesta'!$E$2:$E$511,"*a)*",'00 Encuesta'!$Y$2:$Y$511,"*a)*")</f>
        <v>12</v>
      </c>
      <c r="J195" s="52">
        <f>I195/$J$6*100</f>
        <v>57.142857142857139</v>
      </c>
      <c r="K195" s="53">
        <f>COUNTIFS('00 Encuesta'!$B$2:$B$511,"*b)*",'00 Encuesta'!$C$2:$C$511,"*a)*",'00 Encuesta'!$E$2:$E$511,"*b)*",'00 Encuesta'!$Y$2:$Y$511,"*a)*")</f>
        <v>12</v>
      </c>
      <c r="L195" s="52">
        <f>K195/$J$7*100</f>
        <v>70.588235294117652</v>
      </c>
      <c r="M195" s="23"/>
      <c r="N195" s="51">
        <f>P195+R195</f>
        <v>17</v>
      </c>
      <c r="O195" s="52">
        <f>N195/$Q$5*100</f>
        <v>53.125</v>
      </c>
      <c r="P195" s="53">
        <f>COUNTIFS('00 Encuesta'!$B$2:$B$511,"*b)*",'00 Encuesta'!$C$2:$C$511,"*b)*",'00 Encuesta'!$E$2:$E$511,"*a)*",'00 Encuesta'!$Y$2:$Y$511,"*a)*")</f>
        <v>13</v>
      </c>
      <c r="Q195" s="52">
        <f>P195/$Q$6*100</f>
        <v>76.470588235294116</v>
      </c>
      <c r="R195" s="53">
        <f>COUNTIFS('00 Encuesta'!$B$2:$B$511,"*b)*",'00 Encuesta'!$C$2:$C$511,"*b)*",'00 Encuesta'!$E$2:$E$511,"*b)*",'00 Encuesta'!$Y$2:$Y$511,"*a)*")</f>
        <v>4</v>
      </c>
      <c r="S195" s="52">
        <f>R195/$Q$7*100</f>
        <v>26.666666666666668</v>
      </c>
      <c r="T195" s="3"/>
      <c r="U195" s="51">
        <f>W195+Y195</f>
        <v>15</v>
      </c>
      <c r="V195" s="52">
        <f>U195/$X$5*100</f>
        <v>38.461538461538467</v>
      </c>
      <c r="W195" s="53">
        <f>COUNTIFS('00 Encuesta'!$B$2:$B$511,"*b)*",'00 Encuesta'!$C$2:$C$511,"*c)*",'00 Encuesta'!$E$2:$E$511,"*a)*",'00 Encuesta'!$Y$2:$Y$511,"*a)*")</f>
        <v>11</v>
      </c>
      <c r="X195" s="52">
        <f>W195/$X$6*100</f>
        <v>52.380952380952387</v>
      </c>
      <c r="Y195" s="53">
        <f>COUNTIFS('00 Encuesta'!$B$2:$B$511,"*b)*",'00 Encuesta'!$C$2:$C$511,"*c)*",'00 Encuesta'!$E$2:$E$511,"*b)*",'00 Encuesta'!$Y$2:$Y$511,"*a)*")</f>
        <v>4</v>
      </c>
      <c r="Z195" s="52">
        <f>Y195/$X$7*100</f>
        <v>22.222222222222221</v>
      </c>
      <c r="AA195" s="3"/>
      <c r="AB195" s="62">
        <f>G195+N195+U195</f>
        <v>56</v>
      </c>
      <c r="AC195" s="52">
        <f>AB195*100/$AC$5</f>
        <v>51.376146788990823</v>
      </c>
      <c r="AD195" s="3"/>
      <c r="AE195" s="3"/>
      <c r="AF195" s="9" t="str">
        <f t="shared" si="225"/>
        <v>a) Deportivo</v>
      </c>
      <c r="AG195" s="72">
        <f>J195</f>
        <v>57.142857142857139</v>
      </c>
      <c r="AH195" s="72">
        <f>L195</f>
        <v>70.588235294117652</v>
      </c>
      <c r="AI195" s="73">
        <f>H195</f>
        <v>63.157894736842103</v>
      </c>
      <c r="AJ195" s="73"/>
      <c r="AK195" s="76">
        <f>Q195</f>
        <v>76.470588235294116</v>
      </c>
      <c r="AL195" s="76">
        <f>S195</f>
        <v>26.666666666666668</v>
      </c>
      <c r="AM195" s="76">
        <f>O195</f>
        <v>53.125</v>
      </c>
      <c r="AN195" s="76"/>
      <c r="AO195" s="81">
        <f>X195</f>
        <v>52.380952380952387</v>
      </c>
      <c r="AP195" s="81">
        <f>Z195</f>
        <v>22.222222222222221</v>
      </c>
      <c r="AQ195" s="81">
        <f>V195</f>
        <v>38.461538461538467</v>
      </c>
      <c r="AR195" s="3"/>
      <c r="AS195" s="76">
        <f t="shared" si="174"/>
        <v>51.376146788990823</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5</v>
      </c>
      <c r="H196" s="52">
        <f>G196/$J$5*100</f>
        <v>13.157894736842104</v>
      </c>
      <c r="I196" s="53">
        <f>COUNTIFS('00 Encuesta'!$B$2:$B$511,"*b)*",'00 Encuesta'!$C$2:$C$511,"*a)*",'00 Encuesta'!$E$2:$E$511,"*a)*",'00 Encuesta'!$Y$2:$Y$511,"*b)*")</f>
        <v>2</v>
      </c>
      <c r="J196" s="52">
        <f>I196/$J$6*100</f>
        <v>9.5238095238095237</v>
      </c>
      <c r="K196" s="53">
        <f>COUNTIFS('00 Encuesta'!$B$2:$B$511,"*b)*",'00 Encuesta'!$C$2:$C$511,"*a)*",'00 Encuesta'!$E$2:$E$511,"*b)*",'00 Encuesta'!$Y$2:$Y$511,"*b)*")</f>
        <v>3</v>
      </c>
      <c r="L196" s="52">
        <f>K196/$J$7*100</f>
        <v>17.647058823529413</v>
      </c>
      <c r="M196" s="23"/>
      <c r="N196" s="51">
        <f>P196+R196</f>
        <v>5</v>
      </c>
      <c r="O196" s="52">
        <f>N196/$Q$5*100</f>
        <v>15.625</v>
      </c>
      <c r="P196" s="53">
        <f>COUNTIFS('00 Encuesta'!$B$2:$B$511,"*b)*",'00 Encuesta'!$C$2:$C$511,"*b)*",'00 Encuesta'!$E$2:$E$511,"*a)*",'00 Encuesta'!$Y$2:$Y$511,"*b)*")</f>
        <v>2</v>
      </c>
      <c r="Q196" s="52">
        <f>P196/$Q$6*100</f>
        <v>11.76470588235294</v>
      </c>
      <c r="R196" s="53">
        <f>COUNTIFS('00 Encuesta'!$B$2:$B$511,"*b)*",'00 Encuesta'!$C$2:$C$511,"*b)*",'00 Encuesta'!$E$2:$E$511,"*b)*",'00 Encuesta'!$Y$2:$Y$511,"*b)*")</f>
        <v>3</v>
      </c>
      <c r="S196" s="52">
        <f>R196/$Q$7*100</f>
        <v>20</v>
      </c>
      <c r="T196" s="3"/>
      <c r="U196" s="51">
        <f>W196+Y196</f>
        <v>6</v>
      </c>
      <c r="V196" s="52">
        <f>U196/$X$5*100</f>
        <v>15.384615384615385</v>
      </c>
      <c r="W196" s="53">
        <f>COUNTIFS('00 Encuesta'!$B$2:$B$511,"*b)*",'00 Encuesta'!$C$2:$C$511,"*c)*",'00 Encuesta'!$E$2:$E$511,"*a)*",'00 Encuesta'!$Y$2:$Y$511,"*b)*")</f>
        <v>3</v>
      </c>
      <c r="X196" s="52">
        <f>W196/$X$6*100</f>
        <v>14.285714285714285</v>
      </c>
      <c r="Y196" s="53">
        <f>COUNTIFS('00 Encuesta'!$B$2:$B$511,"*b)*",'00 Encuesta'!$C$2:$C$511,"*c)*",'00 Encuesta'!$E$2:$E$511,"*b)*",'00 Encuesta'!$Y$2:$Y$511,"*b)*")</f>
        <v>3</v>
      </c>
      <c r="Z196" s="52">
        <f>Y196/$X$7*100</f>
        <v>16.666666666666664</v>
      </c>
      <c r="AA196" s="3"/>
      <c r="AB196" s="62">
        <f>G196+N196+U196</f>
        <v>16</v>
      </c>
      <c r="AC196" s="52">
        <f>AB196*100/$AC$5</f>
        <v>14.678899082568808</v>
      </c>
      <c r="AD196" s="3"/>
      <c r="AE196" s="3"/>
      <c r="AF196" s="9" t="str">
        <f t="shared" si="225"/>
        <v>b) Cultural (folklórico, musicales, danzas, scout, banda marcial...)</v>
      </c>
      <c r="AG196" s="72">
        <f>J196</f>
        <v>9.5238095238095237</v>
      </c>
      <c r="AH196" s="72">
        <f>L196</f>
        <v>17.647058823529413</v>
      </c>
      <c r="AI196" s="73">
        <f>H196</f>
        <v>13.157894736842104</v>
      </c>
      <c r="AJ196" s="73"/>
      <c r="AK196" s="76">
        <f>Q196</f>
        <v>11.76470588235294</v>
      </c>
      <c r="AL196" s="76">
        <f>S196</f>
        <v>20</v>
      </c>
      <c r="AM196" s="76">
        <f>O196</f>
        <v>15.625</v>
      </c>
      <c r="AN196" s="76"/>
      <c r="AO196" s="81">
        <f>X196</f>
        <v>14.285714285714285</v>
      </c>
      <c r="AP196" s="81">
        <f>Z196</f>
        <v>16.666666666666664</v>
      </c>
      <c r="AQ196" s="81">
        <f>V196</f>
        <v>15.384615384615385</v>
      </c>
      <c r="AR196" s="3"/>
      <c r="AS196" s="76">
        <f t="shared" si="174"/>
        <v>14.678899082568808</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ht="15" x14ac:dyDescent="0.25">
      <c r="A197" s="8" t="s">
        <v>20</v>
      </c>
      <c r="B197" s="9" t="s">
        <v>149</v>
      </c>
      <c r="C197" s="7"/>
      <c r="D197" s="7"/>
      <c r="E197" s="7"/>
      <c r="F197" s="71"/>
      <c r="G197" s="51">
        <f>I197+K197</f>
        <v>3</v>
      </c>
      <c r="H197" s="52">
        <f>G197/$J$5*100</f>
        <v>7.8947368421052628</v>
      </c>
      <c r="I197" s="53">
        <f>COUNTIFS('00 Encuesta'!$B$2:$B$511,"*b)*",'00 Encuesta'!$C$2:$C$511,"*a)*",'00 Encuesta'!$E$2:$E$511,"*a)*",'00 Encuesta'!$Y$2:$Y$511,"*c)*")</f>
        <v>2</v>
      </c>
      <c r="J197" s="52">
        <f>I197/$J$6*100</f>
        <v>9.5238095238095237</v>
      </c>
      <c r="K197" s="53">
        <f>COUNTIFS('00 Encuesta'!$B$2:$B$511,"*b)*",'00 Encuesta'!$C$2:$C$511,"*a)*",'00 Encuesta'!$E$2:$E$511,"*b)*",'00 Encuesta'!$Y$2:$Y$511,"*c)*")</f>
        <v>1</v>
      </c>
      <c r="L197" s="52">
        <f>K197/$J$7*100</f>
        <v>5.8823529411764701</v>
      </c>
      <c r="M197" s="23"/>
      <c r="N197" s="51">
        <f>P197+R197</f>
        <v>1</v>
      </c>
      <c r="O197" s="52">
        <f>N197/$Q$5*100</f>
        <v>3.125</v>
      </c>
      <c r="P197" s="53">
        <f>COUNTIFS('00 Encuesta'!$B$2:$B$511,"*b)*",'00 Encuesta'!$C$2:$C$511,"*b)*",'00 Encuesta'!$E$2:$E$511,"*a)*",'00 Encuesta'!$Y$2:$Y$511,"*c)*")</f>
        <v>0</v>
      </c>
      <c r="Q197" s="52">
        <f>P197/$Q$6*100</f>
        <v>0</v>
      </c>
      <c r="R197" s="53">
        <f>COUNTIFS('00 Encuesta'!$B$2:$B$511,"*b)*",'00 Encuesta'!$C$2:$C$511,"*b)*",'00 Encuesta'!$E$2:$E$511,"*b)*",'00 Encuesta'!$Y$2:$Y$511,"*c)*")</f>
        <v>1</v>
      </c>
      <c r="S197" s="52">
        <f>R197/$Q$7*100</f>
        <v>6.666666666666667</v>
      </c>
      <c r="T197" s="3"/>
      <c r="U197" s="51">
        <f>W197+Y197</f>
        <v>4</v>
      </c>
      <c r="V197" s="52">
        <f>U197/$X$5*100</f>
        <v>10.256410256410255</v>
      </c>
      <c r="W197" s="53">
        <f>COUNTIFS('00 Encuesta'!$B$2:$B$511,"*b)*",'00 Encuesta'!$C$2:$C$511,"*c)*",'00 Encuesta'!$E$2:$E$511,"*a)*",'00 Encuesta'!$Y$2:$Y$511,"*c)*")</f>
        <v>2</v>
      </c>
      <c r="X197" s="52">
        <f>W197/$X$6*100</f>
        <v>9.5238095238095237</v>
      </c>
      <c r="Y197" s="53">
        <f>COUNTIFS('00 Encuesta'!$B$2:$B$511,"*b)*",'00 Encuesta'!$C$2:$C$511,"*c)*",'00 Encuesta'!$E$2:$E$511,"*b)*",'00 Encuesta'!$Y$2:$Y$511,"*c)*")</f>
        <v>2</v>
      </c>
      <c r="Z197" s="52">
        <f>Y197/$X$7*100</f>
        <v>11.111111111111111</v>
      </c>
      <c r="AA197" s="3"/>
      <c r="AB197" s="62">
        <f>G197+N197+U197</f>
        <v>8</v>
      </c>
      <c r="AC197" s="52">
        <f>AB197*100/$AC$5</f>
        <v>7.3394495412844041</v>
      </c>
      <c r="AD197" s="3"/>
      <c r="AE197" s="3"/>
      <c r="AF197" s="9" t="str">
        <f t="shared" si="225"/>
        <v>c) Religioso o parroquial</v>
      </c>
      <c r="AG197" s="72">
        <f>J197</f>
        <v>9.5238095238095237</v>
      </c>
      <c r="AH197" s="72">
        <f>L197</f>
        <v>5.8823529411764701</v>
      </c>
      <c r="AI197" s="73">
        <f>H197</f>
        <v>7.8947368421052628</v>
      </c>
      <c r="AJ197" s="73"/>
      <c r="AK197" s="76">
        <f>Q197</f>
        <v>0</v>
      </c>
      <c r="AL197" s="76">
        <f>S197</f>
        <v>6.666666666666667</v>
      </c>
      <c r="AM197" s="76">
        <f>O197</f>
        <v>3.125</v>
      </c>
      <c r="AN197" s="76"/>
      <c r="AO197" s="81">
        <f>X197</f>
        <v>9.5238095238095237</v>
      </c>
      <c r="AP197" s="81">
        <f>Z197</f>
        <v>11.111111111111111</v>
      </c>
      <c r="AQ197" s="81">
        <f>V197</f>
        <v>10.256410256410255</v>
      </c>
      <c r="AR197" s="3"/>
      <c r="AS197" s="76">
        <f t="shared" si="174"/>
        <v>7.3394495412844041</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ht="15" x14ac:dyDescent="0.25">
      <c r="A198" s="8" t="s">
        <v>21</v>
      </c>
      <c r="B198" s="9" t="s">
        <v>150</v>
      </c>
      <c r="C198" s="7"/>
      <c r="D198" s="7"/>
      <c r="E198" s="7"/>
      <c r="F198" s="71"/>
      <c r="G198" s="51">
        <f>I198+K198</f>
        <v>10</v>
      </c>
      <c r="H198" s="52">
        <f>G198/$J$5*100</f>
        <v>26.315789473684209</v>
      </c>
      <c r="I198" s="53">
        <f>COUNTIFS('00 Encuesta'!$B$2:$B$511,"*b)*",'00 Encuesta'!$C$2:$C$511,"*a)*",'00 Encuesta'!$E$2:$E$511,"*a)*",'00 Encuesta'!$Y$2:$Y$511,"*d)*")</f>
        <v>7</v>
      </c>
      <c r="J198" s="52">
        <f>I198/$J$6*100</f>
        <v>33.333333333333329</v>
      </c>
      <c r="K198" s="53">
        <f>COUNTIFS('00 Encuesta'!$B$2:$B$511,"*b)*",'00 Encuesta'!$C$2:$C$511,"*a)*",'00 Encuesta'!$E$2:$E$511,"*b)*",'00 Encuesta'!$Y$2:$Y$511,"*d)*")</f>
        <v>3</v>
      </c>
      <c r="L198" s="52">
        <f>K198/$J$7*100</f>
        <v>17.647058823529413</v>
      </c>
      <c r="M198" s="23"/>
      <c r="N198" s="51">
        <f>P198+R198</f>
        <v>11</v>
      </c>
      <c r="O198" s="52">
        <f>N198/$Q$5*100</f>
        <v>34.375</v>
      </c>
      <c r="P198" s="53">
        <f>COUNTIFS('00 Encuesta'!$B$2:$B$511,"*b)*",'00 Encuesta'!$C$2:$C$511,"*b)*",'00 Encuesta'!$E$2:$E$511,"*a)*",'00 Encuesta'!$Y$2:$Y$511,"*d)*")</f>
        <v>2</v>
      </c>
      <c r="Q198" s="52">
        <f>P198/$Q$6*100</f>
        <v>11.76470588235294</v>
      </c>
      <c r="R198" s="53">
        <f>COUNTIFS('00 Encuesta'!$B$2:$B$511,"*b)*",'00 Encuesta'!$C$2:$C$511,"*b)*",'00 Encuesta'!$E$2:$E$511,"*b)*",'00 Encuesta'!$Y$2:$Y$511,"*d)*")</f>
        <v>9</v>
      </c>
      <c r="S198" s="52">
        <f>R198/$Q$7*100</f>
        <v>60</v>
      </c>
      <c r="T198" s="3"/>
      <c r="U198" s="51">
        <f>W198+Y198</f>
        <v>19</v>
      </c>
      <c r="V198" s="52">
        <f>U198/$X$5*100</f>
        <v>48.717948717948715</v>
      </c>
      <c r="W198" s="53">
        <f>COUNTIFS('00 Encuesta'!$B$2:$B$511,"*b)*",'00 Encuesta'!$C$2:$C$511,"*c)*",'00 Encuesta'!$E$2:$E$511,"*a)*",'00 Encuesta'!$Y$2:$Y$511,"*d)*")</f>
        <v>8</v>
      </c>
      <c r="X198" s="52">
        <f>W198/$X$6*100</f>
        <v>38.095238095238095</v>
      </c>
      <c r="Y198" s="53">
        <f>COUNTIFS('00 Encuesta'!$B$2:$B$511,"*b)*",'00 Encuesta'!$C$2:$C$511,"*c)*",'00 Encuesta'!$E$2:$E$511,"*b)*",'00 Encuesta'!$Y$2:$Y$511,"*d)*")</f>
        <v>11</v>
      </c>
      <c r="Z198" s="52">
        <f>Y198/$X$7*100</f>
        <v>61.111111111111114</v>
      </c>
      <c r="AA198" s="3"/>
      <c r="AB198" s="62">
        <f>G198+N198+U198</f>
        <v>40</v>
      </c>
      <c r="AC198" s="52">
        <f>AB198*100/$AC$5</f>
        <v>36.697247706422019</v>
      </c>
      <c r="AD198" s="3"/>
      <c r="AE198" s="3"/>
      <c r="AF198" s="9" t="str">
        <f t="shared" si="225"/>
        <v>d) No pertenezco a ninguno.</v>
      </c>
      <c r="AG198" s="72">
        <f>J198</f>
        <v>33.333333333333329</v>
      </c>
      <c r="AH198" s="72">
        <f>L198</f>
        <v>17.647058823529413</v>
      </c>
      <c r="AI198" s="73">
        <f>H198</f>
        <v>26.315789473684209</v>
      </c>
      <c r="AJ198" s="73"/>
      <c r="AK198" s="76">
        <f>Q198</f>
        <v>11.76470588235294</v>
      </c>
      <c r="AL198" s="76">
        <f>S198</f>
        <v>60</v>
      </c>
      <c r="AM198" s="76">
        <f>O198</f>
        <v>34.375</v>
      </c>
      <c r="AN198" s="76"/>
      <c r="AO198" s="81">
        <f>X198</f>
        <v>38.095238095238095</v>
      </c>
      <c r="AP198" s="81">
        <f>Z198</f>
        <v>61.111111111111114</v>
      </c>
      <c r="AQ198" s="81">
        <f>V198</f>
        <v>48.717948717948715</v>
      </c>
      <c r="AR198" s="3"/>
      <c r="AS198" s="76">
        <f t="shared" si="174"/>
        <v>36.697247706422019</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ht="15" x14ac:dyDescent="0.25">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f>N199/$Q$5*100</f>
        <v>0</v>
      </c>
      <c r="P199" s="53"/>
      <c r="Q199" s="52">
        <f>P199/$Q$6*100</f>
        <v>0</v>
      </c>
      <c r="R199" s="53"/>
      <c r="S199" s="52">
        <f>R199/$Q$7*100</f>
        <v>0</v>
      </c>
      <c r="T199" s="3"/>
      <c r="U199" s="51">
        <f>W199+Y199</f>
        <v>0</v>
      </c>
      <c r="V199" s="52">
        <f>U199/$X$5*100</f>
        <v>0</v>
      </c>
      <c r="W199" s="53"/>
      <c r="X199" s="52">
        <f>W199/$X$6*100</f>
        <v>0</v>
      </c>
      <c r="Y199" s="53"/>
      <c r="Z199" s="52">
        <f>Y199/$X$7*100</f>
        <v>0</v>
      </c>
      <c r="AA199" s="3"/>
      <c r="AB199" s="62">
        <f>G199+N199+U199</f>
        <v>0</v>
      </c>
      <c r="AC199" s="52">
        <f>AB199*100/$AC$5</f>
        <v>0</v>
      </c>
      <c r="AD199" s="3"/>
      <c r="AE199" s="3"/>
      <c r="AF199" s="9" t="str">
        <f t="shared" si="225"/>
        <v>S/R Sin Respuesta</v>
      </c>
      <c r="AG199" s="72">
        <f>J199</f>
        <v>0</v>
      </c>
      <c r="AH199" s="72">
        <f>L199</f>
        <v>0</v>
      </c>
      <c r="AI199" s="73">
        <f>H199</f>
        <v>0</v>
      </c>
      <c r="AJ199" s="73"/>
      <c r="AK199" s="76">
        <f>Q199</f>
        <v>0</v>
      </c>
      <c r="AL199" s="76">
        <f>S199</f>
        <v>0</v>
      </c>
      <c r="AM199" s="76">
        <f>O199</f>
        <v>0</v>
      </c>
      <c r="AN199" s="76"/>
      <c r="AO199" s="81">
        <f>X199</f>
        <v>0</v>
      </c>
      <c r="AP199" s="81">
        <f>Z199</f>
        <v>0</v>
      </c>
      <c r="AQ199" s="81">
        <f>V199</f>
        <v>0</v>
      </c>
      <c r="AR199" s="3"/>
      <c r="AS199" s="76">
        <f t="shared" si="174"/>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ht="15" x14ac:dyDescent="0.25">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ht="15" x14ac:dyDescent="0.25">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ht="15" x14ac:dyDescent="0.25">
      <c r="A202" s="8" t="s">
        <v>17</v>
      </c>
      <c r="B202" s="9" t="s">
        <v>152</v>
      </c>
      <c r="C202" s="7"/>
      <c r="D202" s="7"/>
      <c r="E202" s="7"/>
      <c r="F202" s="71"/>
      <c r="G202" s="51">
        <f>I202+K202</f>
        <v>12</v>
      </c>
      <c r="H202" s="52">
        <f>G202/$J$5*100</f>
        <v>31.578947368421051</v>
      </c>
      <c r="I202" s="53">
        <f>COUNTIFS('00 Encuesta'!$B$2:$B$511,"*b)*",'00 Encuesta'!$C$2:$C$511,"*a)*",'00 Encuesta'!$E$2:$E$511,"*a)*",'00 Encuesta'!$Z$2:$Z$511,"*a)*")</f>
        <v>7</v>
      </c>
      <c r="J202" s="52">
        <f>I202/$J$6*100</f>
        <v>33.333333333333329</v>
      </c>
      <c r="K202" s="53">
        <f>COUNTIFS('00 Encuesta'!$B$2:$B$511,"*b)*",'00 Encuesta'!$C$2:$C$511,"*a)*",'00 Encuesta'!$E$2:$E$511,"*b)*",'00 Encuesta'!$Z$2:$Z$511,"*a)*")</f>
        <v>5</v>
      </c>
      <c r="L202" s="52">
        <f>K202/$J$7*100</f>
        <v>29.411764705882355</v>
      </c>
      <c r="M202" s="23"/>
      <c r="N202" s="51">
        <f>P202+R202</f>
        <v>7</v>
      </c>
      <c r="O202" s="52">
        <f>N202/$Q$5*100</f>
        <v>21.875</v>
      </c>
      <c r="P202" s="53">
        <f>COUNTIFS('00 Encuesta'!$B$2:$B$511,"*b)*",'00 Encuesta'!$C$2:$C$511,"*b)*",'00 Encuesta'!$E$2:$E$511,"*a)*",'00 Encuesta'!$Z$2:$Z$511,"*a)*")</f>
        <v>5</v>
      </c>
      <c r="Q202" s="52">
        <f>P202/$Q$6*100</f>
        <v>29.411764705882355</v>
      </c>
      <c r="R202" s="53">
        <f>COUNTIFS('00 Encuesta'!$B$2:$B$511,"*b)*",'00 Encuesta'!$C$2:$C$511,"*b)*",'00 Encuesta'!$E$2:$E$511,"*b)*",'00 Encuesta'!$Z$2:$Z$511,"*a)*")</f>
        <v>2</v>
      </c>
      <c r="S202" s="52">
        <f>R202/$Q$7*100</f>
        <v>13.333333333333334</v>
      </c>
      <c r="T202" s="3"/>
      <c r="U202" s="51">
        <f>W202+Y202</f>
        <v>8</v>
      </c>
      <c r="V202" s="52">
        <f>U202/$X$5*100</f>
        <v>20.512820512820511</v>
      </c>
      <c r="W202" s="53">
        <f>COUNTIFS('00 Encuesta'!$B$2:$B$511,"*b)*",'00 Encuesta'!$C$2:$C$511,"*c)*",'00 Encuesta'!$E$2:$E$511,"*a)*",'00 Encuesta'!$Z$2:$Z$511,"*a)*")</f>
        <v>3</v>
      </c>
      <c r="X202" s="52">
        <f>W202/$X$6*100</f>
        <v>14.285714285714285</v>
      </c>
      <c r="Y202" s="53">
        <f>COUNTIFS('00 Encuesta'!$B$2:$B$511,"*b)*",'00 Encuesta'!$C$2:$C$511,"*c)*",'00 Encuesta'!$E$2:$E$511,"*b)*",'00 Encuesta'!$Z$2:$Z$511,"*a)*")</f>
        <v>5</v>
      </c>
      <c r="Z202" s="52">
        <f>Y202/$X$7*100</f>
        <v>27.777777777777779</v>
      </c>
      <c r="AA202" s="3"/>
      <c r="AB202" s="62">
        <f>G202+N202+U202</f>
        <v>27</v>
      </c>
      <c r="AC202" s="52">
        <f>AB202*100/$AC$5</f>
        <v>24.770642201834864</v>
      </c>
      <c r="AD202" s="3"/>
      <c r="AE202" s="3"/>
      <c r="AF202" s="9" t="str">
        <f t="shared" si="226"/>
        <v>a) Un grupo donde profundizo mi fe</v>
      </c>
      <c r="AG202" s="72">
        <f>J202</f>
        <v>33.333333333333329</v>
      </c>
      <c r="AH202" s="72">
        <f>L202</f>
        <v>29.411764705882355</v>
      </c>
      <c r="AI202" s="73">
        <f>H202</f>
        <v>31.578947368421051</v>
      </c>
      <c r="AJ202" s="73"/>
      <c r="AK202" s="76">
        <f>Q202</f>
        <v>29.411764705882355</v>
      </c>
      <c r="AL202" s="76">
        <f>S202</f>
        <v>13.333333333333334</v>
      </c>
      <c r="AM202" s="76">
        <f>O202</f>
        <v>21.875</v>
      </c>
      <c r="AN202" s="76"/>
      <c r="AO202" s="81">
        <f>X202</f>
        <v>14.285714285714285</v>
      </c>
      <c r="AP202" s="81">
        <f>Z202</f>
        <v>27.777777777777779</v>
      </c>
      <c r="AQ202" s="81">
        <f>V202</f>
        <v>20.512820512820511</v>
      </c>
      <c r="AR202" s="3"/>
      <c r="AS202" s="76">
        <f t="shared" si="174"/>
        <v>24.770642201834864</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4</v>
      </c>
      <c r="H203" s="52">
        <f>G203/$J$5*100</f>
        <v>10.526315789473683</v>
      </c>
      <c r="I203" s="53">
        <f>COUNTIFS('00 Encuesta'!$B$2:$B$511,"*b)*",'00 Encuesta'!$C$2:$C$511,"*a)*",'00 Encuesta'!$E$2:$E$511,"*a)*",'00 Encuesta'!$Z$2:$Z$511,"*b)*")</f>
        <v>4</v>
      </c>
      <c r="J203" s="52">
        <f>I203/$J$6*100</f>
        <v>19.047619047619047</v>
      </c>
      <c r="K203" s="53">
        <f>COUNTIFS('00 Encuesta'!$B$2:$B$511,"*b)*",'00 Encuesta'!$C$2:$C$511,"*a)*",'00 Encuesta'!$E$2:$E$511,"*b)*",'00 Encuesta'!$Z$2:$Z$511,"*b)*")</f>
        <v>0</v>
      </c>
      <c r="L203" s="52">
        <f>K203/$J$7*100</f>
        <v>0</v>
      </c>
      <c r="M203" s="23"/>
      <c r="N203" s="51">
        <f>P203+R203</f>
        <v>2</v>
      </c>
      <c r="O203" s="52">
        <f>N203/$Q$5*100</f>
        <v>6.25</v>
      </c>
      <c r="P203" s="53">
        <f>COUNTIFS('00 Encuesta'!$B$2:$B$511,"*b)*",'00 Encuesta'!$C$2:$C$511,"*b)*",'00 Encuesta'!$E$2:$E$511,"*a)*",'00 Encuesta'!$Z$2:$Z$511,"*b)*")</f>
        <v>1</v>
      </c>
      <c r="Q203" s="52">
        <f>P203/$Q$6*100</f>
        <v>5.8823529411764701</v>
      </c>
      <c r="R203" s="53">
        <f>COUNTIFS('00 Encuesta'!$B$2:$B$511,"*b)*",'00 Encuesta'!$C$2:$C$511,"*b)*",'00 Encuesta'!$E$2:$E$511,"*b)*",'00 Encuesta'!$Z$2:$Z$511,"*b)*")</f>
        <v>1</v>
      </c>
      <c r="S203" s="52">
        <f>R203/$Q$7*100</f>
        <v>6.666666666666667</v>
      </c>
      <c r="T203" s="3"/>
      <c r="U203" s="51">
        <f>W203+Y203</f>
        <v>4</v>
      </c>
      <c r="V203" s="52">
        <f>U203/$X$5*100</f>
        <v>10.256410256410255</v>
      </c>
      <c r="W203" s="53">
        <f>COUNTIFS('00 Encuesta'!$B$2:$B$511,"*b)*",'00 Encuesta'!$C$2:$C$511,"*c)*",'00 Encuesta'!$E$2:$E$511,"*a)*",'00 Encuesta'!$Z$2:$Z$511,"*b)*")</f>
        <v>2</v>
      </c>
      <c r="X203" s="52">
        <f>W203/$X$6*100</f>
        <v>9.5238095238095237</v>
      </c>
      <c r="Y203" s="53">
        <f>COUNTIFS('00 Encuesta'!$B$2:$B$511,"*b)*",'00 Encuesta'!$C$2:$C$511,"*c)*",'00 Encuesta'!$E$2:$E$511,"*b)*",'00 Encuesta'!$Z$2:$Z$511,"*b)*")</f>
        <v>2</v>
      </c>
      <c r="Z203" s="52">
        <f>Y203/$X$7*100</f>
        <v>11.111111111111111</v>
      </c>
      <c r="AA203" s="3"/>
      <c r="AB203" s="62">
        <f>G203+N203+U203</f>
        <v>10</v>
      </c>
      <c r="AC203" s="52">
        <f>AB203*100/$AC$5</f>
        <v>9.1743119266055047</v>
      </c>
      <c r="AD203" s="3"/>
      <c r="AE203" s="3"/>
      <c r="AF203" s="9" t="str">
        <f t="shared" si="226"/>
        <v>b) Un lugar donde comparto con mis compañeros</v>
      </c>
      <c r="AG203" s="72">
        <f>J203</f>
        <v>19.047619047619047</v>
      </c>
      <c r="AH203" s="72">
        <f>L203</f>
        <v>0</v>
      </c>
      <c r="AI203" s="73">
        <f>H203</f>
        <v>10.526315789473683</v>
      </c>
      <c r="AJ203" s="73"/>
      <c r="AK203" s="76">
        <f>Q203</f>
        <v>5.8823529411764701</v>
      </c>
      <c r="AL203" s="76">
        <f>S203</f>
        <v>6.666666666666667</v>
      </c>
      <c r="AM203" s="76">
        <f>O203</f>
        <v>6.25</v>
      </c>
      <c r="AN203" s="76"/>
      <c r="AO203" s="81">
        <f>X203</f>
        <v>9.5238095238095237</v>
      </c>
      <c r="AP203" s="81">
        <f>Z203</f>
        <v>11.111111111111111</v>
      </c>
      <c r="AQ203" s="81">
        <f>V203</f>
        <v>10.256410256410255</v>
      </c>
      <c r="AR203" s="3"/>
      <c r="AS203" s="76">
        <f t="shared" si="174"/>
        <v>9.1743119266055047</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ht="15" x14ac:dyDescent="0.25">
      <c r="A204" s="8" t="s">
        <v>20</v>
      </c>
      <c r="B204" s="9" t="s">
        <v>154</v>
      </c>
      <c r="C204" s="7"/>
      <c r="D204" s="7"/>
      <c r="E204" s="7"/>
      <c r="F204" s="71"/>
      <c r="G204" s="51">
        <f>I204+K204</f>
        <v>5</v>
      </c>
      <c r="H204" s="52">
        <f>G204/$J$5*100</f>
        <v>13.157894736842104</v>
      </c>
      <c r="I204" s="53">
        <f>COUNTIFS('00 Encuesta'!$B$2:$B$511,"*b)*",'00 Encuesta'!$C$2:$C$511,"*a)*",'00 Encuesta'!$E$2:$E$511,"*a)*",'00 Encuesta'!$Z$2:$Z$511,"*c)*")</f>
        <v>1</v>
      </c>
      <c r="J204" s="52">
        <f>I204/$J$6*100</f>
        <v>4.7619047619047619</v>
      </c>
      <c r="K204" s="53">
        <f>COUNTIFS('00 Encuesta'!$B$2:$B$511,"*b)*",'00 Encuesta'!$C$2:$C$511,"*a)*",'00 Encuesta'!$E$2:$E$511,"*b)*",'00 Encuesta'!$Z$2:$Z$511,"*c)*")</f>
        <v>4</v>
      </c>
      <c r="L204" s="52">
        <f>K204/$J$7*100</f>
        <v>23.52941176470588</v>
      </c>
      <c r="M204" s="23"/>
      <c r="N204" s="51">
        <f>P204+R204</f>
        <v>0</v>
      </c>
      <c r="O204" s="52">
        <f>N204/$Q$5*100</f>
        <v>0</v>
      </c>
      <c r="P204" s="53">
        <f>COUNTIFS('00 Encuesta'!$B$2:$B$511,"*b)*",'00 Encuesta'!$C$2:$C$511,"*b)*",'00 Encuesta'!$E$2:$E$511,"*a)*",'00 Encuesta'!$Z$2:$Z$511,"*c)*")</f>
        <v>0</v>
      </c>
      <c r="Q204" s="52">
        <f>P204/$Q$6*100</f>
        <v>0</v>
      </c>
      <c r="R204" s="53">
        <f>COUNTIFS('00 Encuesta'!$B$2:$B$511,"*b)*",'00 Encuesta'!$C$2:$C$511,"*b)*",'00 Encuesta'!$E$2:$E$511,"*b)*",'00 Encuesta'!$Z$2:$Z$511,"*c)*")</f>
        <v>0</v>
      </c>
      <c r="S204" s="52">
        <f>R204/$Q$7*100</f>
        <v>0</v>
      </c>
      <c r="T204" s="3"/>
      <c r="U204" s="51">
        <f>W204+Y204</f>
        <v>3</v>
      </c>
      <c r="V204" s="52">
        <f>U204/$X$5*100</f>
        <v>7.6923076923076925</v>
      </c>
      <c r="W204" s="53">
        <f>COUNTIFS('00 Encuesta'!$B$2:$B$511,"*b)*",'00 Encuesta'!$C$2:$C$511,"*c)*",'00 Encuesta'!$E$2:$E$511,"*a)*",'00 Encuesta'!$Z$2:$Z$511,"*c)*")</f>
        <v>3</v>
      </c>
      <c r="X204" s="52">
        <f>W204/$X$6*100</f>
        <v>14.285714285714285</v>
      </c>
      <c r="Y204" s="53">
        <f>COUNTIFS('00 Encuesta'!$B$2:$B$511,"*b)*",'00 Encuesta'!$C$2:$C$511,"*c)*",'00 Encuesta'!$E$2:$E$511,"*b)*",'00 Encuesta'!$Z$2:$Z$511,"*c)*")</f>
        <v>0</v>
      </c>
      <c r="Z204" s="52">
        <f>Y204/$X$7*100</f>
        <v>0</v>
      </c>
      <c r="AA204" s="3"/>
      <c r="AB204" s="62">
        <f>G204+N204+U204</f>
        <v>8</v>
      </c>
      <c r="AC204" s="52">
        <f>AB204*100/$AC$5</f>
        <v>7.3394495412844041</v>
      </c>
      <c r="AD204" s="3"/>
      <c r="AE204" s="3"/>
      <c r="AF204" s="9" t="str">
        <f t="shared" si="226"/>
        <v>c) Un lugar donde me lo paso bien</v>
      </c>
      <c r="AG204" s="72">
        <f>J204</f>
        <v>4.7619047619047619</v>
      </c>
      <c r="AH204" s="72">
        <f>L204</f>
        <v>23.52941176470588</v>
      </c>
      <c r="AI204" s="73">
        <f>H204</f>
        <v>13.157894736842104</v>
      </c>
      <c r="AJ204" s="73"/>
      <c r="AK204" s="76">
        <f>Q204</f>
        <v>0</v>
      </c>
      <c r="AL204" s="76">
        <f>S204</f>
        <v>0</v>
      </c>
      <c r="AM204" s="76">
        <f>O204</f>
        <v>0</v>
      </c>
      <c r="AN204" s="76"/>
      <c r="AO204" s="81">
        <f>X204</f>
        <v>14.285714285714285</v>
      </c>
      <c r="AP204" s="81">
        <f>Z204</f>
        <v>0</v>
      </c>
      <c r="AQ204" s="81">
        <f>V204</f>
        <v>7.6923076923076925</v>
      </c>
      <c r="AR204" s="3"/>
      <c r="AS204" s="76">
        <f t="shared" si="174"/>
        <v>7.3394495412844041</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ht="15" x14ac:dyDescent="0.25">
      <c r="A205" s="8" t="s">
        <v>21</v>
      </c>
      <c r="B205" s="9" t="s">
        <v>155</v>
      </c>
      <c r="C205" s="7"/>
      <c r="D205" s="7"/>
      <c r="E205" s="7"/>
      <c r="F205" s="71"/>
      <c r="G205" s="51">
        <f>I205+K205</f>
        <v>14</v>
      </c>
      <c r="H205" s="52">
        <f>G205/$J$5*100</f>
        <v>36.84210526315789</v>
      </c>
      <c r="I205" s="53">
        <f>COUNTIFS('00 Encuesta'!$B$2:$B$511,"*b)*",'00 Encuesta'!$C$2:$C$511,"*a)*",'00 Encuesta'!$E$2:$E$511,"*a)*",'00 Encuesta'!$Z$2:$Z$511,"*d)*")</f>
        <v>7</v>
      </c>
      <c r="J205" s="52">
        <f>I205/$J$6*100</f>
        <v>33.333333333333329</v>
      </c>
      <c r="K205" s="53">
        <f>COUNTIFS('00 Encuesta'!$B$2:$B$511,"*b)*",'00 Encuesta'!$C$2:$C$511,"*a)*",'00 Encuesta'!$E$2:$E$511,"*b)*",'00 Encuesta'!$Z$2:$Z$511,"*d)*")</f>
        <v>7</v>
      </c>
      <c r="L205" s="52">
        <f>K205/$J$7*100</f>
        <v>41.17647058823529</v>
      </c>
      <c r="M205" s="23"/>
      <c r="N205" s="51">
        <f>P205+R205</f>
        <v>20</v>
      </c>
      <c r="O205" s="52">
        <f>N205/$Q$5*100</f>
        <v>62.5</v>
      </c>
      <c r="P205" s="53">
        <f>COUNTIFS('00 Encuesta'!$B$2:$B$511,"*b)*",'00 Encuesta'!$C$2:$C$511,"*b)*",'00 Encuesta'!$E$2:$E$511,"*a)*",'00 Encuesta'!$Z$2:$Z$511,"*d)*")</f>
        <v>8</v>
      </c>
      <c r="Q205" s="52">
        <f>P205/$Q$6*100</f>
        <v>47.058823529411761</v>
      </c>
      <c r="R205" s="53">
        <f>COUNTIFS('00 Encuesta'!$B$2:$B$511,"*b)*",'00 Encuesta'!$C$2:$C$511,"*b)*",'00 Encuesta'!$E$2:$E$511,"*b)*",'00 Encuesta'!$Z$2:$Z$511,"*d)*")</f>
        <v>12</v>
      </c>
      <c r="S205" s="52">
        <f>R205/$Q$7*100</f>
        <v>80</v>
      </c>
      <c r="T205" s="3"/>
      <c r="U205" s="51">
        <f>W205+Y205</f>
        <v>23</v>
      </c>
      <c r="V205" s="52">
        <f>U205/$X$5*100</f>
        <v>58.974358974358978</v>
      </c>
      <c r="W205" s="53">
        <f>COUNTIFS('00 Encuesta'!$B$2:$B$511,"*b)*",'00 Encuesta'!$C$2:$C$511,"*c)*",'00 Encuesta'!$E$2:$E$511,"*a)*",'00 Encuesta'!$Z$2:$Z$511,"*d)*")</f>
        <v>12</v>
      </c>
      <c r="X205" s="52">
        <f>W205/$X$6*100</f>
        <v>57.142857142857139</v>
      </c>
      <c r="Y205" s="53">
        <f>COUNTIFS('00 Encuesta'!$B$2:$B$511,"*b)*",'00 Encuesta'!$C$2:$C$511,"*c)*",'00 Encuesta'!$E$2:$E$511,"*b)*",'00 Encuesta'!$Z$2:$Z$511,"*d)*")</f>
        <v>11</v>
      </c>
      <c r="Z205" s="52">
        <f>Y205/$X$7*100</f>
        <v>61.111111111111114</v>
      </c>
      <c r="AA205" s="3"/>
      <c r="AB205" s="62">
        <f>G205+N205+U205</f>
        <v>57</v>
      </c>
      <c r="AC205" s="52">
        <f>AB205*100/$AC$5</f>
        <v>52.293577981651374</v>
      </c>
      <c r="AD205" s="3"/>
      <c r="AE205" s="3"/>
      <c r="AF205" s="9" t="str">
        <f t="shared" si="226"/>
        <v>d) No pertenezco a grupos juveniles cristianos</v>
      </c>
      <c r="AG205" s="72">
        <f>J205</f>
        <v>33.333333333333329</v>
      </c>
      <c r="AH205" s="72">
        <f>L205</f>
        <v>41.17647058823529</v>
      </c>
      <c r="AI205" s="73">
        <f>H205</f>
        <v>36.84210526315789</v>
      </c>
      <c r="AJ205" s="73"/>
      <c r="AK205" s="76">
        <f>Q205</f>
        <v>47.058823529411761</v>
      </c>
      <c r="AL205" s="76">
        <f>S205</f>
        <v>80</v>
      </c>
      <c r="AM205" s="76">
        <f>O205</f>
        <v>62.5</v>
      </c>
      <c r="AN205" s="76"/>
      <c r="AO205" s="81">
        <f>X205</f>
        <v>57.142857142857139</v>
      </c>
      <c r="AP205" s="81">
        <f>Z205</f>
        <v>61.111111111111114</v>
      </c>
      <c r="AQ205" s="81">
        <f>V205</f>
        <v>58.974358974358978</v>
      </c>
      <c r="AR205" s="3"/>
      <c r="AS205" s="76">
        <f t="shared" si="174"/>
        <v>52.293577981651374</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ht="15" x14ac:dyDescent="0.25">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f>N206/$Q$5*100</f>
        <v>0</v>
      </c>
      <c r="P206" s="53"/>
      <c r="Q206" s="52">
        <f>P206/$Q$6*100</f>
        <v>0</v>
      </c>
      <c r="R206" s="53"/>
      <c r="S206" s="52">
        <f>R206/$Q$7*100</f>
        <v>0</v>
      </c>
      <c r="T206" s="3"/>
      <c r="U206" s="51">
        <f>W206+Y206</f>
        <v>0</v>
      </c>
      <c r="V206" s="52">
        <f>U206/$X$5*100</f>
        <v>0</v>
      </c>
      <c r="W206" s="53"/>
      <c r="X206" s="52">
        <f>W206/$X$6*100</f>
        <v>0</v>
      </c>
      <c r="Y206" s="53"/>
      <c r="Z206" s="52">
        <f>Y206/$X$7*100</f>
        <v>0</v>
      </c>
      <c r="AA206" s="3"/>
      <c r="AB206" s="62">
        <f>G206+N206+U206</f>
        <v>0</v>
      </c>
      <c r="AC206" s="52">
        <f>AB206*100/$AC$5</f>
        <v>0</v>
      </c>
      <c r="AD206" s="3"/>
      <c r="AE206" s="3"/>
      <c r="AF206" s="9" t="str">
        <f t="shared" si="226"/>
        <v>S/R Sin Respuesta</v>
      </c>
      <c r="AG206" s="72">
        <f>J206</f>
        <v>0</v>
      </c>
      <c r="AH206" s="72">
        <f>L206</f>
        <v>0</v>
      </c>
      <c r="AI206" s="73">
        <f>H206</f>
        <v>0</v>
      </c>
      <c r="AJ206" s="73"/>
      <c r="AK206" s="76">
        <f>Q206</f>
        <v>0</v>
      </c>
      <c r="AL206" s="76">
        <f>S206</f>
        <v>0</v>
      </c>
      <c r="AM206" s="76">
        <f>O206</f>
        <v>0</v>
      </c>
      <c r="AN206" s="76"/>
      <c r="AO206" s="81">
        <f>X206</f>
        <v>0</v>
      </c>
      <c r="AP206" s="81">
        <f>Z206</f>
        <v>0</v>
      </c>
      <c r="AQ206" s="81">
        <f>V206</f>
        <v>0</v>
      </c>
      <c r="AR206" s="3"/>
      <c r="AS206" s="76">
        <f t="shared" si="174"/>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ht="15" x14ac:dyDescent="0.25">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ht="15" x14ac:dyDescent="0.25">
      <c r="A209" s="8" t="s">
        <v>17</v>
      </c>
      <c r="B209" s="9" t="s">
        <v>49</v>
      </c>
      <c r="C209" s="7"/>
      <c r="D209" s="7"/>
      <c r="E209" s="7"/>
      <c r="F209" s="71"/>
      <c r="G209" s="51">
        <f>I209+K209</f>
        <v>2</v>
      </c>
      <c r="H209" s="52">
        <f>G209/$J$5*100</f>
        <v>5.2631578947368416</v>
      </c>
      <c r="I209" s="53">
        <f>COUNTIFS('00 Encuesta'!$B$2:$B$511,"*b)*",'00 Encuesta'!$C$2:$C$511,"*a)*",'00 Encuesta'!$E$2:$E$511,"*a)*",'00 Encuesta'!$AA$2:$AA$511,"*a)*")</f>
        <v>2</v>
      </c>
      <c r="J209" s="52">
        <f>I209/$J$6*100</f>
        <v>9.5238095238095237</v>
      </c>
      <c r="K209" s="53">
        <f>COUNTIFS('00 Encuesta'!$B$2:$B$511,"*b)*",'00 Encuesta'!$C$2:$C$511,"*a)*",'00 Encuesta'!$E$2:$E$511,"*b)*",'00 Encuesta'!$AA$2:$AA$511,"*a)*")</f>
        <v>0</v>
      </c>
      <c r="L209" s="52">
        <f>K209/$J$7*100</f>
        <v>0</v>
      </c>
      <c r="M209" s="23"/>
      <c r="N209" s="51">
        <f>P209+R209</f>
        <v>4</v>
      </c>
      <c r="O209" s="52">
        <f>N209/$Q$5*100</f>
        <v>12.5</v>
      </c>
      <c r="P209" s="53">
        <f>COUNTIFS('00 Encuesta'!$B$2:$B$511,"*b)*",'00 Encuesta'!$C$2:$C$511,"*b)*",'00 Encuesta'!$E$2:$E$511,"*a)*",'00 Encuesta'!$AA$2:$AA$511,"*a)*")</f>
        <v>3</v>
      </c>
      <c r="Q209" s="52">
        <f>P209/$Q$6*100</f>
        <v>17.647058823529413</v>
      </c>
      <c r="R209" s="53">
        <f>COUNTIFS('00 Encuesta'!$B$2:$B$511,"*b)*",'00 Encuesta'!$C$2:$C$511,"*b)*",'00 Encuesta'!$E$2:$E$511,"*b)*",'00 Encuesta'!$AA$2:$AA$511,"*a)*")</f>
        <v>1</v>
      </c>
      <c r="S209" s="52">
        <f>R209/$Q$7*100</f>
        <v>6.666666666666667</v>
      </c>
      <c r="T209" s="3"/>
      <c r="U209" s="51">
        <f>W209+Y209</f>
        <v>1</v>
      </c>
      <c r="V209" s="52">
        <f>U209/$X$5*100</f>
        <v>2.5641025641025639</v>
      </c>
      <c r="W209" s="53">
        <f>COUNTIFS('00 Encuesta'!$B$2:$B$511,"*b)*",'00 Encuesta'!$C$2:$C$511,"*c)*",'00 Encuesta'!$E$2:$E$511,"*a)*",'00 Encuesta'!$AA$2:$AA$511,"*a)*")</f>
        <v>0</v>
      </c>
      <c r="X209" s="52">
        <f>W209/$X$6*100</f>
        <v>0</v>
      </c>
      <c r="Y209" s="53">
        <f>COUNTIFS('00 Encuesta'!$B$2:$B$511,"*b)*",'00 Encuesta'!$C$2:$C$511,"*c)*",'00 Encuesta'!$E$2:$E$511,"*b)*",'00 Encuesta'!$AA$2:$AA$511,"*a)*")</f>
        <v>1</v>
      </c>
      <c r="Z209" s="52">
        <f>Y209/$X$7*100</f>
        <v>5.5555555555555554</v>
      </c>
      <c r="AA209" s="3"/>
      <c r="AB209" s="62">
        <f>G209+N209+U209</f>
        <v>7</v>
      </c>
      <c r="AC209" s="52">
        <f>AB209*100/$AC$5</f>
        <v>6.4220183486238529</v>
      </c>
      <c r="AD209" s="3"/>
      <c r="AE209" s="3"/>
      <c r="AF209" s="9" t="str">
        <f>A209&amp;" "&amp;B209</f>
        <v>a) Si</v>
      </c>
      <c r="AG209" s="72">
        <f>J209</f>
        <v>9.5238095238095237</v>
      </c>
      <c r="AH209" s="72">
        <f>L209</f>
        <v>0</v>
      </c>
      <c r="AI209" s="73">
        <f>H209</f>
        <v>5.2631578947368416</v>
      </c>
      <c r="AJ209" s="73"/>
      <c r="AK209" s="76">
        <f>Q209</f>
        <v>17.647058823529413</v>
      </c>
      <c r="AL209" s="76">
        <f>S209</f>
        <v>6.666666666666667</v>
      </c>
      <c r="AM209" s="76">
        <f>O209</f>
        <v>12.5</v>
      </c>
      <c r="AN209" s="76"/>
      <c r="AO209" s="81">
        <f>X209</f>
        <v>0</v>
      </c>
      <c r="AP209" s="81">
        <f>Z209</f>
        <v>5.5555555555555554</v>
      </c>
      <c r="AQ209" s="81">
        <f>V209</f>
        <v>2.5641025641025639</v>
      </c>
      <c r="AR209" s="3"/>
      <c r="AS209" s="76">
        <f t="shared" ref="AS209:AS270" si="227">AC209</f>
        <v>6.4220183486238529</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ht="15" x14ac:dyDescent="0.25">
      <c r="A210" s="8" t="s">
        <v>18</v>
      </c>
      <c r="B210" s="9" t="s">
        <v>50</v>
      </c>
      <c r="C210" s="7"/>
      <c r="D210" s="7"/>
      <c r="E210" s="7"/>
      <c r="F210" s="71"/>
      <c r="G210" s="51">
        <f>I210+K210</f>
        <v>30</v>
      </c>
      <c r="H210" s="52">
        <f>G210/$J$5*100</f>
        <v>78.94736842105263</v>
      </c>
      <c r="I210" s="53">
        <f>COUNTIFS('00 Encuesta'!$B$2:$B$511,"*b)*",'00 Encuesta'!$C$2:$C$511,"*a)*",'00 Encuesta'!$E$2:$E$511,"*a)*",'00 Encuesta'!$AA$2:$AA$511,"*b)*")</f>
        <v>14</v>
      </c>
      <c r="J210" s="52">
        <f>I210/$J$6*100</f>
        <v>66.666666666666657</v>
      </c>
      <c r="K210" s="53">
        <f>COUNTIFS('00 Encuesta'!$B$2:$B$511,"*b)*",'00 Encuesta'!$C$2:$C$511,"*a)*",'00 Encuesta'!$E$2:$E$511,"*b)*",'00 Encuesta'!$AA$2:$AA$511,"*b)*")</f>
        <v>16</v>
      </c>
      <c r="L210" s="52">
        <f>K210/$J$7*100</f>
        <v>94.117647058823522</v>
      </c>
      <c r="M210" s="23"/>
      <c r="N210" s="51">
        <f>P210+R210</f>
        <v>22</v>
      </c>
      <c r="O210" s="52">
        <f>N210/$Q$5*100</f>
        <v>68.75</v>
      </c>
      <c r="P210" s="53">
        <f>COUNTIFS('00 Encuesta'!$B$2:$B$511,"*b)*",'00 Encuesta'!$C$2:$C$511,"*b)*",'00 Encuesta'!$E$2:$E$511,"*a)*",'00 Encuesta'!$AA$2:$AA$511,"*b)*")</f>
        <v>11</v>
      </c>
      <c r="Q210" s="52">
        <f>P210/$Q$6*100</f>
        <v>64.705882352941174</v>
      </c>
      <c r="R210" s="53">
        <f>COUNTIFS('00 Encuesta'!$B$2:$B$511,"*b)*",'00 Encuesta'!$C$2:$C$511,"*b)*",'00 Encuesta'!$E$2:$E$511,"*b)*",'00 Encuesta'!$AA$2:$AA$511,"*b)*")</f>
        <v>11</v>
      </c>
      <c r="S210" s="52">
        <f>R210/$Q$7*100</f>
        <v>73.333333333333329</v>
      </c>
      <c r="T210" s="3"/>
      <c r="U210" s="51">
        <f>W210+Y210</f>
        <v>35</v>
      </c>
      <c r="V210" s="52">
        <f>U210/$X$5*100</f>
        <v>89.743589743589752</v>
      </c>
      <c r="W210" s="53">
        <f>COUNTIFS('00 Encuesta'!$B$2:$B$511,"*b)*",'00 Encuesta'!$C$2:$C$511,"*c)*",'00 Encuesta'!$E$2:$E$511,"*a)*",'00 Encuesta'!$AA$2:$AA$511,"*b)*")</f>
        <v>19</v>
      </c>
      <c r="X210" s="52">
        <f>W210/$X$6*100</f>
        <v>90.476190476190482</v>
      </c>
      <c r="Y210" s="53">
        <f>COUNTIFS('00 Encuesta'!$B$2:$B$511,"*b)*",'00 Encuesta'!$C$2:$C$511,"*c)*",'00 Encuesta'!$E$2:$E$511,"*b)*",'00 Encuesta'!$AA$2:$AA$511,"*b)*")</f>
        <v>16</v>
      </c>
      <c r="Z210" s="52">
        <f>Y210/$X$7*100</f>
        <v>88.888888888888886</v>
      </c>
      <c r="AA210" s="3"/>
      <c r="AB210" s="62">
        <f>G210+N210+U210</f>
        <v>87</v>
      </c>
      <c r="AC210" s="52">
        <f>AB210*100/$AC$5</f>
        <v>79.816513761467888</v>
      </c>
      <c r="AD210" s="3"/>
      <c r="AE210" s="3"/>
      <c r="AF210" s="9" t="str">
        <f>A210&amp;" "&amp;B210</f>
        <v>b) No</v>
      </c>
      <c r="AG210" s="72">
        <f>J210</f>
        <v>66.666666666666657</v>
      </c>
      <c r="AH210" s="72">
        <f>L210</f>
        <v>94.117647058823522</v>
      </c>
      <c r="AI210" s="73">
        <f>H210</f>
        <v>78.94736842105263</v>
      </c>
      <c r="AJ210" s="73"/>
      <c r="AK210" s="76">
        <f>Q210</f>
        <v>64.705882352941174</v>
      </c>
      <c r="AL210" s="76">
        <f>S210</f>
        <v>73.333333333333329</v>
      </c>
      <c r="AM210" s="76">
        <f>O210</f>
        <v>68.75</v>
      </c>
      <c r="AN210" s="76"/>
      <c r="AO210" s="81">
        <f>X210</f>
        <v>90.476190476190482</v>
      </c>
      <c r="AP210" s="81">
        <f>Z210</f>
        <v>88.888888888888886</v>
      </c>
      <c r="AQ210" s="81">
        <f>V210</f>
        <v>89.743589743589752</v>
      </c>
      <c r="AR210" s="3"/>
      <c r="AS210" s="76">
        <f t="shared" si="227"/>
        <v>79.816513761467888</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ht="15" x14ac:dyDescent="0.25">
      <c r="A211" s="8" t="s">
        <v>20</v>
      </c>
      <c r="B211" s="9" t="s">
        <v>51</v>
      </c>
      <c r="C211" s="7"/>
      <c r="D211" s="7"/>
      <c r="E211" s="7"/>
      <c r="F211" s="71"/>
      <c r="G211" s="51">
        <f>I211+K211</f>
        <v>2</v>
      </c>
      <c r="H211" s="52">
        <f>G211/$J$5*100</f>
        <v>5.2631578947368416</v>
      </c>
      <c r="I211" s="53">
        <f>COUNTIFS('00 Encuesta'!$B$2:$B$511,"*b)*",'00 Encuesta'!$C$2:$C$511,"*a)*",'00 Encuesta'!$E$2:$E$511,"*a)*",'00 Encuesta'!$AA$2:$AA$511,"*c)*")</f>
        <v>2</v>
      </c>
      <c r="J211" s="52">
        <f>I211/$J$6*100</f>
        <v>9.5238095238095237</v>
      </c>
      <c r="K211" s="53">
        <f>COUNTIFS('00 Encuesta'!$B$2:$B$511,"*b)*",'00 Encuesta'!$C$2:$C$511,"*a)*",'00 Encuesta'!$E$2:$E$511,"*b)*",'00 Encuesta'!$AA$2:$AA$511,"*c)*")</f>
        <v>0</v>
      </c>
      <c r="L211" s="52">
        <f>K211/$J$7*100</f>
        <v>0</v>
      </c>
      <c r="M211" s="23"/>
      <c r="N211" s="51">
        <f>P211+R211</f>
        <v>4</v>
      </c>
      <c r="O211" s="52">
        <f>N211/$Q$5*100</f>
        <v>12.5</v>
      </c>
      <c r="P211" s="53">
        <f>COUNTIFS('00 Encuesta'!$B$2:$B$511,"*b)*",'00 Encuesta'!$C$2:$C$511,"*b)*",'00 Encuesta'!$E$2:$E$511,"*a)*",'00 Encuesta'!$AA$2:$AA$511,"*c)*")</f>
        <v>1</v>
      </c>
      <c r="Q211" s="52">
        <f>P211/$Q$6*100</f>
        <v>5.8823529411764701</v>
      </c>
      <c r="R211" s="53">
        <f>COUNTIFS('00 Encuesta'!$B$2:$B$511,"*b)*",'00 Encuesta'!$C$2:$C$511,"*b)*",'00 Encuesta'!$E$2:$E$511,"*b)*",'00 Encuesta'!$AA$2:$AA$511,"*c)*")</f>
        <v>3</v>
      </c>
      <c r="S211" s="52">
        <f>R211/$Q$7*100</f>
        <v>20</v>
      </c>
      <c r="T211" s="3"/>
      <c r="U211" s="51">
        <f>W211+Y211</f>
        <v>3</v>
      </c>
      <c r="V211" s="52">
        <f>U211/$X$5*100</f>
        <v>7.6923076923076925</v>
      </c>
      <c r="W211" s="53">
        <f>COUNTIFS('00 Encuesta'!$B$2:$B$511,"*b)*",'00 Encuesta'!$C$2:$C$511,"*c)*",'00 Encuesta'!$E$2:$E$511,"*a)*",'00 Encuesta'!$AA$2:$AA$511,"*c)*")</f>
        <v>2</v>
      </c>
      <c r="X211" s="52">
        <f>W211/$X$6*100</f>
        <v>9.5238095238095237</v>
      </c>
      <c r="Y211" s="53">
        <f>COUNTIFS('00 Encuesta'!$B$2:$B$511,"*b)*",'00 Encuesta'!$C$2:$C$511,"*c)*",'00 Encuesta'!$E$2:$E$511,"*b)*",'00 Encuesta'!$AA$2:$AA$511,"*c)*")</f>
        <v>1</v>
      </c>
      <c r="Z211" s="52">
        <f>Y211/$X$7*100</f>
        <v>5.5555555555555554</v>
      </c>
      <c r="AA211" s="3"/>
      <c r="AB211" s="62">
        <f>G211+N211+U211</f>
        <v>9</v>
      </c>
      <c r="AC211" s="52">
        <f>AB211*100/$AC$5</f>
        <v>8.2568807339449535</v>
      </c>
      <c r="AD211" s="3"/>
      <c r="AE211" s="3"/>
      <c r="AF211" s="9" t="str">
        <f>A211&amp;" "&amp;B211</f>
        <v>c) Algo</v>
      </c>
      <c r="AG211" s="72">
        <f>J211</f>
        <v>9.5238095238095237</v>
      </c>
      <c r="AH211" s="72">
        <f>L211</f>
        <v>0</v>
      </c>
      <c r="AI211" s="73">
        <f>H211</f>
        <v>5.2631578947368416</v>
      </c>
      <c r="AJ211" s="73"/>
      <c r="AK211" s="76">
        <f>Q211</f>
        <v>5.8823529411764701</v>
      </c>
      <c r="AL211" s="76">
        <f>S211</f>
        <v>20</v>
      </c>
      <c r="AM211" s="76">
        <f>O211</f>
        <v>12.5</v>
      </c>
      <c r="AN211" s="76"/>
      <c r="AO211" s="81">
        <f>X211</f>
        <v>9.5238095238095237</v>
      </c>
      <c r="AP211" s="81">
        <f>Z211</f>
        <v>5.5555555555555554</v>
      </c>
      <c r="AQ211" s="81">
        <f>V211</f>
        <v>7.6923076923076925</v>
      </c>
      <c r="AR211" s="3"/>
      <c r="AS211" s="76">
        <f t="shared" si="227"/>
        <v>8.2568807339449535</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ht="15" x14ac:dyDescent="0.25">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f>N212/$Q$5*100</f>
        <v>0</v>
      </c>
      <c r="P212" s="53"/>
      <c r="Q212" s="52">
        <f>P212/$Q$6*100</f>
        <v>0</v>
      </c>
      <c r="R212" s="53"/>
      <c r="S212" s="52">
        <f>R212/$Q$7*100</f>
        <v>0</v>
      </c>
      <c r="T212" s="3"/>
      <c r="U212" s="51">
        <f>W212+Y212</f>
        <v>0</v>
      </c>
      <c r="V212" s="52">
        <f>U212/$X$5*100</f>
        <v>0</v>
      </c>
      <c r="W212" s="53"/>
      <c r="X212" s="52">
        <f>W212/$X$6*100</f>
        <v>0</v>
      </c>
      <c r="Y212" s="53"/>
      <c r="Z212" s="52">
        <f>Y212/$X$7*100</f>
        <v>0</v>
      </c>
      <c r="AA212" s="3"/>
      <c r="AB212" s="62">
        <f>G212+N212+U212</f>
        <v>0</v>
      </c>
      <c r="AC212" s="52">
        <f>AB212*100/$AC$5</f>
        <v>0</v>
      </c>
      <c r="AD212" s="3"/>
      <c r="AE212" s="3"/>
      <c r="AF212" s="9" t="str">
        <f>A212&amp;" "&amp;B212</f>
        <v>S/R Sin Respuesta</v>
      </c>
      <c r="AG212" s="72">
        <f>J212</f>
        <v>0</v>
      </c>
      <c r="AH212" s="72">
        <f>L212</f>
        <v>0</v>
      </c>
      <c r="AI212" s="73">
        <f>H212</f>
        <v>0</v>
      </c>
      <c r="AJ212" s="73"/>
      <c r="AK212" s="76">
        <f>Q212</f>
        <v>0</v>
      </c>
      <c r="AL212" s="76">
        <f>S212</f>
        <v>0</v>
      </c>
      <c r="AM212" s="76">
        <f>O212</f>
        <v>0</v>
      </c>
      <c r="AN212" s="76"/>
      <c r="AO212" s="81">
        <f>X212</f>
        <v>0</v>
      </c>
      <c r="AP212" s="81">
        <f>Z212</f>
        <v>0</v>
      </c>
      <c r="AQ212" s="81">
        <f>V212</f>
        <v>0</v>
      </c>
      <c r="AR212" s="3"/>
      <c r="AS212" s="76">
        <f t="shared" si="227"/>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ht="15" x14ac:dyDescent="0.25">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ht="15" x14ac:dyDescent="0.25">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ht="15" x14ac:dyDescent="0.25">
      <c r="A215" s="8" t="s">
        <v>17</v>
      </c>
      <c r="B215" s="9" t="s">
        <v>49</v>
      </c>
      <c r="C215" s="7"/>
      <c r="D215" s="7"/>
      <c r="E215" s="7"/>
      <c r="F215" s="71"/>
      <c r="G215" s="51">
        <f>I215+K215</f>
        <v>1</v>
      </c>
      <c r="H215" s="52">
        <f>G215/$J$5*100</f>
        <v>2.6315789473684208</v>
      </c>
      <c r="I215" s="53">
        <f>COUNTIFS('00 Encuesta'!$B$2:$B$511,"*b)*",'00 Encuesta'!$C$2:$C$511,"*a)*",'00 Encuesta'!$E$2:$E$511,"*a)*",'00 Encuesta'!$AB$2:$AB$511,"*a)*")</f>
        <v>1</v>
      </c>
      <c r="J215" s="52">
        <f>I215/$J$6*100</f>
        <v>4.7619047619047619</v>
      </c>
      <c r="K215" s="53">
        <f>COUNTIFS('00 Encuesta'!$B$2:$B$511,"*b)*",'00 Encuesta'!$C$2:$C$511,"*a)*",'00 Encuesta'!$E$2:$E$511,"*b)*",'00 Encuesta'!$AB$2:$AB$511,"*a)*")</f>
        <v>0</v>
      </c>
      <c r="L215" s="52">
        <f>K215/$J$7*100</f>
        <v>0</v>
      </c>
      <c r="M215" s="23"/>
      <c r="N215" s="51">
        <f>P215+R215</f>
        <v>0</v>
      </c>
      <c r="O215" s="52">
        <f>N215/$Q$5*100</f>
        <v>0</v>
      </c>
      <c r="P215" s="53">
        <f>COUNTIFS('00 Encuesta'!$B$2:$B$511,"*b)*",'00 Encuesta'!$C$2:$C$511,"*b)*",'00 Encuesta'!$E$2:$E$511,"*a)*",'00 Encuesta'!$AB$2:$AB$511,"*a)*")</f>
        <v>0</v>
      </c>
      <c r="Q215" s="52">
        <f>P215/$Q$6*100</f>
        <v>0</v>
      </c>
      <c r="R215" s="53">
        <f>COUNTIFS('00 Encuesta'!$B$2:$B$511,"*b)*",'00 Encuesta'!$C$2:$C$511,"*b)*",'00 Encuesta'!$E$2:$E$511,"*b)*",'00 Encuesta'!$AB$2:$AB$511,"*a)*")</f>
        <v>0</v>
      </c>
      <c r="S215" s="52">
        <f>R215/$Q$7*100</f>
        <v>0</v>
      </c>
      <c r="T215" s="3"/>
      <c r="U215" s="51">
        <f>W215+Y215</f>
        <v>0</v>
      </c>
      <c r="V215" s="52">
        <f>U215/$X$5*100</f>
        <v>0</v>
      </c>
      <c r="W215" s="53">
        <f>COUNTIFS('00 Encuesta'!$B$2:$B$511,"*b)*",'00 Encuesta'!$C$2:$C$511,"*c)*",'00 Encuesta'!$E$2:$E$511,"*a)*",'00 Encuesta'!$AB$2:$AB$511,"*a)*")</f>
        <v>0</v>
      </c>
      <c r="X215" s="52">
        <f>W215/$X$6*100</f>
        <v>0</v>
      </c>
      <c r="Y215" s="53">
        <f>COUNTIFS('00 Encuesta'!$B$2:$B$511,"*b)*",'00 Encuesta'!$C$2:$C$511,"*c)*",'00 Encuesta'!$E$2:$E$511,"*b)*",'00 Encuesta'!$AB$2:$AB$511,"*a)*")</f>
        <v>0</v>
      </c>
      <c r="Z215" s="52">
        <f>Y215/$X$7*100</f>
        <v>0</v>
      </c>
      <c r="AA215" s="3"/>
      <c r="AB215" s="62">
        <f>G215+N215+U215</f>
        <v>1</v>
      </c>
      <c r="AC215" s="52">
        <f>AB215*100/$AC$5</f>
        <v>0.91743119266055051</v>
      </c>
      <c r="AD215" s="3"/>
      <c r="AE215" s="3"/>
      <c r="AF215" s="9" t="str">
        <f>A215&amp;" "&amp;B215</f>
        <v>a) Si</v>
      </c>
      <c r="AG215" s="72">
        <f>J215</f>
        <v>4.7619047619047619</v>
      </c>
      <c r="AH215" s="72">
        <f>L215</f>
        <v>0</v>
      </c>
      <c r="AI215" s="73">
        <f>H215</f>
        <v>2.6315789473684208</v>
      </c>
      <c r="AJ215" s="73"/>
      <c r="AK215" s="76">
        <f>Q215</f>
        <v>0</v>
      </c>
      <c r="AL215" s="76">
        <f>S215</f>
        <v>0</v>
      </c>
      <c r="AM215" s="76">
        <f>O215</f>
        <v>0</v>
      </c>
      <c r="AN215" s="76"/>
      <c r="AO215" s="81">
        <f>X215</f>
        <v>0</v>
      </c>
      <c r="AP215" s="81">
        <f>Z215</f>
        <v>0</v>
      </c>
      <c r="AQ215" s="81">
        <f>V215</f>
        <v>0</v>
      </c>
      <c r="AR215" s="3"/>
      <c r="AS215" s="76">
        <f t="shared" si="227"/>
        <v>0.91743119266055051</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ht="15" x14ac:dyDescent="0.25">
      <c r="A216" s="8" t="s">
        <v>18</v>
      </c>
      <c r="B216" s="9" t="s">
        <v>50</v>
      </c>
      <c r="C216" s="7"/>
      <c r="D216" s="7"/>
      <c r="E216" s="7"/>
      <c r="F216" s="71"/>
      <c r="G216" s="51">
        <f>I216+K216</f>
        <v>30</v>
      </c>
      <c r="H216" s="52">
        <f>G216/$J$5*100</f>
        <v>78.94736842105263</v>
      </c>
      <c r="I216" s="53">
        <f>COUNTIFS('00 Encuesta'!$B$2:$B$511,"*b)*",'00 Encuesta'!$C$2:$C$511,"*a)*",'00 Encuesta'!$E$2:$E$511,"*a)*",'00 Encuesta'!$AB$2:$AB$511,"*b)*")</f>
        <v>14</v>
      </c>
      <c r="J216" s="52">
        <f>I216/$J$6*100</f>
        <v>66.666666666666657</v>
      </c>
      <c r="K216" s="53">
        <f>COUNTIFS('00 Encuesta'!$B$2:$B$511,"*b)*",'00 Encuesta'!$C$2:$C$511,"*a)*",'00 Encuesta'!$E$2:$E$511,"*b)*",'00 Encuesta'!$AB$2:$AB$511,"*b)*")</f>
        <v>16</v>
      </c>
      <c r="L216" s="52">
        <f>K216/$J$7*100</f>
        <v>94.117647058823522</v>
      </c>
      <c r="M216" s="23"/>
      <c r="N216" s="51">
        <f>P216+R216</f>
        <v>29</v>
      </c>
      <c r="O216" s="52">
        <f>N216/$Q$5*100</f>
        <v>90.625</v>
      </c>
      <c r="P216" s="53">
        <f>COUNTIFS('00 Encuesta'!$B$2:$B$511,"*b)*",'00 Encuesta'!$C$2:$C$511,"*b)*",'00 Encuesta'!$E$2:$E$511,"*a)*",'00 Encuesta'!$AB$2:$AB$511,"*b)*")</f>
        <v>15</v>
      </c>
      <c r="Q216" s="52">
        <f>P216/$Q$6*100</f>
        <v>88.235294117647058</v>
      </c>
      <c r="R216" s="53">
        <f>COUNTIFS('00 Encuesta'!$B$2:$B$511,"*b)*",'00 Encuesta'!$C$2:$C$511,"*b)*",'00 Encuesta'!$E$2:$E$511,"*b)*",'00 Encuesta'!$AB$2:$AB$511,"*b)*")</f>
        <v>14</v>
      </c>
      <c r="S216" s="52">
        <f>R216/$Q$7*100</f>
        <v>93.333333333333329</v>
      </c>
      <c r="T216" s="3"/>
      <c r="U216" s="51">
        <f>W216+Y216</f>
        <v>39</v>
      </c>
      <c r="V216" s="52">
        <f>U216/$X$5*100</f>
        <v>100</v>
      </c>
      <c r="W216" s="53">
        <f>COUNTIFS('00 Encuesta'!$B$2:$B$511,"*b)*",'00 Encuesta'!$C$2:$C$511,"*c)*",'00 Encuesta'!$E$2:$E$511,"*a)*",'00 Encuesta'!$AB$2:$AB$511,"*b)*")</f>
        <v>21</v>
      </c>
      <c r="X216" s="52">
        <f>W216/$X$6*100</f>
        <v>100</v>
      </c>
      <c r="Y216" s="53">
        <f>COUNTIFS('00 Encuesta'!$B$2:$B$511,"*b)*",'00 Encuesta'!$C$2:$C$511,"*c)*",'00 Encuesta'!$E$2:$E$511,"*b)*",'00 Encuesta'!$AB$2:$AB$511,"*b)*")</f>
        <v>18</v>
      </c>
      <c r="Z216" s="52">
        <f>Y216/$X$7*100</f>
        <v>100</v>
      </c>
      <c r="AA216" s="3"/>
      <c r="AB216" s="62">
        <f>G216+N216+U216</f>
        <v>98</v>
      </c>
      <c r="AC216" s="52">
        <f>AB216*100/$AC$5</f>
        <v>89.908256880733944</v>
      </c>
      <c r="AD216" s="3"/>
      <c r="AE216" s="3"/>
      <c r="AF216" s="9" t="str">
        <f>A216&amp;" "&amp;B216</f>
        <v>b) No</v>
      </c>
      <c r="AG216" s="72">
        <f>J216</f>
        <v>66.666666666666657</v>
      </c>
      <c r="AH216" s="72">
        <f>L216</f>
        <v>94.117647058823522</v>
      </c>
      <c r="AI216" s="73">
        <f>H216</f>
        <v>78.94736842105263</v>
      </c>
      <c r="AJ216" s="73"/>
      <c r="AK216" s="76">
        <f>Q216</f>
        <v>88.235294117647058</v>
      </c>
      <c r="AL216" s="76">
        <f>S216</f>
        <v>93.333333333333329</v>
      </c>
      <c r="AM216" s="76">
        <f>O216</f>
        <v>90.625</v>
      </c>
      <c r="AN216" s="76"/>
      <c r="AO216" s="81">
        <f>X216</f>
        <v>100</v>
      </c>
      <c r="AP216" s="81">
        <f>Z216</f>
        <v>100</v>
      </c>
      <c r="AQ216" s="81">
        <f>V216</f>
        <v>100</v>
      </c>
      <c r="AR216" s="3"/>
      <c r="AS216" s="76">
        <f t="shared" si="227"/>
        <v>89.908256880733944</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ht="15" x14ac:dyDescent="0.25">
      <c r="A217" s="8" t="s">
        <v>20</v>
      </c>
      <c r="B217" s="9" t="s">
        <v>51</v>
      </c>
      <c r="C217" s="7"/>
      <c r="D217" s="7"/>
      <c r="E217" s="7"/>
      <c r="F217" s="71"/>
      <c r="G217" s="51">
        <f>I217+K217</f>
        <v>1</v>
      </c>
      <c r="H217" s="52">
        <f>G217/$J$5*100</f>
        <v>2.6315789473684208</v>
      </c>
      <c r="I217" s="53">
        <f>COUNTIFS('00 Encuesta'!$B$2:$B$511,"*b)*",'00 Encuesta'!$C$2:$C$511,"*a)*",'00 Encuesta'!$E$2:$E$511,"*a)*",'00 Encuesta'!$AB$2:$AB$511,"*c)*")</f>
        <v>1</v>
      </c>
      <c r="J217" s="52">
        <f>I217/$J$6*100</f>
        <v>4.7619047619047619</v>
      </c>
      <c r="K217" s="53">
        <f>COUNTIFS('00 Encuesta'!$B$2:$B$511,"*b)*",'00 Encuesta'!$C$2:$C$511,"*a)*",'00 Encuesta'!$E$2:$E$511,"*b)*",'00 Encuesta'!$AB$2:$AB$511,"*c)*")</f>
        <v>0</v>
      </c>
      <c r="L217" s="52">
        <f>K217/$J$7*100</f>
        <v>0</v>
      </c>
      <c r="M217" s="23"/>
      <c r="N217" s="51">
        <f>P217+R217</f>
        <v>1</v>
      </c>
      <c r="O217" s="52">
        <f>N217/$Q$5*100</f>
        <v>3.125</v>
      </c>
      <c r="P217" s="53">
        <f>COUNTIFS('00 Encuesta'!$B$2:$B$511,"*b)*",'00 Encuesta'!$C$2:$C$511,"*b)*",'00 Encuesta'!$E$2:$E$511,"*a)*",'00 Encuesta'!$AB$2:$AB$511,"*c)*")</f>
        <v>0</v>
      </c>
      <c r="Q217" s="52">
        <f>P217/$Q$6*100</f>
        <v>0</v>
      </c>
      <c r="R217" s="53">
        <f>COUNTIFS('00 Encuesta'!$B$2:$B$511,"*b)*",'00 Encuesta'!$C$2:$C$511,"*b)*",'00 Encuesta'!$E$2:$E$511,"*b)*",'00 Encuesta'!$AB$2:$AB$511,"*c)*")</f>
        <v>1</v>
      </c>
      <c r="S217" s="52">
        <f>R217/$Q$7*100</f>
        <v>6.666666666666667</v>
      </c>
      <c r="T217" s="3"/>
      <c r="U217" s="51">
        <f>W217+Y217</f>
        <v>0</v>
      </c>
      <c r="V217" s="52">
        <f>U217/$X$5*100</f>
        <v>0</v>
      </c>
      <c r="W217" s="53">
        <f>COUNTIFS('00 Encuesta'!$B$2:$B$511,"*b)*",'00 Encuesta'!$C$2:$C$511,"*c)*",'00 Encuesta'!$E$2:$E$511,"*a)*",'00 Encuesta'!$AB$2:$AB$511,"*c)*")</f>
        <v>0</v>
      </c>
      <c r="X217" s="52">
        <f>W217/$X$6*100</f>
        <v>0</v>
      </c>
      <c r="Y217" s="53">
        <f>COUNTIFS('00 Encuesta'!$B$2:$B$511,"*b)*",'00 Encuesta'!$C$2:$C$511,"*c)*",'00 Encuesta'!$E$2:$E$511,"*b)*",'00 Encuesta'!$AB$2:$AB$511,"*c)*")</f>
        <v>0</v>
      </c>
      <c r="Z217" s="52">
        <f>Y217/$X$7*100</f>
        <v>0</v>
      </c>
      <c r="AA217" s="3"/>
      <c r="AB217" s="62">
        <f>G217+N217+U217</f>
        <v>2</v>
      </c>
      <c r="AC217" s="52">
        <f>AB217*100/$AC$5</f>
        <v>1.834862385321101</v>
      </c>
      <c r="AD217" s="3"/>
      <c r="AE217" s="3"/>
      <c r="AF217" s="9" t="str">
        <f>A217&amp;" "&amp;B217</f>
        <v>c) Algo</v>
      </c>
      <c r="AG217" s="72">
        <f>J217</f>
        <v>4.7619047619047619</v>
      </c>
      <c r="AH217" s="72">
        <f>L217</f>
        <v>0</v>
      </c>
      <c r="AI217" s="73">
        <f>H217</f>
        <v>2.6315789473684208</v>
      </c>
      <c r="AJ217" s="73"/>
      <c r="AK217" s="76">
        <f>Q217</f>
        <v>0</v>
      </c>
      <c r="AL217" s="76">
        <f>S217</f>
        <v>6.666666666666667</v>
      </c>
      <c r="AM217" s="76">
        <f>O217</f>
        <v>3.125</v>
      </c>
      <c r="AN217" s="76"/>
      <c r="AO217" s="81">
        <f>X217</f>
        <v>0</v>
      </c>
      <c r="AP217" s="81">
        <f>Z217</f>
        <v>0</v>
      </c>
      <c r="AQ217" s="81">
        <f>V217</f>
        <v>0</v>
      </c>
      <c r="AR217" s="3"/>
      <c r="AS217" s="76">
        <f t="shared" si="227"/>
        <v>1.834862385321101</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ht="15" x14ac:dyDescent="0.25">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f>N218/$Q$5*100</f>
        <v>0</v>
      </c>
      <c r="P218" s="53"/>
      <c r="Q218" s="52">
        <f>P218/$Q$6*100</f>
        <v>0</v>
      </c>
      <c r="R218" s="53"/>
      <c r="S218" s="52">
        <f>R218/$Q$7*100</f>
        <v>0</v>
      </c>
      <c r="T218" s="3"/>
      <c r="U218" s="51">
        <f>W218+Y218</f>
        <v>0</v>
      </c>
      <c r="V218" s="52">
        <f>U218/$X$5*100</f>
        <v>0</v>
      </c>
      <c r="W218" s="53"/>
      <c r="X218" s="52">
        <f>W218/$X$6*100</f>
        <v>0</v>
      </c>
      <c r="Y218" s="53"/>
      <c r="Z218" s="52">
        <f>Y218/$X$7*100</f>
        <v>0</v>
      </c>
      <c r="AA218" s="3"/>
      <c r="AB218" s="62">
        <f>G218+N218+U218</f>
        <v>0</v>
      </c>
      <c r="AC218" s="52">
        <f>AB218*100/$AC$5</f>
        <v>0</v>
      </c>
      <c r="AD218" s="3"/>
      <c r="AE218" s="3"/>
      <c r="AF218" s="9" t="str">
        <f>A218&amp;" "&amp;B218</f>
        <v>S/R Sin respuesta</v>
      </c>
      <c r="AG218" s="72">
        <f>J218</f>
        <v>0</v>
      </c>
      <c r="AH218" s="72">
        <f>L218</f>
        <v>0</v>
      </c>
      <c r="AI218" s="73">
        <f>H218</f>
        <v>0</v>
      </c>
      <c r="AJ218" s="73"/>
      <c r="AK218" s="76">
        <f>Q218</f>
        <v>0</v>
      </c>
      <c r="AL218" s="76">
        <f>S218</f>
        <v>0</v>
      </c>
      <c r="AM218" s="76">
        <f>O218</f>
        <v>0</v>
      </c>
      <c r="AN218" s="76"/>
      <c r="AO218" s="81">
        <f>X218</f>
        <v>0</v>
      </c>
      <c r="AP218" s="81">
        <f>Z218</f>
        <v>0</v>
      </c>
      <c r="AQ218" s="81">
        <f>V218</f>
        <v>0</v>
      </c>
      <c r="AR218" s="3"/>
      <c r="AS218" s="76">
        <f t="shared" si="227"/>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ht="15" x14ac:dyDescent="0.25">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ht="15" x14ac:dyDescent="0.25">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ht="15" x14ac:dyDescent="0.25">
      <c r="A222" s="8" t="s">
        <v>17</v>
      </c>
      <c r="B222" s="9" t="s">
        <v>160</v>
      </c>
      <c r="C222" s="7"/>
      <c r="D222" s="7"/>
      <c r="E222" s="7"/>
      <c r="F222" s="71"/>
      <c r="G222" s="51">
        <f t="shared" ref="G222:G232" si="228">I222+K222</f>
        <v>16</v>
      </c>
      <c r="H222" s="52">
        <f t="shared" ref="H222:H232" si="229">G222/$J$5*100</f>
        <v>42.105263157894733</v>
      </c>
      <c r="I222" s="53">
        <f>COUNTIFS('00 Encuesta'!$B$2:$B$511,"*b)*",'00 Encuesta'!$C$2:$C$511,"*a)*",'00 Encuesta'!$E$2:$E$511,"*a)*",'00 Encuesta'!$AC$2:$AC$511,"*a)*")</f>
        <v>8</v>
      </c>
      <c r="J222" s="52">
        <f t="shared" ref="J222:J232" si="230">I222/$J$6*100</f>
        <v>38.095238095238095</v>
      </c>
      <c r="K222" s="53">
        <f>COUNTIFS('00 Encuesta'!$B$2:$B$511,"*b)*",'00 Encuesta'!$C$2:$C$511,"*a)*",'00 Encuesta'!$E$2:$E$511,"*b)*",'00 Encuesta'!$AC$2:$AC$511,"*a)*")</f>
        <v>8</v>
      </c>
      <c r="L222" s="52">
        <f t="shared" ref="L222:L232" si="231">K222/$J$7*100</f>
        <v>47.058823529411761</v>
      </c>
      <c r="M222" s="23"/>
      <c r="N222" s="51">
        <f t="shared" ref="N222:N232" si="232">P222+R222</f>
        <v>14</v>
      </c>
      <c r="O222" s="52">
        <f t="shared" ref="O222:O232" si="233">N222/$Q$5*100</f>
        <v>43.75</v>
      </c>
      <c r="P222" s="53">
        <f>COUNTIFS('00 Encuesta'!$B$2:$B$511,"*b)*",'00 Encuesta'!$C$2:$C$511,"*b)*",'00 Encuesta'!$E$2:$E$511,"*a)*",'00 Encuesta'!$AC$2:$AC$511,"*a)*")</f>
        <v>4</v>
      </c>
      <c r="Q222" s="52">
        <f t="shared" ref="Q222:Q232" si="234">P222/$Q$6*100</f>
        <v>23.52941176470588</v>
      </c>
      <c r="R222" s="53">
        <f>COUNTIFS('00 Encuesta'!$B$2:$B$511,"*b)*",'00 Encuesta'!$C$2:$C$511,"*b)*",'00 Encuesta'!$E$2:$E$511,"*b)*",'00 Encuesta'!$AC$2:$AC$511,"*a)*")</f>
        <v>10</v>
      </c>
      <c r="S222" s="52">
        <f t="shared" ref="S222:S232" si="235">R222/$Q$7*100</f>
        <v>66.666666666666657</v>
      </c>
      <c r="T222" s="3"/>
      <c r="U222" s="51">
        <f t="shared" ref="U222:U232" si="236">W222+Y222</f>
        <v>24</v>
      </c>
      <c r="V222" s="52">
        <f t="shared" ref="V222:V232" si="237">U222/$X$5*100</f>
        <v>61.53846153846154</v>
      </c>
      <c r="W222" s="53">
        <f>COUNTIFS('00 Encuesta'!$B$2:$B$511,"*b)*",'00 Encuesta'!$C$2:$C$511,"*c)*",'00 Encuesta'!$E$2:$E$511,"*a)*",'00 Encuesta'!$AC$2:$AC$511,"*a)*")</f>
        <v>11</v>
      </c>
      <c r="X222" s="52">
        <f t="shared" ref="X222:X232" si="238">W222/$X$6*100</f>
        <v>52.380952380952387</v>
      </c>
      <c r="Y222" s="53">
        <f>COUNTIFS('00 Encuesta'!$B$2:$B$511,"*b)*",'00 Encuesta'!$C$2:$C$511,"*c)*",'00 Encuesta'!$E$2:$E$511,"*b)*",'00 Encuesta'!$AC$2:$AC$511,"*a)*")</f>
        <v>13</v>
      </c>
      <c r="Z222" s="52">
        <f t="shared" ref="Z222:Z232" si="239">Y222/$X$7*100</f>
        <v>72.222222222222214</v>
      </c>
      <c r="AA222" s="3"/>
      <c r="AB222" s="62">
        <f t="shared" ref="AB222:AB232" si="240">G222+N222+U222</f>
        <v>54</v>
      </c>
      <c r="AC222" s="52">
        <f t="shared" ref="AC222:AC232" si="241">AB222*100/$AC$5</f>
        <v>49.541284403669728</v>
      </c>
      <c r="AD222" s="3"/>
      <c r="AE222" s="3"/>
      <c r="AF222" s="9" t="str">
        <f t="shared" ref="AF222:AF232" si="242">A222&amp;" "&amp;B222</f>
        <v>a) Medicina</v>
      </c>
      <c r="AG222" s="72">
        <f t="shared" ref="AG222:AG232" si="243">J222</f>
        <v>38.095238095238095</v>
      </c>
      <c r="AH222" s="72">
        <f t="shared" ref="AH222:AH232" si="244">L222</f>
        <v>47.058823529411761</v>
      </c>
      <c r="AI222" s="73">
        <f t="shared" ref="AI222:AI232" si="245">H222</f>
        <v>42.105263157894733</v>
      </c>
      <c r="AJ222" s="73"/>
      <c r="AK222" s="76">
        <f t="shared" ref="AK222:AK232" si="246">Q222</f>
        <v>23.52941176470588</v>
      </c>
      <c r="AL222" s="76">
        <f t="shared" ref="AL222:AL232" si="247">S222</f>
        <v>66.666666666666657</v>
      </c>
      <c r="AM222" s="76">
        <f t="shared" ref="AM222:AM232" si="248">O222</f>
        <v>43.75</v>
      </c>
      <c r="AN222" s="76"/>
      <c r="AO222" s="81">
        <f t="shared" ref="AO222:AO232" si="249">X222</f>
        <v>52.380952380952387</v>
      </c>
      <c r="AP222" s="81">
        <f t="shared" ref="AP222:AP232" si="250">Z222</f>
        <v>72.222222222222214</v>
      </c>
      <c r="AQ222" s="81">
        <f t="shared" ref="AQ222:AQ232" si="251">V222</f>
        <v>61.53846153846154</v>
      </c>
      <c r="AR222" s="3"/>
      <c r="AS222" s="76">
        <f t="shared" si="227"/>
        <v>49.541284403669728</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ht="15" x14ac:dyDescent="0.25">
      <c r="A223" s="8" t="s">
        <v>18</v>
      </c>
      <c r="B223" s="9" t="s">
        <v>161</v>
      </c>
      <c r="C223" s="7"/>
      <c r="D223" s="7"/>
      <c r="E223" s="7"/>
      <c r="F223" s="71"/>
      <c r="G223" s="51">
        <f t="shared" si="228"/>
        <v>5</v>
      </c>
      <c r="H223" s="52">
        <f t="shared" si="229"/>
        <v>13.157894736842104</v>
      </c>
      <c r="I223" s="53">
        <f>COUNTIFS('00 Encuesta'!$B$2:$B$511,"*b)*",'00 Encuesta'!$C$2:$C$511,"*a)*",'00 Encuesta'!$E$2:$E$511,"*a)*",'00 Encuesta'!$AC$2:$AC$511,"*b)*")</f>
        <v>4</v>
      </c>
      <c r="J223" s="52">
        <f t="shared" si="230"/>
        <v>19.047619047619047</v>
      </c>
      <c r="K223" s="53">
        <f>COUNTIFS('00 Encuesta'!$B$2:$B$511,"*b)*",'00 Encuesta'!$C$2:$C$511,"*a)*",'00 Encuesta'!$E$2:$E$511,"*b)*",'00 Encuesta'!$AC$2:$AC$511,"*b)*")</f>
        <v>1</v>
      </c>
      <c r="L223" s="52">
        <f t="shared" si="231"/>
        <v>5.8823529411764701</v>
      </c>
      <c r="M223" s="23"/>
      <c r="N223" s="51">
        <f t="shared" si="232"/>
        <v>5</v>
      </c>
      <c r="O223" s="52">
        <f t="shared" si="233"/>
        <v>15.625</v>
      </c>
      <c r="P223" s="53">
        <f>COUNTIFS('00 Encuesta'!$B$2:$B$511,"*b)*",'00 Encuesta'!$C$2:$C$511,"*b)*",'00 Encuesta'!$E$2:$E$511,"*a)*",'00 Encuesta'!$AC$2:$AC$511,"*b)*")</f>
        <v>0</v>
      </c>
      <c r="Q223" s="52">
        <f t="shared" si="234"/>
        <v>0</v>
      </c>
      <c r="R223" s="53">
        <f>COUNTIFS('00 Encuesta'!$B$2:$B$511,"*b)*",'00 Encuesta'!$C$2:$C$511,"*b)*",'00 Encuesta'!$E$2:$E$511,"*b)*",'00 Encuesta'!$AC$2:$AC$511,"*b)*")</f>
        <v>5</v>
      </c>
      <c r="S223" s="52">
        <f t="shared" si="235"/>
        <v>33.333333333333329</v>
      </c>
      <c r="T223" s="3"/>
      <c r="U223" s="51">
        <f t="shared" si="236"/>
        <v>7</v>
      </c>
      <c r="V223" s="52">
        <f t="shared" si="237"/>
        <v>17.948717948717949</v>
      </c>
      <c r="W223" s="53">
        <f>COUNTIFS('00 Encuesta'!$B$2:$B$511,"*b)*",'00 Encuesta'!$C$2:$C$511,"*c)*",'00 Encuesta'!$E$2:$E$511,"*a)*",'00 Encuesta'!$AC$2:$AC$511,"*b)*")</f>
        <v>4</v>
      </c>
      <c r="X223" s="52">
        <f t="shared" si="238"/>
        <v>19.047619047619047</v>
      </c>
      <c r="Y223" s="53">
        <f>COUNTIFS('00 Encuesta'!$B$2:$B$511,"*b)*",'00 Encuesta'!$C$2:$C$511,"*c)*",'00 Encuesta'!$E$2:$E$511,"*b)*",'00 Encuesta'!$AC$2:$AC$511,"*b)*")</f>
        <v>3</v>
      </c>
      <c r="Z223" s="52">
        <f t="shared" si="239"/>
        <v>16.666666666666664</v>
      </c>
      <c r="AA223" s="3"/>
      <c r="AB223" s="62">
        <f t="shared" si="240"/>
        <v>17</v>
      </c>
      <c r="AC223" s="52">
        <f t="shared" si="241"/>
        <v>15.596330275229358</v>
      </c>
      <c r="AD223" s="3"/>
      <c r="AE223" s="3"/>
      <c r="AF223" s="9" t="str">
        <f t="shared" si="242"/>
        <v>b) Docencia</v>
      </c>
      <c r="AG223" s="72">
        <f t="shared" si="243"/>
        <v>19.047619047619047</v>
      </c>
      <c r="AH223" s="72">
        <f t="shared" si="244"/>
        <v>5.8823529411764701</v>
      </c>
      <c r="AI223" s="73">
        <f t="shared" si="245"/>
        <v>13.157894736842104</v>
      </c>
      <c r="AJ223" s="73"/>
      <c r="AK223" s="76">
        <f t="shared" si="246"/>
        <v>0</v>
      </c>
      <c r="AL223" s="76">
        <f t="shared" si="247"/>
        <v>33.333333333333329</v>
      </c>
      <c r="AM223" s="76">
        <f t="shared" si="248"/>
        <v>15.625</v>
      </c>
      <c r="AN223" s="76"/>
      <c r="AO223" s="81">
        <f t="shared" si="249"/>
        <v>19.047619047619047</v>
      </c>
      <c r="AP223" s="81">
        <f t="shared" si="250"/>
        <v>16.666666666666664</v>
      </c>
      <c r="AQ223" s="81">
        <f t="shared" si="251"/>
        <v>17.948717948717949</v>
      </c>
      <c r="AR223" s="3"/>
      <c r="AS223" s="76">
        <f t="shared" si="227"/>
        <v>15.596330275229358</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ht="15" x14ac:dyDescent="0.25">
      <c r="A224" s="8" t="s">
        <v>20</v>
      </c>
      <c r="B224" s="9" t="s">
        <v>162</v>
      </c>
      <c r="C224" s="7"/>
      <c r="D224" s="7"/>
      <c r="E224" s="7"/>
      <c r="F224" s="71"/>
      <c r="G224" s="51">
        <f t="shared" si="228"/>
        <v>0</v>
      </c>
      <c r="H224" s="52">
        <f t="shared" si="229"/>
        <v>0</v>
      </c>
      <c r="I224" s="53">
        <f>COUNTIFS('00 Encuesta'!$B$2:$B$511,"*b)*",'00 Encuesta'!$C$2:$C$511,"*a)*",'00 Encuesta'!$E$2:$E$511,"*a)*",'00 Encuesta'!$AC$2:$AC$511,"*c)*")</f>
        <v>0</v>
      </c>
      <c r="J224" s="52">
        <f t="shared" si="230"/>
        <v>0</v>
      </c>
      <c r="K224" s="53">
        <f>COUNTIFS('00 Encuesta'!$B$2:$B$511,"*b)*",'00 Encuesta'!$C$2:$C$511,"*a)*",'00 Encuesta'!$E$2:$E$511,"*b)*",'00 Encuesta'!$AC$2:$AC$511,"*c)*")</f>
        <v>0</v>
      </c>
      <c r="L224" s="52">
        <f t="shared" si="231"/>
        <v>0</v>
      </c>
      <c r="M224" s="23"/>
      <c r="N224" s="51">
        <f t="shared" si="232"/>
        <v>3</v>
      </c>
      <c r="O224" s="52">
        <f t="shared" si="233"/>
        <v>9.375</v>
      </c>
      <c r="P224" s="53">
        <f>COUNTIFS('00 Encuesta'!$B$2:$B$511,"*b)*",'00 Encuesta'!$C$2:$C$511,"*b)*",'00 Encuesta'!$E$2:$E$511,"*a)*",'00 Encuesta'!$AC$2:$AC$511,"*c)*")</f>
        <v>1</v>
      </c>
      <c r="Q224" s="52">
        <f t="shared" si="234"/>
        <v>5.8823529411764701</v>
      </c>
      <c r="R224" s="53">
        <f>COUNTIFS('00 Encuesta'!$B$2:$B$511,"*b)*",'00 Encuesta'!$C$2:$C$511,"*b)*",'00 Encuesta'!$E$2:$E$511,"*b)*",'00 Encuesta'!$AC$2:$AC$511,"*c)*")</f>
        <v>2</v>
      </c>
      <c r="S224" s="52">
        <f t="shared" si="235"/>
        <v>13.333333333333334</v>
      </c>
      <c r="T224" s="3"/>
      <c r="U224" s="51">
        <f t="shared" si="236"/>
        <v>1</v>
      </c>
      <c r="V224" s="52">
        <f t="shared" si="237"/>
        <v>2.5641025641025639</v>
      </c>
      <c r="W224" s="53">
        <f>COUNTIFS('00 Encuesta'!$B$2:$B$511,"*b)*",'00 Encuesta'!$C$2:$C$511,"*c)*",'00 Encuesta'!$E$2:$E$511,"*a)*",'00 Encuesta'!$AC$2:$AC$511,"*c)*")</f>
        <v>0</v>
      </c>
      <c r="X224" s="52">
        <f t="shared" si="238"/>
        <v>0</v>
      </c>
      <c r="Y224" s="53">
        <f>COUNTIFS('00 Encuesta'!$B$2:$B$511,"*b)*",'00 Encuesta'!$C$2:$C$511,"*c)*",'00 Encuesta'!$E$2:$E$511,"*b)*",'00 Encuesta'!$AC$2:$AC$511,"*c)*")</f>
        <v>1</v>
      </c>
      <c r="Z224" s="52">
        <f t="shared" si="239"/>
        <v>5.5555555555555554</v>
      </c>
      <c r="AA224" s="3"/>
      <c r="AB224" s="62">
        <f t="shared" si="240"/>
        <v>4</v>
      </c>
      <c r="AC224" s="52">
        <f t="shared" si="241"/>
        <v>3.669724770642202</v>
      </c>
      <c r="AD224" s="3"/>
      <c r="AE224" s="3"/>
      <c r="AF224" s="9" t="str">
        <f t="shared" si="242"/>
        <v>c) Sacerdocio o hermana religiosa</v>
      </c>
      <c r="AG224" s="72">
        <f t="shared" si="243"/>
        <v>0</v>
      </c>
      <c r="AH224" s="72">
        <f t="shared" si="244"/>
        <v>0</v>
      </c>
      <c r="AI224" s="73">
        <f t="shared" si="245"/>
        <v>0</v>
      </c>
      <c r="AJ224" s="73"/>
      <c r="AK224" s="76">
        <f t="shared" si="246"/>
        <v>5.8823529411764701</v>
      </c>
      <c r="AL224" s="76">
        <f t="shared" si="247"/>
        <v>13.333333333333334</v>
      </c>
      <c r="AM224" s="76">
        <f t="shared" si="248"/>
        <v>9.375</v>
      </c>
      <c r="AN224" s="76"/>
      <c r="AO224" s="81">
        <f t="shared" si="249"/>
        <v>0</v>
      </c>
      <c r="AP224" s="81">
        <f t="shared" si="250"/>
        <v>5.5555555555555554</v>
      </c>
      <c r="AQ224" s="81">
        <f t="shared" si="251"/>
        <v>2.5641025641025639</v>
      </c>
      <c r="AR224" s="3"/>
      <c r="AS224" s="76">
        <f t="shared" si="227"/>
        <v>3.669724770642202</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9</v>
      </c>
      <c r="H225" s="52">
        <f t="shared" si="229"/>
        <v>23.684210526315788</v>
      </c>
      <c r="I225" s="53">
        <f>COUNTIFS('00 Encuesta'!$B$2:$B$511,"*b)*",'00 Encuesta'!$C$2:$C$511,"*a)*",'00 Encuesta'!$E$2:$E$511,"*a)*",'00 Encuesta'!$AC$2:$AC$511,"*d)*")</f>
        <v>6</v>
      </c>
      <c r="J225" s="52">
        <f t="shared" si="230"/>
        <v>28.571428571428569</v>
      </c>
      <c r="K225" s="53">
        <f>COUNTIFS('00 Encuesta'!$B$2:$B$511,"*b)*",'00 Encuesta'!$C$2:$C$511,"*a)*",'00 Encuesta'!$E$2:$E$511,"*b)*",'00 Encuesta'!$AC$2:$AC$511,"*d)*")</f>
        <v>3</v>
      </c>
      <c r="L225" s="52">
        <f t="shared" si="231"/>
        <v>17.647058823529413</v>
      </c>
      <c r="M225" s="23"/>
      <c r="N225" s="51">
        <f t="shared" si="232"/>
        <v>7</v>
      </c>
      <c r="O225" s="52">
        <f t="shared" si="233"/>
        <v>21.875</v>
      </c>
      <c r="P225" s="53">
        <f>COUNTIFS('00 Encuesta'!$B$2:$B$511,"*b)*",'00 Encuesta'!$C$2:$C$511,"*b)*",'00 Encuesta'!$E$2:$E$511,"*a)*",'00 Encuesta'!$AC$2:$AC$511,"*d)*")</f>
        <v>7</v>
      </c>
      <c r="Q225" s="52">
        <f t="shared" si="234"/>
        <v>41.17647058823529</v>
      </c>
      <c r="R225" s="53">
        <f>COUNTIFS('00 Encuesta'!$B$2:$B$511,"*b)*",'00 Encuesta'!$C$2:$C$511,"*b)*",'00 Encuesta'!$E$2:$E$511,"*b)*",'00 Encuesta'!$AC$2:$AC$511,"*d)*")</f>
        <v>0</v>
      </c>
      <c r="S225" s="52">
        <f t="shared" si="235"/>
        <v>0</v>
      </c>
      <c r="T225" s="3"/>
      <c r="U225" s="51">
        <f t="shared" si="236"/>
        <v>12</v>
      </c>
      <c r="V225" s="52">
        <f t="shared" si="237"/>
        <v>30.76923076923077</v>
      </c>
      <c r="W225" s="53">
        <f>COUNTIFS('00 Encuesta'!$B$2:$B$511,"*b)*",'00 Encuesta'!$C$2:$C$511,"*c)*",'00 Encuesta'!$E$2:$E$511,"*a)*",'00 Encuesta'!$AC$2:$AC$511,"*d)*")</f>
        <v>10</v>
      </c>
      <c r="X225" s="52">
        <f t="shared" si="238"/>
        <v>47.619047619047613</v>
      </c>
      <c r="Y225" s="53">
        <f>COUNTIFS('00 Encuesta'!$B$2:$B$511,"*b)*",'00 Encuesta'!$C$2:$C$511,"*c)*",'00 Encuesta'!$E$2:$E$511,"*b)*",'00 Encuesta'!$AC$2:$AC$511,"*d)*")</f>
        <v>2</v>
      </c>
      <c r="Z225" s="52">
        <f t="shared" si="239"/>
        <v>11.111111111111111</v>
      </c>
      <c r="AA225" s="3"/>
      <c r="AB225" s="62">
        <f t="shared" si="240"/>
        <v>28</v>
      </c>
      <c r="AC225" s="52">
        <f t="shared" si="241"/>
        <v>25.688073394495412</v>
      </c>
      <c r="AD225" s="3"/>
      <c r="AE225" s="3"/>
      <c r="AF225" s="9" t="str">
        <f t="shared" si="242"/>
        <v>d) Ingeniería</v>
      </c>
      <c r="AG225" s="72">
        <f t="shared" si="243"/>
        <v>28.571428571428569</v>
      </c>
      <c r="AH225" s="72">
        <f t="shared" si="244"/>
        <v>17.647058823529413</v>
      </c>
      <c r="AI225" s="73">
        <f t="shared" si="245"/>
        <v>23.684210526315788</v>
      </c>
      <c r="AJ225" s="73"/>
      <c r="AK225" s="76">
        <f t="shared" si="246"/>
        <v>41.17647058823529</v>
      </c>
      <c r="AL225" s="76">
        <f t="shared" si="247"/>
        <v>0</v>
      </c>
      <c r="AM225" s="76">
        <f t="shared" si="248"/>
        <v>21.875</v>
      </c>
      <c r="AN225" s="76"/>
      <c r="AO225" s="81">
        <f t="shared" si="249"/>
        <v>47.619047619047613</v>
      </c>
      <c r="AP225" s="81">
        <f t="shared" si="250"/>
        <v>11.111111111111111</v>
      </c>
      <c r="AQ225" s="81">
        <f t="shared" si="251"/>
        <v>30.76923076923077</v>
      </c>
      <c r="AR225" s="3"/>
      <c r="AS225" s="76">
        <f t="shared" si="227"/>
        <v>25.688073394495412</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ht="15" x14ac:dyDescent="0.25">
      <c r="A226" s="8" t="s">
        <v>22</v>
      </c>
      <c r="B226" s="9" t="s">
        <v>164</v>
      </c>
      <c r="C226" s="7"/>
      <c r="D226" s="7"/>
      <c r="E226" s="7"/>
      <c r="F226" s="71"/>
      <c r="G226" s="51">
        <f t="shared" si="228"/>
        <v>5</v>
      </c>
      <c r="H226" s="52">
        <f t="shared" si="229"/>
        <v>13.157894736842104</v>
      </c>
      <c r="I226" s="53">
        <f>COUNTIFS('00 Encuesta'!$B$2:$B$511,"*b)*",'00 Encuesta'!$C$2:$C$511,"*a)*",'00 Encuesta'!$E$2:$E$511,"*a)*",'00 Encuesta'!$AC$2:$AC$511,"*e)*")</f>
        <v>4</v>
      </c>
      <c r="J226" s="52">
        <f t="shared" si="230"/>
        <v>19.047619047619047</v>
      </c>
      <c r="K226" s="53">
        <f>COUNTIFS('00 Encuesta'!$B$2:$B$511,"*b)*",'00 Encuesta'!$C$2:$C$511,"*a)*",'00 Encuesta'!$E$2:$E$511,"*b)*",'00 Encuesta'!$AC$2:$AC$511,"*e)*")</f>
        <v>1</v>
      </c>
      <c r="L226" s="52">
        <f t="shared" si="231"/>
        <v>5.8823529411764701</v>
      </c>
      <c r="M226" s="23"/>
      <c r="N226" s="51">
        <f t="shared" si="232"/>
        <v>5</v>
      </c>
      <c r="O226" s="52">
        <f t="shared" si="233"/>
        <v>15.625</v>
      </c>
      <c r="P226" s="53">
        <f>COUNTIFS('00 Encuesta'!$B$2:$B$511,"*b)*",'00 Encuesta'!$C$2:$C$511,"*b)*",'00 Encuesta'!$E$2:$E$511,"*a)*",'00 Encuesta'!$AC$2:$AC$511,"*e)*")</f>
        <v>4</v>
      </c>
      <c r="Q226" s="52">
        <f t="shared" si="234"/>
        <v>23.52941176470588</v>
      </c>
      <c r="R226" s="53">
        <f>COUNTIFS('00 Encuesta'!$B$2:$B$511,"*b)*",'00 Encuesta'!$C$2:$C$511,"*b)*",'00 Encuesta'!$E$2:$E$511,"*b)*",'00 Encuesta'!$AC$2:$AC$511,"*e)*")</f>
        <v>1</v>
      </c>
      <c r="S226" s="52">
        <f t="shared" si="235"/>
        <v>6.666666666666667</v>
      </c>
      <c r="T226" s="3"/>
      <c r="U226" s="51">
        <f t="shared" si="236"/>
        <v>8</v>
      </c>
      <c r="V226" s="52">
        <f t="shared" si="237"/>
        <v>20.512820512820511</v>
      </c>
      <c r="W226" s="53">
        <f>COUNTIFS('00 Encuesta'!$B$2:$B$511,"*b)*",'00 Encuesta'!$C$2:$C$511,"*c)*",'00 Encuesta'!$E$2:$E$511,"*a)*",'00 Encuesta'!$AC$2:$AC$511,"*e)*")</f>
        <v>3</v>
      </c>
      <c r="X226" s="52">
        <f t="shared" si="238"/>
        <v>14.285714285714285</v>
      </c>
      <c r="Y226" s="53">
        <f>COUNTIFS('00 Encuesta'!$B$2:$B$511,"*b)*",'00 Encuesta'!$C$2:$C$511,"*c)*",'00 Encuesta'!$E$2:$E$511,"*b)*",'00 Encuesta'!$AC$2:$AC$511,"*e)*")</f>
        <v>5</v>
      </c>
      <c r="Z226" s="52">
        <f t="shared" si="239"/>
        <v>27.777777777777779</v>
      </c>
      <c r="AA226" s="3"/>
      <c r="AB226" s="62">
        <f t="shared" si="240"/>
        <v>18</v>
      </c>
      <c r="AC226" s="52">
        <f t="shared" si="241"/>
        <v>16.513761467889907</v>
      </c>
      <c r="AD226" s="3"/>
      <c r="AE226" s="3"/>
      <c r="AF226" s="9" t="str">
        <f t="shared" si="242"/>
        <v>e) Derecho</v>
      </c>
      <c r="AG226" s="72">
        <f t="shared" si="243"/>
        <v>19.047619047619047</v>
      </c>
      <c r="AH226" s="72">
        <f t="shared" si="244"/>
        <v>5.8823529411764701</v>
      </c>
      <c r="AI226" s="73">
        <f t="shared" si="245"/>
        <v>13.157894736842104</v>
      </c>
      <c r="AJ226" s="73"/>
      <c r="AK226" s="76">
        <f t="shared" si="246"/>
        <v>23.52941176470588</v>
      </c>
      <c r="AL226" s="76">
        <f t="shared" si="247"/>
        <v>6.666666666666667</v>
      </c>
      <c r="AM226" s="76">
        <f t="shared" si="248"/>
        <v>15.625</v>
      </c>
      <c r="AN226" s="76"/>
      <c r="AO226" s="81">
        <f t="shared" si="249"/>
        <v>14.285714285714285</v>
      </c>
      <c r="AP226" s="81">
        <f t="shared" si="250"/>
        <v>27.777777777777779</v>
      </c>
      <c r="AQ226" s="81">
        <f t="shared" si="251"/>
        <v>20.512820512820511</v>
      </c>
      <c r="AR226" s="3"/>
      <c r="AS226" s="76">
        <f t="shared" si="227"/>
        <v>16.513761467889907</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ht="15.75" x14ac:dyDescent="0.3">
      <c r="A227" s="1" t="s">
        <v>45</v>
      </c>
      <c r="B227" s="2" t="s">
        <v>165</v>
      </c>
      <c r="C227" s="3"/>
      <c r="D227" s="7"/>
      <c r="E227" s="7"/>
      <c r="F227" s="71"/>
      <c r="G227" s="51">
        <f t="shared" si="228"/>
        <v>1</v>
      </c>
      <c r="H227" s="52">
        <f t="shared" si="229"/>
        <v>2.6315789473684208</v>
      </c>
      <c r="I227" s="53">
        <f>COUNTIFS('00 Encuesta'!$B$2:$B$511,"*b)*",'00 Encuesta'!$C$2:$C$511,"*a)*",'00 Encuesta'!$E$2:$E$511,"*a)*",'00 Encuesta'!$AC$2:$AC$511,"*f)*")</f>
        <v>1</v>
      </c>
      <c r="J227" s="52">
        <f t="shared" si="230"/>
        <v>4.7619047619047619</v>
      </c>
      <c r="K227" s="53">
        <f>COUNTIFS('00 Encuesta'!$B$2:$B$511,"*b)*",'00 Encuesta'!$C$2:$C$511,"*a)*",'00 Encuesta'!$E$2:$E$511,"*b)*",'00 Encuesta'!$AC$2:$AC$511,"*f)*")</f>
        <v>0</v>
      </c>
      <c r="L227" s="52">
        <f t="shared" si="231"/>
        <v>0</v>
      </c>
      <c r="M227" s="23"/>
      <c r="N227" s="51">
        <f t="shared" si="232"/>
        <v>0</v>
      </c>
      <c r="O227" s="52">
        <f t="shared" si="233"/>
        <v>0</v>
      </c>
      <c r="P227" s="53">
        <f>COUNTIFS('00 Encuesta'!$B$2:$B$511,"*b)*",'00 Encuesta'!$C$2:$C$511,"*b)*",'00 Encuesta'!$E$2:$E$511,"*a)*",'00 Encuesta'!$AC$2:$AC$511,"*f)*")</f>
        <v>0</v>
      </c>
      <c r="Q227" s="52">
        <f t="shared" si="234"/>
        <v>0</v>
      </c>
      <c r="R227" s="53">
        <f>COUNTIFS('00 Encuesta'!$B$2:$B$511,"*b)*",'00 Encuesta'!$C$2:$C$511,"*b)*",'00 Encuesta'!$E$2:$E$511,"*b)*",'00 Encuesta'!$AC$2:$AC$511,"*f)*")</f>
        <v>0</v>
      </c>
      <c r="S227" s="52">
        <f t="shared" si="235"/>
        <v>0</v>
      </c>
      <c r="T227" s="3"/>
      <c r="U227" s="51">
        <f t="shared" si="236"/>
        <v>1</v>
      </c>
      <c r="V227" s="52">
        <f t="shared" si="237"/>
        <v>2.5641025641025639</v>
      </c>
      <c r="W227" s="53">
        <f>COUNTIFS('00 Encuesta'!$B$2:$B$511,"*b)*",'00 Encuesta'!$C$2:$C$511,"*c)*",'00 Encuesta'!$E$2:$E$511,"*a)*",'00 Encuesta'!$AC$2:$AC$511,"*f)*")</f>
        <v>1</v>
      </c>
      <c r="X227" s="52">
        <f t="shared" si="238"/>
        <v>4.7619047619047619</v>
      </c>
      <c r="Y227" s="53">
        <f>COUNTIFS('00 Encuesta'!$B$2:$B$511,"*b)*",'00 Encuesta'!$C$2:$C$511,"*c)*",'00 Encuesta'!$E$2:$E$511,"*b)*",'00 Encuesta'!$AC$2:$AC$511,"*f)*")</f>
        <v>0</v>
      </c>
      <c r="Z227" s="52">
        <f t="shared" si="239"/>
        <v>0</v>
      </c>
      <c r="AA227" s="3"/>
      <c r="AB227" s="62">
        <f t="shared" si="240"/>
        <v>2</v>
      </c>
      <c r="AC227" s="52">
        <f t="shared" si="241"/>
        <v>1.834862385321101</v>
      </c>
      <c r="AD227" s="3"/>
      <c r="AE227" s="3"/>
      <c r="AF227" s="9" t="str">
        <f t="shared" si="242"/>
        <v>f) Ciencias policiales o artes militares</v>
      </c>
      <c r="AG227" s="72">
        <f t="shared" si="243"/>
        <v>4.7619047619047619</v>
      </c>
      <c r="AH227" s="72">
        <f t="shared" si="244"/>
        <v>0</v>
      </c>
      <c r="AI227" s="73">
        <f t="shared" si="245"/>
        <v>2.6315789473684208</v>
      </c>
      <c r="AJ227" s="73"/>
      <c r="AK227" s="76">
        <f t="shared" si="246"/>
        <v>0</v>
      </c>
      <c r="AL227" s="76">
        <f t="shared" si="247"/>
        <v>0</v>
      </c>
      <c r="AM227" s="76">
        <f t="shared" si="248"/>
        <v>0</v>
      </c>
      <c r="AN227" s="76"/>
      <c r="AO227" s="81">
        <f t="shared" si="249"/>
        <v>4.7619047619047619</v>
      </c>
      <c r="AP227" s="81">
        <f t="shared" si="250"/>
        <v>0</v>
      </c>
      <c r="AQ227" s="81">
        <f t="shared" si="251"/>
        <v>2.5641025641025639</v>
      </c>
      <c r="AR227" s="3"/>
      <c r="AS227" s="76">
        <f t="shared" si="227"/>
        <v>1.834862385321101</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ht="15.75" x14ac:dyDescent="0.3">
      <c r="A228" s="1" t="s">
        <v>61</v>
      </c>
      <c r="B228" s="2" t="s">
        <v>166</v>
      </c>
      <c r="C228" s="3"/>
      <c r="D228" s="7"/>
      <c r="E228" s="7"/>
      <c r="F228" s="71"/>
      <c r="G228" s="51">
        <f t="shared" si="228"/>
        <v>8</v>
      </c>
      <c r="H228" s="52">
        <f t="shared" si="229"/>
        <v>21.052631578947366</v>
      </c>
      <c r="I228" s="53">
        <f>COUNTIFS('00 Encuesta'!$B$2:$B$511,"*b)*",'00 Encuesta'!$C$2:$C$511,"*a)*",'00 Encuesta'!$E$2:$E$511,"*a)*",'00 Encuesta'!$AC$2:$AC$511,"*g)*")</f>
        <v>4</v>
      </c>
      <c r="J228" s="52">
        <f t="shared" si="230"/>
        <v>19.047619047619047</v>
      </c>
      <c r="K228" s="53">
        <f>COUNTIFS('00 Encuesta'!$B$2:$B$511,"*b)*",'00 Encuesta'!$C$2:$C$511,"*a)*",'00 Encuesta'!$E$2:$E$511,"*b)*",'00 Encuesta'!$AC$2:$AC$511,"*g)*")</f>
        <v>4</v>
      </c>
      <c r="L228" s="52">
        <f t="shared" si="231"/>
        <v>23.52941176470588</v>
      </c>
      <c r="M228" s="23"/>
      <c r="N228" s="51">
        <f t="shared" si="232"/>
        <v>5</v>
      </c>
      <c r="O228" s="52">
        <f t="shared" si="233"/>
        <v>15.625</v>
      </c>
      <c r="P228" s="53">
        <f>COUNTIFS('00 Encuesta'!$B$2:$B$511,"*b)*",'00 Encuesta'!$C$2:$C$511,"*b)*",'00 Encuesta'!$E$2:$E$511,"*a)*",'00 Encuesta'!$AC$2:$AC$511,"*g)*")</f>
        <v>1</v>
      </c>
      <c r="Q228" s="52">
        <f t="shared" si="234"/>
        <v>5.8823529411764701</v>
      </c>
      <c r="R228" s="53">
        <f>COUNTIFS('00 Encuesta'!$B$2:$B$511,"*b)*",'00 Encuesta'!$C$2:$C$511,"*b)*",'00 Encuesta'!$E$2:$E$511,"*b)*",'00 Encuesta'!$AC$2:$AC$511,"*g)*")</f>
        <v>4</v>
      </c>
      <c r="S228" s="52">
        <f t="shared" si="235"/>
        <v>26.666666666666668</v>
      </c>
      <c r="T228" s="3"/>
      <c r="U228" s="51">
        <f t="shared" si="236"/>
        <v>10</v>
      </c>
      <c r="V228" s="52">
        <f t="shared" si="237"/>
        <v>25.641025641025639</v>
      </c>
      <c r="W228" s="53">
        <f>COUNTIFS('00 Encuesta'!$B$2:$B$511,"*b)*",'00 Encuesta'!$C$2:$C$511,"*c)*",'00 Encuesta'!$E$2:$E$511,"*a)*",'00 Encuesta'!$AC$2:$AC$511,"*g)*")</f>
        <v>3</v>
      </c>
      <c r="X228" s="52">
        <f t="shared" si="238"/>
        <v>14.285714285714285</v>
      </c>
      <c r="Y228" s="53">
        <f>COUNTIFS('00 Encuesta'!$B$2:$B$511,"*b)*",'00 Encuesta'!$C$2:$C$511,"*c)*",'00 Encuesta'!$E$2:$E$511,"*b)*",'00 Encuesta'!$AC$2:$AC$511,"*g)*")</f>
        <v>7</v>
      </c>
      <c r="Z228" s="52">
        <f t="shared" si="239"/>
        <v>38.888888888888893</v>
      </c>
      <c r="AA228" s="3"/>
      <c r="AB228" s="62">
        <f t="shared" si="240"/>
        <v>23</v>
      </c>
      <c r="AC228" s="52">
        <f t="shared" si="241"/>
        <v>21.100917431192659</v>
      </c>
      <c r="AD228" s="3"/>
      <c r="AE228" s="3"/>
      <c r="AF228" s="9" t="str">
        <f t="shared" si="242"/>
        <v>g) Artista</v>
      </c>
      <c r="AG228" s="72">
        <f t="shared" si="243"/>
        <v>19.047619047619047</v>
      </c>
      <c r="AH228" s="72">
        <f t="shared" si="244"/>
        <v>23.52941176470588</v>
      </c>
      <c r="AI228" s="73">
        <f t="shared" si="245"/>
        <v>21.052631578947366</v>
      </c>
      <c r="AJ228" s="73"/>
      <c r="AK228" s="76">
        <f t="shared" si="246"/>
        <v>5.8823529411764701</v>
      </c>
      <c r="AL228" s="76">
        <f t="shared" si="247"/>
        <v>26.666666666666668</v>
      </c>
      <c r="AM228" s="76">
        <f t="shared" si="248"/>
        <v>15.625</v>
      </c>
      <c r="AN228" s="76"/>
      <c r="AO228" s="81">
        <f t="shared" si="249"/>
        <v>14.285714285714285</v>
      </c>
      <c r="AP228" s="81">
        <f t="shared" si="250"/>
        <v>38.888888888888893</v>
      </c>
      <c r="AQ228" s="81">
        <f t="shared" si="251"/>
        <v>25.641025641025639</v>
      </c>
      <c r="AR228" s="3"/>
      <c r="AS228" s="76">
        <f t="shared" si="227"/>
        <v>21.100917431192659</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1</v>
      </c>
      <c r="H229" s="52">
        <f t="shared" si="229"/>
        <v>2.6315789473684208</v>
      </c>
      <c r="I229" s="53">
        <f>COUNTIFS('00 Encuesta'!$B$2:$B$511,"*b)*",'00 Encuesta'!$C$2:$C$511,"*a)*",'00 Encuesta'!$E$2:$E$511,"*a)*",'00 Encuesta'!$AC$2:$AC$511,"*h)*")</f>
        <v>1</v>
      </c>
      <c r="J229" s="52">
        <f t="shared" si="230"/>
        <v>4.7619047619047619</v>
      </c>
      <c r="K229" s="53">
        <f>COUNTIFS('00 Encuesta'!$B$2:$B$511,"*b)*",'00 Encuesta'!$C$2:$C$511,"*a)*",'00 Encuesta'!$E$2:$E$511,"*b)*",'00 Encuesta'!$AC$2:$AC$511,"*h)*")</f>
        <v>0</v>
      </c>
      <c r="L229" s="52">
        <f t="shared" si="231"/>
        <v>0</v>
      </c>
      <c r="M229" s="23"/>
      <c r="N229" s="51">
        <f t="shared" si="232"/>
        <v>1</v>
      </c>
      <c r="O229" s="52">
        <f t="shared" si="233"/>
        <v>3.125</v>
      </c>
      <c r="P229" s="53">
        <f>COUNTIFS('00 Encuesta'!$B$2:$B$511,"*b)*",'00 Encuesta'!$C$2:$C$511,"*b)*",'00 Encuesta'!$E$2:$E$511,"*a)*",'00 Encuesta'!$AC$2:$AC$511,"*h)*")</f>
        <v>1</v>
      </c>
      <c r="Q229" s="52">
        <f t="shared" si="234"/>
        <v>5.8823529411764701</v>
      </c>
      <c r="R229" s="53">
        <f>COUNTIFS('00 Encuesta'!$B$2:$B$511,"*b)*",'00 Encuesta'!$C$2:$C$511,"*b)*",'00 Encuesta'!$E$2:$E$511,"*b)*",'00 Encuesta'!$AC$2:$AC$511,"*h)*")</f>
        <v>0</v>
      </c>
      <c r="S229" s="52">
        <f t="shared" si="235"/>
        <v>0</v>
      </c>
      <c r="T229" s="3"/>
      <c r="U229" s="51">
        <f t="shared" si="236"/>
        <v>3</v>
      </c>
      <c r="V229" s="52">
        <f t="shared" si="237"/>
        <v>7.6923076923076925</v>
      </c>
      <c r="W229" s="53">
        <f>COUNTIFS('00 Encuesta'!$B$2:$B$511,"*b)*",'00 Encuesta'!$C$2:$C$511,"*c)*",'00 Encuesta'!$E$2:$E$511,"*a)*",'00 Encuesta'!$AC$2:$AC$511,"*h)*")</f>
        <v>3</v>
      </c>
      <c r="X229" s="52">
        <f t="shared" si="238"/>
        <v>14.285714285714285</v>
      </c>
      <c r="Y229" s="53">
        <f>COUNTIFS('00 Encuesta'!$B$2:$B$511,"*b)*",'00 Encuesta'!$C$2:$C$511,"*c)*",'00 Encuesta'!$E$2:$E$511,"*b)*",'00 Encuesta'!$AC$2:$AC$511,"*h)*")</f>
        <v>0</v>
      </c>
      <c r="Z229" s="52">
        <f t="shared" si="239"/>
        <v>0</v>
      </c>
      <c r="AA229" s="3"/>
      <c r="AB229" s="62">
        <f t="shared" si="240"/>
        <v>5</v>
      </c>
      <c r="AC229" s="52">
        <f t="shared" si="241"/>
        <v>4.5871559633027523</v>
      </c>
      <c r="AD229" s="3"/>
      <c r="AE229" s="3"/>
      <c r="AF229" s="9" t="str">
        <f t="shared" si="242"/>
        <v>h) Ciencias Políticas</v>
      </c>
      <c r="AG229" s="72">
        <f t="shared" si="243"/>
        <v>4.7619047619047619</v>
      </c>
      <c r="AH229" s="72">
        <f t="shared" si="244"/>
        <v>0</v>
      </c>
      <c r="AI229" s="73">
        <f t="shared" si="245"/>
        <v>2.6315789473684208</v>
      </c>
      <c r="AJ229" s="73"/>
      <c r="AK229" s="76">
        <f t="shared" si="246"/>
        <v>5.8823529411764701</v>
      </c>
      <c r="AL229" s="76">
        <f t="shared" si="247"/>
        <v>0</v>
      </c>
      <c r="AM229" s="76">
        <f t="shared" si="248"/>
        <v>3.125</v>
      </c>
      <c r="AN229" s="76"/>
      <c r="AO229" s="81">
        <f t="shared" si="249"/>
        <v>14.285714285714285</v>
      </c>
      <c r="AP229" s="81">
        <f t="shared" si="250"/>
        <v>0</v>
      </c>
      <c r="AQ229" s="81">
        <f t="shared" si="251"/>
        <v>7.6923076923076925</v>
      </c>
      <c r="AR229" s="3"/>
      <c r="AS229" s="76">
        <f t="shared" si="227"/>
        <v>4.5871559633027523</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ht="15" x14ac:dyDescent="0.25">
      <c r="A230" s="84" t="s">
        <v>65</v>
      </c>
      <c r="B230" s="9" t="s">
        <v>168</v>
      </c>
      <c r="C230" s="7"/>
      <c r="D230" s="7"/>
      <c r="E230" s="7"/>
      <c r="F230" s="71"/>
      <c r="G230" s="51">
        <f t="shared" si="228"/>
        <v>2</v>
      </c>
      <c r="H230" s="52">
        <f t="shared" si="229"/>
        <v>5.2631578947368416</v>
      </c>
      <c r="I230" s="53">
        <f>COUNTIFS('00 Encuesta'!$B$2:$B$511,"*b)*",'00 Encuesta'!$C$2:$C$511,"*a)*",'00 Encuesta'!$E$2:$E$511,"*a)*",'00 Encuesta'!$AC$2:$AC$511,"*i)*")</f>
        <v>2</v>
      </c>
      <c r="J230" s="52">
        <f t="shared" si="230"/>
        <v>9.5238095238095237</v>
      </c>
      <c r="K230" s="53">
        <f>COUNTIFS('00 Encuesta'!$B$2:$B$511,"*b)*",'00 Encuesta'!$C$2:$C$511,"*a)*",'00 Encuesta'!$E$2:$E$511,"*b)*",'00 Encuesta'!$AC$2:$AC$511,"*i)*")</f>
        <v>0</v>
      </c>
      <c r="L230" s="52">
        <f t="shared" si="231"/>
        <v>0</v>
      </c>
      <c r="M230" s="23"/>
      <c r="N230" s="51">
        <f t="shared" si="232"/>
        <v>7</v>
      </c>
      <c r="O230" s="52">
        <f t="shared" si="233"/>
        <v>21.875</v>
      </c>
      <c r="P230" s="53">
        <f>COUNTIFS('00 Encuesta'!$B$2:$B$511,"*b)*",'00 Encuesta'!$C$2:$C$511,"*b)*",'00 Encuesta'!$E$2:$E$511,"*a)*",'00 Encuesta'!$AC$2:$AC$511,"*i)*")</f>
        <v>4</v>
      </c>
      <c r="Q230" s="52">
        <f t="shared" si="234"/>
        <v>23.52941176470588</v>
      </c>
      <c r="R230" s="53">
        <f>COUNTIFS('00 Encuesta'!$B$2:$B$511,"*b)*",'00 Encuesta'!$C$2:$C$511,"*b)*",'00 Encuesta'!$E$2:$E$511,"*b)*",'00 Encuesta'!$AC$2:$AC$511,"*i)*")</f>
        <v>3</v>
      </c>
      <c r="S230" s="52">
        <f t="shared" si="235"/>
        <v>20</v>
      </c>
      <c r="T230" s="3"/>
      <c r="U230" s="51">
        <f t="shared" si="236"/>
        <v>6</v>
      </c>
      <c r="V230" s="52">
        <f t="shared" si="237"/>
        <v>15.384615384615385</v>
      </c>
      <c r="W230" s="53">
        <f>COUNTIFS('00 Encuesta'!$B$2:$B$511,"*b)*",'00 Encuesta'!$C$2:$C$511,"*c)*",'00 Encuesta'!$E$2:$E$511,"*a)*",'00 Encuesta'!$AC$2:$AC$511,"*i)*")</f>
        <v>3</v>
      </c>
      <c r="X230" s="52">
        <f t="shared" si="238"/>
        <v>14.285714285714285</v>
      </c>
      <c r="Y230" s="53">
        <f>COUNTIFS('00 Encuesta'!$B$2:$B$511,"*b)*",'00 Encuesta'!$C$2:$C$511,"*c)*",'00 Encuesta'!$E$2:$E$511,"*b)*",'00 Encuesta'!$AC$2:$AC$511,"*i)*")</f>
        <v>3</v>
      </c>
      <c r="Z230" s="52">
        <f t="shared" si="239"/>
        <v>16.666666666666664</v>
      </c>
      <c r="AA230" s="3"/>
      <c r="AB230" s="62">
        <f t="shared" si="240"/>
        <v>15</v>
      </c>
      <c r="AC230" s="52">
        <f t="shared" si="241"/>
        <v>13.761467889908257</v>
      </c>
      <c r="AD230" s="3"/>
      <c r="AE230" s="3"/>
      <c r="AF230" s="9" t="str">
        <f t="shared" si="242"/>
        <v>i) Comerciante</v>
      </c>
      <c r="AG230" s="72">
        <f t="shared" si="243"/>
        <v>9.5238095238095237</v>
      </c>
      <c r="AH230" s="72">
        <f t="shared" si="244"/>
        <v>0</v>
      </c>
      <c r="AI230" s="73">
        <f t="shared" si="245"/>
        <v>5.2631578947368416</v>
      </c>
      <c r="AJ230" s="73"/>
      <c r="AK230" s="76">
        <f t="shared" si="246"/>
        <v>23.52941176470588</v>
      </c>
      <c r="AL230" s="76">
        <f t="shared" si="247"/>
        <v>20</v>
      </c>
      <c r="AM230" s="76">
        <f t="shared" si="248"/>
        <v>21.875</v>
      </c>
      <c r="AN230" s="76"/>
      <c r="AO230" s="81">
        <f t="shared" si="249"/>
        <v>14.285714285714285</v>
      </c>
      <c r="AP230" s="81">
        <f t="shared" si="250"/>
        <v>16.666666666666664</v>
      </c>
      <c r="AQ230" s="81">
        <f t="shared" si="251"/>
        <v>15.384615384615385</v>
      </c>
      <c r="AR230" s="3"/>
      <c r="AS230" s="76">
        <f t="shared" si="227"/>
        <v>13.761467889908257</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ht="15" x14ac:dyDescent="0.25">
      <c r="A231" s="84" t="s">
        <v>67</v>
      </c>
      <c r="B231" s="9" t="s">
        <v>169</v>
      </c>
      <c r="C231" s="7"/>
      <c r="D231" s="7"/>
      <c r="E231" s="7"/>
      <c r="F231" s="71"/>
      <c r="G231" s="51">
        <f t="shared" si="228"/>
        <v>2</v>
      </c>
      <c r="H231" s="52">
        <f t="shared" si="229"/>
        <v>5.2631578947368416</v>
      </c>
      <c r="I231" s="53">
        <f>COUNTIFS('00 Encuesta'!$B$2:$B$511,"*b)*",'00 Encuesta'!$C$2:$C$511,"*a)*",'00 Encuesta'!$E$2:$E$511,"*a)*",'00 Encuesta'!$AC$2:$AC$511,"*j)*")</f>
        <v>1</v>
      </c>
      <c r="J231" s="52">
        <f t="shared" si="230"/>
        <v>4.7619047619047619</v>
      </c>
      <c r="K231" s="53">
        <f>COUNTIFS('00 Encuesta'!$B$2:$B$511,"*b)*",'00 Encuesta'!$C$2:$C$511,"*a)*",'00 Encuesta'!$E$2:$E$511,"*b)*",'00 Encuesta'!$AC$2:$AC$511,"*j)*")</f>
        <v>1</v>
      </c>
      <c r="L231" s="52">
        <f t="shared" si="231"/>
        <v>5.8823529411764701</v>
      </c>
      <c r="M231" s="23"/>
      <c r="N231" s="51">
        <f t="shared" si="232"/>
        <v>1</v>
      </c>
      <c r="O231" s="52">
        <f t="shared" si="233"/>
        <v>3.125</v>
      </c>
      <c r="P231" s="53">
        <f>COUNTIFS('00 Encuesta'!$B$2:$B$511,"*b)*",'00 Encuesta'!$C$2:$C$511,"*b)*",'00 Encuesta'!$E$2:$E$511,"*a)*",'00 Encuesta'!$AC$2:$AC$511,"*j)*")</f>
        <v>1</v>
      </c>
      <c r="Q231" s="52">
        <f t="shared" si="234"/>
        <v>5.8823529411764701</v>
      </c>
      <c r="R231" s="53">
        <f>COUNTIFS('00 Encuesta'!$B$2:$B$511,"*b)*",'00 Encuesta'!$C$2:$C$511,"*b)*",'00 Encuesta'!$E$2:$E$511,"*b)*",'00 Encuesta'!$AC$2:$AC$511,"*j)*")</f>
        <v>0</v>
      </c>
      <c r="S231" s="52">
        <f t="shared" si="235"/>
        <v>0</v>
      </c>
      <c r="T231" s="3"/>
      <c r="U231" s="51">
        <f t="shared" si="236"/>
        <v>1</v>
      </c>
      <c r="V231" s="52">
        <f t="shared" si="237"/>
        <v>2.5641025641025639</v>
      </c>
      <c r="W231" s="53">
        <f>COUNTIFS('00 Encuesta'!$B$2:$B$511,"*b)*",'00 Encuesta'!$C$2:$C$511,"*c)*",'00 Encuesta'!$E$2:$E$511,"*a)*",'00 Encuesta'!$AC$2:$AC$511,"*j)*")</f>
        <v>1</v>
      </c>
      <c r="X231" s="52">
        <f t="shared" si="238"/>
        <v>4.7619047619047619</v>
      </c>
      <c r="Y231" s="53">
        <f>COUNTIFS('00 Encuesta'!$B$2:$B$511,"*b)*",'00 Encuesta'!$C$2:$C$511,"*c)*",'00 Encuesta'!$E$2:$E$511,"*b)*",'00 Encuesta'!$AC$2:$AC$511,"*j)*")</f>
        <v>0</v>
      </c>
      <c r="Z231" s="52">
        <f t="shared" si="239"/>
        <v>0</v>
      </c>
      <c r="AA231" s="3"/>
      <c r="AB231" s="62">
        <f t="shared" si="240"/>
        <v>4</v>
      </c>
      <c r="AC231" s="52">
        <f t="shared" si="241"/>
        <v>3.669724770642202</v>
      </c>
      <c r="AD231" s="3"/>
      <c r="AE231" s="3"/>
      <c r="AF231" s="9" t="str">
        <f t="shared" si="242"/>
        <v>j) Trabajador calificado</v>
      </c>
      <c r="AG231" s="72">
        <f t="shared" si="243"/>
        <v>4.7619047619047619</v>
      </c>
      <c r="AH231" s="72">
        <f t="shared" si="244"/>
        <v>5.8823529411764701</v>
      </c>
      <c r="AI231" s="73">
        <f t="shared" si="245"/>
        <v>5.2631578947368416</v>
      </c>
      <c r="AJ231" s="73"/>
      <c r="AK231" s="76">
        <f t="shared" si="246"/>
        <v>5.8823529411764701</v>
      </c>
      <c r="AL231" s="76">
        <f t="shared" si="247"/>
        <v>0</v>
      </c>
      <c r="AM231" s="76">
        <f t="shared" si="248"/>
        <v>3.125</v>
      </c>
      <c r="AN231" s="76"/>
      <c r="AO231" s="81">
        <f t="shared" si="249"/>
        <v>4.7619047619047619</v>
      </c>
      <c r="AP231" s="81">
        <f t="shared" si="250"/>
        <v>0</v>
      </c>
      <c r="AQ231" s="81">
        <f t="shared" si="251"/>
        <v>2.5641025641025639</v>
      </c>
      <c r="AR231" s="3"/>
      <c r="AS231" s="76">
        <f t="shared" si="227"/>
        <v>3.669724770642202</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ht="15" x14ac:dyDescent="0.25">
      <c r="A232" s="8" t="s">
        <v>23</v>
      </c>
      <c r="B232" s="9" t="s">
        <v>158</v>
      </c>
      <c r="C232" s="7"/>
      <c r="D232" s="7"/>
      <c r="E232" s="7"/>
      <c r="F232" s="71"/>
      <c r="G232" s="51">
        <f t="shared" si="228"/>
        <v>0</v>
      </c>
      <c r="H232" s="52">
        <f t="shared" si="229"/>
        <v>0</v>
      </c>
      <c r="I232" s="53"/>
      <c r="J232" s="52">
        <f t="shared" si="230"/>
        <v>0</v>
      </c>
      <c r="K232" s="53"/>
      <c r="L232" s="52">
        <f t="shared" si="231"/>
        <v>0</v>
      </c>
      <c r="M232" s="23"/>
      <c r="N232" s="51">
        <f t="shared" si="232"/>
        <v>0</v>
      </c>
      <c r="O232" s="52">
        <f t="shared" si="233"/>
        <v>0</v>
      </c>
      <c r="P232" s="53"/>
      <c r="Q232" s="52">
        <f t="shared" si="234"/>
        <v>0</v>
      </c>
      <c r="R232" s="53"/>
      <c r="S232" s="52">
        <f t="shared" si="235"/>
        <v>0</v>
      </c>
      <c r="T232" s="3"/>
      <c r="U232" s="51">
        <f t="shared" si="236"/>
        <v>0</v>
      </c>
      <c r="V232" s="52">
        <f t="shared" si="237"/>
        <v>0</v>
      </c>
      <c r="W232" s="53"/>
      <c r="X232" s="52">
        <f t="shared" si="238"/>
        <v>0</v>
      </c>
      <c r="Y232" s="53"/>
      <c r="Z232" s="52">
        <f t="shared" si="239"/>
        <v>0</v>
      </c>
      <c r="AA232" s="3"/>
      <c r="AB232" s="62">
        <f t="shared" si="240"/>
        <v>0</v>
      </c>
      <c r="AC232" s="52">
        <f t="shared" si="241"/>
        <v>0</v>
      </c>
      <c r="AD232" s="3"/>
      <c r="AE232" s="3"/>
      <c r="AF232" s="9" t="str">
        <f t="shared" si="242"/>
        <v>S/R Sin respuesta</v>
      </c>
      <c r="AG232" s="72">
        <f t="shared" si="243"/>
        <v>0</v>
      </c>
      <c r="AH232" s="72">
        <f t="shared" si="244"/>
        <v>0</v>
      </c>
      <c r="AI232" s="73">
        <f t="shared" si="245"/>
        <v>0</v>
      </c>
      <c r="AJ232" s="73"/>
      <c r="AK232" s="76">
        <f t="shared" si="246"/>
        <v>0</v>
      </c>
      <c r="AL232" s="76">
        <f t="shared" si="247"/>
        <v>0</v>
      </c>
      <c r="AM232" s="76">
        <f t="shared" si="248"/>
        <v>0</v>
      </c>
      <c r="AN232" s="76"/>
      <c r="AO232" s="81">
        <f t="shared" si="249"/>
        <v>0</v>
      </c>
      <c r="AP232" s="81">
        <f t="shared" si="250"/>
        <v>0</v>
      </c>
      <c r="AQ232" s="81">
        <f t="shared" si="251"/>
        <v>0</v>
      </c>
      <c r="AR232" s="3"/>
      <c r="AS232" s="76">
        <f t="shared" si="227"/>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ht="15" x14ac:dyDescent="0.25">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ht="15" x14ac:dyDescent="0.25">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ht="15" x14ac:dyDescent="0.25">
      <c r="A235" s="8" t="s">
        <v>17</v>
      </c>
      <c r="B235" s="9" t="s">
        <v>171</v>
      </c>
      <c r="C235" s="7"/>
      <c r="D235" s="7"/>
      <c r="E235" s="7"/>
      <c r="F235" s="71"/>
      <c r="G235" s="51">
        <f t="shared" ref="G235:G241" si="252">I235+K235</f>
        <v>9</v>
      </c>
      <c r="H235" s="52">
        <f t="shared" ref="H235:H241" si="253">G235/$J$5*100</f>
        <v>23.684210526315788</v>
      </c>
      <c r="I235" s="53">
        <f>COUNTIFS('00 Encuesta'!$B$2:$B$511,"*b)*",'00 Encuesta'!$C$2:$C$511,"*a)*",'00 Encuesta'!$E$2:$E$511,"*a)*",'00 Encuesta'!$AE$2:$AE$511,"*a)*")</f>
        <v>6</v>
      </c>
      <c r="J235" s="52">
        <f t="shared" ref="J235:J241" si="254">I235/$J$6*100</f>
        <v>28.571428571428569</v>
      </c>
      <c r="K235" s="53">
        <f>COUNTIFS('00 Encuesta'!$B$2:$B$511,"*b)*",'00 Encuesta'!$C$2:$C$511,"*a)*",'00 Encuesta'!$E$2:$E$511,"*b)*",'00 Encuesta'!$AE$2:$AE$511,"*a)*")</f>
        <v>3</v>
      </c>
      <c r="L235" s="52">
        <f t="shared" ref="L235:L241" si="255">K235/$J$7*100</f>
        <v>17.647058823529413</v>
      </c>
      <c r="M235" s="23"/>
      <c r="N235" s="51">
        <f t="shared" ref="N235:N241" si="256">P235+R235</f>
        <v>1</v>
      </c>
      <c r="O235" s="52">
        <f t="shared" ref="O235:O241" si="257">N235/$Q$5*100</f>
        <v>3.125</v>
      </c>
      <c r="P235" s="53">
        <f>COUNTIFS('00 Encuesta'!$B$2:$B$511,"*b)*",'00 Encuesta'!$C$2:$C$511,"*b)*",'00 Encuesta'!$E$2:$E$511,"*a)*",'00 Encuesta'!$AE$2:$AE$511,"*a)*")</f>
        <v>1</v>
      </c>
      <c r="Q235" s="52">
        <f t="shared" ref="Q235:Q241" si="258">P235/$Q$6*100</f>
        <v>5.8823529411764701</v>
      </c>
      <c r="R235" s="53">
        <f>COUNTIFS('00 Encuesta'!$B$2:$B$511,"*b)*",'00 Encuesta'!$C$2:$C$511,"*b)*",'00 Encuesta'!$E$2:$E$511,"*b)*",'00 Encuesta'!$AE$2:$AE$511,"*a)*")</f>
        <v>0</v>
      </c>
      <c r="S235" s="52">
        <f t="shared" ref="S235:S241" si="259">R235/$Q$7*100</f>
        <v>0</v>
      </c>
      <c r="T235" s="3"/>
      <c r="U235" s="51">
        <f t="shared" ref="U235:U241" si="260">W235+Y235</f>
        <v>8</v>
      </c>
      <c r="V235" s="52">
        <f t="shared" ref="V235:V241" si="261">U235/$X$5*100</f>
        <v>20.512820512820511</v>
      </c>
      <c r="W235" s="53">
        <f>COUNTIFS('00 Encuesta'!$B$2:$B$511,"*b)*",'00 Encuesta'!$C$2:$C$511,"*c)*",'00 Encuesta'!$E$2:$E$511,"*a)*",'00 Encuesta'!$AE$2:$AE$511,"*a)*")</f>
        <v>6</v>
      </c>
      <c r="X235" s="52">
        <f t="shared" ref="X235:X241" si="262">W235/$X$6*100</f>
        <v>28.571428571428569</v>
      </c>
      <c r="Y235" s="53">
        <f>COUNTIFS('00 Encuesta'!$B$2:$B$511,"*b)*",'00 Encuesta'!$C$2:$C$511,"*c)*",'00 Encuesta'!$E$2:$E$511,"*b)*",'00 Encuesta'!$AE$2:$AE$511,"*a)*")</f>
        <v>2</v>
      </c>
      <c r="Z235" s="52">
        <f t="shared" ref="Z235:Z241" si="263">Y235/$X$7*100</f>
        <v>11.111111111111111</v>
      </c>
      <c r="AA235" s="3"/>
      <c r="AB235" s="62">
        <f t="shared" ref="AB235:AB241" si="264">G235+N235+U235</f>
        <v>18</v>
      </c>
      <c r="AC235" s="52">
        <f t="shared" ref="AC235:AC241" si="265">AB235*100/$AC$5</f>
        <v>16.513761467889907</v>
      </c>
      <c r="AD235" s="3"/>
      <c r="AE235" s="3"/>
      <c r="AF235" s="9" t="str">
        <f t="shared" ref="AF235:AF241" si="266">A235&amp;" "&amp;B235</f>
        <v>a) Ganar mucho dinero</v>
      </c>
      <c r="AG235" s="72">
        <f t="shared" ref="AG235:AG241" si="267">J235</f>
        <v>28.571428571428569</v>
      </c>
      <c r="AH235" s="72">
        <f t="shared" ref="AH235:AH241" si="268">L235</f>
        <v>17.647058823529413</v>
      </c>
      <c r="AI235" s="73">
        <f t="shared" ref="AI235:AI241" si="269">H235</f>
        <v>23.684210526315788</v>
      </c>
      <c r="AJ235" s="73"/>
      <c r="AK235" s="76">
        <f t="shared" ref="AK235:AK241" si="270">Q235</f>
        <v>5.8823529411764701</v>
      </c>
      <c r="AL235" s="76">
        <f t="shared" ref="AL235:AL241" si="271">S235</f>
        <v>0</v>
      </c>
      <c r="AM235" s="76">
        <f t="shared" ref="AM235:AM241" si="272">O235</f>
        <v>3.125</v>
      </c>
      <c r="AN235" s="76"/>
      <c r="AO235" s="81">
        <f t="shared" ref="AO235:AO241" si="273">X235</f>
        <v>28.571428571428569</v>
      </c>
      <c r="AP235" s="81">
        <f t="shared" ref="AP235:AP241" si="274">Z235</f>
        <v>11.111111111111111</v>
      </c>
      <c r="AQ235" s="81">
        <f t="shared" ref="AQ235:AQ241" si="275">V235</f>
        <v>20.512820512820511</v>
      </c>
      <c r="AR235" s="3"/>
      <c r="AS235" s="76">
        <f t="shared" si="227"/>
        <v>16.513761467889907</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5</v>
      </c>
      <c r="H236" s="52">
        <f t="shared" si="253"/>
        <v>13.157894736842104</v>
      </c>
      <c r="I236" s="53">
        <f>COUNTIFS('00 Encuesta'!$B$2:$B$511,"*b)*",'00 Encuesta'!$C$2:$C$511,"*a)*",'00 Encuesta'!$E$2:$E$511,"*a)*",'00 Encuesta'!$AE$2:$AE$511,"*b)*")</f>
        <v>2</v>
      </c>
      <c r="J236" s="52">
        <f t="shared" si="254"/>
        <v>9.5238095238095237</v>
      </c>
      <c r="K236" s="53">
        <f>COUNTIFS('00 Encuesta'!$B$2:$B$511,"*b)*",'00 Encuesta'!$C$2:$C$511,"*a)*",'00 Encuesta'!$E$2:$E$511,"*b)*",'00 Encuesta'!$AE$2:$AE$511,"*b)*")</f>
        <v>3</v>
      </c>
      <c r="L236" s="52">
        <f t="shared" si="255"/>
        <v>17.647058823529413</v>
      </c>
      <c r="M236" s="23"/>
      <c r="N236" s="51">
        <f t="shared" si="256"/>
        <v>7</v>
      </c>
      <c r="O236" s="52">
        <f t="shared" si="257"/>
        <v>21.875</v>
      </c>
      <c r="P236" s="53">
        <f>COUNTIFS('00 Encuesta'!$B$2:$B$511,"*b)*",'00 Encuesta'!$C$2:$C$511,"*b)*",'00 Encuesta'!$E$2:$E$511,"*a)*",'00 Encuesta'!$AE$2:$AE$511,"*b)*")</f>
        <v>5</v>
      </c>
      <c r="Q236" s="52">
        <f t="shared" si="258"/>
        <v>29.411764705882355</v>
      </c>
      <c r="R236" s="53">
        <f>COUNTIFS('00 Encuesta'!$B$2:$B$511,"*b)*",'00 Encuesta'!$C$2:$C$511,"*b)*",'00 Encuesta'!$E$2:$E$511,"*b)*",'00 Encuesta'!$AE$2:$AE$511,"*b)*")</f>
        <v>2</v>
      </c>
      <c r="S236" s="52">
        <f t="shared" si="259"/>
        <v>13.333333333333334</v>
      </c>
      <c r="T236" s="3"/>
      <c r="U236" s="51">
        <f t="shared" si="260"/>
        <v>4</v>
      </c>
      <c r="V236" s="52">
        <f t="shared" si="261"/>
        <v>10.256410256410255</v>
      </c>
      <c r="W236" s="53">
        <f>COUNTIFS('00 Encuesta'!$B$2:$B$511,"*b)*",'00 Encuesta'!$C$2:$C$511,"*c)*",'00 Encuesta'!$E$2:$E$511,"*a)*",'00 Encuesta'!$AE$2:$AE$511,"*b)*")</f>
        <v>2</v>
      </c>
      <c r="X236" s="52">
        <f t="shared" si="262"/>
        <v>9.5238095238095237</v>
      </c>
      <c r="Y236" s="53">
        <f>COUNTIFS('00 Encuesta'!$B$2:$B$511,"*b)*",'00 Encuesta'!$C$2:$C$511,"*c)*",'00 Encuesta'!$E$2:$E$511,"*b)*",'00 Encuesta'!$AE$2:$AE$511,"*b)*")</f>
        <v>2</v>
      </c>
      <c r="Z236" s="52">
        <f t="shared" si="263"/>
        <v>11.111111111111111</v>
      </c>
      <c r="AA236" s="3"/>
      <c r="AB236" s="62">
        <f t="shared" si="264"/>
        <v>16</v>
      </c>
      <c r="AC236" s="52">
        <f t="shared" si="265"/>
        <v>14.678899082568808</v>
      </c>
      <c r="AD236" s="3"/>
      <c r="AE236" s="3"/>
      <c r="AF236" s="9" t="str">
        <f t="shared" si="266"/>
        <v>b) Tener una buena posición social, ser importante</v>
      </c>
      <c r="AG236" s="72">
        <f t="shared" si="267"/>
        <v>9.5238095238095237</v>
      </c>
      <c r="AH236" s="72">
        <f t="shared" si="268"/>
        <v>17.647058823529413</v>
      </c>
      <c r="AI236" s="73">
        <f t="shared" si="269"/>
        <v>13.157894736842104</v>
      </c>
      <c r="AJ236" s="73"/>
      <c r="AK236" s="76">
        <f t="shared" si="270"/>
        <v>29.411764705882355</v>
      </c>
      <c r="AL236" s="76">
        <f t="shared" si="271"/>
        <v>13.333333333333334</v>
      </c>
      <c r="AM236" s="76">
        <f t="shared" si="272"/>
        <v>21.875</v>
      </c>
      <c r="AN236" s="76"/>
      <c r="AO236" s="81">
        <f t="shared" si="273"/>
        <v>9.5238095238095237</v>
      </c>
      <c r="AP236" s="81">
        <f t="shared" si="274"/>
        <v>11.111111111111111</v>
      </c>
      <c r="AQ236" s="81">
        <f t="shared" si="275"/>
        <v>10.256410256410255</v>
      </c>
      <c r="AR236" s="3"/>
      <c r="AS236" s="76">
        <f t="shared" si="227"/>
        <v>14.678899082568808</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ht="15" x14ac:dyDescent="0.25">
      <c r="A237" s="8" t="s">
        <v>20</v>
      </c>
      <c r="B237" s="9" t="s">
        <v>173</v>
      </c>
      <c r="C237" s="7"/>
      <c r="D237" s="7"/>
      <c r="E237" s="7"/>
      <c r="F237" s="71"/>
      <c r="G237" s="51">
        <f t="shared" si="252"/>
        <v>12</v>
      </c>
      <c r="H237" s="52">
        <f t="shared" si="253"/>
        <v>31.578947368421051</v>
      </c>
      <c r="I237" s="53">
        <f>COUNTIFS('00 Encuesta'!$B$2:$B$511,"*b)*",'00 Encuesta'!$C$2:$C$511,"*a)*",'00 Encuesta'!$E$2:$E$511,"*a)*",'00 Encuesta'!$AE$2:$AE$511,"*c)*")</f>
        <v>6</v>
      </c>
      <c r="J237" s="52">
        <f t="shared" si="254"/>
        <v>28.571428571428569</v>
      </c>
      <c r="K237" s="53">
        <f>COUNTIFS('00 Encuesta'!$B$2:$B$511,"*b)*",'00 Encuesta'!$C$2:$C$511,"*a)*",'00 Encuesta'!$E$2:$E$511,"*b)*",'00 Encuesta'!$AE$2:$AE$511,"*c)*")</f>
        <v>6</v>
      </c>
      <c r="L237" s="52">
        <f t="shared" si="255"/>
        <v>35.294117647058826</v>
      </c>
      <c r="M237" s="23"/>
      <c r="N237" s="51">
        <f t="shared" si="256"/>
        <v>7</v>
      </c>
      <c r="O237" s="52">
        <f t="shared" si="257"/>
        <v>21.875</v>
      </c>
      <c r="P237" s="53">
        <f>COUNTIFS('00 Encuesta'!$B$2:$B$511,"*b)*",'00 Encuesta'!$C$2:$C$511,"*b)*",'00 Encuesta'!$E$2:$E$511,"*a)*",'00 Encuesta'!$AE$2:$AE$511,"*c)*")</f>
        <v>3</v>
      </c>
      <c r="Q237" s="52">
        <f t="shared" si="258"/>
        <v>17.647058823529413</v>
      </c>
      <c r="R237" s="53">
        <f>COUNTIFS('00 Encuesta'!$B$2:$B$511,"*b)*",'00 Encuesta'!$C$2:$C$511,"*b)*",'00 Encuesta'!$E$2:$E$511,"*b)*",'00 Encuesta'!$AE$2:$AE$511,"*c)*")</f>
        <v>4</v>
      </c>
      <c r="S237" s="52">
        <f t="shared" si="259"/>
        <v>26.666666666666668</v>
      </c>
      <c r="T237" s="3"/>
      <c r="U237" s="51">
        <f t="shared" si="260"/>
        <v>14</v>
      </c>
      <c r="V237" s="52">
        <f t="shared" si="261"/>
        <v>35.897435897435898</v>
      </c>
      <c r="W237" s="53">
        <f>COUNTIFS('00 Encuesta'!$B$2:$B$511,"*b)*",'00 Encuesta'!$C$2:$C$511,"*c)*",'00 Encuesta'!$E$2:$E$511,"*a)*",'00 Encuesta'!$AE$2:$AE$511,"*c)*")</f>
        <v>9</v>
      </c>
      <c r="X237" s="52">
        <f t="shared" si="262"/>
        <v>42.857142857142854</v>
      </c>
      <c r="Y237" s="53">
        <f>COUNTIFS('00 Encuesta'!$B$2:$B$511,"*b)*",'00 Encuesta'!$C$2:$C$511,"*c)*",'00 Encuesta'!$E$2:$E$511,"*b)*",'00 Encuesta'!$AE$2:$AE$511,"*c)*")</f>
        <v>5</v>
      </c>
      <c r="Z237" s="52">
        <f t="shared" si="263"/>
        <v>27.777777777777779</v>
      </c>
      <c r="AA237" s="3"/>
      <c r="AB237" s="62">
        <f t="shared" si="264"/>
        <v>33</v>
      </c>
      <c r="AC237" s="52">
        <f t="shared" si="265"/>
        <v>30.275229357798164</v>
      </c>
      <c r="AD237" s="3"/>
      <c r="AE237" s="3"/>
      <c r="AF237" s="9" t="str">
        <f t="shared" si="266"/>
        <v>c) Ser un excelente profesional</v>
      </c>
      <c r="AG237" s="72">
        <f t="shared" si="267"/>
        <v>28.571428571428569</v>
      </c>
      <c r="AH237" s="72">
        <f t="shared" si="268"/>
        <v>35.294117647058826</v>
      </c>
      <c r="AI237" s="73">
        <f t="shared" si="269"/>
        <v>31.578947368421051</v>
      </c>
      <c r="AJ237" s="73"/>
      <c r="AK237" s="76">
        <f t="shared" si="270"/>
        <v>17.647058823529413</v>
      </c>
      <c r="AL237" s="76">
        <f t="shared" si="271"/>
        <v>26.666666666666668</v>
      </c>
      <c r="AM237" s="76">
        <f t="shared" si="272"/>
        <v>21.875</v>
      </c>
      <c r="AN237" s="76"/>
      <c r="AO237" s="81">
        <f t="shared" si="273"/>
        <v>42.857142857142854</v>
      </c>
      <c r="AP237" s="81">
        <f t="shared" si="274"/>
        <v>27.777777777777779</v>
      </c>
      <c r="AQ237" s="81">
        <f t="shared" si="275"/>
        <v>35.897435897435898</v>
      </c>
      <c r="AR237" s="3"/>
      <c r="AS237" s="76">
        <f t="shared" si="227"/>
        <v>30.275229357798164</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ht="15" x14ac:dyDescent="0.25">
      <c r="A238" s="8" t="s">
        <v>21</v>
      </c>
      <c r="B238" s="9" t="s">
        <v>174</v>
      </c>
      <c r="C238" s="7"/>
      <c r="D238" s="7"/>
      <c r="E238" s="7"/>
      <c r="F238" s="71"/>
      <c r="G238" s="51">
        <f t="shared" si="252"/>
        <v>2</v>
      </c>
      <c r="H238" s="52">
        <f t="shared" si="253"/>
        <v>5.2631578947368416</v>
      </c>
      <c r="I238" s="53">
        <f>COUNTIFS('00 Encuesta'!$B$2:$B$511,"*b)*",'00 Encuesta'!$C$2:$C$511,"*a)*",'00 Encuesta'!$E$2:$E$511,"*a)*",'00 Encuesta'!$AE$2:$AE$511,"*d)*")</f>
        <v>1</v>
      </c>
      <c r="J238" s="52">
        <f t="shared" si="254"/>
        <v>4.7619047619047619</v>
      </c>
      <c r="K238" s="53">
        <f>COUNTIFS('00 Encuesta'!$B$2:$B$511,"*b)*",'00 Encuesta'!$C$2:$C$511,"*a)*",'00 Encuesta'!$E$2:$E$511,"*b)*",'00 Encuesta'!$AE$2:$AE$511,"*d)*")</f>
        <v>1</v>
      </c>
      <c r="L238" s="52">
        <f t="shared" si="255"/>
        <v>5.8823529411764701</v>
      </c>
      <c r="M238" s="23"/>
      <c r="N238" s="51">
        <f t="shared" si="256"/>
        <v>7</v>
      </c>
      <c r="O238" s="52">
        <f t="shared" si="257"/>
        <v>21.875</v>
      </c>
      <c r="P238" s="53">
        <f>COUNTIFS('00 Encuesta'!$B$2:$B$511,"*b)*",'00 Encuesta'!$C$2:$C$511,"*b)*",'00 Encuesta'!$E$2:$E$511,"*a)*",'00 Encuesta'!$AE$2:$AE$511,"*d)*")</f>
        <v>2</v>
      </c>
      <c r="Q238" s="52">
        <f t="shared" si="258"/>
        <v>11.76470588235294</v>
      </c>
      <c r="R238" s="53">
        <f>COUNTIFS('00 Encuesta'!$B$2:$B$511,"*b)*",'00 Encuesta'!$C$2:$C$511,"*b)*",'00 Encuesta'!$E$2:$E$511,"*b)*",'00 Encuesta'!$AE$2:$AE$511,"*d)*")</f>
        <v>5</v>
      </c>
      <c r="S238" s="52">
        <f t="shared" si="259"/>
        <v>33.333333333333329</v>
      </c>
      <c r="T238" s="3"/>
      <c r="U238" s="51">
        <f t="shared" si="260"/>
        <v>9</v>
      </c>
      <c r="V238" s="52">
        <f t="shared" si="261"/>
        <v>23.076923076923077</v>
      </c>
      <c r="W238" s="53">
        <f>COUNTIFS('00 Encuesta'!$B$2:$B$511,"*b)*",'00 Encuesta'!$C$2:$C$511,"*c)*",'00 Encuesta'!$E$2:$E$511,"*a)*",'00 Encuesta'!$AE$2:$AE$511,"*d)*")</f>
        <v>3</v>
      </c>
      <c r="X238" s="52">
        <f t="shared" si="262"/>
        <v>14.285714285714285</v>
      </c>
      <c r="Y238" s="53">
        <f>COUNTIFS('00 Encuesta'!$B$2:$B$511,"*b)*",'00 Encuesta'!$C$2:$C$511,"*c)*",'00 Encuesta'!$E$2:$E$511,"*b)*",'00 Encuesta'!$AE$2:$AE$511,"*d)*")</f>
        <v>6</v>
      </c>
      <c r="Z238" s="52">
        <f t="shared" si="263"/>
        <v>33.333333333333329</v>
      </c>
      <c r="AA238" s="3"/>
      <c r="AB238" s="62">
        <f t="shared" si="264"/>
        <v>18</v>
      </c>
      <c r="AC238" s="52">
        <f t="shared" si="265"/>
        <v>16.513761467889907</v>
      </c>
      <c r="AD238" s="3"/>
      <c r="AE238" s="3"/>
      <c r="AF238" s="9" t="str">
        <f t="shared" si="266"/>
        <v>d) Desarrollarme personalmente</v>
      </c>
      <c r="AG238" s="72">
        <f t="shared" si="267"/>
        <v>4.7619047619047619</v>
      </c>
      <c r="AH238" s="72">
        <f t="shared" si="268"/>
        <v>5.8823529411764701</v>
      </c>
      <c r="AI238" s="73">
        <f t="shared" si="269"/>
        <v>5.2631578947368416</v>
      </c>
      <c r="AJ238" s="73"/>
      <c r="AK238" s="76">
        <f t="shared" si="270"/>
        <v>11.76470588235294</v>
      </c>
      <c r="AL238" s="76">
        <f t="shared" si="271"/>
        <v>33.333333333333329</v>
      </c>
      <c r="AM238" s="76">
        <f t="shared" si="272"/>
        <v>21.875</v>
      </c>
      <c r="AN238" s="76"/>
      <c r="AO238" s="81">
        <f t="shared" si="273"/>
        <v>14.285714285714285</v>
      </c>
      <c r="AP238" s="81">
        <f t="shared" si="274"/>
        <v>33.333333333333329</v>
      </c>
      <c r="AQ238" s="81">
        <f t="shared" si="275"/>
        <v>23.076923076923077</v>
      </c>
      <c r="AR238" s="3"/>
      <c r="AS238" s="76">
        <f t="shared" si="227"/>
        <v>16.513761467889907</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3</v>
      </c>
      <c r="H239" s="52">
        <f t="shared" si="253"/>
        <v>7.8947368421052628</v>
      </c>
      <c r="I239" s="53">
        <f>COUNTIFS('00 Encuesta'!$B$2:$B$511,"*b)*",'00 Encuesta'!$C$2:$C$511,"*a)*",'00 Encuesta'!$E$2:$E$511,"*a)*",'00 Encuesta'!$AE$2:$AE$511,"*e)*")</f>
        <v>1</v>
      </c>
      <c r="J239" s="52">
        <f t="shared" si="254"/>
        <v>4.7619047619047619</v>
      </c>
      <c r="K239" s="53">
        <f>COUNTIFS('00 Encuesta'!$B$2:$B$511,"*b)*",'00 Encuesta'!$C$2:$C$511,"*a)*",'00 Encuesta'!$E$2:$E$511,"*b)*",'00 Encuesta'!$AE$2:$AE$511,"*e)*")</f>
        <v>2</v>
      </c>
      <c r="L239" s="52">
        <f t="shared" si="255"/>
        <v>11.76470588235294</v>
      </c>
      <c r="M239" s="23"/>
      <c r="N239" s="51">
        <f t="shared" si="256"/>
        <v>7</v>
      </c>
      <c r="O239" s="52">
        <f t="shared" si="257"/>
        <v>21.875</v>
      </c>
      <c r="P239" s="53">
        <f>COUNTIFS('00 Encuesta'!$B$2:$B$511,"*b)*",'00 Encuesta'!$C$2:$C$511,"*b)*",'00 Encuesta'!$E$2:$E$511,"*a)*",'00 Encuesta'!$AE$2:$AE$511,"*e)*")</f>
        <v>4</v>
      </c>
      <c r="Q239" s="52">
        <f t="shared" si="258"/>
        <v>23.52941176470588</v>
      </c>
      <c r="R239" s="53">
        <f>COUNTIFS('00 Encuesta'!$B$2:$B$511,"*b)*",'00 Encuesta'!$C$2:$C$511,"*b)*",'00 Encuesta'!$E$2:$E$511,"*b)*",'00 Encuesta'!$AE$2:$AE$511,"*e)*")</f>
        <v>3</v>
      </c>
      <c r="S239" s="52">
        <f t="shared" si="259"/>
        <v>20</v>
      </c>
      <c r="T239" s="3"/>
      <c r="U239" s="51">
        <f t="shared" si="260"/>
        <v>4</v>
      </c>
      <c r="V239" s="52">
        <f t="shared" si="261"/>
        <v>10.256410256410255</v>
      </c>
      <c r="W239" s="53">
        <f>COUNTIFS('00 Encuesta'!$B$2:$B$511,"*b)*",'00 Encuesta'!$C$2:$C$511,"*c)*",'00 Encuesta'!$E$2:$E$511,"*a)*",'00 Encuesta'!$AE$2:$AE$511,"*e)*")</f>
        <v>1</v>
      </c>
      <c r="X239" s="52">
        <f t="shared" si="262"/>
        <v>4.7619047619047619</v>
      </c>
      <c r="Y239" s="53">
        <f>COUNTIFS('00 Encuesta'!$B$2:$B$511,"*b)*",'00 Encuesta'!$C$2:$C$511,"*c)*",'00 Encuesta'!$E$2:$E$511,"*b)*",'00 Encuesta'!$AE$2:$AE$511,"*e)*")</f>
        <v>3</v>
      </c>
      <c r="Z239" s="52">
        <f t="shared" si="263"/>
        <v>16.666666666666664</v>
      </c>
      <c r="AA239" s="3"/>
      <c r="AB239" s="62">
        <f t="shared" si="264"/>
        <v>14</v>
      </c>
      <c r="AC239" s="52">
        <f t="shared" si="265"/>
        <v>12.844036697247706</v>
      </c>
      <c r="AD239" s="3"/>
      <c r="AE239" s="3"/>
      <c r="AF239" s="9" t="str">
        <f t="shared" si="266"/>
        <v>e) Servir a los demás</v>
      </c>
      <c r="AG239" s="72">
        <f t="shared" si="267"/>
        <v>4.7619047619047619</v>
      </c>
      <c r="AH239" s="72">
        <f t="shared" si="268"/>
        <v>11.76470588235294</v>
      </c>
      <c r="AI239" s="73">
        <f t="shared" si="269"/>
        <v>7.8947368421052628</v>
      </c>
      <c r="AJ239" s="73"/>
      <c r="AK239" s="76">
        <f t="shared" si="270"/>
        <v>23.52941176470588</v>
      </c>
      <c r="AL239" s="76">
        <f t="shared" si="271"/>
        <v>20</v>
      </c>
      <c r="AM239" s="76">
        <f t="shared" si="272"/>
        <v>21.875</v>
      </c>
      <c r="AN239" s="76"/>
      <c r="AO239" s="81">
        <f t="shared" si="273"/>
        <v>4.7619047619047619</v>
      </c>
      <c r="AP239" s="81">
        <f t="shared" si="274"/>
        <v>16.666666666666664</v>
      </c>
      <c r="AQ239" s="81">
        <f t="shared" si="275"/>
        <v>10.256410256410255</v>
      </c>
      <c r="AR239" s="3"/>
      <c r="AS239" s="76">
        <f t="shared" si="227"/>
        <v>12.844036697247706</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ht="15" x14ac:dyDescent="0.25">
      <c r="A240" s="8" t="s">
        <v>45</v>
      </c>
      <c r="B240" s="9" t="s">
        <v>176</v>
      </c>
      <c r="C240" s="7"/>
      <c r="D240" s="7"/>
      <c r="E240" s="7"/>
      <c r="F240" s="71"/>
      <c r="G240" s="51">
        <f t="shared" si="252"/>
        <v>2</v>
      </c>
      <c r="H240" s="52">
        <f t="shared" si="253"/>
        <v>5.2631578947368416</v>
      </c>
      <c r="I240" s="53">
        <f>COUNTIFS('00 Encuesta'!$B$2:$B$511,"*b)*",'00 Encuesta'!$C$2:$C$511,"*a)*",'00 Encuesta'!$E$2:$E$511,"*a)*",'00 Encuesta'!$AE$2:$AE$511,"*f)*")</f>
        <v>1</v>
      </c>
      <c r="J240" s="52">
        <f t="shared" si="254"/>
        <v>4.7619047619047619</v>
      </c>
      <c r="K240" s="53">
        <f>COUNTIFS('00 Encuesta'!$B$2:$B$511,"*b)*",'00 Encuesta'!$C$2:$C$511,"*a)*",'00 Encuesta'!$E$2:$E$511,"*b)*",'00 Encuesta'!$AE$2:$AE$511,"*f)*")</f>
        <v>1</v>
      </c>
      <c r="L240" s="52">
        <f t="shared" si="255"/>
        <v>5.8823529411764701</v>
      </c>
      <c r="M240" s="23"/>
      <c r="N240" s="51">
        <f t="shared" si="256"/>
        <v>1</v>
      </c>
      <c r="O240" s="52">
        <f t="shared" si="257"/>
        <v>3.125</v>
      </c>
      <c r="P240" s="53">
        <f>COUNTIFS('00 Encuesta'!$B$2:$B$511,"*b)*",'00 Encuesta'!$C$2:$C$511,"*b)*",'00 Encuesta'!$E$2:$E$511,"*a)*",'00 Encuesta'!$AE$2:$AE$511,"*f)*")</f>
        <v>0</v>
      </c>
      <c r="Q240" s="52">
        <f t="shared" si="258"/>
        <v>0</v>
      </c>
      <c r="R240" s="53">
        <f>COUNTIFS('00 Encuesta'!$B$2:$B$511,"*b)*",'00 Encuesta'!$C$2:$C$511,"*b)*",'00 Encuesta'!$E$2:$E$511,"*b)*",'00 Encuesta'!$AE$2:$AE$511,"*f)*")</f>
        <v>1</v>
      </c>
      <c r="S240" s="52">
        <f t="shared" si="259"/>
        <v>6.666666666666667</v>
      </c>
      <c r="T240" s="3"/>
      <c r="U240" s="51">
        <f t="shared" si="260"/>
        <v>0</v>
      </c>
      <c r="V240" s="52">
        <f t="shared" si="261"/>
        <v>0</v>
      </c>
      <c r="W240" s="53">
        <f>COUNTIFS('00 Encuesta'!$B$2:$B$511,"*b)*",'00 Encuesta'!$C$2:$C$511,"*c)*",'00 Encuesta'!$E$2:$E$511,"*a)*",'00 Encuesta'!$AE$2:$AE$511,"*f)*")</f>
        <v>0</v>
      </c>
      <c r="X240" s="52">
        <f t="shared" si="262"/>
        <v>0</v>
      </c>
      <c r="Y240" s="53">
        <f>COUNTIFS('00 Encuesta'!$B$2:$B$511,"*b)*",'00 Encuesta'!$C$2:$C$511,"*c)*",'00 Encuesta'!$E$2:$E$511,"*b)*",'00 Encuesta'!$AE$2:$AE$511,"*f)*")</f>
        <v>0</v>
      </c>
      <c r="Z240" s="52">
        <f t="shared" si="263"/>
        <v>0</v>
      </c>
      <c r="AA240" s="3"/>
      <c r="AB240" s="62">
        <f t="shared" si="264"/>
        <v>3</v>
      </c>
      <c r="AC240" s="52">
        <f t="shared" si="265"/>
        <v>2.7522935779816513</v>
      </c>
      <c r="AD240" s="3"/>
      <c r="AE240" s="3"/>
      <c r="AF240" s="9" t="str">
        <f t="shared" si="266"/>
        <v>f) Ejecutar una tarea conforme a mi fe</v>
      </c>
      <c r="AG240" s="72">
        <f t="shared" si="267"/>
        <v>4.7619047619047619</v>
      </c>
      <c r="AH240" s="72">
        <f t="shared" si="268"/>
        <v>5.8823529411764701</v>
      </c>
      <c r="AI240" s="73">
        <f t="shared" si="269"/>
        <v>5.2631578947368416</v>
      </c>
      <c r="AJ240" s="73"/>
      <c r="AK240" s="76">
        <f t="shared" si="270"/>
        <v>0</v>
      </c>
      <c r="AL240" s="76">
        <f t="shared" si="271"/>
        <v>6.666666666666667</v>
      </c>
      <c r="AM240" s="76">
        <f t="shared" si="272"/>
        <v>3.125</v>
      </c>
      <c r="AN240" s="76"/>
      <c r="AO240" s="81">
        <f t="shared" si="273"/>
        <v>0</v>
      </c>
      <c r="AP240" s="81">
        <f t="shared" si="274"/>
        <v>0</v>
      </c>
      <c r="AQ240" s="81">
        <f t="shared" si="275"/>
        <v>0</v>
      </c>
      <c r="AR240" s="3"/>
      <c r="AS240" s="76">
        <f t="shared" si="227"/>
        <v>2.7522935779816513</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ht="15" x14ac:dyDescent="0.25">
      <c r="A241" s="8" t="s">
        <v>23</v>
      </c>
      <c r="B241" s="9" t="s">
        <v>24</v>
      </c>
      <c r="C241" s="7"/>
      <c r="D241" s="7"/>
      <c r="E241" s="7"/>
      <c r="F241" s="71"/>
      <c r="G241" s="51">
        <f t="shared" si="252"/>
        <v>0</v>
      </c>
      <c r="H241" s="52">
        <f t="shared" si="253"/>
        <v>0</v>
      </c>
      <c r="I241" s="53"/>
      <c r="J241" s="52">
        <f t="shared" si="254"/>
        <v>0</v>
      </c>
      <c r="K241" s="53"/>
      <c r="L241" s="52">
        <f t="shared" si="255"/>
        <v>0</v>
      </c>
      <c r="M241" s="23"/>
      <c r="N241" s="51">
        <f t="shared" si="256"/>
        <v>0</v>
      </c>
      <c r="O241" s="52">
        <f t="shared" si="257"/>
        <v>0</v>
      </c>
      <c r="P241" s="53"/>
      <c r="Q241" s="52">
        <f t="shared" si="258"/>
        <v>0</v>
      </c>
      <c r="R241" s="53"/>
      <c r="S241" s="52">
        <f t="shared" si="259"/>
        <v>0</v>
      </c>
      <c r="T241" s="3"/>
      <c r="U241" s="51">
        <f t="shared" si="260"/>
        <v>0</v>
      </c>
      <c r="V241" s="52">
        <f t="shared" si="261"/>
        <v>0</v>
      </c>
      <c r="W241" s="53"/>
      <c r="X241" s="52">
        <f t="shared" si="262"/>
        <v>0</v>
      </c>
      <c r="Y241" s="53"/>
      <c r="Z241" s="52">
        <f t="shared" si="263"/>
        <v>0</v>
      </c>
      <c r="AA241" s="3"/>
      <c r="AB241" s="62">
        <f t="shared" si="264"/>
        <v>0</v>
      </c>
      <c r="AC241" s="52">
        <f t="shared" si="265"/>
        <v>0</v>
      </c>
      <c r="AD241" s="3"/>
      <c r="AE241" s="3"/>
      <c r="AF241" s="9" t="str">
        <f t="shared" si="266"/>
        <v>S/R Sin Respuesta</v>
      </c>
      <c r="AG241" s="72">
        <f t="shared" si="267"/>
        <v>0</v>
      </c>
      <c r="AH241" s="72">
        <f t="shared" si="268"/>
        <v>0</v>
      </c>
      <c r="AI241" s="73">
        <f t="shared" si="269"/>
        <v>0</v>
      </c>
      <c r="AJ241" s="73"/>
      <c r="AK241" s="76">
        <f t="shared" si="270"/>
        <v>0</v>
      </c>
      <c r="AL241" s="76">
        <f t="shared" si="271"/>
        <v>0</v>
      </c>
      <c r="AM241" s="76">
        <f t="shared" si="272"/>
        <v>0</v>
      </c>
      <c r="AN241" s="76"/>
      <c r="AO241" s="81">
        <f t="shared" si="273"/>
        <v>0</v>
      </c>
      <c r="AP241" s="81">
        <f t="shared" si="274"/>
        <v>0</v>
      </c>
      <c r="AQ241" s="81">
        <f t="shared" si="275"/>
        <v>0</v>
      </c>
      <c r="AR241" s="3"/>
      <c r="AS241" s="76">
        <f t="shared" si="227"/>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ht="15.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ht="15" x14ac:dyDescent="0.25">
      <c r="A244" s="8" t="s">
        <v>17</v>
      </c>
      <c r="B244" s="9" t="s">
        <v>178</v>
      </c>
      <c r="C244" s="7"/>
      <c r="D244" s="7"/>
      <c r="E244" s="7"/>
      <c r="F244" s="71">
        <v>0</v>
      </c>
      <c r="G244" s="51">
        <f t="shared" ref="G244:G249" si="276">I244+K244</f>
        <v>1</v>
      </c>
      <c r="H244" s="52">
        <f t="shared" ref="H244:H249" si="277">G244/$J$5*100</f>
        <v>2.6315789473684208</v>
      </c>
      <c r="I244" s="53">
        <f>COUNTIFS('00 Encuesta'!$B$2:$B$511,"*b)*",'00 Encuesta'!$C$2:$C$511,"*a)*",'00 Encuesta'!$E$2:$E$511,"*a)*",'00 Encuesta'!$AF$2:$AF$511,"*a)*")</f>
        <v>0</v>
      </c>
      <c r="J244" s="52">
        <f t="shared" ref="J244:J249" si="278">I244/$J$6*100</f>
        <v>0</v>
      </c>
      <c r="K244" s="53">
        <f>COUNTIFS('00 Encuesta'!$B$2:$B$511,"*b)*",'00 Encuesta'!$C$2:$C$511,"*a)*",'00 Encuesta'!$E$2:$E$511,"*b)*",'00 Encuesta'!$AF$2:$AF$511,"*a)*")</f>
        <v>1</v>
      </c>
      <c r="L244" s="52">
        <f>K244/$J$7*100</f>
        <v>5.8823529411764701</v>
      </c>
      <c r="M244" s="23"/>
      <c r="N244" s="51">
        <f>P244+R244</f>
        <v>0</v>
      </c>
      <c r="O244" s="52">
        <f>N244/$Q$5*100</f>
        <v>0</v>
      </c>
      <c r="P244" s="53">
        <f>COUNTIFS('00 Encuesta'!$B$2:$B$511,"*b)*",'00 Encuesta'!$C$2:$C$511,"*b)*",'00 Encuesta'!$E$2:$E$511,"*a)*",'00 Encuesta'!$AF$2:$AF$511,"*a)*")</f>
        <v>0</v>
      </c>
      <c r="Q244" s="52">
        <f>P244/$Q$6*100</f>
        <v>0</v>
      </c>
      <c r="R244" s="53">
        <f>COUNTIFS('00 Encuesta'!$B$2:$B$511,"*b)*",'00 Encuesta'!$C$2:$C$511,"*b)*",'00 Encuesta'!$E$2:$E$511,"*b)*",'00 Encuesta'!$AF$2:$AF$511,"*a)*")</f>
        <v>0</v>
      </c>
      <c r="S244" s="52">
        <f>R244/$Q$7*100</f>
        <v>0</v>
      </c>
      <c r="T244" s="3"/>
      <c r="U244" s="51">
        <f>W244+Y244</f>
        <v>9</v>
      </c>
      <c r="V244" s="52">
        <f>U244/$X$5*100</f>
        <v>23.076923076923077</v>
      </c>
      <c r="W244" s="53">
        <f>COUNTIFS('00 Encuesta'!$B$2:$B$511,"*b)*",'00 Encuesta'!$C$2:$C$511,"*c)*",'00 Encuesta'!$E$2:$E$511,"*a)*",'00 Encuesta'!$AF$2:$AF$511,"*a)*")</f>
        <v>5</v>
      </c>
      <c r="X244" s="52">
        <f>W244/$X$6*100</f>
        <v>23.809523809523807</v>
      </c>
      <c r="Y244" s="53">
        <f>COUNTIFS('00 Encuesta'!$B$2:$B$511,"*b)*",'00 Encuesta'!$C$2:$C$511,"*c)*",'00 Encuesta'!$E$2:$E$511,"*b)*",'00 Encuesta'!$AF$2:$AF$511,"*a)*")</f>
        <v>4</v>
      </c>
      <c r="Z244" s="52">
        <f t="shared" ref="Z244:Z249" si="279">Y244/$X$7*100</f>
        <v>22.222222222222221</v>
      </c>
      <c r="AA244" s="3"/>
      <c r="AB244" s="62">
        <f t="shared" ref="AB244:AB249" si="280">G244+N244+U244</f>
        <v>10</v>
      </c>
      <c r="AC244" s="52">
        <f t="shared" ref="AC244:AC249" si="281">AB244*100/$AC$5</f>
        <v>9.1743119266055047</v>
      </c>
      <c r="AD244" s="3"/>
      <c r="AE244" s="3"/>
      <c r="AF244" s="9" t="str">
        <f t="shared" ref="AF244:AF249" si="282">A244&amp;" "&amp;B244</f>
        <v>a) No, en absoluto</v>
      </c>
      <c r="AG244" s="72">
        <f t="shared" ref="AG244:AG249" si="283">J244</f>
        <v>0</v>
      </c>
      <c r="AH244" s="72">
        <f t="shared" ref="AH244:AH249" si="284">L244</f>
        <v>5.8823529411764701</v>
      </c>
      <c r="AI244" s="73">
        <f t="shared" ref="AI244:AI249" si="285">H244</f>
        <v>2.6315789473684208</v>
      </c>
      <c r="AJ244" s="73"/>
      <c r="AK244" s="76">
        <f t="shared" ref="AK244:AK249" si="286">Q244</f>
        <v>0</v>
      </c>
      <c r="AL244" s="76">
        <f t="shared" ref="AL244:AL249" si="287">S244</f>
        <v>0</v>
      </c>
      <c r="AM244" s="76">
        <f t="shared" ref="AM244:AM249" si="288">O244</f>
        <v>0</v>
      </c>
      <c r="AN244" s="76"/>
      <c r="AO244" s="81">
        <f t="shared" ref="AO244:AO249" si="289">X244</f>
        <v>23.809523809523807</v>
      </c>
      <c r="AP244" s="81">
        <f t="shared" ref="AP244:AP249" si="290">Z244</f>
        <v>22.222222222222221</v>
      </c>
      <c r="AQ244" s="81">
        <f t="shared" ref="AQ244:AQ249" si="291">V244</f>
        <v>23.076923076923077</v>
      </c>
      <c r="AR244" s="3"/>
      <c r="AS244" s="76">
        <f t="shared" si="227"/>
        <v>9.1743119266055047</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ht="15" x14ac:dyDescent="0.25">
      <c r="A245" s="8" t="s">
        <v>18</v>
      </c>
      <c r="B245" s="9" t="s">
        <v>104</v>
      </c>
      <c r="C245" s="7"/>
      <c r="D245" s="7"/>
      <c r="E245" s="7"/>
      <c r="F245" s="71">
        <v>33.33</v>
      </c>
      <c r="G245" s="51">
        <f t="shared" si="276"/>
        <v>14</v>
      </c>
      <c r="H245" s="52">
        <f t="shared" si="277"/>
        <v>36.84210526315789</v>
      </c>
      <c r="I245" s="53">
        <f>COUNTIFS('00 Encuesta'!$B$2:$B$511,"*b)*",'00 Encuesta'!$C$2:$C$511,"*a)*",'00 Encuesta'!$E$2:$E$511,"*a)*",'00 Encuesta'!$AF$2:$AF$511,"*b)*")</f>
        <v>7</v>
      </c>
      <c r="J245" s="52">
        <f t="shared" si="278"/>
        <v>33.333333333333329</v>
      </c>
      <c r="K245" s="53">
        <f>COUNTIFS('00 Encuesta'!$B$2:$B$511,"*b)*",'00 Encuesta'!$C$2:$C$511,"*a)*",'00 Encuesta'!$E$2:$E$511,"*b)*",'00 Encuesta'!$AF$2:$AF$511,"*b)*")</f>
        <v>7</v>
      </c>
      <c r="L245" s="52">
        <f>K245/$J$7*100</f>
        <v>41.17647058823529</v>
      </c>
      <c r="M245" s="23"/>
      <c r="N245" s="51">
        <f>P245+R245</f>
        <v>6</v>
      </c>
      <c r="O245" s="52">
        <f>N245/$Q$5*100</f>
        <v>18.75</v>
      </c>
      <c r="P245" s="53">
        <f>COUNTIFS('00 Encuesta'!$B$2:$B$511,"*b)*",'00 Encuesta'!$C$2:$C$511,"*b)*",'00 Encuesta'!$E$2:$E$511,"*a)*",'00 Encuesta'!$AF$2:$AF$511,"*b)*")</f>
        <v>3</v>
      </c>
      <c r="Q245" s="52">
        <f>P245/$Q$6*100</f>
        <v>17.647058823529413</v>
      </c>
      <c r="R245" s="53">
        <f>COUNTIFS('00 Encuesta'!$B$2:$B$511,"*b)*",'00 Encuesta'!$C$2:$C$511,"*b)*",'00 Encuesta'!$E$2:$E$511,"*b)*",'00 Encuesta'!$AF$2:$AF$511,"*b)*")</f>
        <v>3</v>
      </c>
      <c r="S245" s="52">
        <f>R245/$Q$7*100</f>
        <v>20</v>
      </c>
      <c r="T245" s="3"/>
      <c r="U245" s="51">
        <f>W245+Y245</f>
        <v>15</v>
      </c>
      <c r="V245" s="52">
        <f>U245/$X$5*100</f>
        <v>38.461538461538467</v>
      </c>
      <c r="W245" s="53">
        <f>COUNTIFS('00 Encuesta'!$B$2:$B$511,"*b)*",'00 Encuesta'!$C$2:$C$511,"*c)*",'00 Encuesta'!$E$2:$E$511,"*a)*",'00 Encuesta'!$AF$2:$AF$511,"*b)*")</f>
        <v>9</v>
      </c>
      <c r="X245" s="52">
        <f>W245/$X$6*100</f>
        <v>42.857142857142854</v>
      </c>
      <c r="Y245" s="53">
        <f>COUNTIFS('00 Encuesta'!$B$2:$B$511,"*b)*",'00 Encuesta'!$C$2:$C$511,"*c)*",'00 Encuesta'!$E$2:$E$511,"*b)*",'00 Encuesta'!$AF$2:$AF$511,"*b)*")</f>
        <v>6</v>
      </c>
      <c r="Z245" s="52">
        <f t="shared" si="279"/>
        <v>33.333333333333329</v>
      </c>
      <c r="AA245" s="3"/>
      <c r="AB245" s="62">
        <f t="shared" si="280"/>
        <v>35</v>
      </c>
      <c r="AC245" s="52">
        <f t="shared" si="281"/>
        <v>32.110091743119263</v>
      </c>
      <c r="AD245" s="3"/>
      <c r="AE245" s="3"/>
      <c r="AF245" s="9" t="str">
        <f t="shared" si="282"/>
        <v>b) Poco</v>
      </c>
      <c r="AG245" s="72">
        <f t="shared" si="283"/>
        <v>33.333333333333329</v>
      </c>
      <c r="AH245" s="72">
        <f t="shared" si="284"/>
        <v>41.17647058823529</v>
      </c>
      <c r="AI245" s="73">
        <f t="shared" si="285"/>
        <v>36.84210526315789</v>
      </c>
      <c r="AJ245" s="73"/>
      <c r="AK245" s="76">
        <f t="shared" si="286"/>
        <v>17.647058823529413</v>
      </c>
      <c r="AL245" s="76">
        <f t="shared" si="287"/>
        <v>20</v>
      </c>
      <c r="AM245" s="76">
        <f t="shared" si="288"/>
        <v>18.75</v>
      </c>
      <c r="AN245" s="76"/>
      <c r="AO245" s="81">
        <f t="shared" si="289"/>
        <v>42.857142857142854</v>
      </c>
      <c r="AP245" s="81">
        <f t="shared" si="290"/>
        <v>33.333333333333329</v>
      </c>
      <c r="AQ245" s="81">
        <f t="shared" si="291"/>
        <v>38.461538461538467</v>
      </c>
      <c r="AR245" s="3"/>
      <c r="AS245" s="76">
        <f t="shared" si="227"/>
        <v>32.110091743119263</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ht="15" x14ac:dyDescent="0.25">
      <c r="A246" s="8" t="s">
        <v>20</v>
      </c>
      <c r="B246" s="9" t="s">
        <v>179</v>
      </c>
      <c r="C246" s="7"/>
      <c r="D246" s="7"/>
      <c r="E246" s="7"/>
      <c r="F246" s="71">
        <v>66.66</v>
      </c>
      <c r="G246" s="51">
        <f t="shared" si="276"/>
        <v>7</v>
      </c>
      <c r="H246" s="52">
        <f t="shared" si="277"/>
        <v>18.421052631578945</v>
      </c>
      <c r="I246" s="53">
        <f>COUNTIFS('00 Encuesta'!$B$2:$B$511,"*b)*",'00 Encuesta'!$C$2:$C$511,"*a)*",'00 Encuesta'!$E$2:$E$511,"*a)*",'00 Encuesta'!$AF$2:$AF$511,"*c)*")</f>
        <v>4</v>
      </c>
      <c r="J246" s="52">
        <f t="shared" si="278"/>
        <v>19.047619047619047</v>
      </c>
      <c r="K246" s="53">
        <f>COUNTIFS('00 Encuesta'!$B$2:$B$511,"*b)*",'00 Encuesta'!$C$2:$C$511,"*a)*",'00 Encuesta'!$E$2:$E$511,"*b)*",'00 Encuesta'!$AF$2:$AF$511,"*c)*")</f>
        <v>3</v>
      </c>
      <c r="L246" s="52">
        <f>K246/$J$7*100</f>
        <v>17.647058823529413</v>
      </c>
      <c r="M246" s="23"/>
      <c r="N246" s="51">
        <f>P246+R246</f>
        <v>17</v>
      </c>
      <c r="O246" s="52">
        <f>N246/$Q$5*100</f>
        <v>53.125</v>
      </c>
      <c r="P246" s="53">
        <f>COUNTIFS('00 Encuesta'!$B$2:$B$511,"*b)*",'00 Encuesta'!$C$2:$C$511,"*b)*",'00 Encuesta'!$E$2:$E$511,"*a)*",'00 Encuesta'!$AF$2:$AF$511,"*c)*")</f>
        <v>8</v>
      </c>
      <c r="Q246" s="52">
        <f>P246/$Q$6*100</f>
        <v>47.058823529411761</v>
      </c>
      <c r="R246" s="53">
        <f>COUNTIFS('00 Encuesta'!$B$2:$B$511,"*b)*",'00 Encuesta'!$C$2:$C$511,"*b)*",'00 Encuesta'!$E$2:$E$511,"*b)*",'00 Encuesta'!$AF$2:$AF$511,"*c)*")</f>
        <v>9</v>
      </c>
      <c r="S246" s="52">
        <f>R246/$Q$7*100</f>
        <v>60</v>
      </c>
      <c r="T246" s="3"/>
      <c r="U246" s="51">
        <f>W246+Y246</f>
        <v>10</v>
      </c>
      <c r="V246" s="52">
        <f>U246/$X$5*100</f>
        <v>25.641025641025639</v>
      </c>
      <c r="W246" s="53">
        <f>COUNTIFS('00 Encuesta'!$B$2:$B$511,"*b)*",'00 Encuesta'!$C$2:$C$511,"*c)*",'00 Encuesta'!$E$2:$E$511,"*a)*",'00 Encuesta'!$AF$2:$AF$511,"*c)*")</f>
        <v>6</v>
      </c>
      <c r="X246" s="52">
        <f>W246/$X$6*100</f>
        <v>28.571428571428569</v>
      </c>
      <c r="Y246" s="53">
        <f>COUNTIFS('00 Encuesta'!$B$2:$B$511,"*b)*",'00 Encuesta'!$C$2:$C$511,"*c)*",'00 Encuesta'!$E$2:$E$511,"*b)*",'00 Encuesta'!$AF$2:$AF$511,"*c)*")</f>
        <v>4</v>
      </c>
      <c r="Z246" s="52">
        <f t="shared" si="279"/>
        <v>22.222222222222221</v>
      </c>
      <c r="AA246" s="3"/>
      <c r="AB246" s="62">
        <f t="shared" si="280"/>
        <v>34</v>
      </c>
      <c r="AC246" s="52">
        <f t="shared" si="281"/>
        <v>31.192660550458715</v>
      </c>
      <c r="AD246" s="3"/>
      <c r="AE246" s="3"/>
      <c r="AF246" s="9" t="str">
        <f t="shared" si="282"/>
        <v>c) Bastante</v>
      </c>
      <c r="AG246" s="72">
        <f t="shared" si="283"/>
        <v>19.047619047619047</v>
      </c>
      <c r="AH246" s="72">
        <f t="shared" si="284"/>
        <v>17.647058823529413</v>
      </c>
      <c r="AI246" s="73">
        <f t="shared" si="285"/>
        <v>18.421052631578945</v>
      </c>
      <c r="AJ246" s="73"/>
      <c r="AK246" s="76">
        <f t="shared" si="286"/>
        <v>47.058823529411761</v>
      </c>
      <c r="AL246" s="76">
        <f t="shared" si="287"/>
        <v>60</v>
      </c>
      <c r="AM246" s="76">
        <f t="shared" si="288"/>
        <v>53.125</v>
      </c>
      <c r="AN246" s="76"/>
      <c r="AO246" s="81">
        <f t="shared" si="289"/>
        <v>28.571428571428569</v>
      </c>
      <c r="AP246" s="81">
        <f t="shared" si="290"/>
        <v>22.222222222222221</v>
      </c>
      <c r="AQ246" s="81">
        <f t="shared" si="291"/>
        <v>25.641025641025639</v>
      </c>
      <c r="AR246" s="3"/>
      <c r="AS246" s="76">
        <f t="shared" si="227"/>
        <v>31.192660550458715</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4</v>
      </c>
      <c r="H247" s="52">
        <f t="shared" si="277"/>
        <v>10.526315789473683</v>
      </c>
      <c r="I247" s="53">
        <f>COUNTIFS('00 Encuesta'!$B$2:$B$511,"*b)*",'00 Encuesta'!$C$2:$C$511,"*a)*",'00 Encuesta'!$E$2:$E$511,"*a)*",'00 Encuesta'!$AF$2:$AF$511,"*d)*")</f>
        <v>3</v>
      </c>
      <c r="J247" s="52">
        <f t="shared" si="278"/>
        <v>14.285714285714285</v>
      </c>
      <c r="K247" s="53">
        <f>COUNTIFS('00 Encuesta'!$B$2:$B$511,"*b)*",'00 Encuesta'!$C$2:$C$511,"*a)*",'00 Encuesta'!$E$2:$E$511,"*b)*",'00 Encuesta'!$AF$2:$AF$511,"*d)*")</f>
        <v>1</v>
      </c>
      <c r="L247" s="52">
        <f>K247/$J$7*100</f>
        <v>5.8823529411764701</v>
      </c>
      <c r="M247" s="23"/>
      <c r="N247" s="51">
        <f>P247+R247</f>
        <v>5</v>
      </c>
      <c r="O247" s="52">
        <f>N247/$Q$5*100</f>
        <v>15.625</v>
      </c>
      <c r="P247" s="53">
        <f>COUNTIFS('00 Encuesta'!$B$2:$B$511,"*b)*",'00 Encuesta'!$C$2:$C$511,"*b)*",'00 Encuesta'!$E$2:$E$511,"*a)*",'00 Encuesta'!$AF$2:$AF$511,"*d)*")</f>
        <v>4</v>
      </c>
      <c r="Q247" s="52">
        <f>P247/$Q$6*100</f>
        <v>23.52941176470588</v>
      </c>
      <c r="R247" s="53">
        <f>COUNTIFS('00 Encuesta'!$B$2:$B$511,"*b)*",'00 Encuesta'!$C$2:$C$511,"*b)*",'00 Encuesta'!$E$2:$E$511,"*b)*",'00 Encuesta'!$AF$2:$AF$511,"*d)*")</f>
        <v>1</v>
      </c>
      <c r="S247" s="52">
        <f>R247/$Q$7*100</f>
        <v>6.666666666666667</v>
      </c>
      <c r="T247" s="3"/>
      <c r="U247" s="51">
        <f>W247+Y247</f>
        <v>0</v>
      </c>
      <c r="V247" s="52">
        <f>U247/$X$5*100</f>
        <v>0</v>
      </c>
      <c r="W247" s="53">
        <f>COUNTIFS('00 Encuesta'!$B$2:$B$511,"*b)*",'00 Encuesta'!$C$2:$C$511,"*c)*",'00 Encuesta'!$E$2:$E$511,"*a)*",'00 Encuesta'!$AF$2:$AF$511,"*d)*")</f>
        <v>0</v>
      </c>
      <c r="X247" s="52">
        <f>W247/$X$6*100</f>
        <v>0</v>
      </c>
      <c r="Y247" s="53">
        <f>COUNTIFS('00 Encuesta'!$B$2:$B$511,"*b)*",'00 Encuesta'!$C$2:$C$511,"*c)*",'00 Encuesta'!$E$2:$E$511,"*b)*",'00 Encuesta'!$AF$2:$AF$511,"*d)*")</f>
        <v>0</v>
      </c>
      <c r="Z247" s="52">
        <f t="shared" si="279"/>
        <v>0</v>
      </c>
      <c r="AA247" s="3"/>
      <c r="AB247" s="62">
        <f t="shared" si="280"/>
        <v>9</v>
      </c>
      <c r="AC247" s="52">
        <f t="shared" si="281"/>
        <v>8.2568807339449535</v>
      </c>
      <c r="AD247" s="3"/>
      <c r="AE247" s="3"/>
      <c r="AF247" s="9" t="str">
        <f t="shared" si="282"/>
        <v>d) Mucho o muchísimo</v>
      </c>
      <c r="AG247" s="72">
        <f t="shared" si="283"/>
        <v>14.285714285714285</v>
      </c>
      <c r="AH247" s="72">
        <f t="shared" si="284"/>
        <v>5.8823529411764701</v>
      </c>
      <c r="AI247" s="73">
        <f t="shared" si="285"/>
        <v>10.526315789473683</v>
      </c>
      <c r="AJ247" s="73"/>
      <c r="AK247" s="76">
        <f t="shared" si="286"/>
        <v>23.52941176470588</v>
      </c>
      <c r="AL247" s="76">
        <f t="shared" si="287"/>
        <v>6.666666666666667</v>
      </c>
      <c r="AM247" s="76">
        <f t="shared" si="288"/>
        <v>15.625</v>
      </c>
      <c r="AN247" s="76"/>
      <c r="AO247" s="81">
        <f t="shared" si="289"/>
        <v>0</v>
      </c>
      <c r="AP247" s="81">
        <f t="shared" si="290"/>
        <v>0</v>
      </c>
      <c r="AQ247" s="81">
        <f t="shared" si="291"/>
        <v>0</v>
      </c>
      <c r="AR247" s="3"/>
      <c r="AS247" s="76">
        <f t="shared" si="227"/>
        <v>8.2568807339449535</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9</v>
      </c>
      <c r="H248" s="52">
        <f t="shared" si="277"/>
        <v>23.684210526315788</v>
      </c>
      <c r="I248" s="53">
        <f>COUNTIFS('00 Encuesta'!$B$2:$B$511,"*b)*",'00 Encuesta'!$C$2:$C$511,"*a)*",'00 Encuesta'!$E$2:$E$511,"*a)*",'00 Encuesta'!$AF$2:$AF$511,"*e)*")</f>
        <v>5</v>
      </c>
      <c r="J248" s="52">
        <f t="shared" si="278"/>
        <v>23.809523809523807</v>
      </c>
      <c r="K248" s="53">
        <f>COUNTIFS('00 Encuesta'!$B$2:$B$511,"*b)*",'00 Encuesta'!$C$2:$C$511,"*a)*",'00 Encuesta'!$E$2:$E$511,"*b)*",'00 Encuesta'!$AF$2:$AF$511,"*e)*")</f>
        <v>4</v>
      </c>
      <c r="L248" s="52">
        <f>K248/$J$7*100</f>
        <v>23.52941176470588</v>
      </c>
      <c r="M248" s="23"/>
      <c r="N248" s="51">
        <f>P248+R248</f>
        <v>2</v>
      </c>
      <c r="O248" s="52">
        <f>N248/$Q$5*100</f>
        <v>6.25</v>
      </c>
      <c r="P248" s="53">
        <f>COUNTIFS('00 Encuesta'!$B$2:$B$511,"*b)*",'00 Encuesta'!$C$2:$C$511,"*b)*",'00 Encuesta'!$E$2:$E$511,"*a)*",'00 Encuesta'!$AF$2:$AF$511,"*e)*")</f>
        <v>0</v>
      </c>
      <c r="Q248" s="52">
        <f>P248/$Q$6*100</f>
        <v>0</v>
      </c>
      <c r="R248" s="53">
        <f>COUNTIFS('00 Encuesta'!$B$2:$B$511,"*b)*",'00 Encuesta'!$C$2:$C$511,"*b)*",'00 Encuesta'!$E$2:$E$511,"*b)*",'00 Encuesta'!$AF$2:$AF$511,"*e)*")</f>
        <v>2</v>
      </c>
      <c r="S248" s="52">
        <f>R248/$Q$7*100</f>
        <v>13.333333333333334</v>
      </c>
      <c r="T248" s="3"/>
      <c r="U248" s="51">
        <f>W248+Y248</f>
        <v>3</v>
      </c>
      <c r="V248" s="52">
        <f>U248/$X$5*100</f>
        <v>7.6923076923076925</v>
      </c>
      <c r="W248" s="53">
        <f>COUNTIFS('00 Encuesta'!$B$2:$B$511,"*b)*",'00 Encuesta'!$C$2:$C$511,"*c)*",'00 Encuesta'!$E$2:$E$511,"*a)*",'00 Encuesta'!$AF$2:$AF$511,"*e)*")</f>
        <v>1</v>
      </c>
      <c r="X248" s="52">
        <f>W248/$X$6*100</f>
        <v>4.7619047619047619</v>
      </c>
      <c r="Y248" s="53">
        <f>COUNTIFS('00 Encuesta'!$B$2:$B$511,"*b)*",'00 Encuesta'!$C$2:$C$511,"*c)*",'00 Encuesta'!$E$2:$E$511,"*b)*",'00 Encuesta'!$AF$2:$AF$511,"*e)*")</f>
        <v>2</v>
      </c>
      <c r="Z248" s="52">
        <f t="shared" si="279"/>
        <v>11.111111111111111</v>
      </c>
      <c r="AA248" s="3"/>
      <c r="AB248" s="62">
        <f t="shared" si="280"/>
        <v>14</v>
      </c>
      <c r="AC248" s="52">
        <f t="shared" si="281"/>
        <v>12.844036697247706</v>
      </c>
      <c r="AD248" s="3"/>
      <c r="AE248" s="3"/>
      <c r="AF248" s="9" t="str">
        <f t="shared" si="282"/>
        <v>e) No sé</v>
      </c>
      <c r="AG248" s="72">
        <f t="shared" si="283"/>
        <v>23.809523809523807</v>
      </c>
      <c r="AH248" s="72">
        <f t="shared" si="284"/>
        <v>23.52941176470588</v>
      </c>
      <c r="AI248" s="73">
        <f t="shared" si="285"/>
        <v>23.684210526315788</v>
      </c>
      <c r="AJ248" s="73"/>
      <c r="AK248" s="76">
        <f t="shared" si="286"/>
        <v>0</v>
      </c>
      <c r="AL248" s="76">
        <f t="shared" si="287"/>
        <v>13.333333333333334</v>
      </c>
      <c r="AM248" s="76">
        <f t="shared" si="288"/>
        <v>6.25</v>
      </c>
      <c r="AN248" s="76"/>
      <c r="AO248" s="81">
        <f t="shared" si="289"/>
        <v>4.7619047619047619</v>
      </c>
      <c r="AP248" s="81">
        <f t="shared" si="290"/>
        <v>11.111111111111111</v>
      </c>
      <c r="AQ248" s="81">
        <f t="shared" si="291"/>
        <v>7.6923076923076925</v>
      </c>
      <c r="AR248" s="3"/>
      <c r="AS248" s="76">
        <f t="shared" si="227"/>
        <v>12.844036697247706</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ht="15" x14ac:dyDescent="0.25">
      <c r="A249" s="8" t="s">
        <v>23</v>
      </c>
      <c r="B249" s="9" t="s">
        <v>24</v>
      </c>
      <c r="C249" s="7"/>
      <c r="D249" s="7"/>
      <c r="E249" s="7"/>
      <c r="F249" s="71"/>
      <c r="G249" s="51">
        <f t="shared" si="276"/>
        <v>0</v>
      </c>
      <c r="H249" s="52">
        <f t="shared" si="277"/>
        <v>0</v>
      </c>
      <c r="I249" s="53"/>
      <c r="J249" s="52">
        <f t="shared" si="278"/>
        <v>0</v>
      </c>
      <c r="K249" s="53"/>
      <c r="L249" s="52">
        <f t="shared" ref="L249" si="292">K249/$J$7*100</f>
        <v>0</v>
      </c>
      <c r="M249" s="23"/>
      <c r="N249" s="51">
        <f t="shared" ref="N249" si="293">P249+R249</f>
        <v>0</v>
      </c>
      <c r="O249" s="52">
        <f t="shared" ref="O249" si="294">N249/$Q$5*100</f>
        <v>0</v>
      </c>
      <c r="P249" s="53"/>
      <c r="Q249" s="52">
        <f t="shared" ref="Q249" si="295">P249/$Q$6*100</f>
        <v>0</v>
      </c>
      <c r="R249" s="53"/>
      <c r="S249" s="52">
        <f t="shared" ref="S249" si="296">R249/$Q$7*100</f>
        <v>0</v>
      </c>
      <c r="T249" s="3"/>
      <c r="U249" s="51">
        <f t="shared" ref="U249" si="297">W249+Y249</f>
        <v>0</v>
      </c>
      <c r="V249" s="52">
        <f t="shared" ref="V249" si="298">U249/$X$5*100</f>
        <v>0</v>
      </c>
      <c r="W249" s="53"/>
      <c r="X249" s="52">
        <f t="shared" ref="X249" si="299">W249/$X$6*100</f>
        <v>0</v>
      </c>
      <c r="Y249" s="53"/>
      <c r="Z249" s="52">
        <f t="shared" si="279"/>
        <v>0</v>
      </c>
      <c r="AA249" s="3"/>
      <c r="AB249" s="62">
        <f t="shared" si="280"/>
        <v>0</v>
      </c>
      <c r="AC249" s="52">
        <f t="shared" si="281"/>
        <v>0</v>
      </c>
      <c r="AD249" s="3"/>
      <c r="AE249" s="3"/>
      <c r="AF249" s="9" t="str">
        <f t="shared" si="282"/>
        <v>S/R Sin Respuesta</v>
      </c>
      <c r="AG249" s="72">
        <f t="shared" si="283"/>
        <v>0</v>
      </c>
      <c r="AH249" s="72">
        <f t="shared" si="284"/>
        <v>0</v>
      </c>
      <c r="AI249" s="73">
        <f t="shared" si="285"/>
        <v>0</v>
      </c>
      <c r="AJ249" s="73"/>
      <c r="AK249" s="76">
        <f t="shared" si="286"/>
        <v>0</v>
      </c>
      <c r="AL249" s="76">
        <f t="shared" si="287"/>
        <v>0</v>
      </c>
      <c r="AM249" s="76">
        <f t="shared" si="288"/>
        <v>0</v>
      </c>
      <c r="AN249" s="76"/>
      <c r="AO249" s="81">
        <f t="shared" si="289"/>
        <v>0</v>
      </c>
      <c r="AP249" s="81">
        <f t="shared" si="290"/>
        <v>0</v>
      </c>
      <c r="AQ249" s="81">
        <f t="shared" si="291"/>
        <v>0</v>
      </c>
      <c r="AR249" s="3"/>
      <c r="AS249" s="76">
        <f t="shared" si="227"/>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ht="15" x14ac:dyDescent="0.25">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57.13928571428572</v>
      </c>
      <c r="AH250" s="82">
        <f>($F245*K245+$F246*K246+$F247*K247+$F244*K244)/(+K245+K246+K247+K244)</f>
        <v>44.44083333333333</v>
      </c>
      <c r="AI250" s="82">
        <f>($F245*G245+$F246*G246+$F247*G247+$F244*G244)/(G245+G246+G247+G244)</f>
        <v>51.278461538461542</v>
      </c>
      <c r="AJ250" s="82"/>
      <c r="AK250" s="82">
        <f>($F245*P245+$F246*P246+$F247*P247+$F248*P248)/(P245+P246+P247+P248)</f>
        <v>68.884666666666661</v>
      </c>
      <c r="AL250" s="82">
        <f>($F245*R245+$F246*R246+$F247*R247+$F248*R248)/(R245+R246+R247+R248)</f>
        <v>53.328666666666663</v>
      </c>
      <c r="AM250" s="82">
        <f>($F245*N245+$F246*N246+$F247*N247+$F248*N248)/(N245+N246+N247+N248)</f>
        <v>61.106666666666669</v>
      </c>
      <c r="AN250" s="82"/>
      <c r="AO250" s="82">
        <f>($F245*W245+$F246*W246+$F247*W247+$F244*W244)/(W245+W246+W247+W244)</f>
        <v>34.996499999999997</v>
      </c>
      <c r="AP250" s="82">
        <f>($F245*Y245+$F246*Y246+$F247*Y247+$F244*Y244)/(Y245+Y246+Y247+Y244)</f>
        <v>33.33</v>
      </c>
      <c r="AQ250" s="82">
        <f>($F245*U245+$F246*U246+$F247*U247+$F244*U244)/(U245+U246+U247+U244)</f>
        <v>34.310294117647061</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ht="15" x14ac:dyDescent="0.25">
      <c r="A252" s="8" t="s">
        <v>17</v>
      </c>
      <c r="B252" s="9" t="s">
        <v>182</v>
      </c>
      <c r="C252" s="7"/>
      <c r="D252" s="7"/>
      <c r="E252" s="7"/>
      <c r="F252" s="71"/>
      <c r="G252" s="51">
        <f t="shared" ref="G252:G261" si="300">I252+K252</f>
        <v>23</v>
      </c>
      <c r="H252" s="52">
        <f t="shared" ref="H252:H261" si="301">G252/$J$5*100</f>
        <v>60.526315789473685</v>
      </c>
      <c r="I252" s="53">
        <f>COUNTIFS('00 Encuesta'!$B$2:$B$511,"*b)*",'00 Encuesta'!$C$2:$C$511,"*a)*",'00 Encuesta'!$E$2:$E$511,"*a)*",'00 Encuesta'!$AG$2:$AG$511,"*a)*")</f>
        <v>14</v>
      </c>
      <c r="J252" s="52">
        <f t="shared" ref="J252:J261" si="302">I252/$J$6*100</f>
        <v>66.666666666666657</v>
      </c>
      <c r="K252" s="53">
        <f>COUNTIFS('00 Encuesta'!$B$2:$B$511,"*b)*",'00 Encuesta'!$C$2:$C$511,"*a)*",'00 Encuesta'!$E$2:$E$511,"*b)*",'00 Encuesta'!$AG$2:$AG$511,"*a)*")</f>
        <v>9</v>
      </c>
      <c r="L252" s="52">
        <f t="shared" ref="L252:L261" si="303">K252/$J$7*100</f>
        <v>52.941176470588239</v>
      </c>
      <c r="M252" s="23"/>
      <c r="N252" s="51">
        <f t="shared" ref="N252:N261" si="304">P252+R252</f>
        <v>11</v>
      </c>
      <c r="O252" s="52">
        <f t="shared" ref="O252:O261" si="305">N252/$Q$5*100</f>
        <v>34.375</v>
      </c>
      <c r="P252" s="53">
        <f>COUNTIFS('00 Encuesta'!$B$2:$B$511,"*b)*",'00 Encuesta'!$C$2:$C$511,"*b)*",'00 Encuesta'!$E$2:$E$511,"*a)*",'00 Encuesta'!$AG$2:$AG$511,"*a)*")</f>
        <v>9</v>
      </c>
      <c r="Q252" s="52">
        <f t="shared" ref="Q252:Q261" si="306">P252/$Q$6*100</f>
        <v>52.941176470588239</v>
      </c>
      <c r="R252" s="53">
        <f>COUNTIFS('00 Encuesta'!$B$2:$B$511,"*b)*",'00 Encuesta'!$C$2:$C$511,"*b)*",'00 Encuesta'!$E$2:$E$511,"*b)*",'00 Encuesta'!$AG$2:$AG$511,"*a)*")</f>
        <v>2</v>
      </c>
      <c r="S252" s="52">
        <f t="shared" ref="S252:S261" si="307">R252/$Q$7*100</f>
        <v>13.333333333333334</v>
      </c>
      <c r="T252" s="3"/>
      <c r="U252" s="51">
        <f t="shared" ref="U252:U261" si="308">W252+Y252</f>
        <v>18</v>
      </c>
      <c r="V252" s="52">
        <f t="shared" ref="V252:V261" si="309">U252/$X$5*100</f>
        <v>46.153846153846153</v>
      </c>
      <c r="W252" s="53">
        <f>COUNTIFS('00 Encuesta'!$B$2:$B$511,"*b)*",'00 Encuesta'!$C$2:$C$511,"*c)*",'00 Encuesta'!$E$2:$E$511,"*a)*",'00 Encuesta'!$AG$2:$AG$511,"*a)*")</f>
        <v>12</v>
      </c>
      <c r="X252" s="52">
        <f t="shared" ref="X252:X261" si="310">W252/$X$6*100</f>
        <v>57.142857142857139</v>
      </c>
      <c r="Y252" s="53">
        <f>COUNTIFS('00 Encuesta'!$B$2:$B$511,"*b)*",'00 Encuesta'!$C$2:$C$511,"*c)*",'00 Encuesta'!$E$2:$E$511,"*b)*",'00 Encuesta'!$AG$2:$AG$511,"*a)*")</f>
        <v>6</v>
      </c>
      <c r="Z252" s="52">
        <f t="shared" ref="Z252:Z261" si="311">Y252/$X$7*100</f>
        <v>33.333333333333329</v>
      </c>
      <c r="AA252" s="3"/>
      <c r="AB252" s="62">
        <f t="shared" ref="AB252:AB261" si="312">G252+N252+U252</f>
        <v>52</v>
      </c>
      <c r="AC252" s="52">
        <f t="shared" ref="AC252:AC261" si="313">AB252*100/$AC$5</f>
        <v>47.706422018348626</v>
      </c>
      <c r="AD252" s="3"/>
      <c r="AE252" s="3"/>
      <c r="AF252" s="9" t="str">
        <f t="shared" ref="AF252:AF261" si="314">A252&amp;" "&amp;B252</f>
        <v>a) Los deportes y diversiones</v>
      </c>
      <c r="AG252" s="72">
        <f t="shared" ref="AG252:AG261" si="315">J252</f>
        <v>66.666666666666657</v>
      </c>
      <c r="AH252" s="72">
        <f t="shared" ref="AH252:AH261" si="316">L252</f>
        <v>52.941176470588239</v>
      </c>
      <c r="AI252" s="73">
        <f t="shared" ref="AI252:AI261" si="317">H252</f>
        <v>60.526315789473685</v>
      </c>
      <c r="AJ252" s="73"/>
      <c r="AK252" s="76">
        <f t="shared" ref="AK252:AK261" si="318">Q252</f>
        <v>52.941176470588239</v>
      </c>
      <c r="AL252" s="76">
        <f t="shared" ref="AL252:AL261" si="319">S252</f>
        <v>13.333333333333334</v>
      </c>
      <c r="AM252" s="76">
        <f t="shared" ref="AM252:AM261" si="320">O252</f>
        <v>34.375</v>
      </c>
      <c r="AN252" s="76"/>
      <c r="AO252" s="81">
        <f t="shared" ref="AO252:AO261" si="321">X252</f>
        <v>57.142857142857139</v>
      </c>
      <c r="AP252" s="81">
        <f t="shared" ref="AP252:AP261" si="322">Z252</f>
        <v>33.333333333333329</v>
      </c>
      <c r="AQ252" s="81">
        <f t="shared" ref="AQ252:AQ261" si="323">V252</f>
        <v>46.153846153846153</v>
      </c>
      <c r="AR252" s="3"/>
      <c r="AS252" s="76">
        <f t="shared" si="227"/>
        <v>47.706422018348626</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ht="15" x14ac:dyDescent="0.25">
      <c r="A253" s="8" t="s">
        <v>18</v>
      </c>
      <c r="B253" s="9" t="s">
        <v>183</v>
      </c>
      <c r="C253" s="7"/>
      <c r="D253" s="7"/>
      <c r="E253" s="7"/>
      <c r="F253" s="71"/>
      <c r="G253" s="51">
        <f t="shared" si="300"/>
        <v>13</v>
      </c>
      <c r="H253" s="52">
        <f t="shared" si="301"/>
        <v>34.210526315789473</v>
      </c>
      <c r="I253" s="53">
        <f>COUNTIFS('00 Encuesta'!$B$2:$B$511,"*b)*",'00 Encuesta'!$C$2:$C$511,"*a)*",'00 Encuesta'!$E$2:$E$511,"*a)*",'00 Encuesta'!$AG$2:$AG$511,"*b)*")</f>
        <v>7</v>
      </c>
      <c r="J253" s="52">
        <f t="shared" si="302"/>
        <v>33.333333333333329</v>
      </c>
      <c r="K253" s="53">
        <f>COUNTIFS('00 Encuesta'!$B$2:$B$511,"*b)*",'00 Encuesta'!$C$2:$C$511,"*a)*",'00 Encuesta'!$E$2:$E$511,"*b)*",'00 Encuesta'!$AG$2:$AG$511,"*b)*")</f>
        <v>6</v>
      </c>
      <c r="L253" s="52">
        <f t="shared" si="303"/>
        <v>35.294117647058826</v>
      </c>
      <c r="M253" s="23"/>
      <c r="N253" s="51">
        <f t="shared" si="304"/>
        <v>12</v>
      </c>
      <c r="O253" s="52">
        <f t="shared" si="305"/>
        <v>37.5</v>
      </c>
      <c r="P253" s="53">
        <f>COUNTIFS('00 Encuesta'!$B$2:$B$511,"*b)*",'00 Encuesta'!$C$2:$C$511,"*b)*",'00 Encuesta'!$E$2:$E$511,"*a)*",'00 Encuesta'!$AG$2:$AG$511,"*b)*")</f>
        <v>4</v>
      </c>
      <c r="Q253" s="52">
        <f t="shared" si="306"/>
        <v>23.52941176470588</v>
      </c>
      <c r="R253" s="53">
        <f>COUNTIFS('00 Encuesta'!$B$2:$B$511,"*b)*",'00 Encuesta'!$C$2:$C$511,"*b)*",'00 Encuesta'!$E$2:$E$511,"*b)*",'00 Encuesta'!$AG$2:$AG$511,"*b)*")</f>
        <v>8</v>
      </c>
      <c r="S253" s="52">
        <f t="shared" si="307"/>
        <v>53.333333333333336</v>
      </c>
      <c r="T253" s="3"/>
      <c r="U253" s="51">
        <f t="shared" si="308"/>
        <v>14</v>
      </c>
      <c r="V253" s="52">
        <f t="shared" si="309"/>
        <v>35.897435897435898</v>
      </c>
      <c r="W253" s="53">
        <f>COUNTIFS('00 Encuesta'!$B$2:$B$511,"*b)*",'00 Encuesta'!$C$2:$C$511,"*c)*",'00 Encuesta'!$E$2:$E$511,"*a)*",'00 Encuesta'!$AG$2:$AG$511,"*b)*")</f>
        <v>7</v>
      </c>
      <c r="X253" s="52">
        <f t="shared" si="310"/>
        <v>33.333333333333329</v>
      </c>
      <c r="Y253" s="53">
        <f>COUNTIFS('00 Encuesta'!$B$2:$B$511,"*b)*",'00 Encuesta'!$C$2:$C$511,"*c)*",'00 Encuesta'!$E$2:$E$511,"*b)*",'00 Encuesta'!$AG$2:$AG$511,"*b)*")</f>
        <v>7</v>
      </c>
      <c r="Z253" s="52">
        <f t="shared" si="311"/>
        <v>38.888888888888893</v>
      </c>
      <c r="AA253" s="3"/>
      <c r="AB253" s="62">
        <f t="shared" si="312"/>
        <v>39</v>
      </c>
      <c r="AC253" s="52">
        <f t="shared" si="313"/>
        <v>35.779816513761467</v>
      </c>
      <c r="AD253" s="3"/>
      <c r="AE253" s="3"/>
      <c r="AF253" s="9" t="str">
        <f t="shared" si="314"/>
        <v>b) El ambiente de estudio y de trabajo</v>
      </c>
      <c r="AG253" s="72">
        <f t="shared" si="315"/>
        <v>33.333333333333329</v>
      </c>
      <c r="AH253" s="72">
        <f t="shared" si="316"/>
        <v>35.294117647058826</v>
      </c>
      <c r="AI253" s="73">
        <f t="shared" si="317"/>
        <v>34.210526315789473</v>
      </c>
      <c r="AJ253" s="73"/>
      <c r="AK253" s="76">
        <f t="shared" si="318"/>
        <v>23.52941176470588</v>
      </c>
      <c r="AL253" s="76">
        <f t="shared" si="319"/>
        <v>53.333333333333336</v>
      </c>
      <c r="AM253" s="76">
        <f t="shared" si="320"/>
        <v>37.5</v>
      </c>
      <c r="AN253" s="76"/>
      <c r="AO253" s="81">
        <f t="shared" si="321"/>
        <v>33.333333333333329</v>
      </c>
      <c r="AP253" s="81">
        <f t="shared" si="322"/>
        <v>38.888888888888893</v>
      </c>
      <c r="AQ253" s="81">
        <f t="shared" si="323"/>
        <v>35.897435897435898</v>
      </c>
      <c r="AR253" s="3"/>
      <c r="AS253" s="76">
        <f t="shared" si="227"/>
        <v>35.779816513761467</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ht="15" x14ac:dyDescent="0.25">
      <c r="A254" s="8" t="s">
        <v>20</v>
      </c>
      <c r="B254" s="9" t="s">
        <v>184</v>
      </c>
      <c r="C254" s="7"/>
      <c r="D254" s="7"/>
      <c r="E254" s="7"/>
      <c r="F254" s="71"/>
      <c r="G254" s="51">
        <f t="shared" si="300"/>
        <v>7</v>
      </c>
      <c r="H254" s="52">
        <f t="shared" si="301"/>
        <v>18.421052631578945</v>
      </c>
      <c r="I254" s="53">
        <f>COUNTIFS('00 Encuesta'!$B$2:$B$511,"*b)*",'00 Encuesta'!$C$2:$C$511,"*a)*",'00 Encuesta'!$E$2:$E$511,"*a)*",'00 Encuesta'!$AG$2:$AG$511,"*c)*")</f>
        <v>2</v>
      </c>
      <c r="J254" s="52">
        <f t="shared" si="302"/>
        <v>9.5238095238095237</v>
      </c>
      <c r="K254" s="53">
        <f>COUNTIFS('00 Encuesta'!$B$2:$B$511,"*b)*",'00 Encuesta'!$C$2:$C$511,"*a)*",'00 Encuesta'!$E$2:$E$511,"*b)*",'00 Encuesta'!$AG$2:$AG$511,"*c)*")</f>
        <v>5</v>
      </c>
      <c r="L254" s="52">
        <f t="shared" si="303"/>
        <v>29.411764705882355</v>
      </c>
      <c r="M254" s="23"/>
      <c r="N254" s="51">
        <f t="shared" si="304"/>
        <v>6</v>
      </c>
      <c r="O254" s="52">
        <f t="shared" si="305"/>
        <v>18.75</v>
      </c>
      <c r="P254" s="53">
        <f>COUNTIFS('00 Encuesta'!$B$2:$B$511,"*b)*",'00 Encuesta'!$C$2:$C$511,"*b)*",'00 Encuesta'!$E$2:$E$511,"*a)*",'00 Encuesta'!$AG$2:$AG$511,"*c)*")</f>
        <v>3</v>
      </c>
      <c r="Q254" s="52">
        <f t="shared" si="306"/>
        <v>17.647058823529413</v>
      </c>
      <c r="R254" s="53">
        <f>COUNTIFS('00 Encuesta'!$B$2:$B$511,"*b)*",'00 Encuesta'!$C$2:$C$511,"*b)*",'00 Encuesta'!$E$2:$E$511,"*b)*",'00 Encuesta'!$AG$2:$AG$511,"*c)*")</f>
        <v>3</v>
      </c>
      <c r="S254" s="52">
        <f t="shared" si="307"/>
        <v>20</v>
      </c>
      <c r="T254" s="3"/>
      <c r="U254" s="51">
        <f t="shared" si="308"/>
        <v>5</v>
      </c>
      <c r="V254" s="52">
        <f t="shared" si="309"/>
        <v>12.820512820512819</v>
      </c>
      <c r="W254" s="53">
        <f>COUNTIFS('00 Encuesta'!$B$2:$B$511,"*b)*",'00 Encuesta'!$C$2:$C$511,"*c)*",'00 Encuesta'!$E$2:$E$511,"*a)*",'00 Encuesta'!$AG$2:$AG$511,"*c)*")</f>
        <v>4</v>
      </c>
      <c r="X254" s="52">
        <f t="shared" si="310"/>
        <v>19.047619047619047</v>
      </c>
      <c r="Y254" s="53">
        <f>COUNTIFS('00 Encuesta'!$B$2:$B$511,"*b)*",'00 Encuesta'!$C$2:$C$511,"*c)*",'00 Encuesta'!$E$2:$E$511,"*b)*",'00 Encuesta'!$AG$2:$AG$511,"*c)*")</f>
        <v>1</v>
      </c>
      <c r="Z254" s="52">
        <f t="shared" si="311"/>
        <v>5.5555555555555554</v>
      </c>
      <c r="AA254" s="3"/>
      <c r="AB254" s="62">
        <f t="shared" si="312"/>
        <v>18</v>
      </c>
      <c r="AC254" s="52">
        <f t="shared" si="313"/>
        <v>16.513761467889907</v>
      </c>
      <c r="AD254" s="3"/>
      <c r="AE254" s="3"/>
      <c r="AF254" s="9" t="str">
        <f t="shared" si="314"/>
        <v>c) Las instalaciones del colegio</v>
      </c>
      <c r="AG254" s="72">
        <f t="shared" si="315"/>
        <v>9.5238095238095237</v>
      </c>
      <c r="AH254" s="72">
        <f t="shared" si="316"/>
        <v>29.411764705882355</v>
      </c>
      <c r="AI254" s="73">
        <f t="shared" si="317"/>
        <v>18.421052631578945</v>
      </c>
      <c r="AJ254" s="73"/>
      <c r="AK254" s="76">
        <f t="shared" si="318"/>
        <v>17.647058823529413</v>
      </c>
      <c r="AL254" s="76">
        <f t="shared" si="319"/>
        <v>20</v>
      </c>
      <c r="AM254" s="76">
        <f t="shared" si="320"/>
        <v>18.75</v>
      </c>
      <c r="AN254" s="76"/>
      <c r="AO254" s="81">
        <f t="shared" si="321"/>
        <v>19.047619047619047</v>
      </c>
      <c r="AP254" s="81">
        <f t="shared" si="322"/>
        <v>5.5555555555555554</v>
      </c>
      <c r="AQ254" s="81">
        <f t="shared" si="323"/>
        <v>12.820512820512819</v>
      </c>
      <c r="AR254" s="3"/>
      <c r="AS254" s="76">
        <f t="shared" si="227"/>
        <v>16.513761467889907</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ht="15" x14ac:dyDescent="0.25">
      <c r="A255" s="8" t="s">
        <v>21</v>
      </c>
      <c r="B255" s="9" t="s">
        <v>185</v>
      </c>
      <c r="C255" s="7"/>
      <c r="D255" s="7"/>
      <c r="E255" s="7"/>
      <c r="F255" s="71"/>
      <c r="G255" s="51">
        <f t="shared" si="300"/>
        <v>0</v>
      </c>
      <c r="H255" s="52">
        <f t="shared" si="301"/>
        <v>0</v>
      </c>
      <c r="I255" s="53">
        <f>COUNTIFS('00 Encuesta'!$B$2:$B$511,"*b)*",'00 Encuesta'!$C$2:$C$511,"*a)*",'00 Encuesta'!$E$2:$E$511,"*a)*",'00 Encuesta'!$AG$2:$AG$511,"*d)*")</f>
        <v>0</v>
      </c>
      <c r="J255" s="52">
        <f t="shared" si="302"/>
        <v>0</v>
      </c>
      <c r="K255" s="53">
        <f>COUNTIFS('00 Encuesta'!$B$2:$B$511,"*b)*",'00 Encuesta'!$C$2:$C$511,"*a)*",'00 Encuesta'!$E$2:$E$511,"*b)*",'00 Encuesta'!$AG$2:$AG$511,"*d)*")</f>
        <v>0</v>
      </c>
      <c r="L255" s="52">
        <f t="shared" si="303"/>
        <v>0</v>
      </c>
      <c r="M255" s="23"/>
      <c r="N255" s="51">
        <f t="shared" si="304"/>
        <v>0</v>
      </c>
      <c r="O255" s="52">
        <f t="shared" si="305"/>
        <v>0</v>
      </c>
      <c r="P255" s="53">
        <f>COUNTIFS('00 Encuesta'!$B$2:$B$511,"*b)*",'00 Encuesta'!$C$2:$C$511,"*b)*",'00 Encuesta'!$E$2:$E$511,"*a)*",'00 Encuesta'!$AG$2:$AG$511,"*d)*")</f>
        <v>0</v>
      </c>
      <c r="Q255" s="52">
        <f t="shared" si="306"/>
        <v>0</v>
      </c>
      <c r="R255" s="53">
        <f>COUNTIFS('00 Encuesta'!$B$2:$B$511,"*b)*",'00 Encuesta'!$C$2:$C$511,"*b)*",'00 Encuesta'!$E$2:$E$511,"*b)*",'00 Encuesta'!$AG$2:$AG$511,"*d)*")</f>
        <v>0</v>
      </c>
      <c r="S255" s="52">
        <f t="shared" si="307"/>
        <v>0</v>
      </c>
      <c r="T255" s="3"/>
      <c r="U255" s="51">
        <f t="shared" si="308"/>
        <v>0</v>
      </c>
      <c r="V255" s="52">
        <f t="shared" si="309"/>
        <v>0</v>
      </c>
      <c r="W255" s="53">
        <f>COUNTIFS('00 Encuesta'!$B$2:$B$511,"*b)*",'00 Encuesta'!$C$2:$C$511,"*c)*",'00 Encuesta'!$E$2:$E$511,"*a)*",'00 Encuesta'!$AG$2:$AG$511,"*d)*")</f>
        <v>0</v>
      </c>
      <c r="X255" s="52">
        <f t="shared" si="310"/>
        <v>0</v>
      </c>
      <c r="Y255" s="53">
        <f>COUNTIFS('00 Encuesta'!$B$2:$B$511,"*b)*",'00 Encuesta'!$C$2:$C$511,"*c)*",'00 Encuesta'!$E$2:$E$511,"*b)*",'00 Encuesta'!$AG$2:$AG$511,"*d)*")</f>
        <v>0</v>
      </c>
      <c r="Z255" s="52">
        <f t="shared" si="311"/>
        <v>0</v>
      </c>
      <c r="AA255" s="3"/>
      <c r="AB255" s="62">
        <f t="shared" si="312"/>
        <v>0</v>
      </c>
      <c r="AC255" s="52">
        <f t="shared" si="313"/>
        <v>0</v>
      </c>
      <c r="AD255" s="3"/>
      <c r="AE255" s="3"/>
      <c r="AF255" s="9" t="str">
        <f t="shared" si="314"/>
        <v>d) Los grupos juveniles cristianos</v>
      </c>
      <c r="AG255" s="72">
        <f t="shared" si="315"/>
        <v>0</v>
      </c>
      <c r="AH255" s="72">
        <f t="shared" si="316"/>
        <v>0</v>
      </c>
      <c r="AI255" s="73">
        <f t="shared" si="317"/>
        <v>0</v>
      </c>
      <c r="AJ255" s="73"/>
      <c r="AK255" s="76">
        <f t="shared" si="318"/>
        <v>0</v>
      </c>
      <c r="AL255" s="76">
        <f t="shared" si="319"/>
        <v>0</v>
      </c>
      <c r="AM255" s="76">
        <f t="shared" si="320"/>
        <v>0</v>
      </c>
      <c r="AN255" s="76"/>
      <c r="AO255" s="81">
        <f t="shared" si="321"/>
        <v>0</v>
      </c>
      <c r="AP255" s="81">
        <f t="shared" si="322"/>
        <v>0</v>
      </c>
      <c r="AQ255" s="81">
        <f t="shared" si="323"/>
        <v>0</v>
      </c>
      <c r="AR255" s="3"/>
      <c r="AS255" s="76">
        <f t="shared" si="227"/>
        <v>0</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ht="15" x14ac:dyDescent="0.25">
      <c r="A256" s="8" t="s">
        <v>22</v>
      </c>
      <c r="B256" s="9" t="s">
        <v>186</v>
      </c>
      <c r="C256" s="7"/>
      <c r="D256" s="7"/>
      <c r="E256" s="7"/>
      <c r="F256" s="71"/>
      <c r="G256" s="51">
        <f t="shared" si="300"/>
        <v>0</v>
      </c>
      <c r="H256" s="52">
        <f t="shared" si="301"/>
        <v>0</v>
      </c>
      <c r="I256" s="53">
        <f>COUNTIFS('00 Encuesta'!$B$2:$B$511,"*b)*",'00 Encuesta'!$C$2:$C$511,"*a)*",'00 Encuesta'!$E$2:$E$511,"*a)*",'00 Encuesta'!$AG$2:$AG$511,"*e)*")</f>
        <v>0</v>
      </c>
      <c r="J256" s="52">
        <f t="shared" si="302"/>
        <v>0</v>
      </c>
      <c r="K256" s="53">
        <f>COUNTIFS('00 Encuesta'!$B$2:$B$511,"*b)*",'00 Encuesta'!$C$2:$C$511,"*a)*",'00 Encuesta'!$E$2:$E$511,"*b)*",'00 Encuesta'!$AG$2:$AG$511,"*e)*")</f>
        <v>0</v>
      </c>
      <c r="L256" s="52">
        <f t="shared" si="303"/>
        <v>0</v>
      </c>
      <c r="M256" s="23"/>
      <c r="N256" s="51">
        <f t="shared" si="304"/>
        <v>6</v>
      </c>
      <c r="O256" s="52">
        <f t="shared" si="305"/>
        <v>18.75</v>
      </c>
      <c r="P256" s="53">
        <f>COUNTIFS('00 Encuesta'!$B$2:$B$511,"*b)*",'00 Encuesta'!$C$2:$C$511,"*b)*",'00 Encuesta'!$E$2:$E$511,"*a)*",'00 Encuesta'!$AG$2:$AG$511,"*e)*")</f>
        <v>0</v>
      </c>
      <c r="Q256" s="52">
        <f t="shared" si="306"/>
        <v>0</v>
      </c>
      <c r="R256" s="53">
        <f>COUNTIFS('00 Encuesta'!$B$2:$B$511,"*b)*",'00 Encuesta'!$C$2:$C$511,"*b)*",'00 Encuesta'!$E$2:$E$511,"*b)*",'00 Encuesta'!$AG$2:$AG$511,"*e)*")</f>
        <v>6</v>
      </c>
      <c r="S256" s="52">
        <f t="shared" si="307"/>
        <v>40</v>
      </c>
      <c r="T256" s="3"/>
      <c r="U256" s="51">
        <f t="shared" si="308"/>
        <v>1</v>
      </c>
      <c r="V256" s="52">
        <f t="shared" si="309"/>
        <v>2.5641025641025639</v>
      </c>
      <c r="W256" s="53">
        <f>COUNTIFS('00 Encuesta'!$B$2:$B$511,"*b)*",'00 Encuesta'!$C$2:$C$511,"*c)*",'00 Encuesta'!$E$2:$E$511,"*a)*",'00 Encuesta'!$AG$2:$AG$511,"*e)*")</f>
        <v>0</v>
      </c>
      <c r="X256" s="52">
        <f t="shared" si="310"/>
        <v>0</v>
      </c>
      <c r="Y256" s="53">
        <f>COUNTIFS('00 Encuesta'!$B$2:$B$511,"*b)*",'00 Encuesta'!$C$2:$C$511,"*c)*",'00 Encuesta'!$E$2:$E$511,"*b)*",'00 Encuesta'!$AG$2:$AG$511,"*e)*")</f>
        <v>1</v>
      </c>
      <c r="Z256" s="52">
        <f t="shared" si="311"/>
        <v>5.5555555555555554</v>
      </c>
      <c r="AA256" s="3"/>
      <c r="AB256" s="62">
        <f t="shared" si="312"/>
        <v>7</v>
      </c>
      <c r="AC256" s="52">
        <f t="shared" si="313"/>
        <v>6.4220183486238529</v>
      </c>
      <c r="AD256" s="3"/>
      <c r="AE256" s="3"/>
      <c r="AF256" s="9" t="str">
        <f t="shared" si="314"/>
        <v>e) La mayor posibilidad de vivir mi fe</v>
      </c>
      <c r="AG256" s="72">
        <f t="shared" si="315"/>
        <v>0</v>
      </c>
      <c r="AH256" s="72">
        <f t="shared" si="316"/>
        <v>0</v>
      </c>
      <c r="AI256" s="73">
        <f t="shared" si="317"/>
        <v>0</v>
      </c>
      <c r="AJ256" s="73"/>
      <c r="AK256" s="76">
        <f t="shared" si="318"/>
        <v>0</v>
      </c>
      <c r="AL256" s="76">
        <f t="shared" si="319"/>
        <v>40</v>
      </c>
      <c r="AM256" s="76">
        <f t="shared" si="320"/>
        <v>18.75</v>
      </c>
      <c r="AN256" s="76"/>
      <c r="AO256" s="81">
        <f t="shared" si="321"/>
        <v>0</v>
      </c>
      <c r="AP256" s="81">
        <f t="shared" si="322"/>
        <v>5.5555555555555554</v>
      </c>
      <c r="AQ256" s="81">
        <f t="shared" si="323"/>
        <v>2.5641025641025639</v>
      </c>
      <c r="AR256" s="3"/>
      <c r="AS256" s="76">
        <f t="shared" si="227"/>
        <v>6.4220183486238529</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ht="15" x14ac:dyDescent="0.25">
      <c r="A257" s="8" t="s">
        <v>45</v>
      </c>
      <c r="B257" s="9" t="s">
        <v>187</v>
      </c>
      <c r="C257" s="7"/>
      <c r="D257" s="7"/>
      <c r="E257" s="7"/>
      <c r="F257" s="71"/>
      <c r="G257" s="51">
        <f t="shared" si="300"/>
        <v>2</v>
      </c>
      <c r="H257" s="52">
        <f t="shared" si="301"/>
        <v>5.2631578947368416</v>
      </c>
      <c r="I257" s="53">
        <f>COUNTIFS('00 Encuesta'!$B$2:$B$511,"*b)*",'00 Encuesta'!$C$2:$C$511,"*a)*",'00 Encuesta'!$E$2:$E$511,"*a)*",'00 Encuesta'!$AG$2:$AG$511,"*f)*")</f>
        <v>1</v>
      </c>
      <c r="J257" s="52">
        <f t="shared" si="302"/>
        <v>4.7619047619047619</v>
      </c>
      <c r="K257" s="53">
        <f>COUNTIFS('00 Encuesta'!$B$2:$B$511,"*b)*",'00 Encuesta'!$C$2:$C$511,"*a)*",'00 Encuesta'!$E$2:$E$511,"*b)*",'00 Encuesta'!$AG$2:$AG$511,"*f)*")</f>
        <v>1</v>
      </c>
      <c r="L257" s="52">
        <f t="shared" si="303"/>
        <v>5.8823529411764701</v>
      </c>
      <c r="M257" s="23"/>
      <c r="N257" s="51">
        <f t="shared" si="304"/>
        <v>4</v>
      </c>
      <c r="O257" s="52">
        <f t="shared" si="305"/>
        <v>12.5</v>
      </c>
      <c r="P257" s="53">
        <f>COUNTIFS('00 Encuesta'!$B$2:$B$511,"*b)*",'00 Encuesta'!$C$2:$C$511,"*b)*",'00 Encuesta'!$E$2:$E$511,"*a)*",'00 Encuesta'!$AG$2:$AG$511,"*f)*")</f>
        <v>2</v>
      </c>
      <c r="Q257" s="52">
        <f t="shared" si="306"/>
        <v>11.76470588235294</v>
      </c>
      <c r="R257" s="53">
        <f>COUNTIFS('00 Encuesta'!$B$2:$B$511,"*b)*",'00 Encuesta'!$C$2:$C$511,"*b)*",'00 Encuesta'!$E$2:$E$511,"*b)*",'00 Encuesta'!$AG$2:$AG$511,"*f)*")</f>
        <v>2</v>
      </c>
      <c r="S257" s="52">
        <f t="shared" si="307"/>
        <v>13.333333333333334</v>
      </c>
      <c r="T257" s="3"/>
      <c r="U257" s="51">
        <f t="shared" si="308"/>
        <v>0</v>
      </c>
      <c r="V257" s="52">
        <f t="shared" si="309"/>
        <v>0</v>
      </c>
      <c r="W257" s="53">
        <f>COUNTIFS('00 Encuesta'!$B$2:$B$511,"*b)*",'00 Encuesta'!$C$2:$C$511,"*c)*",'00 Encuesta'!$E$2:$E$511,"*a)*",'00 Encuesta'!$AG$2:$AG$511,"*f)*")</f>
        <v>0</v>
      </c>
      <c r="X257" s="52">
        <f t="shared" si="310"/>
        <v>0</v>
      </c>
      <c r="Y257" s="53">
        <f>COUNTIFS('00 Encuesta'!$B$2:$B$511,"*b)*",'00 Encuesta'!$C$2:$C$511,"*c)*",'00 Encuesta'!$E$2:$E$511,"*b)*",'00 Encuesta'!$AG$2:$AG$511,"*f)*")</f>
        <v>0</v>
      </c>
      <c r="Z257" s="52">
        <f t="shared" si="311"/>
        <v>0</v>
      </c>
      <c r="AA257" s="3"/>
      <c r="AB257" s="62">
        <f t="shared" si="312"/>
        <v>6</v>
      </c>
      <c r="AC257" s="52">
        <f t="shared" si="313"/>
        <v>5.5045871559633026</v>
      </c>
      <c r="AD257" s="3"/>
      <c r="AE257" s="3"/>
      <c r="AF257" s="9" t="str">
        <f t="shared" si="314"/>
        <v>f) La igualdad de trato que se da a todos</v>
      </c>
      <c r="AG257" s="72">
        <f t="shared" si="315"/>
        <v>4.7619047619047619</v>
      </c>
      <c r="AH257" s="72">
        <f t="shared" si="316"/>
        <v>5.8823529411764701</v>
      </c>
      <c r="AI257" s="73">
        <f t="shared" si="317"/>
        <v>5.2631578947368416</v>
      </c>
      <c r="AJ257" s="73"/>
      <c r="AK257" s="76">
        <f t="shared" si="318"/>
        <v>11.76470588235294</v>
      </c>
      <c r="AL257" s="76">
        <f t="shared" si="319"/>
        <v>13.333333333333334</v>
      </c>
      <c r="AM257" s="76">
        <f t="shared" si="320"/>
        <v>12.5</v>
      </c>
      <c r="AN257" s="76"/>
      <c r="AO257" s="81">
        <f t="shared" si="321"/>
        <v>0</v>
      </c>
      <c r="AP257" s="81">
        <f t="shared" si="322"/>
        <v>0</v>
      </c>
      <c r="AQ257" s="81">
        <f t="shared" si="323"/>
        <v>0</v>
      </c>
      <c r="AR257" s="3"/>
      <c r="AS257" s="76">
        <f t="shared" si="227"/>
        <v>5.5045871559633026</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4</v>
      </c>
      <c r="H258" s="52">
        <f t="shared" si="301"/>
        <v>10.526315789473683</v>
      </c>
      <c r="I258" s="53">
        <f>COUNTIFS('00 Encuesta'!$B$2:$B$511,"*b)*",'00 Encuesta'!$C$2:$C$511,"*a)*",'00 Encuesta'!$E$2:$E$511,"*a)*",'00 Encuesta'!$AG$2:$AG$511,"*g)*")</f>
        <v>2</v>
      </c>
      <c r="J258" s="52">
        <f t="shared" si="302"/>
        <v>9.5238095238095237</v>
      </c>
      <c r="K258" s="53">
        <f>COUNTIFS('00 Encuesta'!$B$2:$B$511,"*b)*",'00 Encuesta'!$C$2:$C$511,"*a)*",'00 Encuesta'!$E$2:$E$511,"*b)*",'00 Encuesta'!$AG$2:$AG$511,"*g)*")</f>
        <v>2</v>
      </c>
      <c r="L258" s="52">
        <f t="shared" si="303"/>
        <v>11.76470588235294</v>
      </c>
      <c r="M258" s="23"/>
      <c r="N258" s="51">
        <f t="shared" si="304"/>
        <v>4</v>
      </c>
      <c r="O258" s="52">
        <f t="shared" si="305"/>
        <v>12.5</v>
      </c>
      <c r="P258" s="53">
        <f>COUNTIFS('00 Encuesta'!$B$2:$B$511,"*b)*",'00 Encuesta'!$C$2:$C$511,"*b)*",'00 Encuesta'!$E$2:$E$511,"*a)*",'00 Encuesta'!$AG$2:$AG$511,"*g)*")</f>
        <v>2</v>
      </c>
      <c r="Q258" s="52">
        <f t="shared" si="306"/>
        <v>11.76470588235294</v>
      </c>
      <c r="R258" s="53">
        <f>COUNTIFS('00 Encuesta'!$B$2:$B$511,"*b)*",'00 Encuesta'!$C$2:$C$511,"*b)*",'00 Encuesta'!$E$2:$E$511,"*b)*",'00 Encuesta'!$AG$2:$AG$511,"*g)*")</f>
        <v>2</v>
      </c>
      <c r="S258" s="52">
        <f t="shared" si="307"/>
        <v>13.333333333333334</v>
      </c>
      <c r="T258" s="3"/>
      <c r="U258" s="51">
        <f t="shared" si="308"/>
        <v>7</v>
      </c>
      <c r="V258" s="52">
        <f t="shared" si="309"/>
        <v>17.948717948717949</v>
      </c>
      <c r="W258" s="53">
        <f>COUNTIFS('00 Encuesta'!$B$2:$B$511,"*b)*",'00 Encuesta'!$C$2:$C$511,"*c)*",'00 Encuesta'!$E$2:$E$511,"*a)*",'00 Encuesta'!$AG$2:$AG$511,"*g)*")</f>
        <v>1</v>
      </c>
      <c r="X258" s="52">
        <f t="shared" si="310"/>
        <v>4.7619047619047619</v>
      </c>
      <c r="Y258" s="53">
        <f>COUNTIFS('00 Encuesta'!$B$2:$B$511,"*b)*",'00 Encuesta'!$C$2:$C$511,"*c)*",'00 Encuesta'!$E$2:$E$511,"*b)*",'00 Encuesta'!$AG$2:$AG$511,"*g)*")</f>
        <v>6</v>
      </c>
      <c r="Z258" s="52">
        <f t="shared" si="311"/>
        <v>33.333333333333329</v>
      </c>
      <c r="AA258" s="3"/>
      <c r="AB258" s="62">
        <f t="shared" si="312"/>
        <v>15</v>
      </c>
      <c r="AC258" s="52">
        <f t="shared" si="313"/>
        <v>13.761467889908257</v>
      </c>
      <c r="AD258" s="3"/>
      <c r="AE258" s="3"/>
      <c r="AF258" s="9" t="str">
        <f t="shared" si="314"/>
        <v>g) La relación con los docentes</v>
      </c>
      <c r="AG258" s="72">
        <f t="shared" si="315"/>
        <v>9.5238095238095237</v>
      </c>
      <c r="AH258" s="72">
        <f t="shared" si="316"/>
        <v>11.76470588235294</v>
      </c>
      <c r="AI258" s="73">
        <f t="shared" si="317"/>
        <v>10.526315789473683</v>
      </c>
      <c r="AJ258" s="73"/>
      <c r="AK258" s="76">
        <f t="shared" si="318"/>
        <v>11.76470588235294</v>
      </c>
      <c r="AL258" s="76">
        <f t="shared" si="319"/>
        <v>13.333333333333334</v>
      </c>
      <c r="AM258" s="76">
        <f t="shared" si="320"/>
        <v>12.5</v>
      </c>
      <c r="AN258" s="76"/>
      <c r="AO258" s="81">
        <f t="shared" si="321"/>
        <v>4.7619047619047619</v>
      </c>
      <c r="AP258" s="81">
        <f t="shared" si="322"/>
        <v>33.333333333333329</v>
      </c>
      <c r="AQ258" s="81">
        <f t="shared" si="323"/>
        <v>17.948717948717949</v>
      </c>
      <c r="AR258" s="3"/>
      <c r="AS258" s="76">
        <f t="shared" si="227"/>
        <v>13.761467889908257</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ht="15" x14ac:dyDescent="0.25">
      <c r="A259" s="8" t="s">
        <v>63</v>
      </c>
      <c r="B259" s="9" t="s">
        <v>189</v>
      </c>
      <c r="C259" s="7"/>
      <c r="D259" s="7"/>
      <c r="E259" s="7"/>
      <c r="F259" s="71"/>
      <c r="G259" s="51">
        <f t="shared" si="300"/>
        <v>3</v>
      </c>
      <c r="H259" s="52">
        <f t="shared" si="301"/>
        <v>7.8947368421052628</v>
      </c>
      <c r="I259" s="53">
        <f>COUNTIFS('00 Encuesta'!$B$2:$B$511,"*b)*",'00 Encuesta'!$C$2:$C$511,"*a)*",'00 Encuesta'!$E$2:$E$511,"*a)*",'00 Encuesta'!$AG$2:$AG$511,"*h)*")</f>
        <v>1</v>
      </c>
      <c r="J259" s="52">
        <f t="shared" si="302"/>
        <v>4.7619047619047619</v>
      </c>
      <c r="K259" s="53">
        <f>COUNTIFS('00 Encuesta'!$B$2:$B$511,"*b)*",'00 Encuesta'!$C$2:$C$511,"*a)*",'00 Encuesta'!$E$2:$E$511,"*b)*",'00 Encuesta'!$AG$2:$AG$511,"*h)*")</f>
        <v>2</v>
      </c>
      <c r="L259" s="52">
        <f t="shared" si="303"/>
        <v>11.76470588235294</v>
      </c>
      <c r="M259" s="23"/>
      <c r="N259" s="51">
        <f t="shared" si="304"/>
        <v>4</v>
      </c>
      <c r="O259" s="52">
        <f t="shared" si="305"/>
        <v>12.5</v>
      </c>
      <c r="P259" s="53">
        <f>COUNTIFS('00 Encuesta'!$B$2:$B$511,"*b)*",'00 Encuesta'!$C$2:$C$511,"*b)*",'00 Encuesta'!$E$2:$E$511,"*a)*",'00 Encuesta'!$AG$2:$AG$511,"*h)*")</f>
        <v>4</v>
      </c>
      <c r="Q259" s="52">
        <f t="shared" si="306"/>
        <v>23.52941176470588</v>
      </c>
      <c r="R259" s="53">
        <f>COUNTIFS('00 Encuesta'!$B$2:$B$511,"*b)*",'00 Encuesta'!$C$2:$C$511,"*b)*",'00 Encuesta'!$E$2:$E$511,"*b)*",'00 Encuesta'!$AG$2:$AG$511,"*h)*")</f>
        <v>0</v>
      </c>
      <c r="S259" s="52">
        <f t="shared" si="307"/>
        <v>0</v>
      </c>
      <c r="T259" s="3"/>
      <c r="U259" s="51">
        <f t="shared" si="308"/>
        <v>9</v>
      </c>
      <c r="V259" s="52">
        <f t="shared" si="309"/>
        <v>23.076923076923077</v>
      </c>
      <c r="W259" s="53">
        <f>COUNTIFS('00 Encuesta'!$B$2:$B$511,"*b)*",'00 Encuesta'!$C$2:$C$511,"*c)*",'00 Encuesta'!$E$2:$E$511,"*a)*",'00 Encuesta'!$AG$2:$AG$511,"*h)*")</f>
        <v>5</v>
      </c>
      <c r="X259" s="52">
        <f t="shared" si="310"/>
        <v>23.809523809523807</v>
      </c>
      <c r="Y259" s="53">
        <f>COUNTIFS('00 Encuesta'!$B$2:$B$511,"*b)*",'00 Encuesta'!$C$2:$C$511,"*c)*",'00 Encuesta'!$E$2:$E$511,"*b)*",'00 Encuesta'!$AG$2:$AG$511,"*h)*")</f>
        <v>4</v>
      </c>
      <c r="Z259" s="52">
        <f t="shared" si="311"/>
        <v>22.222222222222221</v>
      </c>
      <c r="AA259" s="3"/>
      <c r="AB259" s="62">
        <f t="shared" si="312"/>
        <v>16</v>
      </c>
      <c r="AC259" s="52">
        <f t="shared" si="313"/>
        <v>14.678899082568808</v>
      </c>
      <c r="AD259" s="3"/>
      <c r="AE259" s="3"/>
      <c r="AF259" s="9" t="str">
        <f t="shared" si="314"/>
        <v>h) Las actividades extraescolares</v>
      </c>
      <c r="AG259" s="72">
        <f t="shared" si="315"/>
        <v>4.7619047619047619</v>
      </c>
      <c r="AH259" s="72">
        <f t="shared" si="316"/>
        <v>11.76470588235294</v>
      </c>
      <c r="AI259" s="73">
        <f t="shared" si="317"/>
        <v>7.8947368421052628</v>
      </c>
      <c r="AJ259" s="73"/>
      <c r="AK259" s="76">
        <f t="shared" si="318"/>
        <v>23.52941176470588</v>
      </c>
      <c r="AL259" s="76">
        <f t="shared" si="319"/>
        <v>0</v>
      </c>
      <c r="AM259" s="76">
        <f t="shared" si="320"/>
        <v>12.5</v>
      </c>
      <c r="AN259" s="76"/>
      <c r="AO259" s="81">
        <f t="shared" si="321"/>
        <v>23.809523809523807</v>
      </c>
      <c r="AP259" s="81">
        <f t="shared" si="322"/>
        <v>22.222222222222221</v>
      </c>
      <c r="AQ259" s="81">
        <f t="shared" si="323"/>
        <v>23.076923076923077</v>
      </c>
      <c r="AR259" s="3"/>
      <c r="AS259" s="76">
        <f t="shared" si="227"/>
        <v>14.678899082568808</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ht="15" x14ac:dyDescent="0.25">
      <c r="A260" s="8" t="s">
        <v>65</v>
      </c>
      <c r="B260" s="9" t="s">
        <v>190</v>
      </c>
      <c r="C260" s="7"/>
      <c r="D260" s="7"/>
      <c r="E260" s="7"/>
      <c r="F260" s="71"/>
      <c r="G260" s="51">
        <f t="shared" si="300"/>
        <v>6</v>
      </c>
      <c r="H260" s="52">
        <f t="shared" si="301"/>
        <v>15.789473684210526</v>
      </c>
      <c r="I260" s="53">
        <f>COUNTIFS('00 Encuesta'!$B$2:$B$511,"*b)*",'00 Encuesta'!$C$2:$C$511,"*a)*",'00 Encuesta'!$E$2:$E$511,"*a)*",'00 Encuesta'!$AG$2:$AG$511,"*i)*")</f>
        <v>3</v>
      </c>
      <c r="J260" s="52">
        <f t="shared" si="302"/>
        <v>14.285714285714285</v>
      </c>
      <c r="K260" s="53">
        <f>COUNTIFS('00 Encuesta'!$B$2:$B$511,"*b)*",'00 Encuesta'!$C$2:$C$511,"*a)*",'00 Encuesta'!$E$2:$E$511,"*b)*",'00 Encuesta'!$AG$2:$AG$511,"*i)*")</f>
        <v>3</v>
      </c>
      <c r="L260" s="52">
        <f t="shared" si="303"/>
        <v>17.647058823529413</v>
      </c>
      <c r="M260" s="23"/>
      <c r="N260" s="51">
        <f t="shared" si="304"/>
        <v>3</v>
      </c>
      <c r="O260" s="52">
        <f t="shared" si="305"/>
        <v>9.375</v>
      </c>
      <c r="P260" s="53">
        <f>COUNTIFS('00 Encuesta'!$B$2:$B$511,"*b)*",'00 Encuesta'!$C$2:$C$511,"*b)*",'00 Encuesta'!$E$2:$E$511,"*a)*",'00 Encuesta'!$AG$2:$AG$511,"*i)*")</f>
        <v>2</v>
      </c>
      <c r="Q260" s="52">
        <f t="shared" si="306"/>
        <v>11.76470588235294</v>
      </c>
      <c r="R260" s="53">
        <f>COUNTIFS('00 Encuesta'!$B$2:$B$511,"*b)*",'00 Encuesta'!$C$2:$C$511,"*b)*",'00 Encuesta'!$E$2:$E$511,"*b)*",'00 Encuesta'!$AG$2:$AG$511,"*i)*")</f>
        <v>1</v>
      </c>
      <c r="S260" s="52">
        <f t="shared" si="307"/>
        <v>6.666666666666667</v>
      </c>
      <c r="T260" s="3"/>
      <c r="U260" s="51">
        <f t="shared" si="308"/>
        <v>13</v>
      </c>
      <c r="V260" s="52">
        <f t="shared" si="309"/>
        <v>33.333333333333329</v>
      </c>
      <c r="W260" s="53">
        <f>COUNTIFS('00 Encuesta'!$B$2:$B$511,"*b)*",'00 Encuesta'!$C$2:$C$511,"*c)*",'00 Encuesta'!$E$2:$E$511,"*a)*",'00 Encuesta'!$AG$2:$AG$511,"*i)*")</f>
        <v>7</v>
      </c>
      <c r="X260" s="52">
        <f t="shared" si="310"/>
        <v>33.333333333333329</v>
      </c>
      <c r="Y260" s="53">
        <f>COUNTIFS('00 Encuesta'!$B$2:$B$511,"*b)*",'00 Encuesta'!$C$2:$C$511,"*c)*",'00 Encuesta'!$E$2:$E$511,"*b)*",'00 Encuesta'!$AG$2:$AG$511,"*i)*")</f>
        <v>6</v>
      </c>
      <c r="Z260" s="52">
        <f t="shared" si="311"/>
        <v>33.333333333333329</v>
      </c>
      <c r="AA260" s="3"/>
      <c r="AB260" s="62">
        <f t="shared" si="312"/>
        <v>22</v>
      </c>
      <c r="AC260" s="52">
        <f t="shared" si="313"/>
        <v>20.183486238532112</v>
      </c>
      <c r="AD260" s="3"/>
      <c r="AE260" s="3"/>
      <c r="AF260" s="9" t="str">
        <f t="shared" si="314"/>
        <v>i) No me gusta nada</v>
      </c>
      <c r="AG260" s="72">
        <f t="shared" si="315"/>
        <v>14.285714285714285</v>
      </c>
      <c r="AH260" s="72">
        <f t="shared" si="316"/>
        <v>17.647058823529413</v>
      </c>
      <c r="AI260" s="73">
        <f t="shared" si="317"/>
        <v>15.789473684210526</v>
      </c>
      <c r="AJ260" s="73"/>
      <c r="AK260" s="76">
        <f t="shared" si="318"/>
        <v>11.76470588235294</v>
      </c>
      <c r="AL260" s="76">
        <f t="shared" si="319"/>
        <v>6.666666666666667</v>
      </c>
      <c r="AM260" s="76">
        <f t="shared" si="320"/>
        <v>9.375</v>
      </c>
      <c r="AN260" s="76"/>
      <c r="AO260" s="81">
        <f t="shared" si="321"/>
        <v>33.333333333333329</v>
      </c>
      <c r="AP260" s="81">
        <f t="shared" si="322"/>
        <v>33.333333333333329</v>
      </c>
      <c r="AQ260" s="81">
        <f t="shared" si="323"/>
        <v>33.333333333333329</v>
      </c>
      <c r="AR260" s="3"/>
      <c r="AS260" s="76">
        <f t="shared" si="227"/>
        <v>20.183486238532112</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ht="15" x14ac:dyDescent="0.25">
      <c r="A261" s="8" t="s">
        <v>23</v>
      </c>
      <c r="B261" s="9" t="s">
        <v>24</v>
      </c>
      <c r="C261" s="7"/>
      <c r="D261" s="7"/>
      <c r="E261" s="7"/>
      <c r="F261" s="71"/>
      <c r="G261" s="51">
        <f t="shared" si="300"/>
        <v>0</v>
      </c>
      <c r="H261" s="52">
        <f t="shared" si="301"/>
        <v>0</v>
      </c>
      <c r="I261" s="53"/>
      <c r="J261" s="52">
        <f t="shared" si="302"/>
        <v>0</v>
      </c>
      <c r="K261" s="53"/>
      <c r="L261" s="52">
        <f t="shared" si="303"/>
        <v>0</v>
      </c>
      <c r="M261" s="23"/>
      <c r="N261" s="51">
        <f t="shared" si="304"/>
        <v>0</v>
      </c>
      <c r="O261" s="52">
        <f t="shared" si="305"/>
        <v>0</v>
      </c>
      <c r="P261" s="53"/>
      <c r="Q261" s="52">
        <f t="shared" si="306"/>
        <v>0</v>
      </c>
      <c r="R261" s="53"/>
      <c r="S261" s="52">
        <f t="shared" si="307"/>
        <v>0</v>
      </c>
      <c r="T261" s="3"/>
      <c r="U261" s="51">
        <f t="shared" si="308"/>
        <v>0</v>
      </c>
      <c r="V261" s="52">
        <f t="shared" si="309"/>
        <v>0</v>
      </c>
      <c r="W261" s="53"/>
      <c r="X261" s="52">
        <f t="shared" si="310"/>
        <v>0</v>
      </c>
      <c r="Y261" s="53"/>
      <c r="Z261" s="52">
        <f t="shared" si="311"/>
        <v>0</v>
      </c>
      <c r="AA261" s="3"/>
      <c r="AB261" s="62">
        <f t="shared" si="312"/>
        <v>0</v>
      </c>
      <c r="AC261" s="52">
        <f t="shared" si="313"/>
        <v>0</v>
      </c>
      <c r="AD261" s="3"/>
      <c r="AE261" s="3"/>
      <c r="AF261" s="9" t="str">
        <f t="shared" si="314"/>
        <v>S/R Sin Respuesta</v>
      </c>
      <c r="AG261" s="72">
        <f t="shared" si="315"/>
        <v>0</v>
      </c>
      <c r="AH261" s="72">
        <f t="shared" si="316"/>
        <v>0</v>
      </c>
      <c r="AI261" s="73">
        <f t="shared" si="317"/>
        <v>0</v>
      </c>
      <c r="AJ261" s="73"/>
      <c r="AK261" s="76">
        <f t="shared" si="318"/>
        <v>0</v>
      </c>
      <c r="AL261" s="76">
        <f t="shared" si="319"/>
        <v>0</v>
      </c>
      <c r="AM261" s="76">
        <f t="shared" si="320"/>
        <v>0</v>
      </c>
      <c r="AN261" s="76"/>
      <c r="AO261" s="81">
        <f t="shared" si="321"/>
        <v>0</v>
      </c>
      <c r="AP261" s="81">
        <f t="shared" si="322"/>
        <v>0</v>
      </c>
      <c r="AQ261" s="81">
        <f t="shared" si="323"/>
        <v>0</v>
      </c>
      <c r="AR261" s="3"/>
      <c r="AS261" s="76">
        <f t="shared" si="227"/>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ht="15" x14ac:dyDescent="0.25">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ht="15" x14ac:dyDescent="0.25">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ht="15" x14ac:dyDescent="0.25">
      <c r="A264" s="8" t="s">
        <v>17</v>
      </c>
      <c r="B264" s="9" t="s">
        <v>192</v>
      </c>
      <c r="C264" s="7"/>
      <c r="D264" s="7"/>
      <c r="E264" s="7"/>
      <c r="F264" s="71"/>
      <c r="G264" s="51">
        <f t="shared" ref="G264:G270" si="324">I264+K264</f>
        <v>6</v>
      </c>
      <c r="H264" s="52">
        <f t="shared" ref="H264:H270" si="325">G264/$J$5*100</f>
        <v>15.789473684210526</v>
      </c>
      <c r="I264" s="53">
        <f>COUNTIFS('00 Encuesta'!$B$2:$B$511,"*b)*",'00 Encuesta'!$C$2:$C$511,"*a)*",'00 Encuesta'!$E$2:$E$511,"*a)*",'00 Encuesta'!$AI$2:$AI$511,"*a)*")</f>
        <v>1</v>
      </c>
      <c r="J264" s="52">
        <f t="shared" ref="J264:J270" si="326">I264/$J$6*100</f>
        <v>4.7619047619047619</v>
      </c>
      <c r="K264" s="53">
        <f>COUNTIFS('00 Encuesta'!$B$2:$B$511,"*b)*",'00 Encuesta'!$C$2:$C$511,"*a)*",'00 Encuesta'!$E$2:$E$511,"*b)*",'00 Encuesta'!$AI$2:$AI$511,"*a)*")</f>
        <v>5</v>
      </c>
      <c r="L264" s="52">
        <f t="shared" ref="L264:L270" si="327">K264/$J$7*100</f>
        <v>29.411764705882355</v>
      </c>
      <c r="M264" s="23"/>
      <c r="N264" s="51">
        <f t="shared" ref="N264:N270" si="328">P264+R264</f>
        <v>5</v>
      </c>
      <c r="O264" s="52">
        <f t="shared" ref="O264:O270" si="329">N264/$Q$5*100</f>
        <v>15.625</v>
      </c>
      <c r="P264" s="53">
        <f>COUNTIFS('00 Encuesta'!$B$2:$B$511,"*b)*",'00 Encuesta'!$C$2:$C$511,"*b)*",'00 Encuesta'!$E$2:$E$511,"*a)*",'00 Encuesta'!$AI$2:$AI$511,"*a)*")</f>
        <v>3</v>
      </c>
      <c r="Q264" s="52">
        <f t="shared" ref="Q264:Q270" si="330">P264/$Q$6*100</f>
        <v>17.647058823529413</v>
      </c>
      <c r="R264" s="53">
        <f>COUNTIFS('00 Encuesta'!$B$2:$B$511,"*b)*",'00 Encuesta'!$C$2:$C$511,"*b)*",'00 Encuesta'!$E$2:$E$511,"*b)*",'00 Encuesta'!$AI$2:$AI$511,"*a)*")</f>
        <v>2</v>
      </c>
      <c r="S264" s="52">
        <f t="shared" ref="S264:S270" si="331">R264/$Q$7*100</f>
        <v>13.333333333333334</v>
      </c>
      <c r="T264" s="3"/>
      <c r="U264" s="51">
        <f t="shared" ref="U264:U270" si="332">W264+Y264</f>
        <v>12</v>
      </c>
      <c r="V264" s="52">
        <f t="shared" ref="V264:V270" si="333">U264/$X$5*100</f>
        <v>30.76923076923077</v>
      </c>
      <c r="W264" s="53">
        <f>COUNTIFS('00 Encuesta'!$B$2:$B$511,"*b)*",'00 Encuesta'!$C$2:$C$511,"*c)*",'00 Encuesta'!$E$2:$E$511,"*a)*",'00 Encuesta'!$AI$2:$AI$511,"*a)*")</f>
        <v>9</v>
      </c>
      <c r="X264" s="52">
        <f t="shared" ref="X264:X270" si="334">W264/$X$6*100</f>
        <v>42.857142857142854</v>
      </c>
      <c r="Y264" s="53">
        <f>COUNTIFS('00 Encuesta'!$B$2:$B$511,"*b)*",'00 Encuesta'!$C$2:$C$511,"*c)*",'00 Encuesta'!$E$2:$E$511,"*b)*",'00 Encuesta'!$AI$2:$AI$511,"*a)*")</f>
        <v>3</v>
      </c>
      <c r="Z264" s="52">
        <f t="shared" ref="Z264:Z270" si="335">Y264/$X$7*100</f>
        <v>16.666666666666664</v>
      </c>
      <c r="AA264" s="3"/>
      <c r="AB264" s="62">
        <f t="shared" ref="AB264:AB270" si="336">G264+N264+U264</f>
        <v>23</v>
      </c>
      <c r="AC264" s="52">
        <f t="shared" ref="AC264:AC270" si="337">AB264*100/$AC$5</f>
        <v>21.100917431192659</v>
      </c>
      <c r="AD264" s="3"/>
      <c r="AE264" s="3"/>
      <c r="AF264" s="9" t="str">
        <f t="shared" ref="AF264:AF270" si="338">A264&amp;" "&amp;B264</f>
        <v>a) De 0 a 2 horas</v>
      </c>
      <c r="AG264" s="72">
        <f t="shared" ref="AG264:AG270" si="339">J264</f>
        <v>4.7619047619047619</v>
      </c>
      <c r="AH264" s="72">
        <f t="shared" ref="AH264:AH270" si="340">L264</f>
        <v>29.411764705882355</v>
      </c>
      <c r="AI264" s="73">
        <f t="shared" ref="AI264:AI270" si="341">H264</f>
        <v>15.789473684210526</v>
      </c>
      <c r="AJ264" s="73"/>
      <c r="AK264" s="76">
        <f t="shared" ref="AK264:AK270" si="342">Q264</f>
        <v>17.647058823529413</v>
      </c>
      <c r="AL264" s="76">
        <f t="shared" ref="AL264:AL270" si="343">S264</f>
        <v>13.333333333333334</v>
      </c>
      <c r="AM264" s="76">
        <f t="shared" ref="AM264:AM270" si="344">O264</f>
        <v>15.625</v>
      </c>
      <c r="AN264" s="76"/>
      <c r="AO264" s="81">
        <f t="shared" ref="AO264:AO270" si="345">X264</f>
        <v>42.857142857142854</v>
      </c>
      <c r="AP264" s="81">
        <f t="shared" ref="AP264:AP270" si="346">Z264</f>
        <v>16.666666666666664</v>
      </c>
      <c r="AQ264" s="81">
        <f t="shared" ref="AQ264:AQ270" si="347">V264</f>
        <v>30.76923076923077</v>
      </c>
      <c r="AR264" s="3"/>
      <c r="AS264" s="76">
        <f t="shared" si="227"/>
        <v>21.100917431192659</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ht="15" x14ac:dyDescent="0.25">
      <c r="A265" s="8" t="s">
        <v>18</v>
      </c>
      <c r="B265" s="9" t="s">
        <v>193</v>
      </c>
      <c r="C265" s="7"/>
      <c r="D265" s="7"/>
      <c r="E265" s="7"/>
      <c r="F265" s="71"/>
      <c r="G265" s="51">
        <f t="shared" si="324"/>
        <v>11</v>
      </c>
      <c r="H265" s="52">
        <f t="shared" si="325"/>
        <v>28.947368421052634</v>
      </c>
      <c r="I265" s="53">
        <f>COUNTIFS('00 Encuesta'!$B$2:$B$511,"*b)*",'00 Encuesta'!$C$2:$C$511,"*a)*",'00 Encuesta'!$E$2:$E$511,"*a)*",'00 Encuesta'!$AI$2:$AI$511,"*b)*")</f>
        <v>5</v>
      </c>
      <c r="J265" s="52">
        <f t="shared" si="326"/>
        <v>23.809523809523807</v>
      </c>
      <c r="K265" s="53">
        <f>COUNTIFS('00 Encuesta'!$B$2:$B$511,"*b)*",'00 Encuesta'!$C$2:$C$511,"*a)*",'00 Encuesta'!$E$2:$E$511,"*b)*",'00 Encuesta'!$AI$2:$AI$511,"*b)*")</f>
        <v>6</v>
      </c>
      <c r="L265" s="52">
        <f t="shared" si="327"/>
        <v>35.294117647058826</v>
      </c>
      <c r="M265" s="23"/>
      <c r="N265" s="51">
        <f t="shared" si="328"/>
        <v>10</v>
      </c>
      <c r="O265" s="52">
        <f t="shared" si="329"/>
        <v>31.25</v>
      </c>
      <c r="P265" s="53">
        <f>COUNTIFS('00 Encuesta'!$B$2:$B$511,"*b)*",'00 Encuesta'!$C$2:$C$511,"*b)*",'00 Encuesta'!$E$2:$E$511,"*a)*",'00 Encuesta'!$AI$2:$AI$511,"*b)*")</f>
        <v>6</v>
      </c>
      <c r="Q265" s="52">
        <f t="shared" si="330"/>
        <v>35.294117647058826</v>
      </c>
      <c r="R265" s="53">
        <f>COUNTIFS('00 Encuesta'!$B$2:$B$511,"*b)*",'00 Encuesta'!$C$2:$C$511,"*b)*",'00 Encuesta'!$E$2:$E$511,"*b)*",'00 Encuesta'!$AI$2:$AI$511,"*b)*")</f>
        <v>4</v>
      </c>
      <c r="S265" s="52">
        <f t="shared" si="331"/>
        <v>26.666666666666668</v>
      </c>
      <c r="T265" s="3"/>
      <c r="U265" s="51">
        <f t="shared" si="332"/>
        <v>6</v>
      </c>
      <c r="V265" s="52">
        <f t="shared" si="333"/>
        <v>15.384615384615385</v>
      </c>
      <c r="W265" s="53">
        <f>COUNTIFS('00 Encuesta'!$B$2:$B$511,"*b)*",'00 Encuesta'!$C$2:$C$511,"*c)*",'00 Encuesta'!$E$2:$E$511,"*a)*",'00 Encuesta'!$AI$2:$AI$511,"*b)*")</f>
        <v>4</v>
      </c>
      <c r="X265" s="52">
        <f t="shared" si="334"/>
        <v>19.047619047619047</v>
      </c>
      <c r="Y265" s="53">
        <f>COUNTIFS('00 Encuesta'!$B$2:$B$511,"*b)*",'00 Encuesta'!$C$2:$C$511,"*c)*",'00 Encuesta'!$E$2:$E$511,"*b)*",'00 Encuesta'!$AI$2:$AI$511,"*b)*")</f>
        <v>2</v>
      </c>
      <c r="Z265" s="52">
        <f t="shared" si="335"/>
        <v>11.111111111111111</v>
      </c>
      <c r="AA265" s="3"/>
      <c r="AB265" s="62">
        <f t="shared" si="336"/>
        <v>27</v>
      </c>
      <c r="AC265" s="52">
        <f t="shared" si="337"/>
        <v>24.770642201834864</v>
      </c>
      <c r="AD265" s="3"/>
      <c r="AE265" s="3"/>
      <c r="AF265" s="9" t="str">
        <f t="shared" si="338"/>
        <v>b) De 3 a 4 horas</v>
      </c>
      <c r="AG265" s="72">
        <f t="shared" si="339"/>
        <v>23.809523809523807</v>
      </c>
      <c r="AH265" s="72">
        <f t="shared" si="340"/>
        <v>35.294117647058826</v>
      </c>
      <c r="AI265" s="73">
        <f t="shared" si="341"/>
        <v>28.947368421052634</v>
      </c>
      <c r="AJ265" s="73"/>
      <c r="AK265" s="76">
        <f t="shared" si="342"/>
        <v>35.294117647058826</v>
      </c>
      <c r="AL265" s="76">
        <f t="shared" si="343"/>
        <v>26.666666666666668</v>
      </c>
      <c r="AM265" s="76">
        <f t="shared" si="344"/>
        <v>31.25</v>
      </c>
      <c r="AN265" s="76"/>
      <c r="AO265" s="81">
        <f t="shared" si="345"/>
        <v>19.047619047619047</v>
      </c>
      <c r="AP265" s="81">
        <f t="shared" si="346"/>
        <v>11.111111111111111</v>
      </c>
      <c r="AQ265" s="81">
        <f t="shared" si="347"/>
        <v>15.384615384615385</v>
      </c>
      <c r="AR265" s="3"/>
      <c r="AS265" s="76">
        <f t="shared" si="227"/>
        <v>24.770642201834864</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ht="15" x14ac:dyDescent="0.25">
      <c r="A266" s="8" t="s">
        <v>20</v>
      </c>
      <c r="B266" s="9" t="s">
        <v>194</v>
      </c>
      <c r="C266" s="7"/>
      <c r="D266" s="7"/>
      <c r="E266" s="7"/>
      <c r="F266" s="71"/>
      <c r="G266" s="51">
        <f t="shared" si="324"/>
        <v>7</v>
      </c>
      <c r="H266" s="52">
        <f t="shared" si="325"/>
        <v>18.421052631578945</v>
      </c>
      <c r="I266" s="53">
        <f>COUNTIFS('00 Encuesta'!$B$2:$B$511,"*b)*",'00 Encuesta'!$C$2:$C$511,"*a)*",'00 Encuesta'!$E$2:$E$511,"*a)*",'00 Encuesta'!$AI$2:$AI$511,"*c)*")</f>
        <v>5</v>
      </c>
      <c r="J266" s="52">
        <f t="shared" si="326"/>
        <v>23.809523809523807</v>
      </c>
      <c r="K266" s="53">
        <f>COUNTIFS('00 Encuesta'!$B$2:$B$511,"*b)*",'00 Encuesta'!$C$2:$C$511,"*a)*",'00 Encuesta'!$E$2:$E$511,"*b)*",'00 Encuesta'!$AI$2:$AI$511,"*c)*")</f>
        <v>2</v>
      </c>
      <c r="L266" s="52">
        <f t="shared" si="327"/>
        <v>11.76470588235294</v>
      </c>
      <c r="M266" s="23"/>
      <c r="N266" s="51">
        <f t="shared" si="328"/>
        <v>5</v>
      </c>
      <c r="O266" s="52">
        <f t="shared" si="329"/>
        <v>15.625</v>
      </c>
      <c r="P266" s="53">
        <f>COUNTIFS('00 Encuesta'!$B$2:$B$511,"*b)*",'00 Encuesta'!$C$2:$C$511,"*b)*",'00 Encuesta'!$E$2:$E$511,"*a)*",'00 Encuesta'!$AI$2:$AI$511,"*c)*")</f>
        <v>0</v>
      </c>
      <c r="Q266" s="52">
        <f t="shared" si="330"/>
        <v>0</v>
      </c>
      <c r="R266" s="53">
        <f>COUNTIFS('00 Encuesta'!$B$2:$B$511,"*b)*",'00 Encuesta'!$C$2:$C$511,"*b)*",'00 Encuesta'!$E$2:$E$511,"*b)*",'00 Encuesta'!$AI$2:$AI$511,"*c)*")</f>
        <v>5</v>
      </c>
      <c r="S266" s="52">
        <f t="shared" si="331"/>
        <v>33.333333333333329</v>
      </c>
      <c r="T266" s="3"/>
      <c r="U266" s="51">
        <f t="shared" si="332"/>
        <v>7</v>
      </c>
      <c r="V266" s="52">
        <f t="shared" si="333"/>
        <v>17.948717948717949</v>
      </c>
      <c r="W266" s="53">
        <f>COUNTIFS('00 Encuesta'!$B$2:$B$511,"*b)*",'00 Encuesta'!$C$2:$C$511,"*c)*",'00 Encuesta'!$E$2:$E$511,"*a)*",'00 Encuesta'!$AI$2:$AI$511,"*c)*")</f>
        <v>3</v>
      </c>
      <c r="X266" s="52">
        <f t="shared" si="334"/>
        <v>14.285714285714285</v>
      </c>
      <c r="Y266" s="53">
        <f>COUNTIFS('00 Encuesta'!$B$2:$B$511,"*b)*",'00 Encuesta'!$C$2:$C$511,"*c)*",'00 Encuesta'!$E$2:$E$511,"*b)*",'00 Encuesta'!$AI$2:$AI$511,"*c)*")</f>
        <v>4</v>
      </c>
      <c r="Z266" s="52">
        <f t="shared" si="335"/>
        <v>22.222222222222221</v>
      </c>
      <c r="AA266" s="3"/>
      <c r="AB266" s="62">
        <f t="shared" si="336"/>
        <v>19</v>
      </c>
      <c r="AC266" s="52">
        <f t="shared" si="337"/>
        <v>17.431192660550458</v>
      </c>
      <c r="AD266" s="3"/>
      <c r="AE266" s="3"/>
      <c r="AF266" s="9" t="str">
        <f t="shared" si="338"/>
        <v>c) De 5 a 6 horas</v>
      </c>
      <c r="AG266" s="72">
        <f t="shared" si="339"/>
        <v>23.809523809523807</v>
      </c>
      <c r="AH266" s="72">
        <f t="shared" si="340"/>
        <v>11.76470588235294</v>
      </c>
      <c r="AI266" s="73">
        <f t="shared" si="341"/>
        <v>18.421052631578945</v>
      </c>
      <c r="AJ266" s="73"/>
      <c r="AK266" s="76">
        <f t="shared" si="342"/>
        <v>0</v>
      </c>
      <c r="AL266" s="76">
        <f t="shared" si="343"/>
        <v>33.333333333333329</v>
      </c>
      <c r="AM266" s="76">
        <f t="shared" si="344"/>
        <v>15.625</v>
      </c>
      <c r="AN266" s="76"/>
      <c r="AO266" s="81">
        <f t="shared" si="345"/>
        <v>14.285714285714285</v>
      </c>
      <c r="AP266" s="81">
        <f t="shared" si="346"/>
        <v>22.222222222222221</v>
      </c>
      <c r="AQ266" s="81">
        <f t="shared" si="347"/>
        <v>17.948717948717949</v>
      </c>
      <c r="AR266" s="3"/>
      <c r="AS266" s="76">
        <f t="shared" si="227"/>
        <v>17.431192660550458</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ht="15" x14ac:dyDescent="0.25">
      <c r="A267" s="8" t="s">
        <v>21</v>
      </c>
      <c r="B267" s="9" t="s">
        <v>195</v>
      </c>
      <c r="C267" s="7"/>
      <c r="D267" s="7"/>
      <c r="E267" s="7"/>
      <c r="F267" s="71"/>
      <c r="G267" s="51">
        <f t="shared" si="324"/>
        <v>3</v>
      </c>
      <c r="H267" s="52">
        <f t="shared" si="325"/>
        <v>7.8947368421052628</v>
      </c>
      <c r="I267" s="53">
        <f>COUNTIFS('00 Encuesta'!$B$2:$B$511,"*b)*",'00 Encuesta'!$C$2:$C$511,"*a)*",'00 Encuesta'!$E$2:$E$511,"*a)*",'00 Encuesta'!$AI$2:$AI$511,"*d)*")</f>
        <v>3</v>
      </c>
      <c r="J267" s="52">
        <f t="shared" si="326"/>
        <v>14.285714285714285</v>
      </c>
      <c r="K267" s="53">
        <f>COUNTIFS('00 Encuesta'!$B$2:$B$511,"*b)*",'00 Encuesta'!$C$2:$C$511,"*a)*",'00 Encuesta'!$E$2:$E$511,"*b)*",'00 Encuesta'!$AI$2:$AI$511,"*d)*")</f>
        <v>0</v>
      </c>
      <c r="L267" s="52">
        <f t="shared" si="327"/>
        <v>0</v>
      </c>
      <c r="M267" s="23"/>
      <c r="N267" s="51">
        <f t="shared" si="328"/>
        <v>7</v>
      </c>
      <c r="O267" s="52">
        <f t="shared" si="329"/>
        <v>21.875</v>
      </c>
      <c r="P267" s="53">
        <f>COUNTIFS('00 Encuesta'!$B$2:$B$511,"*b)*",'00 Encuesta'!$C$2:$C$511,"*b)*",'00 Encuesta'!$E$2:$E$511,"*a)*",'00 Encuesta'!$AI$2:$AI$511,"*d)*")</f>
        <v>5</v>
      </c>
      <c r="Q267" s="52">
        <f t="shared" si="330"/>
        <v>29.411764705882355</v>
      </c>
      <c r="R267" s="53">
        <f>COUNTIFS('00 Encuesta'!$B$2:$B$511,"*b)*",'00 Encuesta'!$C$2:$C$511,"*b)*",'00 Encuesta'!$E$2:$E$511,"*b)*",'00 Encuesta'!$AI$2:$AI$511,"*d)*")</f>
        <v>2</v>
      </c>
      <c r="S267" s="52">
        <f t="shared" si="331"/>
        <v>13.333333333333334</v>
      </c>
      <c r="T267" s="3"/>
      <c r="U267" s="51">
        <f t="shared" si="332"/>
        <v>8</v>
      </c>
      <c r="V267" s="52">
        <f t="shared" si="333"/>
        <v>20.512820512820511</v>
      </c>
      <c r="W267" s="53">
        <f>COUNTIFS('00 Encuesta'!$B$2:$B$511,"*b)*",'00 Encuesta'!$C$2:$C$511,"*c)*",'00 Encuesta'!$E$2:$E$511,"*a)*",'00 Encuesta'!$AI$2:$AI$511,"*d)*")</f>
        <v>3</v>
      </c>
      <c r="X267" s="52">
        <f t="shared" si="334"/>
        <v>14.285714285714285</v>
      </c>
      <c r="Y267" s="53">
        <f>COUNTIFS('00 Encuesta'!$B$2:$B$511,"*b)*",'00 Encuesta'!$C$2:$C$511,"*c)*",'00 Encuesta'!$E$2:$E$511,"*b)*",'00 Encuesta'!$AI$2:$AI$511,"*d)*")</f>
        <v>5</v>
      </c>
      <c r="Z267" s="52">
        <f t="shared" si="335"/>
        <v>27.777777777777779</v>
      </c>
      <c r="AA267" s="3"/>
      <c r="AB267" s="62">
        <f t="shared" si="336"/>
        <v>18</v>
      </c>
      <c r="AC267" s="52">
        <f t="shared" si="337"/>
        <v>16.513761467889907</v>
      </c>
      <c r="AD267" s="3"/>
      <c r="AE267" s="3"/>
      <c r="AF267" s="9" t="str">
        <f t="shared" si="338"/>
        <v>d) De 7 a 8 horas</v>
      </c>
      <c r="AG267" s="72">
        <f t="shared" si="339"/>
        <v>14.285714285714285</v>
      </c>
      <c r="AH267" s="72">
        <f t="shared" si="340"/>
        <v>0</v>
      </c>
      <c r="AI267" s="73">
        <f t="shared" si="341"/>
        <v>7.8947368421052628</v>
      </c>
      <c r="AJ267" s="73"/>
      <c r="AK267" s="76">
        <f t="shared" si="342"/>
        <v>29.411764705882355</v>
      </c>
      <c r="AL267" s="76">
        <f t="shared" si="343"/>
        <v>13.333333333333334</v>
      </c>
      <c r="AM267" s="76">
        <f t="shared" si="344"/>
        <v>21.875</v>
      </c>
      <c r="AN267" s="76"/>
      <c r="AO267" s="81">
        <f t="shared" si="345"/>
        <v>14.285714285714285</v>
      </c>
      <c r="AP267" s="81">
        <f t="shared" si="346"/>
        <v>27.777777777777779</v>
      </c>
      <c r="AQ267" s="81">
        <f t="shared" si="347"/>
        <v>20.512820512820511</v>
      </c>
      <c r="AR267" s="3"/>
      <c r="AS267" s="76">
        <f t="shared" si="227"/>
        <v>16.513761467889907</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ht="15" x14ac:dyDescent="0.25">
      <c r="A268" s="8" t="s">
        <v>22</v>
      </c>
      <c r="B268" s="9" t="s">
        <v>196</v>
      </c>
      <c r="C268" s="7"/>
      <c r="D268" s="7"/>
      <c r="E268" s="7"/>
      <c r="F268" s="71"/>
      <c r="G268" s="51">
        <f t="shared" si="324"/>
        <v>3</v>
      </c>
      <c r="H268" s="52">
        <f t="shared" si="325"/>
        <v>7.8947368421052628</v>
      </c>
      <c r="I268" s="53">
        <f>COUNTIFS('00 Encuesta'!$B$2:$B$511,"*b)*",'00 Encuesta'!$C$2:$C$511,"*a)*",'00 Encuesta'!$E$2:$E$511,"*a)*",'00 Encuesta'!$AI$2:$AI$511,"*e)*")</f>
        <v>3</v>
      </c>
      <c r="J268" s="52">
        <f t="shared" si="326"/>
        <v>14.285714285714285</v>
      </c>
      <c r="K268" s="53">
        <f>COUNTIFS('00 Encuesta'!$B$2:$B$511,"*b)*",'00 Encuesta'!$C$2:$C$511,"*a)*",'00 Encuesta'!$E$2:$E$511,"*b)*",'00 Encuesta'!$AI$2:$AI$511,"*e)*")</f>
        <v>0</v>
      </c>
      <c r="L268" s="52">
        <f t="shared" si="327"/>
        <v>0</v>
      </c>
      <c r="M268" s="23"/>
      <c r="N268" s="51">
        <f t="shared" si="328"/>
        <v>0</v>
      </c>
      <c r="O268" s="52">
        <f t="shared" si="329"/>
        <v>0</v>
      </c>
      <c r="P268" s="53">
        <f>COUNTIFS('00 Encuesta'!$B$2:$B$511,"*b)*",'00 Encuesta'!$C$2:$C$511,"*b)*",'00 Encuesta'!$E$2:$E$511,"*a)*",'00 Encuesta'!$AI$2:$AI$511,"*e)*")</f>
        <v>0</v>
      </c>
      <c r="Q268" s="52">
        <f t="shared" si="330"/>
        <v>0</v>
      </c>
      <c r="R268" s="53">
        <f>COUNTIFS('00 Encuesta'!$B$2:$B$511,"*b)*",'00 Encuesta'!$C$2:$C$511,"*b)*",'00 Encuesta'!$E$2:$E$511,"*b)*",'00 Encuesta'!$AI$2:$AI$511,"*e)*")</f>
        <v>0</v>
      </c>
      <c r="S268" s="52">
        <f t="shared" si="331"/>
        <v>0</v>
      </c>
      <c r="T268" s="3"/>
      <c r="U268" s="51">
        <f t="shared" si="332"/>
        <v>2</v>
      </c>
      <c r="V268" s="52">
        <f t="shared" si="333"/>
        <v>5.1282051282051277</v>
      </c>
      <c r="W268" s="53">
        <f>COUNTIFS('00 Encuesta'!$B$2:$B$511,"*b)*",'00 Encuesta'!$C$2:$C$511,"*c)*",'00 Encuesta'!$E$2:$E$511,"*a)*",'00 Encuesta'!$AI$2:$AI$511,"*e)*")</f>
        <v>0</v>
      </c>
      <c r="X268" s="52">
        <f t="shared" si="334"/>
        <v>0</v>
      </c>
      <c r="Y268" s="53">
        <f>COUNTIFS('00 Encuesta'!$B$2:$B$511,"*b)*",'00 Encuesta'!$C$2:$C$511,"*c)*",'00 Encuesta'!$E$2:$E$511,"*b)*",'00 Encuesta'!$AI$2:$AI$511,"*e)*")</f>
        <v>2</v>
      </c>
      <c r="Z268" s="52">
        <f t="shared" si="335"/>
        <v>11.111111111111111</v>
      </c>
      <c r="AA268" s="3"/>
      <c r="AB268" s="62">
        <f t="shared" si="336"/>
        <v>5</v>
      </c>
      <c r="AC268" s="52">
        <f t="shared" si="337"/>
        <v>4.5871559633027523</v>
      </c>
      <c r="AD268" s="3"/>
      <c r="AE268" s="3"/>
      <c r="AF268" s="9" t="str">
        <f t="shared" si="338"/>
        <v>e) De 9 a 10 horas</v>
      </c>
      <c r="AG268" s="72">
        <f t="shared" si="339"/>
        <v>14.285714285714285</v>
      </c>
      <c r="AH268" s="72">
        <f t="shared" si="340"/>
        <v>0</v>
      </c>
      <c r="AI268" s="73">
        <f t="shared" si="341"/>
        <v>7.8947368421052628</v>
      </c>
      <c r="AJ268" s="73"/>
      <c r="AK268" s="76">
        <f t="shared" si="342"/>
        <v>0</v>
      </c>
      <c r="AL268" s="76">
        <f t="shared" si="343"/>
        <v>0</v>
      </c>
      <c r="AM268" s="76">
        <f t="shared" si="344"/>
        <v>0</v>
      </c>
      <c r="AN268" s="76"/>
      <c r="AO268" s="81">
        <f t="shared" si="345"/>
        <v>0</v>
      </c>
      <c r="AP268" s="81">
        <f t="shared" si="346"/>
        <v>11.111111111111111</v>
      </c>
      <c r="AQ268" s="81">
        <f t="shared" si="347"/>
        <v>5.1282051282051277</v>
      </c>
      <c r="AR268" s="3"/>
      <c r="AS268" s="76">
        <f t="shared" si="227"/>
        <v>4.5871559633027523</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ht="15" x14ac:dyDescent="0.25">
      <c r="A269" s="8" t="s">
        <v>45</v>
      </c>
      <c r="B269" s="9" t="s">
        <v>197</v>
      </c>
      <c r="C269" s="7"/>
      <c r="D269" s="7"/>
      <c r="E269" s="7"/>
      <c r="F269" s="71"/>
      <c r="G269" s="51">
        <f t="shared" si="324"/>
        <v>5</v>
      </c>
      <c r="H269" s="52">
        <f t="shared" si="325"/>
        <v>13.157894736842104</v>
      </c>
      <c r="I269" s="53">
        <f>COUNTIFS('00 Encuesta'!$B$2:$B$511,"*b)*",'00 Encuesta'!$C$2:$C$511,"*a)*",'00 Encuesta'!$E$2:$E$511,"*a)*",'00 Encuesta'!$AI$2:$AI$511,"*f)*")</f>
        <v>2</v>
      </c>
      <c r="J269" s="52">
        <f t="shared" si="326"/>
        <v>9.5238095238095237</v>
      </c>
      <c r="K269" s="53">
        <f>COUNTIFS('00 Encuesta'!$B$2:$B$511,"*b)*",'00 Encuesta'!$C$2:$C$511,"*a)*",'00 Encuesta'!$E$2:$E$511,"*b)*",'00 Encuesta'!$AI$2:$AI$511,"*f)*")</f>
        <v>3</v>
      </c>
      <c r="L269" s="52">
        <f t="shared" si="327"/>
        <v>17.647058823529413</v>
      </c>
      <c r="M269" s="23"/>
      <c r="N269" s="51">
        <f t="shared" si="328"/>
        <v>2</v>
      </c>
      <c r="O269" s="52">
        <f t="shared" si="329"/>
        <v>6.25</v>
      </c>
      <c r="P269" s="53">
        <f>COUNTIFS('00 Encuesta'!$B$2:$B$511,"*b)*",'00 Encuesta'!$C$2:$C$511,"*b)*",'00 Encuesta'!$E$2:$E$511,"*a)*",'00 Encuesta'!$AI$2:$AI$511,"*f)*")</f>
        <v>0</v>
      </c>
      <c r="Q269" s="52">
        <f t="shared" si="330"/>
        <v>0</v>
      </c>
      <c r="R269" s="53">
        <f>COUNTIFS('00 Encuesta'!$B$2:$B$511,"*b)*",'00 Encuesta'!$C$2:$C$511,"*b)*",'00 Encuesta'!$E$2:$E$511,"*b)*",'00 Encuesta'!$AI$2:$AI$511,"*f)*")</f>
        <v>2</v>
      </c>
      <c r="S269" s="52">
        <f t="shared" si="331"/>
        <v>13.333333333333334</v>
      </c>
      <c r="T269" s="3"/>
      <c r="U269" s="51">
        <f t="shared" si="332"/>
        <v>4</v>
      </c>
      <c r="V269" s="52">
        <f t="shared" si="333"/>
        <v>10.256410256410255</v>
      </c>
      <c r="W269" s="53">
        <f>COUNTIFS('00 Encuesta'!$B$2:$B$511,"*b)*",'00 Encuesta'!$C$2:$C$511,"*c)*",'00 Encuesta'!$E$2:$E$511,"*a)*",'00 Encuesta'!$AI$2:$AI$511,"*f)*")</f>
        <v>2</v>
      </c>
      <c r="X269" s="52">
        <f t="shared" si="334"/>
        <v>9.5238095238095237</v>
      </c>
      <c r="Y269" s="53">
        <f>COUNTIFS('00 Encuesta'!$B$2:$B$511,"*b)*",'00 Encuesta'!$C$2:$C$511,"*c)*",'00 Encuesta'!$E$2:$E$511,"*b)*",'00 Encuesta'!$AI$2:$AI$511,"*f)*")</f>
        <v>2</v>
      </c>
      <c r="Z269" s="52">
        <f t="shared" si="335"/>
        <v>11.111111111111111</v>
      </c>
      <c r="AA269" s="3"/>
      <c r="AB269" s="62">
        <f t="shared" si="336"/>
        <v>11</v>
      </c>
      <c r="AC269" s="52">
        <f t="shared" si="337"/>
        <v>10.091743119266056</v>
      </c>
      <c r="AD269" s="3"/>
      <c r="AE269" s="3"/>
      <c r="AF269" s="9" t="str">
        <f t="shared" si="338"/>
        <v>f) Mas de 11 horas</v>
      </c>
      <c r="AG269" s="72">
        <f t="shared" si="339"/>
        <v>9.5238095238095237</v>
      </c>
      <c r="AH269" s="72">
        <f t="shared" si="340"/>
        <v>17.647058823529413</v>
      </c>
      <c r="AI269" s="73">
        <f t="shared" si="341"/>
        <v>13.157894736842104</v>
      </c>
      <c r="AJ269" s="73"/>
      <c r="AK269" s="76">
        <f t="shared" si="342"/>
        <v>0</v>
      </c>
      <c r="AL269" s="76">
        <f t="shared" si="343"/>
        <v>13.333333333333334</v>
      </c>
      <c r="AM269" s="76">
        <f t="shared" si="344"/>
        <v>6.25</v>
      </c>
      <c r="AN269" s="76"/>
      <c r="AO269" s="81">
        <f t="shared" si="345"/>
        <v>9.5238095238095237</v>
      </c>
      <c r="AP269" s="81">
        <f t="shared" si="346"/>
        <v>11.111111111111111</v>
      </c>
      <c r="AQ269" s="81">
        <f t="shared" si="347"/>
        <v>10.256410256410255</v>
      </c>
      <c r="AR269" s="3"/>
      <c r="AS269" s="76">
        <f t="shared" si="227"/>
        <v>10.091743119266056</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ht="15" x14ac:dyDescent="0.25">
      <c r="A270" s="8" t="s">
        <v>23</v>
      </c>
      <c r="B270" s="9" t="s">
        <v>24</v>
      </c>
      <c r="C270" s="7"/>
      <c r="D270" s="7"/>
      <c r="E270" s="7"/>
      <c r="F270" s="71"/>
      <c r="G270" s="51">
        <f t="shared" si="324"/>
        <v>0</v>
      </c>
      <c r="H270" s="52">
        <f t="shared" si="325"/>
        <v>0</v>
      </c>
      <c r="I270" s="53"/>
      <c r="J270" s="52">
        <f t="shared" si="326"/>
        <v>0</v>
      </c>
      <c r="K270" s="53"/>
      <c r="L270" s="52">
        <f t="shared" si="327"/>
        <v>0</v>
      </c>
      <c r="M270" s="23"/>
      <c r="N270" s="51">
        <f t="shared" si="328"/>
        <v>0</v>
      </c>
      <c r="O270" s="52">
        <f t="shared" si="329"/>
        <v>0</v>
      </c>
      <c r="P270" s="53"/>
      <c r="Q270" s="52">
        <f t="shared" si="330"/>
        <v>0</v>
      </c>
      <c r="R270" s="53"/>
      <c r="S270" s="52">
        <f t="shared" si="331"/>
        <v>0</v>
      </c>
      <c r="T270" s="3"/>
      <c r="U270" s="51">
        <f t="shared" si="332"/>
        <v>0</v>
      </c>
      <c r="V270" s="52">
        <f t="shared" si="333"/>
        <v>0</v>
      </c>
      <c r="W270" s="53"/>
      <c r="X270" s="52">
        <f t="shared" si="334"/>
        <v>0</v>
      </c>
      <c r="Y270" s="53"/>
      <c r="Z270" s="52">
        <f t="shared" si="335"/>
        <v>0</v>
      </c>
      <c r="AA270" s="3"/>
      <c r="AB270" s="62">
        <f t="shared" si="336"/>
        <v>0</v>
      </c>
      <c r="AC270" s="52">
        <f t="shared" si="337"/>
        <v>0</v>
      </c>
      <c r="AD270" s="3"/>
      <c r="AE270" s="3"/>
      <c r="AF270" s="9" t="str">
        <f t="shared" si="338"/>
        <v>S/R Sin Respuesta</v>
      </c>
      <c r="AG270" s="72">
        <f t="shared" si="339"/>
        <v>0</v>
      </c>
      <c r="AH270" s="72">
        <f t="shared" si="340"/>
        <v>0</v>
      </c>
      <c r="AI270" s="73">
        <f t="shared" si="341"/>
        <v>0</v>
      </c>
      <c r="AJ270" s="73"/>
      <c r="AK270" s="76">
        <f t="shared" si="342"/>
        <v>0</v>
      </c>
      <c r="AL270" s="76">
        <f t="shared" si="343"/>
        <v>0</v>
      </c>
      <c r="AM270" s="76">
        <f t="shared" si="344"/>
        <v>0</v>
      </c>
      <c r="AN270" s="76"/>
      <c r="AO270" s="81">
        <f t="shared" si="345"/>
        <v>0</v>
      </c>
      <c r="AP270" s="81">
        <f t="shared" si="346"/>
        <v>0</v>
      </c>
      <c r="AQ270" s="81">
        <f t="shared" si="347"/>
        <v>0</v>
      </c>
      <c r="AR270" s="3"/>
      <c r="AS270" s="76">
        <f t="shared" si="227"/>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ht="15" x14ac:dyDescent="0.25">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ht="15" x14ac:dyDescent="0.25">
      <c r="A273" s="8" t="s">
        <v>17</v>
      </c>
      <c r="B273" s="85" t="s">
        <v>199</v>
      </c>
      <c r="C273" s="7"/>
      <c r="D273" s="7"/>
      <c r="E273" s="7"/>
      <c r="F273" s="71"/>
      <c r="G273" s="51">
        <f t="shared" ref="G273:G286" si="348">I273+K273</f>
        <v>4</v>
      </c>
      <c r="H273" s="52">
        <f t="shared" ref="H273:H286" si="349">G273/$J$5*100</f>
        <v>10.526315789473683</v>
      </c>
      <c r="I273" s="53">
        <f>COUNTIFS('00 Encuesta'!$B$2:$B$511,"*b)*",'00 Encuesta'!$C$2:$C$511,"*a)*",'00 Encuesta'!$E$2:$E$511,"*a)*",'00 Encuesta'!$AJ$2:$AJ$511,"*a)*")</f>
        <v>3</v>
      </c>
      <c r="J273" s="52">
        <f t="shared" ref="J273:J286" si="350">I273/$J$6*100</f>
        <v>14.285714285714285</v>
      </c>
      <c r="K273" s="53">
        <f>COUNTIFS('00 Encuesta'!$B$2:$B$511,"*b)*",'00 Encuesta'!$C$2:$C$511,"*a)*",'00 Encuesta'!$E$2:$E$511,"*b)*",'00 Encuesta'!$AJ$2:$AJ$511,"*a)*")</f>
        <v>1</v>
      </c>
      <c r="L273" s="52">
        <f t="shared" ref="L273:L286" si="351">K273/$J$7*100</f>
        <v>5.8823529411764701</v>
      </c>
      <c r="M273" s="23"/>
      <c r="N273" s="51">
        <f t="shared" ref="N273:N286" si="352">P273+R273</f>
        <v>2</v>
      </c>
      <c r="O273" s="52">
        <f t="shared" ref="O273:O286" si="353">N273/$Q$5*100</f>
        <v>6.25</v>
      </c>
      <c r="P273" s="53">
        <f>COUNTIFS('00 Encuesta'!$B$2:$B$511,"*b)*",'00 Encuesta'!$C$2:$C$511,"*b)*",'00 Encuesta'!$E$2:$E$511,"*a)*",'00 Encuesta'!$AJ$2:$AJ$511,"*a)*")</f>
        <v>1</v>
      </c>
      <c r="Q273" s="52">
        <f t="shared" ref="Q273:Q286" si="354">P273/$Q$6*100</f>
        <v>5.8823529411764701</v>
      </c>
      <c r="R273" s="53">
        <f>COUNTIFS('00 Encuesta'!$B$2:$B$511,"*b)*",'00 Encuesta'!$C$2:$C$511,"*b)*",'00 Encuesta'!$E$2:$E$511,"*b)*",'00 Encuesta'!$AJ$2:$AJ$511,"*a)*")</f>
        <v>1</v>
      </c>
      <c r="S273" s="52">
        <f t="shared" ref="S273:S286" si="355">R273/$Q$7*100</f>
        <v>6.666666666666667</v>
      </c>
      <c r="T273" s="3"/>
      <c r="U273" s="51">
        <f t="shared" ref="U273:U286" si="356">W273+Y273</f>
        <v>5</v>
      </c>
      <c r="V273" s="52">
        <f t="shared" ref="V273:V286" si="357">U273/$X$5*100</f>
        <v>12.820512820512819</v>
      </c>
      <c r="W273" s="53">
        <f>COUNTIFS('00 Encuesta'!$B$2:$B$511,"*b)*",'00 Encuesta'!$C$2:$C$511,"*c)*",'00 Encuesta'!$E$2:$E$511,"*a)*",'00 Encuesta'!$AJ$2:$AJ$511,"*a)*")</f>
        <v>3</v>
      </c>
      <c r="X273" s="52">
        <f t="shared" ref="X273:X286" si="358">W273/$X$6*100</f>
        <v>14.285714285714285</v>
      </c>
      <c r="Y273" s="53">
        <f>COUNTIFS('00 Encuesta'!$B$2:$B$511,"*b)*",'00 Encuesta'!$C$2:$C$511,"*c)*",'00 Encuesta'!$E$2:$E$511,"*b)*",'00 Encuesta'!$AJ$2:$AJ$511,"*a)*")</f>
        <v>2</v>
      </c>
      <c r="Z273" s="52">
        <f t="shared" ref="Z273:Z286" si="359">Y273/$X$7*100</f>
        <v>11.111111111111111</v>
      </c>
      <c r="AA273" s="3"/>
      <c r="AB273" s="62">
        <f t="shared" ref="AB273:AB286" si="360">G273+N273+U273</f>
        <v>11</v>
      </c>
      <c r="AC273" s="52">
        <f t="shared" ref="AC273:AC286" si="361">AB273*100/$AC$5</f>
        <v>10.091743119266056</v>
      </c>
      <c r="AD273" s="3"/>
      <c r="AE273" s="3"/>
      <c r="AF273" s="9" t="str">
        <f t="shared" ref="AF273:AF287" si="362">A273&amp;" "&amp;B273</f>
        <v>a) Me divierto con juegos para computadoras</v>
      </c>
      <c r="AG273" s="72">
        <f>J273</f>
        <v>14.285714285714285</v>
      </c>
      <c r="AH273" s="72">
        <f>L273</f>
        <v>5.8823529411764701</v>
      </c>
      <c r="AI273" s="73">
        <f>H273</f>
        <v>10.526315789473683</v>
      </c>
      <c r="AJ273" s="73"/>
      <c r="AK273" s="76">
        <f t="shared" ref="AK273:AK287" si="363">Q273</f>
        <v>5.8823529411764701</v>
      </c>
      <c r="AL273" s="76">
        <f t="shared" ref="AL273:AL287" si="364">S273</f>
        <v>6.666666666666667</v>
      </c>
      <c r="AM273" s="76">
        <f t="shared" ref="AM273:AM287" si="365">O273</f>
        <v>6.25</v>
      </c>
      <c r="AN273" s="76"/>
      <c r="AO273" s="81">
        <f t="shared" ref="AO273:AO287" si="366">X273</f>
        <v>14.285714285714285</v>
      </c>
      <c r="AP273" s="81">
        <f t="shared" ref="AP273:AP287" si="367">Z273</f>
        <v>11.111111111111111</v>
      </c>
      <c r="AQ273" s="81">
        <f t="shared" ref="AQ273:AQ287" si="368">V273</f>
        <v>12.820512820512819</v>
      </c>
      <c r="AR273" s="3"/>
      <c r="AS273" s="76">
        <f t="shared" ref="AS273:AS342" si="369">AC273</f>
        <v>10.091743119266056</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ht="15" x14ac:dyDescent="0.25">
      <c r="A274" s="8" t="s">
        <v>18</v>
      </c>
      <c r="B274" s="85" t="s">
        <v>200</v>
      </c>
      <c r="C274" s="7"/>
      <c r="D274" s="7"/>
      <c r="E274" s="7"/>
      <c r="F274" s="71"/>
      <c r="G274" s="51">
        <f t="shared" si="348"/>
        <v>13</v>
      </c>
      <c r="H274" s="52">
        <f t="shared" si="349"/>
        <v>34.210526315789473</v>
      </c>
      <c r="I274" s="53">
        <f>COUNTIFS('00 Encuesta'!$B$2:$B$511,"*b)*",'00 Encuesta'!$C$2:$C$511,"*a)*",'00 Encuesta'!$E$2:$E$511,"*a)*",'00 Encuesta'!$AJ$2:$AJ$511,"*b)*")</f>
        <v>9</v>
      </c>
      <c r="J274" s="52">
        <f t="shared" si="350"/>
        <v>42.857142857142854</v>
      </c>
      <c r="K274" s="53">
        <f>COUNTIFS('00 Encuesta'!$B$2:$B$511,"*b)*",'00 Encuesta'!$C$2:$C$511,"*a)*",'00 Encuesta'!$E$2:$E$511,"*b)*",'00 Encuesta'!$AJ$2:$AJ$511,"*b)*")</f>
        <v>4</v>
      </c>
      <c r="L274" s="52">
        <f t="shared" si="351"/>
        <v>23.52941176470588</v>
      </c>
      <c r="M274" s="23"/>
      <c r="N274" s="51">
        <f t="shared" si="352"/>
        <v>3</v>
      </c>
      <c r="O274" s="52">
        <f t="shared" si="353"/>
        <v>9.375</v>
      </c>
      <c r="P274" s="53">
        <f>COUNTIFS('00 Encuesta'!$B$2:$B$511,"*b)*",'00 Encuesta'!$C$2:$C$511,"*b)*",'00 Encuesta'!$E$2:$E$511,"*a)*",'00 Encuesta'!$AJ$2:$AJ$511,"*b)*")</f>
        <v>2</v>
      </c>
      <c r="Q274" s="52">
        <f t="shared" si="354"/>
        <v>11.76470588235294</v>
      </c>
      <c r="R274" s="53">
        <f>COUNTIFS('00 Encuesta'!$B$2:$B$511,"*b)*",'00 Encuesta'!$C$2:$C$511,"*b)*",'00 Encuesta'!$E$2:$E$511,"*b)*",'00 Encuesta'!$AJ$2:$AJ$511,"*b)*")</f>
        <v>1</v>
      </c>
      <c r="S274" s="52">
        <f t="shared" si="355"/>
        <v>6.666666666666667</v>
      </c>
      <c r="T274" s="3"/>
      <c r="U274" s="51">
        <f t="shared" si="356"/>
        <v>14</v>
      </c>
      <c r="V274" s="52">
        <f t="shared" si="357"/>
        <v>35.897435897435898</v>
      </c>
      <c r="W274" s="53">
        <f>COUNTIFS('00 Encuesta'!$B$2:$B$511,"*b)*",'00 Encuesta'!$C$2:$C$511,"*c)*",'00 Encuesta'!$E$2:$E$511,"*a)*",'00 Encuesta'!$AJ$2:$AJ$511,"*b)*")</f>
        <v>5</v>
      </c>
      <c r="X274" s="52">
        <f t="shared" si="358"/>
        <v>23.809523809523807</v>
      </c>
      <c r="Y274" s="53">
        <f>COUNTIFS('00 Encuesta'!$B$2:$B$511,"*b)*",'00 Encuesta'!$C$2:$C$511,"*c)*",'00 Encuesta'!$E$2:$E$511,"*b)*",'00 Encuesta'!$AJ$2:$AJ$511,"*b)*")</f>
        <v>9</v>
      </c>
      <c r="Z274" s="52">
        <f t="shared" si="359"/>
        <v>50</v>
      </c>
      <c r="AA274" s="3"/>
      <c r="AB274" s="62">
        <f t="shared" si="360"/>
        <v>30</v>
      </c>
      <c r="AC274" s="52">
        <f t="shared" si="361"/>
        <v>27.522935779816514</v>
      </c>
      <c r="AD274" s="3"/>
      <c r="AE274" s="3"/>
      <c r="AF274" s="9" t="str">
        <f t="shared" si="362"/>
        <v>b) Navego en Internet</v>
      </c>
      <c r="AG274" s="72">
        <f t="shared" ref="AG274:AG287" si="370">J274</f>
        <v>42.857142857142854</v>
      </c>
      <c r="AH274" s="72">
        <f t="shared" ref="AH274:AH287" si="371">L274</f>
        <v>23.52941176470588</v>
      </c>
      <c r="AI274" s="73">
        <f t="shared" ref="AI274:AI287" si="372">H274</f>
        <v>34.210526315789473</v>
      </c>
      <c r="AJ274" s="73"/>
      <c r="AK274" s="76">
        <f t="shared" si="363"/>
        <v>11.76470588235294</v>
      </c>
      <c r="AL274" s="76">
        <f t="shared" si="364"/>
        <v>6.666666666666667</v>
      </c>
      <c r="AM274" s="76">
        <f t="shared" si="365"/>
        <v>9.375</v>
      </c>
      <c r="AN274" s="76"/>
      <c r="AO274" s="81">
        <f t="shared" si="366"/>
        <v>23.809523809523807</v>
      </c>
      <c r="AP274" s="81">
        <f t="shared" si="367"/>
        <v>50</v>
      </c>
      <c r="AQ274" s="81">
        <f t="shared" si="368"/>
        <v>35.897435897435898</v>
      </c>
      <c r="AR274" s="3"/>
      <c r="AS274" s="76">
        <f t="shared" si="369"/>
        <v>27.522935779816514</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0</v>
      </c>
      <c r="H275" s="52">
        <f t="shared" si="349"/>
        <v>0</v>
      </c>
      <c r="I275" s="53">
        <f>COUNTIFS('00 Encuesta'!$B$2:$B$511,"*b)*",'00 Encuesta'!$C$2:$C$511,"*a)*",'00 Encuesta'!$E$2:$E$511,"*a)*",'00 Encuesta'!$AJ$2:$AJ$511,"*c)*")</f>
        <v>0</v>
      </c>
      <c r="J275" s="52">
        <f t="shared" si="350"/>
        <v>0</v>
      </c>
      <c r="K275" s="53">
        <f>COUNTIFS('00 Encuesta'!$B$2:$B$511,"*b)*",'00 Encuesta'!$C$2:$C$511,"*a)*",'00 Encuesta'!$E$2:$E$511,"*b)*",'00 Encuesta'!$AJ$2:$AJ$511,"*c)*")</f>
        <v>0</v>
      </c>
      <c r="L275" s="52">
        <f t="shared" si="351"/>
        <v>0</v>
      </c>
      <c r="M275" s="23"/>
      <c r="N275" s="51">
        <f t="shared" si="352"/>
        <v>1</v>
      </c>
      <c r="O275" s="52">
        <f t="shared" si="353"/>
        <v>3.125</v>
      </c>
      <c r="P275" s="53">
        <f>COUNTIFS('00 Encuesta'!$B$2:$B$511,"*b)*",'00 Encuesta'!$C$2:$C$511,"*b)*",'00 Encuesta'!$E$2:$E$511,"*a)*",'00 Encuesta'!$AJ$2:$AJ$511,"*c)*")</f>
        <v>1</v>
      </c>
      <c r="Q275" s="52">
        <f t="shared" si="354"/>
        <v>5.8823529411764701</v>
      </c>
      <c r="R275" s="53">
        <f>COUNTIFS('00 Encuesta'!$B$2:$B$511,"*b)*",'00 Encuesta'!$C$2:$C$511,"*b)*",'00 Encuesta'!$E$2:$E$511,"*b)*",'00 Encuesta'!$AJ$2:$AJ$511,"*c)*")</f>
        <v>0</v>
      </c>
      <c r="S275" s="52">
        <f t="shared" si="355"/>
        <v>0</v>
      </c>
      <c r="T275" s="3"/>
      <c r="U275" s="51">
        <f t="shared" si="356"/>
        <v>1</v>
      </c>
      <c r="V275" s="52">
        <f t="shared" si="357"/>
        <v>2.5641025641025639</v>
      </c>
      <c r="W275" s="53">
        <f>COUNTIFS('00 Encuesta'!$B$2:$B$511,"*b)*",'00 Encuesta'!$C$2:$C$511,"*c)*",'00 Encuesta'!$E$2:$E$511,"*a)*",'00 Encuesta'!$AJ$2:$AJ$511,"*c)*")</f>
        <v>1</v>
      </c>
      <c r="X275" s="52">
        <f t="shared" si="358"/>
        <v>4.7619047619047619</v>
      </c>
      <c r="Y275" s="53">
        <f>COUNTIFS('00 Encuesta'!$B$2:$B$511,"*b)*",'00 Encuesta'!$C$2:$C$511,"*c)*",'00 Encuesta'!$E$2:$E$511,"*b)*",'00 Encuesta'!$AJ$2:$AJ$511,"*c)*")</f>
        <v>0</v>
      </c>
      <c r="Z275" s="52">
        <f t="shared" si="359"/>
        <v>0</v>
      </c>
      <c r="AA275" s="3"/>
      <c r="AB275" s="62">
        <f t="shared" si="360"/>
        <v>2</v>
      </c>
      <c r="AC275" s="52">
        <f t="shared" si="361"/>
        <v>1.834862385321101</v>
      </c>
      <c r="AD275" s="3"/>
      <c r="AE275" s="3"/>
      <c r="AF275" s="9" t="str">
        <f t="shared" si="362"/>
        <v>c) Suelo ir a centros de video (máquinas de juegos)</v>
      </c>
      <c r="AG275" s="72">
        <f t="shared" si="370"/>
        <v>0</v>
      </c>
      <c r="AH275" s="72">
        <f t="shared" si="371"/>
        <v>0</v>
      </c>
      <c r="AI275" s="73">
        <f t="shared" si="372"/>
        <v>0</v>
      </c>
      <c r="AJ275" s="73"/>
      <c r="AK275" s="76">
        <f t="shared" si="363"/>
        <v>5.8823529411764701</v>
      </c>
      <c r="AL275" s="76">
        <f t="shared" si="364"/>
        <v>0</v>
      </c>
      <c r="AM275" s="76">
        <f t="shared" si="365"/>
        <v>3.125</v>
      </c>
      <c r="AN275" s="76"/>
      <c r="AO275" s="81">
        <f t="shared" si="366"/>
        <v>4.7619047619047619</v>
      </c>
      <c r="AP275" s="81">
        <f t="shared" si="367"/>
        <v>0</v>
      </c>
      <c r="AQ275" s="81">
        <f t="shared" si="368"/>
        <v>2.5641025641025639</v>
      </c>
      <c r="AR275" s="3"/>
      <c r="AS275" s="76">
        <f t="shared" si="369"/>
        <v>1.834862385321101</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ht="15" x14ac:dyDescent="0.25">
      <c r="A276" s="8" t="s">
        <v>21</v>
      </c>
      <c r="B276" s="85" t="s">
        <v>202</v>
      </c>
      <c r="C276" s="7"/>
      <c r="D276" s="7"/>
      <c r="E276" s="7"/>
      <c r="F276" s="71"/>
      <c r="G276" s="51">
        <f t="shared" si="348"/>
        <v>6</v>
      </c>
      <c r="H276" s="52">
        <f t="shared" si="349"/>
        <v>15.789473684210526</v>
      </c>
      <c r="I276" s="53">
        <f>COUNTIFS('00 Encuesta'!$B$2:$B$511,"*b)*",'00 Encuesta'!$C$2:$C$511,"*a)*",'00 Encuesta'!$E$2:$E$511,"*a)*",'00 Encuesta'!$AJ$2:$AJ$511,"*d)*")</f>
        <v>4</v>
      </c>
      <c r="J276" s="52">
        <f t="shared" si="350"/>
        <v>19.047619047619047</v>
      </c>
      <c r="K276" s="53">
        <f>COUNTIFS('00 Encuesta'!$B$2:$B$511,"*b)*",'00 Encuesta'!$C$2:$C$511,"*a)*",'00 Encuesta'!$E$2:$E$511,"*b)*",'00 Encuesta'!$AJ$2:$AJ$511,"*d)*")</f>
        <v>2</v>
      </c>
      <c r="L276" s="52">
        <f t="shared" si="351"/>
        <v>11.76470588235294</v>
      </c>
      <c r="M276" s="23"/>
      <c r="N276" s="51">
        <f t="shared" si="352"/>
        <v>4</v>
      </c>
      <c r="O276" s="52">
        <f t="shared" si="353"/>
        <v>12.5</v>
      </c>
      <c r="P276" s="53">
        <f>COUNTIFS('00 Encuesta'!$B$2:$B$511,"*b)*",'00 Encuesta'!$C$2:$C$511,"*b)*",'00 Encuesta'!$E$2:$E$511,"*a)*",'00 Encuesta'!$AJ$2:$AJ$511,"*d)*")</f>
        <v>2</v>
      </c>
      <c r="Q276" s="52">
        <f t="shared" si="354"/>
        <v>11.76470588235294</v>
      </c>
      <c r="R276" s="53">
        <f>COUNTIFS('00 Encuesta'!$B$2:$B$511,"*b)*",'00 Encuesta'!$C$2:$C$511,"*b)*",'00 Encuesta'!$E$2:$E$511,"*b)*",'00 Encuesta'!$AJ$2:$AJ$511,"*d)*")</f>
        <v>2</v>
      </c>
      <c r="S276" s="52">
        <f t="shared" si="355"/>
        <v>13.333333333333334</v>
      </c>
      <c r="T276" s="3"/>
      <c r="U276" s="51">
        <f t="shared" si="356"/>
        <v>12</v>
      </c>
      <c r="V276" s="52">
        <f t="shared" si="357"/>
        <v>30.76923076923077</v>
      </c>
      <c r="W276" s="53">
        <f>COUNTIFS('00 Encuesta'!$B$2:$B$511,"*b)*",'00 Encuesta'!$C$2:$C$511,"*c)*",'00 Encuesta'!$E$2:$E$511,"*a)*",'00 Encuesta'!$AJ$2:$AJ$511,"*d)*")</f>
        <v>6</v>
      </c>
      <c r="X276" s="52">
        <f t="shared" si="358"/>
        <v>28.571428571428569</v>
      </c>
      <c r="Y276" s="53">
        <f>COUNTIFS('00 Encuesta'!$B$2:$B$511,"*b)*",'00 Encuesta'!$C$2:$C$511,"*c)*",'00 Encuesta'!$E$2:$E$511,"*b)*",'00 Encuesta'!$AJ$2:$AJ$511,"*d)*")</f>
        <v>6</v>
      </c>
      <c r="Z276" s="52">
        <f t="shared" si="359"/>
        <v>33.333333333333329</v>
      </c>
      <c r="AA276" s="3"/>
      <c r="AB276" s="62">
        <f t="shared" si="360"/>
        <v>22</v>
      </c>
      <c r="AC276" s="52">
        <f t="shared" si="361"/>
        <v>20.183486238532112</v>
      </c>
      <c r="AD276" s="3"/>
      <c r="AE276" s="3"/>
      <c r="AF276" s="9" t="str">
        <f t="shared" si="362"/>
        <v>d) Estoy la mayor parte del tiempo en la casa sin hacer nada</v>
      </c>
      <c r="AG276" s="72">
        <f t="shared" si="370"/>
        <v>19.047619047619047</v>
      </c>
      <c r="AH276" s="72">
        <f t="shared" si="371"/>
        <v>11.76470588235294</v>
      </c>
      <c r="AI276" s="73">
        <f t="shared" si="372"/>
        <v>15.789473684210526</v>
      </c>
      <c r="AJ276" s="73"/>
      <c r="AK276" s="76">
        <f t="shared" si="363"/>
        <v>11.76470588235294</v>
      </c>
      <c r="AL276" s="76">
        <f t="shared" si="364"/>
        <v>13.333333333333334</v>
      </c>
      <c r="AM276" s="76">
        <f t="shared" si="365"/>
        <v>12.5</v>
      </c>
      <c r="AN276" s="76"/>
      <c r="AO276" s="81">
        <f t="shared" si="366"/>
        <v>28.571428571428569</v>
      </c>
      <c r="AP276" s="81">
        <f t="shared" si="367"/>
        <v>33.333333333333329</v>
      </c>
      <c r="AQ276" s="81">
        <f t="shared" si="368"/>
        <v>30.76923076923077</v>
      </c>
      <c r="AR276" s="3"/>
      <c r="AS276" s="76">
        <f t="shared" si="369"/>
        <v>20.183486238532112</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1</v>
      </c>
      <c r="H277" s="52">
        <f t="shared" si="349"/>
        <v>2.6315789473684208</v>
      </c>
      <c r="I277" s="53">
        <f>COUNTIFS('00 Encuesta'!$B$2:$B$511,"*b)*",'00 Encuesta'!$C$2:$C$511,"*a)*",'00 Encuesta'!$E$2:$E$511,"*a)*",'00 Encuesta'!$AJ$2:$AJ$511,"*e)*")</f>
        <v>1</v>
      </c>
      <c r="J277" s="52">
        <f t="shared" si="350"/>
        <v>4.7619047619047619</v>
      </c>
      <c r="K277" s="53">
        <f>COUNTIFS('00 Encuesta'!$B$2:$B$511,"*b)*",'00 Encuesta'!$C$2:$C$511,"*a)*",'00 Encuesta'!$E$2:$E$511,"*b)*",'00 Encuesta'!$AJ$2:$AJ$511,"*e)*")</f>
        <v>0</v>
      </c>
      <c r="L277" s="52">
        <f t="shared" si="351"/>
        <v>0</v>
      </c>
      <c r="M277" s="23"/>
      <c r="N277" s="51">
        <f t="shared" si="352"/>
        <v>3</v>
      </c>
      <c r="O277" s="52">
        <f t="shared" si="353"/>
        <v>9.375</v>
      </c>
      <c r="P277" s="53">
        <f>COUNTIFS('00 Encuesta'!$B$2:$B$511,"*b)*",'00 Encuesta'!$C$2:$C$511,"*b)*",'00 Encuesta'!$E$2:$E$511,"*a)*",'00 Encuesta'!$AJ$2:$AJ$511,"*e)*")</f>
        <v>2</v>
      </c>
      <c r="Q277" s="52">
        <f t="shared" si="354"/>
        <v>11.76470588235294</v>
      </c>
      <c r="R277" s="53">
        <f>COUNTIFS('00 Encuesta'!$B$2:$B$511,"*b)*",'00 Encuesta'!$C$2:$C$511,"*b)*",'00 Encuesta'!$E$2:$E$511,"*b)*",'00 Encuesta'!$AJ$2:$AJ$511,"*e)*")</f>
        <v>1</v>
      </c>
      <c r="S277" s="52">
        <f t="shared" si="355"/>
        <v>6.666666666666667</v>
      </c>
      <c r="T277" s="3"/>
      <c r="U277" s="51">
        <f t="shared" si="356"/>
        <v>3</v>
      </c>
      <c r="V277" s="52">
        <f t="shared" si="357"/>
        <v>7.6923076923076925</v>
      </c>
      <c r="W277" s="53">
        <f>COUNTIFS('00 Encuesta'!$B$2:$B$511,"*b)*",'00 Encuesta'!$C$2:$C$511,"*c)*",'00 Encuesta'!$E$2:$E$511,"*a)*",'00 Encuesta'!$AJ$2:$AJ$511,"*e)*")</f>
        <v>3</v>
      </c>
      <c r="X277" s="52">
        <f t="shared" si="358"/>
        <v>14.285714285714285</v>
      </c>
      <c r="Y277" s="53">
        <f>COUNTIFS('00 Encuesta'!$B$2:$B$511,"*b)*",'00 Encuesta'!$C$2:$C$511,"*c)*",'00 Encuesta'!$E$2:$E$511,"*b)*",'00 Encuesta'!$AJ$2:$AJ$511,"*e)*")</f>
        <v>0</v>
      </c>
      <c r="Z277" s="52">
        <f t="shared" si="359"/>
        <v>0</v>
      </c>
      <c r="AA277" s="3"/>
      <c r="AB277" s="62">
        <f t="shared" si="360"/>
        <v>7</v>
      </c>
      <c r="AC277" s="52">
        <f t="shared" si="361"/>
        <v>6.4220183486238529</v>
      </c>
      <c r="AD277" s="3"/>
      <c r="AE277" s="3"/>
      <c r="AF277" s="9" t="str">
        <f t="shared" si="362"/>
        <v>e) Suelo ir a algún parque</v>
      </c>
      <c r="AG277" s="72">
        <f t="shared" si="370"/>
        <v>4.7619047619047619</v>
      </c>
      <c r="AH277" s="72">
        <f t="shared" si="371"/>
        <v>0</v>
      </c>
      <c r="AI277" s="73">
        <f t="shared" si="372"/>
        <v>2.6315789473684208</v>
      </c>
      <c r="AJ277" s="73"/>
      <c r="AK277" s="76">
        <f t="shared" si="363"/>
        <v>11.76470588235294</v>
      </c>
      <c r="AL277" s="76">
        <f t="shared" si="364"/>
        <v>6.666666666666667</v>
      </c>
      <c r="AM277" s="76">
        <f t="shared" si="365"/>
        <v>9.375</v>
      </c>
      <c r="AN277" s="76"/>
      <c r="AO277" s="81">
        <f t="shared" si="366"/>
        <v>14.285714285714285</v>
      </c>
      <c r="AP277" s="81">
        <f t="shared" si="367"/>
        <v>0</v>
      </c>
      <c r="AQ277" s="81">
        <f t="shared" si="368"/>
        <v>7.6923076923076925</v>
      </c>
      <c r="AR277" s="3"/>
      <c r="AS277" s="76">
        <f t="shared" si="369"/>
        <v>6.4220183486238529</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ht="15" x14ac:dyDescent="0.25">
      <c r="A278" s="8" t="s">
        <v>45</v>
      </c>
      <c r="B278" s="85" t="s">
        <v>204</v>
      </c>
      <c r="C278" s="7"/>
      <c r="D278" s="7"/>
      <c r="E278" s="7"/>
      <c r="F278" s="71"/>
      <c r="G278" s="51">
        <f t="shared" si="348"/>
        <v>1</v>
      </c>
      <c r="H278" s="52">
        <f t="shared" si="349"/>
        <v>2.6315789473684208</v>
      </c>
      <c r="I278" s="53">
        <f>COUNTIFS('00 Encuesta'!$B$2:$B$511,"*b)*",'00 Encuesta'!$C$2:$C$511,"*a)*",'00 Encuesta'!$E$2:$E$511,"*a)*",'00 Encuesta'!$AJ$2:$AJ$511,"*f)*")</f>
        <v>1</v>
      </c>
      <c r="J278" s="52">
        <f t="shared" si="350"/>
        <v>4.7619047619047619</v>
      </c>
      <c r="K278" s="53">
        <f>COUNTIFS('00 Encuesta'!$B$2:$B$511,"*b)*",'00 Encuesta'!$C$2:$C$511,"*a)*",'00 Encuesta'!$E$2:$E$511,"*b)*",'00 Encuesta'!$AJ$2:$AJ$511,"*f)*")</f>
        <v>0</v>
      </c>
      <c r="L278" s="52">
        <f t="shared" si="351"/>
        <v>0</v>
      </c>
      <c r="M278" s="23"/>
      <c r="N278" s="51">
        <f t="shared" si="352"/>
        <v>1</v>
      </c>
      <c r="O278" s="52">
        <f t="shared" si="353"/>
        <v>3.125</v>
      </c>
      <c r="P278" s="53">
        <f>COUNTIFS('00 Encuesta'!$B$2:$B$511,"*b)*",'00 Encuesta'!$C$2:$C$511,"*b)*",'00 Encuesta'!$E$2:$E$511,"*a)*",'00 Encuesta'!$AJ$2:$AJ$511,"*f)*")</f>
        <v>1</v>
      </c>
      <c r="Q278" s="52">
        <f t="shared" si="354"/>
        <v>5.8823529411764701</v>
      </c>
      <c r="R278" s="53">
        <f>COUNTIFS('00 Encuesta'!$B$2:$B$511,"*b)*",'00 Encuesta'!$C$2:$C$511,"*b)*",'00 Encuesta'!$E$2:$E$511,"*b)*",'00 Encuesta'!$AJ$2:$AJ$511,"*f)*")</f>
        <v>0</v>
      </c>
      <c r="S278" s="52">
        <f t="shared" si="355"/>
        <v>0</v>
      </c>
      <c r="T278" s="3"/>
      <c r="U278" s="51">
        <f t="shared" si="356"/>
        <v>4</v>
      </c>
      <c r="V278" s="52">
        <f t="shared" si="357"/>
        <v>10.256410256410255</v>
      </c>
      <c r="W278" s="53">
        <f>COUNTIFS('00 Encuesta'!$B$2:$B$511,"*b)*",'00 Encuesta'!$C$2:$C$511,"*c)*",'00 Encuesta'!$E$2:$E$511,"*a)*",'00 Encuesta'!$AJ$2:$AJ$511,"*f)*")</f>
        <v>3</v>
      </c>
      <c r="X278" s="52">
        <f t="shared" si="358"/>
        <v>14.285714285714285</v>
      </c>
      <c r="Y278" s="53">
        <f>COUNTIFS('00 Encuesta'!$B$2:$B$511,"*b)*",'00 Encuesta'!$C$2:$C$511,"*c)*",'00 Encuesta'!$E$2:$E$511,"*b)*",'00 Encuesta'!$AJ$2:$AJ$511,"*f)*")</f>
        <v>1</v>
      </c>
      <c r="Z278" s="52">
        <f t="shared" si="359"/>
        <v>5.5555555555555554</v>
      </c>
      <c r="AA278" s="3"/>
      <c r="AB278" s="62">
        <f t="shared" si="360"/>
        <v>6</v>
      </c>
      <c r="AC278" s="52">
        <f t="shared" si="361"/>
        <v>5.5045871559633026</v>
      </c>
      <c r="AD278" s="3"/>
      <c r="AE278" s="3"/>
      <c r="AF278" s="9" t="str">
        <f t="shared" si="362"/>
        <v>f) Toco un instrumento musical</v>
      </c>
      <c r="AG278" s="72">
        <f t="shared" si="370"/>
        <v>4.7619047619047619</v>
      </c>
      <c r="AH278" s="72">
        <f t="shared" si="371"/>
        <v>0</v>
      </c>
      <c r="AI278" s="73">
        <f t="shared" si="372"/>
        <v>2.6315789473684208</v>
      </c>
      <c r="AJ278" s="73"/>
      <c r="AK278" s="76">
        <f t="shared" si="363"/>
        <v>5.8823529411764701</v>
      </c>
      <c r="AL278" s="76">
        <f t="shared" si="364"/>
        <v>0</v>
      </c>
      <c r="AM278" s="76">
        <f t="shared" si="365"/>
        <v>3.125</v>
      </c>
      <c r="AN278" s="76"/>
      <c r="AO278" s="81">
        <f t="shared" si="366"/>
        <v>14.285714285714285</v>
      </c>
      <c r="AP278" s="81">
        <f t="shared" si="367"/>
        <v>5.5555555555555554</v>
      </c>
      <c r="AQ278" s="81">
        <f t="shared" si="368"/>
        <v>10.256410256410255</v>
      </c>
      <c r="AR278" s="3"/>
      <c r="AS278" s="76">
        <f t="shared" si="369"/>
        <v>5.5045871559633026</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ht="15.75" x14ac:dyDescent="0.3">
      <c r="A279" s="1" t="s">
        <v>61</v>
      </c>
      <c r="B279" s="2" t="s">
        <v>205</v>
      </c>
      <c r="C279" s="3"/>
      <c r="D279" s="7"/>
      <c r="E279" s="7"/>
      <c r="F279" s="71"/>
      <c r="G279" s="51">
        <f t="shared" si="348"/>
        <v>1</v>
      </c>
      <c r="H279" s="52">
        <f t="shared" si="349"/>
        <v>2.6315789473684208</v>
      </c>
      <c r="I279" s="53">
        <f>COUNTIFS('00 Encuesta'!$B$2:$B$511,"*b)*",'00 Encuesta'!$C$2:$C$511,"*a)*",'00 Encuesta'!$E$2:$E$511,"*a)*",'00 Encuesta'!$AJ$2:$AJ$511,"*g)*")</f>
        <v>0</v>
      </c>
      <c r="J279" s="52">
        <f t="shared" si="350"/>
        <v>0</v>
      </c>
      <c r="K279" s="53">
        <f>COUNTIFS('00 Encuesta'!$B$2:$B$511,"*b)*",'00 Encuesta'!$C$2:$C$511,"*a)*",'00 Encuesta'!$E$2:$E$511,"*b)*",'00 Encuesta'!$AJ$2:$AJ$511,"*g)*")</f>
        <v>1</v>
      </c>
      <c r="L279" s="52">
        <f t="shared" si="351"/>
        <v>5.8823529411764701</v>
      </c>
      <c r="M279" s="23"/>
      <c r="N279" s="51">
        <f t="shared" si="352"/>
        <v>4</v>
      </c>
      <c r="O279" s="52">
        <f t="shared" si="353"/>
        <v>12.5</v>
      </c>
      <c r="P279" s="53">
        <f>COUNTIFS('00 Encuesta'!$B$2:$B$511,"*b)*",'00 Encuesta'!$C$2:$C$511,"*b)*",'00 Encuesta'!$E$2:$E$511,"*a)*",'00 Encuesta'!$AJ$2:$AJ$511,"*g)*")</f>
        <v>3</v>
      </c>
      <c r="Q279" s="52">
        <f t="shared" si="354"/>
        <v>17.647058823529413</v>
      </c>
      <c r="R279" s="53">
        <f>COUNTIFS('00 Encuesta'!$B$2:$B$511,"*b)*",'00 Encuesta'!$C$2:$C$511,"*b)*",'00 Encuesta'!$E$2:$E$511,"*b)*",'00 Encuesta'!$AJ$2:$AJ$511,"*g)*")</f>
        <v>1</v>
      </c>
      <c r="S279" s="52">
        <f t="shared" si="355"/>
        <v>6.666666666666667</v>
      </c>
      <c r="T279" s="3"/>
      <c r="U279" s="51">
        <f t="shared" si="356"/>
        <v>10</v>
      </c>
      <c r="V279" s="52">
        <f t="shared" si="357"/>
        <v>25.641025641025639</v>
      </c>
      <c r="W279" s="53">
        <f>COUNTIFS('00 Encuesta'!$B$2:$B$511,"*b)*",'00 Encuesta'!$C$2:$C$511,"*c)*",'00 Encuesta'!$E$2:$E$511,"*a)*",'00 Encuesta'!$AJ$2:$AJ$511,"*g)*")</f>
        <v>7</v>
      </c>
      <c r="X279" s="52">
        <f t="shared" si="358"/>
        <v>33.333333333333329</v>
      </c>
      <c r="Y279" s="53">
        <f>COUNTIFS('00 Encuesta'!$B$2:$B$511,"*b)*",'00 Encuesta'!$C$2:$C$511,"*c)*",'00 Encuesta'!$E$2:$E$511,"*b)*",'00 Encuesta'!$AJ$2:$AJ$511,"*g)*")</f>
        <v>3</v>
      </c>
      <c r="Z279" s="52">
        <f t="shared" si="359"/>
        <v>16.666666666666664</v>
      </c>
      <c r="AA279" s="3"/>
      <c r="AB279" s="62">
        <f t="shared" si="360"/>
        <v>15</v>
      </c>
      <c r="AC279" s="52">
        <f t="shared" si="361"/>
        <v>13.761467889908257</v>
      </c>
      <c r="AD279" s="3"/>
      <c r="AE279" s="3"/>
      <c r="AF279" s="9" t="str">
        <f t="shared" si="362"/>
        <v>g) Suelo ir a discotecas o fiestas</v>
      </c>
      <c r="AG279" s="72">
        <f t="shared" si="370"/>
        <v>0</v>
      </c>
      <c r="AH279" s="72">
        <f t="shared" si="371"/>
        <v>5.8823529411764701</v>
      </c>
      <c r="AI279" s="73">
        <f t="shared" si="372"/>
        <v>2.6315789473684208</v>
      </c>
      <c r="AJ279" s="73"/>
      <c r="AK279" s="76">
        <f t="shared" si="363"/>
        <v>17.647058823529413</v>
      </c>
      <c r="AL279" s="76">
        <f t="shared" si="364"/>
        <v>6.666666666666667</v>
      </c>
      <c r="AM279" s="76">
        <f t="shared" si="365"/>
        <v>12.5</v>
      </c>
      <c r="AN279" s="76"/>
      <c r="AO279" s="81">
        <f t="shared" si="366"/>
        <v>33.333333333333329</v>
      </c>
      <c r="AP279" s="81">
        <f t="shared" si="367"/>
        <v>16.666666666666664</v>
      </c>
      <c r="AQ279" s="81">
        <f t="shared" si="368"/>
        <v>25.641025641025639</v>
      </c>
      <c r="AR279" s="3"/>
      <c r="AS279" s="76">
        <f t="shared" si="369"/>
        <v>13.761467889908257</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ht="15.75" x14ac:dyDescent="0.3">
      <c r="A280" s="1" t="s">
        <v>63</v>
      </c>
      <c r="B280" s="2" t="s">
        <v>206</v>
      </c>
      <c r="C280" s="3"/>
      <c r="D280" s="7"/>
      <c r="E280" s="7"/>
      <c r="F280" s="71"/>
      <c r="G280" s="51">
        <f t="shared" si="348"/>
        <v>2</v>
      </c>
      <c r="H280" s="52">
        <f t="shared" si="349"/>
        <v>5.2631578947368416</v>
      </c>
      <c r="I280" s="53">
        <f>COUNTIFS('00 Encuesta'!$B$2:$B$511,"*b)*",'00 Encuesta'!$C$2:$C$511,"*a)*",'00 Encuesta'!$E$2:$E$511,"*a)*",'00 Encuesta'!$AJ$2:$AJ$511,"*h)*")</f>
        <v>0</v>
      </c>
      <c r="J280" s="52">
        <f t="shared" si="350"/>
        <v>0</v>
      </c>
      <c r="K280" s="53">
        <f>COUNTIFS('00 Encuesta'!$B$2:$B$511,"*b)*",'00 Encuesta'!$C$2:$C$511,"*a)*",'00 Encuesta'!$E$2:$E$511,"*b)*",'00 Encuesta'!$AJ$2:$AJ$511,"*h)*")</f>
        <v>2</v>
      </c>
      <c r="L280" s="52">
        <f t="shared" si="351"/>
        <v>11.76470588235294</v>
      </c>
      <c r="M280" s="23"/>
      <c r="N280" s="51">
        <f t="shared" si="352"/>
        <v>5</v>
      </c>
      <c r="O280" s="52">
        <f t="shared" si="353"/>
        <v>15.625</v>
      </c>
      <c r="P280" s="53">
        <f>COUNTIFS('00 Encuesta'!$B$2:$B$511,"*b)*",'00 Encuesta'!$C$2:$C$511,"*b)*",'00 Encuesta'!$E$2:$E$511,"*a)*",'00 Encuesta'!$AJ$2:$AJ$511,"*h)*")</f>
        <v>2</v>
      </c>
      <c r="Q280" s="52">
        <f t="shared" si="354"/>
        <v>11.76470588235294</v>
      </c>
      <c r="R280" s="53">
        <f>COUNTIFS('00 Encuesta'!$B$2:$B$511,"*b)*",'00 Encuesta'!$C$2:$C$511,"*b)*",'00 Encuesta'!$E$2:$E$511,"*b)*",'00 Encuesta'!$AJ$2:$AJ$511,"*h)*")</f>
        <v>3</v>
      </c>
      <c r="S280" s="52">
        <f t="shared" si="355"/>
        <v>20</v>
      </c>
      <c r="T280" s="3"/>
      <c r="U280" s="51">
        <f t="shared" si="356"/>
        <v>5</v>
      </c>
      <c r="V280" s="52">
        <f t="shared" si="357"/>
        <v>12.820512820512819</v>
      </c>
      <c r="W280" s="53">
        <f>COUNTIFS('00 Encuesta'!$B$2:$B$511,"*b)*",'00 Encuesta'!$C$2:$C$511,"*c)*",'00 Encuesta'!$E$2:$E$511,"*a)*",'00 Encuesta'!$AJ$2:$AJ$511,"*h)*")</f>
        <v>2</v>
      </c>
      <c r="X280" s="52">
        <f t="shared" si="358"/>
        <v>9.5238095238095237</v>
      </c>
      <c r="Y280" s="53">
        <f>COUNTIFS('00 Encuesta'!$B$2:$B$511,"*b)*",'00 Encuesta'!$C$2:$C$511,"*c)*",'00 Encuesta'!$E$2:$E$511,"*b)*",'00 Encuesta'!$AJ$2:$AJ$511,"*h)*")</f>
        <v>3</v>
      </c>
      <c r="Z280" s="52">
        <f t="shared" si="359"/>
        <v>16.666666666666664</v>
      </c>
      <c r="AA280" s="3"/>
      <c r="AB280" s="62">
        <f t="shared" si="360"/>
        <v>12</v>
      </c>
      <c r="AC280" s="52">
        <f t="shared" si="361"/>
        <v>11.009174311926605</v>
      </c>
      <c r="AD280" s="3"/>
      <c r="AE280" s="3"/>
      <c r="AF280" s="9" t="str">
        <f t="shared" si="362"/>
        <v>h) Suelo ir al cine</v>
      </c>
      <c r="AG280" s="72">
        <f t="shared" si="370"/>
        <v>0</v>
      </c>
      <c r="AH280" s="72">
        <f t="shared" si="371"/>
        <v>11.76470588235294</v>
      </c>
      <c r="AI280" s="73">
        <f t="shared" si="372"/>
        <v>5.2631578947368416</v>
      </c>
      <c r="AJ280" s="73"/>
      <c r="AK280" s="76">
        <f t="shared" si="363"/>
        <v>11.76470588235294</v>
      </c>
      <c r="AL280" s="76">
        <f t="shared" si="364"/>
        <v>20</v>
      </c>
      <c r="AM280" s="76">
        <f t="shared" si="365"/>
        <v>15.625</v>
      </c>
      <c r="AN280" s="76"/>
      <c r="AO280" s="81">
        <f t="shared" si="366"/>
        <v>9.5238095238095237</v>
      </c>
      <c r="AP280" s="81">
        <f t="shared" si="367"/>
        <v>16.666666666666664</v>
      </c>
      <c r="AQ280" s="81">
        <f t="shared" si="368"/>
        <v>12.820512820512819</v>
      </c>
      <c r="AR280" s="3"/>
      <c r="AS280" s="76">
        <f t="shared" si="369"/>
        <v>11.009174311926605</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ht="15" x14ac:dyDescent="0.25">
      <c r="A281" s="8" t="s">
        <v>65</v>
      </c>
      <c r="B281" s="9" t="s">
        <v>207</v>
      </c>
      <c r="C281" s="7"/>
      <c r="D281" s="7"/>
      <c r="E281" s="7"/>
      <c r="F281" s="71"/>
      <c r="G281" s="51">
        <f t="shared" si="348"/>
        <v>6</v>
      </c>
      <c r="H281" s="52">
        <f t="shared" si="349"/>
        <v>15.789473684210526</v>
      </c>
      <c r="I281" s="53">
        <f>COUNTIFS('00 Encuesta'!$B$2:$B$511,"*b)*",'00 Encuesta'!$C$2:$C$511,"*a)*",'00 Encuesta'!$E$2:$E$511,"*a)*",'00 Encuesta'!$AJ$2:$AJ$511,"*i)*")</f>
        <v>4</v>
      </c>
      <c r="J281" s="52">
        <f t="shared" si="350"/>
        <v>19.047619047619047</v>
      </c>
      <c r="K281" s="53">
        <f>COUNTIFS('00 Encuesta'!$B$2:$B$511,"*b)*",'00 Encuesta'!$C$2:$C$511,"*a)*",'00 Encuesta'!$E$2:$E$511,"*b)*",'00 Encuesta'!$AJ$2:$AJ$511,"*i)*")</f>
        <v>2</v>
      </c>
      <c r="L281" s="52">
        <f t="shared" si="351"/>
        <v>11.76470588235294</v>
      </c>
      <c r="M281" s="23"/>
      <c r="N281" s="51">
        <f t="shared" si="352"/>
        <v>2</v>
      </c>
      <c r="O281" s="52">
        <f t="shared" si="353"/>
        <v>6.25</v>
      </c>
      <c r="P281" s="53">
        <f>COUNTIFS('00 Encuesta'!$B$2:$B$511,"*b)*",'00 Encuesta'!$C$2:$C$511,"*b)*",'00 Encuesta'!$E$2:$E$511,"*a)*",'00 Encuesta'!$AJ$2:$AJ$511,"*i)*")</f>
        <v>0</v>
      </c>
      <c r="Q281" s="52">
        <f t="shared" si="354"/>
        <v>0</v>
      </c>
      <c r="R281" s="53">
        <f>COUNTIFS('00 Encuesta'!$B$2:$B$511,"*b)*",'00 Encuesta'!$C$2:$C$511,"*b)*",'00 Encuesta'!$E$2:$E$511,"*b)*",'00 Encuesta'!$AJ$2:$AJ$511,"*i)*")</f>
        <v>2</v>
      </c>
      <c r="S281" s="52">
        <f t="shared" si="355"/>
        <v>13.333333333333334</v>
      </c>
      <c r="T281" s="3"/>
      <c r="U281" s="51">
        <f t="shared" si="356"/>
        <v>6</v>
      </c>
      <c r="V281" s="52">
        <f t="shared" si="357"/>
        <v>15.384615384615385</v>
      </c>
      <c r="W281" s="53">
        <f>COUNTIFS('00 Encuesta'!$B$2:$B$511,"*b)*",'00 Encuesta'!$C$2:$C$511,"*c)*",'00 Encuesta'!$E$2:$E$511,"*a)*",'00 Encuesta'!$AJ$2:$AJ$511,"*i)*")</f>
        <v>1</v>
      </c>
      <c r="X281" s="52">
        <f t="shared" si="358"/>
        <v>4.7619047619047619</v>
      </c>
      <c r="Y281" s="53">
        <f>COUNTIFS('00 Encuesta'!$B$2:$B$511,"*b)*",'00 Encuesta'!$C$2:$C$511,"*c)*",'00 Encuesta'!$E$2:$E$511,"*b)*",'00 Encuesta'!$AJ$2:$AJ$511,"*i)*")</f>
        <v>5</v>
      </c>
      <c r="Z281" s="52">
        <f t="shared" si="359"/>
        <v>27.777777777777779</v>
      </c>
      <c r="AA281" s="3"/>
      <c r="AB281" s="62">
        <f t="shared" si="360"/>
        <v>14</v>
      </c>
      <c r="AC281" s="52">
        <f t="shared" si="361"/>
        <v>12.844036697247706</v>
      </c>
      <c r="AD281" s="3"/>
      <c r="AE281" s="3"/>
      <c r="AF281" s="9" t="str">
        <f t="shared" si="362"/>
        <v>i) Leo revistas o libros</v>
      </c>
      <c r="AG281" s="72">
        <f t="shared" si="370"/>
        <v>19.047619047619047</v>
      </c>
      <c r="AH281" s="72">
        <f t="shared" si="371"/>
        <v>11.76470588235294</v>
      </c>
      <c r="AI281" s="73">
        <f t="shared" si="372"/>
        <v>15.789473684210526</v>
      </c>
      <c r="AJ281" s="73"/>
      <c r="AK281" s="76">
        <f t="shared" si="363"/>
        <v>0</v>
      </c>
      <c r="AL281" s="76">
        <f t="shared" si="364"/>
        <v>13.333333333333334</v>
      </c>
      <c r="AM281" s="76">
        <f t="shared" si="365"/>
        <v>6.25</v>
      </c>
      <c r="AN281" s="76"/>
      <c r="AO281" s="81">
        <f t="shared" si="366"/>
        <v>4.7619047619047619</v>
      </c>
      <c r="AP281" s="81">
        <f t="shared" si="367"/>
        <v>27.777777777777779</v>
      </c>
      <c r="AQ281" s="81">
        <f t="shared" si="368"/>
        <v>15.384615384615385</v>
      </c>
      <c r="AR281" s="3"/>
      <c r="AS281" s="76">
        <f t="shared" si="369"/>
        <v>12.844036697247706</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0</v>
      </c>
      <c r="H282" s="52">
        <f t="shared" si="349"/>
        <v>0</v>
      </c>
      <c r="I282" s="53">
        <f>COUNTIFS('00 Encuesta'!$B$2:$B$511,"*b)*",'00 Encuesta'!$C$2:$C$511,"*a)*",'00 Encuesta'!$E$2:$E$511,"*a)*",'00 Encuesta'!$AJ$2:$AJ$511,"*j)*")</f>
        <v>0</v>
      </c>
      <c r="J282" s="52">
        <f t="shared" si="350"/>
        <v>0</v>
      </c>
      <c r="K282" s="53">
        <f>COUNTIFS('00 Encuesta'!$B$2:$B$511,"*b)*",'00 Encuesta'!$C$2:$C$511,"*a)*",'00 Encuesta'!$E$2:$E$511,"*b)*",'00 Encuesta'!$AJ$2:$AJ$511,"*j)*")</f>
        <v>0</v>
      </c>
      <c r="L282" s="52">
        <f t="shared" si="351"/>
        <v>0</v>
      </c>
      <c r="M282" s="23"/>
      <c r="N282" s="51">
        <f t="shared" si="352"/>
        <v>1</v>
      </c>
      <c r="O282" s="52">
        <f t="shared" si="353"/>
        <v>3.125</v>
      </c>
      <c r="P282" s="53">
        <f>COUNTIFS('00 Encuesta'!$B$2:$B$511,"*b)*",'00 Encuesta'!$C$2:$C$511,"*b)*",'00 Encuesta'!$E$2:$E$511,"*a)*",'00 Encuesta'!$AJ$2:$AJ$511,"*j)*")</f>
        <v>0</v>
      </c>
      <c r="Q282" s="52">
        <f t="shared" si="354"/>
        <v>0</v>
      </c>
      <c r="R282" s="53">
        <f>COUNTIFS('00 Encuesta'!$B$2:$B$511,"*b)*",'00 Encuesta'!$C$2:$C$511,"*b)*",'00 Encuesta'!$E$2:$E$511,"*b)*",'00 Encuesta'!$AJ$2:$AJ$511,"*j)*")</f>
        <v>1</v>
      </c>
      <c r="S282" s="52">
        <f t="shared" si="355"/>
        <v>6.666666666666667</v>
      </c>
      <c r="T282" s="3"/>
      <c r="U282" s="51">
        <f t="shared" si="356"/>
        <v>0</v>
      </c>
      <c r="V282" s="52">
        <f t="shared" si="357"/>
        <v>0</v>
      </c>
      <c r="W282" s="53">
        <f>COUNTIFS('00 Encuesta'!$B$2:$B$511,"*b)*",'00 Encuesta'!$C$2:$C$511,"*c)*",'00 Encuesta'!$E$2:$E$511,"*a)*",'00 Encuesta'!$AJ$2:$AJ$511,"*j)*")</f>
        <v>0</v>
      </c>
      <c r="X282" s="52">
        <f t="shared" si="358"/>
        <v>0</v>
      </c>
      <c r="Y282" s="53">
        <f>COUNTIFS('00 Encuesta'!$B$2:$B$511,"*b)*",'00 Encuesta'!$C$2:$C$511,"*c)*",'00 Encuesta'!$E$2:$E$511,"*b)*",'00 Encuesta'!$AJ$2:$AJ$511,"*j)*")</f>
        <v>0</v>
      </c>
      <c r="Z282" s="52">
        <f t="shared" si="359"/>
        <v>0</v>
      </c>
      <c r="AA282" s="3"/>
      <c r="AB282" s="62">
        <f t="shared" si="360"/>
        <v>1</v>
      </c>
      <c r="AC282" s="52">
        <f t="shared" si="361"/>
        <v>0.91743119266055051</v>
      </c>
      <c r="AD282" s="3"/>
      <c r="AE282" s="3"/>
      <c r="AF282" s="9" t="str">
        <f t="shared" si="362"/>
        <v>j) Estoy en algún grupo juvenil</v>
      </c>
      <c r="AG282" s="72">
        <f t="shared" si="370"/>
        <v>0</v>
      </c>
      <c r="AH282" s="72">
        <f t="shared" si="371"/>
        <v>0</v>
      </c>
      <c r="AI282" s="73">
        <f t="shared" si="372"/>
        <v>0</v>
      </c>
      <c r="AJ282" s="73"/>
      <c r="AK282" s="76">
        <f t="shared" si="363"/>
        <v>0</v>
      </c>
      <c r="AL282" s="76">
        <f t="shared" si="364"/>
        <v>6.666666666666667</v>
      </c>
      <c r="AM282" s="76">
        <f t="shared" si="365"/>
        <v>3.125</v>
      </c>
      <c r="AN282" s="76"/>
      <c r="AO282" s="81">
        <f t="shared" si="366"/>
        <v>0</v>
      </c>
      <c r="AP282" s="81">
        <f t="shared" si="367"/>
        <v>0</v>
      </c>
      <c r="AQ282" s="81">
        <f t="shared" si="368"/>
        <v>0</v>
      </c>
      <c r="AR282" s="3"/>
      <c r="AS282" s="76">
        <f t="shared" si="369"/>
        <v>0.91743119266055051</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15</v>
      </c>
      <c r="H283" s="52">
        <f t="shared" si="349"/>
        <v>39.473684210526315</v>
      </c>
      <c r="I283" s="53">
        <f>COUNTIFS('00 Encuesta'!$B$2:$B$511,"*b)*",'00 Encuesta'!$C$2:$C$511,"*a)*",'00 Encuesta'!$E$2:$E$511,"*a)*",'00 Encuesta'!$AJ$2:$AJ$511,"*k)*")</f>
        <v>6</v>
      </c>
      <c r="J283" s="52">
        <f t="shared" si="350"/>
        <v>28.571428571428569</v>
      </c>
      <c r="K283" s="53">
        <f>COUNTIFS('00 Encuesta'!$B$2:$B$511,"*b)*",'00 Encuesta'!$C$2:$C$511,"*a)*",'00 Encuesta'!$E$2:$E$511,"*b)*",'00 Encuesta'!$AJ$2:$AJ$511,"*k)*")</f>
        <v>9</v>
      </c>
      <c r="L283" s="52">
        <f t="shared" si="351"/>
        <v>52.941176470588239</v>
      </c>
      <c r="M283" s="23"/>
      <c r="N283" s="51">
        <f t="shared" si="352"/>
        <v>10</v>
      </c>
      <c r="O283" s="52">
        <f t="shared" si="353"/>
        <v>31.25</v>
      </c>
      <c r="P283" s="53">
        <f>COUNTIFS('00 Encuesta'!$B$2:$B$511,"*b)*",'00 Encuesta'!$C$2:$C$511,"*b)*",'00 Encuesta'!$E$2:$E$511,"*a)*",'00 Encuesta'!$AJ$2:$AJ$511,"*k)*")</f>
        <v>7</v>
      </c>
      <c r="Q283" s="52">
        <f t="shared" si="354"/>
        <v>41.17647058823529</v>
      </c>
      <c r="R283" s="53">
        <f>COUNTIFS('00 Encuesta'!$B$2:$B$511,"*b)*",'00 Encuesta'!$C$2:$C$511,"*b)*",'00 Encuesta'!$E$2:$E$511,"*b)*",'00 Encuesta'!$AJ$2:$AJ$511,"*k)*")</f>
        <v>3</v>
      </c>
      <c r="S283" s="52">
        <f t="shared" si="355"/>
        <v>20</v>
      </c>
      <c r="T283" s="3"/>
      <c r="U283" s="51">
        <f t="shared" si="356"/>
        <v>8</v>
      </c>
      <c r="V283" s="52">
        <f t="shared" si="357"/>
        <v>20.512820512820511</v>
      </c>
      <c r="W283" s="53">
        <f>COUNTIFS('00 Encuesta'!$B$2:$B$511,"*b)*",'00 Encuesta'!$C$2:$C$511,"*c)*",'00 Encuesta'!$E$2:$E$511,"*a)*",'00 Encuesta'!$AJ$2:$AJ$511,"*k)*")</f>
        <v>6</v>
      </c>
      <c r="X283" s="52">
        <f t="shared" si="358"/>
        <v>28.571428571428569</v>
      </c>
      <c r="Y283" s="53">
        <f>COUNTIFS('00 Encuesta'!$B$2:$B$511,"*b)*",'00 Encuesta'!$C$2:$C$511,"*c)*",'00 Encuesta'!$E$2:$E$511,"*b)*",'00 Encuesta'!$AJ$2:$AJ$511,"*k)*")</f>
        <v>2</v>
      </c>
      <c r="Z283" s="52">
        <f t="shared" si="359"/>
        <v>11.111111111111111</v>
      </c>
      <c r="AA283" s="3"/>
      <c r="AB283" s="62">
        <f t="shared" si="360"/>
        <v>33</v>
      </c>
      <c r="AC283" s="52">
        <f t="shared" si="361"/>
        <v>30.275229357798164</v>
      </c>
      <c r="AD283" s="3"/>
      <c r="AE283" s="3"/>
      <c r="AF283" s="9" t="str">
        <f t="shared" si="362"/>
        <v>k) Practico algún deporte</v>
      </c>
      <c r="AG283" s="72">
        <f t="shared" si="370"/>
        <v>28.571428571428569</v>
      </c>
      <c r="AH283" s="72">
        <f t="shared" si="371"/>
        <v>52.941176470588239</v>
      </c>
      <c r="AI283" s="73">
        <f t="shared" si="372"/>
        <v>39.473684210526315</v>
      </c>
      <c r="AJ283" s="73"/>
      <c r="AK283" s="76">
        <f t="shared" si="363"/>
        <v>41.17647058823529</v>
      </c>
      <c r="AL283" s="76">
        <f t="shared" si="364"/>
        <v>20</v>
      </c>
      <c r="AM283" s="76">
        <f t="shared" si="365"/>
        <v>31.25</v>
      </c>
      <c r="AN283" s="76"/>
      <c r="AO283" s="81">
        <f t="shared" si="366"/>
        <v>28.571428571428569</v>
      </c>
      <c r="AP283" s="81">
        <f t="shared" si="367"/>
        <v>11.111111111111111</v>
      </c>
      <c r="AQ283" s="81">
        <f t="shared" si="368"/>
        <v>20.512820512820511</v>
      </c>
      <c r="AR283" s="3"/>
      <c r="AS283" s="76">
        <f t="shared" si="369"/>
        <v>30.275229357798164</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10</v>
      </c>
      <c r="H284" s="52">
        <f t="shared" si="349"/>
        <v>26.315789473684209</v>
      </c>
      <c r="I284" s="53">
        <f>COUNTIFS('00 Encuesta'!$B$2:$B$511,"*b)*",'00 Encuesta'!$C$2:$C$511,"*a)*",'00 Encuesta'!$E$2:$E$511,"*a)*",'00 Encuesta'!$AJ$2:$AJ$511,"*l)*")</f>
        <v>5</v>
      </c>
      <c r="J284" s="52">
        <f t="shared" si="350"/>
        <v>23.809523809523807</v>
      </c>
      <c r="K284" s="53">
        <f>COUNTIFS('00 Encuesta'!$B$2:$B$511,"*b)*",'00 Encuesta'!$C$2:$C$511,"*a)*",'00 Encuesta'!$E$2:$E$511,"*b)*",'00 Encuesta'!$AJ$2:$AJ$511,"*l)*")</f>
        <v>5</v>
      </c>
      <c r="L284" s="52">
        <f t="shared" si="351"/>
        <v>29.411764705882355</v>
      </c>
      <c r="M284" s="23"/>
      <c r="N284" s="51">
        <f t="shared" si="352"/>
        <v>11</v>
      </c>
      <c r="O284" s="52">
        <f t="shared" si="353"/>
        <v>34.375</v>
      </c>
      <c r="P284" s="53">
        <f>COUNTIFS('00 Encuesta'!$B$2:$B$511,"*b)*",'00 Encuesta'!$C$2:$C$511,"*b)*",'00 Encuesta'!$E$2:$E$511,"*a)*",'00 Encuesta'!$AJ$2:$AJ$511,"*l)*")</f>
        <v>3</v>
      </c>
      <c r="Q284" s="52">
        <f t="shared" si="354"/>
        <v>17.647058823529413</v>
      </c>
      <c r="R284" s="53">
        <f>COUNTIFS('00 Encuesta'!$B$2:$B$511,"*b)*",'00 Encuesta'!$C$2:$C$511,"*b)*",'00 Encuesta'!$E$2:$E$511,"*b)*",'00 Encuesta'!$AJ$2:$AJ$511,"*l)*")</f>
        <v>8</v>
      </c>
      <c r="S284" s="52">
        <f t="shared" si="355"/>
        <v>53.333333333333336</v>
      </c>
      <c r="T284" s="3"/>
      <c r="U284" s="51">
        <f t="shared" si="356"/>
        <v>10</v>
      </c>
      <c r="V284" s="52">
        <f t="shared" si="357"/>
        <v>25.641025641025639</v>
      </c>
      <c r="W284" s="53">
        <f>COUNTIFS('00 Encuesta'!$B$2:$B$511,"*b)*",'00 Encuesta'!$C$2:$C$511,"*c)*",'00 Encuesta'!$E$2:$E$511,"*a)*",'00 Encuesta'!$AJ$2:$AJ$511,"*l)*")</f>
        <v>5</v>
      </c>
      <c r="X284" s="52">
        <f t="shared" si="358"/>
        <v>23.809523809523807</v>
      </c>
      <c r="Y284" s="53">
        <f>COUNTIFS('00 Encuesta'!$B$2:$B$511,"*b)*",'00 Encuesta'!$C$2:$C$511,"*c)*",'00 Encuesta'!$E$2:$E$511,"*b)*",'00 Encuesta'!$AJ$2:$AJ$511,"*l)*")</f>
        <v>5</v>
      </c>
      <c r="Z284" s="52">
        <f t="shared" si="359"/>
        <v>27.777777777777779</v>
      </c>
      <c r="AA284" s="3"/>
      <c r="AB284" s="62">
        <f t="shared" si="360"/>
        <v>31</v>
      </c>
      <c r="AC284" s="52">
        <f t="shared" si="361"/>
        <v>28.440366972477065</v>
      </c>
      <c r="AD284" s="3"/>
      <c r="AE284" s="3"/>
      <c r="AF284" s="9" t="str">
        <f t="shared" si="362"/>
        <v>l) Escuho música y/o veo videos musicales</v>
      </c>
      <c r="AG284" s="72">
        <f t="shared" si="370"/>
        <v>23.809523809523807</v>
      </c>
      <c r="AH284" s="72">
        <f t="shared" si="371"/>
        <v>29.411764705882355</v>
      </c>
      <c r="AI284" s="73">
        <f t="shared" si="372"/>
        <v>26.315789473684209</v>
      </c>
      <c r="AJ284" s="73"/>
      <c r="AK284" s="76">
        <f t="shared" si="363"/>
        <v>17.647058823529413</v>
      </c>
      <c r="AL284" s="76">
        <f t="shared" si="364"/>
        <v>53.333333333333336</v>
      </c>
      <c r="AM284" s="76">
        <f t="shared" si="365"/>
        <v>34.375</v>
      </c>
      <c r="AN284" s="76"/>
      <c r="AO284" s="81">
        <f t="shared" si="366"/>
        <v>23.809523809523807</v>
      </c>
      <c r="AP284" s="81">
        <f t="shared" si="367"/>
        <v>27.777777777777779</v>
      </c>
      <c r="AQ284" s="81">
        <f t="shared" si="368"/>
        <v>25.641025641025639</v>
      </c>
      <c r="AR284" s="3"/>
      <c r="AS284" s="76">
        <f t="shared" si="369"/>
        <v>28.440366972477065</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13</v>
      </c>
      <c r="H285" s="52">
        <f t="shared" si="349"/>
        <v>34.210526315789473</v>
      </c>
      <c r="I285" s="53">
        <f>COUNTIFS('00 Encuesta'!$B$2:$B$511,"*b)*",'00 Encuesta'!$C$2:$C$511,"*a)*",'00 Encuesta'!$E$2:$E$511,"*a)*",'00 Encuesta'!$AJ$2:$AJ$511,"*m)*")</f>
        <v>8</v>
      </c>
      <c r="J285" s="52">
        <f t="shared" si="350"/>
        <v>38.095238095238095</v>
      </c>
      <c r="K285" s="53">
        <f>COUNTIFS('00 Encuesta'!$B$2:$B$511,"*b)*",'00 Encuesta'!$C$2:$C$511,"*a)*",'00 Encuesta'!$E$2:$E$511,"*b)*",'00 Encuesta'!$AJ$2:$AJ$511,"*m)*")</f>
        <v>5</v>
      </c>
      <c r="L285" s="52">
        <f t="shared" si="351"/>
        <v>29.411764705882355</v>
      </c>
      <c r="M285" s="23"/>
      <c r="N285" s="51">
        <f t="shared" si="352"/>
        <v>7</v>
      </c>
      <c r="O285" s="52">
        <f t="shared" si="353"/>
        <v>21.875</v>
      </c>
      <c r="P285" s="53">
        <f>COUNTIFS('00 Encuesta'!$B$2:$B$511,"*b)*",'00 Encuesta'!$C$2:$C$511,"*b)*",'00 Encuesta'!$E$2:$E$511,"*a)*",'00 Encuesta'!$AJ$2:$AJ$511,"*m)*")</f>
        <v>3</v>
      </c>
      <c r="Q285" s="52">
        <f t="shared" si="354"/>
        <v>17.647058823529413</v>
      </c>
      <c r="R285" s="53">
        <f>COUNTIFS('00 Encuesta'!$B$2:$B$511,"*b)*",'00 Encuesta'!$C$2:$C$511,"*b)*",'00 Encuesta'!$E$2:$E$511,"*b)*",'00 Encuesta'!$AJ$2:$AJ$511,"*m)*")</f>
        <v>4</v>
      </c>
      <c r="S285" s="52">
        <f t="shared" si="355"/>
        <v>26.666666666666668</v>
      </c>
      <c r="T285" s="3"/>
      <c r="U285" s="51">
        <f t="shared" si="356"/>
        <v>9</v>
      </c>
      <c r="V285" s="52">
        <f t="shared" si="357"/>
        <v>23.076923076923077</v>
      </c>
      <c r="W285" s="53">
        <f>COUNTIFS('00 Encuesta'!$B$2:$B$511,"*b)*",'00 Encuesta'!$C$2:$C$511,"*c)*",'00 Encuesta'!$E$2:$E$511,"*a)*",'00 Encuesta'!$AJ$2:$AJ$511,"*m)*")</f>
        <v>5</v>
      </c>
      <c r="X285" s="52">
        <f t="shared" si="358"/>
        <v>23.809523809523807</v>
      </c>
      <c r="Y285" s="53">
        <f>COUNTIFS('00 Encuesta'!$B$2:$B$511,"*b)*",'00 Encuesta'!$C$2:$C$511,"*c)*",'00 Encuesta'!$E$2:$E$511,"*b)*",'00 Encuesta'!$AJ$2:$AJ$511,"*m)*")</f>
        <v>4</v>
      </c>
      <c r="Z285" s="52">
        <f t="shared" si="359"/>
        <v>22.222222222222221</v>
      </c>
      <c r="AA285" s="3"/>
      <c r="AB285" s="62">
        <f t="shared" si="360"/>
        <v>29</v>
      </c>
      <c r="AC285" s="52">
        <f t="shared" si="361"/>
        <v>26.605504587155963</v>
      </c>
      <c r="AD285" s="3"/>
      <c r="AE285" s="3"/>
      <c r="AF285" s="9" t="str">
        <f t="shared" si="362"/>
        <v>m) Veo televisión y/o películas</v>
      </c>
      <c r="AG285" s="72">
        <f t="shared" si="370"/>
        <v>38.095238095238095</v>
      </c>
      <c r="AH285" s="72">
        <f t="shared" si="371"/>
        <v>29.411764705882355</v>
      </c>
      <c r="AI285" s="73">
        <f t="shared" si="372"/>
        <v>34.210526315789473</v>
      </c>
      <c r="AJ285" s="73"/>
      <c r="AK285" s="76">
        <f t="shared" si="363"/>
        <v>17.647058823529413</v>
      </c>
      <c r="AL285" s="76">
        <f t="shared" si="364"/>
        <v>26.666666666666668</v>
      </c>
      <c r="AM285" s="76">
        <f t="shared" si="365"/>
        <v>21.875</v>
      </c>
      <c r="AN285" s="76"/>
      <c r="AO285" s="81">
        <f t="shared" si="366"/>
        <v>23.809523809523807</v>
      </c>
      <c r="AP285" s="81">
        <f t="shared" si="367"/>
        <v>22.222222222222221</v>
      </c>
      <c r="AQ285" s="81">
        <f t="shared" si="368"/>
        <v>23.076923076923077</v>
      </c>
      <c r="AR285" s="3"/>
      <c r="AS285" s="76">
        <f t="shared" si="369"/>
        <v>26.605504587155963</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ht="15" x14ac:dyDescent="0.25">
      <c r="A286" s="8" t="s">
        <v>213</v>
      </c>
      <c r="B286" s="9" t="s">
        <v>214</v>
      </c>
      <c r="C286" s="7"/>
      <c r="D286" s="7"/>
      <c r="E286" s="7"/>
      <c r="F286" s="71"/>
      <c r="G286" s="51">
        <f t="shared" si="348"/>
        <v>7</v>
      </c>
      <c r="H286" s="52">
        <f t="shared" si="349"/>
        <v>18.421052631578945</v>
      </c>
      <c r="I286" s="53">
        <f>COUNTIFS('00 Encuesta'!$B$2:$B$511,"*b)*",'00 Encuesta'!$C$2:$C$511,"*a)*",'00 Encuesta'!$E$2:$E$511,"*a)*",'00 Encuesta'!$AJ$2:$AJ$511,"*n)*")</f>
        <v>3</v>
      </c>
      <c r="J286" s="52">
        <f t="shared" si="350"/>
        <v>14.285714285714285</v>
      </c>
      <c r="K286" s="53">
        <f>COUNTIFS('00 Encuesta'!$B$2:$B$511,"*b)*",'00 Encuesta'!$C$2:$C$511,"*a)*",'00 Encuesta'!$E$2:$E$511,"*b)*",'00 Encuesta'!$AJ$2:$AJ$511,"*n)*")</f>
        <v>4</v>
      </c>
      <c r="L286" s="52">
        <f t="shared" si="351"/>
        <v>23.52941176470588</v>
      </c>
      <c r="M286" s="23"/>
      <c r="N286" s="51">
        <f t="shared" si="352"/>
        <v>16</v>
      </c>
      <c r="O286" s="52">
        <f t="shared" si="353"/>
        <v>50</v>
      </c>
      <c r="P286" s="53">
        <f>COUNTIFS('00 Encuesta'!$B$2:$B$511,"*b)*",'00 Encuesta'!$C$2:$C$511,"*b)*",'00 Encuesta'!$E$2:$E$511,"*a)*",'00 Encuesta'!$AJ$2:$AJ$511,"*n)*")</f>
        <v>9</v>
      </c>
      <c r="Q286" s="52">
        <f t="shared" si="354"/>
        <v>52.941176470588239</v>
      </c>
      <c r="R286" s="53">
        <f>COUNTIFS('00 Encuesta'!$B$2:$B$511,"*b)*",'00 Encuesta'!$C$2:$C$511,"*b)*",'00 Encuesta'!$E$2:$E$511,"*b)*",'00 Encuesta'!$AJ$2:$AJ$511,"*n)*")</f>
        <v>7</v>
      </c>
      <c r="S286" s="52">
        <f t="shared" si="355"/>
        <v>46.666666666666664</v>
      </c>
      <c r="T286" s="3"/>
      <c r="U286" s="51">
        <f t="shared" si="356"/>
        <v>18</v>
      </c>
      <c r="V286" s="52">
        <f t="shared" si="357"/>
        <v>46.153846153846153</v>
      </c>
      <c r="W286" s="53">
        <f>COUNTIFS('00 Encuesta'!$B$2:$B$511,"*b)*",'00 Encuesta'!$C$2:$C$511,"*c)*",'00 Encuesta'!$E$2:$E$511,"*a)*",'00 Encuesta'!$AJ$2:$AJ$511,"*n)*")</f>
        <v>9</v>
      </c>
      <c r="X286" s="52">
        <f t="shared" si="358"/>
        <v>42.857142857142854</v>
      </c>
      <c r="Y286" s="53">
        <f>COUNTIFS('00 Encuesta'!$B$2:$B$511,"*b)*",'00 Encuesta'!$C$2:$C$511,"*c)*",'00 Encuesta'!$E$2:$E$511,"*b)*",'00 Encuesta'!$AJ$2:$AJ$511,"*n)*")</f>
        <v>9</v>
      </c>
      <c r="Z286" s="52">
        <f t="shared" si="359"/>
        <v>50</v>
      </c>
      <c r="AA286" s="3"/>
      <c r="AB286" s="62">
        <f t="shared" si="360"/>
        <v>41</v>
      </c>
      <c r="AC286" s="52">
        <f t="shared" si="361"/>
        <v>37.61467889908257</v>
      </c>
      <c r="AD286" s="3"/>
      <c r="AE286" s="3"/>
      <c r="AF286" s="9" t="str">
        <f t="shared" si="362"/>
        <v>n) Estoy conversando con los amigos/as</v>
      </c>
      <c r="AG286" s="72">
        <f t="shared" si="370"/>
        <v>14.285714285714285</v>
      </c>
      <c r="AH286" s="72">
        <f t="shared" si="371"/>
        <v>23.52941176470588</v>
      </c>
      <c r="AI286" s="73">
        <f t="shared" si="372"/>
        <v>18.421052631578945</v>
      </c>
      <c r="AJ286" s="73"/>
      <c r="AK286" s="76">
        <f t="shared" si="363"/>
        <v>52.941176470588239</v>
      </c>
      <c r="AL286" s="76">
        <f t="shared" si="364"/>
        <v>46.666666666666664</v>
      </c>
      <c r="AM286" s="76">
        <f t="shared" si="365"/>
        <v>50</v>
      </c>
      <c r="AN286" s="76"/>
      <c r="AO286" s="81">
        <f t="shared" si="366"/>
        <v>42.857142857142854</v>
      </c>
      <c r="AP286" s="81">
        <f t="shared" si="367"/>
        <v>50</v>
      </c>
      <c r="AQ286" s="81">
        <f t="shared" si="368"/>
        <v>46.153846153846153</v>
      </c>
      <c r="AR286" s="3"/>
      <c r="AS286" s="76">
        <f t="shared" si="369"/>
        <v>37.61467889908257</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ht="15" x14ac:dyDescent="0.25">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ht="15" x14ac:dyDescent="0.25">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ht="15" x14ac:dyDescent="0.25">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ht="15" x14ac:dyDescent="0.25">
      <c r="A290" s="8" t="s">
        <v>17</v>
      </c>
      <c r="B290" s="9" t="s">
        <v>216</v>
      </c>
      <c r="C290" s="7"/>
      <c r="D290" s="7"/>
      <c r="E290" s="7"/>
      <c r="F290" s="71">
        <v>100</v>
      </c>
      <c r="G290" s="51">
        <f t="shared" ref="G290:G295" si="373">I290+K290</f>
        <v>6</v>
      </c>
      <c r="H290" s="52">
        <f t="shared" ref="H290:H295" si="374">G290/$J$5*100</f>
        <v>15.789473684210526</v>
      </c>
      <c r="I290" s="53">
        <f>COUNTIFS('00 Encuesta'!$B$2:$B$511,"*b)*",'00 Encuesta'!$C$2:$C$511,"*a)*",'00 Encuesta'!$E$2:$E$511,"*a)*",'00 Encuesta'!$AL$2:$AL$511,"*a)*")</f>
        <v>4</v>
      </c>
      <c r="J290" s="52">
        <f t="shared" ref="J290:J295" si="375">I290/$J$6*100</f>
        <v>19.047619047619047</v>
      </c>
      <c r="K290" s="53">
        <f>COUNTIFS('00 Encuesta'!$B$2:$B$511,"*b)*",'00 Encuesta'!$C$2:$C$511,"*a)*",'00 Encuesta'!$E$2:$E$511,"*b)*",'00 Encuesta'!$AL$2:$AL$511,"*a)*")</f>
        <v>2</v>
      </c>
      <c r="L290" s="52">
        <f>K290/$J$7*100</f>
        <v>11.76470588235294</v>
      </c>
      <c r="M290" s="23"/>
      <c r="N290" s="51">
        <f>P290+R290</f>
        <v>2</v>
      </c>
      <c r="O290" s="52">
        <f>N290/$Q$5*100</f>
        <v>6.25</v>
      </c>
      <c r="P290" s="53">
        <f>COUNTIFS('00 Encuesta'!$B$2:$B$511,"*b)*",'00 Encuesta'!$C$2:$C$511,"*b)*",'00 Encuesta'!$E$2:$E$511,"*a)*",'00 Encuesta'!$AL$2:$AL$511,"*a)*")</f>
        <v>1</v>
      </c>
      <c r="Q290" s="52">
        <f>P290/$Q$6*100</f>
        <v>5.8823529411764701</v>
      </c>
      <c r="R290" s="53">
        <f>COUNTIFS('00 Encuesta'!$B$2:$B$511,"*b)*",'00 Encuesta'!$C$2:$C$511,"*b)*",'00 Encuesta'!$E$2:$E$511,"*b)*",'00 Encuesta'!$AL$2:$AL$511,"*a)*")</f>
        <v>1</v>
      </c>
      <c r="S290" s="52">
        <f>R290/$Q$7*100</f>
        <v>6.666666666666667</v>
      </c>
      <c r="T290" s="3"/>
      <c r="U290" s="51">
        <f>W290+Y290</f>
        <v>3</v>
      </c>
      <c r="V290" s="52">
        <f>U290/$X$5*100</f>
        <v>7.6923076923076925</v>
      </c>
      <c r="W290" s="53">
        <f>COUNTIFS('00 Encuesta'!$B$2:$B$511,"*b)*",'00 Encuesta'!$C$2:$C$511,"*c)*",'00 Encuesta'!$E$2:$E$511,"*a)*",'00 Encuesta'!$AL$2:$AL$511,"*a)*")</f>
        <v>3</v>
      </c>
      <c r="X290" s="52">
        <f>W290/$X$6*100</f>
        <v>14.285714285714285</v>
      </c>
      <c r="Y290" s="53">
        <f>COUNTIFS('00 Encuesta'!$B$2:$B$511,"*b)*",'00 Encuesta'!$C$2:$C$511,"*c)*",'00 Encuesta'!$E$2:$E$511,"*b)*",'00 Encuesta'!$AL$2:$AL$511,"*a)*")</f>
        <v>0</v>
      </c>
      <c r="Z290" s="52">
        <f t="shared" ref="Z290:Z295" si="376">Y290/$X$7*100</f>
        <v>0</v>
      </c>
      <c r="AA290" s="3"/>
      <c r="AB290" s="62">
        <f t="shared" ref="AB290:AB295" si="377">G290+N290+U290</f>
        <v>11</v>
      </c>
      <c r="AC290" s="52">
        <f t="shared" ref="AC290:AC295" si="378">AB290*100/$AC$5</f>
        <v>10.091743119266056</v>
      </c>
      <c r="AD290" s="3"/>
      <c r="AE290" s="3"/>
      <c r="AF290" s="9" t="str">
        <f t="shared" ref="AF290:AF295" si="379">A290&amp;" "&amp;B290</f>
        <v>a) Muy bueno</v>
      </c>
      <c r="AG290" s="72">
        <f t="shared" ref="AG290:AG295" si="380">J290</f>
        <v>19.047619047619047</v>
      </c>
      <c r="AH290" s="72">
        <f t="shared" ref="AH290:AH295" si="381">L290</f>
        <v>11.76470588235294</v>
      </c>
      <c r="AI290" s="73">
        <f t="shared" ref="AI290:AI295" si="382">H290</f>
        <v>15.789473684210526</v>
      </c>
      <c r="AJ290" s="73"/>
      <c r="AK290" s="76">
        <f t="shared" ref="AK290:AK295" si="383">Q290</f>
        <v>5.8823529411764701</v>
      </c>
      <c r="AL290" s="76">
        <f t="shared" ref="AL290:AL295" si="384">S290</f>
        <v>6.666666666666667</v>
      </c>
      <c r="AM290" s="76">
        <f t="shared" ref="AM290:AM295" si="385">O290</f>
        <v>6.25</v>
      </c>
      <c r="AN290" s="76"/>
      <c r="AO290" s="81">
        <f t="shared" ref="AO290:AO295" si="386">X290</f>
        <v>14.285714285714285</v>
      </c>
      <c r="AP290" s="81">
        <f t="shared" ref="AP290:AP295" si="387">Z290</f>
        <v>0</v>
      </c>
      <c r="AQ290" s="81">
        <f t="shared" ref="AQ290:AQ295" si="388">V290</f>
        <v>7.6923076923076925</v>
      </c>
      <c r="AR290" s="3"/>
      <c r="AS290" s="76">
        <f t="shared" si="369"/>
        <v>10.091743119266056</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ht="15" x14ac:dyDescent="0.25">
      <c r="A291" s="8" t="s">
        <v>18</v>
      </c>
      <c r="B291" s="9" t="s">
        <v>217</v>
      </c>
      <c r="C291" s="7"/>
      <c r="D291" s="7"/>
      <c r="E291" s="7"/>
      <c r="F291" s="71">
        <v>75</v>
      </c>
      <c r="G291" s="51">
        <f t="shared" si="373"/>
        <v>12</v>
      </c>
      <c r="H291" s="52">
        <f t="shared" si="374"/>
        <v>31.578947368421051</v>
      </c>
      <c r="I291" s="53">
        <f>COUNTIFS('00 Encuesta'!$B$2:$B$511,"*b)*",'00 Encuesta'!$C$2:$C$511,"*a)*",'00 Encuesta'!$E$2:$E$511,"*a)*",'00 Encuesta'!$AL$2:$AL$511,"*b)*")</f>
        <v>8</v>
      </c>
      <c r="J291" s="52">
        <f t="shared" si="375"/>
        <v>38.095238095238095</v>
      </c>
      <c r="K291" s="53">
        <f>COUNTIFS('00 Encuesta'!$B$2:$B$511,"*b)*",'00 Encuesta'!$C$2:$C$511,"*a)*",'00 Encuesta'!$E$2:$E$511,"*b)*",'00 Encuesta'!$AL$2:$AL$511,"*b)*")</f>
        <v>4</v>
      </c>
      <c r="L291" s="52">
        <f>K291/$J$7*100</f>
        <v>23.52941176470588</v>
      </c>
      <c r="M291" s="23"/>
      <c r="N291" s="51">
        <f>P291+R291</f>
        <v>15</v>
      </c>
      <c r="O291" s="52">
        <f>N291/$Q$5*100</f>
        <v>46.875</v>
      </c>
      <c r="P291" s="53">
        <f>COUNTIFS('00 Encuesta'!$B$2:$B$511,"*b)*",'00 Encuesta'!$C$2:$C$511,"*b)*",'00 Encuesta'!$E$2:$E$511,"*a)*",'00 Encuesta'!$AL$2:$AL$511,"*b)*")</f>
        <v>8</v>
      </c>
      <c r="Q291" s="52">
        <f>P291/$Q$6*100</f>
        <v>47.058823529411761</v>
      </c>
      <c r="R291" s="53">
        <f>COUNTIFS('00 Encuesta'!$B$2:$B$511,"*b)*",'00 Encuesta'!$C$2:$C$511,"*b)*",'00 Encuesta'!$E$2:$E$511,"*b)*",'00 Encuesta'!$AL$2:$AL$511,"*b)*")</f>
        <v>7</v>
      </c>
      <c r="S291" s="52">
        <f>R291/$Q$7*100</f>
        <v>46.666666666666664</v>
      </c>
      <c r="T291" s="3"/>
      <c r="U291" s="51">
        <f>W291+Y291</f>
        <v>19</v>
      </c>
      <c r="V291" s="52">
        <f>U291/$X$5*100</f>
        <v>48.717948717948715</v>
      </c>
      <c r="W291" s="53">
        <f>COUNTIFS('00 Encuesta'!$B$2:$B$511,"*b)*",'00 Encuesta'!$C$2:$C$511,"*c)*",'00 Encuesta'!$E$2:$E$511,"*a)*",'00 Encuesta'!$AL$2:$AL$511,"*b)*")</f>
        <v>12</v>
      </c>
      <c r="X291" s="52">
        <f>W291/$X$6*100</f>
        <v>57.142857142857139</v>
      </c>
      <c r="Y291" s="53">
        <f>COUNTIFS('00 Encuesta'!$B$2:$B$511,"*b)*",'00 Encuesta'!$C$2:$C$511,"*c)*",'00 Encuesta'!$E$2:$E$511,"*b)*",'00 Encuesta'!$AL$2:$AL$511,"*b)*")</f>
        <v>7</v>
      </c>
      <c r="Z291" s="52">
        <f t="shared" si="376"/>
        <v>38.888888888888893</v>
      </c>
      <c r="AA291" s="3"/>
      <c r="AB291" s="62">
        <f t="shared" si="377"/>
        <v>46</v>
      </c>
      <c r="AC291" s="52">
        <f t="shared" si="378"/>
        <v>42.201834862385319</v>
      </c>
      <c r="AD291" s="3"/>
      <c r="AE291" s="3"/>
      <c r="AF291" s="9" t="str">
        <f t="shared" si="379"/>
        <v>b) Bueno</v>
      </c>
      <c r="AG291" s="72">
        <f t="shared" si="380"/>
        <v>38.095238095238095</v>
      </c>
      <c r="AH291" s="72">
        <f t="shared" si="381"/>
        <v>23.52941176470588</v>
      </c>
      <c r="AI291" s="73">
        <f t="shared" si="382"/>
        <v>31.578947368421051</v>
      </c>
      <c r="AJ291" s="73"/>
      <c r="AK291" s="76">
        <f t="shared" si="383"/>
        <v>47.058823529411761</v>
      </c>
      <c r="AL291" s="76">
        <f t="shared" si="384"/>
        <v>46.666666666666664</v>
      </c>
      <c r="AM291" s="76">
        <f t="shared" si="385"/>
        <v>46.875</v>
      </c>
      <c r="AN291" s="76"/>
      <c r="AO291" s="81">
        <f t="shared" si="386"/>
        <v>57.142857142857139</v>
      </c>
      <c r="AP291" s="81">
        <f t="shared" si="387"/>
        <v>38.888888888888893</v>
      </c>
      <c r="AQ291" s="81">
        <f t="shared" si="388"/>
        <v>48.717948717948715</v>
      </c>
      <c r="AR291" s="3"/>
      <c r="AS291" s="76">
        <f t="shared" si="369"/>
        <v>42.201834862385319</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ht="15" x14ac:dyDescent="0.25">
      <c r="A292" s="8" t="s">
        <v>20</v>
      </c>
      <c r="B292" s="9" t="s">
        <v>218</v>
      </c>
      <c r="C292" s="7"/>
      <c r="D292" s="7"/>
      <c r="E292" s="7"/>
      <c r="F292" s="71">
        <v>50</v>
      </c>
      <c r="G292" s="51">
        <f t="shared" si="373"/>
        <v>10</v>
      </c>
      <c r="H292" s="52">
        <f t="shared" si="374"/>
        <v>26.315789473684209</v>
      </c>
      <c r="I292" s="53">
        <f>COUNTIFS('00 Encuesta'!$B$2:$B$511,"*b)*",'00 Encuesta'!$C$2:$C$511,"*a)*",'00 Encuesta'!$E$2:$E$511,"*a)*",'00 Encuesta'!$AL$2:$AL$511,"*c)*")</f>
        <v>5</v>
      </c>
      <c r="J292" s="52">
        <f t="shared" si="375"/>
        <v>23.809523809523807</v>
      </c>
      <c r="K292" s="53">
        <f>COUNTIFS('00 Encuesta'!$B$2:$B$511,"*b)*",'00 Encuesta'!$C$2:$C$511,"*a)*",'00 Encuesta'!$E$2:$E$511,"*b)*",'00 Encuesta'!$AL$2:$AL$511,"*c)*")</f>
        <v>5</v>
      </c>
      <c r="L292" s="52">
        <f>K292/$J$7*100</f>
        <v>29.411764705882355</v>
      </c>
      <c r="M292" s="23"/>
      <c r="N292" s="51">
        <f>P292+R292</f>
        <v>9</v>
      </c>
      <c r="O292" s="52">
        <f>N292/$Q$5*100</f>
        <v>28.125</v>
      </c>
      <c r="P292" s="53">
        <f>COUNTIFS('00 Encuesta'!$B$2:$B$511,"*b)*",'00 Encuesta'!$C$2:$C$511,"*b)*",'00 Encuesta'!$E$2:$E$511,"*a)*",'00 Encuesta'!$AL$2:$AL$511,"*c)*")</f>
        <v>4</v>
      </c>
      <c r="Q292" s="52">
        <f>P292/$Q$6*100</f>
        <v>23.52941176470588</v>
      </c>
      <c r="R292" s="53">
        <f>COUNTIFS('00 Encuesta'!$B$2:$B$511,"*b)*",'00 Encuesta'!$C$2:$C$511,"*b)*",'00 Encuesta'!$E$2:$E$511,"*b)*",'00 Encuesta'!$AL$2:$AL$511,"*c)*")</f>
        <v>5</v>
      </c>
      <c r="S292" s="52">
        <f>R292/$Q$7*100</f>
        <v>33.333333333333329</v>
      </c>
      <c r="T292" s="3"/>
      <c r="U292" s="51">
        <f>W292+Y292</f>
        <v>13</v>
      </c>
      <c r="V292" s="52">
        <f>U292/$X$5*100</f>
        <v>33.333333333333329</v>
      </c>
      <c r="W292" s="53">
        <f>COUNTIFS('00 Encuesta'!$B$2:$B$511,"*b)*",'00 Encuesta'!$C$2:$C$511,"*c)*",'00 Encuesta'!$E$2:$E$511,"*a)*",'00 Encuesta'!$AL$2:$AL$511,"*c)*")</f>
        <v>4</v>
      </c>
      <c r="X292" s="52">
        <f>W292/$X$6*100</f>
        <v>19.047619047619047</v>
      </c>
      <c r="Y292" s="53">
        <f>COUNTIFS('00 Encuesta'!$B$2:$B$511,"*b)*",'00 Encuesta'!$C$2:$C$511,"*c)*",'00 Encuesta'!$E$2:$E$511,"*b)*",'00 Encuesta'!$AL$2:$AL$511,"*c)*")</f>
        <v>9</v>
      </c>
      <c r="Z292" s="52">
        <f t="shared" si="376"/>
        <v>50</v>
      </c>
      <c r="AA292" s="3"/>
      <c r="AB292" s="62">
        <f t="shared" si="377"/>
        <v>32</v>
      </c>
      <c r="AC292" s="52">
        <f t="shared" si="378"/>
        <v>29.357798165137616</v>
      </c>
      <c r="AD292" s="3"/>
      <c r="AE292" s="3"/>
      <c r="AF292" s="9" t="str">
        <f t="shared" si="379"/>
        <v>c) Regular</v>
      </c>
      <c r="AG292" s="72">
        <f t="shared" si="380"/>
        <v>23.809523809523807</v>
      </c>
      <c r="AH292" s="72">
        <f t="shared" si="381"/>
        <v>29.411764705882355</v>
      </c>
      <c r="AI292" s="73">
        <f t="shared" si="382"/>
        <v>26.315789473684209</v>
      </c>
      <c r="AJ292" s="73"/>
      <c r="AK292" s="76">
        <f t="shared" si="383"/>
        <v>23.52941176470588</v>
      </c>
      <c r="AL292" s="76">
        <f t="shared" si="384"/>
        <v>33.333333333333329</v>
      </c>
      <c r="AM292" s="76">
        <f t="shared" si="385"/>
        <v>28.125</v>
      </c>
      <c r="AN292" s="76"/>
      <c r="AO292" s="81">
        <f t="shared" si="386"/>
        <v>19.047619047619047</v>
      </c>
      <c r="AP292" s="81">
        <f t="shared" si="387"/>
        <v>50</v>
      </c>
      <c r="AQ292" s="81">
        <f t="shared" si="388"/>
        <v>33.333333333333329</v>
      </c>
      <c r="AR292" s="3"/>
      <c r="AS292" s="76">
        <f t="shared" si="369"/>
        <v>29.357798165137616</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ht="15" x14ac:dyDescent="0.25">
      <c r="A293" s="8" t="s">
        <v>21</v>
      </c>
      <c r="B293" s="9" t="s">
        <v>219</v>
      </c>
      <c r="C293" s="7"/>
      <c r="D293" s="7"/>
      <c r="E293" s="7"/>
      <c r="F293" s="71">
        <v>25</v>
      </c>
      <c r="G293" s="51">
        <f t="shared" si="373"/>
        <v>2</v>
      </c>
      <c r="H293" s="52">
        <f t="shared" si="374"/>
        <v>5.2631578947368416</v>
      </c>
      <c r="I293" s="53">
        <f>COUNTIFS('00 Encuesta'!$B$2:$B$511,"*b)*",'00 Encuesta'!$C$2:$C$511,"*a)*",'00 Encuesta'!$E$2:$E$511,"*a)*",'00 Encuesta'!$AL$2:$AL$511,"*d)*")</f>
        <v>0</v>
      </c>
      <c r="J293" s="52">
        <f t="shared" si="375"/>
        <v>0</v>
      </c>
      <c r="K293" s="53">
        <f>COUNTIFS('00 Encuesta'!$B$2:$B$511,"*b)*",'00 Encuesta'!$C$2:$C$511,"*a)*",'00 Encuesta'!$E$2:$E$511,"*b)*",'00 Encuesta'!$AL$2:$AL$511,"*d)*")</f>
        <v>2</v>
      </c>
      <c r="L293" s="52">
        <f>K293/$J$7*100</f>
        <v>11.76470588235294</v>
      </c>
      <c r="M293" s="23"/>
      <c r="N293" s="51">
        <f>P293+R293</f>
        <v>1</v>
      </c>
      <c r="O293" s="52">
        <f>N293/$Q$5*100</f>
        <v>3.125</v>
      </c>
      <c r="P293" s="53">
        <f>COUNTIFS('00 Encuesta'!$B$2:$B$511,"*b)*",'00 Encuesta'!$C$2:$C$511,"*b)*",'00 Encuesta'!$E$2:$E$511,"*a)*",'00 Encuesta'!$AL$2:$AL$511,"*d)*")</f>
        <v>0</v>
      </c>
      <c r="Q293" s="52">
        <f>P293/$Q$6*100</f>
        <v>0</v>
      </c>
      <c r="R293" s="53">
        <f>COUNTIFS('00 Encuesta'!$B$2:$B$511,"*b)*",'00 Encuesta'!$C$2:$C$511,"*b)*",'00 Encuesta'!$E$2:$E$511,"*b)*",'00 Encuesta'!$AL$2:$AL$511,"*d)*")</f>
        <v>1</v>
      </c>
      <c r="S293" s="52">
        <f>R293/$Q$7*100</f>
        <v>6.666666666666667</v>
      </c>
      <c r="T293" s="3"/>
      <c r="U293" s="51">
        <f>W293+Y293</f>
        <v>2</v>
      </c>
      <c r="V293" s="52">
        <f>U293/$X$5*100</f>
        <v>5.1282051282051277</v>
      </c>
      <c r="W293" s="53">
        <f>COUNTIFS('00 Encuesta'!$B$2:$B$511,"*b)*",'00 Encuesta'!$C$2:$C$511,"*c)*",'00 Encuesta'!$E$2:$E$511,"*a)*",'00 Encuesta'!$AL$2:$AL$511,"*d)*")</f>
        <v>1</v>
      </c>
      <c r="X293" s="52">
        <f>W293/$X$6*100</f>
        <v>4.7619047619047619</v>
      </c>
      <c r="Y293" s="53">
        <f>COUNTIFS('00 Encuesta'!$B$2:$B$511,"*b)*",'00 Encuesta'!$C$2:$C$511,"*c)*",'00 Encuesta'!$E$2:$E$511,"*b)*",'00 Encuesta'!$AL$2:$AL$511,"*d)*")</f>
        <v>1</v>
      </c>
      <c r="Z293" s="52">
        <f t="shared" si="376"/>
        <v>5.5555555555555554</v>
      </c>
      <c r="AA293" s="3"/>
      <c r="AB293" s="62">
        <f t="shared" si="377"/>
        <v>5</v>
      </c>
      <c r="AC293" s="52">
        <f t="shared" si="378"/>
        <v>4.5871559633027523</v>
      </c>
      <c r="AD293" s="3"/>
      <c r="AE293" s="3"/>
      <c r="AF293" s="9" t="str">
        <f t="shared" si="379"/>
        <v>d) Deficiente</v>
      </c>
      <c r="AG293" s="72">
        <f t="shared" si="380"/>
        <v>0</v>
      </c>
      <c r="AH293" s="72">
        <f t="shared" si="381"/>
        <v>11.76470588235294</v>
      </c>
      <c r="AI293" s="73">
        <f t="shared" si="382"/>
        <v>5.2631578947368416</v>
      </c>
      <c r="AJ293" s="73"/>
      <c r="AK293" s="76">
        <f t="shared" si="383"/>
        <v>0</v>
      </c>
      <c r="AL293" s="76">
        <f t="shared" si="384"/>
        <v>6.666666666666667</v>
      </c>
      <c r="AM293" s="76">
        <f t="shared" si="385"/>
        <v>3.125</v>
      </c>
      <c r="AN293" s="76"/>
      <c r="AO293" s="81">
        <f t="shared" si="386"/>
        <v>4.7619047619047619</v>
      </c>
      <c r="AP293" s="81">
        <f t="shared" si="387"/>
        <v>5.5555555555555554</v>
      </c>
      <c r="AQ293" s="81">
        <f t="shared" si="388"/>
        <v>5.1282051282051277</v>
      </c>
      <c r="AR293" s="3"/>
      <c r="AS293" s="76">
        <f t="shared" si="369"/>
        <v>4.5871559633027523</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ht="15" x14ac:dyDescent="0.25">
      <c r="A294" s="8" t="s">
        <v>22</v>
      </c>
      <c r="B294" s="9" t="s">
        <v>220</v>
      </c>
      <c r="C294" s="7"/>
      <c r="D294" s="7"/>
      <c r="E294" s="7"/>
      <c r="F294" s="71">
        <v>0</v>
      </c>
      <c r="G294" s="51">
        <f t="shared" si="373"/>
        <v>4</v>
      </c>
      <c r="H294" s="52">
        <f t="shared" si="374"/>
        <v>10.526315789473683</v>
      </c>
      <c r="I294" s="53">
        <f>COUNTIFS('00 Encuesta'!$B$2:$B$511,"*b)*",'00 Encuesta'!$C$2:$C$511,"*a)*",'00 Encuesta'!$E$2:$E$511,"*a)*",'00 Encuesta'!$AL$2:$AL$511,"*e)*")</f>
        <v>1</v>
      </c>
      <c r="J294" s="52">
        <f t="shared" si="375"/>
        <v>4.7619047619047619</v>
      </c>
      <c r="K294" s="53">
        <f>COUNTIFS('00 Encuesta'!$B$2:$B$511,"*b)*",'00 Encuesta'!$C$2:$C$511,"*a)*",'00 Encuesta'!$E$2:$E$511,"*b)*",'00 Encuesta'!$AL$2:$AL$511,"*e)*")</f>
        <v>3</v>
      </c>
      <c r="L294" s="52">
        <f>K294/$J$7*100</f>
        <v>17.647058823529413</v>
      </c>
      <c r="M294" s="23"/>
      <c r="N294" s="51">
        <f>P294+R294</f>
        <v>1</v>
      </c>
      <c r="O294" s="52">
        <f>N294/$Q$5*100</f>
        <v>3.125</v>
      </c>
      <c r="P294" s="53">
        <f>COUNTIFS('00 Encuesta'!$B$2:$B$511,"*b)*",'00 Encuesta'!$C$2:$C$511,"*b)*",'00 Encuesta'!$E$2:$E$511,"*a)*",'00 Encuesta'!$AL$2:$AL$511,"*e)*")</f>
        <v>0</v>
      </c>
      <c r="Q294" s="52">
        <f>P294/$Q$6*100</f>
        <v>0</v>
      </c>
      <c r="R294" s="53">
        <f>COUNTIFS('00 Encuesta'!$B$2:$B$511,"*b)*",'00 Encuesta'!$C$2:$C$511,"*b)*",'00 Encuesta'!$E$2:$E$511,"*b)*",'00 Encuesta'!$AL$2:$AL$511,"*e)*")</f>
        <v>1</v>
      </c>
      <c r="S294" s="52">
        <f>R294/$Q$7*100</f>
        <v>6.666666666666667</v>
      </c>
      <c r="T294" s="3"/>
      <c r="U294" s="51">
        <f>W294+Y294</f>
        <v>1</v>
      </c>
      <c r="V294" s="52">
        <f>U294/$X$5*100</f>
        <v>2.5641025641025639</v>
      </c>
      <c r="W294" s="53">
        <f>COUNTIFS('00 Encuesta'!$B$2:$B$511,"*b)*",'00 Encuesta'!$C$2:$C$511,"*c)*",'00 Encuesta'!$E$2:$E$511,"*a)*",'00 Encuesta'!$AL$2:$AL$511,"*e)*")</f>
        <v>1</v>
      </c>
      <c r="X294" s="52">
        <f>W294/$X$6*100</f>
        <v>4.7619047619047619</v>
      </c>
      <c r="Y294" s="53">
        <f>COUNTIFS('00 Encuesta'!$B$2:$B$511,"*b)*",'00 Encuesta'!$C$2:$C$511,"*c)*",'00 Encuesta'!$E$2:$E$511,"*b)*",'00 Encuesta'!$AL$2:$AL$511,"*e)*")</f>
        <v>0</v>
      </c>
      <c r="Z294" s="52">
        <f t="shared" si="376"/>
        <v>0</v>
      </c>
      <c r="AA294" s="3"/>
      <c r="AB294" s="62">
        <f t="shared" si="377"/>
        <v>6</v>
      </c>
      <c r="AC294" s="52">
        <f t="shared" si="378"/>
        <v>5.5045871559633026</v>
      </c>
      <c r="AD294" s="3"/>
      <c r="AE294" s="3"/>
      <c r="AF294" s="9" t="str">
        <f t="shared" si="379"/>
        <v>e) Muy deficiente</v>
      </c>
      <c r="AG294" s="72">
        <f t="shared" si="380"/>
        <v>4.7619047619047619</v>
      </c>
      <c r="AH294" s="72">
        <f t="shared" si="381"/>
        <v>17.647058823529413</v>
      </c>
      <c r="AI294" s="73">
        <f t="shared" si="382"/>
        <v>10.526315789473683</v>
      </c>
      <c r="AJ294" s="73"/>
      <c r="AK294" s="76">
        <f t="shared" si="383"/>
        <v>0</v>
      </c>
      <c r="AL294" s="76">
        <f t="shared" si="384"/>
        <v>6.666666666666667</v>
      </c>
      <c r="AM294" s="76">
        <f t="shared" si="385"/>
        <v>3.125</v>
      </c>
      <c r="AN294" s="76"/>
      <c r="AO294" s="81">
        <f t="shared" si="386"/>
        <v>4.7619047619047619</v>
      </c>
      <c r="AP294" s="81">
        <f t="shared" si="387"/>
        <v>0</v>
      </c>
      <c r="AQ294" s="81">
        <f t="shared" si="388"/>
        <v>2.5641025641025639</v>
      </c>
      <c r="AR294" s="3"/>
      <c r="AS294" s="76">
        <f t="shared" si="369"/>
        <v>5.5045871559633026</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ht="15" x14ac:dyDescent="0.25">
      <c r="A295" s="8" t="s">
        <v>23</v>
      </c>
      <c r="B295" s="9" t="s">
        <v>24</v>
      </c>
      <c r="C295" s="7"/>
      <c r="D295" s="7"/>
      <c r="E295" s="7"/>
      <c r="F295" s="71"/>
      <c r="G295" s="51">
        <f t="shared" si="373"/>
        <v>0</v>
      </c>
      <c r="H295" s="52">
        <f t="shared" si="374"/>
        <v>0</v>
      </c>
      <c r="I295" s="53"/>
      <c r="J295" s="52">
        <f t="shared" si="375"/>
        <v>0</v>
      </c>
      <c r="K295" s="53"/>
      <c r="L295" s="52">
        <f t="shared" ref="L295" si="389">K295/$J$7*100</f>
        <v>0</v>
      </c>
      <c r="M295" s="23"/>
      <c r="N295" s="51">
        <f t="shared" ref="N295" si="390">P295+R295</f>
        <v>0</v>
      </c>
      <c r="O295" s="52">
        <f t="shared" ref="O295" si="391">N295/$Q$5*100</f>
        <v>0</v>
      </c>
      <c r="P295" s="53"/>
      <c r="Q295" s="52">
        <f t="shared" ref="Q295" si="392">P295/$Q$6*100</f>
        <v>0</v>
      </c>
      <c r="R295" s="53"/>
      <c r="S295" s="52">
        <f t="shared" ref="S295" si="393">R295/$Q$7*100</f>
        <v>0</v>
      </c>
      <c r="T295" s="3"/>
      <c r="U295" s="51">
        <f t="shared" ref="U295" si="394">W295+Y295</f>
        <v>0</v>
      </c>
      <c r="V295" s="52">
        <f t="shared" ref="V295" si="395">U295/$X$5*100</f>
        <v>0</v>
      </c>
      <c r="W295" s="53"/>
      <c r="X295" s="52">
        <f t="shared" ref="X295" si="396">W295/$X$6*100</f>
        <v>0</v>
      </c>
      <c r="Y295" s="53"/>
      <c r="Z295" s="52">
        <f t="shared" si="376"/>
        <v>0</v>
      </c>
      <c r="AA295" s="3"/>
      <c r="AB295" s="62">
        <f t="shared" si="377"/>
        <v>0</v>
      </c>
      <c r="AC295" s="52">
        <f t="shared" si="378"/>
        <v>0</v>
      </c>
      <c r="AD295" s="3"/>
      <c r="AE295" s="3"/>
      <c r="AF295" s="9" t="str">
        <f t="shared" si="379"/>
        <v>S/R Sin Respuesta</v>
      </c>
      <c r="AG295" s="72">
        <f t="shared" si="380"/>
        <v>0</v>
      </c>
      <c r="AH295" s="72">
        <f t="shared" si="381"/>
        <v>0</v>
      </c>
      <c r="AI295" s="73">
        <f t="shared" si="382"/>
        <v>0</v>
      </c>
      <c r="AJ295" s="73"/>
      <c r="AK295" s="76">
        <f t="shared" si="383"/>
        <v>0</v>
      </c>
      <c r="AL295" s="76">
        <f t="shared" si="384"/>
        <v>0</v>
      </c>
      <c r="AM295" s="76">
        <f t="shared" si="385"/>
        <v>0</v>
      </c>
      <c r="AN295" s="76"/>
      <c r="AO295" s="81">
        <f t="shared" si="386"/>
        <v>0</v>
      </c>
      <c r="AP295" s="81">
        <f t="shared" si="387"/>
        <v>0</v>
      </c>
      <c r="AQ295" s="81">
        <f t="shared" si="388"/>
        <v>0</v>
      </c>
      <c r="AR295" s="3"/>
      <c r="AS295" s="76">
        <f t="shared" si="369"/>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ht="15" x14ac:dyDescent="0.25">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69.444444444444443</v>
      </c>
      <c r="AH296" s="82">
        <f>($F290*K290+$F291*K291+$F292*K292+$F293*K293+$F294*K294)/(K290+K291+K292+K293+K294)</f>
        <v>50</v>
      </c>
      <c r="AI296" s="82">
        <f>($F290*G290+$F291*G291+$F292*G292+$F293*G293+$F294*G294)/(G290+G291+G292+G293+G294)</f>
        <v>60.294117647058826</v>
      </c>
      <c r="AJ296" s="82"/>
      <c r="AK296" s="82">
        <f>($F290*Q290+$F291*Q291+$F292*Q292+$F293*Q293+$F294*Q294)/(Q290+Q291+Q292+Q293+Q294)</f>
        <v>69.230769230769212</v>
      </c>
      <c r="AL296" s="82">
        <f>($F290*S290+$F291*S291+$F292*S292+$F293*S293+$F294*S294)/(S290+S291+S292+S293+S294)</f>
        <v>60.000000000000007</v>
      </c>
      <c r="AM296" s="82">
        <f>($F290*O290+$F291*O291+$F292*O292+$F293*O293+$F294*O294)/(O290+O291+O292+O293+O294)</f>
        <v>64.285714285714292</v>
      </c>
      <c r="AN296" s="82"/>
      <c r="AO296" s="82">
        <f>($F290*W290+$F291*W291+$F292*W292+$F293*W293+$F294*W294)/(W290+W291+W292+W293+W294)</f>
        <v>67.857142857142861</v>
      </c>
      <c r="AP296" s="82">
        <f>($F290*Y290+$F291*Y291+$F292*Y292+$F293*Y293+$F294*Y294)/(Y290+Y291+Y292+Y293+Y294)</f>
        <v>58.823529411764703</v>
      </c>
      <c r="AQ296" s="82">
        <f>($F290*U290+$F291*U291+$F292*U292+$F293*U293+$F294*U294)/(U290+U291+U292+U293+U294)</f>
        <v>63.815789473684212</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ht="15" x14ac:dyDescent="0.25">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ht="15" x14ac:dyDescent="0.25">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ht="15" x14ac:dyDescent="0.25">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ht="15" x14ac:dyDescent="0.25">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ht="15" x14ac:dyDescent="0.25">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ht="15" x14ac:dyDescent="0.25">
      <c r="A305" s="8" t="s">
        <v>17</v>
      </c>
      <c r="B305" s="9" t="s">
        <v>229</v>
      </c>
      <c r="C305" s="7"/>
      <c r="D305" s="7"/>
      <c r="E305" s="7"/>
      <c r="F305" s="71">
        <v>100</v>
      </c>
      <c r="G305" s="51">
        <f t="shared" ref="G305:G310" si="397">I305+K305</f>
        <v>2</v>
      </c>
      <c r="H305" s="52">
        <f t="shared" ref="H305:H310" si="398">G305/$J$5*100</f>
        <v>5.2631578947368416</v>
      </c>
      <c r="I305" s="53">
        <f>COUNTIFS('00 Encuesta'!$B$2:$B$511,"*b)*",'00 Encuesta'!$C$2:$C$511,"*a)*",'00 Encuesta'!$E$2:$E$511,"*a)*",'00 Encuesta'!$AM$2:$AM$511,"*a)*")</f>
        <v>2</v>
      </c>
      <c r="J305" s="52">
        <f t="shared" ref="J305:J310" si="399">I305/$J$6*100</f>
        <v>9.5238095238095237</v>
      </c>
      <c r="K305" s="53">
        <f>COUNTIFS('00 Encuesta'!$B$2:$B$511,"*b)*",'00 Encuesta'!$C$2:$C$511,"*a)*",'00 Encuesta'!$E$2:$E$511,"*b)*",'00 Encuesta'!$AM$2:$AM$511,"*a)*")</f>
        <v>0</v>
      </c>
      <c r="L305" s="52">
        <f t="shared" ref="L305:L310" si="400">K305/$J$7*100</f>
        <v>0</v>
      </c>
      <c r="M305" s="23"/>
      <c r="N305" s="51">
        <f t="shared" ref="N305:N310" si="401">P305+R305</f>
        <v>0</v>
      </c>
      <c r="O305" s="52">
        <f t="shared" ref="O305:O310" si="402">N305/$Q$5*100</f>
        <v>0</v>
      </c>
      <c r="P305" s="53">
        <f>COUNTIFS('00 Encuesta'!$B$2:$B$511,"*b)*",'00 Encuesta'!$C$2:$C$511,"*b)*",'00 Encuesta'!$E$2:$E$511,"*a)*",'00 Encuesta'!$AM$2:$AM$511,"*a)*")</f>
        <v>0</v>
      </c>
      <c r="Q305" s="52">
        <f t="shared" ref="Q305:Q310" si="403">P305/$Q$6*100</f>
        <v>0</v>
      </c>
      <c r="R305" s="53">
        <f>COUNTIFS('00 Encuesta'!$B$2:$B$511,"*b)*",'00 Encuesta'!$C$2:$C$511,"*b)*",'00 Encuesta'!$E$2:$E$511,"*b)*",'00 Encuesta'!$AM$2:$AM$511,"*a)*")</f>
        <v>0</v>
      </c>
      <c r="S305" s="52">
        <f t="shared" ref="S305:S310" si="404">R305/$Q$7*100</f>
        <v>0</v>
      </c>
      <c r="T305" s="3"/>
      <c r="U305" s="51">
        <f t="shared" ref="U305:U310" si="405">W305+Y305</f>
        <v>2</v>
      </c>
      <c r="V305" s="52">
        <f t="shared" ref="V305:V310" si="406">U305/$X$5*100</f>
        <v>5.1282051282051277</v>
      </c>
      <c r="W305" s="53">
        <f>COUNTIFS('00 Encuesta'!$B$2:$B$511,"*b)*",'00 Encuesta'!$C$2:$C$511,"*c)*",'00 Encuesta'!$E$2:$E$511,"*a)*",'00 Encuesta'!$AM$2:$AM$511,"*a)*")</f>
        <v>2</v>
      </c>
      <c r="X305" s="52">
        <f t="shared" ref="X305:X310" si="407">W305/$X$6*100</f>
        <v>9.5238095238095237</v>
      </c>
      <c r="Y305" s="53">
        <f>COUNTIFS('00 Encuesta'!$B$2:$B$511,"*b)*",'00 Encuesta'!$C$2:$C$511,"*c)*",'00 Encuesta'!$E$2:$E$511,"*b)*",'00 Encuesta'!$AM$2:$AM$511,"*a)*")</f>
        <v>0</v>
      </c>
      <c r="Z305" s="52">
        <f t="shared" ref="Z305:Z310" si="408">Y305/$X$7*100</f>
        <v>0</v>
      </c>
      <c r="AA305" s="3"/>
      <c r="AB305" s="62">
        <f t="shared" ref="AB305:AB310" si="409">G305+N305+U305</f>
        <v>4</v>
      </c>
      <c r="AC305" s="52">
        <f t="shared" ref="AC305:AC310" si="410">AB305*100/$AC$5</f>
        <v>3.669724770642202</v>
      </c>
      <c r="AD305" s="3"/>
      <c r="AE305" s="3"/>
      <c r="AF305" s="9" t="str">
        <f t="shared" ref="AF305:AF310" si="411">A305&amp;" "&amp;B305</f>
        <v>a) Muy buena</v>
      </c>
      <c r="AG305" s="72">
        <f t="shared" ref="AG305:AG310" si="412">J305</f>
        <v>9.5238095238095237</v>
      </c>
      <c r="AH305" s="72">
        <f t="shared" ref="AH305:AH310" si="413">L305</f>
        <v>0</v>
      </c>
      <c r="AI305" s="73">
        <f t="shared" ref="AI305:AI310" si="414">H305</f>
        <v>5.2631578947368416</v>
      </c>
      <c r="AJ305" s="73"/>
      <c r="AK305" s="76">
        <f t="shared" ref="AK305:AK310" si="415">Q305</f>
        <v>0</v>
      </c>
      <c r="AL305" s="76">
        <f t="shared" ref="AL305:AL310" si="416">S305</f>
        <v>0</v>
      </c>
      <c r="AM305" s="76">
        <f t="shared" ref="AM305:AM310" si="417">O305</f>
        <v>0</v>
      </c>
      <c r="AN305" s="76"/>
      <c r="AO305" s="81">
        <f t="shared" ref="AO305:AO310" si="418">X305</f>
        <v>9.5238095238095237</v>
      </c>
      <c r="AP305" s="81">
        <f t="shared" ref="AP305:AP310" si="419">Z305</f>
        <v>0</v>
      </c>
      <c r="AQ305" s="81">
        <f t="shared" ref="AQ305:AQ310" si="420">V305</f>
        <v>5.1282051282051277</v>
      </c>
      <c r="AR305" s="3"/>
      <c r="AS305" s="76">
        <f t="shared" si="369"/>
        <v>3.669724770642202</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ht="15" x14ac:dyDescent="0.25">
      <c r="A306" s="8" t="s">
        <v>18</v>
      </c>
      <c r="B306" s="9" t="s">
        <v>230</v>
      </c>
      <c r="C306" s="7"/>
      <c r="D306" s="7"/>
      <c r="E306" s="7"/>
      <c r="F306" s="71">
        <v>75</v>
      </c>
      <c r="G306" s="51">
        <f t="shared" si="397"/>
        <v>18</v>
      </c>
      <c r="H306" s="52">
        <f t="shared" si="398"/>
        <v>47.368421052631575</v>
      </c>
      <c r="I306" s="53">
        <f>COUNTIFS('00 Encuesta'!$B$2:$B$511,"*b)*",'00 Encuesta'!$C$2:$C$511,"*a)*",'00 Encuesta'!$E$2:$E$511,"*a)*",'00 Encuesta'!$AM$2:$AM$511,"*b)*")</f>
        <v>11</v>
      </c>
      <c r="J306" s="52">
        <f t="shared" si="399"/>
        <v>52.380952380952387</v>
      </c>
      <c r="K306" s="53">
        <f>COUNTIFS('00 Encuesta'!$B$2:$B$511,"*b)*",'00 Encuesta'!$C$2:$C$511,"*a)*",'00 Encuesta'!$E$2:$E$511,"*b)*",'00 Encuesta'!$AM$2:$AM$511,"*b)*")</f>
        <v>7</v>
      </c>
      <c r="L306" s="52">
        <f t="shared" si="400"/>
        <v>41.17647058823529</v>
      </c>
      <c r="M306" s="23"/>
      <c r="N306" s="51">
        <f t="shared" si="401"/>
        <v>6</v>
      </c>
      <c r="O306" s="52">
        <f t="shared" si="402"/>
        <v>18.75</v>
      </c>
      <c r="P306" s="53">
        <f>COUNTIFS('00 Encuesta'!$B$2:$B$511,"*b)*",'00 Encuesta'!$C$2:$C$511,"*b)*",'00 Encuesta'!$E$2:$E$511,"*a)*",'00 Encuesta'!$AM$2:$AM$511,"*b)*")</f>
        <v>4</v>
      </c>
      <c r="Q306" s="52">
        <f t="shared" si="403"/>
        <v>23.52941176470588</v>
      </c>
      <c r="R306" s="53">
        <f>COUNTIFS('00 Encuesta'!$B$2:$B$511,"*b)*",'00 Encuesta'!$C$2:$C$511,"*b)*",'00 Encuesta'!$E$2:$E$511,"*b)*",'00 Encuesta'!$AM$2:$AM$511,"*b)*")</f>
        <v>2</v>
      </c>
      <c r="S306" s="52">
        <f t="shared" si="404"/>
        <v>13.333333333333334</v>
      </c>
      <c r="T306" s="3"/>
      <c r="U306" s="51">
        <f t="shared" si="405"/>
        <v>7</v>
      </c>
      <c r="V306" s="52">
        <f t="shared" si="406"/>
        <v>17.948717948717949</v>
      </c>
      <c r="W306" s="53">
        <f>COUNTIFS('00 Encuesta'!$B$2:$B$511,"*b)*",'00 Encuesta'!$C$2:$C$511,"*c)*",'00 Encuesta'!$E$2:$E$511,"*a)*",'00 Encuesta'!$AM$2:$AM$511,"*b)*")</f>
        <v>6</v>
      </c>
      <c r="X306" s="52">
        <f t="shared" si="407"/>
        <v>28.571428571428569</v>
      </c>
      <c r="Y306" s="53">
        <f>COUNTIFS('00 Encuesta'!$B$2:$B$511,"*b)*",'00 Encuesta'!$C$2:$C$511,"*c)*",'00 Encuesta'!$E$2:$E$511,"*b)*",'00 Encuesta'!$AM$2:$AM$511,"*b)*")</f>
        <v>1</v>
      </c>
      <c r="Z306" s="52">
        <f t="shared" si="408"/>
        <v>5.5555555555555554</v>
      </c>
      <c r="AA306" s="3"/>
      <c r="AB306" s="62">
        <f t="shared" si="409"/>
        <v>31</v>
      </c>
      <c r="AC306" s="52">
        <f t="shared" si="410"/>
        <v>28.440366972477065</v>
      </c>
      <c r="AD306" s="3"/>
      <c r="AE306" s="3"/>
      <c r="AF306" s="9" t="str">
        <f t="shared" si="411"/>
        <v>b) Buena</v>
      </c>
      <c r="AG306" s="72">
        <f t="shared" si="412"/>
        <v>52.380952380952387</v>
      </c>
      <c r="AH306" s="72">
        <f t="shared" si="413"/>
        <v>41.17647058823529</v>
      </c>
      <c r="AI306" s="73">
        <f t="shared" si="414"/>
        <v>47.368421052631575</v>
      </c>
      <c r="AJ306" s="73"/>
      <c r="AK306" s="76">
        <f t="shared" si="415"/>
        <v>23.52941176470588</v>
      </c>
      <c r="AL306" s="76">
        <f t="shared" si="416"/>
        <v>13.333333333333334</v>
      </c>
      <c r="AM306" s="76">
        <f t="shared" si="417"/>
        <v>18.75</v>
      </c>
      <c r="AN306" s="76"/>
      <c r="AO306" s="81">
        <f t="shared" si="418"/>
        <v>28.571428571428569</v>
      </c>
      <c r="AP306" s="81">
        <f t="shared" si="419"/>
        <v>5.5555555555555554</v>
      </c>
      <c r="AQ306" s="81">
        <f t="shared" si="420"/>
        <v>17.948717948717949</v>
      </c>
      <c r="AR306" s="3"/>
      <c r="AS306" s="76">
        <f t="shared" si="369"/>
        <v>28.440366972477065</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ht="15" x14ac:dyDescent="0.25">
      <c r="A307" s="8" t="s">
        <v>20</v>
      </c>
      <c r="B307" s="9" t="s">
        <v>218</v>
      </c>
      <c r="C307" s="7"/>
      <c r="D307" s="7"/>
      <c r="E307" s="7"/>
      <c r="F307" s="71">
        <v>50</v>
      </c>
      <c r="G307" s="51">
        <f t="shared" si="397"/>
        <v>7</v>
      </c>
      <c r="H307" s="52">
        <f t="shared" si="398"/>
        <v>18.421052631578945</v>
      </c>
      <c r="I307" s="53">
        <f>COUNTIFS('00 Encuesta'!$B$2:$B$511,"*b)*",'00 Encuesta'!$C$2:$C$511,"*a)*",'00 Encuesta'!$E$2:$E$511,"*a)*",'00 Encuesta'!$AM$2:$AM$511,"*c)*")</f>
        <v>2</v>
      </c>
      <c r="J307" s="52">
        <f t="shared" si="399"/>
        <v>9.5238095238095237</v>
      </c>
      <c r="K307" s="53">
        <f>COUNTIFS('00 Encuesta'!$B$2:$B$511,"*b)*",'00 Encuesta'!$C$2:$C$511,"*a)*",'00 Encuesta'!$E$2:$E$511,"*b)*",'00 Encuesta'!$AM$2:$AM$511,"*c)*")</f>
        <v>5</v>
      </c>
      <c r="L307" s="52">
        <f t="shared" si="400"/>
        <v>29.411764705882355</v>
      </c>
      <c r="M307" s="23"/>
      <c r="N307" s="51">
        <f t="shared" si="401"/>
        <v>15</v>
      </c>
      <c r="O307" s="52">
        <f t="shared" si="402"/>
        <v>46.875</v>
      </c>
      <c r="P307" s="53">
        <f>COUNTIFS('00 Encuesta'!$B$2:$B$511,"*b)*",'00 Encuesta'!$C$2:$C$511,"*b)*",'00 Encuesta'!$E$2:$E$511,"*a)*",'00 Encuesta'!$AM$2:$AM$511,"*c)*")</f>
        <v>6</v>
      </c>
      <c r="Q307" s="52">
        <f t="shared" si="403"/>
        <v>35.294117647058826</v>
      </c>
      <c r="R307" s="53">
        <f>COUNTIFS('00 Encuesta'!$B$2:$B$511,"*b)*",'00 Encuesta'!$C$2:$C$511,"*b)*",'00 Encuesta'!$E$2:$E$511,"*b)*",'00 Encuesta'!$AM$2:$AM$511,"*c)*")</f>
        <v>9</v>
      </c>
      <c r="S307" s="52">
        <f t="shared" si="404"/>
        <v>60</v>
      </c>
      <c r="T307" s="3"/>
      <c r="U307" s="51">
        <f t="shared" si="405"/>
        <v>9</v>
      </c>
      <c r="V307" s="52">
        <f t="shared" si="406"/>
        <v>23.076923076923077</v>
      </c>
      <c r="W307" s="53">
        <f>COUNTIFS('00 Encuesta'!$B$2:$B$511,"*b)*",'00 Encuesta'!$C$2:$C$511,"*c)*",'00 Encuesta'!$E$2:$E$511,"*a)*",'00 Encuesta'!$AM$2:$AM$511,"*c)*")</f>
        <v>3</v>
      </c>
      <c r="X307" s="52">
        <f t="shared" si="407"/>
        <v>14.285714285714285</v>
      </c>
      <c r="Y307" s="53">
        <f>COUNTIFS('00 Encuesta'!$B$2:$B$511,"*b)*",'00 Encuesta'!$C$2:$C$511,"*c)*",'00 Encuesta'!$E$2:$E$511,"*b)*",'00 Encuesta'!$AM$2:$AM$511,"*c)*")</f>
        <v>6</v>
      </c>
      <c r="Z307" s="52">
        <f t="shared" si="408"/>
        <v>33.333333333333329</v>
      </c>
      <c r="AA307" s="3"/>
      <c r="AB307" s="62">
        <f t="shared" si="409"/>
        <v>31</v>
      </c>
      <c r="AC307" s="52">
        <f t="shared" si="410"/>
        <v>28.440366972477065</v>
      </c>
      <c r="AD307" s="3"/>
      <c r="AE307" s="3"/>
      <c r="AF307" s="9" t="str">
        <f t="shared" si="411"/>
        <v>c) Regular</v>
      </c>
      <c r="AG307" s="72">
        <f t="shared" si="412"/>
        <v>9.5238095238095237</v>
      </c>
      <c r="AH307" s="72">
        <f t="shared" si="413"/>
        <v>29.411764705882355</v>
      </c>
      <c r="AI307" s="73">
        <f t="shared" si="414"/>
        <v>18.421052631578945</v>
      </c>
      <c r="AJ307" s="73"/>
      <c r="AK307" s="76">
        <f t="shared" si="415"/>
        <v>35.294117647058826</v>
      </c>
      <c r="AL307" s="76">
        <f t="shared" si="416"/>
        <v>60</v>
      </c>
      <c r="AM307" s="76">
        <f t="shared" si="417"/>
        <v>46.875</v>
      </c>
      <c r="AN307" s="76"/>
      <c r="AO307" s="81">
        <f t="shared" si="418"/>
        <v>14.285714285714285</v>
      </c>
      <c r="AP307" s="81">
        <f t="shared" si="419"/>
        <v>33.333333333333329</v>
      </c>
      <c r="AQ307" s="81">
        <f t="shared" si="420"/>
        <v>23.076923076923077</v>
      </c>
      <c r="AR307" s="3"/>
      <c r="AS307" s="76">
        <f t="shared" si="369"/>
        <v>28.440366972477065</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ht="15" x14ac:dyDescent="0.25">
      <c r="A308" s="8" t="s">
        <v>21</v>
      </c>
      <c r="B308" s="9" t="s">
        <v>231</v>
      </c>
      <c r="C308" s="7"/>
      <c r="D308" s="7"/>
      <c r="E308" s="7"/>
      <c r="F308" s="71">
        <v>25</v>
      </c>
      <c r="G308" s="51">
        <f t="shared" si="397"/>
        <v>1</v>
      </c>
      <c r="H308" s="52">
        <f t="shared" si="398"/>
        <v>2.6315789473684208</v>
      </c>
      <c r="I308" s="53">
        <f>COUNTIFS('00 Encuesta'!$B$2:$B$511,"*b)*",'00 Encuesta'!$C$2:$C$511,"*a)*",'00 Encuesta'!$E$2:$E$511,"*a)*",'00 Encuesta'!$AM$2:$AM$511,"*d)*")</f>
        <v>1</v>
      </c>
      <c r="J308" s="52">
        <f t="shared" si="399"/>
        <v>4.7619047619047619</v>
      </c>
      <c r="K308" s="53">
        <f>COUNTIFS('00 Encuesta'!$B$2:$B$511,"*b)*",'00 Encuesta'!$C$2:$C$511,"*a)*",'00 Encuesta'!$E$2:$E$511,"*b)*",'00 Encuesta'!$AM$2:$AM$511,"*d)*")</f>
        <v>0</v>
      </c>
      <c r="L308" s="52">
        <f t="shared" si="400"/>
        <v>0</v>
      </c>
      <c r="M308" s="23"/>
      <c r="N308" s="51">
        <f t="shared" si="401"/>
        <v>1</v>
      </c>
      <c r="O308" s="52">
        <f t="shared" si="402"/>
        <v>3.125</v>
      </c>
      <c r="P308" s="53">
        <f>COUNTIFS('00 Encuesta'!$B$2:$B$511,"*b)*",'00 Encuesta'!$C$2:$C$511,"*b)*",'00 Encuesta'!$E$2:$E$511,"*a)*",'00 Encuesta'!$AM$2:$AM$511,"*d)*")</f>
        <v>1</v>
      </c>
      <c r="Q308" s="52">
        <f t="shared" si="403"/>
        <v>5.8823529411764701</v>
      </c>
      <c r="R308" s="53">
        <f>COUNTIFS('00 Encuesta'!$B$2:$B$511,"*b)*",'00 Encuesta'!$C$2:$C$511,"*b)*",'00 Encuesta'!$E$2:$E$511,"*b)*",'00 Encuesta'!$AM$2:$AM$511,"*d)*")</f>
        <v>0</v>
      </c>
      <c r="S308" s="52">
        <f t="shared" si="404"/>
        <v>0</v>
      </c>
      <c r="T308" s="3"/>
      <c r="U308" s="51">
        <f t="shared" si="405"/>
        <v>6</v>
      </c>
      <c r="V308" s="52">
        <f t="shared" si="406"/>
        <v>15.384615384615385</v>
      </c>
      <c r="W308" s="53">
        <f>COUNTIFS('00 Encuesta'!$B$2:$B$511,"*b)*",'00 Encuesta'!$C$2:$C$511,"*c)*",'00 Encuesta'!$E$2:$E$511,"*a)*",'00 Encuesta'!$AM$2:$AM$511,"*d)*")</f>
        <v>1</v>
      </c>
      <c r="X308" s="52">
        <f t="shared" si="407"/>
        <v>4.7619047619047619</v>
      </c>
      <c r="Y308" s="53">
        <f>COUNTIFS('00 Encuesta'!$B$2:$B$511,"*b)*",'00 Encuesta'!$C$2:$C$511,"*c)*",'00 Encuesta'!$E$2:$E$511,"*b)*",'00 Encuesta'!$AM$2:$AM$511,"*d)*")</f>
        <v>5</v>
      </c>
      <c r="Z308" s="52">
        <f t="shared" si="408"/>
        <v>27.777777777777779</v>
      </c>
      <c r="AA308" s="3"/>
      <c r="AB308" s="62">
        <f t="shared" si="409"/>
        <v>8</v>
      </c>
      <c r="AC308" s="52">
        <f t="shared" si="410"/>
        <v>7.3394495412844041</v>
      </c>
      <c r="AD308" s="3"/>
      <c r="AE308" s="3"/>
      <c r="AF308" s="9" t="str">
        <f t="shared" si="411"/>
        <v>d) Mala</v>
      </c>
      <c r="AG308" s="72">
        <f t="shared" si="412"/>
        <v>4.7619047619047619</v>
      </c>
      <c r="AH308" s="72">
        <f t="shared" si="413"/>
        <v>0</v>
      </c>
      <c r="AI308" s="73">
        <f t="shared" si="414"/>
        <v>2.6315789473684208</v>
      </c>
      <c r="AJ308" s="73"/>
      <c r="AK308" s="76">
        <f t="shared" si="415"/>
        <v>5.8823529411764701</v>
      </c>
      <c r="AL308" s="76">
        <f t="shared" si="416"/>
        <v>0</v>
      </c>
      <c r="AM308" s="76">
        <f t="shared" si="417"/>
        <v>3.125</v>
      </c>
      <c r="AN308" s="76"/>
      <c r="AO308" s="81">
        <f t="shared" si="418"/>
        <v>4.7619047619047619</v>
      </c>
      <c r="AP308" s="81">
        <f t="shared" si="419"/>
        <v>27.777777777777779</v>
      </c>
      <c r="AQ308" s="81">
        <f t="shared" si="420"/>
        <v>15.384615384615385</v>
      </c>
      <c r="AR308" s="3"/>
      <c r="AS308" s="76">
        <f t="shared" si="369"/>
        <v>7.3394495412844041</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ht="15" x14ac:dyDescent="0.25">
      <c r="A309" s="8" t="s">
        <v>22</v>
      </c>
      <c r="B309" s="9" t="s">
        <v>232</v>
      </c>
      <c r="C309" s="7"/>
      <c r="D309" s="7"/>
      <c r="E309" s="7"/>
      <c r="F309" s="71">
        <v>0</v>
      </c>
      <c r="G309" s="51">
        <f t="shared" si="397"/>
        <v>4</v>
      </c>
      <c r="H309" s="52">
        <f t="shared" si="398"/>
        <v>10.526315789473683</v>
      </c>
      <c r="I309" s="53">
        <f>COUNTIFS('00 Encuesta'!$B$2:$B$511,"*b)*",'00 Encuesta'!$C$2:$C$511,"*a)*",'00 Encuesta'!$E$2:$E$511,"*a)*",'00 Encuesta'!$AM$2:$AM$511,"*e)*")</f>
        <v>1</v>
      </c>
      <c r="J309" s="52">
        <f t="shared" si="399"/>
        <v>4.7619047619047619</v>
      </c>
      <c r="K309" s="53">
        <f>COUNTIFS('00 Encuesta'!$B$2:$B$511,"*b)*",'00 Encuesta'!$C$2:$C$511,"*a)*",'00 Encuesta'!$E$2:$E$511,"*b)*",'00 Encuesta'!$AM$2:$AM$511,"*e)*")</f>
        <v>3</v>
      </c>
      <c r="L309" s="52">
        <f t="shared" si="400"/>
        <v>17.647058823529413</v>
      </c>
      <c r="M309" s="23"/>
      <c r="N309" s="51">
        <f t="shared" si="401"/>
        <v>3</v>
      </c>
      <c r="O309" s="52">
        <f t="shared" si="402"/>
        <v>9.375</v>
      </c>
      <c r="P309" s="53">
        <f>COUNTIFS('00 Encuesta'!$B$2:$B$511,"*b)*",'00 Encuesta'!$C$2:$C$511,"*b)*",'00 Encuesta'!$E$2:$E$511,"*a)*",'00 Encuesta'!$AM$2:$AM$511,"*e)*")</f>
        <v>2</v>
      </c>
      <c r="Q309" s="52">
        <f t="shared" si="403"/>
        <v>11.76470588235294</v>
      </c>
      <c r="R309" s="53">
        <f>COUNTIFS('00 Encuesta'!$B$2:$B$511,"*b)*",'00 Encuesta'!$C$2:$C$511,"*b)*",'00 Encuesta'!$E$2:$E$511,"*b)*",'00 Encuesta'!$AM$2:$AM$511,"*e)*")</f>
        <v>1</v>
      </c>
      <c r="S309" s="52">
        <f t="shared" si="404"/>
        <v>6.666666666666667</v>
      </c>
      <c r="T309" s="3"/>
      <c r="U309" s="51">
        <f t="shared" si="405"/>
        <v>8</v>
      </c>
      <c r="V309" s="52">
        <f t="shared" si="406"/>
        <v>20.512820512820511</v>
      </c>
      <c r="W309" s="53">
        <f>COUNTIFS('00 Encuesta'!$B$2:$B$511,"*b)*",'00 Encuesta'!$C$2:$C$511,"*c)*",'00 Encuesta'!$E$2:$E$511,"*a)*",'00 Encuesta'!$AM$2:$AM$511,"*e)*")</f>
        <v>6</v>
      </c>
      <c r="X309" s="52">
        <f t="shared" si="407"/>
        <v>28.571428571428569</v>
      </c>
      <c r="Y309" s="53">
        <f>COUNTIFS('00 Encuesta'!$B$2:$B$511,"*b)*",'00 Encuesta'!$C$2:$C$511,"*c)*",'00 Encuesta'!$E$2:$E$511,"*b)*",'00 Encuesta'!$AM$2:$AM$511,"*e)*")</f>
        <v>2</v>
      </c>
      <c r="Z309" s="52">
        <f t="shared" si="408"/>
        <v>11.111111111111111</v>
      </c>
      <c r="AA309" s="3"/>
      <c r="AB309" s="62">
        <f t="shared" si="409"/>
        <v>15</v>
      </c>
      <c r="AC309" s="52">
        <f t="shared" si="410"/>
        <v>13.761467889908257</v>
      </c>
      <c r="AD309" s="3"/>
      <c r="AE309" s="3"/>
      <c r="AF309" s="9" t="str">
        <f t="shared" si="411"/>
        <v>e) Muy mala</v>
      </c>
      <c r="AG309" s="72">
        <f t="shared" si="412"/>
        <v>4.7619047619047619</v>
      </c>
      <c r="AH309" s="72">
        <f t="shared" si="413"/>
        <v>17.647058823529413</v>
      </c>
      <c r="AI309" s="73">
        <f t="shared" si="414"/>
        <v>10.526315789473683</v>
      </c>
      <c r="AJ309" s="73"/>
      <c r="AK309" s="76">
        <f t="shared" si="415"/>
        <v>11.76470588235294</v>
      </c>
      <c r="AL309" s="76">
        <f t="shared" si="416"/>
        <v>6.666666666666667</v>
      </c>
      <c r="AM309" s="76">
        <f t="shared" si="417"/>
        <v>9.375</v>
      </c>
      <c r="AN309" s="76"/>
      <c r="AO309" s="81">
        <f t="shared" si="418"/>
        <v>28.571428571428569</v>
      </c>
      <c r="AP309" s="81">
        <f t="shared" si="419"/>
        <v>11.111111111111111</v>
      </c>
      <c r="AQ309" s="81">
        <f t="shared" si="420"/>
        <v>20.512820512820511</v>
      </c>
      <c r="AR309" s="3"/>
      <c r="AS309" s="76">
        <f t="shared" si="369"/>
        <v>13.761467889908257</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ht="15" x14ac:dyDescent="0.25">
      <c r="A310" s="8" t="s">
        <v>45</v>
      </c>
      <c r="B310" s="9" t="s">
        <v>233</v>
      </c>
      <c r="C310" s="7"/>
      <c r="D310" s="7"/>
      <c r="E310" s="7"/>
      <c r="F310" s="71"/>
      <c r="G310" s="51">
        <f t="shared" si="397"/>
        <v>3</v>
      </c>
      <c r="H310" s="52">
        <f t="shared" si="398"/>
        <v>7.8947368421052628</v>
      </c>
      <c r="I310" s="53">
        <f>COUNTIFS('00 Encuesta'!$B$2:$B$511,"*b)*",'00 Encuesta'!$C$2:$C$511,"*a)*",'00 Encuesta'!$E$2:$E$511,"*a)*",'00 Encuesta'!$AM$2:$AM$511,"*f)*")</f>
        <v>2</v>
      </c>
      <c r="J310" s="52">
        <f t="shared" si="399"/>
        <v>9.5238095238095237</v>
      </c>
      <c r="K310" s="53">
        <f>COUNTIFS('00 Encuesta'!$B$2:$B$511,"*b)*",'00 Encuesta'!$C$2:$C$511,"*a)*",'00 Encuesta'!$E$2:$E$511,"*b)*",'00 Encuesta'!$AM$2:$AM$511,"*f)*")</f>
        <v>1</v>
      </c>
      <c r="L310" s="52">
        <f t="shared" si="400"/>
        <v>5.8823529411764701</v>
      </c>
      <c r="M310" s="23"/>
      <c r="N310" s="51">
        <f t="shared" si="401"/>
        <v>3</v>
      </c>
      <c r="O310" s="52">
        <f t="shared" si="402"/>
        <v>9.375</v>
      </c>
      <c r="P310" s="53">
        <f>COUNTIFS('00 Encuesta'!$B$2:$B$511,"*b)*",'00 Encuesta'!$C$2:$C$511,"*b)*",'00 Encuesta'!$E$2:$E$511,"*a)*",'00 Encuesta'!$AM$2:$AM$511,"*f)*")</f>
        <v>0</v>
      </c>
      <c r="Q310" s="52">
        <f t="shared" si="403"/>
        <v>0</v>
      </c>
      <c r="R310" s="53">
        <f>COUNTIFS('00 Encuesta'!$B$2:$B$511,"*b)*",'00 Encuesta'!$C$2:$C$511,"*b)*",'00 Encuesta'!$E$2:$E$511,"*b)*",'00 Encuesta'!$AM$2:$AM$511,"*f)*")</f>
        <v>3</v>
      </c>
      <c r="S310" s="52">
        <f t="shared" si="404"/>
        <v>20</v>
      </c>
      <c r="T310" s="3"/>
      <c r="U310" s="51">
        <f t="shared" si="405"/>
        <v>7</v>
      </c>
      <c r="V310" s="52">
        <f t="shared" si="406"/>
        <v>17.948717948717949</v>
      </c>
      <c r="W310" s="53">
        <f>COUNTIFS('00 Encuesta'!$B$2:$B$511,"*b)*",'00 Encuesta'!$C$2:$C$511,"*c)*",'00 Encuesta'!$E$2:$E$511,"*a)*",'00 Encuesta'!$AM$2:$AM$511,"*f)*")</f>
        <v>3</v>
      </c>
      <c r="X310" s="52">
        <f t="shared" si="407"/>
        <v>14.285714285714285</v>
      </c>
      <c r="Y310" s="53">
        <f>COUNTIFS('00 Encuesta'!$B$2:$B$511,"*b)*",'00 Encuesta'!$C$2:$C$511,"*c)*",'00 Encuesta'!$E$2:$E$511,"*b)*",'00 Encuesta'!$AM$2:$AM$511,"*f)*")</f>
        <v>4</v>
      </c>
      <c r="Z310" s="52">
        <f t="shared" si="408"/>
        <v>22.222222222222221</v>
      </c>
      <c r="AA310" s="3"/>
      <c r="AB310" s="62">
        <f t="shared" si="409"/>
        <v>13</v>
      </c>
      <c r="AC310" s="52">
        <f t="shared" si="410"/>
        <v>11.926605504587156</v>
      </c>
      <c r="AD310" s="3"/>
      <c r="AE310" s="3"/>
      <c r="AF310" s="9" t="str">
        <f t="shared" si="411"/>
        <v>f) No aplica</v>
      </c>
      <c r="AG310" s="72">
        <f t="shared" si="412"/>
        <v>9.5238095238095237</v>
      </c>
      <c r="AH310" s="72">
        <f t="shared" si="413"/>
        <v>5.8823529411764701</v>
      </c>
      <c r="AI310" s="73">
        <f t="shared" si="414"/>
        <v>7.8947368421052628</v>
      </c>
      <c r="AJ310" s="73"/>
      <c r="AK310" s="76">
        <f t="shared" si="415"/>
        <v>0</v>
      </c>
      <c r="AL310" s="76">
        <f t="shared" si="416"/>
        <v>20</v>
      </c>
      <c r="AM310" s="76">
        <f t="shared" si="417"/>
        <v>9.375</v>
      </c>
      <c r="AN310" s="76"/>
      <c r="AO310" s="81">
        <f t="shared" si="418"/>
        <v>14.285714285714285</v>
      </c>
      <c r="AP310" s="81">
        <f t="shared" si="419"/>
        <v>22.222222222222221</v>
      </c>
      <c r="AQ310" s="81">
        <f t="shared" si="420"/>
        <v>17.948717948717949</v>
      </c>
      <c r="AR310" s="3"/>
      <c r="AS310" s="76">
        <f t="shared" si="369"/>
        <v>11.926605504587156</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ht="15" x14ac:dyDescent="0.25">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67.647058823529406</v>
      </c>
      <c r="AH311" s="82">
        <f>($F305*K305+$F306*K306+$F307*K307+$F308*K308+$F309*K309)/(K305+K306+K307+K308+K309)</f>
        <v>51.666666666666664</v>
      </c>
      <c r="AI311" s="82">
        <f>($F305*G305+$F306*G306+$F307*G307+$F308*G308+$F309*G309)/(G305+G306+G307+G308+G309)</f>
        <v>60.15625</v>
      </c>
      <c r="AJ311" s="82"/>
      <c r="AK311" s="82">
        <f>($F305*Q305+$F306*Q306+$F307*Q307+$F308*Q308+$F309*Q309)/(Q305+Q306+Q307+Q308+Q309)</f>
        <v>48.076923076923073</v>
      </c>
      <c r="AL311" s="82">
        <f>($F305*S305+$F306*S306+$F307*S307+$F308*S308+$F309*S309)/(S305+S306+S307+S308+S309)</f>
        <v>50</v>
      </c>
      <c r="AM311" s="82">
        <f>($F305*O305+$F306*O306+$F307*O307+$F308*O308+$F309*O309)/(O305+O306+O307+O308+O309)</f>
        <v>49</v>
      </c>
      <c r="AN311" s="82"/>
      <c r="AO311" s="82">
        <f>($F305*W305+$F306*W306+$F307*W307+$F308*W308+$F309*W309)/(W305+W306+W307+W308+W309)</f>
        <v>45.833333333333336</v>
      </c>
      <c r="AP311" s="82">
        <f>($F305*Y305+$F306*Y306+$F307*Y307+$F308*Y308+$F309*Y309)/(Y305+Y306+Y307+Y308+Y309)</f>
        <v>35.714285714285715</v>
      </c>
      <c r="AQ311" s="82">
        <f>($F305*U305+$F306*U306+$F307*U307+$F308*U308+$F309*U309)/(U305+U306+U307+U308+U309)</f>
        <v>41.40625</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ht="15" x14ac:dyDescent="0.25">
      <c r="A313" s="8" t="s">
        <v>17</v>
      </c>
      <c r="B313" s="9" t="s">
        <v>229</v>
      </c>
      <c r="C313" s="7"/>
      <c r="D313" s="7"/>
      <c r="E313" s="7"/>
      <c r="F313" s="71">
        <v>100</v>
      </c>
      <c r="G313" s="51">
        <f t="shared" ref="G313:G318" si="421">I313+K313</f>
        <v>4</v>
      </c>
      <c r="H313" s="52">
        <f t="shared" ref="H313:H318" si="422">G313/$J$5*100</f>
        <v>10.526315789473683</v>
      </c>
      <c r="I313" s="53">
        <f>COUNTIFS('00 Encuesta'!$B$2:$B$511,"*b)*",'00 Encuesta'!$C$2:$C$511,"*a)*",'00 Encuesta'!$E$2:$E$511,"*a)*",'00 Encuesta'!$AN$2:$AN$511,"*a)*")</f>
        <v>3</v>
      </c>
      <c r="J313" s="52">
        <f t="shared" ref="J313:J318" si="423">I313/$J$6*100</f>
        <v>14.285714285714285</v>
      </c>
      <c r="K313" s="53">
        <f>COUNTIFS('00 Encuesta'!$B$2:$B$511,"*b)*",'00 Encuesta'!$C$2:$C$511,"*a)*",'00 Encuesta'!$E$2:$E$511,"*b)*",'00 Encuesta'!$AN$2:$AN$511,"*a)*")</f>
        <v>1</v>
      </c>
      <c r="L313" s="52">
        <f t="shared" ref="L313:L318" si="424">K313/$J$7*100</f>
        <v>5.8823529411764701</v>
      </c>
      <c r="M313" s="23"/>
      <c r="N313" s="51">
        <f t="shared" ref="N313:N318" si="425">P313+R313</f>
        <v>0</v>
      </c>
      <c r="O313" s="52">
        <f t="shared" ref="O313:O318" si="426">N313/$Q$5*100</f>
        <v>0</v>
      </c>
      <c r="P313" s="53">
        <f>COUNTIFS('00 Encuesta'!$B$2:$B$511,"*b)*",'00 Encuesta'!$C$2:$C$511,"*b)*",'00 Encuesta'!$E$2:$E$511,"*a)*",'00 Encuesta'!$AN$2:$AN$511,"*a)*")</f>
        <v>0</v>
      </c>
      <c r="Q313" s="52">
        <f t="shared" ref="Q313:Q318" si="427">P313/$Q$6*100</f>
        <v>0</v>
      </c>
      <c r="R313" s="53">
        <f>COUNTIFS('00 Encuesta'!$B$2:$B$511,"*b)*",'00 Encuesta'!$C$2:$C$511,"*b)*",'00 Encuesta'!$E$2:$E$511,"*b)*",'00 Encuesta'!$AN$2:$AN$511,"*a)*")</f>
        <v>0</v>
      </c>
      <c r="S313" s="52">
        <f t="shared" ref="S313:S318" si="428">R313/$Q$7*100</f>
        <v>0</v>
      </c>
      <c r="T313" s="3"/>
      <c r="U313" s="51">
        <f t="shared" ref="U313:U318" si="429">W313+Y313</f>
        <v>5</v>
      </c>
      <c r="V313" s="52">
        <f t="shared" ref="V313:V318" si="430">U313/$X$5*100</f>
        <v>12.820512820512819</v>
      </c>
      <c r="W313" s="53">
        <f>COUNTIFS('00 Encuesta'!$B$2:$B$511,"*b)*",'00 Encuesta'!$C$2:$C$511,"*c)*",'00 Encuesta'!$E$2:$E$511,"*a)*",'00 Encuesta'!$AN$2:$AN$511,"*a)*")</f>
        <v>5</v>
      </c>
      <c r="X313" s="52">
        <f t="shared" ref="X313:X318" si="431">W313/$X$6*100</f>
        <v>23.809523809523807</v>
      </c>
      <c r="Y313" s="53">
        <f>COUNTIFS('00 Encuesta'!$B$2:$B$511,"*b)*",'00 Encuesta'!$C$2:$C$511,"*c)*",'00 Encuesta'!$E$2:$E$511,"*b)*",'00 Encuesta'!$AN$2:$AN$511,"*a)*")</f>
        <v>0</v>
      </c>
      <c r="Z313" s="52">
        <f t="shared" ref="Z313:Z318" si="432">Y313/$X$7*100</f>
        <v>0</v>
      </c>
      <c r="AA313" s="3"/>
      <c r="AB313" s="62">
        <f t="shared" ref="AB313:AB318" si="433">G313+N313+U313</f>
        <v>9</v>
      </c>
      <c r="AC313" s="52">
        <f t="shared" ref="AC313:AC318" si="434">AB313*100/$AC$5</f>
        <v>8.2568807339449535</v>
      </c>
      <c r="AD313" s="3"/>
      <c r="AE313" s="3"/>
      <c r="AF313" s="9" t="str">
        <f t="shared" ref="AF313:AF318" si="435">A313&amp;" "&amp;B313</f>
        <v>a) Muy buena</v>
      </c>
      <c r="AG313" s="72">
        <f t="shared" ref="AG313:AG318" si="436">J313</f>
        <v>14.285714285714285</v>
      </c>
      <c r="AH313" s="72">
        <f t="shared" ref="AH313:AH318" si="437">L313</f>
        <v>5.8823529411764701</v>
      </c>
      <c r="AI313" s="73">
        <f t="shared" ref="AI313:AI318" si="438">H313</f>
        <v>10.526315789473683</v>
      </c>
      <c r="AJ313" s="73"/>
      <c r="AK313" s="76">
        <f t="shared" ref="AK313:AK318" si="439">Q313</f>
        <v>0</v>
      </c>
      <c r="AL313" s="76">
        <f t="shared" ref="AL313:AL318" si="440">S313</f>
        <v>0</v>
      </c>
      <c r="AM313" s="76">
        <f t="shared" ref="AM313:AM318" si="441">O313</f>
        <v>0</v>
      </c>
      <c r="AN313" s="76"/>
      <c r="AO313" s="81">
        <f t="shared" ref="AO313:AO318" si="442">X313</f>
        <v>23.809523809523807</v>
      </c>
      <c r="AP313" s="81">
        <f t="shared" ref="AP313:AP318" si="443">Z313</f>
        <v>0</v>
      </c>
      <c r="AQ313" s="81">
        <f t="shared" ref="AQ313:AQ318" si="444">V313</f>
        <v>12.820512820512819</v>
      </c>
      <c r="AR313" s="3"/>
      <c r="AS313" s="76">
        <f t="shared" ref="AS313:AS318" si="445">AC313</f>
        <v>8.2568807339449535</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ht="15" x14ac:dyDescent="0.25">
      <c r="A314" s="8" t="s">
        <v>18</v>
      </c>
      <c r="B314" s="9" t="s">
        <v>230</v>
      </c>
      <c r="C314" s="7"/>
      <c r="D314" s="7"/>
      <c r="E314" s="7"/>
      <c r="F314" s="71">
        <v>75</v>
      </c>
      <c r="G314" s="51">
        <f t="shared" si="421"/>
        <v>15</v>
      </c>
      <c r="H314" s="52">
        <f t="shared" si="422"/>
        <v>39.473684210526315</v>
      </c>
      <c r="I314" s="53">
        <f>COUNTIFS('00 Encuesta'!$B$2:$B$511,"*b)*",'00 Encuesta'!$C$2:$C$511,"*a)*",'00 Encuesta'!$E$2:$E$511,"*a)*",'00 Encuesta'!$AN$2:$AN$511,"*b)*")</f>
        <v>8</v>
      </c>
      <c r="J314" s="52">
        <f t="shared" si="423"/>
        <v>38.095238095238095</v>
      </c>
      <c r="K314" s="53">
        <f>COUNTIFS('00 Encuesta'!$B$2:$B$511,"*b)*",'00 Encuesta'!$C$2:$C$511,"*a)*",'00 Encuesta'!$E$2:$E$511,"*b)*",'00 Encuesta'!$AN$2:$AN$511,"*b)*")</f>
        <v>7</v>
      </c>
      <c r="L314" s="52">
        <f t="shared" si="424"/>
        <v>41.17647058823529</v>
      </c>
      <c r="M314" s="23"/>
      <c r="N314" s="51">
        <f t="shared" si="425"/>
        <v>6</v>
      </c>
      <c r="O314" s="52">
        <f t="shared" si="426"/>
        <v>18.75</v>
      </c>
      <c r="P314" s="53">
        <f>COUNTIFS('00 Encuesta'!$B$2:$B$511,"*b)*",'00 Encuesta'!$C$2:$C$511,"*b)*",'00 Encuesta'!$E$2:$E$511,"*a)*",'00 Encuesta'!$AN$2:$AN$511,"*b)*")</f>
        <v>4</v>
      </c>
      <c r="Q314" s="52">
        <f t="shared" si="427"/>
        <v>23.52941176470588</v>
      </c>
      <c r="R314" s="53">
        <f>COUNTIFS('00 Encuesta'!$B$2:$B$511,"*b)*",'00 Encuesta'!$C$2:$C$511,"*b)*",'00 Encuesta'!$E$2:$E$511,"*b)*",'00 Encuesta'!$AN$2:$AN$511,"*b)*")</f>
        <v>2</v>
      </c>
      <c r="S314" s="52">
        <f t="shared" si="428"/>
        <v>13.333333333333334</v>
      </c>
      <c r="T314" s="3"/>
      <c r="U314" s="51">
        <f t="shared" si="429"/>
        <v>7</v>
      </c>
      <c r="V314" s="52">
        <f t="shared" si="430"/>
        <v>17.948717948717949</v>
      </c>
      <c r="W314" s="53">
        <f>COUNTIFS('00 Encuesta'!$B$2:$B$511,"*b)*",'00 Encuesta'!$C$2:$C$511,"*c)*",'00 Encuesta'!$E$2:$E$511,"*a)*",'00 Encuesta'!$AN$2:$AN$511,"*b)*")</f>
        <v>4</v>
      </c>
      <c r="X314" s="52">
        <f t="shared" si="431"/>
        <v>19.047619047619047</v>
      </c>
      <c r="Y314" s="53">
        <f>COUNTIFS('00 Encuesta'!$B$2:$B$511,"*b)*",'00 Encuesta'!$C$2:$C$511,"*c)*",'00 Encuesta'!$E$2:$E$511,"*b)*",'00 Encuesta'!$AN$2:$AN$511,"*b)*")</f>
        <v>3</v>
      </c>
      <c r="Z314" s="52">
        <f t="shared" si="432"/>
        <v>16.666666666666664</v>
      </c>
      <c r="AA314" s="3"/>
      <c r="AB314" s="62">
        <f t="shared" si="433"/>
        <v>28</v>
      </c>
      <c r="AC314" s="52">
        <f t="shared" si="434"/>
        <v>25.688073394495412</v>
      </c>
      <c r="AD314" s="3"/>
      <c r="AE314" s="3"/>
      <c r="AF314" s="9" t="str">
        <f t="shared" si="435"/>
        <v>b) Buena</v>
      </c>
      <c r="AG314" s="72">
        <f t="shared" si="436"/>
        <v>38.095238095238095</v>
      </c>
      <c r="AH314" s="72">
        <f t="shared" si="437"/>
        <v>41.17647058823529</v>
      </c>
      <c r="AI314" s="73">
        <f t="shared" si="438"/>
        <v>39.473684210526315</v>
      </c>
      <c r="AJ314" s="73"/>
      <c r="AK314" s="76">
        <f t="shared" si="439"/>
        <v>23.52941176470588</v>
      </c>
      <c r="AL314" s="76">
        <f t="shared" si="440"/>
        <v>13.333333333333334</v>
      </c>
      <c r="AM314" s="76">
        <f t="shared" si="441"/>
        <v>18.75</v>
      </c>
      <c r="AN314" s="76"/>
      <c r="AO314" s="81">
        <f t="shared" si="442"/>
        <v>19.047619047619047</v>
      </c>
      <c r="AP314" s="81">
        <f t="shared" si="443"/>
        <v>16.666666666666664</v>
      </c>
      <c r="AQ314" s="81">
        <f t="shared" si="444"/>
        <v>17.948717948717949</v>
      </c>
      <c r="AR314" s="3"/>
      <c r="AS314" s="76">
        <f t="shared" si="445"/>
        <v>25.688073394495412</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ht="15" x14ac:dyDescent="0.25">
      <c r="A315" s="8" t="s">
        <v>20</v>
      </c>
      <c r="B315" s="9" t="s">
        <v>218</v>
      </c>
      <c r="C315" s="7"/>
      <c r="D315" s="7"/>
      <c r="E315" s="7"/>
      <c r="F315" s="71">
        <v>50</v>
      </c>
      <c r="G315" s="51">
        <f t="shared" si="421"/>
        <v>9</v>
      </c>
      <c r="H315" s="52">
        <f t="shared" si="422"/>
        <v>23.684210526315788</v>
      </c>
      <c r="I315" s="53">
        <f>COUNTIFS('00 Encuesta'!$B$2:$B$511,"*b)*",'00 Encuesta'!$C$2:$C$511,"*a)*",'00 Encuesta'!$E$2:$E$511,"*a)*",'00 Encuesta'!$AN$2:$AN$511,"*c)*")</f>
        <v>5</v>
      </c>
      <c r="J315" s="52">
        <f t="shared" si="423"/>
        <v>23.809523809523807</v>
      </c>
      <c r="K315" s="53">
        <f>COUNTIFS('00 Encuesta'!$B$2:$B$511,"*b)*",'00 Encuesta'!$C$2:$C$511,"*a)*",'00 Encuesta'!$E$2:$E$511,"*b)*",'00 Encuesta'!$AN$2:$AN$511,"*c)*")</f>
        <v>4</v>
      </c>
      <c r="L315" s="52">
        <f t="shared" si="424"/>
        <v>23.52941176470588</v>
      </c>
      <c r="M315" s="23"/>
      <c r="N315" s="51">
        <f t="shared" si="425"/>
        <v>13</v>
      </c>
      <c r="O315" s="52">
        <f t="shared" si="426"/>
        <v>40.625</v>
      </c>
      <c r="P315" s="53">
        <f>COUNTIFS('00 Encuesta'!$B$2:$B$511,"*b)*",'00 Encuesta'!$C$2:$C$511,"*b)*",'00 Encuesta'!$E$2:$E$511,"*a)*",'00 Encuesta'!$AN$2:$AN$511,"*c)*")</f>
        <v>5</v>
      </c>
      <c r="Q315" s="52">
        <f t="shared" si="427"/>
        <v>29.411764705882355</v>
      </c>
      <c r="R315" s="53">
        <f>COUNTIFS('00 Encuesta'!$B$2:$B$511,"*b)*",'00 Encuesta'!$C$2:$C$511,"*b)*",'00 Encuesta'!$E$2:$E$511,"*b)*",'00 Encuesta'!$AN$2:$AN$511,"*c)*")</f>
        <v>8</v>
      </c>
      <c r="S315" s="52">
        <f t="shared" si="428"/>
        <v>53.333333333333336</v>
      </c>
      <c r="T315" s="3"/>
      <c r="U315" s="51">
        <f t="shared" si="429"/>
        <v>12</v>
      </c>
      <c r="V315" s="52">
        <f t="shared" si="430"/>
        <v>30.76923076923077</v>
      </c>
      <c r="W315" s="53">
        <f>COUNTIFS('00 Encuesta'!$B$2:$B$511,"*b)*",'00 Encuesta'!$C$2:$C$511,"*c)*",'00 Encuesta'!$E$2:$E$511,"*a)*",'00 Encuesta'!$AN$2:$AN$511,"*c)*")</f>
        <v>4</v>
      </c>
      <c r="X315" s="52">
        <f t="shared" si="431"/>
        <v>19.047619047619047</v>
      </c>
      <c r="Y315" s="53">
        <f>COUNTIFS('00 Encuesta'!$B$2:$B$511,"*b)*",'00 Encuesta'!$C$2:$C$511,"*c)*",'00 Encuesta'!$E$2:$E$511,"*b)*",'00 Encuesta'!$AN$2:$AN$511,"*c)*")</f>
        <v>8</v>
      </c>
      <c r="Z315" s="52">
        <f t="shared" si="432"/>
        <v>44.444444444444443</v>
      </c>
      <c r="AA315" s="3"/>
      <c r="AB315" s="62">
        <f t="shared" si="433"/>
        <v>34</v>
      </c>
      <c r="AC315" s="52">
        <f t="shared" si="434"/>
        <v>31.192660550458715</v>
      </c>
      <c r="AD315" s="3"/>
      <c r="AE315" s="3"/>
      <c r="AF315" s="9" t="str">
        <f t="shared" si="435"/>
        <v>c) Regular</v>
      </c>
      <c r="AG315" s="72">
        <f t="shared" si="436"/>
        <v>23.809523809523807</v>
      </c>
      <c r="AH315" s="72">
        <f t="shared" si="437"/>
        <v>23.52941176470588</v>
      </c>
      <c r="AI315" s="73">
        <f t="shared" si="438"/>
        <v>23.684210526315788</v>
      </c>
      <c r="AJ315" s="73"/>
      <c r="AK315" s="76">
        <f t="shared" si="439"/>
        <v>29.411764705882355</v>
      </c>
      <c r="AL315" s="76">
        <f t="shared" si="440"/>
        <v>53.333333333333336</v>
      </c>
      <c r="AM315" s="76">
        <f t="shared" si="441"/>
        <v>40.625</v>
      </c>
      <c r="AN315" s="76"/>
      <c r="AO315" s="81">
        <f t="shared" si="442"/>
        <v>19.047619047619047</v>
      </c>
      <c r="AP315" s="81">
        <f t="shared" si="443"/>
        <v>44.444444444444443</v>
      </c>
      <c r="AQ315" s="81">
        <f t="shared" si="444"/>
        <v>30.76923076923077</v>
      </c>
      <c r="AR315" s="3"/>
      <c r="AS315" s="76">
        <f t="shared" si="445"/>
        <v>31.192660550458715</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ht="15" x14ac:dyDescent="0.25">
      <c r="A316" s="8" t="s">
        <v>21</v>
      </c>
      <c r="B316" s="9" t="s">
        <v>231</v>
      </c>
      <c r="C316" s="7"/>
      <c r="D316" s="7"/>
      <c r="E316" s="7"/>
      <c r="F316" s="71">
        <v>25</v>
      </c>
      <c r="G316" s="51">
        <f t="shared" si="421"/>
        <v>0</v>
      </c>
      <c r="H316" s="52">
        <f t="shared" si="422"/>
        <v>0</v>
      </c>
      <c r="I316" s="53">
        <f>COUNTIFS('00 Encuesta'!$B$2:$B$511,"*b)*",'00 Encuesta'!$C$2:$C$511,"*a)*",'00 Encuesta'!$E$2:$E$511,"*a)*",'00 Encuesta'!$AN$2:$AN$511,"*d)*")</f>
        <v>0</v>
      </c>
      <c r="J316" s="52">
        <f t="shared" si="423"/>
        <v>0</v>
      </c>
      <c r="K316" s="53">
        <f>COUNTIFS('00 Encuesta'!$B$2:$B$511,"*b)*",'00 Encuesta'!$C$2:$C$511,"*a)*",'00 Encuesta'!$E$2:$E$511,"*b)*",'00 Encuesta'!$AN$2:$AN$511,"*d)*")</f>
        <v>0</v>
      </c>
      <c r="L316" s="52">
        <f t="shared" si="424"/>
        <v>0</v>
      </c>
      <c r="M316" s="23"/>
      <c r="N316" s="51">
        <f t="shared" si="425"/>
        <v>3</v>
      </c>
      <c r="O316" s="52">
        <f t="shared" si="426"/>
        <v>9.375</v>
      </c>
      <c r="P316" s="53">
        <f>COUNTIFS('00 Encuesta'!$B$2:$B$511,"*b)*",'00 Encuesta'!$C$2:$C$511,"*b)*",'00 Encuesta'!$E$2:$E$511,"*a)*",'00 Encuesta'!$AN$2:$AN$511,"*d)*")</f>
        <v>2</v>
      </c>
      <c r="Q316" s="52">
        <f t="shared" si="427"/>
        <v>11.76470588235294</v>
      </c>
      <c r="R316" s="53">
        <f>COUNTIFS('00 Encuesta'!$B$2:$B$511,"*b)*",'00 Encuesta'!$C$2:$C$511,"*b)*",'00 Encuesta'!$E$2:$E$511,"*b)*",'00 Encuesta'!$AN$2:$AN$511,"*d)*")</f>
        <v>1</v>
      </c>
      <c r="S316" s="52">
        <f t="shared" si="428"/>
        <v>6.666666666666667</v>
      </c>
      <c r="T316" s="3"/>
      <c r="U316" s="51">
        <f t="shared" si="429"/>
        <v>3</v>
      </c>
      <c r="V316" s="52">
        <f t="shared" si="430"/>
        <v>7.6923076923076925</v>
      </c>
      <c r="W316" s="53">
        <f>COUNTIFS('00 Encuesta'!$B$2:$B$511,"*b)*",'00 Encuesta'!$C$2:$C$511,"*c)*",'00 Encuesta'!$E$2:$E$511,"*a)*",'00 Encuesta'!$AN$2:$AN$511,"*d)*")</f>
        <v>1</v>
      </c>
      <c r="X316" s="52">
        <f t="shared" si="431"/>
        <v>4.7619047619047619</v>
      </c>
      <c r="Y316" s="53">
        <f>COUNTIFS('00 Encuesta'!$B$2:$B$511,"*b)*",'00 Encuesta'!$C$2:$C$511,"*c)*",'00 Encuesta'!$E$2:$E$511,"*b)*",'00 Encuesta'!$AN$2:$AN$511,"*d)*")</f>
        <v>2</v>
      </c>
      <c r="Z316" s="52">
        <f t="shared" si="432"/>
        <v>11.111111111111111</v>
      </c>
      <c r="AA316" s="3"/>
      <c r="AB316" s="62">
        <f t="shared" si="433"/>
        <v>6</v>
      </c>
      <c r="AC316" s="52">
        <f t="shared" si="434"/>
        <v>5.5045871559633026</v>
      </c>
      <c r="AD316" s="3"/>
      <c r="AE316" s="3"/>
      <c r="AF316" s="9" t="str">
        <f t="shared" si="435"/>
        <v>d) Mala</v>
      </c>
      <c r="AG316" s="72">
        <f t="shared" si="436"/>
        <v>0</v>
      </c>
      <c r="AH316" s="72">
        <f t="shared" si="437"/>
        <v>0</v>
      </c>
      <c r="AI316" s="73">
        <f t="shared" si="438"/>
        <v>0</v>
      </c>
      <c r="AJ316" s="73"/>
      <c r="AK316" s="76">
        <f t="shared" si="439"/>
        <v>11.76470588235294</v>
      </c>
      <c r="AL316" s="76">
        <f t="shared" si="440"/>
        <v>6.666666666666667</v>
      </c>
      <c r="AM316" s="76">
        <f t="shared" si="441"/>
        <v>9.375</v>
      </c>
      <c r="AN316" s="76"/>
      <c r="AO316" s="81">
        <f t="shared" si="442"/>
        <v>4.7619047619047619</v>
      </c>
      <c r="AP316" s="81">
        <f t="shared" si="443"/>
        <v>11.111111111111111</v>
      </c>
      <c r="AQ316" s="81">
        <f t="shared" si="444"/>
        <v>7.6923076923076925</v>
      </c>
      <c r="AR316" s="3"/>
      <c r="AS316" s="76">
        <f t="shared" si="445"/>
        <v>5.5045871559633026</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ht="15" x14ac:dyDescent="0.25">
      <c r="A317" s="8" t="s">
        <v>22</v>
      </c>
      <c r="B317" s="9" t="s">
        <v>232</v>
      </c>
      <c r="C317" s="7"/>
      <c r="D317" s="7"/>
      <c r="E317" s="7"/>
      <c r="F317" s="71">
        <v>0</v>
      </c>
      <c r="G317" s="51">
        <f t="shared" si="421"/>
        <v>5</v>
      </c>
      <c r="H317" s="52">
        <f t="shared" si="422"/>
        <v>13.157894736842104</v>
      </c>
      <c r="I317" s="53">
        <f>COUNTIFS('00 Encuesta'!$B$2:$B$511,"*b)*",'00 Encuesta'!$C$2:$C$511,"*a)*",'00 Encuesta'!$E$2:$E$511,"*a)*",'00 Encuesta'!$AN$2:$AN$511,"*e)*")</f>
        <v>2</v>
      </c>
      <c r="J317" s="52">
        <f t="shared" si="423"/>
        <v>9.5238095238095237</v>
      </c>
      <c r="K317" s="53">
        <f>COUNTIFS('00 Encuesta'!$B$2:$B$511,"*b)*",'00 Encuesta'!$C$2:$C$511,"*a)*",'00 Encuesta'!$E$2:$E$511,"*b)*",'00 Encuesta'!$AN$2:$AN$511,"*e)*")</f>
        <v>3</v>
      </c>
      <c r="L317" s="52">
        <f t="shared" si="424"/>
        <v>17.647058823529413</v>
      </c>
      <c r="M317" s="23"/>
      <c r="N317" s="51">
        <f t="shared" si="425"/>
        <v>2</v>
      </c>
      <c r="O317" s="52">
        <f t="shared" si="426"/>
        <v>6.25</v>
      </c>
      <c r="P317" s="53">
        <f>COUNTIFS('00 Encuesta'!$B$2:$B$511,"*b)*",'00 Encuesta'!$C$2:$C$511,"*b)*",'00 Encuesta'!$E$2:$E$511,"*a)*",'00 Encuesta'!$AN$2:$AN$511,"*e)*")</f>
        <v>1</v>
      </c>
      <c r="Q317" s="52">
        <f t="shared" si="427"/>
        <v>5.8823529411764701</v>
      </c>
      <c r="R317" s="53">
        <f>COUNTIFS('00 Encuesta'!$B$2:$B$511,"*b)*",'00 Encuesta'!$C$2:$C$511,"*b)*",'00 Encuesta'!$E$2:$E$511,"*b)*",'00 Encuesta'!$AN$2:$AN$511,"*e)*")</f>
        <v>1</v>
      </c>
      <c r="S317" s="52">
        <f t="shared" si="428"/>
        <v>6.666666666666667</v>
      </c>
      <c r="T317" s="3"/>
      <c r="U317" s="51">
        <f t="shared" si="429"/>
        <v>4</v>
      </c>
      <c r="V317" s="52">
        <f t="shared" si="430"/>
        <v>10.256410256410255</v>
      </c>
      <c r="W317" s="53">
        <f>COUNTIFS('00 Encuesta'!$B$2:$B$511,"*b)*",'00 Encuesta'!$C$2:$C$511,"*c)*",'00 Encuesta'!$E$2:$E$511,"*a)*",'00 Encuesta'!$AN$2:$AN$511,"*e)*")</f>
        <v>3</v>
      </c>
      <c r="X317" s="52">
        <f t="shared" si="431"/>
        <v>14.285714285714285</v>
      </c>
      <c r="Y317" s="53">
        <f>COUNTIFS('00 Encuesta'!$B$2:$B$511,"*b)*",'00 Encuesta'!$C$2:$C$511,"*c)*",'00 Encuesta'!$E$2:$E$511,"*b)*",'00 Encuesta'!$AN$2:$AN$511,"*e)*")</f>
        <v>1</v>
      </c>
      <c r="Z317" s="52">
        <f t="shared" si="432"/>
        <v>5.5555555555555554</v>
      </c>
      <c r="AA317" s="3"/>
      <c r="AB317" s="62">
        <f t="shared" si="433"/>
        <v>11</v>
      </c>
      <c r="AC317" s="52">
        <f t="shared" si="434"/>
        <v>10.091743119266056</v>
      </c>
      <c r="AD317" s="3"/>
      <c r="AE317" s="3"/>
      <c r="AF317" s="9" t="str">
        <f t="shared" si="435"/>
        <v>e) Muy mala</v>
      </c>
      <c r="AG317" s="72">
        <f t="shared" si="436"/>
        <v>9.5238095238095237</v>
      </c>
      <c r="AH317" s="72">
        <f t="shared" si="437"/>
        <v>17.647058823529413</v>
      </c>
      <c r="AI317" s="73">
        <f t="shared" si="438"/>
        <v>13.157894736842104</v>
      </c>
      <c r="AJ317" s="73"/>
      <c r="AK317" s="76">
        <f t="shared" si="439"/>
        <v>5.8823529411764701</v>
      </c>
      <c r="AL317" s="76">
        <f t="shared" si="440"/>
        <v>6.666666666666667</v>
      </c>
      <c r="AM317" s="76">
        <f t="shared" si="441"/>
        <v>6.25</v>
      </c>
      <c r="AN317" s="76"/>
      <c r="AO317" s="81">
        <f t="shared" si="442"/>
        <v>14.285714285714285</v>
      </c>
      <c r="AP317" s="81">
        <f t="shared" si="443"/>
        <v>5.5555555555555554</v>
      </c>
      <c r="AQ317" s="81">
        <f t="shared" si="444"/>
        <v>10.256410256410255</v>
      </c>
      <c r="AR317" s="3"/>
      <c r="AS317" s="76">
        <f t="shared" si="445"/>
        <v>10.091743119266056</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ht="15" x14ac:dyDescent="0.25">
      <c r="A318" s="8" t="s">
        <v>45</v>
      </c>
      <c r="B318" s="9" t="s">
        <v>233</v>
      </c>
      <c r="C318" s="7"/>
      <c r="D318" s="7"/>
      <c r="E318" s="7"/>
      <c r="F318" s="71"/>
      <c r="G318" s="51">
        <f t="shared" si="421"/>
        <v>2</v>
      </c>
      <c r="H318" s="52">
        <f t="shared" si="422"/>
        <v>5.2631578947368416</v>
      </c>
      <c r="I318" s="53">
        <f>COUNTIFS('00 Encuesta'!$B$2:$B$511,"*b)*",'00 Encuesta'!$C$2:$C$511,"*a)*",'00 Encuesta'!$E$2:$E$511,"*a)*",'00 Encuesta'!$AN$2:$AN$511,"*f)*")</f>
        <v>1</v>
      </c>
      <c r="J318" s="52">
        <f t="shared" si="423"/>
        <v>4.7619047619047619</v>
      </c>
      <c r="K318" s="53">
        <f>COUNTIFS('00 Encuesta'!$B$2:$B$511,"*b)*",'00 Encuesta'!$C$2:$C$511,"*a)*",'00 Encuesta'!$E$2:$E$511,"*b)*",'00 Encuesta'!$AN$2:$AN$511,"*f)*")</f>
        <v>1</v>
      </c>
      <c r="L318" s="52">
        <f t="shared" si="424"/>
        <v>5.8823529411764701</v>
      </c>
      <c r="M318" s="23"/>
      <c r="N318" s="51">
        <f t="shared" si="425"/>
        <v>3</v>
      </c>
      <c r="O318" s="52">
        <f t="shared" si="426"/>
        <v>9.375</v>
      </c>
      <c r="P318" s="53">
        <f>COUNTIFS('00 Encuesta'!$B$2:$B$511,"*b)*",'00 Encuesta'!$C$2:$C$511,"*b)*",'00 Encuesta'!$E$2:$E$511,"*a)*",'00 Encuesta'!$AN$2:$AN$511,"*f)*")</f>
        <v>0</v>
      </c>
      <c r="Q318" s="52">
        <f t="shared" si="427"/>
        <v>0</v>
      </c>
      <c r="R318" s="53">
        <f>COUNTIFS('00 Encuesta'!$B$2:$B$511,"*b)*",'00 Encuesta'!$C$2:$C$511,"*b)*",'00 Encuesta'!$E$2:$E$511,"*b)*",'00 Encuesta'!$AN$2:$AN$511,"*f)*")</f>
        <v>3</v>
      </c>
      <c r="S318" s="52">
        <f t="shared" si="428"/>
        <v>20</v>
      </c>
      <c r="T318" s="3"/>
      <c r="U318" s="51">
        <f t="shared" si="429"/>
        <v>7</v>
      </c>
      <c r="V318" s="52">
        <f t="shared" si="430"/>
        <v>17.948717948717949</v>
      </c>
      <c r="W318" s="53">
        <f>COUNTIFS('00 Encuesta'!$B$2:$B$511,"*b)*",'00 Encuesta'!$C$2:$C$511,"*c)*",'00 Encuesta'!$E$2:$E$511,"*a)*",'00 Encuesta'!$AN$2:$AN$511,"*f)*")</f>
        <v>4</v>
      </c>
      <c r="X318" s="52">
        <f t="shared" si="431"/>
        <v>19.047619047619047</v>
      </c>
      <c r="Y318" s="53">
        <f>COUNTIFS('00 Encuesta'!$B$2:$B$511,"*b)*",'00 Encuesta'!$C$2:$C$511,"*c)*",'00 Encuesta'!$E$2:$E$511,"*b)*",'00 Encuesta'!$AN$2:$AN$511,"*f)*")</f>
        <v>3</v>
      </c>
      <c r="Z318" s="52">
        <f t="shared" si="432"/>
        <v>16.666666666666664</v>
      </c>
      <c r="AA318" s="3"/>
      <c r="AB318" s="62">
        <f t="shared" si="433"/>
        <v>12</v>
      </c>
      <c r="AC318" s="52">
        <f t="shared" si="434"/>
        <v>11.009174311926605</v>
      </c>
      <c r="AD318" s="3"/>
      <c r="AE318" s="3"/>
      <c r="AF318" s="9" t="str">
        <f t="shared" si="435"/>
        <v>f) No aplica</v>
      </c>
      <c r="AG318" s="72">
        <f t="shared" si="436"/>
        <v>4.7619047619047619</v>
      </c>
      <c r="AH318" s="72">
        <f t="shared" si="437"/>
        <v>5.8823529411764701</v>
      </c>
      <c r="AI318" s="73">
        <f t="shared" si="438"/>
        <v>5.2631578947368416</v>
      </c>
      <c r="AJ318" s="73"/>
      <c r="AK318" s="76">
        <f t="shared" si="439"/>
        <v>0</v>
      </c>
      <c r="AL318" s="76">
        <f t="shared" si="440"/>
        <v>20</v>
      </c>
      <c r="AM318" s="76">
        <f t="shared" si="441"/>
        <v>9.375</v>
      </c>
      <c r="AN318" s="76"/>
      <c r="AO318" s="81">
        <f t="shared" si="442"/>
        <v>19.047619047619047</v>
      </c>
      <c r="AP318" s="81">
        <f t="shared" si="443"/>
        <v>16.666666666666664</v>
      </c>
      <c r="AQ318" s="81">
        <f t="shared" si="444"/>
        <v>17.948717948717949</v>
      </c>
      <c r="AR318" s="3"/>
      <c r="AS318" s="76">
        <f t="shared" si="445"/>
        <v>11.009174311926605</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ht="15" x14ac:dyDescent="0.25">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63.888888888888886</v>
      </c>
      <c r="AH319" s="82">
        <f>($F313*K313+$F314*K314+$F315*K315+$F316*K316+$F317*K317)/(K313+K314+K315+K316+K317)</f>
        <v>55</v>
      </c>
      <c r="AI319" s="82">
        <f>($F313*G313+$F314*G314+$F315*G315+$F316*G316+$F317*G317)/(G313+G314+G315+G316+G317)</f>
        <v>59.848484848484851</v>
      </c>
      <c r="AJ319" s="82"/>
      <c r="AK319" s="82">
        <f>($F313*Q313+$F314*Q314+$F315*Q315+$F316*Q316+$F317*Q317)/(Q313+Q314+Q315+Q316+Q317)</f>
        <v>50</v>
      </c>
      <c r="AL319" s="82">
        <f>($F313*S313+$F314*S314+$F315*S315+$F316*S316+$F317*S317)/(S313+S314+S315+S316+S317)</f>
        <v>47.916666666666657</v>
      </c>
      <c r="AM319" s="82">
        <f>($F313*O313+$F314*O314+$F315*O315+$F316*O316+$F317*O317)/(O313+O314+O315+O316+O317)</f>
        <v>48.958333333333336</v>
      </c>
      <c r="AN319" s="82"/>
      <c r="AO319" s="82">
        <f>($F313*W313+$F314*W314+$F315*W315+$F316*W316+$F317*W317)/(W313+W314+W315+W316+W317)</f>
        <v>60.294117647058826</v>
      </c>
      <c r="AP319" s="82">
        <f>($F313*Y313+$F314*Y314+$F315*Y315+$F316*Y316+$F317*Y317)/(Y313+Y314+Y315+Y316+Y317)</f>
        <v>48.214285714285715</v>
      </c>
      <c r="AQ319" s="82">
        <f>($F313*U313+$F314*U314+$F315*U315+$F316*U316+$F317*U317)/(U313+U314+U315+U316+U317)</f>
        <v>54.838709677419352</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ht="15" x14ac:dyDescent="0.25">
      <c r="A321" s="8" t="s">
        <v>17</v>
      </c>
      <c r="B321" s="9" t="s">
        <v>229</v>
      </c>
      <c r="C321" s="7"/>
      <c r="D321" s="7"/>
      <c r="E321" s="7"/>
      <c r="F321" s="71">
        <v>100</v>
      </c>
      <c r="G321" s="51">
        <f t="shared" ref="G321:G326" si="446">I321+K321</f>
        <v>9</v>
      </c>
      <c r="H321" s="52">
        <f t="shared" ref="H321:H326" si="447">G321/$J$5*100</f>
        <v>23.684210526315788</v>
      </c>
      <c r="I321" s="53">
        <f>COUNTIFS('00 Encuesta'!$B$2:$B$511,"*b)*",'00 Encuesta'!$C$2:$C$511,"*a)*",'00 Encuesta'!$E$2:$E$511,"*a)*",'00 Encuesta'!$AO$2:$AO$511,"*a)*")</f>
        <v>7</v>
      </c>
      <c r="J321" s="52">
        <f t="shared" ref="J321:J326" si="448">I321/$J$6*100</f>
        <v>33.333333333333329</v>
      </c>
      <c r="K321" s="53">
        <f>COUNTIFS('00 Encuesta'!$B$2:$B$511,"*b)*",'00 Encuesta'!$C$2:$C$511,"*a)*",'00 Encuesta'!$E$2:$E$511,"*b)*",'00 Encuesta'!$AO$2:$AO$511,"*a)*")</f>
        <v>2</v>
      </c>
      <c r="L321" s="52">
        <f t="shared" ref="L321:L326" si="449">K321/$J$7*100</f>
        <v>11.76470588235294</v>
      </c>
      <c r="M321" s="23"/>
      <c r="N321" s="51">
        <f t="shared" ref="N321:N326" si="450">P321+R321</f>
        <v>7</v>
      </c>
      <c r="O321" s="52">
        <f t="shared" ref="O321:O326" si="451">N321/$Q$5*100</f>
        <v>21.875</v>
      </c>
      <c r="P321" s="53">
        <f>COUNTIFS('00 Encuesta'!$B$2:$B$511,"*b)*",'00 Encuesta'!$C$2:$C$511,"*b)*",'00 Encuesta'!$E$2:$E$511,"*a)*",'00 Encuesta'!$AO$2:$AO$511,"*a)*")</f>
        <v>4</v>
      </c>
      <c r="Q321" s="52">
        <f t="shared" ref="Q321:Q326" si="452">P321/$Q$6*100</f>
        <v>23.52941176470588</v>
      </c>
      <c r="R321" s="53">
        <f>COUNTIFS('00 Encuesta'!$B$2:$B$511,"*b)*",'00 Encuesta'!$C$2:$C$511,"*b)*",'00 Encuesta'!$E$2:$E$511,"*b)*",'00 Encuesta'!$AO$2:$AO$511,"*a)*")</f>
        <v>3</v>
      </c>
      <c r="S321" s="52">
        <f t="shared" ref="S321:S326" si="453">R321/$Q$7*100</f>
        <v>20</v>
      </c>
      <c r="T321" s="3"/>
      <c r="U321" s="51">
        <f t="shared" ref="U321:U326" si="454">W321+Y321</f>
        <v>5</v>
      </c>
      <c r="V321" s="52">
        <f t="shared" ref="V321:V326" si="455">U321/$X$5*100</f>
        <v>12.820512820512819</v>
      </c>
      <c r="W321" s="53">
        <f>COUNTIFS('00 Encuesta'!$B$2:$B$511,"*b)*",'00 Encuesta'!$C$2:$C$511,"*c)*",'00 Encuesta'!$E$2:$E$511,"*a)*",'00 Encuesta'!$AO$2:$AO$511,"*a)*")</f>
        <v>4</v>
      </c>
      <c r="X321" s="52">
        <f t="shared" ref="X321:X326" si="456">W321/$X$6*100</f>
        <v>19.047619047619047</v>
      </c>
      <c r="Y321" s="53">
        <f>COUNTIFS('00 Encuesta'!$B$2:$B$511,"*b)*",'00 Encuesta'!$C$2:$C$511,"*c)*",'00 Encuesta'!$E$2:$E$511,"*b)*",'00 Encuesta'!$AO$2:$AO$511,"*a)*")</f>
        <v>1</v>
      </c>
      <c r="Z321" s="52">
        <f t="shared" ref="Z321:Z326" si="457">Y321/$X$7*100</f>
        <v>5.5555555555555554</v>
      </c>
      <c r="AA321" s="3"/>
      <c r="AB321" s="62">
        <f t="shared" ref="AB321:AB326" si="458">G321+N321+U321</f>
        <v>21</v>
      </c>
      <c r="AC321" s="52">
        <f t="shared" ref="AC321:AC326" si="459">AB321*100/$AC$5</f>
        <v>19.26605504587156</v>
      </c>
      <c r="AD321" s="3"/>
      <c r="AE321" s="3"/>
      <c r="AF321" s="9" t="str">
        <f t="shared" ref="AF321:AF326" si="460">A321&amp;" "&amp;B321</f>
        <v>a) Muy buena</v>
      </c>
      <c r="AG321" s="72">
        <f t="shared" ref="AG321:AG326" si="461">J321</f>
        <v>33.333333333333329</v>
      </c>
      <c r="AH321" s="72">
        <f t="shared" ref="AH321:AH326" si="462">L321</f>
        <v>11.76470588235294</v>
      </c>
      <c r="AI321" s="73">
        <f t="shared" ref="AI321:AI326" si="463">H321</f>
        <v>23.684210526315788</v>
      </c>
      <c r="AJ321" s="73"/>
      <c r="AK321" s="76">
        <f t="shared" ref="AK321:AK326" si="464">Q321</f>
        <v>23.52941176470588</v>
      </c>
      <c r="AL321" s="76">
        <f t="shared" ref="AL321:AL326" si="465">S321</f>
        <v>20</v>
      </c>
      <c r="AM321" s="76">
        <f t="shared" ref="AM321:AM326" si="466">O321</f>
        <v>21.875</v>
      </c>
      <c r="AN321" s="76"/>
      <c r="AO321" s="81">
        <f t="shared" ref="AO321:AO326" si="467">X321</f>
        <v>19.047619047619047</v>
      </c>
      <c r="AP321" s="81">
        <f t="shared" ref="AP321:AP326" si="468">Z321</f>
        <v>5.5555555555555554</v>
      </c>
      <c r="AQ321" s="81">
        <f t="shared" ref="AQ321:AQ326" si="469">V321</f>
        <v>12.820512820512819</v>
      </c>
      <c r="AR321" s="3"/>
      <c r="AS321" s="76">
        <f t="shared" si="369"/>
        <v>19.26605504587156</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ht="15" x14ac:dyDescent="0.25">
      <c r="A322" s="8" t="s">
        <v>18</v>
      </c>
      <c r="B322" s="9" t="s">
        <v>230</v>
      </c>
      <c r="C322" s="7"/>
      <c r="D322" s="7"/>
      <c r="E322" s="7"/>
      <c r="F322" s="71">
        <v>75</v>
      </c>
      <c r="G322" s="51">
        <f t="shared" si="446"/>
        <v>8</v>
      </c>
      <c r="H322" s="52">
        <f t="shared" si="447"/>
        <v>21.052631578947366</v>
      </c>
      <c r="I322" s="53">
        <f>COUNTIFS('00 Encuesta'!$B$2:$B$511,"*b)*",'00 Encuesta'!$C$2:$C$511,"*a)*",'00 Encuesta'!$E$2:$E$511,"*a)*",'00 Encuesta'!$AO$2:$AO$511,"*b)*")</f>
        <v>3</v>
      </c>
      <c r="J322" s="52">
        <f t="shared" si="448"/>
        <v>14.285714285714285</v>
      </c>
      <c r="K322" s="53">
        <f>COUNTIFS('00 Encuesta'!$B$2:$B$511,"*b)*",'00 Encuesta'!$C$2:$C$511,"*a)*",'00 Encuesta'!$E$2:$E$511,"*b)*",'00 Encuesta'!$AO$2:$AO$511,"*b)*")</f>
        <v>5</v>
      </c>
      <c r="L322" s="52">
        <f t="shared" si="449"/>
        <v>29.411764705882355</v>
      </c>
      <c r="M322" s="23"/>
      <c r="N322" s="51">
        <f t="shared" si="450"/>
        <v>13</v>
      </c>
      <c r="O322" s="52">
        <f t="shared" si="451"/>
        <v>40.625</v>
      </c>
      <c r="P322" s="53">
        <f>COUNTIFS('00 Encuesta'!$B$2:$B$511,"*b)*",'00 Encuesta'!$C$2:$C$511,"*b)*",'00 Encuesta'!$E$2:$E$511,"*a)*",'00 Encuesta'!$AO$2:$AO$511,"*b)*")</f>
        <v>8</v>
      </c>
      <c r="Q322" s="52">
        <f t="shared" si="452"/>
        <v>47.058823529411761</v>
      </c>
      <c r="R322" s="53">
        <f>COUNTIFS('00 Encuesta'!$B$2:$B$511,"*b)*",'00 Encuesta'!$C$2:$C$511,"*b)*",'00 Encuesta'!$E$2:$E$511,"*b)*",'00 Encuesta'!$AO$2:$AO$511,"*b)*")</f>
        <v>5</v>
      </c>
      <c r="S322" s="52">
        <f t="shared" si="453"/>
        <v>33.333333333333329</v>
      </c>
      <c r="T322" s="3"/>
      <c r="U322" s="51">
        <f t="shared" si="454"/>
        <v>15</v>
      </c>
      <c r="V322" s="52">
        <f t="shared" si="455"/>
        <v>38.461538461538467</v>
      </c>
      <c r="W322" s="53">
        <f>COUNTIFS('00 Encuesta'!$B$2:$B$511,"*b)*",'00 Encuesta'!$C$2:$C$511,"*c)*",'00 Encuesta'!$E$2:$E$511,"*a)*",'00 Encuesta'!$AO$2:$AO$511,"*b)*")</f>
        <v>9</v>
      </c>
      <c r="X322" s="52">
        <f t="shared" si="456"/>
        <v>42.857142857142854</v>
      </c>
      <c r="Y322" s="53">
        <f>COUNTIFS('00 Encuesta'!$B$2:$B$511,"*b)*",'00 Encuesta'!$C$2:$C$511,"*c)*",'00 Encuesta'!$E$2:$E$511,"*b)*",'00 Encuesta'!$AO$2:$AO$511,"*b)*")</f>
        <v>6</v>
      </c>
      <c r="Z322" s="52">
        <f t="shared" si="457"/>
        <v>33.333333333333329</v>
      </c>
      <c r="AA322" s="3"/>
      <c r="AB322" s="62">
        <f t="shared" si="458"/>
        <v>36</v>
      </c>
      <c r="AC322" s="52">
        <f t="shared" si="459"/>
        <v>33.027522935779814</v>
      </c>
      <c r="AD322" s="3"/>
      <c r="AE322" s="3"/>
      <c r="AF322" s="9" t="str">
        <f t="shared" si="460"/>
        <v>b) Buena</v>
      </c>
      <c r="AG322" s="72">
        <f t="shared" si="461"/>
        <v>14.285714285714285</v>
      </c>
      <c r="AH322" s="72">
        <f t="shared" si="462"/>
        <v>29.411764705882355</v>
      </c>
      <c r="AI322" s="73">
        <f t="shared" si="463"/>
        <v>21.052631578947366</v>
      </c>
      <c r="AJ322" s="73"/>
      <c r="AK322" s="76">
        <f t="shared" si="464"/>
        <v>47.058823529411761</v>
      </c>
      <c r="AL322" s="76">
        <f t="shared" si="465"/>
        <v>33.333333333333329</v>
      </c>
      <c r="AM322" s="76">
        <f t="shared" si="466"/>
        <v>40.625</v>
      </c>
      <c r="AN322" s="76"/>
      <c r="AO322" s="81">
        <f t="shared" si="467"/>
        <v>42.857142857142854</v>
      </c>
      <c r="AP322" s="81">
        <f t="shared" si="468"/>
        <v>33.333333333333329</v>
      </c>
      <c r="AQ322" s="81">
        <f t="shared" si="469"/>
        <v>38.461538461538467</v>
      </c>
      <c r="AR322" s="3"/>
      <c r="AS322" s="76">
        <f t="shared" si="369"/>
        <v>33.027522935779814</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ht="15" x14ac:dyDescent="0.25">
      <c r="A323" s="8" t="s">
        <v>20</v>
      </c>
      <c r="B323" s="9" t="s">
        <v>218</v>
      </c>
      <c r="C323" s="7"/>
      <c r="D323" s="7"/>
      <c r="E323" s="7"/>
      <c r="F323" s="71">
        <v>50</v>
      </c>
      <c r="G323" s="51">
        <f t="shared" si="446"/>
        <v>11</v>
      </c>
      <c r="H323" s="52">
        <f t="shared" si="447"/>
        <v>28.947368421052634</v>
      </c>
      <c r="I323" s="53">
        <f>COUNTIFS('00 Encuesta'!$B$2:$B$511,"*b)*",'00 Encuesta'!$C$2:$C$511,"*a)*",'00 Encuesta'!$E$2:$E$511,"*a)*",'00 Encuesta'!$AO$2:$AO$511,"*c)*")</f>
        <v>5</v>
      </c>
      <c r="J323" s="52">
        <f t="shared" si="448"/>
        <v>23.809523809523807</v>
      </c>
      <c r="K323" s="53">
        <f>COUNTIFS('00 Encuesta'!$B$2:$B$511,"*b)*",'00 Encuesta'!$C$2:$C$511,"*a)*",'00 Encuesta'!$E$2:$E$511,"*b)*",'00 Encuesta'!$AO$2:$AO$511,"*c)*")</f>
        <v>6</v>
      </c>
      <c r="L323" s="52">
        <f t="shared" si="449"/>
        <v>35.294117647058826</v>
      </c>
      <c r="M323" s="23"/>
      <c r="N323" s="51">
        <f t="shared" si="450"/>
        <v>7</v>
      </c>
      <c r="O323" s="52">
        <f t="shared" si="451"/>
        <v>21.875</v>
      </c>
      <c r="P323" s="53">
        <f>COUNTIFS('00 Encuesta'!$B$2:$B$511,"*b)*",'00 Encuesta'!$C$2:$C$511,"*b)*",'00 Encuesta'!$E$2:$E$511,"*a)*",'00 Encuesta'!$AO$2:$AO$511,"*c)*")</f>
        <v>1</v>
      </c>
      <c r="Q323" s="52">
        <f t="shared" si="452"/>
        <v>5.8823529411764701</v>
      </c>
      <c r="R323" s="53">
        <f>COUNTIFS('00 Encuesta'!$B$2:$B$511,"*b)*",'00 Encuesta'!$C$2:$C$511,"*b)*",'00 Encuesta'!$E$2:$E$511,"*b)*",'00 Encuesta'!$AO$2:$AO$511,"*c)*")</f>
        <v>6</v>
      </c>
      <c r="S323" s="52">
        <f t="shared" si="453"/>
        <v>40</v>
      </c>
      <c r="T323" s="3"/>
      <c r="U323" s="51">
        <f t="shared" si="454"/>
        <v>11</v>
      </c>
      <c r="V323" s="52">
        <f t="shared" si="455"/>
        <v>28.205128205128204</v>
      </c>
      <c r="W323" s="53">
        <f>COUNTIFS('00 Encuesta'!$B$2:$B$511,"*b)*",'00 Encuesta'!$C$2:$C$511,"*c)*",'00 Encuesta'!$E$2:$E$511,"*a)*",'00 Encuesta'!$AO$2:$AO$511,"*c)*")</f>
        <v>3</v>
      </c>
      <c r="X323" s="52">
        <f t="shared" si="456"/>
        <v>14.285714285714285</v>
      </c>
      <c r="Y323" s="53">
        <f>COUNTIFS('00 Encuesta'!$B$2:$B$511,"*b)*",'00 Encuesta'!$C$2:$C$511,"*c)*",'00 Encuesta'!$E$2:$E$511,"*b)*",'00 Encuesta'!$AO$2:$AO$511,"*c)*")</f>
        <v>8</v>
      </c>
      <c r="Z323" s="52">
        <f t="shared" si="457"/>
        <v>44.444444444444443</v>
      </c>
      <c r="AA323" s="3"/>
      <c r="AB323" s="62">
        <f t="shared" si="458"/>
        <v>29</v>
      </c>
      <c r="AC323" s="52">
        <f t="shared" si="459"/>
        <v>26.605504587155963</v>
      </c>
      <c r="AD323" s="3"/>
      <c r="AE323" s="3"/>
      <c r="AF323" s="9" t="str">
        <f t="shared" si="460"/>
        <v>c) Regular</v>
      </c>
      <c r="AG323" s="72">
        <f t="shared" si="461"/>
        <v>23.809523809523807</v>
      </c>
      <c r="AH323" s="72">
        <f t="shared" si="462"/>
        <v>35.294117647058826</v>
      </c>
      <c r="AI323" s="73">
        <f t="shared" si="463"/>
        <v>28.947368421052634</v>
      </c>
      <c r="AJ323" s="73"/>
      <c r="AK323" s="76">
        <f t="shared" si="464"/>
        <v>5.8823529411764701</v>
      </c>
      <c r="AL323" s="76">
        <f t="shared" si="465"/>
        <v>40</v>
      </c>
      <c r="AM323" s="76">
        <f t="shared" si="466"/>
        <v>21.875</v>
      </c>
      <c r="AN323" s="76"/>
      <c r="AO323" s="81">
        <f t="shared" si="467"/>
        <v>14.285714285714285</v>
      </c>
      <c r="AP323" s="81">
        <f t="shared" si="468"/>
        <v>44.444444444444443</v>
      </c>
      <c r="AQ323" s="81">
        <f t="shared" si="469"/>
        <v>28.205128205128204</v>
      </c>
      <c r="AR323" s="3"/>
      <c r="AS323" s="76">
        <f t="shared" si="369"/>
        <v>26.605504587155963</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ht="15" x14ac:dyDescent="0.25">
      <c r="A324" s="8" t="s">
        <v>21</v>
      </c>
      <c r="B324" s="9" t="s">
        <v>231</v>
      </c>
      <c r="C324" s="7"/>
      <c r="D324" s="7"/>
      <c r="E324" s="7"/>
      <c r="F324" s="71">
        <v>25</v>
      </c>
      <c r="G324" s="51">
        <f t="shared" si="446"/>
        <v>2</v>
      </c>
      <c r="H324" s="52">
        <f t="shared" si="447"/>
        <v>5.2631578947368416</v>
      </c>
      <c r="I324" s="53">
        <f>COUNTIFS('00 Encuesta'!$B$2:$B$511,"*b)*",'00 Encuesta'!$C$2:$C$511,"*a)*",'00 Encuesta'!$E$2:$E$511,"*a)*",'00 Encuesta'!$AO$2:$AO$511,"*d)*")</f>
        <v>1</v>
      </c>
      <c r="J324" s="52">
        <f t="shared" si="448"/>
        <v>4.7619047619047619</v>
      </c>
      <c r="K324" s="53">
        <f>COUNTIFS('00 Encuesta'!$B$2:$B$511,"*b)*",'00 Encuesta'!$C$2:$C$511,"*a)*",'00 Encuesta'!$E$2:$E$511,"*b)*",'00 Encuesta'!$AO$2:$AO$511,"*d)*")</f>
        <v>1</v>
      </c>
      <c r="L324" s="52">
        <f t="shared" si="449"/>
        <v>5.8823529411764701</v>
      </c>
      <c r="M324" s="23"/>
      <c r="N324" s="51">
        <f t="shared" si="450"/>
        <v>0</v>
      </c>
      <c r="O324" s="52">
        <f t="shared" si="451"/>
        <v>0</v>
      </c>
      <c r="P324" s="53">
        <f>COUNTIFS('00 Encuesta'!$B$2:$B$511,"*b)*",'00 Encuesta'!$C$2:$C$511,"*b)*",'00 Encuesta'!$E$2:$E$511,"*a)*",'00 Encuesta'!$AO$2:$AO$511,"*d)*")</f>
        <v>0</v>
      </c>
      <c r="Q324" s="52">
        <f t="shared" si="452"/>
        <v>0</v>
      </c>
      <c r="R324" s="53">
        <f>COUNTIFS('00 Encuesta'!$B$2:$B$511,"*b)*",'00 Encuesta'!$C$2:$C$511,"*b)*",'00 Encuesta'!$E$2:$E$511,"*b)*",'00 Encuesta'!$AO$2:$AO$511,"*d)*")</f>
        <v>0</v>
      </c>
      <c r="S324" s="52">
        <f t="shared" si="453"/>
        <v>0</v>
      </c>
      <c r="T324" s="3"/>
      <c r="U324" s="51">
        <f t="shared" si="454"/>
        <v>2</v>
      </c>
      <c r="V324" s="52">
        <f t="shared" si="455"/>
        <v>5.1282051282051277</v>
      </c>
      <c r="W324" s="53">
        <f>COUNTIFS('00 Encuesta'!$B$2:$B$511,"*b)*",'00 Encuesta'!$C$2:$C$511,"*c)*",'00 Encuesta'!$E$2:$E$511,"*a)*",'00 Encuesta'!$AO$2:$AO$511,"*d)*")</f>
        <v>0</v>
      </c>
      <c r="X324" s="52">
        <f t="shared" si="456"/>
        <v>0</v>
      </c>
      <c r="Y324" s="53">
        <f>COUNTIFS('00 Encuesta'!$B$2:$B$511,"*b)*",'00 Encuesta'!$C$2:$C$511,"*c)*",'00 Encuesta'!$E$2:$E$511,"*b)*",'00 Encuesta'!$AO$2:$AO$511,"*d)*")</f>
        <v>2</v>
      </c>
      <c r="Z324" s="52">
        <f t="shared" si="457"/>
        <v>11.111111111111111</v>
      </c>
      <c r="AA324" s="3"/>
      <c r="AB324" s="62">
        <f t="shared" si="458"/>
        <v>4</v>
      </c>
      <c r="AC324" s="52">
        <f t="shared" si="459"/>
        <v>3.669724770642202</v>
      </c>
      <c r="AD324" s="3"/>
      <c r="AE324" s="3"/>
      <c r="AF324" s="9" t="str">
        <f t="shared" si="460"/>
        <v>d) Mala</v>
      </c>
      <c r="AG324" s="72">
        <f t="shared" si="461"/>
        <v>4.7619047619047619</v>
      </c>
      <c r="AH324" s="72">
        <f t="shared" si="462"/>
        <v>5.8823529411764701</v>
      </c>
      <c r="AI324" s="73">
        <f t="shared" si="463"/>
        <v>5.2631578947368416</v>
      </c>
      <c r="AJ324" s="73"/>
      <c r="AK324" s="76">
        <f t="shared" si="464"/>
        <v>0</v>
      </c>
      <c r="AL324" s="76">
        <f t="shared" si="465"/>
        <v>0</v>
      </c>
      <c r="AM324" s="76">
        <f t="shared" si="466"/>
        <v>0</v>
      </c>
      <c r="AN324" s="76"/>
      <c r="AO324" s="81">
        <f t="shared" si="467"/>
        <v>0</v>
      </c>
      <c r="AP324" s="81">
        <f t="shared" si="468"/>
        <v>11.111111111111111</v>
      </c>
      <c r="AQ324" s="81">
        <f t="shared" si="469"/>
        <v>5.1282051282051277</v>
      </c>
      <c r="AR324" s="3"/>
      <c r="AS324" s="76">
        <f t="shared" si="369"/>
        <v>3.669724770642202</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ht="15" x14ac:dyDescent="0.25">
      <c r="A325" s="8" t="s">
        <v>22</v>
      </c>
      <c r="B325" s="9" t="s">
        <v>232</v>
      </c>
      <c r="C325" s="7"/>
      <c r="D325" s="7"/>
      <c r="E325" s="7"/>
      <c r="F325" s="71">
        <v>0</v>
      </c>
      <c r="G325" s="51">
        <f t="shared" si="446"/>
        <v>3</v>
      </c>
      <c r="H325" s="52">
        <f t="shared" si="447"/>
        <v>7.8947368421052628</v>
      </c>
      <c r="I325" s="53">
        <f>COUNTIFS('00 Encuesta'!$B$2:$B$511,"*b)*",'00 Encuesta'!$C$2:$C$511,"*a)*",'00 Encuesta'!$E$2:$E$511,"*a)*",'00 Encuesta'!$AO$2:$AO$511,"*e)*")</f>
        <v>2</v>
      </c>
      <c r="J325" s="52">
        <f t="shared" si="448"/>
        <v>9.5238095238095237</v>
      </c>
      <c r="K325" s="53">
        <f>COUNTIFS('00 Encuesta'!$B$2:$B$511,"*b)*",'00 Encuesta'!$C$2:$C$511,"*a)*",'00 Encuesta'!$E$2:$E$511,"*b)*",'00 Encuesta'!$AO$2:$AO$511,"*e)*")</f>
        <v>1</v>
      </c>
      <c r="L325" s="52">
        <f t="shared" si="449"/>
        <v>5.8823529411764701</v>
      </c>
      <c r="M325" s="23"/>
      <c r="N325" s="51">
        <f t="shared" si="450"/>
        <v>0</v>
      </c>
      <c r="O325" s="52">
        <f t="shared" si="451"/>
        <v>0</v>
      </c>
      <c r="P325" s="53">
        <f>COUNTIFS('00 Encuesta'!$B$2:$B$511,"*b)*",'00 Encuesta'!$C$2:$C$511,"*b)*",'00 Encuesta'!$E$2:$E$511,"*a)*",'00 Encuesta'!$AO$2:$AO$511,"*e)*")</f>
        <v>0</v>
      </c>
      <c r="Q325" s="52">
        <f t="shared" si="452"/>
        <v>0</v>
      </c>
      <c r="R325" s="53">
        <f>COUNTIFS('00 Encuesta'!$B$2:$B$511,"*b)*",'00 Encuesta'!$C$2:$C$511,"*b)*",'00 Encuesta'!$E$2:$E$511,"*b)*",'00 Encuesta'!$AO$2:$AO$511,"*e)*")</f>
        <v>0</v>
      </c>
      <c r="S325" s="52">
        <f t="shared" si="453"/>
        <v>0</v>
      </c>
      <c r="T325" s="3"/>
      <c r="U325" s="51">
        <f t="shared" si="454"/>
        <v>2</v>
      </c>
      <c r="V325" s="52">
        <f t="shared" si="455"/>
        <v>5.1282051282051277</v>
      </c>
      <c r="W325" s="53">
        <f>COUNTIFS('00 Encuesta'!$B$2:$B$511,"*b)*",'00 Encuesta'!$C$2:$C$511,"*c)*",'00 Encuesta'!$E$2:$E$511,"*a)*",'00 Encuesta'!$AO$2:$AO$511,"*e)*")</f>
        <v>2</v>
      </c>
      <c r="X325" s="52">
        <f t="shared" si="456"/>
        <v>9.5238095238095237</v>
      </c>
      <c r="Y325" s="53">
        <f>COUNTIFS('00 Encuesta'!$B$2:$B$511,"*b)*",'00 Encuesta'!$C$2:$C$511,"*c)*",'00 Encuesta'!$E$2:$E$511,"*b)*",'00 Encuesta'!$AO$2:$AO$511,"*e)*")</f>
        <v>0</v>
      </c>
      <c r="Z325" s="52">
        <f t="shared" si="457"/>
        <v>0</v>
      </c>
      <c r="AA325" s="3"/>
      <c r="AB325" s="62">
        <f t="shared" si="458"/>
        <v>5</v>
      </c>
      <c r="AC325" s="52">
        <f t="shared" si="459"/>
        <v>4.5871559633027523</v>
      </c>
      <c r="AD325" s="3"/>
      <c r="AE325" s="3"/>
      <c r="AF325" s="9" t="str">
        <f t="shared" si="460"/>
        <v>e) Muy mala</v>
      </c>
      <c r="AG325" s="72">
        <f t="shared" si="461"/>
        <v>9.5238095238095237</v>
      </c>
      <c r="AH325" s="72">
        <f t="shared" si="462"/>
        <v>5.8823529411764701</v>
      </c>
      <c r="AI325" s="73">
        <f t="shared" si="463"/>
        <v>7.8947368421052628</v>
      </c>
      <c r="AJ325" s="73"/>
      <c r="AK325" s="76">
        <f t="shared" si="464"/>
        <v>0</v>
      </c>
      <c r="AL325" s="76">
        <f t="shared" si="465"/>
        <v>0</v>
      </c>
      <c r="AM325" s="76">
        <f t="shared" si="466"/>
        <v>0</v>
      </c>
      <c r="AN325" s="76"/>
      <c r="AO325" s="81">
        <f t="shared" si="467"/>
        <v>9.5238095238095237</v>
      </c>
      <c r="AP325" s="81">
        <f t="shared" si="468"/>
        <v>0</v>
      </c>
      <c r="AQ325" s="81">
        <f t="shared" si="469"/>
        <v>5.1282051282051277</v>
      </c>
      <c r="AR325" s="3"/>
      <c r="AS325" s="76">
        <f t="shared" si="369"/>
        <v>4.5871559633027523</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ht="15" x14ac:dyDescent="0.25">
      <c r="A326" s="8" t="s">
        <v>45</v>
      </c>
      <c r="B326" s="9" t="s">
        <v>233</v>
      </c>
      <c r="C326" s="7"/>
      <c r="D326" s="7"/>
      <c r="E326" s="7"/>
      <c r="F326" s="71"/>
      <c r="G326" s="51">
        <f t="shared" si="446"/>
        <v>1</v>
      </c>
      <c r="H326" s="52">
        <f t="shared" si="447"/>
        <v>2.6315789473684208</v>
      </c>
      <c r="I326" s="53">
        <f>COUNTIFS('00 Encuesta'!$B$2:$B$511,"*b)*",'00 Encuesta'!$C$2:$C$511,"*a)*",'00 Encuesta'!$E$2:$E$511,"*a)*",'00 Encuesta'!$AO$2:$AO$511,"*f)*")</f>
        <v>1</v>
      </c>
      <c r="J326" s="52">
        <f t="shared" si="448"/>
        <v>4.7619047619047619</v>
      </c>
      <c r="K326" s="53">
        <f>COUNTIFS('00 Encuesta'!$B$2:$B$511,"*b)*",'00 Encuesta'!$C$2:$C$511,"*a)*",'00 Encuesta'!$E$2:$E$511,"*b)*",'00 Encuesta'!$AO$2:$AO$511,"*f)*")</f>
        <v>0</v>
      </c>
      <c r="L326" s="52">
        <f t="shared" si="449"/>
        <v>0</v>
      </c>
      <c r="M326" s="23"/>
      <c r="N326" s="51">
        <f t="shared" si="450"/>
        <v>0</v>
      </c>
      <c r="O326" s="52">
        <f t="shared" si="451"/>
        <v>0</v>
      </c>
      <c r="P326" s="53">
        <f>COUNTIFS('00 Encuesta'!$B$2:$B$511,"*b)*",'00 Encuesta'!$C$2:$C$511,"*b)*",'00 Encuesta'!$E$2:$E$511,"*a)*",'00 Encuesta'!$AO$2:$AO$511,"*f)*")</f>
        <v>0</v>
      </c>
      <c r="Q326" s="52">
        <f t="shared" si="452"/>
        <v>0</v>
      </c>
      <c r="R326" s="53">
        <f>COUNTIFS('00 Encuesta'!$B$2:$B$511,"*b)*",'00 Encuesta'!$C$2:$C$511,"*b)*",'00 Encuesta'!$E$2:$E$511,"*b)*",'00 Encuesta'!$AO$2:$AO$511,"*f)*")</f>
        <v>0</v>
      </c>
      <c r="S326" s="52">
        <f t="shared" si="453"/>
        <v>0</v>
      </c>
      <c r="T326" s="3"/>
      <c r="U326" s="51">
        <f t="shared" si="454"/>
        <v>3</v>
      </c>
      <c r="V326" s="52">
        <f t="shared" si="455"/>
        <v>7.6923076923076925</v>
      </c>
      <c r="W326" s="53">
        <f>COUNTIFS('00 Encuesta'!$B$2:$B$511,"*b)*",'00 Encuesta'!$C$2:$C$511,"*c)*",'00 Encuesta'!$E$2:$E$511,"*a)*",'00 Encuesta'!$AO$2:$AO$511,"*f)*")</f>
        <v>3</v>
      </c>
      <c r="X326" s="52">
        <f t="shared" si="456"/>
        <v>14.285714285714285</v>
      </c>
      <c r="Y326" s="53">
        <f>COUNTIFS('00 Encuesta'!$B$2:$B$511,"*b)*",'00 Encuesta'!$C$2:$C$511,"*c)*",'00 Encuesta'!$E$2:$E$511,"*b)*",'00 Encuesta'!$AO$2:$AO$511,"*f)*")</f>
        <v>0</v>
      </c>
      <c r="Z326" s="52">
        <f t="shared" si="457"/>
        <v>0</v>
      </c>
      <c r="AA326" s="3"/>
      <c r="AB326" s="62">
        <f t="shared" si="458"/>
        <v>4</v>
      </c>
      <c r="AC326" s="52">
        <f t="shared" si="459"/>
        <v>3.669724770642202</v>
      </c>
      <c r="AD326" s="3"/>
      <c r="AE326" s="3"/>
      <c r="AF326" s="9" t="str">
        <f t="shared" si="460"/>
        <v>f) No aplica</v>
      </c>
      <c r="AG326" s="72">
        <f t="shared" si="461"/>
        <v>4.7619047619047619</v>
      </c>
      <c r="AH326" s="72">
        <f t="shared" si="462"/>
        <v>0</v>
      </c>
      <c r="AI326" s="73">
        <f t="shared" si="463"/>
        <v>2.6315789473684208</v>
      </c>
      <c r="AJ326" s="73"/>
      <c r="AK326" s="76">
        <f t="shared" si="464"/>
        <v>0</v>
      </c>
      <c r="AL326" s="76">
        <f t="shared" si="465"/>
        <v>0</v>
      </c>
      <c r="AM326" s="76">
        <f t="shared" si="466"/>
        <v>0</v>
      </c>
      <c r="AN326" s="76"/>
      <c r="AO326" s="81">
        <f t="shared" si="467"/>
        <v>14.285714285714285</v>
      </c>
      <c r="AP326" s="81">
        <f t="shared" si="468"/>
        <v>0</v>
      </c>
      <c r="AQ326" s="81">
        <f t="shared" si="469"/>
        <v>7.6923076923076925</v>
      </c>
      <c r="AR326" s="3"/>
      <c r="AS326" s="76">
        <f t="shared" si="369"/>
        <v>3.669724770642202</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ht="15" x14ac:dyDescent="0.25">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66.666666666666671</v>
      </c>
      <c r="AH327" s="82">
        <f>($F321*K321+$F322*K322+$F323*K323+$F324*K324+$F325*K325)/(K321+K322+K323+K324+K325)</f>
        <v>60</v>
      </c>
      <c r="AI327" s="82">
        <f>($F321*G321+$F322*G322+$F323*G323+$F324*G324+$F325*G325)/(G321+G322+G323+G324+G325)</f>
        <v>63.636363636363633</v>
      </c>
      <c r="AJ327" s="82"/>
      <c r="AK327" s="82">
        <f>($F321*Q321+$F322*Q322+$F323*Q323+$F324*Q324+$F325*Q325)/(Q321+Q322+Q323+Q324+Q325)</f>
        <v>80.769230769230774</v>
      </c>
      <c r="AL327" s="82">
        <f>($F321*S321+$F322*S322+$F323*S323+$F324*S324+$F325*S325)/(S321+S322+S323+S324+S325)</f>
        <v>69.642857142857153</v>
      </c>
      <c r="AM327" s="82">
        <f>($F321*O321+$F322*O322+$F323*O323+$F324*O324+$F325*O325)/(O321+O322+O323+O324+O325)</f>
        <v>75</v>
      </c>
      <c r="AN327" s="82"/>
      <c r="AO327" s="82">
        <f>($F321*W321+$F322*W322+$F323*W323+$F324*W324+$F325*W325)/(W321+W322+W323+W324+W325)</f>
        <v>68.055555555555557</v>
      </c>
      <c r="AP327" s="82">
        <f>($F321*Y321+$F322*Y322+$F323*Y323+$F324*Y324+$F325*Y325)/(Y321+Y322+Y323+Y324+Y325)</f>
        <v>58.823529411764703</v>
      </c>
      <c r="AQ327" s="82">
        <f>($F321*U321+$F322*U322+$F323*U323+$F324*U324+$F325*U325)/(U321+U322+U323+U324+U325)</f>
        <v>63.571428571428569</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ht="15" x14ac:dyDescent="0.25">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ht="15" x14ac:dyDescent="0.25">
      <c r="A329" s="8" t="s">
        <v>17</v>
      </c>
      <c r="B329" s="9" t="s">
        <v>229</v>
      </c>
      <c r="C329" s="7"/>
      <c r="D329" s="7"/>
      <c r="E329" s="7"/>
      <c r="F329" s="71">
        <v>100</v>
      </c>
      <c r="G329" s="51">
        <f t="shared" ref="G329:G334" si="470">I329+K329</f>
        <v>4</v>
      </c>
      <c r="H329" s="52">
        <f t="shared" ref="H329:H334" si="471">G329/$J$5*100</f>
        <v>10.526315789473683</v>
      </c>
      <c r="I329" s="53">
        <f>COUNTIFS('00 Encuesta'!$B$2:$B$511,"*b)*",'00 Encuesta'!$C$2:$C$511,"*a)*",'00 Encuesta'!$E$2:$E$511,"*a)*",'00 Encuesta'!$AP$2:$AP$511,"*a)*")</f>
        <v>2</v>
      </c>
      <c r="J329" s="52">
        <f t="shared" ref="J329:J334" si="472">I329/$J$6*100</f>
        <v>9.5238095238095237</v>
      </c>
      <c r="K329" s="53">
        <f>COUNTIFS('00 Encuesta'!$B$2:$B$511,"*b)*",'00 Encuesta'!$C$2:$C$511,"*a)*",'00 Encuesta'!$E$2:$E$511,"*b)*",'00 Encuesta'!$AP$2:$AP$511,"*a)*")</f>
        <v>2</v>
      </c>
      <c r="L329" s="52">
        <f t="shared" ref="L329:L334" si="473">K329/$J$7*100</f>
        <v>11.76470588235294</v>
      </c>
      <c r="M329" s="23"/>
      <c r="N329" s="51">
        <f t="shared" ref="N329:N334" si="474">P329+R329</f>
        <v>1</v>
      </c>
      <c r="O329" s="52">
        <f t="shared" ref="O329:O334" si="475">N329/$Q$5*100</f>
        <v>3.125</v>
      </c>
      <c r="P329" s="53">
        <f>COUNTIFS('00 Encuesta'!$B$2:$B$511,"*b)*",'00 Encuesta'!$C$2:$C$511,"*b)*",'00 Encuesta'!$E$2:$E$511,"*a)*",'00 Encuesta'!$AP$2:$AP$511,"*a)*")</f>
        <v>1</v>
      </c>
      <c r="Q329" s="52">
        <f t="shared" ref="Q329:Q334" si="476">P329/$Q$6*100</f>
        <v>5.8823529411764701</v>
      </c>
      <c r="R329" s="53">
        <f>COUNTIFS('00 Encuesta'!$B$2:$B$511,"*b)*",'00 Encuesta'!$C$2:$C$511,"*b)*",'00 Encuesta'!$E$2:$E$511,"*b)*",'00 Encuesta'!$AP$2:$AP$511,"*a)*")</f>
        <v>0</v>
      </c>
      <c r="S329" s="52">
        <f t="shared" ref="S329:S334" si="477">R329/$Q$7*100</f>
        <v>0</v>
      </c>
      <c r="T329" s="3"/>
      <c r="U329" s="51">
        <f t="shared" ref="U329:U334" si="478">W329+Y329</f>
        <v>0</v>
      </c>
      <c r="V329" s="52">
        <f t="shared" ref="V329:V334" si="479">U329/$X$5*100</f>
        <v>0</v>
      </c>
      <c r="W329" s="53">
        <f>COUNTIFS('00 Encuesta'!$B$2:$B$511,"*b)*",'00 Encuesta'!$C$2:$C$511,"*c)*",'00 Encuesta'!$E$2:$E$511,"*a)*",'00 Encuesta'!$AP$2:$AP$511,"*a)*")</f>
        <v>0</v>
      </c>
      <c r="X329" s="52">
        <f t="shared" ref="X329:X334" si="480">W329/$X$6*100</f>
        <v>0</v>
      </c>
      <c r="Y329" s="53">
        <f>COUNTIFS('00 Encuesta'!$B$2:$B$511,"*b)*",'00 Encuesta'!$C$2:$C$511,"*c)*",'00 Encuesta'!$E$2:$E$511,"*b)*",'00 Encuesta'!$AP$2:$AP$511,"*a)*")</f>
        <v>0</v>
      </c>
      <c r="Z329" s="52">
        <f t="shared" ref="Z329:Z334" si="481">Y329/$X$7*100</f>
        <v>0</v>
      </c>
      <c r="AA329" s="3"/>
      <c r="AB329" s="62">
        <f t="shared" ref="AB329:AB334" si="482">G329+N329+U329</f>
        <v>5</v>
      </c>
      <c r="AC329" s="52">
        <f t="shared" ref="AC329:AC334" si="483">AB329*100/$AC$5</f>
        <v>4.5871559633027523</v>
      </c>
      <c r="AD329" s="3"/>
      <c r="AE329" s="3"/>
      <c r="AF329" s="9" t="str">
        <f t="shared" ref="AF329:AF334" si="484">A329&amp;" "&amp;B329</f>
        <v>a) Muy buena</v>
      </c>
      <c r="AG329" s="72">
        <f t="shared" ref="AG329:AG334" si="485">J329</f>
        <v>9.5238095238095237</v>
      </c>
      <c r="AH329" s="72">
        <f t="shared" ref="AH329:AH334" si="486">L329</f>
        <v>11.76470588235294</v>
      </c>
      <c r="AI329" s="73">
        <f t="shared" ref="AI329:AI334" si="487">H329</f>
        <v>10.526315789473683</v>
      </c>
      <c r="AJ329" s="73"/>
      <c r="AK329" s="76">
        <f t="shared" ref="AK329:AK334" si="488">Q329</f>
        <v>5.8823529411764701</v>
      </c>
      <c r="AL329" s="76">
        <f t="shared" ref="AL329:AL334" si="489">S329</f>
        <v>0</v>
      </c>
      <c r="AM329" s="76">
        <f t="shared" ref="AM329:AM334" si="490">O329</f>
        <v>3.125</v>
      </c>
      <c r="AN329" s="76"/>
      <c r="AO329" s="81">
        <f t="shared" ref="AO329:AO334" si="491">X329</f>
        <v>0</v>
      </c>
      <c r="AP329" s="81">
        <f t="shared" ref="AP329:AP334" si="492">Z329</f>
        <v>0</v>
      </c>
      <c r="AQ329" s="81">
        <f t="shared" ref="AQ329:AQ334" si="493">V329</f>
        <v>0</v>
      </c>
      <c r="AR329" s="3"/>
      <c r="AS329" s="76">
        <f t="shared" si="369"/>
        <v>4.5871559633027523</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ht="15" x14ac:dyDescent="0.25">
      <c r="A330" s="8" t="s">
        <v>18</v>
      </c>
      <c r="B330" s="9" t="s">
        <v>230</v>
      </c>
      <c r="C330" s="7"/>
      <c r="D330" s="7"/>
      <c r="E330" s="7"/>
      <c r="F330" s="71">
        <v>75</v>
      </c>
      <c r="G330" s="51">
        <f t="shared" si="470"/>
        <v>9</v>
      </c>
      <c r="H330" s="52">
        <f t="shared" si="471"/>
        <v>23.684210526315788</v>
      </c>
      <c r="I330" s="53">
        <f>COUNTIFS('00 Encuesta'!$B$2:$B$511,"*b)*",'00 Encuesta'!$C$2:$C$511,"*a)*",'00 Encuesta'!$E$2:$E$511,"*a)*",'00 Encuesta'!$AP$2:$AP$511,"*b)*")</f>
        <v>5</v>
      </c>
      <c r="J330" s="52">
        <f t="shared" si="472"/>
        <v>23.809523809523807</v>
      </c>
      <c r="K330" s="53">
        <f>COUNTIFS('00 Encuesta'!$B$2:$B$511,"*b)*",'00 Encuesta'!$C$2:$C$511,"*a)*",'00 Encuesta'!$E$2:$E$511,"*b)*",'00 Encuesta'!$AP$2:$AP$511,"*b)*")</f>
        <v>4</v>
      </c>
      <c r="L330" s="52">
        <f t="shared" si="473"/>
        <v>23.52941176470588</v>
      </c>
      <c r="M330" s="23"/>
      <c r="N330" s="51">
        <f t="shared" si="474"/>
        <v>6</v>
      </c>
      <c r="O330" s="52">
        <f t="shared" si="475"/>
        <v>18.75</v>
      </c>
      <c r="P330" s="53">
        <f>COUNTIFS('00 Encuesta'!$B$2:$B$511,"*b)*",'00 Encuesta'!$C$2:$C$511,"*b)*",'00 Encuesta'!$E$2:$E$511,"*a)*",'00 Encuesta'!$AP$2:$AP$511,"*b)*")</f>
        <v>3</v>
      </c>
      <c r="Q330" s="52">
        <f t="shared" si="476"/>
        <v>17.647058823529413</v>
      </c>
      <c r="R330" s="53">
        <f>COUNTIFS('00 Encuesta'!$B$2:$B$511,"*b)*",'00 Encuesta'!$C$2:$C$511,"*b)*",'00 Encuesta'!$E$2:$E$511,"*b)*",'00 Encuesta'!$AP$2:$AP$511,"*b)*")</f>
        <v>3</v>
      </c>
      <c r="S330" s="52">
        <f t="shared" si="477"/>
        <v>20</v>
      </c>
      <c r="T330" s="3"/>
      <c r="U330" s="51">
        <f t="shared" si="478"/>
        <v>8</v>
      </c>
      <c r="V330" s="52">
        <f t="shared" si="479"/>
        <v>20.512820512820511</v>
      </c>
      <c r="W330" s="53">
        <f>COUNTIFS('00 Encuesta'!$B$2:$B$511,"*b)*",'00 Encuesta'!$C$2:$C$511,"*c)*",'00 Encuesta'!$E$2:$E$511,"*a)*",'00 Encuesta'!$AP$2:$AP$511,"*b)*")</f>
        <v>6</v>
      </c>
      <c r="X330" s="52">
        <f t="shared" si="480"/>
        <v>28.571428571428569</v>
      </c>
      <c r="Y330" s="53">
        <f>COUNTIFS('00 Encuesta'!$B$2:$B$511,"*b)*",'00 Encuesta'!$C$2:$C$511,"*c)*",'00 Encuesta'!$E$2:$E$511,"*b)*",'00 Encuesta'!$AP$2:$AP$511,"*b)*")</f>
        <v>2</v>
      </c>
      <c r="Z330" s="52">
        <f t="shared" si="481"/>
        <v>11.111111111111111</v>
      </c>
      <c r="AA330" s="3"/>
      <c r="AB330" s="62">
        <f t="shared" si="482"/>
        <v>23</v>
      </c>
      <c r="AC330" s="52">
        <f t="shared" si="483"/>
        <v>21.100917431192659</v>
      </c>
      <c r="AD330" s="3"/>
      <c r="AE330" s="3"/>
      <c r="AF330" s="9" t="str">
        <f t="shared" si="484"/>
        <v>b) Buena</v>
      </c>
      <c r="AG330" s="72">
        <f t="shared" si="485"/>
        <v>23.809523809523807</v>
      </c>
      <c r="AH330" s="72">
        <f t="shared" si="486"/>
        <v>23.52941176470588</v>
      </c>
      <c r="AI330" s="73">
        <f t="shared" si="487"/>
        <v>23.684210526315788</v>
      </c>
      <c r="AJ330" s="73"/>
      <c r="AK330" s="76">
        <f t="shared" si="488"/>
        <v>17.647058823529413</v>
      </c>
      <c r="AL330" s="76">
        <f t="shared" si="489"/>
        <v>20</v>
      </c>
      <c r="AM330" s="76">
        <f t="shared" si="490"/>
        <v>18.75</v>
      </c>
      <c r="AN330" s="76"/>
      <c r="AO330" s="81">
        <f t="shared" si="491"/>
        <v>28.571428571428569</v>
      </c>
      <c r="AP330" s="81">
        <f t="shared" si="492"/>
        <v>11.111111111111111</v>
      </c>
      <c r="AQ330" s="81">
        <f t="shared" si="493"/>
        <v>20.512820512820511</v>
      </c>
      <c r="AR330" s="3"/>
      <c r="AS330" s="76">
        <f t="shared" si="369"/>
        <v>21.100917431192659</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ht="15" x14ac:dyDescent="0.25">
      <c r="A331" s="8" t="s">
        <v>20</v>
      </c>
      <c r="B331" s="9" t="s">
        <v>218</v>
      </c>
      <c r="C331" s="7"/>
      <c r="D331" s="7"/>
      <c r="E331" s="7"/>
      <c r="F331" s="71">
        <v>50</v>
      </c>
      <c r="G331" s="51">
        <f t="shared" si="470"/>
        <v>11</v>
      </c>
      <c r="H331" s="52">
        <f t="shared" si="471"/>
        <v>28.947368421052634</v>
      </c>
      <c r="I331" s="53">
        <f>COUNTIFS('00 Encuesta'!$B$2:$B$511,"*b)*",'00 Encuesta'!$C$2:$C$511,"*a)*",'00 Encuesta'!$E$2:$E$511,"*a)*",'00 Encuesta'!$AP$2:$AP$511,"*c)*")</f>
        <v>6</v>
      </c>
      <c r="J331" s="52">
        <f t="shared" si="472"/>
        <v>28.571428571428569</v>
      </c>
      <c r="K331" s="53">
        <f>COUNTIFS('00 Encuesta'!$B$2:$B$511,"*b)*",'00 Encuesta'!$C$2:$C$511,"*a)*",'00 Encuesta'!$E$2:$E$511,"*b)*",'00 Encuesta'!$AP$2:$AP$511,"*c)*")</f>
        <v>5</v>
      </c>
      <c r="L331" s="52">
        <f t="shared" si="473"/>
        <v>29.411764705882355</v>
      </c>
      <c r="M331" s="23"/>
      <c r="N331" s="51">
        <f t="shared" si="474"/>
        <v>11</v>
      </c>
      <c r="O331" s="52">
        <f t="shared" si="475"/>
        <v>34.375</v>
      </c>
      <c r="P331" s="53">
        <f>COUNTIFS('00 Encuesta'!$B$2:$B$511,"*b)*",'00 Encuesta'!$C$2:$C$511,"*b)*",'00 Encuesta'!$E$2:$E$511,"*a)*",'00 Encuesta'!$AP$2:$AP$511,"*c)*")</f>
        <v>7</v>
      </c>
      <c r="Q331" s="52">
        <f t="shared" si="476"/>
        <v>41.17647058823529</v>
      </c>
      <c r="R331" s="53">
        <f>COUNTIFS('00 Encuesta'!$B$2:$B$511,"*b)*",'00 Encuesta'!$C$2:$C$511,"*b)*",'00 Encuesta'!$E$2:$E$511,"*b)*",'00 Encuesta'!$AP$2:$AP$511,"*c)*")</f>
        <v>4</v>
      </c>
      <c r="S331" s="52">
        <f t="shared" si="477"/>
        <v>26.666666666666668</v>
      </c>
      <c r="T331" s="3"/>
      <c r="U331" s="51">
        <f t="shared" si="478"/>
        <v>7</v>
      </c>
      <c r="V331" s="52">
        <f t="shared" si="479"/>
        <v>17.948717948717949</v>
      </c>
      <c r="W331" s="53">
        <f>COUNTIFS('00 Encuesta'!$B$2:$B$511,"*b)*",'00 Encuesta'!$C$2:$C$511,"*c)*",'00 Encuesta'!$E$2:$E$511,"*a)*",'00 Encuesta'!$AP$2:$AP$511,"*c)*")</f>
        <v>3</v>
      </c>
      <c r="X331" s="52">
        <f t="shared" si="480"/>
        <v>14.285714285714285</v>
      </c>
      <c r="Y331" s="53">
        <f>COUNTIFS('00 Encuesta'!$B$2:$B$511,"*b)*",'00 Encuesta'!$C$2:$C$511,"*c)*",'00 Encuesta'!$E$2:$E$511,"*b)*",'00 Encuesta'!$AP$2:$AP$511,"*c)*")</f>
        <v>4</v>
      </c>
      <c r="Z331" s="52">
        <f t="shared" si="481"/>
        <v>22.222222222222221</v>
      </c>
      <c r="AA331" s="3"/>
      <c r="AB331" s="62">
        <f t="shared" si="482"/>
        <v>29</v>
      </c>
      <c r="AC331" s="52">
        <f t="shared" si="483"/>
        <v>26.605504587155963</v>
      </c>
      <c r="AD331" s="3"/>
      <c r="AE331" s="3"/>
      <c r="AF331" s="9" t="str">
        <f t="shared" si="484"/>
        <v>c) Regular</v>
      </c>
      <c r="AG331" s="72">
        <f t="shared" si="485"/>
        <v>28.571428571428569</v>
      </c>
      <c r="AH331" s="72">
        <f t="shared" si="486"/>
        <v>29.411764705882355</v>
      </c>
      <c r="AI331" s="73">
        <f t="shared" si="487"/>
        <v>28.947368421052634</v>
      </c>
      <c r="AJ331" s="73"/>
      <c r="AK331" s="76">
        <f t="shared" si="488"/>
        <v>41.17647058823529</v>
      </c>
      <c r="AL331" s="76">
        <f t="shared" si="489"/>
        <v>26.666666666666668</v>
      </c>
      <c r="AM331" s="76">
        <f t="shared" si="490"/>
        <v>34.375</v>
      </c>
      <c r="AN331" s="76"/>
      <c r="AO331" s="81">
        <f t="shared" si="491"/>
        <v>14.285714285714285</v>
      </c>
      <c r="AP331" s="81">
        <f t="shared" si="492"/>
        <v>22.222222222222221</v>
      </c>
      <c r="AQ331" s="81">
        <f t="shared" si="493"/>
        <v>17.948717948717949</v>
      </c>
      <c r="AR331" s="3"/>
      <c r="AS331" s="76">
        <f t="shared" si="369"/>
        <v>26.605504587155963</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ht="15" x14ac:dyDescent="0.25">
      <c r="A332" s="8" t="s">
        <v>21</v>
      </c>
      <c r="B332" s="9" t="s">
        <v>231</v>
      </c>
      <c r="C332" s="7"/>
      <c r="D332" s="7"/>
      <c r="E332" s="7"/>
      <c r="F332" s="71">
        <v>25</v>
      </c>
      <c r="G332" s="51">
        <f t="shared" si="470"/>
        <v>3</v>
      </c>
      <c r="H332" s="52">
        <f t="shared" si="471"/>
        <v>7.8947368421052628</v>
      </c>
      <c r="I332" s="53">
        <f>COUNTIFS('00 Encuesta'!$B$2:$B$511,"*b)*",'00 Encuesta'!$C$2:$C$511,"*a)*",'00 Encuesta'!$E$2:$E$511,"*a)*",'00 Encuesta'!$AP$2:$AP$511,"*d)*")</f>
        <v>1</v>
      </c>
      <c r="J332" s="52">
        <f t="shared" si="472"/>
        <v>4.7619047619047619</v>
      </c>
      <c r="K332" s="53">
        <f>COUNTIFS('00 Encuesta'!$B$2:$B$511,"*b)*",'00 Encuesta'!$C$2:$C$511,"*a)*",'00 Encuesta'!$E$2:$E$511,"*b)*",'00 Encuesta'!$AP$2:$AP$511,"*d)*")</f>
        <v>2</v>
      </c>
      <c r="L332" s="52">
        <f t="shared" si="473"/>
        <v>11.76470588235294</v>
      </c>
      <c r="M332" s="23"/>
      <c r="N332" s="51">
        <f t="shared" si="474"/>
        <v>3</v>
      </c>
      <c r="O332" s="52">
        <f t="shared" si="475"/>
        <v>9.375</v>
      </c>
      <c r="P332" s="53">
        <f>COUNTIFS('00 Encuesta'!$B$2:$B$511,"*b)*",'00 Encuesta'!$C$2:$C$511,"*b)*",'00 Encuesta'!$E$2:$E$511,"*a)*",'00 Encuesta'!$AP$2:$AP$511,"*d)*")</f>
        <v>1</v>
      </c>
      <c r="Q332" s="52">
        <f t="shared" si="476"/>
        <v>5.8823529411764701</v>
      </c>
      <c r="R332" s="53">
        <f>COUNTIFS('00 Encuesta'!$B$2:$B$511,"*b)*",'00 Encuesta'!$C$2:$C$511,"*b)*",'00 Encuesta'!$E$2:$E$511,"*b)*",'00 Encuesta'!$AP$2:$AP$511,"*d)*")</f>
        <v>2</v>
      </c>
      <c r="S332" s="52">
        <f t="shared" si="477"/>
        <v>13.333333333333334</v>
      </c>
      <c r="T332" s="3"/>
      <c r="U332" s="51">
        <f t="shared" si="478"/>
        <v>3</v>
      </c>
      <c r="V332" s="52">
        <f t="shared" si="479"/>
        <v>7.6923076923076925</v>
      </c>
      <c r="W332" s="53">
        <f>COUNTIFS('00 Encuesta'!$B$2:$B$511,"*b)*",'00 Encuesta'!$C$2:$C$511,"*c)*",'00 Encuesta'!$E$2:$E$511,"*a)*",'00 Encuesta'!$AP$2:$AP$511,"*d)*")</f>
        <v>0</v>
      </c>
      <c r="X332" s="52">
        <f t="shared" si="480"/>
        <v>0</v>
      </c>
      <c r="Y332" s="53">
        <f>COUNTIFS('00 Encuesta'!$B$2:$B$511,"*b)*",'00 Encuesta'!$C$2:$C$511,"*c)*",'00 Encuesta'!$E$2:$E$511,"*b)*",'00 Encuesta'!$AP$2:$AP$511,"*d)*")</f>
        <v>3</v>
      </c>
      <c r="Z332" s="52">
        <f t="shared" si="481"/>
        <v>16.666666666666664</v>
      </c>
      <c r="AA332" s="3"/>
      <c r="AB332" s="62">
        <f t="shared" si="482"/>
        <v>9</v>
      </c>
      <c r="AC332" s="52">
        <f t="shared" si="483"/>
        <v>8.2568807339449535</v>
      </c>
      <c r="AD332" s="3"/>
      <c r="AE332" s="3"/>
      <c r="AF332" s="9" t="str">
        <f t="shared" si="484"/>
        <v>d) Mala</v>
      </c>
      <c r="AG332" s="72">
        <f t="shared" si="485"/>
        <v>4.7619047619047619</v>
      </c>
      <c r="AH332" s="72">
        <f t="shared" si="486"/>
        <v>11.76470588235294</v>
      </c>
      <c r="AI332" s="73">
        <f t="shared" si="487"/>
        <v>7.8947368421052628</v>
      </c>
      <c r="AJ332" s="73"/>
      <c r="AK332" s="76">
        <f t="shared" si="488"/>
        <v>5.8823529411764701</v>
      </c>
      <c r="AL332" s="76">
        <f t="shared" si="489"/>
        <v>13.333333333333334</v>
      </c>
      <c r="AM332" s="76">
        <f t="shared" si="490"/>
        <v>9.375</v>
      </c>
      <c r="AN332" s="76"/>
      <c r="AO332" s="81">
        <f t="shared" si="491"/>
        <v>0</v>
      </c>
      <c r="AP332" s="81">
        <f t="shared" si="492"/>
        <v>16.666666666666664</v>
      </c>
      <c r="AQ332" s="81">
        <f t="shared" si="493"/>
        <v>7.6923076923076925</v>
      </c>
      <c r="AR332" s="3"/>
      <c r="AS332" s="76">
        <f t="shared" si="369"/>
        <v>8.2568807339449535</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ht="15" x14ac:dyDescent="0.25">
      <c r="A333" s="8" t="s">
        <v>22</v>
      </c>
      <c r="B333" s="9" t="s">
        <v>232</v>
      </c>
      <c r="C333" s="7"/>
      <c r="D333" s="7"/>
      <c r="E333" s="7"/>
      <c r="F333" s="71">
        <v>0</v>
      </c>
      <c r="G333" s="51">
        <f t="shared" si="470"/>
        <v>4</v>
      </c>
      <c r="H333" s="52">
        <f t="shared" si="471"/>
        <v>10.526315789473683</v>
      </c>
      <c r="I333" s="53">
        <f>COUNTIFS('00 Encuesta'!$B$2:$B$511,"*b)*",'00 Encuesta'!$C$2:$C$511,"*a)*",'00 Encuesta'!$E$2:$E$511,"*a)*",'00 Encuesta'!$AP$2:$AP$511,"*e)*")</f>
        <v>3</v>
      </c>
      <c r="J333" s="52">
        <f t="shared" si="472"/>
        <v>14.285714285714285</v>
      </c>
      <c r="K333" s="53">
        <f>COUNTIFS('00 Encuesta'!$B$2:$B$511,"*b)*",'00 Encuesta'!$C$2:$C$511,"*a)*",'00 Encuesta'!$E$2:$E$511,"*b)*",'00 Encuesta'!$AP$2:$AP$511,"*e)*")</f>
        <v>1</v>
      </c>
      <c r="L333" s="52">
        <f t="shared" si="473"/>
        <v>5.8823529411764701</v>
      </c>
      <c r="M333" s="23"/>
      <c r="N333" s="51">
        <f t="shared" si="474"/>
        <v>0</v>
      </c>
      <c r="O333" s="52">
        <f t="shared" si="475"/>
        <v>0</v>
      </c>
      <c r="P333" s="53">
        <f>COUNTIFS('00 Encuesta'!$B$2:$B$511,"*b)*",'00 Encuesta'!$C$2:$C$511,"*b)*",'00 Encuesta'!$E$2:$E$511,"*a)*",'00 Encuesta'!$AP$2:$AP$511,"*e)*")</f>
        <v>0</v>
      </c>
      <c r="Q333" s="52">
        <f t="shared" si="476"/>
        <v>0</v>
      </c>
      <c r="R333" s="53">
        <f>COUNTIFS('00 Encuesta'!$B$2:$B$511,"*b)*",'00 Encuesta'!$C$2:$C$511,"*b)*",'00 Encuesta'!$E$2:$E$511,"*b)*",'00 Encuesta'!$AP$2:$AP$511,"*e)*")</f>
        <v>0</v>
      </c>
      <c r="S333" s="52">
        <f t="shared" si="477"/>
        <v>0</v>
      </c>
      <c r="T333" s="3"/>
      <c r="U333" s="51">
        <f t="shared" si="478"/>
        <v>7</v>
      </c>
      <c r="V333" s="52">
        <f t="shared" si="479"/>
        <v>17.948717948717949</v>
      </c>
      <c r="W333" s="53">
        <f>COUNTIFS('00 Encuesta'!$B$2:$B$511,"*b)*",'00 Encuesta'!$C$2:$C$511,"*c)*",'00 Encuesta'!$E$2:$E$511,"*a)*",'00 Encuesta'!$AP$2:$AP$511,"*e)*")</f>
        <v>4</v>
      </c>
      <c r="X333" s="52">
        <f t="shared" si="480"/>
        <v>19.047619047619047</v>
      </c>
      <c r="Y333" s="53">
        <f>COUNTIFS('00 Encuesta'!$B$2:$B$511,"*b)*",'00 Encuesta'!$C$2:$C$511,"*c)*",'00 Encuesta'!$E$2:$E$511,"*b)*",'00 Encuesta'!$AP$2:$AP$511,"*e)*")</f>
        <v>3</v>
      </c>
      <c r="Z333" s="52">
        <f t="shared" si="481"/>
        <v>16.666666666666664</v>
      </c>
      <c r="AA333" s="3"/>
      <c r="AB333" s="62">
        <f t="shared" si="482"/>
        <v>11</v>
      </c>
      <c r="AC333" s="52">
        <f t="shared" si="483"/>
        <v>10.091743119266056</v>
      </c>
      <c r="AD333" s="3"/>
      <c r="AE333" s="3"/>
      <c r="AF333" s="9" t="str">
        <f t="shared" si="484"/>
        <v>e) Muy mala</v>
      </c>
      <c r="AG333" s="72">
        <f t="shared" si="485"/>
        <v>14.285714285714285</v>
      </c>
      <c r="AH333" s="72">
        <f t="shared" si="486"/>
        <v>5.8823529411764701</v>
      </c>
      <c r="AI333" s="73">
        <f t="shared" si="487"/>
        <v>10.526315789473683</v>
      </c>
      <c r="AJ333" s="73"/>
      <c r="AK333" s="76">
        <f t="shared" si="488"/>
        <v>0</v>
      </c>
      <c r="AL333" s="76">
        <f t="shared" si="489"/>
        <v>0</v>
      </c>
      <c r="AM333" s="76">
        <f t="shared" si="490"/>
        <v>0</v>
      </c>
      <c r="AN333" s="76"/>
      <c r="AO333" s="81">
        <f t="shared" si="491"/>
        <v>19.047619047619047</v>
      </c>
      <c r="AP333" s="81">
        <f t="shared" si="492"/>
        <v>16.666666666666664</v>
      </c>
      <c r="AQ333" s="81">
        <f t="shared" si="493"/>
        <v>17.948717948717949</v>
      </c>
      <c r="AR333" s="3"/>
      <c r="AS333" s="76">
        <f t="shared" si="369"/>
        <v>10.091743119266056</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ht="15" x14ac:dyDescent="0.25">
      <c r="A334" s="8" t="s">
        <v>45</v>
      </c>
      <c r="B334" s="9" t="s">
        <v>233</v>
      </c>
      <c r="C334" s="7"/>
      <c r="D334" s="7"/>
      <c r="E334" s="7"/>
      <c r="F334" s="71"/>
      <c r="G334" s="51">
        <f t="shared" si="470"/>
        <v>3</v>
      </c>
      <c r="H334" s="52">
        <f t="shared" si="471"/>
        <v>7.8947368421052628</v>
      </c>
      <c r="I334" s="53">
        <f>COUNTIFS('00 Encuesta'!$B$2:$B$511,"*b)*",'00 Encuesta'!$C$2:$C$511,"*a)*",'00 Encuesta'!$E$2:$E$511,"*a)*",'00 Encuesta'!$AP$2:$AP$511,"*f)*")</f>
        <v>1</v>
      </c>
      <c r="J334" s="52">
        <f t="shared" si="472"/>
        <v>4.7619047619047619</v>
      </c>
      <c r="K334" s="53">
        <f>COUNTIFS('00 Encuesta'!$B$2:$B$511,"*b)*",'00 Encuesta'!$C$2:$C$511,"*a)*",'00 Encuesta'!$E$2:$E$511,"*b)*",'00 Encuesta'!$AP$2:$AP$511,"*f)*")</f>
        <v>2</v>
      </c>
      <c r="L334" s="52">
        <f t="shared" si="473"/>
        <v>11.76470588235294</v>
      </c>
      <c r="M334" s="23"/>
      <c r="N334" s="51">
        <f t="shared" si="474"/>
        <v>7</v>
      </c>
      <c r="O334" s="52">
        <f t="shared" si="475"/>
        <v>21.875</v>
      </c>
      <c r="P334" s="53">
        <f>COUNTIFS('00 Encuesta'!$B$2:$B$511,"*b)*",'00 Encuesta'!$C$2:$C$511,"*b)*",'00 Encuesta'!$E$2:$E$511,"*a)*",'00 Encuesta'!$AP$2:$AP$511,"*f)*")</f>
        <v>1</v>
      </c>
      <c r="Q334" s="52">
        <f t="shared" si="476"/>
        <v>5.8823529411764701</v>
      </c>
      <c r="R334" s="53">
        <f>COUNTIFS('00 Encuesta'!$B$2:$B$511,"*b)*",'00 Encuesta'!$C$2:$C$511,"*b)*",'00 Encuesta'!$E$2:$E$511,"*b)*",'00 Encuesta'!$AP$2:$AP$511,"*f)*")</f>
        <v>6</v>
      </c>
      <c r="S334" s="52">
        <f t="shared" si="477"/>
        <v>40</v>
      </c>
      <c r="T334" s="3"/>
      <c r="U334" s="51">
        <f t="shared" si="478"/>
        <v>13</v>
      </c>
      <c r="V334" s="52">
        <f t="shared" si="479"/>
        <v>33.333333333333329</v>
      </c>
      <c r="W334" s="53">
        <f>COUNTIFS('00 Encuesta'!$B$2:$B$511,"*b)*",'00 Encuesta'!$C$2:$C$511,"*c)*",'00 Encuesta'!$E$2:$E$511,"*a)*",'00 Encuesta'!$AP$2:$AP$511,"*f)*")</f>
        <v>7</v>
      </c>
      <c r="X334" s="52">
        <f t="shared" si="480"/>
        <v>33.333333333333329</v>
      </c>
      <c r="Y334" s="53">
        <f>COUNTIFS('00 Encuesta'!$B$2:$B$511,"*b)*",'00 Encuesta'!$C$2:$C$511,"*c)*",'00 Encuesta'!$E$2:$E$511,"*b)*",'00 Encuesta'!$AP$2:$AP$511,"*f)*")</f>
        <v>6</v>
      </c>
      <c r="Z334" s="52">
        <f t="shared" si="481"/>
        <v>33.333333333333329</v>
      </c>
      <c r="AA334" s="3"/>
      <c r="AB334" s="62">
        <f t="shared" si="482"/>
        <v>23</v>
      </c>
      <c r="AC334" s="52">
        <f t="shared" si="483"/>
        <v>21.100917431192659</v>
      </c>
      <c r="AD334" s="3"/>
      <c r="AE334" s="3"/>
      <c r="AF334" s="9" t="str">
        <f t="shared" si="484"/>
        <v>f) No aplica</v>
      </c>
      <c r="AG334" s="72">
        <f t="shared" si="485"/>
        <v>4.7619047619047619</v>
      </c>
      <c r="AH334" s="72">
        <f t="shared" si="486"/>
        <v>11.76470588235294</v>
      </c>
      <c r="AI334" s="73">
        <f t="shared" si="487"/>
        <v>7.8947368421052628</v>
      </c>
      <c r="AJ334" s="73"/>
      <c r="AK334" s="76">
        <f t="shared" si="488"/>
        <v>5.8823529411764701</v>
      </c>
      <c r="AL334" s="76">
        <f t="shared" si="489"/>
        <v>40</v>
      </c>
      <c r="AM334" s="76">
        <f t="shared" si="490"/>
        <v>21.875</v>
      </c>
      <c r="AN334" s="76"/>
      <c r="AO334" s="81">
        <f t="shared" si="491"/>
        <v>33.333333333333329</v>
      </c>
      <c r="AP334" s="81">
        <f t="shared" si="492"/>
        <v>33.333333333333329</v>
      </c>
      <c r="AQ334" s="81">
        <f t="shared" si="493"/>
        <v>33.333333333333329</v>
      </c>
      <c r="AR334" s="3"/>
      <c r="AS334" s="76">
        <f t="shared" si="369"/>
        <v>21.100917431192659</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ht="15" x14ac:dyDescent="0.25">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52.941176470588232</v>
      </c>
      <c r="AH335" s="82">
        <f>($F329*K329+$F330*K330+$F331*K331+$F332*K332+$F333*K333)/(K329+K330+K331+K332+K333)</f>
        <v>57.142857142857146</v>
      </c>
      <c r="AI335" s="82">
        <f>($F329*G329+$F330*G330+$F331*G331+$F332*G332+$F333*G333)/(G329+G330+G331+G332+G333)</f>
        <v>54.838709677419352</v>
      </c>
      <c r="AJ335" s="82"/>
      <c r="AK335" s="82">
        <f>($F329*Q329+$F330*Q330+$F331*Q331+$F332*Q332+$F333*Q333)/(Q329+Q330+Q331+Q332+Q333)</f>
        <v>58.333333333333343</v>
      </c>
      <c r="AL335" s="82">
        <f>($F329*S329+$F330*S330+$F331*S331+$F332*S332+$F333*S333)/(S329+S330+S331+S332+S333)</f>
        <v>52.777777777777779</v>
      </c>
      <c r="AM335" s="82">
        <f>($F329*O329+$F330*O330+$F331*O331+$F332*O332+$F333*O333)/(O329+O330+O331+O332+O333)</f>
        <v>55.952380952380949</v>
      </c>
      <c r="AN335" s="82"/>
      <c r="AO335" s="82">
        <f>($F329*W329+$F330*W330+$F331*W331+$F332*W332+$F333*W333)/(W329+W330+W331+W332+W333)</f>
        <v>46.153846153846153</v>
      </c>
      <c r="AP335" s="82">
        <f>($F329*Y329+$F330*Y330+$F331*Y331+$F332*Y332+$F333*Y333)/(Y329+Y330+Y331+Y332+Y333)</f>
        <v>35.416666666666664</v>
      </c>
      <c r="AQ335" s="82">
        <f>($F329*U329+$F330*U330+$F331*U331+$F332*U332+$F333*U333)/(U329+U330+U331+U332+U333)</f>
        <v>41</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ht="15" x14ac:dyDescent="0.25">
      <c r="A337" s="8" t="s">
        <v>17</v>
      </c>
      <c r="B337" s="9" t="s">
        <v>229</v>
      </c>
      <c r="C337" s="7"/>
      <c r="D337" s="7"/>
      <c r="E337" s="7"/>
      <c r="F337" s="71">
        <v>100</v>
      </c>
      <c r="G337" s="51">
        <f t="shared" ref="G337:G342" si="494">I337+K337</f>
        <v>14</v>
      </c>
      <c r="H337" s="52">
        <f t="shared" ref="H337:H342" si="495">G337/$J$5*100</f>
        <v>36.84210526315789</v>
      </c>
      <c r="I337" s="53">
        <f>COUNTIFS('00 Encuesta'!$B$2:$B$511,"*b)*",'00 Encuesta'!$C$2:$C$511,"*a)*",'00 Encuesta'!$E$2:$E$511,"*a)*",'00 Encuesta'!$AQ$2:$AQ$511,"*a)*")</f>
        <v>7</v>
      </c>
      <c r="J337" s="52">
        <f t="shared" ref="J337:J342" si="496">I337/$J$6*100</f>
        <v>33.333333333333329</v>
      </c>
      <c r="K337" s="53">
        <f>COUNTIFS('00 Encuesta'!$B$2:$B$511,"*b)*",'00 Encuesta'!$C$2:$C$511,"*a)*",'00 Encuesta'!$E$2:$E$511,"*b)*",'00 Encuesta'!$AQ$2:$AQ$511,"*a)*")</f>
        <v>7</v>
      </c>
      <c r="L337" s="52">
        <f t="shared" ref="L337:L342" si="497">K337/$J$7*100</f>
        <v>41.17647058823529</v>
      </c>
      <c r="M337" s="23"/>
      <c r="N337" s="51">
        <f t="shared" ref="N337:N342" si="498">P337+R337</f>
        <v>8</v>
      </c>
      <c r="O337" s="52">
        <f t="shared" ref="O337:O342" si="499">N337/$Q$5*100</f>
        <v>25</v>
      </c>
      <c r="P337" s="53">
        <f>COUNTIFS('00 Encuesta'!$B$2:$B$511,"*b)*",'00 Encuesta'!$C$2:$C$511,"*b)*",'00 Encuesta'!$E$2:$E$511,"*a)*",'00 Encuesta'!$AQ$2:$AQ$511,"*a)*")</f>
        <v>5</v>
      </c>
      <c r="Q337" s="52">
        <f t="shared" ref="Q337:Q342" si="500">P337/$Q$6*100</f>
        <v>29.411764705882355</v>
      </c>
      <c r="R337" s="53">
        <f>COUNTIFS('00 Encuesta'!$B$2:$B$511,"*b)*",'00 Encuesta'!$C$2:$C$511,"*b)*",'00 Encuesta'!$E$2:$E$511,"*b)*",'00 Encuesta'!$AQ$2:$AQ$511,"*a)*")</f>
        <v>3</v>
      </c>
      <c r="S337" s="52">
        <f t="shared" ref="S337:S342" si="501">R337/$Q$7*100</f>
        <v>20</v>
      </c>
      <c r="T337" s="3"/>
      <c r="U337" s="51">
        <f t="shared" ref="U337:U342" si="502">W337+Y337</f>
        <v>4</v>
      </c>
      <c r="V337" s="52">
        <f t="shared" ref="V337:V342" si="503">U337/$X$5*100</f>
        <v>10.256410256410255</v>
      </c>
      <c r="W337" s="53">
        <f>COUNTIFS('00 Encuesta'!$B$2:$B$511,"*b)*",'00 Encuesta'!$C$2:$C$511,"*c)*",'00 Encuesta'!$E$2:$E$511,"*a)*",'00 Encuesta'!$AQ$2:$AQ$511,"*a)*")</f>
        <v>1</v>
      </c>
      <c r="X337" s="52">
        <f t="shared" ref="X337:X342" si="504">W337/$X$6*100</f>
        <v>4.7619047619047619</v>
      </c>
      <c r="Y337" s="53">
        <f>COUNTIFS('00 Encuesta'!$B$2:$B$511,"*b)*",'00 Encuesta'!$C$2:$C$511,"*c)*",'00 Encuesta'!$E$2:$E$511,"*b)*",'00 Encuesta'!$AQ$2:$AQ$511,"*a)*")</f>
        <v>3</v>
      </c>
      <c r="Z337" s="52">
        <f t="shared" ref="Z337:Z342" si="505">Y337/$X$7*100</f>
        <v>16.666666666666664</v>
      </c>
      <c r="AA337" s="3"/>
      <c r="AB337" s="62">
        <f t="shared" ref="AB337:AB342" si="506">G337+N337+U337</f>
        <v>26</v>
      </c>
      <c r="AC337" s="52">
        <f t="shared" ref="AC337:AC342" si="507">AB337*100/$AC$5</f>
        <v>23.853211009174313</v>
      </c>
      <c r="AD337" s="3"/>
      <c r="AE337" s="3"/>
      <c r="AF337" s="9" t="str">
        <f t="shared" ref="AF337:AF342" si="508">A337&amp;" "&amp;B337</f>
        <v>a) Muy buena</v>
      </c>
      <c r="AG337" s="72">
        <f t="shared" ref="AG337:AG342" si="509">J337</f>
        <v>33.333333333333329</v>
      </c>
      <c r="AH337" s="72">
        <f t="shared" ref="AH337:AH342" si="510">L337</f>
        <v>41.17647058823529</v>
      </c>
      <c r="AI337" s="73">
        <f t="shared" ref="AI337:AI342" si="511">H337</f>
        <v>36.84210526315789</v>
      </c>
      <c r="AJ337" s="73"/>
      <c r="AK337" s="76">
        <f t="shared" ref="AK337:AK342" si="512">Q337</f>
        <v>29.411764705882355</v>
      </c>
      <c r="AL337" s="76">
        <f t="shared" ref="AL337:AL342" si="513">S337</f>
        <v>20</v>
      </c>
      <c r="AM337" s="76">
        <f t="shared" ref="AM337:AM342" si="514">O337</f>
        <v>25</v>
      </c>
      <c r="AN337" s="76"/>
      <c r="AO337" s="81">
        <f t="shared" ref="AO337:AO342" si="515">X337</f>
        <v>4.7619047619047619</v>
      </c>
      <c r="AP337" s="81">
        <f t="shared" ref="AP337:AP342" si="516">Z337</f>
        <v>16.666666666666664</v>
      </c>
      <c r="AQ337" s="81">
        <f t="shared" ref="AQ337:AQ342" si="517">V337</f>
        <v>10.256410256410255</v>
      </c>
      <c r="AR337" s="3"/>
      <c r="AS337" s="76">
        <f t="shared" si="369"/>
        <v>23.853211009174313</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ht="15" x14ac:dyDescent="0.25">
      <c r="A338" s="8" t="s">
        <v>18</v>
      </c>
      <c r="B338" s="9" t="s">
        <v>230</v>
      </c>
      <c r="C338" s="7"/>
      <c r="D338" s="7"/>
      <c r="E338" s="7"/>
      <c r="F338" s="71">
        <v>75</v>
      </c>
      <c r="G338" s="51">
        <f t="shared" si="494"/>
        <v>14</v>
      </c>
      <c r="H338" s="52">
        <f t="shared" si="495"/>
        <v>36.84210526315789</v>
      </c>
      <c r="I338" s="53">
        <f>COUNTIFS('00 Encuesta'!$B$2:$B$511,"*b)*",'00 Encuesta'!$C$2:$C$511,"*a)*",'00 Encuesta'!$E$2:$E$511,"*a)*",'00 Encuesta'!$AQ$2:$AQ$511,"*b)*")</f>
        <v>7</v>
      </c>
      <c r="J338" s="52">
        <f t="shared" si="496"/>
        <v>33.333333333333329</v>
      </c>
      <c r="K338" s="53">
        <f>COUNTIFS('00 Encuesta'!$B$2:$B$511,"*b)*",'00 Encuesta'!$C$2:$C$511,"*a)*",'00 Encuesta'!$E$2:$E$511,"*b)*",'00 Encuesta'!$AQ$2:$AQ$511,"*b)*")</f>
        <v>7</v>
      </c>
      <c r="L338" s="52">
        <f t="shared" si="497"/>
        <v>41.17647058823529</v>
      </c>
      <c r="M338" s="23"/>
      <c r="N338" s="51">
        <f t="shared" si="498"/>
        <v>14</v>
      </c>
      <c r="O338" s="52">
        <f t="shared" si="499"/>
        <v>43.75</v>
      </c>
      <c r="P338" s="53">
        <f>COUNTIFS('00 Encuesta'!$B$2:$B$511,"*b)*",'00 Encuesta'!$C$2:$C$511,"*b)*",'00 Encuesta'!$E$2:$E$511,"*a)*",'00 Encuesta'!$AQ$2:$AQ$511,"*b)*")</f>
        <v>5</v>
      </c>
      <c r="Q338" s="52">
        <f t="shared" si="500"/>
        <v>29.411764705882355</v>
      </c>
      <c r="R338" s="53">
        <f>COUNTIFS('00 Encuesta'!$B$2:$B$511,"*b)*",'00 Encuesta'!$C$2:$C$511,"*b)*",'00 Encuesta'!$E$2:$E$511,"*b)*",'00 Encuesta'!$AQ$2:$AQ$511,"*b)*")</f>
        <v>9</v>
      </c>
      <c r="S338" s="52">
        <f t="shared" si="501"/>
        <v>60</v>
      </c>
      <c r="T338" s="3"/>
      <c r="U338" s="51">
        <f t="shared" si="502"/>
        <v>19</v>
      </c>
      <c r="V338" s="52">
        <f t="shared" si="503"/>
        <v>48.717948717948715</v>
      </c>
      <c r="W338" s="53">
        <f>COUNTIFS('00 Encuesta'!$B$2:$B$511,"*b)*",'00 Encuesta'!$C$2:$C$511,"*c)*",'00 Encuesta'!$E$2:$E$511,"*a)*",'00 Encuesta'!$AQ$2:$AQ$511,"*b)*")</f>
        <v>12</v>
      </c>
      <c r="X338" s="52">
        <f t="shared" si="504"/>
        <v>57.142857142857139</v>
      </c>
      <c r="Y338" s="53">
        <f>COUNTIFS('00 Encuesta'!$B$2:$B$511,"*b)*",'00 Encuesta'!$C$2:$C$511,"*c)*",'00 Encuesta'!$E$2:$E$511,"*b)*",'00 Encuesta'!$AQ$2:$AQ$511,"*b)*")</f>
        <v>7</v>
      </c>
      <c r="Z338" s="52">
        <f t="shared" si="505"/>
        <v>38.888888888888893</v>
      </c>
      <c r="AA338" s="3"/>
      <c r="AB338" s="62">
        <f t="shared" si="506"/>
        <v>47</v>
      </c>
      <c r="AC338" s="52">
        <f t="shared" si="507"/>
        <v>43.11926605504587</v>
      </c>
      <c r="AD338" s="3"/>
      <c r="AE338" s="3"/>
      <c r="AF338" s="9" t="str">
        <f t="shared" si="508"/>
        <v>b) Buena</v>
      </c>
      <c r="AG338" s="72">
        <f t="shared" si="509"/>
        <v>33.333333333333329</v>
      </c>
      <c r="AH338" s="72">
        <f t="shared" si="510"/>
        <v>41.17647058823529</v>
      </c>
      <c r="AI338" s="73">
        <f t="shared" si="511"/>
        <v>36.84210526315789</v>
      </c>
      <c r="AJ338" s="73"/>
      <c r="AK338" s="76">
        <f t="shared" si="512"/>
        <v>29.411764705882355</v>
      </c>
      <c r="AL338" s="76">
        <f t="shared" si="513"/>
        <v>60</v>
      </c>
      <c r="AM338" s="76">
        <f t="shared" si="514"/>
        <v>43.75</v>
      </c>
      <c r="AN338" s="76"/>
      <c r="AO338" s="81">
        <f t="shared" si="515"/>
        <v>57.142857142857139</v>
      </c>
      <c r="AP338" s="81">
        <f t="shared" si="516"/>
        <v>38.888888888888893</v>
      </c>
      <c r="AQ338" s="81">
        <f t="shared" si="517"/>
        <v>48.717948717948715</v>
      </c>
      <c r="AR338" s="3"/>
      <c r="AS338" s="76">
        <f t="shared" si="369"/>
        <v>43.11926605504587</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ht="15" x14ac:dyDescent="0.25">
      <c r="A339" s="8" t="s">
        <v>20</v>
      </c>
      <c r="B339" s="9" t="s">
        <v>218</v>
      </c>
      <c r="C339" s="7"/>
      <c r="D339" s="7"/>
      <c r="E339" s="7"/>
      <c r="F339" s="71">
        <v>50</v>
      </c>
      <c r="G339" s="51">
        <f t="shared" si="494"/>
        <v>3</v>
      </c>
      <c r="H339" s="52">
        <f t="shared" si="495"/>
        <v>7.8947368421052628</v>
      </c>
      <c r="I339" s="53">
        <f>COUNTIFS('00 Encuesta'!$B$2:$B$511,"*b)*",'00 Encuesta'!$C$2:$C$511,"*a)*",'00 Encuesta'!$E$2:$E$511,"*a)*",'00 Encuesta'!$AQ$2:$AQ$511,"*c)*")</f>
        <v>2</v>
      </c>
      <c r="J339" s="52">
        <f t="shared" si="496"/>
        <v>9.5238095238095237</v>
      </c>
      <c r="K339" s="53">
        <f>COUNTIFS('00 Encuesta'!$B$2:$B$511,"*b)*",'00 Encuesta'!$C$2:$C$511,"*a)*",'00 Encuesta'!$E$2:$E$511,"*b)*",'00 Encuesta'!$AQ$2:$AQ$511,"*c)*")</f>
        <v>1</v>
      </c>
      <c r="L339" s="52">
        <f t="shared" si="497"/>
        <v>5.8823529411764701</v>
      </c>
      <c r="M339" s="23"/>
      <c r="N339" s="51">
        <f t="shared" si="498"/>
        <v>5</v>
      </c>
      <c r="O339" s="52">
        <f t="shared" si="499"/>
        <v>15.625</v>
      </c>
      <c r="P339" s="53">
        <f>COUNTIFS('00 Encuesta'!$B$2:$B$511,"*b)*",'00 Encuesta'!$C$2:$C$511,"*b)*",'00 Encuesta'!$E$2:$E$511,"*a)*",'00 Encuesta'!$AQ$2:$AQ$511,"*c)*")</f>
        <v>3</v>
      </c>
      <c r="Q339" s="52">
        <f t="shared" si="500"/>
        <v>17.647058823529413</v>
      </c>
      <c r="R339" s="53">
        <f>COUNTIFS('00 Encuesta'!$B$2:$B$511,"*b)*",'00 Encuesta'!$C$2:$C$511,"*b)*",'00 Encuesta'!$E$2:$E$511,"*b)*",'00 Encuesta'!$AQ$2:$AQ$511,"*c)*")</f>
        <v>2</v>
      </c>
      <c r="S339" s="52">
        <f t="shared" si="501"/>
        <v>13.333333333333334</v>
      </c>
      <c r="T339" s="3"/>
      <c r="U339" s="51">
        <f t="shared" si="502"/>
        <v>12</v>
      </c>
      <c r="V339" s="52">
        <f t="shared" si="503"/>
        <v>30.76923076923077</v>
      </c>
      <c r="W339" s="53">
        <f>COUNTIFS('00 Encuesta'!$B$2:$B$511,"*b)*",'00 Encuesta'!$C$2:$C$511,"*c)*",'00 Encuesta'!$E$2:$E$511,"*a)*",'00 Encuesta'!$AQ$2:$AQ$511,"*c)*")</f>
        <v>6</v>
      </c>
      <c r="X339" s="52">
        <f t="shared" si="504"/>
        <v>28.571428571428569</v>
      </c>
      <c r="Y339" s="53">
        <f>COUNTIFS('00 Encuesta'!$B$2:$B$511,"*b)*",'00 Encuesta'!$C$2:$C$511,"*c)*",'00 Encuesta'!$E$2:$E$511,"*b)*",'00 Encuesta'!$AQ$2:$AQ$511,"*c)*")</f>
        <v>6</v>
      </c>
      <c r="Z339" s="52">
        <f t="shared" si="505"/>
        <v>33.333333333333329</v>
      </c>
      <c r="AA339" s="3"/>
      <c r="AB339" s="62">
        <f t="shared" si="506"/>
        <v>20</v>
      </c>
      <c r="AC339" s="52">
        <f t="shared" si="507"/>
        <v>18.348623853211009</v>
      </c>
      <c r="AD339" s="3"/>
      <c r="AE339" s="3"/>
      <c r="AF339" s="9" t="str">
        <f t="shared" si="508"/>
        <v>c) Regular</v>
      </c>
      <c r="AG339" s="72">
        <f t="shared" si="509"/>
        <v>9.5238095238095237</v>
      </c>
      <c r="AH339" s="72">
        <f t="shared" si="510"/>
        <v>5.8823529411764701</v>
      </c>
      <c r="AI339" s="73">
        <f t="shared" si="511"/>
        <v>7.8947368421052628</v>
      </c>
      <c r="AJ339" s="73"/>
      <c r="AK339" s="76">
        <f t="shared" si="512"/>
        <v>17.647058823529413</v>
      </c>
      <c r="AL339" s="76">
        <f t="shared" si="513"/>
        <v>13.333333333333334</v>
      </c>
      <c r="AM339" s="76">
        <f t="shared" si="514"/>
        <v>15.625</v>
      </c>
      <c r="AN339" s="76"/>
      <c r="AO339" s="81">
        <f t="shared" si="515"/>
        <v>28.571428571428569</v>
      </c>
      <c r="AP339" s="81">
        <f t="shared" si="516"/>
        <v>33.333333333333329</v>
      </c>
      <c r="AQ339" s="81">
        <f t="shared" si="517"/>
        <v>30.76923076923077</v>
      </c>
      <c r="AR339" s="3"/>
      <c r="AS339" s="76">
        <f t="shared" si="369"/>
        <v>18.348623853211009</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ht="15" x14ac:dyDescent="0.25">
      <c r="A340" s="8" t="s">
        <v>21</v>
      </c>
      <c r="B340" s="9" t="s">
        <v>231</v>
      </c>
      <c r="C340" s="7"/>
      <c r="D340" s="7"/>
      <c r="E340" s="7"/>
      <c r="F340" s="71">
        <v>25</v>
      </c>
      <c r="G340" s="51">
        <f t="shared" si="494"/>
        <v>1</v>
      </c>
      <c r="H340" s="52">
        <f t="shared" si="495"/>
        <v>2.6315789473684208</v>
      </c>
      <c r="I340" s="53">
        <f>COUNTIFS('00 Encuesta'!$B$2:$B$511,"*b)*",'00 Encuesta'!$C$2:$C$511,"*a)*",'00 Encuesta'!$E$2:$E$511,"*a)*",'00 Encuesta'!$AQ$2:$AQ$511,"*d)*")</f>
        <v>1</v>
      </c>
      <c r="J340" s="52">
        <f t="shared" si="496"/>
        <v>4.7619047619047619</v>
      </c>
      <c r="K340" s="53">
        <f>COUNTIFS('00 Encuesta'!$B$2:$B$511,"*b)*",'00 Encuesta'!$C$2:$C$511,"*a)*",'00 Encuesta'!$E$2:$E$511,"*b)*",'00 Encuesta'!$AQ$2:$AQ$511,"*d)*")</f>
        <v>0</v>
      </c>
      <c r="L340" s="52">
        <f t="shared" si="497"/>
        <v>0</v>
      </c>
      <c r="M340" s="23"/>
      <c r="N340" s="51">
        <f t="shared" si="498"/>
        <v>0</v>
      </c>
      <c r="O340" s="52">
        <f t="shared" si="499"/>
        <v>0</v>
      </c>
      <c r="P340" s="53">
        <f>COUNTIFS('00 Encuesta'!$B$2:$B$511,"*b)*",'00 Encuesta'!$C$2:$C$511,"*b)*",'00 Encuesta'!$E$2:$E$511,"*a)*",'00 Encuesta'!$AQ$2:$AQ$511,"*d)*")</f>
        <v>0</v>
      </c>
      <c r="Q340" s="52">
        <f t="shared" si="500"/>
        <v>0</v>
      </c>
      <c r="R340" s="53">
        <f>COUNTIFS('00 Encuesta'!$B$2:$B$511,"*b)*",'00 Encuesta'!$C$2:$C$511,"*b)*",'00 Encuesta'!$E$2:$E$511,"*b)*",'00 Encuesta'!$AQ$2:$AQ$511,"*d)*")</f>
        <v>0</v>
      </c>
      <c r="S340" s="52">
        <f t="shared" si="501"/>
        <v>0</v>
      </c>
      <c r="T340" s="3"/>
      <c r="U340" s="51">
        <f t="shared" si="502"/>
        <v>0</v>
      </c>
      <c r="V340" s="52">
        <f t="shared" si="503"/>
        <v>0</v>
      </c>
      <c r="W340" s="53">
        <f>COUNTIFS('00 Encuesta'!$B$2:$B$511,"*b)*",'00 Encuesta'!$C$2:$C$511,"*c)*",'00 Encuesta'!$E$2:$E$511,"*a)*",'00 Encuesta'!$AQ$2:$AQ$511,"*d)*")</f>
        <v>0</v>
      </c>
      <c r="X340" s="52">
        <f t="shared" si="504"/>
        <v>0</v>
      </c>
      <c r="Y340" s="53">
        <f>COUNTIFS('00 Encuesta'!$B$2:$B$511,"*b)*",'00 Encuesta'!$C$2:$C$511,"*c)*",'00 Encuesta'!$E$2:$E$511,"*b)*",'00 Encuesta'!$AQ$2:$AQ$511,"*d)*")</f>
        <v>0</v>
      </c>
      <c r="Z340" s="52">
        <f t="shared" si="505"/>
        <v>0</v>
      </c>
      <c r="AA340" s="3"/>
      <c r="AB340" s="62">
        <f t="shared" si="506"/>
        <v>1</v>
      </c>
      <c r="AC340" s="52">
        <f t="shared" si="507"/>
        <v>0.91743119266055051</v>
      </c>
      <c r="AD340" s="3"/>
      <c r="AE340" s="3"/>
      <c r="AF340" s="9" t="str">
        <f t="shared" si="508"/>
        <v>d) Mala</v>
      </c>
      <c r="AG340" s="72">
        <f t="shared" si="509"/>
        <v>4.7619047619047619</v>
      </c>
      <c r="AH340" s="72">
        <f t="shared" si="510"/>
        <v>0</v>
      </c>
      <c r="AI340" s="73">
        <f t="shared" si="511"/>
        <v>2.6315789473684208</v>
      </c>
      <c r="AJ340" s="73"/>
      <c r="AK340" s="76">
        <f t="shared" si="512"/>
        <v>0</v>
      </c>
      <c r="AL340" s="76">
        <f t="shared" si="513"/>
        <v>0</v>
      </c>
      <c r="AM340" s="76">
        <f t="shared" si="514"/>
        <v>0</v>
      </c>
      <c r="AN340" s="76"/>
      <c r="AO340" s="81">
        <f t="shared" si="515"/>
        <v>0</v>
      </c>
      <c r="AP340" s="81">
        <f t="shared" si="516"/>
        <v>0</v>
      </c>
      <c r="AQ340" s="81">
        <f t="shared" si="517"/>
        <v>0</v>
      </c>
      <c r="AR340" s="3"/>
      <c r="AS340" s="76">
        <f t="shared" si="369"/>
        <v>0.91743119266055051</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ht="15" x14ac:dyDescent="0.25">
      <c r="A341" s="8" t="s">
        <v>22</v>
      </c>
      <c r="B341" s="9" t="s">
        <v>232</v>
      </c>
      <c r="C341" s="7"/>
      <c r="D341" s="7"/>
      <c r="E341" s="7"/>
      <c r="F341" s="71">
        <v>0</v>
      </c>
      <c r="G341" s="51">
        <f t="shared" si="494"/>
        <v>3</v>
      </c>
      <c r="H341" s="52">
        <f t="shared" si="495"/>
        <v>7.8947368421052628</v>
      </c>
      <c r="I341" s="53">
        <f>COUNTIFS('00 Encuesta'!$B$2:$B$511,"*b)*",'00 Encuesta'!$C$2:$C$511,"*a)*",'00 Encuesta'!$E$2:$E$511,"*a)*",'00 Encuesta'!$AQ$2:$AQ$511,"*e)*")</f>
        <v>2</v>
      </c>
      <c r="J341" s="52">
        <f t="shared" si="496"/>
        <v>9.5238095238095237</v>
      </c>
      <c r="K341" s="53">
        <f>COUNTIFS('00 Encuesta'!$B$2:$B$511,"*b)*",'00 Encuesta'!$C$2:$C$511,"*a)*",'00 Encuesta'!$E$2:$E$511,"*b)*",'00 Encuesta'!$AQ$2:$AQ$511,"*e)*")</f>
        <v>1</v>
      </c>
      <c r="L341" s="52">
        <f t="shared" si="497"/>
        <v>5.8823529411764701</v>
      </c>
      <c r="M341" s="23"/>
      <c r="N341" s="51">
        <f t="shared" si="498"/>
        <v>0</v>
      </c>
      <c r="O341" s="52">
        <f t="shared" si="499"/>
        <v>0</v>
      </c>
      <c r="P341" s="53">
        <f>COUNTIFS('00 Encuesta'!$B$2:$B$511,"*b)*",'00 Encuesta'!$C$2:$C$511,"*b)*",'00 Encuesta'!$E$2:$E$511,"*a)*",'00 Encuesta'!$AQ$2:$AQ$511,"*e)*")</f>
        <v>0</v>
      </c>
      <c r="Q341" s="52">
        <f t="shared" si="500"/>
        <v>0</v>
      </c>
      <c r="R341" s="53">
        <f>COUNTIFS('00 Encuesta'!$B$2:$B$511,"*b)*",'00 Encuesta'!$C$2:$C$511,"*b)*",'00 Encuesta'!$E$2:$E$511,"*b)*",'00 Encuesta'!$AQ$2:$AQ$511,"*e)*")</f>
        <v>0</v>
      </c>
      <c r="S341" s="52">
        <f t="shared" si="501"/>
        <v>0</v>
      </c>
      <c r="T341" s="3"/>
      <c r="U341" s="51">
        <f t="shared" si="502"/>
        <v>2</v>
      </c>
      <c r="V341" s="52">
        <f t="shared" si="503"/>
        <v>5.1282051282051277</v>
      </c>
      <c r="W341" s="53">
        <f>COUNTIFS('00 Encuesta'!$B$2:$B$511,"*b)*",'00 Encuesta'!$C$2:$C$511,"*c)*",'00 Encuesta'!$E$2:$E$511,"*a)*",'00 Encuesta'!$AQ$2:$AQ$511,"*e)*")</f>
        <v>2</v>
      </c>
      <c r="X341" s="52">
        <f t="shared" si="504"/>
        <v>9.5238095238095237</v>
      </c>
      <c r="Y341" s="53">
        <f>COUNTIFS('00 Encuesta'!$B$2:$B$511,"*b)*",'00 Encuesta'!$C$2:$C$511,"*c)*",'00 Encuesta'!$E$2:$E$511,"*b)*",'00 Encuesta'!$AQ$2:$AQ$511,"*e)*")</f>
        <v>0</v>
      </c>
      <c r="Z341" s="52">
        <f t="shared" si="505"/>
        <v>0</v>
      </c>
      <c r="AA341" s="3"/>
      <c r="AB341" s="62">
        <f t="shared" si="506"/>
        <v>5</v>
      </c>
      <c r="AC341" s="52">
        <f t="shared" si="507"/>
        <v>4.5871559633027523</v>
      </c>
      <c r="AD341" s="3"/>
      <c r="AE341" s="3"/>
      <c r="AF341" s="9" t="str">
        <f t="shared" si="508"/>
        <v>e) Muy mala</v>
      </c>
      <c r="AG341" s="72">
        <f t="shared" si="509"/>
        <v>9.5238095238095237</v>
      </c>
      <c r="AH341" s="72">
        <f t="shared" si="510"/>
        <v>5.8823529411764701</v>
      </c>
      <c r="AI341" s="73">
        <f t="shared" si="511"/>
        <v>7.8947368421052628</v>
      </c>
      <c r="AJ341" s="73"/>
      <c r="AK341" s="76">
        <f t="shared" si="512"/>
        <v>0</v>
      </c>
      <c r="AL341" s="76">
        <f t="shared" si="513"/>
        <v>0</v>
      </c>
      <c r="AM341" s="76">
        <f t="shared" si="514"/>
        <v>0</v>
      </c>
      <c r="AN341" s="76"/>
      <c r="AO341" s="81">
        <f t="shared" si="515"/>
        <v>9.5238095238095237</v>
      </c>
      <c r="AP341" s="81">
        <f t="shared" si="516"/>
        <v>0</v>
      </c>
      <c r="AQ341" s="81">
        <f t="shared" si="517"/>
        <v>5.1282051282051277</v>
      </c>
      <c r="AR341" s="3"/>
      <c r="AS341" s="76">
        <f t="shared" si="369"/>
        <v>4.5871559633027523</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ht="15" x14ac:dyDescent="0.25">
      <c r="A342" s="8" t="s">
        <v>45</v>
      </c>
      <c r="B342" s="9" t="s">
        <v>233</v>
      </c>
      <c r="C342" s="7"/>
      <c r="D342" s="7"/>
      <c r="E342" s="7"/>
      <c r="F342" s="71"/>
      <c r="G342" s="51">
        <f t="shared" si="494"/>
        <v>0</v>
      </c>
      <c r="H342" s="52">
        <f t="shared" si="495"/>
        <v>0</v>
      </c>
      <c r="I342" s="53">
        <f>COUNTIFS('00 Encuesta'!$B$2:$B$511,"*b)*",'00 Encuesta'!$C$2:$C$511,"*a)*",'00 Encuesta'!$E$2:$E$511,"*a)*",'00 Encuesta'!$AQ$2:$AQ$511,"*f)*")</f>
        <v>0</v>
      </c>
      <c r="J342" s="52">
        <f t="shared" si="496"/>
        <v>0</v>
      </c>
      <c r="K342" s="53">
        <f>COUNTIFS('00 Encuesta'!$B$2:$B$511,"*b)*",'00 Encuesta'!$C$2:$C$511,"*a)*",'00 Encuesta'!$E$2:$E$511,"*b)*",'00 Encuesta'!$AQ$2:$AQ$511,"*f)*")</f>
        <v>0</v>
      </c>
      <c r="L342" s="52">
        <f t="shared" si="497"/>
        <v>0</v>
      </c>
      <c r="M342" s="23"/>
      <c r="N342" s="51">
        <f t="shared" si="498"/>
        <v>0</v>
      </c>
      <c r="O342" s="52">
        <f t="shared" si="499"/>
        <v>0</v>
      </c>
      <c r="P342" s="53">
        <f>COUNTIFS('00 Encuesta'!$B$2:$B$511,"*b)*",'00 Encuesta'!$C$2:$C$511,"*b)*",'00 Encuesta'!$E$2:$E$511,"*a)*",'00 Encuesta'!$AQ$2:$AQ$511,"*f)*")</f>
        <v>0</v>
      </c>
      <c r="Q342" s="52">
        <f t="shared" si="500"/>
        <v>0</v>
      </c>
      <c r="R342" s="53">
        <f>COUNTIFS('00 Encuesta'!$B$2:$B$511,"*b)*",'00 Encuesta'!$C$2:$C$511,"*b)*",'00 Encuesta'!$E$2:$E$511,"*b)*",'00 Encuesta'!$AQ$2:$AQ$511,"*f)*")</f>
        <v>0</v>
      </c>
      <c r="S342" s="52">
        <f t="shared" si="501"/>
        <v>0</v>
      </c>
      <c r="T342" s="3"/>
      <c r="U342" s="51">
        <f t="shared" si="502"/>
        <v>2</v>
      </c>
      <c r="V342" s="52">
        <f t="shared" si="503"/>
        <v>5.1282051282051277</v>
      </c>
      <c r="W342" s="53">
        <f>COUNTIFS('00 Encuesta'!$B$2:$B$511,"*b)*",'00 Encuesta'!$C$2:$C$511,"*c)*",'00 Encuesta'!$E$2:$E$511,"*a)*",'00 Encuesta'!$AQ$2:$AQ$511,"*f)*")</f>
        <v>0</v>
      </c>
      <c r="X342" s="52">
        <f t="shared" si="504"/>
        <v>0</v>
      </c>
      <c r="Y342" s="53">
        <f>COUNTIFS('00 Encuesta'!$B$2:$B$511,"*b)*",'00 Encuesta'!$C$2:$C$511,"*c)*",'00 Encuesta'!$E$2:$E$511,"*b)*",'00 Encuesta'!$AQ$2:$AQ$511,"*f)*")</f>
        <v>2</v>
      </c>
      <c r="Z342" s="52">
        <f t="shared" si="505"/>
        <v>11.111111111111111</v>
      </c>
      <c r="AA342" s="3"/>
      <c r="AB342" s="62">
        <f t="shared" si="506"/>
        <v>2</v>
      </c>
      <c r="AC342" s="52">
        <f t="shared" si="507"/>
        <v>1.834862385321101</v>
      </c>
      <c r="AD342" s="3"/>
      <c r="AE342" s="3"/>
      <c r="AF342" s="9" t="str">
        <f t="shared" si="508"/>
        <v>f) No aplica</v>
      </c>
      <c r="AG342" s="72">
        <f t="shared" si="509"/>
        <v>0</v>
      </c>
      <c r="AH342" s="72">
        <f t="shared" si="510"/>
        <v>0</v>
      </c>
      <c r="AI342" s="73">
        <f t="shared" si="511"/>
        <v>0</v>
      </c>
      <c r="AJ342" s="73"/>
      <c r="AK342" s="76">
        <f t="shared" si="512"/>
        <v>0</v>
      </c>
      <c r="AL342" s="76">
        <f t="shared" si="513"/>
        <v>0</v>
      </c>
      <c r="AM342" s="76">
        <f t="shared" si="514"/>
        <v>0</v>
      </c>
      <c r="AN342" s="76"/>
      <c r="AO342" s="81">
        <f t="shared" si="515"/>
        <v>0</v>
      </c>
      <c r="AP342" s="81">
        <f t="shared" si="516"/>
        <v>11.111111111111111</v>
      </c>
      <c r="AQ342" s="81">
        <f t="shared" si="517"/>
        <v>5.1282051282051277</v>
      </c>
      <c r="AR342" s="3"/>
      <c r="AS342" s="76">
        <f t="shared" si="369"/>
        <v>1.834862385321101</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ht="15" x14ac:dyDescent="0.25">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71.05263157894737</v>
      </c>
      <c r="AH343" s="82">
        <f>($F337*K337+$F338*K338+$F339*K339+$F340*K340+$F341*K341)/(K337+K338+K339+K340+K341)</f>
        <v>79.6875</v>
      </c>
      <c r="AI343" s="82">
        <f>($F337*G337+$F338*G338+$F339*G339+$F340*G340+$F341*G341)/(G337+G338+G339+G340+G341)</f>
        <v>75</v>
      </c>
      <c r="AJ343" s="82"/>
      <c r="AK343" s="82">
        <f>($F337*Q337+$F338*Q338+$F339*Q339+$F340*Q340+$F341*Q341)/(Q337+Q338+Q339+Q340+Q341)</f>
        <v>78.846153846153854</v>
      </c>
      <c r="AL343" s="82">
        <f>($F337*S337+$F338*S338+$F339*S339+$F340*S340+$F341*S341)/(S337+S338+S339+S340+S341)</f>
        <v>76.785714285714292</v>
      </c>
      <c r="AM343" s="82">
        <f>($F337*O337+$F338*O338+$F339*O339+$F340*O340+$F341*O341)/(O337+O338+O339+O340+O341)</f>
        <v>77.777777777777771</v>
      </c>
      <c r="AN343" s="82"/>
      <c r="AO343" s="82">
        <f>($F337*W337+$F338*W338+$F339*W339+$F340*W340+$F341*W341)/(W337+W338+W339+W340+W341)</f>
        <v>61.904761904761905</v>
      </c>
      <c r="AP343" s="82">
        <f>($F337*Y337+$F338*Y338+$F339*Y339+$F340*Y340+$F341*Y341)/(Y337+Y338+Y339+Y340+Y341)</f>
        <v>70.3125</v>
      </c>
      <c r="AQ343" s="82">
        <f>($F337*U337+$F338*U338+$F339*U339+$F340*U340+$F341*U341)/(U337+U338+U339+U340+U341)</f>
        <v>65.540540540540547</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ht="15" x14ac:dyDescent="0.25">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ht="15" x14ac:dyDescent="0.25">
      <c r="A345" s="8" t="s">
        <v>17</v>
      </c>
      <c r="B345" s="9" t="s">
        <v>229</v>
      </c>
      <c r="C345" s="7"/>
      <c r="D345" s="7"/>
      <c r="E345" s="7"/>
      <c r="F345" s="71">
        <v>100</v>
      </c>
      <c r="G345" s="51">
        <f t="shared" ref="G345:G350" si="518">I345+K345</f>
        <v>14</v>
      </c>
      <c r="H345" s="52">
        <f t="shared" ref="H345:H350" si="519">G345/$J$5*100</f>
        <v>36.84210526315789</v>
      </c>
      <c r="I345" s="53">
        <f>COUNTIFS('00 Encuesta'!$B$2:$B$511,"*b)*",'00 Encuesta'!$C$2:$C$511,"*a)*",'00 Encuesta'!$E$2:$E$511,"*a)*",'00 Encuesta'!$AR$2:$AR$511,"*a)*")</f>
        <v>10</v>
      </c>
      <c r="J345" s="52">
        <f t="shared" ref="J345:J350" si="520">I345/$J$6*100</f>
        <v>47.619047619047613</v>
      </c>
      <c r="K345" s="53">
        <f>COUNTIFS('00 Encuesta'!$B$2:$B$511,"*b)*",'00 Encuesta'!$C$2:$C$511,"*a)*",'00 Encuesta'!$E$2:$E$511,"*b)*",'00 Encuesta'!$AR$2:$AR$511,"*a)*")</f>
        <v>4</v>
      </c>
      <c r="L345" s="52">
        <f t="shared" ref="L345:L350" si="521">K345/$J$7*100</f>
        <v>23.52941176470588</v>
      </c>
      <c r="M345" s="23"/>
      <c r="N345" s="51">
        <f t="shared" ref="N345:N350" si="522">P345+R345</f>
        <v>5</v>
      </c>
      <c r="O345" s="52">
        <f t="shared" ref="O345:O350" si="523">N345/$Q$5*100</f>
        <v>15.625</v>
      </c>
      <c r="P345" s="53">
        <f>COUNTIFS('00 Encuesta'!$B$2:$B$511,"*b)*",'00 Encuesta'!$C$2:$C$511,"*b)*",'00 Encuesta'!$E$2:$E$511,"*a)*",'00 Encuesta'!$AR$2:$AR$511,"*a)*")</f>
        <v>4</v>
      </c>
      <c r="Q345" s="52">
        <f t="shared" ref="Q345:Q350" si="524">P345/$Q$6*100</f>
        <v>23.52941176470588</v>
      </c>
      <c r="R345" s="53">
        <f>COUNTIFS('00 Encuesta'!$B$2:$B$511,"*b)*",'00 Encuesta'!$C$2:$C$511,"*b)*",'00 Encuesta'!$E$2:$E$511,"*b)*",'00 Encuesta'!$AR$2:$AR$511,"*a)*")</f>
        <v>1</v>
      </c>
      <c r="S345" s="52">
        <f t="shared" ref="S345:S350" si="525">R345/$Q$7*100</f>
        <v>6.666666666666667</v>
      </c>
      <c r="T345" s="3"/>
      <c r="U345" s="51">
        <f t="shared" ref="U345:U350" si="526">W345+Y345</f>
        <v>9</v>
      </c>
      <c r="V345" s="52">
        <f t="shared" ref="V345:V350" si="527">U345/$X$5*100</f>
        <v>23.076923076923077</v>
      </c>
      <c r="W345" s="53">
        <f>COUNTIFS('00 Encuesta'!$B$2:$B$511,"*b)*",'00 Encuesta'!$C$2:$C$511,"*c)*",'00 Encuesta'!$E$2:$E$511,"*a)*",'00 Encuesta'!$AR$2:$AR$511,"*a)*")</f>
        <v>5</v>
      </c>
      <c r="X345" s="52">
        <f t="shared" ref="X345:X350" si="528">W345/$X$6*100</f>
        <v>23.809523809523807</v>
      </c>
      <c r="Y345" s="53">
        <f>COUNTIFS('00 Encuesta'!$B$2:$B$511,"*b)*",'00 Encuesta'!$C$2:$C$511,"*c)*",'00 Encuesta'!$E$2:$E$511,"*b)*",'00 Encuesta'!$AR$2:$AR$511,"*a)*")</f>
        <v>4</v>
      </c>
      <c r="Z345" s="52">
        <f t="shared" ref="Z345:Z350" si="529">Y345/$X$7*100</f>
        <v>22.222222222222221</v>
      </c>
      <c r="AA345" s="3"/>
      <c r="AB345" s="62">
        <f t="shared" ref="AB345:AB350" si="530">G345+N345+U345</f>
        <v>28</v>
      </c>
      <c r="AC345" s="52">
        <f t="shared" ref="AC345:AC350" si="531">AB345*100/$AC$5</f>
        <v>25.688073394495412</v>
      </c>
      <c r="AD345" s="3"/>
      <c r="AE345" s="3"/>
      <c r="AF345" s="9" t="str">
        <f t="shared" ref="AF345:AF351" si="532">A345&amp;" "&amp;B345</f>
        <v>a) Muy buena</v>
      </c>
      <c r="AG345" s="72">
        <f t="shared" ref="AG345:AG350" si="533">J345</f>
        <v>47.619047619047613</v>
      </c>
      <c r="AH345" s="72">
        <f t="shared" ref="AH345:AH350" si="534">L345</f>
        <v>23.52941176470588</v>
      </c>
      <c r="AI345" s="73">
        <f t="shared" ref="AI345:AI350" si="535">H345</f>
        <v>36.84210526315789</v>
      </c>
      <c r="AJ345" s="73"/>
      <c r="AK345" s="76">
        <f t="shared" ref="AK345:AK350" si="536">Q345</f>
        <v>23.52941176470588</v>
      </c>
      <c r="AL345" s="76">
        <f t="shared" ref="AL345:AL350" si="537">S345</f>
        <v>6.666666666666667</v>
      </c>
      <c r="AM345" s="76">
        <f t="shared" ref="AM345:AM350" si="538">O345</f>
        <v>15.625</v>
      </c>
      <c r="AN345" s="76"/>
      <c r="AO345" s="81">
        <f t="shared" ref="AO345:AO350" si="539">X345</f>
        <v>23.809523809523807</v>
      </c>
      <c r="AP345" s="81">
        <f t="shared" ref="AP345:AP350" si="540">Z345</f>
        <v>22.222222222222221</v>
      </c>
      <c r="AQ345" s="81">
        <f t="shared" ref="AQ345:AQ350" si="541">V345</f>
        <v>23.076923076923077</v>
      </c>
      <c r="AR345" s="3"/>
      <c r="AS345" s="76">
        <f t="shared" ref="AS345:AS408" si="542">AC345</f>
        <v>25.688073394495412</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ht="15" x14ac:dyDescent="0.25">
      <c r="A346" s="8" t="s">
        <v>18</v>
      </c>
      <c r="B346" s="9" t="s">
        <v>230</v>
      </c>
      <c r="C346" s="7"/>
      <c r="D346" s="7"/>
      <c r="E346" s="7"/>
      <c r="F346" s="71">
        <v>75</v>
      </c>
      <c r="G346" s="51">
        <f t="shared" si="518"/>
        <v>12</v>
      </c>
      <c r="H346" s="52">
        <f t="shared" si="519"/>
        <v>31.578947368421051</v>
      </c>
      <c r="I346" s="53">
        <f>COUNTIFS('00 Encuesta'!$B$2:$B$511,"*b)*",'00 Encuesta'!$C$2:$C$511,"*a)*",'00 Encuesta'!$E$2:$E$511,"*a)*",'00 Encuesta'!$AR$2:$AR$511,"*b)*")</f>
        <v>5</v>
      </c>
      <c r="J346" s="52">
        <f t="shared" si="520"/>
        <v>23.809523809523807</v>
      </c>
      <c r="K346" s="53">
        <f>COUNTIFS('00 Encuesta'!$B$2:$B$511,"*b)*",'00 Encuesta'!$C$2:$C$511,"*a)*",'00 Encuesta'!$E$2:$E$511,"*b)*",'00 Encuesta'!$AR$2:$AR$511,"*b)*")</f>
        <v>7</v>
      </c>
      <c r="L346" s="52">
        <f t="shared" si="521"/>
        <v>41.17647058823529</v>
      </c>
      <c r="M346" s="23"/>
      <c r="N346" s="51">
        <f t="shared" si="522"/>
        <v>15</v>
      </c>
      <c r="O346" s="52">
        <f t="shared" si="523"/>
        <v>46.875</v>
      </c>
      <c r="P346" s="53">
        <f>COUNTIFS('00 Encuesta'!$B$2:$B$511,"*b)*",'00 Encuesta'!$C$2:$C$511,"*b)*",'00 Encuesta'!$E$2:$E$511,"*a)*",'00 Encuesta'!$AR$2:$AR$511,"*b)*")</f>
        <v>7</v>
      </c>
      <c r="Q346" s="52">
        <f t="shared" si="524"/>
        <v>41.17647058823529</v>
      </c>
      <c r="R346" s="53">
        <f>COUNTIFS('00 Encuesta'!$B$2:$B$511,"*b)*",'00 Encuesta'!$C$2:$C$511,"*b)*",'00 Encuesta'!$E$2:$E$511,"*b)*",'00 Encuesta'!$AR$2:$AR$511,"*b)*")</f>
        <v>8</v>
      </c>
      <c r="S346" s="52">
        <f t="shared" si="525"/>
        <v>53.333333333333336</v>
      </c>
      <c r="T346" s="3"/>
      <c r="U346" s="51">
        <f t="shared" si="526"/>
        <v>14</v>
      </c>
      <c r="V346" s="52">
        <f t="shared" si="527"/>
        <v>35.897435897435898</v>
      </c>
      <c r="W346" s="53">
        <f>COUNTIFS('00 Encuesta'!$B$2:$B$511,"*b)*",'00 Encuesta'!$C$2:$C$511,"*c)*",'00 Encuesta'!$E$2:$E$511,"*a)*",'00 Encuesta'!$AR$2:$AR$511,"*b)*")</f>
        <v>5</v>
      </c>
      <c r="X346" s="52">
        <f t="shared" si="528"/>
        <v>23.809523809523807</v>
      </c>
      <c r="Y346" s="53">
        <f>COUNTIFS('00 Encuesta'!$B$2:$B$511,"*b)*",'00 Encuesta'!$C$2:$C$511,"*c)*",'00 Encuesta'!$E$2:$E$511,"*b)*",'00 Encuesta'!$AR$2:$AR$511,"*b)*")</f>
        <v>9</v>
      </c>
      <c r="Z346" s="52">
        <f t="shared" si="529"/>
        <v>50</v>
      </c>
      <c r="AA346" s="3"/>
      <c r="AB346" s="62">
        <f t="shared" si="530"/>
        <v>41</v>
      </c>
      <c r="AC346" s="52">
        <f t="shared" si="531"/>
        <v>37.61467889908257</v>
      </c>
      <c r="AD346" s="3"/>
      <c r="AE346" s="3"/>
      <c r="AF346" s="9" t="str">
        <f t="shared" si="532"/>
        <v>b) Buena</v>
      </c>
      <c r="AG346" s="72">
        <f t="shared" si="533"/>
        <v>23.809523809523807</v>
      </c>
      <c r="AH346" s="72">
        <f t="shared" si="534"/>
        <v>41.17647058823529</v>
      </c>
      <c r="AI346" s="73">
        <f t="shared" si="535"/>
        <v>31.578947368421051</v>
      </c>
      <c r="AJ346" s="73"/>
      <c r="AK346" s="76">
        <f t="shared" si="536"/>
        <v>41.17647058823529</v>
      </c>
      <c r="AL346" s="76">
        <f t="shared" si="537"/>
        <v>53.333333333333336</v>
      </c>
      <c r="AM346" s="76">
        <f t="shared" si="538"/>
        <v>46.875</v>
      </c>
      <c r="AN346" s="76"/>
      <c r="AO346" s="81">
        <f t="shared" si="539"/>
        <v>23.809523809523807</v>
      </c>
      <c r="AP346" s="81">
        <f t="shared" si="540"/>
        <v>50</v>
      </c>
      <c r="AQ346" s="81">
        <f t="shared" si="541"/>
        <v>35.897435897435898</v>
      </c>
      <c r="AR346" s="3"/>
      <c r="AS346" s="76">
        <f t="shared" si="542"/>
        <v>37.61467889908257</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ht="15" x14ac:dyDescent="0.25">
      <c r="A347" s="8" t="s">
        <v>20</v>
      </c>
      <c r="B347" s="9" t="s">
        <v>218</v>
      </c>
      <c r="C347" s="7"/>
      <c r="D347" s="7"/>
      <c r="E347" s="7"/>
      <c r="F347" s="71">
        <v>50</v>
      </c>
      <c r="G347" s="51">
        <f t="shared" si="518"/>
        <v>4</v>
      </c>
      <c r="H347" s="52">
        <f t="shared" si="519"/>
        <v>10.526315789473683</v>
      </c>
      <c r="I347" s="53">
        <f>COUNTIFS('00 Encuesta'!$B$2:$B$511,"*b)*",'00 Encuesta'!$C$2:$C$511,"*a)*",'00 Encuesta'!$E$2:$E$511,"*a)*",'00 Encuesta'!$AR$2:$AR$511,"*c)*")</f>
        <v>2</v>
      </c>
      <c r="J347" s="52">
        <f t="shared" si="520"/>
        <v>9.5238095238095237</v>
      </c>
      <c r="K347" s="53">
        <f>COUNTIFS('00 Encuesta'!$B$2:$B$511,"*b)*",'00 Encuesta'!$C$2:$C$511,"*a)*",'00 Encuesta'!$E$2:$E$511,"*b)*",'00 Encuesta'!$AR$2:$AR$511,"*c)*")</f>
        <v>2</v>
      </c>
      <c r="L347" s="52">
        <f t="shared" si="521"/>
        <v>11.76470588235294</v>
      </c>
      <c r="M347" s="23"/>
      <c r="N347" s="51">
        <f t="shared" si="522"/>
        <v>5</v>
      </c>
      <c r="O347" s="52">
        <f t="shared" si="523"/>
        <v>15.625</v>
      </c>
      <c r="P347" s="53">
        <f>COUNTIFS('00 Encuesta'!$B$2:$B$511,"*b)*",'00 Encuesta'!$C$2:$C$511,"*b)*",'00 Encuesta'!$E$2:$E$511,"*a)*",'00 Encuesta'!$AR$2:$AR$511,"*c)*")</f>
        <v>2</v>
      </c>
      <c r="Q347" s="52">
        <f t="shared" si="524"/>
        <v>11.76470588235294</v>
      </c>
      <c r="R347" s="53">
        <f>COUNTIFS('00 Encuesta'!$B$2:$B$511,"*b)*",'00 Encuesta'!$C$2:$C$511,"*b)*",'00 Encuesta'!$E$2:$E$511,"*b)*",'00 Encuesta'!$AR$2:$AR$511,"*c)*")</f>
        <v>3</v>
      </c>
      <c r="S347" s="52">
        <f t="shared" si="525"/>
        <v>20</v>
      </c>
      <c r="T347" s="3"/>
      <c r="U347" s="51">
        <f t="shared" si="526"/>
        <v>10</v>
      </c>
      <c r="V347" s="52">
        <f t="shared" si="527"/>
        <v>25.641025641025639</v>
      </c>
      <c r="W347" s="53">
        <f>COUNTIFS('00 Encuesta'!$B$2:$B$511,"*b)*",'00 Encuesta'!$C$2:$C$511,"*c)*",'00 Encuesta'!$E$2:$E$511,"*a)*",'00 Encuesta'!$AR$2:$AR$511,"*c)*")</f>
        <v>7</v>
      </c>
      <c r="X347" s="52">
        <f t="shared" si="528"/>
        <v>33.333333333333329</v>
      </c>
      <c r="Y347" s="53">
        <f>COUNTIFS('00 Encuesta'!$B$2:$B$511,"*b)*",'00 Encuesta'!$C$2:$C$511,"*c)*",'00 Encuesta'!$E$2:$E$511,"*b)*",'00 Encuesta'!$AR$2:$AR$511,"*c)*")</f>
        <v>3</v>
      </c>
      <c r="Z347" s="52">
        <f t="shared" si="529"/>
        <v>16.666666666666664</v>
      </c>
      <c r="AA347" s="3"/>
      <c r="AB347" s="62">
        <f t="shared" si="530"/>
        <v>19</v>
      </c>
      <c r="AC347" s="52">
        <f t="shared" si="531"/>
        <v>17.431192660550458</v>
      </c>
      <c r="AD347" s="3"/>
      <c r="AE347" s="3"/>
      <c r="AF347" s="9" t="str">
        <f t="shared" si="532"/>
        <v>c) Regular</v>
      </c>
      <c r="AG347" s="72">
        <f t="shared" si="533"/>
        <v>9.5238095238095237</v>
      </c>
      <c r="AH347" s="72">
        <f t="shared" si="534"/>
        <v>11.76470588235294</v>
      </c>
      <c r="AI347" s="73">
        <f t="shared" si="535"/>
        <v>10.526315789473683</v>
      </c>
      <c r="AJ347" s="73"/>
      <c r="AK347" s="76">
        <f t="shared" si="536"/>
        <v>11.76470588235294</v>
      </c>
      <c r="AL347" s="76">
        <f t="shared" si="537"/>
        <v>20</v>
      </c>
      <c r="AM347" s="76">
        <f t="shared" si="538"/>
        <v>15.625</v>
      </c>
      <c r="AN347" s="76"/>
      <c r="AO347" s="81">
        <f t="shared" si="539"/>
        <v>33.333333333333329</v>
      </c>
      <c r="AP347" s="81">
        <f t="shared" si="540"/>
        <v>16.666666666666664</v>
      </c>
      <c r="AQ347" s="81">
        <f t="shared" si="541"/>
        <v>25.641025641025639</v>
      </c>
      <c r="AR347" s="3"/>
      <c r="AS347" s="76">
        <f t="shared" si="542"/>
        <v>17.431192660550458</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ht="15" x14ac:dyDescent="0.25">
      <c r="A348" s="8" t="s">
        <v>21</v>
      </c>
      <c r="B348" s="9" t="s">
        <v>231</v>
      </c>
      <c r="C348" s="7"/>
      <c r="D348" s="7"/>
      <c r="E348" s="7"/>
      <c r="F348" s="71">
        <v>25</v>
      </c>
      <c r="G348" s="51">
        <f t="shared" si="518"/>
        <v>1</v>
      </c>
      <c r="H348" s="52">
        <f t="shared" si="519"/>
        <v>2.6315789473684208</v>
      </c>
      <c r="I348" s="53">
        <f>COUNTIFS('00 Encuesta'!$B$2:$B$511,"*b)*",'00 Encuesta'!$C$2:$C$511,"*a)*",'00 Encuesta'!$E$2:$E$511,"*a)*",'00 Encuesta'!$AR$2:$AR$511,"*d)*")</f>
        <v>1</v>
      </c>
      <c r="J348" s="52">
        <f t="shared" si="520"/>
        <v>4.7619047619047619</v>
      </c>
      <c r="K348" s="53">
        <f>COUNTIFS('00 Encuesta'!$B$2:$B$511,"*b)*",'00 Encuesta'!$C$2:$C$511,"*a)*",'00 Encuesta'!$E$2:$E$511,"*b)*",'00 Encuesta'!$AR$2:$AR$511,"*d)*")</f>
        <v>0</v>
      </c>
      <c r="L348" s="52">
        <f t="shared" si="521"/>
        <v>0</v>
      </c>
      <c r="M348" s="23"/>
      <c r="N348" s="51">
        <f t="shared" si="522"/>
        <v>1</v>
      </c>
      <c r="O348" s="52">
        <f t="shared" si="523"/>
        <v>3.125</v>
      </c>
      <c r="P348" s="53">
        <f>COUNTIFS('00 Encuesta'!$B$2:$B$511,"*b)*",'00 Encuesta'!$C$2:$C$511,"*b)*",'00 Encuesta'!$E$2:$E$511,"*a)*",'00 Encuesta'!$AR$2:$AR$511,"*d)*")</f>
        <v>0</v>
      </c>
      <c r="Q348" s="52">
        <f t="shared" si="524"/>
        <v>0</v>
      </c>
      <c r="R348" s="53">
        <f>COUNTIFS('00 Encuesta'!$B$2:$B$511,"*b)*",'00 Encuesta'!$C$2:$C$511,"*b)*",'00 Encuesta'!$E$2:$E$511,"*b)*",'00 Encuesta'!$AR$2:$AR$511,"*d)*")</f>
        <v>1</v>
      </c>
      <c r="S348" s="52">
        <f t="shared" si="525"/>
        <v>6.666666666666667</v>
      </c>
      <c r="T348" s="3"/>
      <c r="U348" s="51">
        <f t="shared" si="526"/>
        <v>5</v>
      </c>
      <c r="V348" s="52">
        <f t="shared" si="527"/>
        <v>12.820512820512819</v>
      </c>
      <c r="W348" s="53">
        <f>COUNTIFS('00 Encuesta'!$B$2:$B$511,"*b)*",'00 Encuesta'!$C$2:$C$511,"*c)*",'00 Encuesta'!$E$2:$E$511,"*a)*",'00 Encuesta'!$AR$2:$AR$511,"*d)*")</f>
        <v>3</v>
      </c>
      <c r="X348" s="52">
        <f t="shared" si="528"/>
        <v>14.285714285714285</v>
      </c>
      <c r="Y348" s="53">
        <f>COUNTIFS('00 Encuesta'!$B$2:$B$511,"*b)*",'00 Encuesta'!$C$2:$C$511,"*c)*",'00 Encuesta'!$E$2:$E$511,"*b)*",'00 Encuesta'!$AR$2:$AR$511,"*d)*")</f>
        <v>2</v>
      </c>
      <c r="Z348" s="52">
        <f t="shared" si="529"/>
        <v>11.111111111111111</v>
      </c>
      <c r="AA348" s="3"/>
      <c r="AB348" s="62">
        <f t="shared" si="530"/>
        <v>7</v>
      </c>
      <c r="AC348" s="52">
        <f t="shared" si="531"/>
        <v>6.4220183486238529</v>
      </c>
      <c r="AD348" s="3"/>
      <c r="AE348" s="3"/>
      <c r="AF348" s="9" t="str">
        <f t="shared" si="532"/>
        <v>d) Mala</v>
      </c>
      <c r="AG348" s="72">
        <f t="shared" si="533"/>
        <v>4.7619047619047619</v>
      </c>
      <c r="AH348" s="72">
        <f t="shared" si="534"/>
        <v>0</v>
      </c>
      <c r="AI348" s="73">
        <f t="shared" si="535"/>
        <v>2.6315789473684208</v>
      </c>
      <c r="AJ348" s="73"/>
      <c r="AK348" s="76">
        <f t="shared" si="536"/>
        <v>0</v>
      </c>
      <c r="AL348" s="76">
        <f t="shared" si="537"/>
        <v>6.666666666666667</v>
      </c>
      <c r="AM348" s="76">
        <f t="shared" si="538"/>
        <v>3.125</v>
      </c>
      <c r="AN348" s="76"/>
      <c r="AO348" s="81">
        <f t="shared" si="539"/>
        <v>14.285714285714285</v>
      </c>
      <c r="AP348" s="81">
        <f t="shared" si="540"/>
        <v>11.111111111111111</v>
      </c>
      <c r="AQ348" s="81">
        <f t="shared" si="541"/>
        <v>12.820512820512819</v>
      </c>
      <c r="AR348" s="3"/>
      <c r="AS348" s="76">
        <f t="shared" si="542"/>
        <v>6.4220183486238529</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ht="15" x14ac:dyDescent="0.25">
      <c r="A349" s="8" t="s">
        <v>22</v>
      </c>
      <c r="B349" s="9" t="s">
        <v>232</v>
      </c>
      <c r="C349" s="7"/>
      <c r="D349" s="7"/>
      <c r="E349" s="7"/>
      <c r="F349" s="71">
        <v>0</v>
      </c>
      <c r="G349" s="51">
        <f t="shared" si="518"/>
        <v>4</v>
      </c>
      <c r="H349" s="52">
        <f t="shared" si="519"/>
        <v>10.526315789473683</v>
      </c>
      <c r="I349" s="53">
        <f>COUNTIFS('00 Encuesta'!$B$2:$B$511,"*b)*",'00 Encuesta'!$C$2:$C$511,"*a)*",'00 Encuesta'!$E$2:$E$511,"*a)*",'00 Encuesta'!$AR$2:$AR$511,"*e)*")</f>
        <v>1</v>
      </c>
      <c r="J349" s="52">
        <f t="shared" si="520"/>
        <v>4.7619047619047619</v>
      </c>
      <c r="K349" s="53">
        <f>COUNTIFS('00 Encuesta'!$B$2:$B$511,"*b)*",'00 Encuesta'!$C$2:$C$511,"*a)*",'00 Encuesta'!$E$2:$E$511,"*b)*",'00 Encuesta'!$AR$2:$AR$511,"*e)*")</f>
        <v>3</v>
      </c>
      <c r="L349" s="52">
        <f t="shared" si="521"/>
        <v>17.647058823529413</v>
      </c>
      <c r="M349" s="23"/>
      <c r="N349" s="51">
        <f t="shared" si="522"/>
        <v>1</v>
      </c>
      <c r="O349" s="52">
        <f t="shared" si="523"/>
        <v>3.125</v>
      </c>
      <c r="P349" s="53">
        <f>COUNTIFS('00 Encuesta'!$B$2:$B$511,"*b)*",'00 Encuesta'!$C$2:$C$511,"*b)*",'00 Encuesta'!$E$2:$E$511,"*a)*",'00 Encuesta'!$AR$2:$AR$511,"*e)*")</f>
        <v>0</v>
      </c>
      <c r="Q349" s="52">
        <f t="shared" si="524"/>
        <v>0</v>
      </c>
      <c r="R349" s="53">
        <f>COUNTIFS('00 Encuesta'!$B$2:$B$511,"*b)*",'00 Encuesta'!$C$2:$C$511,"*b)*",'00 Encuesta'!$E$2:$E$511,"*b)*",'00 Encuesta'!$AR$2:$AR$511,"*e)*")</f>
        <v>1</v>
      </c>
      <c r="S349" s="52">
        <f t="shared" si="525"/>
        <v>6.666666666666667</v>
      </c>
      <c r="T349" s="3"/>
      <c r="U349" s="51">
        <f t="shared" si="526"/>
        <v>1</v>
      </c>
      <c r="V349" s="52">
        <f t="shared" si="527"/>
        <v>2.5641025641025639</v>
      </c>
      <c r="W349" s="53">
        <f>COUNTIFS('00 Encuesta'!$B$2:$B$511,"*b)*",'00 Encuesta'!$C$2:$C$511,"*c)*",'00 Encuesta'!$E$2:$E$511,"*a)*",'00 Encuesta'!$AR$2:$AR$511,"*e)*")</f>
        <v>1</v>
      </c>
      <c r="X349" s="52">
        <f t="shared" si="528"/>
        <v>4.7619047619047619</v>
      </c>
      <c r="Y349" s="53">
        <f>COUNTIFS('00 Encuesta'!$B$2:$B$511,"*b)*",'00 Encuesta'!$C$2:$C$511,"*c)*",'00 Encuesta'!$E$2:$E$511,"*b)*",'00 Encuesta'!$AR$2:$AR$511,"*e)*")</f>
        <v>0</v>
      </c>
      <c r="Z349" s="52">
        <f t="shared" si="529"/>
        <v>0</v>
      </c>
      <c r="AA349" s="3"/>
      <c r="AB349" s="62">
        <f t="shared" si="530"/>
        <v>6</v>
      </c>
      <c r="AC349" s="52">
        <f t="shared" si="531"/>
        <v>5.5045871559633026</v>
      </c>
      <c r="AD349" s="3"/>
      <c r="AE349" s="3"/>
      <c r="AF349" s="9" t="str">
        <f t="shared" si="532"/>
        <v>e) Muy mala</v>
      </c>
      <c r="AG349" s="72">
        <f t="shared" si="533"/>
        <v>4.7619047619047619</v>
      </c>
      <c r="AH349" s="72">
        <f t="shared" si="534"/>
        <v>17.647058823529413</v>
      </c>
      <c r="AI349" s="73">
        <f t="shared" si="535"/>
        <v>10.526315789473683</v>
      </c>
      <c r="AJ349" s="73"/>
      <c r="AK349" s="76">
        <f t="shared" si="536"/>
        <v>0</v>
      </c>
      <c r="AL349" s="76">
        <f t="shared" si="537"/>
        <v>6.666666666666667</v>
      </c>
      <c r="AM349" s="76">
        <f t="shared" si="538"/>
        <v>3.125</v>
      </c>
      <c r="AN349" s="76"/>
      <c r="AO349" s="81">
        <f t="shared" si="539"/>
        <v>4.7619047619047619</v>
      </c>
      <c r="AP349" s="81">
        <f t="shared" si="540"/>
        <v>0</v>
      </c>
      <c r="AQ349" s="81">
        <f t="shared" si="541"/>
        <v>2.5641025641025639</v>
      </c>
      <c r="AR349" s="3"/>
      <c r="AS349" s="76">
        <f t="shared" si="542"/>
        <v>5.5045871559633026</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ht="15" x14ac:dyDescent="0.25">
      <c r="A350" s="8" t="s">
        <v>45</v>
      </c>
      <c r="B350" s="9" t="s">
        <v>233</v>
      </c>
      <c r="C350" s="7"/>
      <c r="D350" s="7"/>
      <c r="E350" s="7"/>
      <c r="F350" s="71"/>
      <c r="G350" s="51">
        <f t="shared" si="518"/>
        <v>0</v>
      </c>
      <c r="H350" s="52">
        <f t="shared" si="519"/>
        <v>0</v>
      </c>
      <c r="I350" s="53">
        <f>COUNTIFS('00 Encuesta'!$B$2:$B$511,"*b)*",'00 Encuesta'!$C$2:$C$511,"*a)*",'00 Encuesta'!$E$2:$E$511,"*a)*",'00 Encuesta'!$AR$2:$AR$511,"*f)*")</f>
        <v>0</v>
      </c>
      <c r="J350" s="52">
        <f t="shared" si="520"/>
        <v>0</v>
      </c>
      <c r="K350" s="53">
        <f>COUNTIFS('00 Encuesta'!$B$2:$B$511,"*b)*",'00 Encuesta'!$C$2:$C$511,"*a)*",'00 Encuesta'!$E$2:$E$511,"*b)*",'00 Encuesta'!$AR$2:$AR$511,"*f)*")</f>
        <v>0</v>
      </c>
      <c r="L350" s="52">
        <f t="shared" si="521"/>
        <v>0</v>
      </c>
      <c r="M350" s="23"/>
      <c r="N350" s="51">
        <f t="shared" si="522"/>
        <v>0</v>
      </c>
      <c r="O350" s="52">
        <f t="shared" si="523"/>
        <v>0</v>
      </c>
      <c r="P350" s="53">
        <f>COUNTIFS('00 Encuesta'!$B$2:$B$511,"*b)*",'00 Encuesta'!$C$2:$C$511,"*b)*",'00 Encuesta'!$E$2:$E$511,"*a)*",'00 Encuesta'!$AR$2:$AR$511,"*f)*")</f>
        <v>0</v>
      </c>
      <c r="Q350" s="52">
        <f t="shared" si="524"/>
        <v>0</v>
      </c>
      <c r="R350" s="53">
        <f>COUNTIFS('00 Encuesta'!$B$2:$B$511,"*b)*",'00 Encuesta'!$C$2:$C$511,"*b)*",'00 Encuesta'!$E$2:$E$511,"*b)*",'00 Encuesta'!$AR$2:$AR$511,"*f)*")</f>
        <v>0</v>
      </c>
      <c r="S350" s="52">
        <f t="shared" si="525"/>
        <v>0</v>
      </c>
      <c r="T350" s="3"/>
      <c r="U350" s="51">
        <f t="shared" si="526"/>
        <v>0</v>
      </c>
      <c r="V350" s="52">
        <f t="shared" si="527"/>
        <v>0</v>
      </c>
      <c r="W350" s="53">
        <f>COUNTIFS('00 Encuesta'!$B$2:$B$511,"*b)*",'00 Encuesta'!$C$2:$C$511,"*c)*",'00 Encuesta'!$E$2:$E$511,"*a)*",'00 Encuesta'!$AR$2:$AR$511,"*f)*")</f>
        <v>0</v>
      </c>
      <c r="X350" s="52">
        <f t="shared" si="528"/>
        <v>0</v>
      </c>
      <c r="Y350" s="53">
        <f>COUNTIFS('00 Encuesta'!$B$2:$B$511,"*b)*",'00 Encuesta'!$C$2:$C$511,"*c)*",'00 Encuesta'!$E$2:$E$511,"*b)*",'00 Encuesta'!$AR$2:$AR$511,"*f)*")</f>
        <v>0</v>
      </c>
      <c r="Z350" s="52">
        <f t="shared" si="529"/>
        <v>0</v>
      </c>
      <c r="AA350" s="3"/>
      <c r="AB350" s="62">
        <f t="shared" si="530"/>
        <v>0</v>
      </c>
      <c r="AC350" s="52">
        <f t="shared" si="531"/>
        <v>0</v>
      </c>
      <c r="AD350" s="3"/>
      <c r="AE350" s="3"/>
      <c r="AF350" s="9" t="str">
        <f t="shared" si="532"/>
        <v>f) No aplica</v>
      </c>
      <c r="AG350" s="72">
        <f t="shared" si="533"/>
        <v>0</v>
      </c>
      <c r="AH350" s="72">
        <f t="shared" si="534"/>
        <v>0</v>
      </c>
      <c r="AI350" s="73">
        <f t="shared" si="535"/>
        <v>0</v>
      </c>
      <c r="AJ350" s="73"/>
      <c r="AK350" s="76">
        <f t="shared" si="536"/>
        <v>0</v>
      </c>
      <c r="AL350" s="76">
        <f t="shared" si="537"/>
        <v>0</v>
      </c>
      <c r="AM350" s="76">
        <f t="shared" si="538"/>
        <v>0</v>
      </c>
      <c r="AN350" s="76"/>
      <c r="AO350" s="81">
        <f t="shared" si="539"/>
        <v>0</v>
      </c>
      <c r="AP350" s="81">
        <f t="shared" si="540"/>
        <v>0</v>
      </c>
      <c r="AQ350" s="81">
        <f t="shared" si="541"/>
        <v>0</v>
      </c>
      <c r="AR350" s="3"/>
      <c r="AS350" s="76">
        <f t="shared" si="542"/>
        <v>0</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ht="15" x14ac:dyDescent="0.25">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f>($F345*I345+$F346*I346+$F347*I347+$F348*I348+$F349*I349)/(I345+I346+I347+I348+I349)</f>
        <v>78.94736842105263</v>
      </c>
      <c r="AH351" s="82">
        <f>($F345*K345+$F346*K346+$F347*K347+$F348*K348+$F349*K349)/(K345+K346+K347+K348+K349)</f>
        <v>64.0625</v>
      </c>
      <c r="AI351" s="82">
        <f>($F345*G345+$F346*G346+$F347*G347+$F348*G348+$F349*G349)/(G345+G346+G347+G348+G349)</f>
        <v>72.142857142857139</v>
      </c>
      <c r="AJ351" s="82"/>
      <c r="AK351" s="82">
        <f>($F345*Q345+$F346*Q346+$F347*Q347+$F348*Q348+$F349*Q349)/(Q345+Q346+Q347+Q348+Q349)</f>
        <v>78.846153846153825</v>
      </c>
      <c r="AL351" s="82">
        <f>($F345*S345+$F346*S346+$F347*S347+$F348*S348+$F349*S349)/(S345+S346+S347+S348+S349)</f>
        <v>62.5</v>
      </c>
      <c r="AM351" s="82">
        <f>($F345*O345+$F346*O346+$F347*O347+$F348*O348+$F349*O349)/(O345+O346+O347+O348+O349)</f>
        <v>70.370370370370367</v>
      </c>
      <c r="AN351" s="82"/>
      <c r="AO351" s="82">
        <f>($F345*W345+$F346*W346+$F347*W347+$F348*W348+$F349*W349)/(W345+W346+W347+W348+W349)</f>
        <v>61.904761904761905</v>
      </c>
      <c r="AP351" s="82">
        <f>($F345*Y345+$F346*Y346+$F347*Y347+$F348*Y348+$F349*Y349)/(Y345+Y346+Y347+Y348+Y349)</f>
        <v>70.833333333333329</v>
      </c>
      <c r="AQ351" s="82">
        <f>($F345*U345+$F346*U346+$F347*U347+$F348*U348+$F349*U349)/(U345+U346+U347+U348+U349)</f>
        <v>66.025641025641022</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ht="15" x14ac:dyDescent="0.25">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ht="15" x14ac:dyDescent="0.25">
      <c r="A353" s="8" t="s">
        <v>17</v>
      </c>
      <c r="B353" s="9" t="s">
        <v>229</v>
      </c>
      <c r="C353" s="7"/>
      <c r="D353" s="7"/>
      <c r="E353" s="7"/>
      <c r="F353" s="71">
        <v>100</v>
      </c>
      <c r="G353" s="51">
        <f t="shared" ref="G353:G358" si="543">I353+K353</f>
        <v>9</v>
      </c>
      <c r="H353" s="52">
        <f t="shared" ref="H353:H358" si="544">G353/$J$5*100</f>
        <v>23.684210526315788</v>
      </c>
      <c r="I353" s="53">
        <f>COUNTIFS('00 Encuesta'!$B$2:$B$511,"*b)*",'00 Encuesta'!$C$2:$C$511,"*a)*",'00 Encuesta'!$E$2:$E$511,"*a)*",'00 Encuesta'!$AS$2:$AS$511,"*a)*")</f>
        <v>5</v>
      </c>
      <c r="J353" s="52">
        <f t="shared" ref="J353:J358" si="545">I353/$J$6*100</f>
        <v>23.809523809523807</v>
      </c>
      <c r="K353" s="53">
        <f>COUNTIFS('00 Encuesta'!$B$2:$B$511,"*b)*",'00 Encuesta'!$C$2:$C$511,"*a)*",'00 Encuesta'!$E$2:$E$511,"*b)*",'00 Encuesta'!$AS$2:$AS$511,"*a)*")</f>
        <v>4</v>
      </c>
      <c r="L353" s="52">
        <f t="shared" ref="L353:L358" si="546">K353/$J$7*100</f>
        <v>23.52941176470588</v>
      </c>
      <c r="M353" s="23"/>
      <c r="N353" s="51">
        <f t="shared" ref="N353:N358" si="547">P353+R353</f>
        <v>3</v>
      </c>
      <c r="O353" s="52">
        <f t="shared" ref="O353:O358" si="548">N353/$Q$5*100</f>
        <v>9.375</v>
      </c>
      <c r="P353" s="53">
        <f>COUNTIFS('00 Encuesta'!$B$2:$B$511,"*b)*",'00 Encuesta'!$C$2:$C$511,"*b)*",'00 Encuesta'!$E$2:$E$511,"*a)*",'00 Encuesta'!$AS$2:$AS$511,"*a)*")</f>
        <v>3</v>
      </c>
      <c r="Q353" s="52">
        <f>P353/$Q$6*100</f>
        <v>17.647058823529413</v>
      </c>
      <c r="R353" s="53">
        <f>COUNTIFS('00 Encuesta'!$B$2:$B$511,"*b)*",'00 Encuesta'!$C$2:$C$511,"*b)*",'00 Encuesta'!$E$2:$E$511,"*b)*",'00 Encuesta'!$AS$2:$AS$511,"*a)*")</f>
        <v>0</v>
      </c>
      <c r="S353" s="52">
        <f t="shared" ref="S353:S358" si="549">R353/$Q$7*100</f>
        <v>0</v>
      </c>
      <c r="T353" s="3"/>
      <c r="U353" s="51">
        <f t="shared" ref="U353:U358" si="550">W353+Y353</f>
        <v>6</v>
      </c>
      <c r="V353" s="52">
        <f t="shared" ref="V353:V358" si="551">U353/$X$5*100</f>
        <v>15.384615384615385</v>
      </c>
      <c r="W353" s="53">
        <f>COUNTIFS('00 Encuesta'!$B$2:$B$511,"*b)*",'00 Encuesta'!$C$2:$C$511,"*c)*",'00 Encuesta'!$E$2:$E$511,"*a)*",'00 Encuesta'!$AS$2:$AS$511,"*a)*")</f>
        <v>4</v>
      </c>
      <c r="X353" s="52">
        <f t="shared" ref="X353:X358" si="552">W353/$X$6*100</f>
        <v>19.047619047619047</v>
      </c>
      <c r="Y353" s="53">
        <f>COUNTIFS('00 Encuesta'!$B$2:$B$511,"*b)*",'00 Encuesta'!$C$2:$C$511,"*c)*",'00 Encuesta'!$E$2:$E$511,"*b)*",'00 Encuesta'!$AS$2:$AS$511,"*a)*")</f>
        <v>2</v>
      </c>
      <c r="Z353" s="52">
        <f t="shared" ref="Z353:Z358" si="553">Y353/$X$7*100</f>
        <v>11.111111111111111</v>
      </c>
      <c r="AA353" s="3"/>
      <c r="AB353" s="62">
        <f t="shared" ref="AB353:AB358" si="554">G353+N353+U353</f>
        <v>18</v>
      </c>
      <c r="AC353" s="52">
        <f t="shared" ref="AC353:AC358" si="555">AB353*100/$AC$5</f>
        <v>16.513761467889907</v>
      </c>
      <c r="AD353" s="3"/>
      <c r="AE353" s="3"/>
      <c r="AF353" s="9" t="str">
        <f t="shared" ref="AF353:AF358" si="556">A353&amp;" "&amp;B353</f>
        <v>a) Muy buena</v>
      </c>
      <c r="AG353" s="72">
        <f t="shared" ref="AG353:AG358" si="557">J353</f>
        <v>23.809523809523807</v>
      </c>
      <c r="AH353" s="72">
        <f t="shared" ref="AH353:AH358" si="558">L353</f>
        <v>23.52941176470588</v>
      </c>
      <c r="AI353" s="73">
        <f t="shared" ref="AI353:AI358" si="559">H353</f>
        <v>23.684210526315788</v>
      </c>
      <c r="AJ353" s="73"/>
      <c r="AK353" s="76">
        <f>Q353</f>
        <v>17.647058823529413</v>
      </c>
      <c r="AL353" s="76">
        <f t="shared" ref="AL353:AL358" si="560">S353</f>
        <v>0</v>
      </c>
      <c r="AM353" s="76">
        <f t="shared" ref="AM353:AM358" si="561">O353</f>
        <v>9.375</v>
      </c>
      <c r="AN353" s="76"/>
      <c r="AO353" s="81">
        <f t="shared" ref="AO353:AO358" si="562">X353</f>
        <v>19.047619047619047</v>
      </c>
      <c r="AP353" s="81">
        <f t="shared" ref="AP353:AP358" si="563">Z353</f>
        <v>11.111111111111111</v>
      </c>
      <c r="AQ353" s="81">
        <f t="shared" ref="AQ353:AQ358" si="564">V353</f>
        <v>15.384615384615385</v>
      </c>
      <c r="AR353" s="3"/>
      <c r="AS353" s="76">
        <f t="shared" si="542"/>
        <v>16.513761467889907</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ht="15" x14ac:dyDescent="0.25">
      <c r="A354" s="8" t="s">
        <v>18</v>
      </c>
      <c r="B354" s="9" t="s">
        <v>230</v>
      </c>
      <c r="C354" s="7"/>
      <c r="D354" s="7"/>
      <c r="E354" s="7"/>
      <c r="F354" s="71">
        <v>75</v>
      </c>
      <c r="G354" s="51">
        <f t="shared" si="543"/>
        <v>7</v>
      </c>
      <c r="H354" s="52">
        <f t="shared" si="544"/>
        <v>18.421052631578945</v>
      </c>
      <c r="I354" s="53">
        <f>COUNTIFS('00 Encuesta'!$B$2:$B$511,"*b)*",'00 Encuesta'!$C$2:$C$511,"*a)*",'00 Encuesta'!$E$2:$E$511,"*a)*",'00 Encuesta'!$AS$2:$AS$511,"*b)*")</f>
        <v>3</v>
      </c>
      <c r="J354" s="52">
        <f t="shared" si="545"/>
        <v>14.285714285714285</v>
      </c>
      <c r="K354" s="53">
        <f>COUNTIFS('00 Encuesta'!$B$2:$B$511,"*b)*",'00 Encuesta'!$C$2:$C$511,"*a)*",'00 Encuesta'!$E$2:$E$511,"*b)*",'00 Encuesta'!$AS$2:$AS$511,"*b)*")</f>
        <v>4</v>
      </c>
      <c r="L354" s="52">
        <f t="shared" si="546"/>
        <v>23.52941176470588</v>
      </c>
      <c r="M354" s="23"/>
      <c r="N354" s="51">
        <f t="shared" si="547"/>
        <v>17</v>
      </c>
      <c r="O354" s="52">
        <f t="shared" si="548"/>
        <v>53.125</v>
      </c>
      <c r="P354" s="53">
        <f>COUNTIFS('00 Encuesta'!$B$2:$B$511,"*b)*",'00 Encuesta'!$C$2:$C$511,"*b)*",'00 Encuesta'!$E$2:$E$511,"*a)*",'00 Encuesta'!$AS$2:$AS$511,"*b)*")</f>
        <v>7</v>
      </c>
      <c r="Q354" s="52">
        <f t="shared" ref="Q354:Q358" si="565">P354/$Q$6*100</f>
        <v>41.17647058823529</v>
      </c>
      <c r="R354" s="53">
        <f>COUNTIFS('00 Encuesta'!$B$2:$B$511,"*b)*",'00 Encuesta'!$C$2:$C$511,"*b)*",'00 Encuesta'!$E$2:$E$511,"*b)*",'00 Encuesta'!$AS$2:$AS$511,"*b)*")</f>
        <v>10</v>
      </c>
      <c r="S354" s="52">
        <f t="shared" si="549"/>
        <v>66.666666666666657</v>
      </c>
      <c r="T354" s="3"/>
      <c r="U354" s="51">
        <f t="shared" si="550"/>
        <v>10</v>
      </c>
      <c r="V354" s="52">
        <f t="shared" si="551"/>
        <v>25.641025641025639</v>
      </c>
      <c r="W354" s="53">
        <f>COUNTIFS('00 Encuesta'!$B$2:$B$511,"*b)*",'00 Encuesta'!$C$2:$C$511,"*c)*",'00 Encuesta'!$E$2:$E$511,"*a)*",'00 Encuesta'!$AS$2:$AS$511,"*b)*")</f>
        <v>6</v>
      </c>
      <c r="X354" s="52">
        <f t="shared" si="552"/>
        <v>28.571428571428569</v>
      </c>
      <c r="Y354" s="53">
        <f>COUNTIFS('00 Encuesta'!$B$2:$B$511,"*b)*",'00 Encuesta'!$C$2:$C$511,"*c)*",'00 Encuesta'!$E$2:$E$511,"*b)*",'00 Encuesta'!$AS$2:$AS$511,"*b)*")</f>
        <v>4</v>
      </c>
      <c r="Z354" s="52">
        <f t="shared" si="553"/>
        <v>22.222222222222221</v>
      </c>
      <c r="AA354" s="3"/>
      <c r="AB354" s="62">
        <f t="shared" si="554"/>
        <v>34</v>
      </c>
      <c r="AC354" s="52">
        <f t="shared" si="555"/>
        <v>31.192660550458715</v>
      </c>
      <c r="AD354" s="3"/>
      <c r="AE354" s="3"/>
      <c r="AF354" s="9" t="str">
        <f t="shared" si="556"/>
        <v>b) Buena</v>
      </c>
      <c r="AG354" s="72">
        <f t="shared" si="557"/>
        <v>14.285714285714285</v>
      </c>
      <c r="AH354" s="72">
        <f t="shared" si="558"/>
        <v>23.52941176470588</v>
      </c>
      <c r="AI354" s="73">
        <f t="shared" si="559"/>
        <v>18.421052631578945</v>
      </c>
      <c r="AJ354" s="73"/>
      <c r="AK354" s="76">
        <f t="shared" ref="AK354:AK358" si="566">Q354</f>
        <v>41.17647058823529</v>
      </c>
      <c r="AL354" s="76">
        <f t="shared" si="560"/>
        <v>66.666666666666657</v>
      </c>
      <c r="AM354" s="76">
        <f t="shared" si="561"/>
        <v>53.125</v>
      </c>
      <c r="AN354" s="76"/>
      <c r="AO354" s="81">
        <f t="shared" si="562"/>
        <v>28.571428571428569</v>
      </c>
      <c r="AP354" s="81">
        <f t="shared" si="563"/>
        <v>22.222222222222221</v>
      </c>
      <c r="AQ354" s="81">
        <f t="shared" si="564"/>
        <v>25.641025641025639</v>
      </c>
      <c r="AR354" s="3"/>
      <c r="AS354" s="76">
        <f t="shared" si="542"/>
        <v>31.192660550458715</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ht="15" x14ac:dyDescent="0.25">
      <c r="A355" s="8" t="s">
        <v>20</v>
      </c>
      <c r="B355" s="9" t="s">
        <v>218</v>
      </c>
      <c r="C355" s="7"/>
      <c r="D355" s="7"/>
      <c r="E355" s="7"/>
      <c r="F355" s="71">
        <v>50</v>
      </c>
      <c r="G355" s="51">
        <f t="shared" si="543"/>
        <v>13</v>
      </c>
      <c r="H355" s="52">
        <f t="shared" si="544"/>
        <v>34.210526315789473</v>
      </c>
      <c r="I355" s="53">
        <f>COUNTIFS('00 Encuesta'!$B$2:$B$511,"*b)*",'00 Encuesta'!$C$2:$C$511,"*a)*",'00 Encuesta'!$E$2:$E$511,"*a)*",'00 Encuesta'!$AS$2:$AS$511,"*c)*")</f>
        <v>8</v>
      </c>
      <c r="J355" s="52">
        <f t="shared" si="545"/>
        <v>38.095238095238095</v>
      </c>
      <c r="K355" s="53">
        <f>COUNTIFS('00 Encuesta'!$B$2:$B$511,"*b)*",'00 Encuesta'!$C$2:$C$511,"*a)*",'00 Encuesta'!$E$2:$E$511,"*b)*",'00 Encuesta'!$AS$2:$AS$511,"*c)*")</f>
        <v>5</v>
      </c>
      <c r="L355" s="52">
        <f t="shared" si="546"/>
        <v>29.411764705882355</v>
      </c>
      <c r="M355" s="23"/>
      <c r="N355" s="51">
        <f t="shared" si="547"/>
        <v>6</v>
      </c>
      <c r="O355" s="52">
        <f t="shared" si="548"/>
        <v>18.75</v>
      </c>
      <c r="P355" s="53">
        <f>COUNTIFS('00 Encuesta'!$B$2:$B$511,"*b)*",'00 Encuesta'!$C$2:$C$511,"*b)*",'00 Encuesta'!$E$2:$E$511,"*a)*",'00 Encuesta'!$AS$2:$AS$511,"*c)*")</f>
        <v>3</v>
      </c>
      <c r="Q355" s="52">
        <f t="shared" si="565"/>
        <v>17.647058823529413</v>
      </c>
      <c r="R355" s="53">
        <f>COUNTIFS('00 Encuesta'!$B$2:$B$511,"*b)*",'00 Encuesta'!$C$2:$C$511,"*b)*",'00 Encuesta'!$E$2:$E$511,"*b)*",'00 Encuesta'!$AS$2:$AS$511,"*c)*")</f>
        <v>3</v>
      </c>
      <c r="S355" s="52">
        <f t="shared" si="549"/>
        <v>20</v>
      </c>
      <c r="T355" s="3"/>
      <c r="U355" s="51">
        <f t="shared" si="550"/>
        <v>18</v>
      </c>
      <c r="V355" s="52">
        <f t="shared" si="551"/>
        <v>46.153846153846153</v>
      </c>
      <c r="W355" s="53">
        <f>COUNTIFS('00 Encuesta'!$B$2:$B$511,"*b)*",'00 Encuesta'!$C$2:$C$511,"*c)*",'00 Encuesta'!$E$2:$E$511,"*a)*",'00 Encuesta'!$AS$2:$AS$511,"*c)*")</f>
        <v>9</v>
      </c>
      <c r="X355" s="52">
        <f t="shared" si="552"/>
        <v>42.857142857142854</v>
      </c>
      <c r="Y355" s="53">
        <f>COUNTIFS('00 Encuesta'!$B$2:$B$511,"*b)*",'00 Encuesta'!$C$2:$C$511,"*c)*",'00 Encuesta'!$E$2:$E$511,"*b)*",'00 Encuesta'!$AS$2:$AS$511,"*c)*")</f>
        <v>9</v>
      </c>
      <c r="Z355" s="52">
        <f t="shared" si="553"/>
        <v>50</v>
      </c>
      <c r="AA355" s="3"/>
      <c r="AB355" s="62">
        <f t="shared" si="554"/>
        <v>37</v>
      </c>
      <c r="AC355" s="52">
        <f t="shared" si="555"/>
        <v>33.944954128440365</v>
      </c>
      <c r="AD355" s="3"/>
      <c r="AE355" s="3"/>
      <c r="AF355" s="9" t="str">
        <f t="shared" si="556"/>
        <v>c) Regular</v>
      </c>
      <c r="AG355" s="72">
        <f t="shared" si="557"/>
        <v>38.095238095238095</v>
      </c>
      <c r="AH355" s="72">
        <f t="shared" si="558"/>
        <v>29.411764705882355</v>
      </c>
      <c r="AI355" s="73">
        <f t="shared" si="559"/>
        <v>34.210526315789473</v>
      </c>
      <c r="AJ355" s="73"/>
      <c r="AK355" s="76">
        <f t="shared" si="566"/>
        <v>17.647058823529413</v>
      </c>
      <c r="AL355" s="76">
        <f t="shared" si="560"/>
        <v>20</v>
      </c>
      <c r="AM355" s="76">
        <f t="shared" si="561"/>
        <v>18.75</v>
      </c>
      <c r="AN355" s="76"/>
      <c r="AO355" s="81">
        <f t="shared" si="562"/>
        <v>42.857142857142854</v>
      </c>
      <c r="AP355" s="81">
        <f t="shared" si="563"/>
        <v>50</v>
      </c>
      <c r="AQ355" s="81">
        <f t="shared" si="564"/>
        <v>46.153846153846153</v>
      </c>
      <c r="AR355" s="3"/>
      <c r="AS355" s="76">
        <f t="shared" si="542"/>
        <v>33.944954128440365</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ht="15" x14ac:dyDescent="0.25">
      <c r="A356" s="8" t="s">
        <v>21</v>
      </c>
      <c r="B356" s="9" t="s">
        <v>231</v>
      </c>
      <c r="C356" s="7"/>
      <c r="D356" s="7"/>
      <c r="E356" s="7"/>
      <c r="F356" s="71">
        <v>25</v>
      </c>
      <c r="G356" s="51">
        <f t="shared" si="543"/>
        <v>2</v>
      </c>
      <c r="H356" s="52">
        <f t="shared" si="544"/>
        <v>5.2631578947368416</v>
      </c>
      <c r="I356" s="53">
        <f>COUNTIFS('00 Encuesta'!$B$2:$B$511,"*b)*",'00 Encuesta'!$C$2:$C$511,"*a)*",'00 Encuesta'!$E$2:$E$511,"*a)*",'00 Encuesta'!$AS$2:$AS$511,"*d)*")</f>
        <v>0</v>
      </c>
      <c r="J356" s="52">
        <f t="shared" si="545"/>
        <v>0</v>
      </c>
      <c r="K356" s="53">
        <f>COUNTIFS('00 Encuesta'!$B$2:$B$511,"*b)*",'00 Encuesta'!$C$2:$C$511,"*a)*",'00 Encuesta'!$E$2:$E$511,"*b)*",'00 Encuesta'!$AS$2:$AS$511,"*d)*")</f>
        <v>2</v>
      </c>
      <c r="L356" s="52">
        <f t="shared" si="546"/>
        <v>11.76470588235294</v>
      </c>
      <c r="M356" s="23"/>
      <c r="N356" s="51">
        <f t="shared" si="547"/>
        <v>1</v>
      </c>
      <c r="O356" s="52">
        <f t="shared" si="548"/>
        <v>3.125</v>
      </c>
      <c r="P356" s="53">
        <f>COUNTIFS('00 Encuesta'!$B$2:$B$511,"*b)*",'00 Encuesta'!$C$2:$C$511,"*b)*",'00 Encuesta'!$E$2:$E$511,"*a)*",'00 Encuesta'!$AS$2:$AS$511,"*d)*")</f>
        <v>0</v>
      </c>
      <c r="Q356" s="52">
        <f t="shared" si="565"/>
        <v>0</v>
      </c>
      <c r="R356" s="53">
        <f>COUNTIFS('00 Encuesta'!$B$2:$B$511,"*b)*",'00 Encuesta'!$C$2:$C$511,"*b)*",'00 Encuesta'!$E$2:$E$511,"*b)*",'00 Encuesta'!$AS$2:$AS$511,"*d)*")</f>
        <v>1</v>
      </c>
      <c r="S356" s="52">
        <f t="shared" si="549"/>
        <v>6.666666666666667</v>
      </c>
      <c r="T356" s="3"/>
      <c r="U356" s="51">
        <f t="shared" si="550"/>
        <v>2</v>
      </c>
      <c r="V356" s="52">
        <f t="shared" si="551"/>
        <v>5.1282051282051277</v>
      </c>
      <c r="W356" s="53">
        <f>COUNTIFS('00 Encuesta'!$B$2:$B$511,"*b)*",'00 Encuesta'!$C$2:$C$511,"*c)*",'00 Encuesta'!$E$2:$E$511,"*a)*",'00 Encuesta'!$AS$2:$AS$511,"*d)*")</f>
        <v>0</v>
      </c>
      <c r="X356" s="52">
        <f t="shared" si="552"/>
        <v>0</v>
      </c>
      <c r="Y356" s="53">
        <f>COUNTIFS('00 Encuesta'!$B$2:$B$511,"*b)*",'00 Encuesta'!$C$2:$C$511,"*c)*",'00 Encuesta'!$E$2:$E$511,"*b)*",'00 Encuesta'!$AS$2:$AS$511,"*d)*")</f>
        <v>2</v>
      </c>
      <c r="Z356" s="52">
        <f t="shared" si="553"/>
        <v>11.111111111111111</v>
      </c>
      <c r="AA356" s="3"/>
      <c r="AB356" s="62">
        <f t="shared" si="554"/>
        <v>5</v>
      </c>
      <c r="AC356" s="52">
        <f t="shared" si="555"/>
        <v>4.5871559633027523</v>
      </c>
      <c r="AD356" s="3"/>
      <c r="AE356" s="3"/>
      <c r="AF356" s="9" t="str">
        <f t="shared" si="556"/>
        <v>d) Mala</v>
      </c>
      <c r="AG356" s="72">
        <f t="shared" si="557"/>
        <v>0</v>
      </c>
      <c r="AH356" s="72">
        <f t="shared" si="558"/>
        <v>11.76470588235294</v>
      </c>
      <c r="AI356" s="73">
        <f t="shared" si="559"/>
        <v>5.2631578947368416</v>
      </c>
      <c r="AJ356" s="73"/>
      <c r="AK356" s="76">
        <f t="shared" si="566"/>
        <v>0</v>
      </c>
      <c r="AL356" s="76">
        <f t="shared" si="560"/>
        <v>6.666666666666667</v>
      </c>
      <c r="AM356" s="76">
        <f t="shared" si="561"/>
        <v>3.125</v>
      </c>
      <c r="AN356" s="76"/>
      <c r="AO356" s="81">
        <f t="shared" si="562"/>
        <v>0</v>
      </c>
      <c r="AP356" s="81">
        <f t="shared" si="563"/>
        <v>11.111111111111111</v>
      </c>
      <c r="AQ356" s="81">
        <f t="shared" si="564"/>
        <v>5.1282051282051277</v>
      </c>
      <c r="AR356" s="3"/>
      <c r="AS356" s="76">
        <f t="shared" si="542"/>
        <v>4.5871559633027523</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ht="15" x14ac:dyDescent="0.25">
      <c r="A357" s="8" t="s">
        <v>22</v>
      </c>
      <c r="B357" s="9" t="s">
        <v>232</v>
      </c>
      <c r="C357" s="7"/>
      <c r="D357" s="7"/>
      <c r="E357" s="7"/>
      <c r="F357" s="71">
        <v>0</v>
      </c>
      <c r="G357" s="51">
        <f t="shared" si="543"/>
        <v>3</v>
      </c>
      <c r="H357" s="52">
        <f t="shared" si="544"/>
        <v>7.8947368421052628</v>
      </c>
      <c r="I357" s="53">
        <f>COUNTIFS('00 Encuesta'!$B$2:$B$511,"*b)*",'00 Encuesta'!$C$2:$C$511,"*a)*",'00 Encuesta'!$E$2:$E$511,"*a)*",'00 Encuesta'!$AS$2:$AS$511,"*e)*")</f>
        <v>2</v>
      </c>
      <c r="J357" s="52">
        <f t="shared" si="545"/>
        <v>9.5238095238095237</v>
      </c>
      <c r="K357" s="53">
        <f>COUNTIFS('00 Encuesta'!$B$2:$B$511,"*b)*",'00 Encuesta'!$C$2:$C$511,"*a)*",'00 Encuesta'!$E$2:$E$511,"*b)*",'00 Encuesta'!$AS$2:$AS$511,"*e)*")</f>
        <v>1</v>
      </c>
      <c r="L357" s="52">
        <f t="shared" si="546"/>
        <v>5.8823529411764701</v>
      </c>
      <c r="M357" s="23"/>
      <c r="N357" s="51">
        <f t="shared" si="547"/>
        <v>0</v>
      </c>
      <c r="O357" s="52">
        <f t="shared" si="548"/>
        <v>0</v>
      </c>
      <c r="P357" s="53">
        <f>COUNTIFS('00 Encuesta'!$B$2:$B$511,"*b)*",'00 Encuesta'!$C$2:$C$511,"*b)*",'00 Encuesta'!$E$2:$E$511,"*a)*",'00 Encuesta'!$AS$2:$AS$511,"*e)*")</f>
        <v>0</v>
      </c>
      <c r="Q357" s="52">
        <f t="shared" si="565"/>
        <v>0</v>
      </c>
      <c r="R357" s="53">
        <f>COUNTIFS('00 Encuesta'!$B$2:$B$511,"*b)*",'00 Encuesta'!$C$2:$C$511,"*b)*",'00 Encuesta'!$E$2:$E$511,"*b)*",'00 Encuesta'!$AS$2:$AS$511,"*e)*")</f>
        <v>0</v>
      </c>
      <c r="S357" s="52">
        <f t="shared" si="549"/>
        <v>0</v>
      </c>
      <c r="T357" s="3"/>
      <c r="U357" s="51">
        <f t="shared" si="550"/>
        <v>2</v>
      </c>
      <c r="V357" s="52">
        <f t="shared" si="551"/>
        <v>5.1282051282051277</v>
      </c>
      <c r="W357" s="53">
        <f>COUNTIFS('00 Encuesta'!$B$2:$B$511,"*b)*",'00 Encuesta'!$C$2:$C$511,"*c)*",'00 Encuesta'!$E$2:$E$511,"*a)*",'00 Encuesta'!$AS$2:$AS$511,"*e)*")</f>
        <v>2</v>
      </c>
      <c r="X357" s="52">
        <f t="shared" si="552"/>
        <v>9.5238095238095237</v>
      </c>
      <c r="Y357" s="53">
        <f>COUNTIFS('00 Encuesta'!$B$2:$B$511,"*b)*",'00 Encuesta'!$C$2:$C$511,"*c)*",'00 Encuesta'!$E$2:$E$511,"*b)*",'00 Encuesta'!$AS$2:$AS$511,"*e)*")</f>
        <v>0</v>
      </c>
      <c r="Z357" s="52">
        <f t="shared" si="553"/>
        <v>0</v>
      </c>
      <c r="AA357" s="3"/>
      <c r="AB357" s="62">
        <f t="shared" si="554"/>
        <v>5</v>
      </c>
      <c r="AC357" s="52">
        <f t="shared" si="555"/>
        <v>4.5871559633027523</v>
      </c>
      <c r="AD357" s="3"/>
      <c r="AE357" s="3"/>
      <c r="AF357" s="9" t="str">
        <f t="shared" si="556"/>
        <v>e) Muy mala</v>
      </c>
      <c r="AG357" s="72">
        <f t="shared" si="557"/>
        <v>9.5238095238095237</v>
      </c>
      <c r="AH357" s="72">
        <f t="shared" si="558"/>
        <v>5.8823529411764701</v>
      </c>
      <c r="AI357" s="73">
        <f t="shared" si="559"/>
        <v>7.8947368421052628</v>
      </c>
      <c r="AJ357" s="73"/>
      <c r="AK357" s="76">
        <f t="shared" si="566"/>
        <v>0</v>
      </c>
      <c r="AL357" s="76">
        <f t="shared" si="560"/>
        <v>0</v>
      </c>
      <c r="AM357" s="76">
        <f t="shared" si="561"/>
        <v>0</v>
      </c>
      <c r="AN357" s="76"/>
      <c r="AO357" s="81">
        <f t="shared" si="562"/>
        <v>9.5238095238095237</v>
      </c>
      <c r="AP357" s="81">
        <f t="shared" si="563"/>
        <v>0</v>
      </c>
      <c r="AQ357" s="81">
        <f t="shared" si="564"/>
        <v>5.1282051282051277</v>
      </c>
      <c r="AR357" s="3"/>
      <c r="AS357" s="76">
        <f t="shared" si="542"/>
        <v>4.5871559633027523</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ht="15" x14ac:dyDescent="0.25">
      <c r="A358" s="8" t="s">
        <v>45</v>
      </c>
      <c r="B358" s="9" t="s">
        <v>233</v>
      </c>
      <c r="C358" s="7"/>
      <c r="D358" s="7"/>
      <c r="E358" s="7"/>
      <c r="F358" s="71"/>
      <c r="G358" s="51">
        <f t="shared" si="543"/>
        <v>0</v>
      </c>
      <c r="H358" s="52">
        <f t="shared" si="544"/>
        <v>0</v>
      </c>
      <c r="I358" s="53">
        <f>COUNTIFS('00 Encuesta'!$B$2:$B$511,"*b)*",'00 Encuesta'!$C$2:$C$511,"*a)*",'00 Encuesta'!$E$2:$E$511,"*a)*",'00 Encuesta'!$AS$2:$AS$511,"*f)*")</f>
        <v>0</v>
      </c>
      <c r="J358" s="52">
        <f t="shared" si="545"/>
        <v>0</v>
      </c>
      <c r="K358" s="53">
        <f>COUNTIFS('00 Encuesta'!$B$2:$B$511,"*b)*",'00 Encuesta'!$C$2:$C$511,"*a)*",'00 Encuesta'!$E$2:$E$511,"*b)*",'00 Encuesta'!$AS$2:$AS$511,"*f)*")</f>
        <v>0</v>
      </c>
      <c r="L358" s="52">
        <f t="shared" si="546"/>
        <v>0</v>
      </c>
      <c r="M358" s="23"/>
      <c r="N358" s="51">
        <f t="shared" si="547"/>
        <v>0</v>
      </c>
      <c r="O358" s="52">
        <f t="shared" si="548"/>
        <v>0</v>
      </c>
      <c r="P358" s="53">
        <f>COUNTIFS('00 Encuesta'!$B$2:$B$511,"*b)*",'00 Encuesta'!$C$2:$C$511,"*b)*",'00 Encuesta'!$E$2:$E$511,"*a)*",'00 Encuesta'!$AS$2:$AS$511,"*f)*")</f>
        <v>0</v>
      </c>
      <c r="Q358" s="52">
        <f t="shared" si="565"/>
        <v>0</v>
      </c>
      <c r="R358" s="53">
        <f>COUNTIFS('00 Encuesta'!$B$2:$B$511,"*b)*",'00 Encuesta'!$C$2:$C$511,"*b)*",'00 Encuesta'!$E$2:$E$511,"*b)*",'00 Encuesta'!$AS$2:$AS$511,"*f)*")</f>
        <v>0</v>
      </c>
      <c r="S358" s="52">
        <f t="shared" si="549"/>
        <v>0</v>
      </c>
      <c r="T358" s="3"/>
      <c r="U358" s="51">
        <f t="shared" si="550"/>
        <v>1</v>
      </c>
      <c r="V358" s="52">
        <f t="shared" si="551"/>
        <v>2.5641025641025639</v>
      </c>
      <c r="W358" s="53">
        <f>COUNTIFS('00 Encuesta'!$B$2:$B$511,"*b)*",'00 Encuesta'!$C$2:$C$511,"*c)*",'00 Encuesta'!$E$2:$E$511,"*a)*",'00 Encuesta'!$AS$2:$AS$511,"*f)*")</f>
        <v>0</v>
      </c>
      <c r="X358" s="52">
        <f t="shared" si="552"/>
        <v>0</v>
      </c>
      <c r="Y358" s="53">
        <f>COUNTIFS('00 Encuesta'!$B$2:$B$511,"*b)*",'00 Encuesta'!$C$2:$C$511,"*c)*",'00 Encuesta'!$E$2:$E$511,"*b)*",'00 Encuesta'!$AS$2:$AS$511,"*f)*")</f>
        <v>1</v>
      </c>
      <c r="Z358" s="52">
        <f t="shared" si="553"/>
        <v>5.5555555555555554</v>
      </c>
      <c r="AA358" s="3"/>
      <c r="AB358" s="62">
        <f t="shared" si="554"/>
        <v>1</v>
      </c>
      <c r="AC358" s="52">
        <f t="shared" si="555"/>
        <v>0.91743119266055051</v>
      </c>
      <c r="AD358" s="3"/>
      <c r="AE358" s="3"/>
      <c r="AF358" s="9" t="str">
        <f t="shared" si="556"/>
        <v>f) No aplica</v>
      </c>
      <c r="AG358" s="72">
        <f t="shared" si="557"/>
        <v>0</v>
      </c>
      <c r="AH358" s="72">
        <f t="shared" si="558"/>
        <v>0</v>
      </c>
      <c r="AI358" s="73">
        <f t="shared" si="559"/>
        <v>0</v>
      </c>
      <c r="AJ358" s="73"/>
      <c r="AK358" s="76">
        <f t="shared" si="566"/>
        <v>0</v>
      </c>
      <c r="AL358" s="76">
        <f t="shared" si="560"/>
        <v>0</v>
      </c>
      <c r="AM358" s="76">
        <f t="shared" si="561"/>
        <v>0</v>
      </c>
      <c r="AN358" s="76"/>
      <c r="AO358" s="81">
        <f t="shared" si="562"/>
        <v>0</v>
      </c>
      <c r="AP358" s="81">
        <f t="shared" si="563"/>
        <v>5.5555555555555554</v>
      </c>
      <c r="AQ358" s="81">
        <f t="shared" si="564"/>
        <v>2.5641025641025639</v>
      </c>
      <c r="AR358" s="3"/>
      <c r="AS358" s="76">
        <f t="shared" si="542"/>
        <v>0.91743119266055051</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ht="15" x14ac:dyDescent="0.25">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62.5</v>
      </c>
      <c r="AH359" s="82">
        <f>($F353*K353+$F354*K354+$F355*K355+$F356*K356+$F357*K357)/(K353+K354+K355+K356+K357)</f>
        <v>62.5</v>
      </c>
      <c r="AI359" s="82">
        <f>($F353*G353+$F354*G354+$F355*G355+$F356*G356+$F357*G357)/(G353+G354+G355+G356+G357)</f>
        <v>62.5</v>
      </c>
      <c r="AJ359" s="82"/>
      <c r="AK359" s="82">
        <f>($F353*Q353+$F354*Q354+$F355*Q355+$F356*Q356+$F357*Q357)/(Q353+Q354+Q355+Q356+Q357)</f>
        <v>75</v>
      </c>
      <c r="AL359" s="82">
        <f>($F353*S353+$F354*S354+$F355*S355+$F356*S356+$F357*S357)/(S353+S354+S355+S356+S357)</f>
        <v>66.071428571428569</v>
      </c>
      <c r="AM359" s="82">
        <f>($F353*O353+$F354*O354+$F355*O355+$F356*O356+$F357*O357)/(O353+O354+O355+O356+O357)</f>
        <v>70.370370370370367</v>
      </c>
      <c r="AN359" s="82"/>
      <c r="AO359" s="82">
        <f>($F353*W353+$F354*W354+$F355*W355+$F356*W356+$F357*W357)/(W353+W354+W355+W356+W357)</f>
        <v>61.904761904761905</v>
      </c>
      <c r="AP359" s="82">
        <f>($F353*Y353+$F354*Y354+$F355*Y355+$F356*Y356+$F357*Y357)/(Y353+Y354+Y355+Y356+Y357)</f>
        <v>58.823529411764703</v>
      </c>
      <c r="AQ359" s="82">
        <f>($F353*U353+$F354*U354+$F355*U355+$F356*U356+$F357*U357)/(U353+U354+U355+U356+U357)</f>
        <v>60.526315789473685</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75" x14ac:dyDescent="0.3">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ht="15" x14ac:dyDescent="0.25">
      <c r="A361" s="8" t="s">
        <v>17</v>
      </c>
      <c r="B361" s="9" t="s">
        <v>229</v>
      </c>
      <c r="C361" s="3"/>
      <c r="D361" s="3"/>
      <c r="E361" s="3"/>
      <c r="F361" s="71">
        <v>100</v>
      </c>
      <c r="G361" s="51">
        <f t="shared" ref="G361:G366" si="567">I361+K361</f>
        <v>11</v>
      </c>
      <c r="H361" s="52">
        <f t="shared" ref="H361:H366" si="568">G361/$J$5*100</f>
        <v>28.947368421052634</v>
      </c>
      <c r="I361" s="53">
        <f>COUNTIFS('00 Encuesta'!$B$2:$B$511,"*b)*",'00 Encuesta'!$C$2:$C$511,"*a)*",'00 Encuesta'!$E$2:$E$511,"*a)*",'00 Encuesta'!$AT$2:$AT$511,"*a)*")</f>
        <v>6</v>
      </c>
      <c r="J361" s="52">
        <f t="shared" ref="J361:J366" si="569">I361/$J$6*100</f>
        <v>28.571428571428569</v>
      </c>
      <c r="K361" s="53">
        <f>COUNTIFS('00 Encuesta'!$B$2:$B$511,"*b)*",'00 Encuesta'!$C$2:$C$511,"*a)*",'00 Encuesta'!$E$2:$E$511,"*b)*",'00 Encuesta'!$AT$2:$AT$511,"*a)*")</f>
        <v>5</v>
      </c>
      <c r="L361" s="52">
        <f t="shared" ref="L361:L366" si="570">K361/$J$7*100</f>
        <v>29.411764705882355</v>
      </c>
      <c r="M361" s="23"/>
      <c r="N361" s="51">
        <f t="shared" ref="N361:N366" si="571">P361+R361</f>
        <v>8</v>
      </c>
      <c r="O361" s="52">
        <f t="shared" ref="O361:O366" si="572">N361/$Q$5*100</f>
        <v>25</v>
      </c>
      <c r="P361" s="53">
        <f>COUNTIFS('00 Encuesta'!$B$2:$B$511,"*b)*",'00 Encuesta'!$C$2:$C$511,"*b)*",'00 Encuesta'!$E$2:$E$511,"*a)*",'00 Encuesta'!$AT$2:$AT$511,"*a)*")</f>
        <v>4</v>
      </c>
      <c r="Q361" s="52">
        <f t="shared" ref="Q361:Q366" si="573">P361/$Q$6*100</f>
        <v>23.52941176470588</v>
      </c>
      <c r="R361" s="53">
        <f>COUNTIFS('00 Encuesta'!$B$2:$B$511,"*b)*",'00 Encuesta'!$C$2:$C$511,"*b)*",'00 Encuesta'!$E$2:$E$511,"*b)*",'00 Encuesta'!$AT$2:$AT$511,"*a)*")</f>
        <v>4</v>
      </c>
      <c r="S361" s="52">
        <f t="shared" ref="S361:S366" si="574">R361/$Q$7*100</f>
        <v>26.666666666666668</v>
      </c>
      <c r="T361" s="3"/>
      <c r="U361" s="51">
        <f t="shared" ref="U361:U366" si="575">W361+Y361</f>
        <v>10</v>
      </c>
      <c r="V361" s="52">
        <f t="shared" ref="V361:V366" si="576">U361/$X$5*100</f>
        <v>25.641025641025639</v>
      </c>
      <c r="W361" s="53">
        <f>COUNTIFS('00 Encuesta'!$B$2:$B$511,"*b)*",'00 Encuesta'!$C$2:$C$511,"*c)*",'00 Encuesta'!$E$2:$E$511,"*a)*",'00 Encuesta'!$AT$2:$AT$511,"*a)*")</f>
        <v>5</v>
      </c>
      <c r="X361" s="52">
        <f t="shared" ref="X361:X366" si="577">W361/$X$6*100</f>
        <v>23.809523809523807</v>
      </c>
      <c r="Y361" s="53">
        <f>COUNTIFS('00 Encuesta'!$B$2:$B$511,"*b)*",'00 Encuesta'!$C$2:$C$511,"*c)*",'00 Encuesta'!$E$2:$E$511,"*b)*",'00 Encuesta'!$AT$2:$AT$511,"*a)*")</f>
        <v>5</v>
      </c>
      <c r="Z361" s="52">
        <f t="shared" ref="Z361:Z366" si="578">Y361/$X$7*100</f>
        <v>27.777777777777779</v>
      </c>
      <c r="AA361" s="3"/>
      <c r="AB361" s="62">
        <f t="shared" ref="AB361:AB366" si="579">G361+N361+U361</f>
        <v>29</v>
      </c>
      <c r="AC361" s="52">
        <f t="shared" ref="AC361:AC366" si="580">AB361*100/$AC$5</f>
        <v>26.605504587155963</v>
      </c>
      <c r="AD361" s="3"/>
      <c r="AE361" s="3"/>
      <c r="AF361" s="9" t="str">
        <f t="shared" ref="AF361:AF366" si="581">A361&amp;" "&amp;B361</f>
        <v>a) Muy buena</v>
      </c>
      <c r="AG361" s="72">
        <f t="shared" ref="AG361:AG366" si="582">J361</f>
        <v>28.571428571428569</v>
      </c>
      <c r="AH361" s="72">
        <f t="shared" ref="AH361:AH366" si="583">L361</f>
        <v>29.411764705882355</v>
      </c>
      <c r="AI361" s="73">
        <f t="shared" ref="AI361:AI366" si="584">H361</f>
        <v>28.947368421052634</v>
      </c>
      <c r="AJ361" s="73"/>
      <c r="AK361" s="76">
        <f t="shared" ref="AK361:AK366" si="585">Q361</f>
        <v>23.52941176470588</v>
      </c>
      <c r="AL361" s="76">
        <f t="shared" ref="AL361:AL366" si="586">S361</f>
        <v>26.666666666666668</v>
      </c>
      <c r="AM361" s="76">
        <f t="shared" ref="AM361:AM366" si="587">O361</f>
        <v>25</v>
      </c>
      <c r="AN361" s="76"/>
      <c r="AO361" s="81">
        <f t="shared" ref="AO361:AO366" si="588">X361</f>
        <v>23.809523809523807</v>
      </c>
      <c r="AP361" s="81">
        <f t="shared" ref="AP361:AP366" si="589">Z361</f>
        <v>27.777777777777779</v>
      </c>
      <c r="AQ361" s="81">
        <f t="shared" ref="AQ361:AQ366" si="590">V361</f>
        <v>25.641025641025639</v>
      </c>
      <c r="AR361" s="3"/>
      <c r="AS361" s="76">
        <f t="shared" si="542"/>
        <v>26.605504587155963</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ht="15" x14ac:dyDescent="0.25">
      <c r="A362" s="8" t="s">
        <v>18</v>
      </c>
      <c r="B362" s="9" t="s">
        <v>230</v>
      </c>
      <c r="C362" s="3"/>
      <c r="D362" s="3"/>
      <c r="E362" s="3"/>
      <c r="F362" s="71">
        <v>75</v>
      </c>
      <c r="G362" s="51">
        <f t="shared" si="567"/>
        <v>13</v>
      </c>
      <c r="H362" s="52">
        <f t="shared" si="568"/>
        <v>34.210526315789473</v>
      </c>
      <c r="I362" s="53">
        <f>COUNTIFS('00 Encuesta'!$B$2:$B$511,"*b)*",'00 Encuesta'!$C$2:$C$511,"*a)*",'00 Encuesta'!$E$2:$E$511,"*a)*",'00 Encuesta'!$AT$2:$AT$511,"*b)*")</f>
        <v>10</v>
      </c>
      <c r="J362" s="52">
        <f t="shared" si="569"/>
        <v>47.619047619047613</v>
      </c>
      <c r="K362" s="53">
        <f>COUNTIFS('00 Encuesta'!$B$2:$B$511,"*b)*",'00 Encuesta'!$C$2:$C$511,"*a)*",'00 Encuesta'!$E$2:$E$511,"*b)*",'00 Encuesta'!$AT$2:$AT$511,"*b)*")</f>
        <v>3</v>
      </c>
      <c r="L362" s="52">
        <f t="shared" si="570"/>
        <v>17.647058823529413</v>
      </c>
      <c r="M362" s="23"/>
      <c r="N362" s="51">
        <f t="shared" si="571"/>
        <v>11</v>
      </c>
      <c r="O362" s="52">
        <f t="shared" si="572"/>
        <v>34.375</v>
      </c>
      <c r="P362" s="53">
        <f>COUNTIFS('00 Encuesta'!$B$2:$B$511,"*b)*",'00 Encuesta'!$C$2:$C$511,"*b)*",'00 Encuesta'!$E$2:$E$511,"*a)*",'00 Encuesta'!$AT$2:$AT$511,"*b)*")</f>
        <v>6</v>
      </c>
      <c r="Q362" s="52">
        <f t="shared" si="573"/>
        <v>35.294117647058826</v>
      </c>
      <c r="R362" s="53">
        <f>COUNTIFS('00 Encuesta'!$B$2:$B$511,"*b)*",'00 Encuesta'!$C$2:$C$511,"*b)*",'00 Encuesta'!$E$2:$E$511,"*b)*",'00 Encuesta'!$AT$2:$AT$511,"*b)*")</f>
        <v>5</v>
      </c>
      <c r="S362" s="52">
        <f t="shared" si="574"/>
        <v>33.333333333333329</v>
      </c>
      <c r="T362" s="3"/>
      <c r="U362" s="51">
        <f t="shared" si="575"/>
        <v>20</v>
      </c>
      <c r="V362" s="52">
        <f t="shared" si="576"/>
        <v>51.282051282051277</v>
      </c>
      <c r="W362" s="53">
        <f>COUNTIFS('00 Encuesta'!$B$2:$B$511,"*b)*",'00 Encuesta'!$C$2:$C$511,"*c)*",'00 Encuesta'!$E$2:$E$511,"*a)*",'00 Encuesta'!$AT$2:$AT$511,"*b)*")</f>
        <v>12</v>
      </c>
      <c r="X362" s="52">
        <f t="shared" si="577"/>
        <v>57.142857142857139</v>
      </c>
      <c r="Y362" s="53">
        <f>COUNTIFS('00 Encuesta'!$B$2:$B$511,"*b)*",'00 Encuesta'!$C$2:$C$511,"*c)*",'00 Encuesta'!$E$2:$E$511,"*b)*",'00 Encuesta'!$AT$2:$AT$511,"*b)*")</f>
        <v>8</v>
      </c>
      <c r="Z362" s="52">
        <f t="shared" si="578"/>
        <v>44.444444444444443</v>
      </c>
      <c r="AA362" s="3"/>
      <c r="AB362" s="62">
        <f t="shared" si="579"/>
        <v>44</v>
      </c>
      <c r="AC362" s="52">
        <f t="shared" si="580"/>
        <v>40.366972477064223</v>
      </c>
      <c r="AD362" s="3"/>
      <c r="AE362" s="3"/>
      <c r="AF362" s="9" t="str">
        <f t="shared" si="581"/>
        <v>b) Buena</v>
      </c>
      <c r="AG362" s="72">
        <f t="shared" si="582"/>
        <v>47.619047619047613</v>
      </c>
      <c r="AH362" s="72">
        <f t="shared" si="583"/>
        <v>17.647058823529413</v>
      </c>
      <c r="AI362" s="73">
        <f t="shared" si="584"/>
        <v>34.210526315789473</v>
      </c>
      <c r="AJ362" s="73"/>
      <c r="AK362" s="76">
        <f t="shared" si="585"/>
        <v>35.294117647058826</v>
      </c>
      <c r="AL362" s="76">
        <f t="shared" si="586"/>
        <v>33.333333333333329</v>
      </c>
      <c r="AM362" s="76">
        <f t="shared" si="587"/>
        <v>34.375</v>
      </c>
      <c r="AN362" s="76"/>
      <c r="AO362" s="81">
        <f t="shared" si="588"/>
        <v>57.142857142857139</v>
      </c>
      <c r="AP362" s="81">
        <f t="shared" si="589"/>
        <v>44.444444444444443</v>
      </c>
      <c r="AQ362" s="81">
        <f t="shared" si="590"/>
        <v>51.282051282051277</v>
      </c>
      <c r="AR362" s="3"/>
      <c r="AS362" s="76">
        <f t="shared" si="542"/>
        <v>40.366972477064223</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ht="15" x14ac:dyDescent="0.25">
      <c r="A363" s="8" t="s">
        <v>20</v>
      </c>
      <c r="B363" s="9" t="s">
        <v>218</v>
      </c>
      <c r="C363" s="3"/>
      <c r="D363" s="3"/>
      <c r="E363" s="3"/>
      <c r="F363" s="71">
        <v>50</v>
      </c>
      <c r="G363" s="51">
        <f t="shared" si="567"/>
        <v>7</v>
      </c>
      <c r="H363" s="52">
        <f t="shared" si="568"/>
        <v>18.421052631578945</v>
      </c>
      <c r="I363" s="53">
        <f>COUNTIFS('00 Encuesta'!$B$2:$B$511,"*b)*",'00 Encuesta'!$C$2:$C$511,"*a)*",'00 Encuesta'!$E$2:$E$511,"*a)*",'00 Encuesta'!$AT$2:$AT$511,"*c)*")</f>
        <v>1</v>
      </c>
      <c r="J363" s="52">
        <f t="shared" si="569"/>
        <v>4.7619047619047619</v>
      </c>
      <c r="K363" s="53">
        <f>COUNTIFS('00 Encuesta'!$B$2:$B$511,"*b)*",'00 Encuesta'!$C$2:$C$511,"*a)*",'00 Encuesta'!$E$2:$E$511,"*b)*",'00 Encuesta'!$AT$2:$AT$511,"*c)*")</f>
        <v>6</v>
      </c>
      <c r="L363" s="52">
        <f t="shared" si="570"/>
        <v>35.294117647058826</v>
      </c>
      <c r="M363" s="23"/>
      <c r="N363" s="51">
        <f t="shared" si="571"/>
        <v>6</v>
      </c>
      <c r="O363" s="52">
        <f t="shared" si="572"/>
        <v>18.75</v>
      </c>
      <c r="P363" s="53">
        <f>COUNTIFS('00 Encuesta'!$B$2:$B$511,"*b)*",'00 Encuesta'!$C$2:$C$511,"*b)*",'00 Encuesta'!$E$2:$E$511,"*a)*",'00 Encuesta'!$AT$2:$AT$511,"*c)*")</f>
        <v>3</v>
      </c>
      <c r="Q363" s="52">
        <f t="shared" si="573"/>
        <v>17.647058823529413</v>
      </c>
      <c r="R363" s="53">
        <f>COUNTIFS('00 Encuesta'!$B$2:$B$511,"*b)*",'00 Encuesta'!$C$2:$C$511,"*b)*",'00 Encuesta'!$E$2:$E$511,"*b)*",'00 Encuesta'!$AT$2:$AT$511,"*c)*")</f>
        <v>3</v>
      </c>
      <c r="S363" s="52">
        <f t="shared" si="574"/>
        <v>20</v>
      </c>
      <c r="T363" s="3"/>
      <c r="U363" s="51">
        <f t="shared" si="575"/>
        <v>7</v>
      </c>
      <c r="V363" s="52">
        <f t="shared" si="576"/>
        <v>17.948717948717949</v>
      </c>
      <c r="W363" s="53">
        <f>COUNTIFS('00 Encuesta'!$B$2:$B$511,"*b)*",'00 Encuesta'!$C$2:$C$511,"*c)*",'00 Encuesta'!$E$2:$E$511,"*a)*",'00 Encuesta'!$AT$2:$AT$511,"*c)*")</f>
        <v>2</v>
      </c>
      <c r="X363" s="52">
        <f t="shared" si="577"/>
        <v>9.5238095238095237</v>
      </c>
      <c r="Y363" s="53">
        <f>COUNTIFS('00 Encuesta'!$B$2:$B$511,"*b)*",'00 Encuesta'!$C$2:$C$511,"*c)*",'00 Encuesta'!$E$2:$E$511,"*b)*",'00 Encuesta'!$AT$2:$AT$511,"*c)*")</f>
        <v>5</v>
      </c>
      <c r="Z363" s="52">
        <f t="shared" si="578"/>
        <v>27.777777777777779</v>
      </c>
      <c r="AA363" s="3"/>
      <c r="AB363" s="62">
        <f t="shared" si="579"/>
        <v>20</v>
      </c>
      <c r="AC363" s="52">
        <f t="shared" si="580"/>
        <v>18.348623853211009</v>
      </c>
      <c r="AD363" s="3"/>
      <c r="AE363" s="3"/>
      <c r="AF363" s="9" t="str">
        <f t="shared" si="581"/>
        <v>c) Regular</v>
      </c>
      <c r="AG363" s="72">
        <f t="shared" si="582"/>
        <v>4.7619047619047619</v>
      </c>
      <c r="AH363" s="72">
        <f t="shared" si="583"/>
        <v>35.294117647058826</v>
      </c>
      <c r="AI363" s="73">
        <f t="shared" si="584"/>
        <v>18.421052631578945</v>
      </c>
      <c r="AJ363" s="73"/>
      <c r="AK363" s="76">
        <f t="shared" si="585"/>
        <v>17.647058823529413</v>
      </c>
      <c r="AL363" s="76">
        <f t="shared" si="586"/>
        <v>20</v>
      </c>
      <c r="AM363" s="76">
        <f t="shared" si="587"/>
        <v>18.75</v>
      </c>
      <c r="AN363" s="76"/>
      <c r="AO363" s="81">
        <f t="shared" si="588"/>
        <v>9.5238095238095237</v>
      </c>
      <c r="AP363" s="81">
        <f t="shared" si="589"/>
        <v>27.777777777777779</v>
      </c>
      <c r="AQ363" s="81">
        <f t="shared" si="590"/>
        <v>17.948717948717949</v>
      </c>
      <c r="AR363" s="3"/>
      <c r="AS363" s="76">
        <f t="shared" si="542"/>
        <v>18.348623853211009</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ht="15" x14ac:dyDescent="0.25">
      <c r="A364" s="8" t="s">
        <v>21</v>
      </c>
      <c r="B364" s="9" t="s">
        <v>231</v>
      </c>
      <c r="C364" s="3"/>
      <c r="D364" s="3"/>
      <c r="E364" s="3"/>
      <c r="F364" s="71">
        <v>25</v>
      </c>
      <c r="G364" s="51">
        <f t="shared" si="567"/>
        <v>1</v>
      </c>
      <c r="H364" s="52">
        <f t="shared" si="568"/>
        <v>2.6315789473684208</v>
      </c>
      <c r="I364" s="53">
        <f>COUNTIFS('00 Encuesta'!$B$2:$B$511,"*b)*",'00 Encuesta'!$C$2:$C$511,"*a)*",'00 Encuesta'!$E$2:$E$511,"*a)*",'00 Encuesta'!$AT$2:$AT$511,"*d)*")</f>
        <v>0</v>
      </c>
      <c r="J364" s="52">
        <f t="shared" si="569"/>
        <v>0</v>
      </c>
      <c r="K364" s="53">
        <f>COUNTIFS('00 Encuesta'!$B$2:$B$511,"*b)*",'00 Encuesta'!$C$2:$C$511,"*a)*",'00 Encuesta'!$E$2:$E$511,"*b)*",'00 Encuesta'!$AT$2:$AT$511,"*d)*")</f>
        <v>1</v>
      </c>
      <c r="L364" s="52">
        <f t="shared" si="570"/>
        <v>5.8823529411764701</v>
      </c>
      <c r="M364" s="23"/>
      <c r="N364" s="51">
        <f t="shared" si="571"/>
        <v>1</v>
      </c>
      <c r="O364" s="52">
        <f t="shared" si="572"/>
        <v>3.125</v>
      </c>
      <c r="P364" s="53">
        <f>COUNTIFS('00 Encuesta'!$B$2:$B$511,"*b)*",'00 Encuesta'!$C$2:$C$511,"*b)*",'00 Encuesta'!$E$2:$E$511,"*a)*",'00 Encuesta'!$AT$2:$AT$511,"*d)*")</f>
        <v>0</v>
      </c>
      <c r="Q364" s="52">
        <f t="shared" si="573"/>
        <v>0</v>
      </c>
      <c r="R364" s="53">
        <f>COUNTIFS('00 Encuesta'!$B$2:$B$511,"*b)*",'00 Encuesta'!$C$2:$C$511,"*b)*",'00 Encuesta'!$E$2:$E$511,"*b)*",'00 Encuesta'!$AT$2:$AT$511,"*d)*")</f>
        <v>1</v>
      </c>
      <c r="S364" s="52">
        <f t="shared" si="574"/>
        <v>6.666666666666667</v>
      </c>
      <c r="T364" s="3"/>
      <c r="U364" s="51">
        <f t="shared" si="575"/>
        <v>1</v>
      </c>
      <c r="V364" s="52">
        <f t="shared" si="576"/>
        <v>2.5641025641025639</v>
      </c>
      <c r="W364" s="53">
        <f>COUNTIFS('00 Encuesta'!$B$2:$B$511,"*b)*",'00 Encuesta'!$C$2:$C$511,"*c)*",'00 Encuesta'!$E$2:$E$511,"*a)*",'00 Encuesta'!$AT$2:$AT$511,"*d)*")</f>
        <v>1</v>
      </c>
      <c r="X364" s="52">
        <f t="shared" si="577"/>
        <v>4.7619047619047619</v>
      </c>
      <c r="Y364" s="53">
        <f>COUNTIFS('00 Encuesta'!$B$2:$B$511,"*b)*",'00 Encuesta'!$C$2:$C$511,"*c)*",'00 Encuesta'!$E$2:$E$511,"*b)*",'00 Encuesta'!$AT$2:$AT$511,"*d)*")</f>
        <v>0</v>
      </c>
      <c r="Z364" s="52">
        <f t="shared" si="578"/>
        <v>0</v>
      </c>
      <c r="AA364" s="3"/>
      <c r="AB364" s="62">
        <f t="shared" si="579"/>
        <v>3</v>
      </c>
      <c r="AC364" s="52">
        <f t="shared" si="580"/>
        <v>2.7522935779816513</v>
      </c>
      <c r="AD364" s="3"/>
      <c r="AE364" s="3"/>
      <c r="AF364" s="9" t="str">
        <f t="shared" si="581"/>
        <v>d) Mala</v>
      </c>
      <c r="AG364" s="72">
        <f t="shared" si="582"/>
        <v>0</v>
      </c>
      <c r="AH364" s="72">
        <f t="shared" si="583"/>
        <v>5.8823529411764701</v>
      </c>
      <c r="AI364" s="73">
        <f t="shared" si="584"/>
        <v>2.6315789473684208</v>
      </c>
      <c r="AJ364" s="73"/>
      <c r="AK364" s="76">
        <f t="shared" si="585"/>
        <v>0</v>
      </c>
      <c r="AL364" s="76">
        <f t="shared" si="586"/>
        <v>6.666666666666667</v>
      </c>
      <c r="AM364" s="76">
        <f t="shared" si="587"/>
        <v>3.125</v>
      </c>
      <c r="AN364" s="76"/>
      <c r="AO364" s="81">
        <f t="shared" si="588"/>
        <v>4.7619047619047619</v>
      </c>
      <c r="AP364" s="81">
        <f t="shared" si="589"/>
        <v>0</v>
      </c>
      <c r="AQ364" s="81">
        <f t="shared" si="590"/>
        <v>2.5641025641025639</v>
      </c>
      <c r="AR364" s="3"/>
      <c r="AS364" s="76">
        <f t="shared" si="542"/>
        <v>2.7522935779816513</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ht="15" x14ac:dyDescent="0.25">
      <c r="A365" s="8" t="s">
        <v>22</v>
      </c>
      <c r="B365" s="9" t="s">
        <v>232</v>
      </c>
      <c r="C365" s="3"/>
      <c r="D365" s="3"/>
      <c r="E365" s="3"/>
      <c r="F365" s="71">
        <v>0</v>
      </c>
      <c r="G365" s="51">
        <f t="shared" si="567"/>
        <v>3</v>
      </c>
      <c r="H365" s="52">
        <f t="shared" si="568"/>
        <v>7.8947368421052628</v>
      </c>
      <c r="I365" s="53">
        <f>COUNTIFS('00 Encuesta'!$B$2:$B$511,"*b)*",'00 Encuesta'!$C$2:$C$511,"*a)*",'00 Encuesta'!$E$2:$E$511,"*a)*",'00 Encuesta'!$AT$2:$AT$511,"*e)*")</f>
        <v>2</v>
      </c>
      <c r="J365" s="52">
        <f t="shared" si="569"/>
        <v>9.5238095238095237</v>
      </c>
      <c r="K365" s="53">
        <f>COUNTIFS('00 Encuesta'!$B$2:$B$511,"*b)*",'00 Encuesta'!$C$2:$C$511,"*a)*",'00 Encuesta'!$E$2:$E$511,"*b)*",'00 Encuesta'!$AT$2:$AT$511,"*e)*")</f>
        <v>1</v>
      </c>
      <c r="L365" s="52">
        <f t="shared" si="570"/>
        <v>5.8823529411764701</v>
      </c>
      <c r="M365" s="23"/>
      <c r="N365" s="51">
        <f t="shared" si="571"/>
        <v>0</v>
      </c>
      <c r="O365" s="52">
        <f t="shared" si="572"/>
        <v>0</v>
      </c>
      <c r="P365" s="53">
        <f>COUNTIFS('00 Encuesta'!$B$2:$B$511,"*b)*",'00 Encuesta'!$C$2:$C$511,"*b)*",'00 Encuesta'!$E$2:$E$511,"*a)*",'00 Encuesta'!$AT$2:$AT$511,"*e)*")</f>
        <v>0</v>
      </c>
      <c r="Q365" s="52">
        <f t="shared" si="573"/>
        <v>0</v>
      </c>
      <c r="R365" s="53">
        <f>COUNTIFS('00 Encuesta'!$B$2:$B$511,"*b)*",'00 Encuesta'!$C$2:$C$511,"*b)*",'00 Encuesta'!$E$2:$E$511,"*b)*",'00 Encuesta'!$AT$2:$AT$511,"*e)*")</f>
        <v>0</v>
      </c>
      <c r="S365" s="52">
        <f t="shared" si="574"/>
        <v>0</v>
      </c>
      <c r="T365" s="3"/>
      <c r="U365" s="51">
        <f t="shared" si="575"/>
        <v>1</v>
      </c>
      <c r="V365" s="52">
        <f t="shared" si="576"/>
        <v>2.5641025641025639</v>
      </c>
      <c r="W365" s="53">
        <f>COUNTIFS('00 Encuesta'!$B$2:$B$511,"*b)*",'00 Encuesta'!$C$2:$C$511,"*c)*",'00 Encuesta'!$E$2:$E$511,"*a)*",'00 Encuesta'!$AT$2:$AT$511,"*e)*")</f>
        <v>1</v>
      </c>
      <c r="X365" s="52">
        <f t="shared" si="577"/>
        <v>4.7619047619047619</v>
      </c>
      <c r="Y365" s="53">
        <f>COUNTIFS('00 Encuesta'!$B$2:$B$511,"*b)*",'00 Encuesta'!$C$2:$C$511,"*c)*",'00 Encuesta'!$E$2:$E$511,"*b)*",'00 Encuesta'!$AT$2:$AT$511,"*e)*")</f>
        <v>0</v>
      </c>
      <c r="Z365" s="52">
        <f t="shared" si="578"/>
        <v>0</v>
      </c>
      <c r="AA365" s="3"/>
      <c r="AB365" s="62">
        <f t="shared" si="579"/>
        <v>4</v>
      </c>
      <c r="AC365" s="52">
        <f t="shared" si="580"/>
        <v>3.669724770642202</v>
      </c>
      <c r="AD365" s="3"/>
      <c r="AE365" s="3"/>
      <c r="AF365" s="9" t="str">
        <f t="shared" si="581"/>
        <v>e) Muy mala</v>
      </c>
      <c r="AG365" s="72">
        <f t="shared" si="582"/>
        <v>9.5238095238095237</v>
      </c>
      <c r="AH365" s="72">
        <f t="shared" si="583"/>
        <v>5.8823529411764701</v>
      </c>
      <c r="AI365" s="73">
        <f t="shared" si="584"/>
        <v>7.8947368421052628</v>
      </c>
      <c r="AJ365" s="73"/>
      <c r="AK365" s="76">
        <f t="shared" si="585"/>
        <v>0</v>
      </c>
      <c r="AL365" s="76">
        <f t="shared" si="586"/>
        <v>0</v>
      </c>
      <c r="AM365" s="76">
        <f t="shared" si="587"/>
        <v>0</v>
      </c>
      <c r="AN365" s="76"/>
      <c r="AO365" s="81">
        <f t="shared" si="588"/>
        <v>4.7619047619047619</v>
      </c>
      <c r="AP365" s="81">
        <f t="shared" si="589"/>
        <v>0</v>
      </c>
      <c r="AQ365" s="81">
        <f t="shared" si="590"/>
        <v>2.5641025641025639</v>
      </c>
      <c r="AR365" s="3"/>
      <c r="AS365" s="76">
        <f t="shared" si="542"/>
        <v>3.669724770642202</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ht="15" x14ac:dyDescent="0.25">
      <c r="A366" s="8" t="s">
        <v>45</v>
      </c>
      <c r="B366" s="9" t="s">
        <v>233</v>
      </c>
      <c r="C366" s="7"/>
      <c r="D366" s="7"/>
      <c r="E366" s="7"/>
      <c r="F366" s="71"/>
      <c r="G366" s="51">
        <f t="shared" si="567"/>
        <v>0</v>
      </c>
      <c r="H366" s="52">
        <f t="shared" si="568"/>
        <v>0</v>
      </c>
      <c r="I366" s="53">
        <f>COUNTIFS('00 Encuesta'!$B$2:$B$511,"*b)*",'00 Encuesta'!$C$2:$C$511,"*a)*",'00 Encuesta'!$E$2:$E$511,"*a)*",'00 Encuesta'!$AT$2:$AT$511,"*f)*")</f>
        <v>0</v>
      </c>
      <c r="J366" s="52">
        <f t="shared" si="569"/>
        <v>0</v>
      </c>
      <c r="K366" s="53">
        <f>COUNTIFS('00 Encuesta'!$B$2:$B$511,"*b)*",'00 Encuesta'!$C$2:$C$511,"*a)*",'00 Encuesta'!$E$2:$E$511,"*b)*",'00 Encuesta'!$AT$2:$AT$511,"*f)*")</f>
        <v>0</v>
      </c>
      <c r="L366" s="52">
        <f t="shared" si="570"/>
        <v>0</v>
      </c>
      <c r="M366" s="23"/>
      <c r="N366" s="51">
        <f t="shared" si="571"/>
        <v>0</v>
      </c>
      <c r="O366" s="52">
        <f t="shared" si="572"/>
        <v>0</v>
      </c>
      <c r="P366" s="53">
        <f>COUNTIFS('00 Encuesta'!$B$2:$B$511,"*b)*",'00 Encuesta'!$C$2:$C$511,"*b)*",'00 Encuesta'!$E$2:$E$511,"*a)*",'00 Encuesta'!$AT$2:$AT$511,"*f)*")</f>
        <v>0</v>
      </c>
      <c r="Q366" s="52">
        <f t="shared" si="573"/>
        <v>0</v>
      </c>
      <c r="R366" s="53">
        <f>COUNTIFS('00 Encuesta'!$B$2:$B$511,"*b)*",'00 Encuesta'!$C$2:$C$511,"*b)*",'00 Encuesta'!$E$2:$E$511,"*b)*",'00 Encuesta'!$AT$2:$AT$511,"*f)*")</f>
        <v>0</v>
      </c>
      <c r="S366" s="52">
        <f t="shared" si="574"/>
        <v>0</v>
      </c>
      <c r="T366" s="3"/>
      <c r="U366" s="51">
        <f t="shared" si="575"/>
        <v>0</v>
      </c>
      <c r="V366" s="52">
        <f t="shared" si="576"/>
        <v>0</v>
      </c>
      <c r="W366" s="53">
        <f>COUNTIFS('00 Encuesta'!$B$2:$B$511,"*b)*",'00 Encuesta'!$C$2:$C$511,"*c)*",'00 Encuesta'!$E$2:$E$511,"*a)*",'00 Encuesta'!$AT$2:$AT$511,"*f)*")</f>
        <v>0</v>
      </c>
      <c r="X366" s="52">
        <f t="shared" si="577"/>
        <v>0</v>
      </c>
      <c r="Y366" s="53">
        <f>COUNTIFS('00 Encuesta'!$B$2:$B$511,"*b)*",'00 Encuesta'!$C$2:$C$511,"*c)*",'00 Encuesta'!$E$2:$E$511,"*b)*",'00 Encuesta'!$AT$2:$AT$511,"*f)*")</f>
        <v>0</v>
      </c>
      <c r="Z366" s="52">
        <f t="shared" si="578"/>
        <v>0</v>
      </c>
      <c r="AA366" s="3"/>
      <c r="AB366" s="62">
        <f t="shared" si="579"/>
        <v>0</v>
      </c>
      <c r="AC366" s="52">
        <f t="shared" si="580"/>
        <v>0</v>
      </c>
      <c r="AD366" s="3"/>
      <c r="AE366" s="3"/>
      <c r="AF366" s="9" t="str">
        <f t="shared" si="581"/>
        <v>f) No aplica</v>
      </c>
      <c r="AG366" s="72">
        <f t="shared" si="582"/>
        <v>0</v>
      </c>
      <c r="AH366" s="72">
        <f t="shared" si="583"/>
        <v>0</v>
      </c>
      <c r="AI366" s="73">
        <f t="shared" si="584"/>
        <v>0</v>
      </c>
      <c r="AJ366" s="73"/>
      <c r="AK366" s="76">
        <f t="shared" si="585"/>
        <v>0</v>
      </c>
      <c r="AL366" s="76">
        <f t="shared" si="586"/>
        <v>0</v>
      </c>
      <c r="AM366" s="76">
        <f t="shared" si="587"/>
        <v>0</v>
      </c>
      <c r="AN366" s="76"/>
      <c r="AO366" s="81">
        <f t="shared" si="588"/>
        <v>0</v>
      </c>
      <c r="AP366" s="81">
        <f t="shared" si="589"/>
        <v>0</v>
      </c>
      <c r="AQ366" s="81">
        <f t="shared" si="590"/>
        <v>0</v>
      </c>
      <c r="AR366" s="3"/>
      <c r="AS366" s="76">
        <f t="shared" si="542"/>
        <v>0</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ht="15.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73.684210526315795</v>
      </c>
      <c r="AH367" s="82">
        <f>($F361*K361+$F362*K362+$F363*K363+$F364*K364+$F365*K365)/(K361+K362+K363+K364+K365)</f>
        <v>65.625</v>
      </c>
      <c r="AI367" s="82">
        <f>($F361*G361+$F362*G362+$F363*G363+$F364*G364+$F365*G365)/(G361+G362+G363+G364+G365)</f>
        <v>70</v>
      </c>
      <c r="AJ367" s="82"/>
      <c r="AK367" s="82">
        <f>($F361*Q361+$F362*Q362+$F363*Q363+$F364*Q364+$F365*Q365)/(Q361+Q362+Q363+Q364+Q365)</f>
        <v>76.92307692307692</v>
      </c>
      <c r="AL367" s="82">
        <f>($F361*S361+$F362*S362+$F363*S363+$F364*S364+$F365*S365)/(S361+S362+S363+S364+S365)</f>
        <v>73.076923076923066</v>
      </c>
      <c r="AM367" s="82">
        <f>($F361*O361+$F362*O362+$F363*O363+$F364*O364+$F365*O365)/(O361+O362+O363+O364+O365)</f>
        <v>75</v>
      </c>
      <c r="AN367" s="82"/>
      <c r="AO367" s="82">
        <f>($F361*W361+$F362*W362+$F363*W363+$F364*W364+$F365*W365)/(W361+W362+W363+W364+W365)</f>
        <v>72.61904761904762</v>
      </c>
      <c r="AP367" s="82">
        <f>($F361*Y361+$F362*Y362+$F363*Y363+$F364*Y364+$F365*Y365)/(Y361+Y362+Y363+Y364+Y365)</f>
        <v>75</v>
      </c>
      <c r="AQ367" s="82">
        <f>($F361*U361+$F362*U362+$F363*U363+$F364*U364+$F365*U365)/(U361+U362+U363+U364+U365)</f>
        <v>73.717948717948715</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75" x14ac:dyDescent="0.3">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ht="15" x14ac:dyDescent="0.25">
      <c r="A369" s="8" t="s">
        <v>17</v>
      </c>
      <c r="B369" s="9" t="s">
        <v>229</v>
      </c>
      <c r="C369" s="3"/>
      <c r="D369" s="3"/>
      <c r="E369" s="3"/>
      <c r="F369" s="71">
        <v>100</v>
      </c>
      <c r="G369" s="51">
        <f t="shared" ref="G369:G374" si="591">I369+K369</f>
        <v>12</v>
      </c>
      <c r="H369" s="52">
        <f t="shared" ref="H369:H374" si="592">G369/$J$5*100</f>
        <v>31.578947368421051</v>
      </c>
      <c r="I369" s="53">
        <f>COUNTIFS('00 Encuesta'!$B$2:$B$511,"*b)*",'00 Encuesta'!$C$2:$C$511,"*a)*",'00 Encuesta'!$E$2:$E$511,"*a)*",'00 Encuesta'!$AU$2:$AU$511,"*a)*")</f>
        <v>8</v>
      </c>
      <c r="J369" s="52">
        <f t="shared" ref="J369:J374" si="593">I369/$J$6*100</f>
        <v>38.095238095238095</v>
      </c>
      <c r="K369" s="53">
        <f>COUNTIFS('00 Encuesta'!$B$2:$B$511,"*b)*",'00 Encuesta'!$C$2:$C$511,"*a)*",'00 Encuesta'!$E$2:$E$511,"*b)*",'00 Encuesta'!$AU$2:$AU$511,"*a)*")</f>
        <v>4</v>
      </c>
      <c r="L369" s="52">
        <f t="shared" ref="L369:L374" si="594">K369/$J$7*100</f>
        <v>23.52941176470588</v>
      </c>
      <c r="M369" s="23"/>
      <c r="N369" s="51">
        <f t="shared" ref="N369:N374" si="595">P369+R369</f>
        <v>6</v>
      </c>
      <c r="O369" s="52">
        <f t="shared" ref="O369:O374" si="596">N369/$Q$5*100</f>
        <v>18.75</v>
      </c>
      <c r="P369" s="53">
        <f>COUNTIFS('00 Encuesta'!$B$2:$B$511,"*b)*",'00 Encuesta'!$C$2:$C$511,"*b)*",'00 Encuesta'!$E$2:$E$511,"*a)*",'00 Encuesta'!$AU$2:$AU$511,"*a)*")</f>
        <v>4</v>
      </c>
      <c r="Q369" s="52">
        <f t="shared" ref="Q369:Q374" si="597">P369/$Q$6*100</f>
        <v>23.52941176470588</v>
      </c>
      <c r="R369" s="53">
        <f>COUNTIFS('00 Encuesta'!$B$2:$B$511,"*b)*",'00 Encuesta'!$C$2:$C$511,"*b)*",'00 Encuesta'!$E$2:$E$511,"*b)*",'00 Encuesta'!$AU$2:$AU$511,"*a)*")</f>
        <v>2</v>
      </c>
      <c r="S369" s="52">
        <f t="shared" ref="S369:S374" si="598">R369/$Q$7*100</f>
        <v>13.333333333333334</v>
      </c>
      <c r="T369" s="3"/>
      <c r="U369" s="51">
        <f t="shared" ref="U369:U374" si="599">W369+Y369</f>
        <v>10</v>
      </c>
      <c r="V369" s="52">
        <f t="shared" ref="V369:V374" si="600">U369/$X$5*100</f>
        <v>25.641025641025639</v>
      </c>
      <c r="W369" s="53">
        <f>COUNTIFS('00 Encuesta'!$B$2:$B$511,"*b)*",'00 Encuesta'!$C$2:$C$511,"*c)*",'00 Encuesta'!$E$2:$E$511,"*a)*",'00 Encuesta'!$AU$2:$AU$511,"*a)*")</f>
        <v>5</v>
      </c>
      <c r="X369" s="52">
        <f t="shared" ref="X369:X374" si="601">W369/$X$6*100</f>
        <v>23.809523809523807</v>
      </c>
      <c r="Y369" s="53">
        <f>COUNTIFS('00 Encuesta'!$B$2:$B$511,"*b)*",'00 Encuesta'!$C$2:$C$511,"*c)*",'00 Encuesta'!$E$2:$E$511,"*b)*",'00 Encuesta'!$AU$2:$AU$511,"*a)*")</f>
        <v>5</v>
      </c>
      <c r="Z369" s="52">
        <f t="shared" ref="Z369:Z374" si="602">Y369/$X$7*100</f>
        <v>27.777777777777779</v>
      </c>
      <c r="AA369" s="3"/>
      <c r="AB369" s="62">
        <f t="shared" ref="AB369:AB374" si="603">G369+N369+U369</f>
        <v>28</v>
      </c>
      <c r="AC369" s="52">
        <f t="shared" ref="AC369:AC374" si="604">AB369*100/$AC$5</f>
        <v>25.688073394495412</v>
      </c>
      <c r="AD369" s="3"/>
      <c r="AE369" s="3"/>
      <c r="AF369" s="9" t="str">
        <f t="shared" ref="AF369:AF374" si="605">A369&amp;" "&amp;B369</f>
        <v>a) Muy buena</v>
      </c>
      <c r="AG369" s="72">
        <f t="shared" ref="AG369:AG374" si="606">J369</f>
        <v>38.095238095238095</v>
      </c>
      <c r="AH369" s="72">
        <f t="shared" ref="AH369:AH374" si="607">L369</f>
        <v>23.52941176470588</v>
      </c>
      <c r="AI369" s="73">
        <f t="shared" ref="AI369:AI374" si="608">H369</f>
        <v>31.578947368421051</v>
      </c>
      <c r="AJ369" s="73"/>
      <c r="AK369" s="76">
        <f t="shared" ref="AK369:AK374" si="609">Q369</f>
        <v>23.52941176470588</v>
      </c>
      <c r="AL369" s="76">
        <f t="shared" ref="AL369:AL374" si="610">S369</f>
        <v>13.333333333333334</v>
      </c>
      <c r="AM369" s="76">
        <f t="shared" ref="AM369:AM374" si="611">O369</f>
        <v>18.75</v>
      </c>
      <c r="AN369" s="76"/>
      <c r="AO369" s="81">
        <f t="shared" ref="AO369:AO374" si="612">X369</f>
        <v>23.809523809523807</v>
      </c>
      <c r="AP369" s="81">
        <f t="shared" ref="AP369:AP374" si="613">Z369</f>
        <v>27.777777777777779</v>
      </c>
      <c r="AQ369" s="81">
        <f t="shared" ref="AQ369:AQ374" si="614">V369</f>
        <v>25.641025641025639</v>
      </c>
      <c r="AR369" s="3"/>
      <c r="AS369" s="76">
        <f t="shared" si="542"/>
        <v>25.688073394495412</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ht="15" x14ac:dyDescent="0.25">
      <c r="A370" s="8" t="s">
        <v>18</v>
      </c>
      <c r="B370" s="9" t="s">
        <v>230</v>
      </c>
      <c r="C370" s="3"/>
      <c r="D370" s="3"/>
      <c r="E370" s="3"/>
      <c r="F370" s="71">
        <v>75</v>
      </c>
      <c r="G370" s="51">
        <f t="shared" si="591"/>
        <v>16</v>
      </c>
      <c r="H370" s="52">
        <f t="shared" si="592"/>
        <v>42.105263157894733</v>
      </c>
      <c r="I370" s="53">
        <f>COUNTIFS('00 Encuesta'!$B$2:$B$511,"*b)*",'00 Encuesta'!$C$2:$C$511,"*a)*",'00 Encuesta'!$E$2:$E$511,"*a)*",'00 Encuesta'!$AU$2:$AU$511,"*b)*")</f>
        <v>7</v>
      </c>
      <c r="J370" s="52">
        <f t="shared" si="593"/>
        <v>33.333333333333329</v>
      </c>
      <c r="K370" s="53">
        <f>COUNTIFS('00 Encuesta'!$B$2:$B$511,"*b)*",'00 Encuesta'!$C$2:$C$511,"*a)*",'00 Encuesta'!$E$2:$E$511,"*b)*",'00 Encuesta'!$AU$2:$AU$511,"*b)*")</f>
        <v>9</v>
      </c>
      <c r="L370" s="52">
        <f t="shared" si="594"/>
        <v>52.941176470588239</v>
      </c>
      <c r="M370" s="23"/>
      <c r="N370" s="51">
        <f t="shared" si="595"/>
        <v>15</v>
      </c>
      <c r="O370" s="52">
        <f t="shared" si="596"/>
        <v>46.875</v>
      </c>
      <c r="P370" s="53">
        <f>COUNTIFS('00 Encuesta'!$B$2:$B$511,"*b)*",'00 Encuesta'!$C$2:$C$511,"*b)*",'00 Encuesta'!$E$2:$E$511,"*a)*",'00 Encuesta'!$AU$2:$AU$511,"*b)*")</f>
        <v>4</v>
      </c>
      <c r="Q370" s="52">
        <f t="shared" si="597"/>
        <v>23.52941176470588</v>
      </c>
      <c r="R370" s="53">
        <f>COUNTIFS('00 Encuesta'!$B$2:$B$511,"*b)*",'00 Encuesta'!$C$2:$C$511,"*b)*",'00 Encuesta'!$E$2:$E$511,"*b)*",'00 Encuesta'!$AU$2:$AU$511,"*b)*")</f>
        <v>11</v>
      </c>
      <c r="S370" s="52">
        <f t="shared" si="598"/>
        <v>73.333333333333329</v>
      </c>
      <c r="T370" s="3"/>
      <c r="U370" s="51">
        <f t="shared" si="599"/>
        <v>18</v>
      </c>
      <c r="V370" s="52">
        <f t="shared" si="600"/>
        <v>46.153846153846153</v>
      </c>
      <c r="W370" s="53">
        <f>COUNTIFS('00 Encuesta'!$B$2:$B$511,"*b)*",'00 Encuesta'!$C$2:$C$511,"*c)*",'00 Encuesta'!$E$2:$E$511,"*a)*",'00 Encuesta'!$AU$2:$AU$511,"*b)*")</f>
        <v>10</v>
      </c>
      <c r="X370" s="52">
        <f t="shared" si="601"/>
        <v>47.619047619047613</v>
      </c>
      <c r="Y370" s="53">
        <f>COUNTIFS('00 Encuesta'!$B$2:$B$511,"*b)*",'00 Encuesta'!$C$2:$C$511,"*c)*",'00 Encuesta'!$E$2:$E$511,"*b)*",'00 Encuesta'!$AU$2:$AU$511,"*b)*")</f>
        <v>8</v>
      </c>
      <c r="Z370" s="52">
        <f t="shared" si="602"/>
        <v>44.444444444444443</v>
      </c>
      <c r="AA370" s="3"/>
      <c r="AB370" s="62">
        <f t="shared" si="603"/>
        <v>49</v>
      </c>
      <c r="AC370" s="52">
        <f t="shared" si="604"/>
        <v>44.954128440366972</v>
      </c>
      <c r="AD370" s="3"/>
      <c r="AE370" s="3"/>
      <c r="AF370" s="9" t="str">
        <f t="shared" si="605"/>
        <v>b) Buena</v>
      </c>
      <c r="AG370" s="72">
        <f t="shared" si="606"/>
        <v>33.333333333333329</v>
      </c>
      <c r="AH370" s="72">
        <f t="shared" si="607"/>
        <v>52.941176470588239</v>
      </c>
      <c r="AI370" s="73">
        <f t="shared" si="608"/>
        <v>42.105263157894733</v>
      </c>
      <c r="AJ370" s="73"/>
      <c r="AK370" s="76">
        <f t="shared" si="609"/>
        <v>23.52941176470588</v>
      </c>
      <c r="AL370" s="76">
        <f t="shared" si="610"/>
        <v>73.333333333333329</v>
      </c>
      <c r="AM370" s="76">
        <f t="shared" si="611"/>
        <v>46.875</v>
      </c>
      <c r="AN370" s="76"/>
      <c r="AO370" s="81">
        <f t="shared" si="612"/>
        <v>47.619047619047613</v>
      </c>
      <c r="AP370" s="81">
        <f t="shared" si="613"/>
        <v>44.444444444444443</v>
      </c>
      <c r="AQ370" s="81">
        <f t="shared" si="614"/>
        <v>46.153846153846153</v>
      </c>
      <c r="AR370" s="3"/>
      <c r="AS370" s="76">
        <f t="shared" si="542"/>
        <v>44.954128440366972</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ht="15" x14ac:dyDescent="0.25">
      <c r="A371" s="8" t="s">
        <v>20</v>
      </c>
      <c r="B371" s="9" t="s">
        <v>218</v>
      </c>
      <c r="C371" s="3"/>
      <c r="D371" s="3"/>
      <c r="E371" s="3"/>
      <c r="F371" s="71">
        <v>50</v>
      </c>
      <c r="G371" s="51">
        <f t="shared" si="591"/>
        <v>5</v>
      </c>
      <c r="H371" s="52">
        <f t="shared" si="592"/>
        <v>13.157894736842104</v>
      </c>
      <c r="I371" s="53">
        <f>COUNTIFS('00 Encuesta'!$B$2:$B$511,"*b)*",'00 Encuesta'!$C$2:$C$511,"*a)*",'00 Encuesta'!$E$2:$E$511,"*a)*",'00 Encuesta'!$AU$2:$AU$511,"*c)*")</f>
        <v>3</v>
      </c>
      <c r="J371" s="52">
        <f t="shared" si="593"/>
        <v>14.285714285714285</v>
      </c>
      <c r="K371" s="53">
        <f>COUNTIFS('00 Encuesta'!$B$2:$B$511,"*b)*",'00 Encuesta'!$C$2:$C$511,"*a)*",'00 Encuesta'!$E$2:$E$511,"*b)*",'00 Encuesta'!$AU$2:$AU$511,"*c)*")</f>
        <v>2</v>
      </c>
      <c r="L371" s="52">
        <f t="shared" si="594"/>
        <v>11.76470588235294</v>
      </c>
      <c r="M371" s="23"/>
      <c r="N371" s="51">
        <f t="shared" si="595"/>
        <v>5</v>
      </c>
      <c r="O371" s="52">
        <f t="shared" si="596"/>
        <v>15.625</v>
      </c>
      <c r="P371" s="53">
        <f>COUNTIFS('00 Encuesta'!$B$2:$B$511,"*b)*",'00 Encuesta'!$C$2:$C$511,"*b)*",'00 Encuesta'!$E$2:$E$511,"*a)*",'00 Encuesta'!$AU$2:$AU$511,"*c)*")</f>
        <v>3</v>
      </c>
      <c r="Q371" s="52">
        <f t="shared" si="597"/>
        <v>17.647058823529413</v>
      </c>
      <c r="R371" s="53">
        <f>COUNTIFS('00 Encuesta'!$B$2:$B$511,"*b)*",'00 Encuesta'!$C$2:$C$511,"*b)*",'00 Encuesta'!$E$2:$E$511,"*b)*",'00 Encuesta'!$AU$2:$AU$511,"*c)*")</f>
        <v>2</v>
      </c>
      <c r="S371" s="52">
        <f t="shared" si="598"/>
        <v>13.333333333333334</v>
      </c>
      <c r="T371" s="3"/>
      <c r="U371" s="51">
        <f t="shared" si="599"/>
        <v>8</v>
      </c>
      <c r="V371" s="52">
        <f t="shared" si="600"/>
        <v>20.512820512820511</v>
      </c>
      <c r="W371" s="53">
        <f>COUNTIFS('00 Encuesta'!$B$2:$B$511,"*b)*",'00 Encuesta'!$C$2:$C$511,"*c)*",'00 Encuesta'!$E$2:$E$511,"*a)*",'00 Encuesta'!$AU$2:$AU$511,"*c)*")</f>
        <v>4</v>
      </c>
      <c r="X371" s="52">
        <f t="shared" si="601"/>
        <v>19.047619047619047</v>
      </c>
      <c r="Y371" s="53">
        <f>COUNTIFS('00 Encuesta'!$B$2:$B$511,"*b)*",'00 Encuesta'!$C$2:$C$511,"*c)*",'00 Encuesta'!$E$2:$E$511,"*b)*",'00 Encuesta'!$AU$2:$AU$511,"*c)*")</f>
        <v>4</v>
      </c>
      <c r="Z371" s="52">
        <f t="shared" si="602"/>
        <v>22.222222222222221</v>
      </c>
      <c r="AA371" s="3"/>
      <c r="AB371" s="62">
        <f t="shared" si="603"/>
        <v>18</v>
      </c>
      <c r="AC371" s="52">
        <f t="shared" si="604"/>
        <v>16.513761467889907</v>
      </c>
      <c r="AD371" s="3"/>
      <c r="AE371" s="3"/>
      <c r="AF371" s="9" t="str">
        <f t="shared" si="605"/>
        <v>c) Regular</v>
      </c>
      <c r="AG371" s="72">
        <f t="shared" si="606"/>
        <v>14.285714285714285</v>
      </c>
      <c r="AH371" s="72">
        <f t="shared" si="607"/>
        <v>11.76470588235294</v>
      </c>
      <c r="AI371" s="73">
        <f t="shared" si="608"/>
        <v>13.157894736842104</v>
      </c>
      <c r="AJ371" s="73"/>
      <c r="AK371" s="76">
        <f t="shared" si="609"/>
        <v>17.647058823529413</v>
      </c>
      <c r="AL371" s="76">
        <f t="shared" si="610"/>
        <v>13.333333333333334</v>
      </c>
      <c r="AM371" s="76">
        <f t="shared" si="611"/>
        <v>15.625</v>
      </c>
      <c r="AN371" s="76"/>
      <c r="AO371" s="81">
        <f t="shared" si="612"/>
        <v>19.047619047619047</v>
      </c>
      <c r="AP371" s="81">
        <f t="shared" si="613"/>
        <v>22.222222222222221</v>
      </c>
      <c r="AQ371" s="81">
        <f t="shared" si="614"/>
        <v>20.512820512820511</v>
      </c>
      <c r="AR371" s="3"/>
      <c r="AS371" s="76">
        <f t="shared" si="542"/>
        <v>16.513761467889907</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ht="15" x14ac:dyDescent="0.25">
      <c r="A372" s="8" t="s">
        <v>21</v>
      </c>
      <c r="B372" s="9" t="s">
        <v>231</v>
      </c>
      <c r="C372" s="3"/>
      <c r="D372" s="3"/>
      <c r="E372" s="3"/>
      <c r="F372" s="71">
        <v>25</v>
      </c>
      <c r="G372" s="51">
        <f t="shared" si="591"/>
        <v>0</v>
      </c>
      <c r="H372" s="52">
        <f t="shared" si="592"/>
        <v>0</v>
      </c>
      <c r="I372" s="53">
        <f>COUNTIFS('00 Encuesta'!$B$2:$B$511,"*b)*",'00 Encuesta'!$C$2:$C$511,"*a)*",'00 Encuesta'!$E$2:$E$511,"*a)*",'00 Encuesta'!$AU$2:$AU$511,"*d)*")</f>
        <v>0</v>
      </c>
      <c r="J372" s="52">
        <f t="shared" si="593"/>
        <v>0</v>
      </c>
      <c r="K372" s="53">
        <f>COUNTIFS('00 Encuesta'!$B$2:$B$511,"*b)*",'00 Encuesta'!$C$2:$C$511,"*a)*",'00 Encuesta'!$E$2:$E$511,"*b)*",'00 Encuesta'!$AU$2:$AU$511,"*d)*")</f>
        <v>0</v>
      </c>
      <c r="L372" s="52">
        <f t="shared" si="594"/>
        <v>0</v>
      </c>
      <c r="M372" s="23"/>
      <c r="N372" s="51">
        <f t="shared" si="595"/>
        <v>0</v>
      </c>
      <c r="O372" s="52">
        <f t="shared" si="596"/>
        <v>0</v>
      </c>
      <c r="P372" s="53">
        <f>COUNTIFS('00 Encuesta'!$B$2:$B$511,"*b)*",'00 Encuesta'!$C$2:$C$511,"*b)*",'00 Encuesta'!$E$2:$E$511,"*a)*",'00 Encuesta'!$AU$2:$AU$511,"*d)*")</f>
        <v>0</v>
      </c>
      <c r="Q372" s="52">
        <f t="shared" si="597"/>
        <v>0</v>
      </c>
      <c r="R372" s="53">
        <f>COUNTIFS('00 Encuesta'!$B$2:$B$511,"*b)*",'00 Encuesta'!$C$2:$C$511,"*b)*",'00 Encuesta'!$E$2:$E$511,"*b)*",'00 Encuesta'!$AU$2:$AU$511,"*d)*")</f>
        <v>0</v>
      </c>
      <c r="S372" s="52">
        <f t="shared" si="598"/>
        <v>0</v>
      </c>
      <c r="T372" s="3"/>
      <c r="U372" s="51">
        <f t="shared" si="599"/>
        <v>2</v>
      </c>
      <c r="V372" s="52">
        <f t="shared" si="600"/>
        <v>5.1282051282051277</v>
      </c>
      <c r="W372" s="53">
        <f>COUNTIFS('00 Encuesta'!$B$2:$B$511,"*b)*",'00 Encuesta'!$C$2:$C$511,"*c)*",'00 Encuesta'!$E$2:$E$511,"*a)*",'00 Encuesta'!$AU$2:$AU$511,"*d)*")</f>
        <v>1</v>
      </c>
      <c r="X372" s="52">
        <f t="shared" si="601"/>
        <v>4.7619047619047619</v>
      </c>
      <c r="Y372" s="53">
        <f>COUNTIFS('00 Encuesta'!$B$2:$B$511,"*b)*",'00 Encuesta'!$C$2:$C$511,"*c)*",'00 Encuesta'!$E$2:$E$511,"*b)*",'00 Encuesta'!$AU$2:$AU$511,"*d)*")</f>
        <v>1</v>
      </c>
      <c r="Z372" s="52">
        <f t="shared" si="602"/>
        <v>5.5555555555555554</v>
      </c>
      <c r="AA372" s="3"/>
      <c r="AB372" s="62">
        <f t="shared" si="603"/>
        <v>2</v>
      </c>
      <c r="AC372" s="52">
        <f t="shared" si="604"/>
        <v>1.834862385321101</v>
      </c>
      <c r="AD372" s="3"/>
      <c r="AE372" s="3"/>
      <c r="AF372" s="9" t="str">
        <f t="shared" si="605"/>
        <v>d) Mala</v>
      </c>
      <c r="AG372" s="72">
        <f t="shared" si="606"/>
        <v>0</v>
      </c>
      <c r="AH372" s="72">
        <f t="shared" si="607"/>
        <v>0</v>
      </c>
      <c r="AI372" s="73">
        <f t="shared" si="608"/>
        <v>0</v>
      </c>
      <c r="AJ372" s="73"/>
      <c r="AK372" s="76">
        <f t="shared" si="609"/>
        <v>0</v>
      </c>
      <c r="AL372" s="76">
        <f t="shared" si="610"/>
        <v>0</v>
      </c>
      <c r="AM372" s="76">
        <f t="shared" si="611"/>
        <v>0</v>
      </c>
      <c r="AN372" s="76"/>
      <c r="AO372" s="81">
        <f t="shared" si="612"/>
        <v>4.7619047619047619</v>
      </c>
      <c r="AP372" s="81">
        <f t="shared" si="613"/>
        <v>5.5555555555555554</v>
      </c>
      <c r="AQ372" s="81">
        <f t="shared" si="614"/>
        <v>5.1282051282051277</v>
      </c>
      <c r="AR372" s="3"/>
      <c r="AS372" s="76">
        <f t="shared" si="542"/>
        <v>1.834862385321101</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ht="15" x14ac:dyDescent="0.25">
      <c r="A373" s="8" t="s">
        <v>22</v>
      </c>
      <c r="B373" s="9" t="s">
        <v>232</v>
      </c>
      <c r="C373" s="3"/>
      <c r="D373" s="3"/>
      <c r="E373" s="3"/>
      <c r="F373" s="71">
        <v>0</v>
      </c>
      <c r="G373" s="51">
        <f t="shared" si="591"/>
        <v>2</v>
      </c>
      <c r="H373" s="52">
        <f t="shared" si="592"/>
        <v>5.2631578947368416</v>
      </c>
      <c r="I373" s="53">
        <f>COUNTIFS('00 Encuesta'!$B$2:$B$511,"*b)*",'00 Encuesta'!$C$2:$C$511,"*a)*",'00 Encuesta'!$E$2:$E$511,"*a)*",'00 Encuesta'!$AU$2:$AU$511,"*e)*")</f>
        <v>1</v>
      </c>
      <c r="J373" s="52">
        <f t="shared" si="593"/>
        <v>4.7619047619047619</v>
      </c>
      <c r="K373" s="53">
        <f>COUNTIFS('00 Encuesta'!$B$2:$B$511,"*b)*",'00 Encuesta'!$C$2:$C$511,"*a)*",'00 Encuesta'!$E$2:$E$511,"*b)*",'00 Encuesta'!$AU$2:$AU$511,"*e)*")</f>
        <v>1</v>
      </c>
      <c r="L373" s="52">
        <f t="shared" si="594"/>
        <v>5.8823529411764701</v>
      </c>
      <c r="M373" s="23"/>
      <c r="N373" s="51">
        <f t="shared" si="595"/>
        <v>0</v>
      </c>
      <c r="O373" s="52">
        <f t="shared" si="596"/>
        <v>0</v>
      </c>
      <c r="P373" s="53">
        <f>COUNTIFS('00 Encuesta'!$B$2:$B$511,"*b)*",'00 Encuesta'!$C$2:$C$511,"*b)*",'00 Encuesta'!$E$2:$E$511,"*a)*",'00 Encuesta'!$AU$2:$AU$511,"*e)*")</f>
        <v>0</v>
      </c>
      <c r="Q373" s="52">
        <f t="shared" si="597"/>
        <v>0</v>
      </c>
      <c r="R373" s="53">
        <f>COUNTIFS('00 Encuesta'!$B$2:$B$511,"*b)*",'00 Encuesta'!$C$2:$C$511,"*b)*",'00 Encuesta'!$E$2:$E$511,"*b)*",'00 Encuesta'!$AU$2:$AU$511,"*e)*")</f>
        <v>0</v>
      </c>
      <c r="S373" s="52">
        <f t="shared" si="598"/>
        <v>0</v>
      </c>
      <c r="T373" s="3"/>
      <c r="U373" s="51">
        <f t="shared" si="599"/>
        <v>1</v>
      </c>
      <c r="V373" s="52">
        <f t="shared" si="600"/>
        <v>2.5641025641025639</v>
      </c>
      <c r="W373" s="53">
        <f>COUNTIFS('00 Encuesta'!$B$2:$B$511,"*b)*",'00 Encuesta'!$C$2:$C$511,"*c)*",'00 Encuesta'!$E$2:$E$511,"*a)*",'00 Encuesta'!$AU$2:$AU$511,"*e)*")</f>
        <v>1</v>
      </c>
      <c r="X373" s="52">
        <f t="shared" si="601"/>
        <v>4.7619047619047619</v>
      </c>
      <c r="Y373" s="53">
        <f>COUNTIFS('00 Encuesta'!$B$2:$B$511,"*b)*",'00 Encuesta'!$C$2:$C$511,"*c)*",'00 Encuesta'!$E$2:$E$511,"*b)*",'00 Encuesta'!$AU$2:$AU$511,"*e)*")</f>
        <v>0</v>
      </c>
      <c r="Z373" s="52">
        <f t="shared" si="602"/>
        <v>0</v>
      </c>
      <c r="AA373" s="3"/>
      <c r="AB373" s="62">
        <f t="shared" si="603"/>
        <v>3</v>
      </c>
      <c r="AC373" s="52">
        <f t="shared" si="604"/>
        <v>2.7522935779816513</v>
      </c>
      <c r="AD373" s="3"/>
      <c r="AE373" s="3"/>
      <c r="AF373" s="9" t="str">
        <f t="shared" si="605"/>
        <v>e) Muy mala</v>
      </c>
      <c r="AG373" s="72">
        <f t="shared" si="606"/>
        <v>4.7619047619047619</v>
      </c>
      <c r="AH373" s="72">
        <f t="shared" si="607"/>
        <v>5.8823529411764701</v>
      </c>
      <c r="AI373" s="73">
        <f t="shared" si="608"/>
        <v>5.2631578947368416</v>
      </c>
      <c r="AJ373" s="73"/>
      <c r="AK373" s="76">
        <f t="shared" si="609"/>
        <v>0</v>
      </c>
      <c r="AL373" s="76">
        <f t="shared" si="610"/>
        <v>0</v>
      </c>
      <c r="AM373" s="76">
        <f t="shared" si="611"/>
        <v>0</v>
      </c>
      <c r="AN373" s="76"/>
      <c r="AO373" s="81">
        <f t="shared" si="612"/>
        <v>4.7619047619047619</v>
      </c>
      <c r="AP373" s="81">
        <f t="shared" si="613"/>
        <v>0</v>
      </c>
      <c r="AQ373" s="81">
        <f t="shared" si="614"/>
        <v>2.5641025641025639</v>
      </c>
      <c r="AR373" s="3"/>
      <c r="AS373" s="76">
        <f t="shared" si="542"/>
        <v>2.7522935779816513</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ht="15" x14ac:dyDescent="0.25">
      <c r="A374" s="8" t="s">
        <v>45</v>
      </c>
      <c r="B374" s="9" t="s">
        <v>233</v>
      </c>
      <c r="C374" s="7"/>
      <c r="D374" s="7"/>
      <c r="E374" s="7"/>
      <c r="F374" s="71"/>
      <c r="G374" s="51">
        <f t="shared" si="591"/>
        <v>0</v>
      </c>
      <c r="H374" s="52">
        <f t="shared" si="592"/>
        <v>0</v>
      </c>
      <c r="I374" s="53">
        <f>COUNTIFS('00 Encuesta'!$B$2:$B$511,"*b)*",'00 Encuesta'!$C$2:$C$511,"*a)*",'00 Encuesta'!$E$2:$E$511,"*a)*",'00 Encuesta'!$AU$2:$AU$511,"*f)*")</f>
        <v>0</v>
      </c>
      <c r="J374" s="52">
        <f t="shared" si="593"/>
        <v>0</v>
      </c>
      <c r="K374" s="53">
        <f>COUNTIFS('00 Encuesta'!$B$2:$B$511,"*b)*",'00 Encuesta'!$C$2:$C$511,"*a)*",'00 Encuesta'!$E$2:$E$511,"*b)*",'00 Encuesta'!$AU$2:$AU$511,"*f)*")</f>
        <v>0</v>
      </c>
      <c r="L374" s="52">
        <f t="shared" si="594"/>
        <v>0</v>
      </c>
      <c r="M374" s="23"/>
      <c r="N374" s="51">
        <f t="shared" si="595"/>
        <v>0</v>
      </c>
      <c r="O374" s="52">
        <f t="shared" si="596"/>
        <v>0</v>
      </c>
      <c r="P374" s="53">
        <f>COUNTIFS('00 Encuesta'!$B$2:$B$511,"*b)*",'00 Encuesta'!$C$2:$C$511,"*b)*",'00 Encuesta'!$E$2:$E$511,"*a)*",'00 Encuesta'!$AU$2:$AU$511,"*f)*")</f>
        <v>0</v>
      </c>
      <c r="Q374" s="52">
        <f t="shared" si="597"/>
        <v>0</v>
      </c>
      <c r="R374" s="53">
        <f>COUNTIFS('00 Encuesta'!$B$2:$B$511,"*b)*",'00 Encuesta'!$C$2:$C$511,"*b)*",'00 Encuesta'!$E$2:$E$511,"*b)*",'00 Encuesta'!$AU$2:$AU$511,"*f)*")</f>
        <v>0</v>
      </c>
      <c r="S374" s="52">
        <f t="shared" si="598"/>
        <v>0</v>
      </c>
      <c r="T374" s="3"/>
      <c r="U374" s="51">
        <f t="shared" si="599"/>
        <v>0</v>
      </c>
      <c r="V374" s="52">
        <f t="shared" si="600"/>
        <v>0</v>
      </c>
      <c r="W374" s="53">
        <f>COUNTIFS('00 Encuesta'!$B$2:$B$511,"*b)*",'00 Encuesta'!$C$2:$C$511,"*c)*",'00 Encuesta'!$E$2:$E$511,"*a)*",'00 Encuesta'!$AU$2:$AU$511,"*f)*")</f>
        <v>0</v>
      </c>
      <c r="X374" s="52">
        <f t="shared" si="601"/>
        <v>0</v>
      </c>
      <c r="Y374" s="53">
        <f>COUNTIFS('00 Encuesta'!$B$2:$B$511,"*b)*",'00 Encuesta'!$C$2:$C$511,"*c)*",'00 Encuesta'!$E$2:$E$511,"*b)*",'00 Encuesta'!$AU$2:$AU$511,"*f)*")</f>
        <v>0</v>
      </c>
      <c r="Z374" s="52">
        <f t="shared" si="602"/>
        <v>0</v>
      </c>
      <c r="AA374" s="3"/>
      <c r="AB374" s="62">
        <f t="shared" si="603"/>
        <v>0</v>
      </c>
      <c r="AC374" s="52">
        <f t="shared" si="604"/>
        <v>0</v>
      </c>
      <c r="AD374" s="3"/>
      <c r="AE374" s="3"/>
      <c r="AF374" s="9" t="str">
        <f t="shared" si="605"/>
        <v>f) No aplica</v>
      </c>
      <c r="AG374" s="72">
        <f t="shared" si="606"/>
        <v>0</v>
      </c>
      <c r="AH374" s="72">
        <f t="shared" si="607"/>
        <v>0</v>
      </c>
      <c r="AI374" s="73">
        <f t="shared" si="608"/>
        <v>0</v>
      </c>
      <c r="AJ374" s="73"/>
      <c r="AK374" s="76">
        <f t="shared" si="609"/>
        <v>0</v>
      </c>
      <c r="AL374" s="76">
        <f t="shared" si="610"/>
        <v>0</v>
      </c>
      <c r="AM374" s="76">
        <f t="shared" si="611"/>
        <v>0</v>
      </c>
      <c r="AN374" s="76"/>
      <c r="AO374" s="81">
        <f t="shared" si="612"/>
        <v>0</v>
      </c>
      <c r="AP374" s="81">
        <f t="shared" si="613"/>
        <v>0</v>
      </c>
      <c r="AQ374" s="81">
        <f t="shared" si="614"/>
        <v>0</v>
      </c>
      <c r="AR374" s="3"/>
      <c r="AS374" s="76">
        <f t="shared" si="542"/>
        <v>0</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ht="15" x14ac:dyDescent="0.25">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77.631578947368425</v>
      </c>
      <c r="AH375" s="82">
        <f>($F369*K369+$F370*K370+$F371*K371+$F372*K372+$F373*K373)/(K369+K370+K371+K372+K373)</f>
        <v>73.4375</v>
      </c>
      <c r="AI375" s="82">
        <f>($F369*G369+$F370*G370+$F371*G371+$F372*G372+$F373*G373)/(G369+G370+G371+G372+G373)</f>
        <v>75.714285714285708</v>
      </c>
      <c r="AJ375" s="82"/>
      <c r="AK375" s="82">
        <f>($F369*Q369+$F370*Q370+$F371*Q371+$F372*Q372+$F373*Q373)/(Q369+Q370+Q371+Q372+Q373)</f>
        <v>77.272727272727266</v>
      </c>
      <c r="AL375" s="82">
        <f>($F369*S369+$F370*S370+$F371*S371+$F372*S372+$F373*S373)/(S369+S370+S371+S372+S373)</f>
        <v>75.000000000000014</v>
      </c>
      <c r="AM375" s="82">
        <f>($F369*O369+$F370*O370+$F371*O371+$F372*O372+$F373*O373)/(O369+O370+O371+O372+O373)</f>
        <v>75.961538461538467</v>
      </c>
      <c r="AN375" s="82"/>
      <c r="AO375" s="82">
        <f>($F369*W369+$F370*W370+$F371*W371+$F372*W372+$F373*W373)/(W369+W370+W371+W372+W373)</f>
        <v>70.238095238095241</v>
      </c>
      <c r="AP375" s="82">
        <f>($F369*Y369+$F370*Y370+$F371*Y371+$F372*Y372+$F373*Y373)/(Y369+Y370+Y371+Y372+Y373)</f>
        <v>73.611111111111114</v>
      </c>
      <c r="AQ375" s="82">
        <f>($F369*U369+$F370*U370+$F371*U371+$F372*U372+$F373*U373)/(U369+U370+U371+U372+U373)</f>
        <v>71.794871794871796</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ht="15" x14ac:dyDescent="0.25">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ht="15" x14ac:dyDescent="0.25">
      <c r="A377" s="8" t="s">
        <v>17</v>
      </c>
      <c r="B377" s="9" t="s">
        <v>229</v>
      </c>
      <c r="C377" s="3"/>
      <c r="D377" s="3"/>
      <c r="E377" s="3"/>
      <c r="F377" s="71">
        <v>100</v>
      </c>
      <c r="G377" s="51">
        <f t="shared" ref="G377:G382" si="615">I377+K377</f>
        <v>13</v>
      </c>
      <c r="H377" s="52">
        <f t="shared" ref="H377:H382" si="616">G377/$J$5*100</f>
        <v>34.210526315789473</v>
      </c>
      <c r="I377" s="53">
        <f>COUNTIFS('00 Encuesta'!$B$2:$B$511,"*b)*",'00 Encuesta'!$C$2:$C$511,"*a)*",'00 Encuesta'!$E$2:$E$511,"*a)*",'00 Encuesta'!$AV$2:$AV$511,"*a)*")</f>
        <v>7</v>
      </c>
      <c r="J377" s="52">
        <f t="shared" ref="J377:J382" si="617">I377/$J$6*100</f>
        <v>33.333333333333329</v>
      </c>
      <c r="K377" s="53">
        <f>COUNTIFS('00 Encuesta'!$B$2:$B$511,"*b)*",'00 Encuesta'!$C$2:$C$511,"*a)*",'00 Encuesta'!$E$2:$E$511,"*b)*",'00 Encuesta'!$AV$2:$AV$511,"*a)*")</f>
        <v>6</v>
      </c>
      <c r="L377" s="52">
        <f t="shared" ref="L377:L382" si="618">K377/$J$7*100</f>
        <v>35.294117647058826</v>
      </c>
      <c r="M377" s="23"/>
      <c r="N377" s="51">
        <f t="shared" ref="N377:N382" si="619">P377+R377</f>
        <v>6</v>
      </c>
      <c r="O377" s="52">
        <f t="shared" ref="O377:O382" si="620">N377/$Q$5*100</f>
        <v>18.75</v>
      </c>
      <c r="P377" s="53">
        <f>COUNTIFS('00 Encuesta'!$B$2:$B$511,"*b)*",'00 Encuesta'!$C$2:$C$511,"*b)*",'00 Encuesta'!$E$2:$E$511,"*a)*",'00 Encuesta'!$AV$2:$AV$511,"*a)*")</f>
        <v>3</v>
      </c>
      <c r="Q377" s="52">
        <f t="shared" ref="Q377:Q382" si="621">P377/$Q$6*100</f>
        <v>17.647058823529413</v>
      </c>
      <c r="R377" s="53">
        <f>COUNTIFS('00 Encuesta'!$B$2:$B$511,"*b)*",'00 Encuesta'!$C$2:$C$511,"*b)*",'00 Encuesta'!$E$2:$E$511,"*b)*",'00 Encuesta'!$AV$2:$AV$511,"*a)*")</f>
        <v>3</v>
      </c>
      <c r="S377" s="52">
        <f t="shared" ref="S377:S382" si="622">R377/$Q$7*100</f>
        <v>20</v>
      </c>
      <c r="T377" s="3"/>
      <c r="U377" s="51">
        <f t="shared" ref="U377:U382" si="623">W377+Y377</f>
        <v>7</v>
      </c>
      <c r="V377" s="52">
        <f t="shared" ref="V377:V382" si="624">U377/$X$5*100</f>
        <v>17.948717948717949</v>
      </c>
      <c r="W377" s="53">
        <f>COUNTIFS('00 Encuesta'!$B$2:$B$511,"*b)*",'00 Encuesta'!$C$2:$C$511,"*c)*",'00 Encuesta'!$E$2:$E$511,"*a)*",'00 Encuesta'!$AV$2:$AV$511,"*a)*")</f>
        <v>4</v>
      </c>
      <c r="X377" s="52">
        <f t="shared" ref="X377:X382" si="625">W377/$X$6*100</f>
        <v>19.047619047619047</v>
      </c>
      <c r="Y377" s="53">
        <f>COUNTIFS('00 Encuesta'!$B$2:$B$511,"*b)*",'00 Encuesta'!$C$2:$C$511,"*c)*",'00 Encuesta'!$E$2:$E$511,"*b)*",'00 Encuesta'!$AV$2:$AV$511,"*a)*")</f>
        <v>3</v>
      </c>
      <c r="Z377" s="52">
        <f t="shared" ref="Z377:Z382" si="626">Y377/$X$7*100</f>
        <v>16.666666666666664</v>
      </c>
      <c r="AA377" s="3"/>
      <c r="AB377" s="62">
        <f t="shared" ref="AB377:AB383" si="627">G377+N377+U377</f>
        <v>26</v>
      </c>
      <c r="AC377" s="52">
        <f t="shared" ref="AC377:AC383" si="628">AB377*100/$AC$5</f>
        <v>23.853211009174313</v>
      </c>
      <c r="AD377" s="3"/>
      <c r="AE377" s="3"/>
      <c r="AF377" s="9" t="str">
        <f t="shared" ref="AF377:AF382" si="629">A377&amp;" "&amp;B377</f>
        <v>a) Muy buena</v>
      </c>
      <c r="AG377" s="72">
        <f t="shared" ref="AG377:AG382" si="630">J377</f>
        <v>33.333333333333329</v>
      </c>
      <c r="AH377" s="72">
        <f t="shared" ref="AH377:AH382" si="631">L377</f>
        <v>35.294117647058826</v>
      </c>
      <c r="AI377" s="73">
        <f t="shared" ref="AI377:AI382" si="632">H377</f>
        <v>34.210526315789473</v>
      </c>
      <c r="AJ377" s="73"/>
      <c r="AK377" s="76">
        <f t="shared" ref="AK377:AK382" si="633">Q377</f>
        <v>17.647058823529413</v>
      </c>
      <c r="AL377" s="76">
        <f t="shared" ref="AL377:AL382" si="634">S377</f>
        <v>20</v>
      </c>
      <c r="AM377" s="76">
        <f t="shared" ref="AM377:AM382" si="635">O377</f>
        <v>18.75</v>
      </c>
      <c r="AN377" s="76"/>
      <c r="AO377" s="81">
        <f t="shared" ref="AO377:AO382" si="636">X377</f>
        <v>19.047619047619047</v>
      </c>
      <c r="AP377" s="81">
        <f t="shared" ref="AP377:AP382" si="637">Z377</f>
        <v>16.666666666666664</v>
      </c>
      <c r="AQ377" s="81">
        <f t="shared" ref="AQ377:AQ382" si="638">V377</f>
        <v>17.948717948717949</v>
      </c>
      <c r="AR377" s="3"/>
      <c r="AS377" s="76">
        <f t="shared" si="542"/>
        <v>23.853211009174313</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ht="15" x14ac:dyDescent="0.25">
      <c r="A378" s="8" t="s">
        <v>18</v>
      </c>
      <c r="B378" s="9" t="s">
        <v>230</v>
      </c>
      <c r="C378" s="3"/>
      <c r="D378" s="3"/>
      <c r="E378" s="3"/>
      <c r="F378" s="71">
        <v>75</v>
      </c>
      <c r="G378" s="51">
        <f t="shared" si="615"/>
        <v>12</v>
      </c>
      <c r="H378" s="52">
        <f t="shared" si="616"/>
        <v>31.578947368421051</v>
      </c>
      <c r="I378" s="53">
        <f>COUNTIFS('00 Encuesta'!$B$2:$B$511,"*b)*",'00 Encuesta'!$C$2:$C$511,"*a)*",'00 Encuesta'!$E$2:$E$511,"*a)*",'00 Encuesta'!$AV$2:$AV$511,"*b)*")</f>
        <v>6</v>
      </c>
      <c r="J378" s="52">
        <f t="shared" si="617"/>
        <v>28.571428571428569</v>
      </c>
      <c r="K378" s="53">
        <f>COUNTIFS('00 Encuesta'!$B$2:$B$511,"*b)*",'00 Encuesta'!$C$2:$C$511,"*a)*",'00 Encuesta'!$E$2:$E$511,"*b)*",'00 Encuesta'!$AV$2:$AV$511,"*b)*")</f>
        <v>6</v>
      </c>
      <c r="L378" s="52">
        <f t="shared" si="618"/>
        <v>35.294117647058826</v>
      </c>
      <c r="M378" s="23"/>
      <c r="N378" s="51">
        <f t="shared" si="619"/>
        <v>12</v>
      </c>
      <c r="O378" s="52">
        <f t="shared" si="620"/>
        <v>37.5</v>
      </c>
      <c r="P378" s="53">
        <f>COUNTIFS('00 Encuesta'!$B$2:$B$511,"*b)*",'00 Encuesta'!$C$2:$C$511,"*b)*",'00 Encuesta'!$E$2:$E$511,"*a)*",'00 Encuesta'!$AV$2:$AV$511,"*b)*")</f>
        <v>4</v>
      </c>
      <c r="Q378" s="52">
        <f t="shared" si="621"/>
        <v>23.52941176470588</v>
      </c>
      <c r="R378" s="53">
        <f>COUNTIFS('00 Encuesta'!$B$2:$B$511,"*b)*",'00 Encuesta'!$C$2:$C$511,"*b)*",'00 Encuesta'!$E$2:$E$511,"*b)*",'00 Encuesta'!$AV$2:$AV$511,"*b)*")</f>
        <v>8</v>
      </c>
      <c r="S378" s="52">
        <f t="shared" si="622"/>
        <v>53.333333333333336</v>
      </c>
      <c r="T378" s="3"/>
      <c r="U378" s="51">
        <f t="shared" si="623"/>
        <v>15</v>
      </c>
      <c r="V378" s="52">
        <f t="shared" si="624"/>
        <v>38.461538461538467</v>
      </c>
      <c r="W378" s="53">
        <f>COUNTIFS('00 Encuesta'!$B$2:$B$511,"*b)*",'00 Encuesta'!$C$2:$C$511,"*c)*",'00 Encuesta'!$E$2:$E$511,"*a)*",'00 Encuesta'!$AV$2:$AV$511,"*b)*")</f>
        <v>8</v>
      </c>
      <c r="X378" s="52">
        <f t="shared" si="625"/>
        <v>38.095238095238095</v>
      </c>
      <c r="Y378" s="53">
        <f>COUNTIFS('00 Encuesta'!$B$2:$B$511,"*b)*",'00 Encuesta'!$C$2:$C$511,"*c)*",'00 Encuesta'!$E$2:$E$511,"*b)*",'00 Encuesta'!$AV$2:$AV$511,"*b)*")</f>
        <v>7</v>
      </c>
      <c r="Z378" s="52">
        <f t="shared" si="626"/>
        <v>38.888888888888893</v>
      </c>
      <c r="AA378" s="3"/>
      <c r="AB378" s="62">
        <f t="shared" si="627"/>
        <v>39</v>
      </c>
      <c r="AC378" s="52">
        <f t="shared" si="628"/>
        <v>35.779816513761467</v>
      </c>
      <c r="AD378" s="3"/>
      <c r="AE378" s="3"/>
      <c r="AF378" s="9" t="str">
        <f t="shared" si="629"/>
        <v>b) Buena</v>
      </c>
      <c r="AG378" s="72">
        <f t="shared" si="630"/>
        <v>28.571428571428569</v>
      </c>
      <c r="AH378" s="72">
        <f t="shared" si="631"/>
        <v>35.294117647058826</v>
      </c>
      <c r="AI378" s="73">
        <f t="shared" si="632"/>
        <v>31.578947368421051</v>
      </c>
      <c r="AJ378" s="73"/>
      <c r="AK378" s="76">
        <f t="shared" si="633"/>
        <v>23.52941176470588</v>
      </c>
      <c r="AL378" s="76">
        <f t="shared" si="634"/>
        <v>53.333333333333336</v>
      </c>
      <c r="AM378" s="76">
        <f t="shared" si="635"/>
        <v>37.5</v>
      </c>
      <c r="AN378" s="76"/>
      <c r="AO378" s="81">
        <f t="shared" si="636"/>
        <v>38.095238095238095</v>
      </c>
      <c r="AP378" s="81">
        <f t="shared" si="637"/>
        <v>38.888888888888893</v>
      </c>
      <c r="AQ378" s="81">
        <f t="shared" si="638"/>
        <v>38.461538461538467</v>
      </c>
      <c r="AR378" s="3"/>
      <c r="AS378" s="76">
        <f t="shared" si="542"/>
        <v>35.779816513761467</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ht="15" x14ac:dyDescent="0.25">
      <c r="A379" s="8" t="s">
        <v>20</v>
      </c>
      <c r="B379" s="9" t="s">
        <v>218</v>
      </c>
      <c r="C379" s="3"/>
      <c r="D379" s="3"/>
      <c r="E379" s="3"/>
      <c r="F379" s="71">
        <v>50</v>
      </c>
      <c r="G379" s="51">
        <f t="shared" si="615"/>
        <v>8</v>
      </c>
      <c r="H379" s="52">
        <f t="shared" si="616"/>
        <v>21.052631578947366</v>
      </c>
      <c r="I379" s="53">
        <f>COUNTIFS('00 Encuesta'!$B$2:$B$511,"*b)*",'00 Encuesta'!$C$2:$C$511,"*a)*",'00 Encuesta'!$E$2:$E$511,"*a)*",'00 Encuesta'!$AV$2:$AV$511,"*c)*")</f>
        <v>6</v>
      </c>
      <c r="J379" s="52">
        <f t="shared" si="617"/>
        <v>28.571428571428569</v>
      </c>
      <c r="K379" s="53">
        <f>COUNTIFS('00 Encuesta'!$B$2:$B$511,"*b)*",'00 Encuesta'!$C$2:$C$511,"*a)*",'00 Encuesta'!$E$2:$E$511,"*b)*",'00 Encuesta'!$AV$2:$AV$511,"*c)*")</f>
        <v>2</v>
      </c>
      <c r="L379" s="52">
        <f t="shared" si="618"/>
        <v>11.76470588235294</v>
      </c>
      <c r="M379" s="23"/>
      <c r="N379" s="51">
        <f t="shared" si="619"/>
        <v>9</v>
      </c>
      <c r="O379" s="52">
        <f t="shared" si="620"/>
        <v>28.125</v>
      </c>
      <c r="P379" s="53">
        <f>COUNTIFS('00 Encuesta'!$B$2:$B$511,"*b)*",'00 Encuesta'!$C$2:$C$511,"*b)*",'00 Encuesta'!$E$2:$E$511,"*a)*",'00 Encuesta'!$AV$2:$AV$511,"*c)*")</f>
        <v>5</v>
      </c>
      <c r="Q379" s="52">
        <f t="shared" si="621"/>
        <v>29.411764705882355</v>
      </c>
      <c r="R379" s="53">
        <f>COUNTIFS('00 Encuesta'!$B$2:$B$511,"*b)*",'00 Encuesta'!$C$2:$C$511,"*b)*",'00 Encuesta'!$E$2:$E$511,"*b)*",'00 Encuesta'!$AV$2:$AV$511,"*c)*")</f>
        <v>4</v>
      </c>
      <c r="S379" s="52">
        <f t="shared" si="622"/>
        <v>26.666666666666668</v>
      </c>
      <c r="T379" s="3"/>
      <c r="U379" s="51">
        <f t="shared" si="623"/>
        <v>10</v>
      </c>
      <c r="V379" s="52">
        <f t="shared" si="624"/>
        <v>25.641025641025639</v>
      </c>
      <c r="W379" s="53">
        <f>COUNTIFS('00 Encuesta'!$B$2:$B$511,"*b)*",'00 Encuesta'!$C$2:$C$511,"*c)*",'00 Encuesta'!$E$2:$E$511,"*a)*",'00 Encuesta'!$AV$2:$AV$511,"*c)*")</f>
        <v>6</v>
      </c>
      <c r="X379" s="52">
        <f t="shared" si="625"/>
        <v>28.571428571428569</v>
      </c>
      <c r="Y379" s="53">
        <f>COUNTIFS('00 Encuesta'!$B$2:$B$511,"*b)*",'00 Encuesta'!$C$2:$C$511,"*c)*",'00 Encuesta'!$E$2:$E$511,"*b)*",'00 Encuesta'!$AV$2:$AV$511,"*c)*")</f>
        <v>4</v>
      </c>
      <c r="Z379" s="52">
        <f t="shared" si="626"/>
        <v>22.222222222222221</v>
      </c>
      <c r="AA379" s="3"/>
      <c r="AB379" s="62">
        <f t="shared" si="627"/>
        <v>27</v>
      </c>
      <c r="AC379" s="52">
        <f t="shared" si="628"/>
        <v>24.770642201834864</v>
      </c>
      <c r="AD379" s="3"/>
      <c r="AE379" s="3"/>
      <c r="AF379" s="9" t="str">
        <f t="shared" si="629"/>
        <v>c) Regular</v>
      </c>
      <c r="AG379" s="72">
        <f t="shared" si="630"/>
        <v>28.571428571428569</v>
      </c>
      <c r="AH379" s="72">
        <f t="shared" si="631"/>
        <v>11.76470588235294</v>
      </c>
      <c r="AI379" s="73">
        <f t="shared" si="632"/>
        <v>21.052631578947366</v>
      </c>
      <c r="AJ379" s="73"/>
      <c r="AK379" s="76">
        <f t="shared" si="633"/>
        <v>29.411764705882355</v>
      </c>
      <c r="AL379" s="76">
        <f t="shared" si="634"/>
        <v>26.666666666666668</v>
      </c>
      <c r="AM379" s="76">
        <f t="shared" si="635"/>
        <v>28.125</v>
      </c>
      <c r="AN379" s="76"/>
      <c r="AO379" s="81">
        <f t="shared" si="636"/>
        <v>28.571428571428569</v>
      </c>
      <c r="AP379" s="81">
        <f t="shared" si="637"/>
        <v>22.222222222222221</v>
      </c>
      <c r="AQ379" s="81">
        <f t="shared" si="638"/>
        <v>25.641025641025639</v>
      </c>
      <c r="AR379" s="3"/>
      <c r="AS379" s="76">
        <f t="shared" si="542"/>
        <v>24.770642201834864</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ht="15" x14ac:dyDescent="0.25">
      <c r="A380" s="8" t="s">
        <v>21</v>
      </c>
      <c r="B380" s="9" t="s">
        <v>231</v>
      </c>
      <c r="C380" s="3"/>
      <c r="D380" s="3"/>
      <c r="E380" s="3"/>
      <c r="F380" s="71">
        <v>25</v>
      </c>
      <c r="G380" s="51">
        <f t="shared" si="615"/>
        <v>1</v>
      </c>
      <c r="H380" s="52">
        <f t="shared" si="616"/>
        <v>2.6315789473684208</v>
      </c>
      <c r="I380" s="53">
        <f>COUNTIFS('00 Encuesta'!$B$2:$B$511,"*b)*",'00 Encuesta'!$C$2:$C$511,"*a)*",'00 Encuesta'!$E$2:$E$511,"*a)*",'00 Encuesta'!$AV$2:$AV$511,"*d)*")</f>
        <v>0</v>
      </c>
      <c r="J380" s="52">
        <f t="shared" si="617"/>
        <v>0</v>
      </c>
      <c r="K380" s="53">
        <f>COUNTIFS('00 Encuesta'!$B$2:$B$511,"*b)*",'00 Encuesta'!$C$2:$C$511,"*a)*",'00 Encuesta'!$E$2:$E$511,"*b)*",'00 Encuesta'!$AV$2:$AV$511,"*d)*")</f>
        <v>1</v>
      </c>
      <c r="L380" s="52">
        <f t="shared" si="618"/>
        <v>5.8823529411764701</v>
      </c>
      <c r="M380" s="23"/>
      <c r="N380" s="51">
        <f t="shared" si="619"/>
        <v>0</v>
      </c>
      <c r="O380" s="52">
        <f t="shared" si="620"/>
        <v>0</v>
      </c>
      <c r="P380" s="53">
        <f>COUNTIFS('00 Encuesta'!$B$2:$B$511,"*b)*",'00 Encuesta'!$C$2:$C$511,"*b)*",'00 Encuesta'!$E$2:$E$511,"*a)*",'00 Encuesta'!$AV$2:$AV$511,"*d)*")</f>
        <v>0</v>
      </c>
      <c r="Q380" s="52">
        <f t="shared" si="621"/>
        <v>0</v>
      </c>
      <c r="R380" s="53">
        <f>COUNTIFS('00 Encuesta'!$B$2:$B$511,"*b)*",'00 Encuesta'!$C$2:$C$511,"*b)*",'00 Encuesta'!$E$2:$E$511,"*b)*",'00 Encuesta'!$AV$2:$AV$511,"*d)*")</f>
        <v>0</v>
      </c>
      <c r="S380" s="52">
        <f t="shared" si="622"/>
        <v>0</v>
      </c>
      <c r="T380" s="3"/>
      <c r="U380" s="51">
        <f t="shared" si="623"/>
        <v>3</v>
      </c>
      <c r="V380" s="52">
        <f t="shared" si="624"/>
        <v>7.6923076923076925</v>
      </c>
      <c r="W380" s="53">
        <f>COUNTIFS('00 Encuesta'!$B$2:$B$511,"*b)*",'00 Encuesta'!$C$2:$C$511,"*c)*",'00 Encuesta'!$E$2:$E$511,"*a)*",'00 Encuesta'!$AV$2:$AV$511,"*d)*")</f>
        <v>0</v>
      </c>
      <c r="X380" s="52">
        <f t="shared" si="625"/>
        <v>0</v>
      </c>
      <c r="Y380" s="53">
        <f>COUNTIFS('00 Encuesta'!$B$2:$B$511,"*b)*",'00 Encuesta'!$C$2:$C$511,"*c)*",'00 Encuesta'!$E$2:$E$511,"*b)*",'00 Encuesta'!$AV$2:$AV$511,"*d)*")</f>
        <v>3</v>
      </c>
      <c r="Z380" s="52">
        <f t="shared" si="626"/>
        <v>16.666666666666664</v>
      </c>
      <c r="AA380" s="3"/>
      <c r="AB380" s="62">
        <f t="shared" si="627"/>
        <v>4</v>
      </c>
      <c r="AC380" s="52">
        <f t="shared" si="628"/>
        <v>3.669724770642202</v>
      </c>
      <c r="AD380" s="3"/>
      <c r="AE380" s="3"/>
      <c r="AF380" s="9" t="str">
        <f t="shared" si="629"/>
        <v>d) Mala</v>
      </c>
      <c r="AG380" s="72">
        <f t="shared" si="630"/>
        <v>0</v>
      </c>
      <c r="AH380" s="72">
        <f t="shared" si="631"/>
        <v>5.8823529411764701</v>
      </c>
      <c r="AI380" s="73">
        <f t="shared" si="632"/>
        <v>2.6315789473684208</v>
      </c>
      <c r="AJ380" s="73"/>
      <c r="AK380" s="76">
        <f t="shared" si="633"/>
        <v>0</v>
      </c>
      <c r="AL380" s="76">
        <f t="shared" si="634"/>
        <v>0</v>
      </c>
      <c r="AM380" s="76">
        <f t="shared" si="635"/>
        <v>0</v>
      </c>
      <c r="AN380" s="76"/>
      <c r="AO380" s="81">
        <f t="shared" si="636"/>
        <v>0</v>
      </c>
      <c r="AP380" s="81">
        <f t="shared" si="637"/>
        <v>16.666666666666664</v>
      </c>
      <c r="AQ380" s="81">
        <f t="shared" si="638"/>
        <v>7.6923076923076925</v>
      </c>
      <c r="AR380" s="3"/>
      <c r="AS380" s="76">
        <f t="shared" si="542"/>
        <v>3.669724770642202</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ht="15" x14ac:dyDescent="0.25">
      <c r="A381" s="8" t="s">
        <v>22</v>
      </c>
      <c r="B381" s="9" t="s">
        <v>232</v>
      </c>
      <c r="C381" s="3"/>
      <c r="D381" s="3"/>
      <c r="E381" s="3"/>
      <c r="F381" s="71">
        <v>0</v>
      </c>
      <c r="G381" s="51">
        <f t="shared" si="615"/>
        <v>2</v>
      </c>
      <c r="H381" s="52">
        <f t="shared" si="616"/>
        <v>5.2631578947368416</v>
      </c>
      <c r="I381" s="53">
        <f>COUNTIFS('00 Encuesta'!$B$2:$B$511,"*b)*",'00 Encuesta'!$C$2:$C$511,"*a)*",'00 Encuesta'!$E$2:$E$511,"*a)*",'00 Encuesta'!$AV$2:$AV$511,"*e)*")</f>
        <v>1</v>
      </c>
      <c r="J381" s="52">
        <f t="shared" si="617"/>
        <v>4.7619047619047619</v>
      </c>
      <c r="K381" s="53">
        <f>COUNTIFS('00 Encuesta'!$B$2:$B$511,"*b)*",'00 Encuesta'!$C$2:$C$511,"*a)*",'00 Encuesta'!$E$2:$E$511,"*b)*",'00 Encuesta'!$AV$2:$AV$511,"*e)*")</f>
        <v>1</v>
      </c>
      <c r="L381" s="52">
        <f t="shared" si="618"/>
        <v>5.8823529411764701</v>
      </c>
      <c r="M381" s="23"/>
      <c r="N381" s="51">
        <f t="shared" si="619"/>
        <v>0</v>
      </c>
      <c r="O381" s="52">
        <f t="shared" si="620"/>
        <v>0</v>
      </c>
      <c r="P381" s="53">
        <f>COUNTIFS('00 Encuesta'!$B$2:$B$511,"*b)*",'00 Encuesta'!$C$2:$C$511,"*b)*",'00 Encuesta'!$E$2:$E$511,"*a)*",'00 Encuesta'!$AV$2:$AV$511,"*e)*")</f>
        <v>0</v>
      </c>
      <c r="Q381" s="52">
        <f t="shared" si="621"/>
        <v>0</v>
      </c>
      <c r="R381" s="53">
        <f>COUNTIFS('00 Encuesta'!$B$2:$B$511,"*b)*",'00 Encuesta'!$C$2:$C$511,"*b)*",'00 Encuesta'!$E$2:$E$511,"*b)*",'00 Encuesta'!$AV$2:$AV$511,"*e)*")</f>
        <v>0</v>
      </c>
      <c r="S381" s="52">
        <f t="shared" si="622"/>
        <v>0</v>
      </c>
      <c r="T381" s="3"/>
      <c r="U381" s="51">
        <f t="shared" si="623"/>
        <v>3</v>
      </c>
      <c r="V381" s="52">
        <f t="shared" si="624"/>
        <v>7.6923076923076925</v>
      </c>
      <c r="W381" s="53">
        <f>COUNTIFS('00 Encuesta'!$B$2:$B$511,"*b)*",'00 Encuesta'!$C$2:$C$511,"*c)*",'00 Encuesta'!$E$2:$E$511,"*a)*",'00 Encuesta'!$AV$2:$AV$511,"*e)*")</f>
        <v>3</v>
      </c>
      <c r="X381" s="52">
        <f t="shared" si="625"/>
        <v>14.285714285714285</v>
      </c>
      <c r="Y381" s="53">
        <f>COUNTIFS('00 Encuesta'!$B$2:$B$511,"*b)*",'00 Encuesta'!$C$2:$C$511,"*c)*",'00 Encuesta'!$E$2:$E$511,"*b)*",'00 Encuesta'!$AV$2:$AV$511,"*e)*")</f>
        <v>0</v>
      </c>
      <c r="Z381" s="52">
        <f t="shared" si="626"/>
        <v>0</v>
      </c>
      <c r="AA381" s="3"/>
      <c r="AB381" s="62">
        <f t="shared" si="627"/>
        <v>5</v>
      </c>
      <c r="AC381" s="52">
        <f t="shared" si="628"/>
        <v>4.5871559633027523</v>
      </c>
      <c r="AD381" s="3"/>
      <c r="AE381" s="3"/>
      <c r="AF381" s="9" t="str">
        <f t="shared" si="629"/>
        <v>e) Muy mala</v>
      </c>
      <c r="AG381" s="72">
        <f t="shared" si="630"/>
        <v>4.7619047619047619</v>
      </c>
      <c r="AH381" s="72">
        <f t="shared" si="631"/>
        <v>5.8823529411764701</v>
      </c>
      <c r="AI381" s="73">
        <f t="shared" si="632"/>
        <v>5.2631578947368416</v>
      </c>
      <c r="AJ381" s="73"/>
      <c r="AK381" s="76">
        <f t="shared" si="633"/>
        <v>0</v>
      </c>
      <c r="AL381" s="76">
        <f t="shared" si="634"/>
        <v>0</v>
      </c>
      <c r="AM381" s="76">
        <f t="shared" si="635"/>
        <v>0</v>
      </c>
      <c r="AN381" s="76"/>
      <c r="AO381" s="81">
        <f t="shared" si="636"/>
        <v>14.285714285714285</v>
      </c>
      <c r="AP381" s="81">
        <f t="shared" si="637"/>
        <v>0</v>
      </c>
      <c r="AQ381" s="81">
        <f t="shared" si="638"/>
        <v>7.6923076923076925</v>
      </c>
      <c r="AR381" s="3"/>
      <c r="AS381" s="76">
        <f t="shared" si="542"/>
        <v>4.5871559633027523</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ht="15" x14ac:dyDescent="0.25">
      <c r="A382" s="8" t="s">
        <v>45</v>
      </c>
      <c r="B382" s="9" t="s">
        <v>233</v>
      </c>
      <c r="C382" s="7"/>
      <c r="D382" s="7"/>
      <c r="E382" s="7"/>
      <c r="F382" s="71"/>
      <c r="G382" s="51">
        <f t="shared" si="615"/>
        <v>0</v>
      </c>
      <c r="H382" s="52">
        <f t="shared" si="616"/>
        <v>0</v>
      </c>
      <c r="I382" s="53">
        <f>COUNTIFS('00 Encuesta'!$B$2:$B$511,"*b)*",'00 Encuesta'!$C$2:$C$511,"*a)*",'00 Encuesta'!$E$2:$E$511,"*a)*",'00 Encuesta'!$AV$2:$AV$511,"*f)*")</f>
        <v>0</v>
      </c>
      <c r="J382" s="52">
        <f t="shared" si="617"/>
        <v>0</v>
      </c>
      <c r="K382" s="53">
        <f>COUNTIFS('00 Encuesta'!$B$2:$B$511,"*b)*",'00 Encuesta'!$C$2:$C$511,"*a)*",'00 Encuesta'!$E$2:$E$511,"*b)*",'00 Encuesta'!$AV$2:$AV$511,"*f)*")</f>
        <v>0</v>
      </c>
      <c r="L382" s="52">
        <f t="shared" si="618"/>
        <v>0</v>
      </c>
      <c r="M382" s="23"/>
      <c r="N382" s="51">
        <f t="shared" si="619"/>
        <v>0</v>
      </c>
      <c r="O382" s="52">
        <f t="shared" si="620"/>
        <v>0</v>
      </c>
      <c r="P382" s="53">
        <f>COUNTIFS('00 Encuesta'!$B$2:$B$511,"*b)*",'00 Encuesta'!$C$2:$C$511,"*b)*",'00 Encuesta'!$E$2:$E$511,"*a)*",'00 Encuesta'!$AV$2:$AV$511,"*f)*")</f>
        <v>0</v>
      </c>
      <c r="Q382" s="52">
        <f t="shared" si="621"/>
        <v>0</v>
      </c>
      <c r="R382" s="53">
        <f>COUNTIFS('00 Encuesta'!$B$2:$B$511,"*b)*",'00 Encuesta'!$C$2:$C$511,"*b)*",'00 Encuesta'!$E$2:$E$511,"*b)*",'00 Encuesta'!$AV$2:$AV$511,"*f)*")</f>
        <v>0</v>
      </c>
      <c r="S382" s="52">
        <f t="shared" si="622"/>
        <v>0</v>
      </c>
      <c r="T382" s="3"/>
      <c r="U382" s="51">
        <f t="shared" si="623"/>
        <v>1</v>
      </c>
      <c r="V382" s="52">
        <f t="shared" si="624"/>
        <v>2.5641025641025639</v>
      </c>
      <c r="W382" s="53">
        <f>COUNTIFS('00 Encuesta'!$B$2:$B$511,"*b)*",'00 Encuesta'!$C$2:$C$511,"*c)*",'00 Encuesta'!$E$2:$E$511,"*a)*",'00 Encuesta'!$AV$2:$AV$511,"*f)*")</f>
        <v>0</v>
      </c>
      <c r="X382" s="52">
        <f t="shared" si="625"/>
        <v>0</v>
      </c>
      <c r="Y382" s="53">
        <f>COUNTIFS('00 Encuesta'!$B$2:$B$511,"*b)*",'00 Encuesta'!$C$2:$C$511,"*c)*",'00 Encuesta'!$E$2:$E$511,"*b)*",'00 Encuesta'!$AV$2:$AV$511,"*f)*")</f>
        <v>1</v>
      </c>
      <c r="Z382" s="52">
        <f t="shared" si="626"/>
        <v>5.5555555555555554</v>
      </c>
      <c r="AA382" s="3"/>
      <c r="AB382" s="62">
        <f t="shared" si="627"/>
        <v>1</v>
      </c>
      <c r="AC382" s="52">
        <f t="shared" si="628"/>
        <v>0.91743119266055051</v>
      </c>
      <c r="AD382" s="3"/>
      <c r="AE382" s="3"/>
      <c r="AF382" s="9" t="str">
        <f t="shared" si="629"/>
        <v>f) No aplica</v>
      </c>
      <c r="AG382" s="72">
        <f t="shared" si="630"/>
        <v>0</v>
      </c>
      <c r="AH382" s="72">
        <f t="shared" si="631"/>
        <v>0</v>
      </c>
      <c r="AI382" s="73">
        <f t="shared" si="632"/>
        <v>0</v>
      </c>
      <c r="AJ382" s="73"/>
      <c r="AK382" s="76">
        <f t="shared" si="633"/>
        <v>0</v>
      </c>
      <c r="AL382" s="76">
        <f t="shared" si="634"/>
        <v>0</v>
      </c>
      <c r="AM382" s="76">
        <f t="shared" si="635"/>
        <v>0</v>
      </c>
      <c r="AN382" s="76"/>
      <c r="AO382" s="81">
        <f t="shared" si="636"/>
        <v>0</v>
      </c>
      <c r="AP382" s="81">
        <f t="shared" si="637"/>
        <v>5.5555555555555554</v>
      </c>
      <c r="AQ382" s="81">
        <f t="shared" si="638"/>
        <v>2.5641025641025639</v>
      </c>
      <c r="AR382" s="3"/>
      <c r="AS382" s="76">
        <f t="shared" si="542"/>
        <v>0.91743119266055051</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ht="15" x14ac:dyDescent="0.25">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f t="shared" si="628"/>
        <v>0</v>
      </c>
      <c r="AD383" s="3"/>
      <c r="AE383" s="3"/>
      <c r="AF383" s="3"/>
      <c r="AG383" s="82">
        <f>($F377*I377+$F378*I378+$F379*I379+$F380*I380+$F381*I381)/(I377+I378+I379+I380+I381)</f>
        <v>72.5</v>
      </c>
      <c r="AH383" s="82">
        <f>($F377*K377+$F378*K378+$F379*K379+$F380*K380+$F381*K381)/(K377+K378+K379+K380+K381)</f>
        <v>73.4375</v>
      </c>
      <c r="AI383" s="82">
        <f>($F377*G377+$F378*G378+$F379*G379+$F380*G380+$F381*G381)/(G377+G378+G379+G380+G381)</f>
        <v>72.916666666666671</v>
      </c>
      <c r="AJ383" s="82"/>
      <c r="AK383" s="82">
        <f>($F377*Q377+$F378*Q378+$F379*Q379+$F380*Q380+$F381*Q381)/(Q377+Q378+Q379+Q380+Q381)</f>
        <v>70.833333333333329</v>
      </c>
      <c r="AL383" s="82">
        <f>($F377*S377+$F378*S378+$F379*S379+$F380*S380+$F381*S381)/(S377+S378+S379+S380+S381)</f>
        <v>73.333333333333329</v>
      </c>
      <c r="AM383" s="82">
        <f>($F377*O377+$F378*O378+$F379*O379+$F380*O380+$F381*O381)/(O377+O378+O379+O380+O381)</f>
        <v>72.222222222222229</v>
      </c>
      <c r="AN383" s="82"/>
      <c r="AO383" s="82">
        <f>($F377*W377+$F378*W378+$F379*W379+$F380*W380+$F381*W381)/(W377+W378+W379+W380+W381)</f>
        <v>61.904761904761905</v>
      </c>
      <c r="AP383" s="82">
        <f>($F377*Y377+$F378*Y378+$F379*Y379+$F380*Y380+$F381*Y381)/(Y377+Y378+Y379+Y380+Y381)</f>
        <v>64.705882352941174</v>
      </c>
      <c r="AQ383" s="82">
        <f>($F377*U377+$F378*U378+$F379*U379+$F380*U380+$F381*U381)/(U377+U378+U379+U380+U381)</f>
        <v>63.157894736842103</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ht="15.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8</v>
      </c>
      <c r="H386" s="52">
        <f t="shared" ref="H386:H394" si="640">G386/$J$5*100</f>
        <v>21.052631578947366</v>
      </c>
      <c r="I386" s="53">
        <f>COUNTIFS('00 Encuesta'!$B$2:$B$511,"*b)*",'00 Encuesta'!$C$2:$C$511,"*a)*",'00 Encuesta'!$E$2:$E$511,"*a)*",'00 Encuesta'!$AW$2:$AW$511,"*a)*")</f>
        <v>4</v>
      </c>
      <c r="J386" s="52">
        <f t="shared" ref="J386:J394" si="641">I386/$J$6*100</f>
        <v>19.047619047619047</v>
      </c>
      <c r="K386" s="53">
        <f>COUNTIFS('00 Encuesta'!$B$2:$B$511,"*b)*",'00 Encuesta'!$C$2:$C$511,"*a)*",'00 Encuesta'!$E$2:$E$511,"*b)*",'00 Encuesta'!$AW$2:$AW$511,"*a)*")</f>
        <v>4</v>
      </c>
      <c r="L386" s="52">
        <f t="shared" ref="L386:L394" si="642">K386/$J$7*100</f>
        <v>23.52941176470588</v>
      </c>
      <c r="M386" s="23"/>
      <c r="N386" s="51">
        <f t="shared" ref="N386:N394" si="643">P386+R386</f>
        <v>9</v>
      </c>
      <c r="O386" s="52">
        <f t="shared" ref="O386:O394" si="644">N386/$Q$5*100</f>
        <v>28.125</v>
      </c>
      <c r="P386" s="53">
        <f>COUNTIFS('00 Encuesta'!$B$2:$B$511,"*b)*",'00 Encuesta'!$C$2:$C$511,"*b)*",'00 Encuesta'!$E$2:$E$511,"*a)*",'00 Encuesta'!$AW$2:$AW$511,"*a)*")</f>
        <v>2</v>
      </c>
      <c r="Q386" s="52">
        <f t="shared" ref="Q386:Q394" si="645">P386/$Q$6*100</f>
        <v>11.76470588235294</v>
      </c>
      <c r="R386" s="53">
        <f>COUNTIFS('00 Encuesta'!$B$2:$B$511,"*b)*",'00 Encuesta'!$C$2:$C$511,"*b)*",'00 Encuesta'!$E$2:$E$511,"*b)*",'00 Encuesta'!$AW$2:$AW$511,"*a)*")</f>
        <v>7</v>
      </c>
      <c r="S386" s="52">
        <f t="shared" ref="S386:S394" si="646">R386/$Q$7*100</f>
        <v>46.666666666666664</v>
      </c>
      <c r="T386" s="3"/>
      <c r="U386" s="51">
        <f t="shared" ref="U386:U394" si="647">W386+Y386</f>
        <v>11</v>
      </c>
      <c r="V386" s="52">
        <f t="shared" ref="V386:V394" si="648">U386/$X$5*100</f>
        <v>28.205128205128204</v>
      </c>
      <c r="W386" s="53">
        <f>COUNTIFS('00 Encuesta'!$B$2:$B$511,"*b)*",'00 Encuesta'!$C$2:$C$511,"*c)*",'00 Encuesta'!$E$2:$E$511,"*a)*",'00 Encuesta'!$AW$2:$AW$511,"*a)*")</f>
        <v>7</v>
      </c>
      <c r="X386" s="52">
        <f t="shared" ref="X386:X394" si="649">W386/$X$6*100</f>
        <v>33.333333333333329</v>
      </c>
      <c r="Y386" s="53">
        <f>COUNTIFS('00 Encuesta'!$B$2:$B$511,"*b)*",'00 Encuesta'!$C$2:$C$511,"*c)*",'00 Encuesta'!$E$2:$E$511,"*b)*",'00 Encuesta'!$AW$2:$AW$511,"*a)*")</f>
        <v>4</v>
      </c>
      <c r="Z386" s="52">
        <f t="shared" ref="Z386:Z394" si="650">Y386/$X$7*100</f>
        <v>22.222222222222221</v>
      </c>
      <c r="AA386" s="3"/>
      <c r="AB386" s="62">
        <f t="shared" ref="AB386:AB394" si="651">G386+N386+U386</f>
        <v>28</v>
      </c>
      <c r="AC386" s="52">
        <f t="shared" ref="AC386:AC394" si="652">AB386*100/$AC$5</f>
        <v>25.688073394495412</v>
      </c>
      <c r="AD386" s="3"/>
      <c r="AE386" s="3"/>
      <c r="AF386" s="9" t="str">
        <f t="shared" ref="AF386:AF394" si="653">A386&amp;" "&amp;B386</f>
        <v>a) El compañerismo</v>
      </c>
      <c r="AG386" s="72">
        <f>J386</f>
        <v>19.047619047619047</v>
      </c>
      <c r="AH386" s="72">
        <f>L386</f>
        <v>23.52941176470588</v>
      </c>
      <c r="AI386" s="73">
        <f>H386</f>
        <v>21.052631578947366</v>
      </c>
      <c r="AJ386" s="73"/>
      <c r="AK386" s="76">
        <f t="shared" ref="AK386:AK394" si="654">Q386</f>
        <v>11.76470588235294</v>
      </c>
      <c r="AL386" s="76">
        <f t="shared" ref="AL386:AL394" si="655">S386</f>
        <v>46.666666666666664</v>
      </c>
      <c r="AM386" s="76">
        <f t="shared" ref="AM386:AM394" si="656">O386</f>
        <v>28.125</v>
      </c>
      <c r="AN386" s="76"/>
      <c r="AO386" s="81">
        <f t="shared" ref="AO386:AO394" si="657">X386</f>
        <v>33.333333333333329</v>
      </c>
      <c r="AP386" s="81">
        <f t="shared" ref="AP386:AP394" si="658">Z386</f>
        <v>22.222222222222221</v>
      </c>
      <c r="AQ386" s="81">
        <f t="shared" ref="AQ386:AQ394" si="659">V386</f>
        <v>28.205128205128204</v>
      </c>
      <c r="AR386" s="3"/>
      <c r="AS386" s="76">
        <f t="shared" si="542"/>
        <v>25.688073394495412</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2</v>
      </c>
      <c r="H387" s="52">
        <f t="shared" si="640"/>
        <v>5.2631578947368416</v>
      </c>
      <c r="I387" s="53">
        <f>COUNTIFS('00 Encuesta'!$B$2:$B$511,"*b)*",'00 Encuesta'!$C$2:$C$511,"*a)*",'00 Encuesta'!$E$2:$E$511,"*a)*",'00 Encuesta'!$AW$2:$AW$511,"*b)*")</f>
        <v>1</v>
      </c>
      <c r="J387" s="52">
        <f t="shared" si="641"/>
        <v>4.7619047619047619</v>
      </c>
      <c r="K387" s="53">
        <f>COUNTIFS('00 Encuesta'!$B$2:$B$511,"*b)*",'00 Encuesta'!$C$2:$C$511,"*a)*",'00 Encuesta'!$E$2:$E$511,"*b)*",'00 Encuesta'!$AW$2:$AW$511,"*b)*")</f>
        <v>1</v>
      </c>
      <c r="L387" s="52">
        <f t="shared" si="642"/>
        <v>5.8823529411764701</v>
      </c>
      <c r="M387" s="23"/>
      <c r="N387" s="51">
        <f t="shared" si="643"/>
        <v>3</v>
      </c>
      <c r="O387" s="52">
        <f t="shared" si="644"/>
        <v>9.375</v>
      </c>
      <c r="P387" s="53">
        <f>COUNTIFS('00 Encuesta'!$B$2:$B$511,"*b)*",'00 Encuesta'!$C$2:$C$511,"*b)*",'00 Encuesta'!$E$2:$E$511,"*a)*",'00 Encuesta'!$AW$2:$AW$511,"*b)*")</f>
        <v>2</v>
      </c>
      <c r="Q387" s="52">
        <f t="shared" si="645"/>
        <v>11.76470588235294</v>
      </c>
      <c r="R387" s="53">
        <f>COUNTIFS('00 Encuesta'!$B$2:$B$511,"*b)*",'00 Encuesta'!$C$2:$C$511,"*b)*",'00 Encuesta'!$E$2:$E$511,"*b)*",'00 Encuesta'!$AW$2:$AW$511,"*b)*")</f>
        <v>1</v>
      </c>
      <c r="S387" s="52">
        <f t="shared" si="646"/>
        <v>6.666666666666667</v>
      </c>
      <c r="T387" s="3"/>
      <c r="U387" s="51">
        <f t="shared" si="647"/>
        <v>2</v>
      </c>
      <c r="V387" s="52">
        <f t="shared" si="648"/>
        <v>5.1282051282051277</v>
      </c>
      <c r="W387" s="53">
        <f>COUNTIFS('00 Encuesta'!$B$2:$B$511,"*b)*",'00 Encuesta'!$C$2:$C$511,"*c)*",'00 Encuesta'!$E$2:$E$511,"*a)*",'00 Encuesta'!$AW$2:$AW$511,"*b)*")</f>
        <v>1</v>
      </c>
      <c r="X387" s="52">
        <f t="shared" si="649"/>
        <v>4.7619047619047619</v>
      </c>
      <c r="Y387" s="53">
        <f>COUNTIFS('00 Encuesta'!$B$2:$B$511,"*b)*",'00 Encuesta'!$C$2:$C$511,"*c)*",'00 Encuesta'!$E$2:$E$511,"*b)*",'00 Encuesta'!$AW$2:$AW$511,"*b)*")</f>
        <v>1</v>
      </c>
      <c r="Z387" s="52">
        <f t="shared" si="650"/>
        <v>5.5555555555555554</v>
      </c>
      <c r="AA387" s="3"/>
      <c r="AB387" s="62">
        <f t="shared" si="651"/>
        <v>7</v>
      </c>
      <c r="AC387" s="52">
        <f t="shared" si="652"/>
        <v>6.4220183486238529</v>
      </c>
      <c r="AD387" s="3"/>
      <c r="AE387" s="3"/>
      <c r="AF387" s="9" t="str">
        <f t="shared" si="653"/>
        <v>b) La orientación cristiana</v>
      </c>
      <c r="AG387" s="72">
        <f t="shared" ref="AG387:AG394" si="660">J387</f>
        <v>4.7619047619047619</v>
      </c>
      <c r="AH387" s="72">
        <f t="shared" ref="AH387:AH394" si="661">L387</f>
        <v>5.8823529411764701</v>
      </c>
      <c r="AI387" s="73">
        <f t="shared" ref="AI387:AI394" si="662">H387</f>
        <v>5.2631578947368416</v>
      </c>
      <c r="AJ387" s="73"/>
      <c r="AK387" s="76">
        <f t="shared" si="654"/>
        <v>11.76470588235294</v>
      </c>
      <c r="AL387" s="76">
        <f t="shared" si="655"/>
        <v>6.666666666666667</v>
      </c>
      <c r="AM387" s="76">
        <f t="shared" si="656"/>
        <v>9.375</v>
      </c>
      <c r="AN387" s="76"/>
      <c r="AO387" s="81">
        <f t="shared" si="657"/>
        <v>4.7619047619047619</v>
      </c>
      <c r="AP387" s="81">
        <f t="shared" si="658"/>
        <v>5.5555555555555554</v>
      </c>
      <c r="AQ387" s="81">
        <f t="shared" si="659"/>
        <v>5.1282051282051277</v>
      </c>
      <c r="AR387" s="3"/>
      <c r="AS387" s="76">
        <f t="shared" si="542"/>
        <v>6.4220183486238529</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ht="15.75" x14ac:dyDescent="0.3">
      <c r="A388" s="1" t="s">
        <v>20</v>
      </c>
      <c r="B388" s="2" t="s">
        <v>243</v>
      </c>
      <c r="C388" s="3"/>
      <c r="D388" s="3"/>
      <c r="E388" s="3"/>
      <c r="F388" s="4"/>
      <c r="G388" s="51">
        <f t="shared" si="639"/>
        <v>7</v>
      </c>
      <c r="H388" s="52">
        <f t="shared" si="640"/>
        <v>18.421052631578945</v>
      </c>
      <c r="I388" s="53">
        <f>COUNTIFS('00 Encuesta'!$B$2:$B$511,"*b)*",'00 Encuesta'!$C$2:$C$511,"*a)*",'00 Encuesta'!$E$2:$E$511,"*a)*",'00 Encuesta'!$AW$2:$AW$511,"*c)*")</f>
        <v>5</v>
      </c>
      <c r="J388" s="52">
        <f t="shared" si="641"/>
        <v>23.809523809523807</v>
      </c>
      <c r="K388" s="53">
        <f>COUNTIFS('00 Encuesta'!$B$2:$B$511,"*b)*",'00 Encuesta'!$C$2:$C$511,"*a)*",'00 Encuesta'!$E$2:$E$511,"*b)*",'00 Encuesta'!$AW$2:$AW$511,"*c)*")</f>
        <v>2</v>
      </c>
      <c r="L388" s="52">
        <f t="shared" si="642"/>
        <v>11.76470588235294</v>
      </c>
      <c r="M388" s="23"/>
      <c r="N388" s="51">
        <f t="shared" si="643"/>
        <v>1</v>
      </c>
      <c r="O388" s="52">
        <f t="shared" si="644"/>
        <v>3.125</v>
      </c>
      <c r="P388" s="53">
        <f>COUNTIFS('00 Encuesta'!$B$2:$B$511,"*b)*",'00 Encuesta'!$C$2:$C$511,"*b)*",'00 Encuesta'!$E$2:$E$511,"*a)*",'00 Encuesta'!$AW$2:$AW$511,"*c)*")</f>
        <v>1</v>
      </c>
      <c r="Q388" s="52">
        <f t="shared" si="645"/>
        <v>5.8823529411764701</v>
      </c>
      <c r="R388" s="53">
        <f>COUNTIFS('00 Encuesta'!$B$2:$B$511,"*b)*",'00 Encuesta'!$C$2:$C$511,"*b)*",'00 Encuesta'!$E$2:$E$511,"*b)*",'00 Encuesta'!$AW$2:$AW$511,"*c)*")</f>
        <v>0</v>
      </c>
      <c r="S388" s="52">
        <f t="shared" si="646"/>
        <v>0</v>
      </c>
      <c r="T388" s="3"/>
      <c r="U388" s="51">
        <f t="shared" si="647"/>
        <v>9</v>
      </c>
      <c r="V388" s="52">
        <f t="shared" si="648"/>
        <v>23.076923076923077</v>
      </c>
      <c r="W388" s="53">
        <f>COUNTIFS('00 Encuesta'!$B$2:$B$511,"*b)*",'00 Encuesta'!$C$2:$C$511,"*c)*",'00 Encuesta'!$E$2:$E$511,"*a)*",'00 Encuesta'!$AW$2:$AW$511,"*c)*")</f>
        <v>4</v>
      </c>
      <c r="X388" s="52">
        <f t="shared" si="649"/>
        <v>19.047619047619047</v>
      </c>
      <c r="Y388" s="53">
        <f>COUNTIFS('00 Encuesta'!$B$2:$B$511,"*b)*",'00 Encuesta'!$C$2:$C$511,"*c)*",'00 Encuesta'!$E$2:$E$511,"*b)*",'00 Encuesta'!$AW$2:$AW$511,"*c)*")</f>
        <v>5</v>
      </c>
      <c r="Z388" s="52">
        <f t="shared" si="650"/>
        <v>27.777777777777779</v>
      </c>
      <c r="AA388" s="3"/>
      <c r="AB388" s="62">
        <f t="shared" si="651"/>
        <v>17</v>
      </c>
      <c r="AC388" s="52">
        <f t="shared" si="652"/>
        <v>15.596330275229358</v>
      </c>
      <c r="AD388" s="3"/>
      <c r="AE388" s="3"/>
      <c r="AF388" s="9" t="str">
        <f t="shared" si="653"/>
        <v>c) El estudio</v>
      </c>
      <c r="AG388" s="72">
        <f t="shared" si="660"/>
        <v>23.809523809523807</v>
      </c>
      <c r="AH388" s="72">
        <f t="shared" si="661"/>
        <v>11.76470588235294</v>
      </c>
      <c r="AI388" s="73">
        <f t="shared" si="662"/>
        <v>18.421052631578945</v>
      </c>
      <c r="AJ388" s="73"/>
      <c r="AK388" s="76">
        <f t="shared" si="654"/>
        <v>5.8823529411764701</v>
      </c>
      <c r="AL388" s="76">
        <f t="shared" si="655"/>
        <v>0</v>
      </c>
      <c r="AM388" s="76">
        <f t="shared" si="656"/>
        <v>3.125</v>
      </c>
      <c r="AN388" s="76"/>
      <c r="AO388" s="81">
        <f t="shared" si="657"/>
        <v>19.047619047619047</v>
      </c>
      <c r="AP388" s="81">
        <f t="shared" si="658"/>
        <v>27.777777777777779</v>
      </c>
      <c r="AQ388" s="81">
        <f t="shared" si="659"/>
        <v>23.076923076923077</v>
      </c>
      <c r="AR388" s="3"/>
      <c r="AS388" s="76">
        <f t="shared" si="542"/>
        <v>15.596330275229358</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2</v>
      </c>
      <c r="H389" s="52">
        <f t="shared" si="640"/>
        <v>5.2631578947368416</v>
      </c>
      <c r="I389" s="53">
        <f>COUNTIFS('00 Encuesta'!$B$2:$B$511,"*b)*",'00 Encuesta'!$C$2:$C$511,"*a)*",'00 Encuesta'!$E$2:$E$511,"*a)*",'00 Encuesta'!$AW$2:$AW$511,"*d)*")</f>
        <v>0</v>
      </c>
      <c r="J389" s="52">
        <f t="shared" si="641"/>
        <v>0</v>
      </c>
      <c r="K389" s="53">
        <f>COUNTIFS('00 Encuesta'!$B$2:$B$511,"*b)*",'00 Encuesta'!$C$2:$C$511,"*a)*",'00 Encuesta'!$E$2:$E$511,"*b)*",'00 Encuesta'!$AW$2:$AW$511,"*d)*")</f>
        <v>2</v>
      </c>
      <c r="L389" s="52">
        <f t="shared" si="642"/>
        <v>11.76470588235294</v>
      </c>
      <c r="M389" s="23"/>
      <c r="N389" s="51">
        <f t="shared" si="643"/>
        <v>5</v>
      </c>
      <c r="O389" s="52">
        <f t="shared" si="644"/>
        <v>15.625</v>
      </c>
      <c r="P389" s="53">
        <f>COUNTIFS('00 Encuesta'!$B$2:$B$511,"*b)*",'00 Encuesta'!$C$2:$C$511,"*b)*",'00 Encuesta'!$E$2:$E$511,"*a)*",'00 Encuesta'!$AW$2:$AW$511,"*d)*")</f>
        <v>3</v>
      </c>
      <c r="Q389" s="52">
        <f t="shared" si="645"/>
        <v>17.647058823529413</v>
      </c>
      <c r="R389" s="53">
        <f>COUNTIFS('00 Encuesta'!$B$2:$B$511,"*b)*",'00 Encuesta'!$C$2:$C$511,"*b)*",'00 Encuesta'!$E$2:$E$511,"*b)*",'00 Encuesta'!$AW$2:$AW$511,"*d)*")</f>
        <v>2</v>
      </c>
      <c r="S389" s="52">
        <f t="shared" si="646"/>
        <v>13.333333333333334</v>
      </c>
      <c r="T389" s="3"/>
      <c r="U389" s="51">
        <f t="shared" si="647"/>
        <v>1</v>
      </c>
      <c r="V389" s="52">
        <f t="shared" si="648"/>
        <v>2.5641025641025639</v>
      </c>
      <c r="W389" s="53">
        <f>COUNTIFS('00 Encuesta'!$B$2:$B$511,"*b)*",'00 Encuesta'!$C$2:$C$511,"*c)*",'00 Encuesta'!$E$2:$E$511,"*a)*",'00 Encuesta'!$AW$2:$AW$511,"*d)*")</f>
        <v>0</v>
      </c>
      <c r="X389" s="52">
        <f t="shared" si="649"/>
        <v>0</v>
      </c>
      <c r="Y389" s="53">
        <f>COUNTIFS('00 Encuesta'!$B$2:$B$511,"*b)*",'00 Encuesta'!$C$2:$C$511,"*c)*",'00 Encuesta'!$E$2:$E$511,"*b)*",'00 Encuesta'!$AW$2:$AW$511,"*d)*")</f>
        <v>1</v>
      </c>
      <c r="Z389" s="52">
        <f t="shared" si="650"/>
        <v>5.5555555555555554</v>
      </c>
      <c r="AA389" s="3"/>
      <c r="AB389" s="62">
        <f t="shared" si="651"/>
        <v>8</v>
      </c>
      <c r="AC389" s="52">
        <f t="shared" si="652"/>
        <v>7.3394495412844041</v>
      </c>
      <c r="AD389" s="3"/>
      <c r="AE389" s="3"/>
      <c r="AF389" s="9" t="str">
        <f t="shared" si="653"/>
        <v>d) La formacion del carácter</v>
      </c>
      <c r="AG389" s="72">
        <f t="shared" si="660"/>
        <v>0</v>
      </c>
      <c r="AH389" s="72">
        <f t="shared" si="661"/>
        <v>11.76470588235294</v>
      </c>
      <c r="AI389" s="73">
        <f t="shared" si="662"/>
        <v>5.2631578947368416</v>
      </c>
      <c r="AJ389" s="73"/>
      <c r="AK389" s="76">
        <f t="shared" si="654"/>
        <v>17.647058823529413</v>
      </c>
      <c r="AL389" s="76">
        <f t="shared" si="655"/>
        <v>13.333333333333334</v>
      </c>
      <c r="AM389" s="76">
        <f t="shared" si="656"/>
        <v>15.625</v>
      </c>
      <c r="AN389" s="76"/>
      <c r="AO389" s="81">
        <f t="shared" si="657"/>
        <v>0</v>
      </c>
      <c r="AP389" s="81">
        <f t="shared" si="658"/>
        <v>5.5555555555555554</v>
      </c>
      <c r="AQ389" s="81">
        <f t="shared" si="659"/>
        <v>2.5641025641025639</v>
      </c>
      <c r="AR389" s="3"/>
      <c r="AS389" s="76">
        <f t="shared" si="542"/>
        <v>7.3394495412844041</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ht="15.75" x14ac:dyDescent="0.3">
      <c r="A390" s="1" t="s">
        <v>22</v>
      </c>
      <c r="B390" s="2" t="s">
        <v>245</v>
      </c>
      <c r="C390" s="3"/>
      <c r="D390" s="3"/>
      <c r="E390" s="3"/>
      <c r="F390" s="4"/>
      <c r="G390" s="51">
        <f t="shared" si="639"/>
        <v>5</v>
      </c>
      <c r="H390" s="52">
        <f t="shared" si="640"/>
        <v>13.157894736842104</v>
      </c>
      <c r="I390" s="53">
        <f>COUNTIFS('00 Encuesta'!$B$2:$B$511,"*b)*",'00 Encuesta'!$C$2:$C$511,"*a)*",'00 Encuesta'!$E$2:$E$511,"*a)*",'00 Encuesta'!$AW$2:$AW$511,"*e)*")</f>
        <v>1</v>
      </c>
      <c r="J390" s="52">
        <f t="shared" si="641"/>
        <v>4.7619047619047619</v>
      </c>
      <c r="K390" s="53">
        <f>COUNTIFS('00 Encuesta'!$B$2:$B$511,"*b)*",'00 Encuesta'!$C$2:$C$511,"*a)*",'00 Encuesta'!$E$2:$E$511,"*b)*",'00 Encuesta'!$AW$2:$AW$511,"*e)*")</f>
        <v>4</v>
      </c>
      <c r="L390" s="52">
        <f t="shared" si="642"/>
        <v>23.52941176470588</v>
      </c>
      <c r="M390" s="23"/>
      <c r="N390" s="51">
        <f t="shared" si="643"/>
        <v>3</v>
      </c>
      <c r="O390" s="52">
        <f t="shared" si="644"/>
        <v>9.375</v>
      </c>
      <c r="P390" s="53">
        <f>COUNTIFS('00 Encuesta'!$B$2:$B$511,"*b)*",'00 Encuesta'!$C$2:$C$511,"*b)*",'00 Encuesta'!$E$2:$E$511,"*a)*",'00 Encuesta'!$AW$2:$AW$511,"*e)*")</f>
        <v>1</v>
      </c>
      <c r="Q390" s="52">
        <f t="shared" si="645"/>
        <v>5.8823529411764701</v>
      </c>
      <c r="R390" s="53">
        <f>COUNTIFS('00 Encuesta'!$B$2:$B$511,"*b)*",'00 Encuesta'!$C$2:$C$511,"*b)*",'00 Encuesta'!$E$2:$E$511,"*b)*",'00 Encuesta'!$AW$2:$AW$511,"*e)*")</f>
        <v>2</v>
      </c>
      <c r="S390" s="52">
        <f t="shared" si="646"/>
        <v>13.333333333333334</v>
      </c>
      <c r="T390" s="3"/>
      <c r="U390" s="51">
        <f t="shared" si="647"/>
        <v>3</v>
      </c>
      <c r="V390" s="52">
        <f t="shared" si="648"/>
        <v>7.6923076923076925</v>
      </c>
      <c r="W390" s="53">
        <f>COUNTIFS('00 Encuesta'!$B$2:$B$511,"*b)*",'00 Encuesta'!$C$2:$C$511,"*c)*",'00 Encuesta'!$E$2:$E$511,"*a)*",'00 Encuesta'!$AW$2:$AW$511,"*e)*")</f>
        <v>1</v>
      </c>
      <c r="X390" s="52">
        <f t="shared" si="649"/>
        <v>4.7619047619047619</v>
      </c>
      <c r="Y390" s="53">
        <f>COUNTIFS('00 Encuesta'!$B$2:$B$511,"*b)*",'00 Encuesta'!$C$2:$C$511,"*c)*",'00 Encuesta'!$E$2:$E$511,"*b)*",'00 Encuesta'!$AW$2:$AW$511,"*e)*")</f>
        <v>2</v>
      </c>
      <c r="Z390" s="52">
        <f t="shared" si="650"/>
        <v>11.111111111111111</v>
      </c>
      <c r="AA390" s="3"/>
      <c r="AB390" s="62">
        <f t="shared" si="651"/>
        <v>11</v>
      </c>
      <c r="AC390" s="52">
        <f t="shared" si="652"/>
        <v>10.091743119266056</v>
      </c>
      <c r="AD390" s="3"/>
      <c r="AE390" s="3"/>
      <c r="AF390" s="9" t="str">
        <f t="shared" si="653"/>
        <v>e) La disciplina y el orden</v>
      </c>
      <c r="AG390" s="72">
        <f t="shared" si="660"/>
        <v>4.7619047619047619</v>
      </c>
      <c r="AH390" s="72">
        <f t="shared" si="661"/>
        <v>23.52941176470588</v>
      </c>
      <c r="AI390" s="73">
        <f t="shared" si="662"/>
        <v>13.157894736842104</v>
      </c>
      <c r="AJ390" s="73"/>
      <c r="AK390" s="76">
        <f t="shared" si="654"/>
        <v>5.8823529411764701</v>
      </c>
      <c r="AL390" s="76">
        <f t="shared" si="655"/>
        <v>13.333333333333334</v>
      </c>
      <c r="AM390" s="76">
        <f t="shared" si="656"/>
        <v>9.375</v>
      </c>
      <c r="AN390" s="76"/>
      <c r="AO390" s="81">
        <f t="shared" si="657"/>
        <v>4.7619047619047619</v>
      </c>
      <c r="AP390" s="81">
        <f t="shared" si="658"/>
        <v>11.111111111111111</v>
      </c>
      <c r="AQ390" s="81">
        <f t="shared" si="659"/>
        <v>7.6923076923076925</v>
      </c>
      <c r="AR390" s="3"/>
      <c r="AS390" s="76">
        <f t="shared" si="542"/>
        <v>10.091743119266056</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4</v>
      </c>
      <c r="H391" s="52">
        <f t="shared" si="640"/>
        <v>10.526315789473683</v>
      </c>
      <c r="I391" s="53">
        <f>COUNTIFS('00 Encuesta'!$B$2:$B$511,"*b)*",'00 Encuesta'!$C$2:$C$511,"*a)*",'00 Encuesta'!$E$2:$E$511,"*a)*",'00 Encuesta'!$AW$2:$AW$511,"*f)*")</f>
        <v>3</v>
      </c>
      <c r="J391" s="52">
        <f t="shared" si="641"/>
        <v>14.285714285714285</v>
      </c>
      <c r="K391" s="53">
        <f>COUNTIFS('00 Encuesta'!$B$2:$B$511,"*b)*",'00 Encuesta'!$C$2:$C$511,"*a)*",'00 Encuesta'!$E$2:$E$511,"*b)*",'00 Encuesta'!$AW$2:$AW$511,"*f)*")</f>
        <v>1</v>
      </c>
      <c r="L391" s="52">
        <f t="shared" si="642"/>
        <v>5.8823529411764701</v>
      </c>
      <c r="M391" s="23"/>
      <c r="N391" s="51">
        <f t="shared" si="643"/>
        <v>1</v>
      </c>
      <c r="O391" s="52">
        <f t="shared" si="644"/>
        <v>3.125</v>
      </c>
      <c r="P391" s="53">
        <f>COUNTIFS('00 Encuesta'!$B$2:$B$511,"*b)*",'00 Encuesta'!$C$2:$C$511,"*b)*",'00 Encuesta'!$E$2:$E$511,"*a)*",'00 Encuesta'!$AW$2:$AW$511,"*f)*")</f>
        <v>0</v>
      </c>
      <c r="Q391" s="52">
        <f t="shared" si="645"/>
        <v>0</v>
      </c>
      <c r="R391" s="53">
        <f>COUNTIFS('00 Encuesta'!$B$2:$B$511,"*b)*",'00 Encuesta'!$C$2:$C$511,"*b)*",'00 Encuesta'!$E$2:$E$511,"*b)*",'00 Encuesta'!$AW$2:$AW$511,"*f)*")</f>
        <v>1</v>
      </c>
      <c r="S391" s="52">
        <f t="shared" si="646"/>
        <v>6.666666666666667</v>
      </c>
      <c r="T391" s="3"/>
      <c r="U391" s="51">
        <f t="shared" si="647"/>
        <v>3</v>
      </c>
      <c r="V391" s="52">
        <f t="shared" si="648"/>
        <v>7.6923076923076925</v>
      </c>
      <c r="W391" s="53">
        <f>COUNTIFS('00 Encuesta'!$B$2:$B$511,"*b)*",'00 Encuesta'!$C$2:$C$511,"*c)*",'00 Encuesta'!$E$2:$E$511,"*a)*",'00 Encuesta'!$AW$2:$AW$511,"*f)*")</f>
        <v>1</v>
      </c>
      <c r="X391" s="52">
        <f t="shared" si="649"/>
        <v>4.7619047619047619</v>
      </c>
      <c r="Y391" s="53">
        <f>COUNTIFS('00 Encuesta'!$B$2:$B$511,"*b)*",'00 Encuesta'!$C$2:$C$511,"*c)*",'00 Encuesta'!$E$2:$E$511,"*b)*",'00 Encuesta'!$AW$2:$AW$511,"*f)*")</f>
        <v>2</v>
      </c>
      <c r="Z391" s="52">
        <f t="shared" si="650"/>
        <v>11.111111111111111</v>
      </c>
      <c r="AA391" s="3"/>
      <c r="AB391" s="62">
        <f t="shared" si="651"/>
        <v>8</v>
      </c>
      <c r="AC391" s="52">
        <f t="shared" si="652"/>
        <v>7.3394495412844041</v>
      </c>
      <c r="AD391" s="3"/>
      <c r="AE391" s="3"/>
      <c r="AF391" s="9" t="str">
        <f t="shared" si="653"/>
        <v>f) La pràctica religiosa</v>
      </c>
      <c r="AG391" s="72">
        <f t="shared" si="660"/>
        <v>14.285714285714285</v>
      </c>
      <c r="AH391" s="72">
        <f t="shared" si="661"/>
        <v>5.8823529411764701</v>
      </c>
      <c r="AI391" s="73">
        <f t="shared" si="662"/>
        <v>10.526315789473683</v>
      </c>
      <c r="AJ391" s="73"/>
      <c r="AK391" s="76">
        <f t="shared" si="654"/>
        <v>0</v>
      </c>
      <c r="AL391" s="76">
        <f t="shared" si="655"/>
        <v>6.666666666666667</v>
      </c>
      <c r="AM391" s="76">
        <f t="shared" si="656"/>
        <v>3.125</v>
      </c>
      <c r="AN391" s="76"/>
      <c r="AO391" s="81">
        <f t="shared" si="657"/>
        <v>4.7619047619047619</v>
      </c>
      <c r="AP391" s="81">
        <f t="shared" si="658"/>
        <v>11.111111111111111</v>
      </c>
      <c r="AQ391" s="81">
        <f t="shared" si="659"/>
        <v>7.6923076923076925</v>
      </c>
      <c r="AR391" s="3"/>
      <c r="AS391" s="76">
        <f t="shared" si="542"/>
        <v>7.3394495412844041</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2</v>
      </c>
      <c r="H392" s="52">
        <f t="shared" si="640"/>
        <v>5.2631578947368416</v>
      </c>
      <c r="I392" s="53">
        <f>COUNTIFS('00 Encuesta'!$B$2:$B$511,"*b)*",'00 Encuesta'!$C$2:$C$511,"*a)*",'00 Encuesta'!$E$2:$E$511,"*a)*",'00 Encuesta'!$AW$2:$AW$511,"*g)*")</f>
        <v>2</v>
      </c>
      <c r="J392" s="52">
        <f t="shared" si="641"/>
        <v>9.5238095238095237</v>
      </c>
      <c r="K392" s="53">
        <f>COUNTIFS('00 Encuesta'!$B$2:$B$511,"*b)*",'00 Encuesta'!$C$2:$C$511,"*a)*",'00 Encuesta'!$E$2:$E$511,"*b)*",'00 Encuesta'!$AW$2:$AW$511,"*g)*")</f>
        <v>0</v>
      </c>
      <c r="L392" s="52">
        <f t="shared" si="642"/>
        <v>0</v>
      </c>
      <c r="M392" s="23"/>
      <c r="N392" s="51">
        <f t="shared" si="643"/>
        <v>2</v>
      </c>
      <c r="O392" s="52">
        <f t="shared" si="644"/>
        <v>6.25</v>
      </c>
      <c r="P392" s="53">
        <f>COUNTIFS('00 Encuesta'!$B$2:$B$511,"*b)*",'00 Encuesta'!$C$2:$C$511,"*b)*",'00 Encuesta'!$E$2:$E$511,"*a)*",'00 Encuesta'!$AW$2:$AW$511,"*g)*")</f>
        <v>2</v>
      </c>
      <c r="Q392" s="52">
        <f t="shared" si="645"/>
        <v>11.76470588235294</v>
      </c>
      <c r="R392" s="53">
        <f>COUNTIFS('00 Encuesta'!$B$2:$B$511,"*b)*",'00 Encuesta'!$C$2:$C$511,"*b)*",'00 Encuesta'!$E$2:$E$511,"*b)*",'00 Encuesta'!$AW$2:$AW$511,"*g)*")</f>
        <v>0</v>
      </c>
      <c r="S392" s="52">
        <f t="shared" si="646"/>
        <v>0</v>
      </c>
      <c r="T392" s="3"/>
      <c r="U392" s="51">
        <f t="shared" si="647"/>
        <v>5</v>
      </c>
      <c r="V392" s="52">
        <f t="shared" si="648"/>
        <v>12.820512820512819</v>
      </c>
      <c r="W392" s="53">
        <f>COUNTIFS('00 Encuesta'!$B$2:$B$511,"*b)*",'00 Encuesta'!$C$2:$C$511,"*c)*",'00 Encuesta'!$E$2:$E$511,"*a)*",'00 Encuesta'!$AW$2:$AW$511,"*g)*")</f>
        <v>2</v>
      </c>
      <c r="X392" s="52">
        <f t="shared" si="649"/>
        <v>9.5238095238095237</v>
      </c>
      <c r="Y392" s="53">
        <f>COUNTIFS('00 Encuesta'!$B$2:$B$511,"*b)*",'00 Encuesta'!$C$2:$C$511,"*c)*",'00 Encuesta'!$E$2:$E$511,"*b)*",'00 Encuesta'!$AW$2:$AW$511,"*g)*")</f>
        <v>3</v>
      </c>
      <c r="Z392" s="52">
        <f t="shared" si="650"/>
        <v>16.666666666666664</v>
      </c>
      <c r="AA392" s="3"/>
      <c r="AB392" s="62">
        <f t="shared" si="651"/>
        <v>9</v>
      </c>
      <c r="AC392" s="52">
        <f t="shared" si="652"/>
        <v>8.2568807339449535</v>
      </c>
      <c r="AD392" s="3"/>
      <c r="AE392" s="3"/>
      <c r="AF392" s="9" t="str">
        <f t="shared" si="653"/>
        <v>g) La Orientación profesional futura</v>
      </c>
      <c r="AG392" s="72">
        <f t="shared" si="660"/>
        <v>9.5238095238095237</v>
      </c>
      <c r="AH392" s="72">
        <f t="shared" si="661"/>
        <v>0</v>
      </c>
      <c r="AI392" s="73">
        <f t="shared" si="662"/>
        <v>5.2631578947368416</v>
      </c>
      <c r="AJ392" s="73"/>
      <c r="AK392" s="76">
        <f t="shared" si="654"/>
        <v>11.76470588235294</v>
      </c>
      <c r="AL392" s="76">
        <f t="shared" si="655"/>
        <v>0</v>
      </c>
      <c r="AM392" s="76">
        <f t="shared" si="656"/>
        <v>6.25</v>
      </c>
      <c r="AN392" s="76"/>
      <c r="AO392" s="81">
        <f t="shared" si="657"/>
        <v>9.5238095238095237</v>
      </c>
      <c r="AP392" s="81">
        <f t="shared" si="658"/>
        <v>16.666666666666664</v>
      </c>
      <c r="AQ392" s="81">
        <f t="shared" si="659"/>
        <v>12.820512820512819</v>
      </c>
      <c r="AR392" s="3"/>
      <c r="AS392" s="76">
        <f t="shared" si="542"/>
        <v>8.2568807339449535</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2</v>
      </c>
      <c r="H393" s="52">
        <f t="shared" si="640"/>
        <v>5.2631578947368416</v>
      </c>
      <c r="I393" s="53">
        <f>COUNTIFS('00 Encuesta'!$B$2:$B$511,"*b)*",'00 Encuesta'!$C$2:$C$511,"*a)*",'00 Encuesta'!$E$2:$E$511,"*a)*",'00 Encuesta'!$AW$2:$AW$511,"*h)*")</f>
        <v>1</v>
      </c>
      <c r="J393" s="52">
        <f t="shared" si="641"/>
        <v>4.7619047619047619</v>
      </c>
      <c r="K393" s="53">
        <f>COUNTIFS('00 Encuesta'!$B$2:$B$511,"*b)*",'00 Encuesta'!$C$2:$C$511,"*a)*",'00 Encuesta'!$E$2:$E$511,"*b)*",'00 Encuesta'!$AW$2:$AW$511,"*h)*")</f>
        <v>1</v>
      </c>
      <c r="L393" s="52">
        <f t="shared" si="642"/>
        <v>5.8823529411764701</v>
      </c>
      <c r="M393" s="23"/>
      <c r="N393" s="51">
        <f t="shared" si="643"/>
        <v>2</v>
      </c>
      <c r="O393" s="52">
        <f t="shared" si="644"/>
        <v>6.25</v>
      </c>
      <c r="P393" s="53">
        <f>COUNTIFS('00 Encuesta'!$B$2:$B$511,"*b)*",'00 Encuesta'!$C$2:$C$511,"*b)*",'00 Encuesta'!$E$2:$E$511,"*a)*",'00 Encuesta'!$AW$2:$AW$511,"*h)*")</f>
        <v>1</v>
      </c>
      <c r="Q393" s="52">
        <f t="shared" si="645"/>
        <v>5.8823529411764701</v>
      </c>
      <c r="R393" s="53">
        <f>COUNTIFS('00 Encuesta'!$B$2:$B$511,"*b)*",'00 Encuesta'!$C$2:$C$511,"*b)*",'00 Encuesta'!$E$2:$E$511,"*b)*",'00 Encuesta'!$AW$2:$AW$511,"*h)*")</f>
        <v>1</v>
      </c>
      <c r="S393" s="52">
        <f t="shared" si="646"/>
        <v>6.666666666666667</v>
      </c>
      <c r="T393" s="3"/>
      <c r="U393" s="51">
        <f t="shared" si="647"/>
        <v>0</v>
      </c>
      <c r="V393" s="52">
        <f t="shared" si="648"/>
        <v>0</v>
      </c>
      <c r="W393" s="53">
        <f>COUNTIFS('00 Encuesta'!$B$2:$B$511,"*b)*",'00 Encuesta'!$C$2:$C$511,"*c)*",'00 Encuesta'!$E$2:$E$511,"*a)*",'00 Encuesta'!$AW$2:$AW$511,"*h)*")</f>
        <v>0</v>
      </c>
      <c r="X393" s="52">
        <f t="shared" si="649"/>
        <v>0</v>
      </c>
      <c r="Y393" s="53">
        <f>COUNTIFS('00 Encuesta'!$B$2:$B$511,"*b)*",'00 Encuesta'!$C$2:$C$511,"*c)*",'00 Encuesta'!$E$2:$E$511,"*b)*",'00 Encuesta'!$AW$2:$AW$511,"*h)*")</f>
        <v>0</v>
      </c>
      <c r="Z393" s="52">
        <f t="shared" si="650"/>
        <v>0</v>
      </c>
      <c r="AA393" s="3"/>
      <c r="AB393" s="62">
        <f t="shared" si="651"/>
        <v>4</v>
      </c>
      <c r="AC393" s="52">
        <f t="shared" si="652"/>
        <v>3.669724770642202</v>
      </c>
      <c r="AD393" s="3"/>
      <c r="AE393" s="3"/>
      <c r="AF393" s="9" t="str">
        <f t="shared" si="653"/>
        <v>h) La responsabilidad social y servicio a los demás</v>
      </c>
      <c r="AG393" s="72">
        <f t="shared" si="660"/>
        <v>4.7619047619047619</v>
      </c>
      <c r="AH393" s="72">
        <f t="shared" si="661"/>
        <v>5.8823529411764701</v>
      </c>
      <c r="AI393" s="73">
        <f t="shared" si="662"/>
        <v>5.2631578947368416</v>
      </c>
      <c r="AJ393" s="73"/>
      <c r="AK393" s="76">
        <f t="shared" si="654"/>
        <v>5.8823529411764701</v>
      </c>
      <c r="AL393" s="76">
        <f t="shared" si="655"/>
        <v>6.666666666666667</v>
      </c>
      <c r="AM393" s="76">
        <f t="shared" si="656"/>
        <v>6.25</v>
      </c>
      <c r="AN393" s="76"/>
      <c r="AO393" s="81">
        <f t="shared" si="657"/>
        <v>0</v>
      </c>
      <c r="AP393" s="81">
        <f t="shared" si="658"/>
        <v>0</v>
      </c>
      <c r="AQ393" s="81">
        <f t="shared" si="659"/>
        <v>0</v>
      </c>
      <c r="AR393" s="3"/>
      <c r="AS393" s="76">
        <f t="shared" si="542"/>
        <v>3.669724770642202</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ht="15.75" x14ac:dyDescent="0.3">
      <c r="A394" s="1" t="s">
        <v>65</v>
      </c>
      <c r="B394" s="2" t="s">
        <v>247</v>
      </c>
      <c r="C394" s="3"/>
      <c r="D394" s="3"/>
      <c r="E394" s="3"/>
      <c r="F394" s="4"/>
      <c r="G394" s="51">
        <f t="shared" si="639"/>
        <v>3</v>
      </c>
      <c r="H394" s="52">
        <f t="shared" si="640"/>
        <v>7.8947368421052628</v>
      </c>
      <c r="I394" s="53">
        <f>COUNTIFS('00 Encuesta'!$B$2:$B$511,"*b)*",'00 Encuesta'!$C$2:$C$511,"*a)*",'00 Encuesta'!$E$2:$E$511,"*a)*",'00 Encuesta'!$AW$2:$AW$511,"*i)*")</f>
        <v>3</v>
      </c>
      <c r="J394" s="52">
        <f t="shared" si="641"/>
        <v>14.285714285714285</v>
      </c>
      <c r="K394" s="53">
        <f>COUNTIFS('00 Encuesta'!$B$2:$B$511,"*b)*",'00 Encuesta'!$C$2:$C$511,"*a)*",'00 Encuesta'!$E$2:$E$511,"*b)*",'00 Encuesta'!$AW$2:$AW$511,"*i)*")</f>
        <v>0</v>
      </c>
      <c r="L394" s="52">
        <f t="shared" si="642"/>
        <v>0</v>
      </c>
      <c r="M394" s="23"/>
      <c r="N394" s="51">
        <f t="shared" si="643"/>
        <v>1</v>
      </c>
      <c r="O394" s="52">
        <f t="shared" si="644"/>
        <v>3.125</v>
      </c>
      <c r="P394" s="53">
        <f>COUNTIFS('00 Encuesta'!$B$2:$B$511,"*b)*",'00 Encuesta'!$C$2:$C$511,"*b)*",'00 Encuesta'!$E$2:$E$511,"*a)*",'00 Encuesta'!$AW$2:$AW$511,"*i)*")</f>
        <v>1</v>
      </c>
      <c r="Q394" s="52">
        <f t="shared" si="645"/>
        <v>5.8823529411764701</v>
      </c>
      <c r="R394" s="53">
        <f>COUNTIFS('00 Encuesta'!$B$2:$B$511,"*b)*",'00 Encuesta'!$C$2:$C$511,"*b)*",'00 Encuesta'!$E$2:$E$511,"*b)*",'00 Encuesta'!$AW$2:$AW$511,"*i)*")</f>
        <v>0</v>
      </c>
      <c r="S394" s="52">
        <f t="shared" si="646"/>
        <v>0</v>
      </c>
      <c r="T394" s="3"/>
      <c r="U394" s="51">
        <f t="shared" si="647"/>
        <v>5</v>
      </c>
      <c r="V394" s="52">
        <f t="shared" si="648"/>
        <v>12.820512820512819</v>
      </c>
      <c r="W394" s="53">
        <f>COUNTIFS('00 Encuesta'!$B$2:$B$511,"*b)*",'00 Encuesta'!$C$2:$C$511,"*c)*",'00 Encuesta'!$E$2:$E$511,"*a)*",'00 Encuesta'!$AW$2:$AW$511,"*i)*")</f>
        <v>5</v>
      </c>
      <c r="X394" s="52">
        <f t="shared" si="649"/>
        <v>23.809523809523807</v>
      </c>
      <c r="Y394" s="53">
        <f>COUNTIFS('00 Encuesta'!$B$2:$B$511,"*b)*",'00 Encuesta'!$C$2:$C$511,"*c)*",'00 Encuesta'!$E$2:$E$511,"*b)*",'00 Encuesta'!$AW$2:$AW$511,"*i)*")</f>
        <v>0</v>
      </c>
      <c r="Z394" s="52">
        <f t="shared" si="650"/>
        <v>0</v>
      </c>
      <c r="AA394" s="3"/>
      <c r="AB394" s="62">
        <f t="shared" si="651"/>
        <v>9</v>
      </c>
      <c r="AC394" s="52">
        <f t="shared" si="652"/>
        <v>8.2568807339449535</v>
      </c>
      <c r="AD394" s="3"/>
      <c r="AE394" s="3"/>
      <c r="AF394" s="9" t="str">
        <f t="shared" si="653"/>
        <v>i) En nada</v>
      </c>
      <c r="AG394" s="72">
        <f t="shared" si="660"/>
        <v>14.285714285714285</v>
      </c>
      <c r="AH394" s="72">
        <f t="shared" si="661"/>
        <v>0</v>
      </c>
      <c r="AI394" s="73">
        <f t="shared" si="662"/>
        <v>7.8947368421052628</v>
      </c>
      <c r="AJ394" s="73"/>
      <c r="AK394" s="76">
        <f t="shared" si="654"/>
        <v>5.8823529411764701</v>
      </c>
      <c r="AL394" s="76">
        <f t="shared" si="655"/>
        <v>0</v>
      </c>
      <c r="AM394" s="76">
        <f t="shared" si="656"/>
        <v>3.125</v>
      </c>
      <c r="AN394" s="76"/>
      <c r="AO394" s="81">
        <f t="shared" si="657"/>
        <v>23.809523809523807</v>
      </c>
      <c r="AP394" s="81">
        <f t="shared" si="658"/>
        <v>0</v>
      </c>
      <c r="AQ394" s="81">
        <f t="shared" si="659"/>
        <v>12.820512820512819</v>
      </c>
      <c r="AR394" s="3"/>
      <c r="AS394" s="76">
        <f t="shared" si="542"/>
        <v>8.2568807339449535</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ht="15.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ht="15.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ht="15.75" x14ac:dyDescent="0.3">
      <c r="A397" s="1" t="s">
        <v>17</v>
      </c>
      <c r="B397" s="2" t="s">
        <v>249</v>
      </c>
      <c r="C397" s="3"/>
      <c r="D397" s="3"/>
      <c r="E397" s="3"/>
      <c r="F397" s="4"/>
      <c r="G397" s="51">
        <f t="shared" ref="G397:G404" si="663">I397+K397</f>
        <v>13</v>
      </c>
      <c r="H397" s="52">
        <f t="shared" ref="H397:H404" si="664">G397/$J$5*100</f>
        <v>34.210526315789473</v>
      </c>
      <c r="I397" s="53">
        <f>COUNTIFS('00 Encuesta'!$B$2:$B$511,"*b)*",'00 Encuesta'!$C$2:$C$511,"*a)*",'00 Encuesta'!$E$2:$E$511,"*a)*",'00 Encuesta'!$AX$2:$AX$511,"*a)*")</f>
        <v>8</v>
      </c>
      <c r="J397" s="52">
        <f t="shared" ref="J397:J404" si="665">I397/$J$6*100</f>
        <v>38.095238095238095</v>
      </c>
      <c r="K397" s="53">
        <f>COUNTIFS('00 Encuesta'!$B$2:$B$511,"*b)*",'00 Encuesta'!$C$2:$C$511,"*a)*",'00 Encuesta'!$E$2:$E$511,"*b)*",'00 Encuesta'!$AX$2:$AX$511,"*a)*")</f>
        <v>5</v>
      </c>
      <c r="L397" s="52">
        <f t="shared" ref="L397:L404" si="666">K397/$J$7*100</f>
        <v>29.411764705882355</v>
      </c>
      <c r="M397" s="23"/>
      <c r="N397" s="51">
        <f t="shared" ref="N397:N404" si="667">P397+R397</f>
        <v>6</v>
      </c>
      <c r="O397" s="52">
        <f t="shared" ref="O397:O404" si="668">N397/$Q$5*100</f>
        <v>18.75</v>
      </c>
      <c r="P397" s="53">
        <f>COUNTIFS('00 Encuesta'!$B$2:$B$511,"*b)*",'00 Encuesta'!$C$2:$C$511,"*b)*",'00 Encuesta'!$E$2:$E$511,"*a)*",'00 Encuesta'!$AX$2:$AX$511,"*a)*")</f>
        <v>5</v>
      </c>
      <c r="Q397" s="52">
        <f t="shared" ref="Q397:Q404" si="669">P397/$Q$6*100</f>
        <v>29.411764705882355</v>
      </c>
      <c r="R397" s="53">
        <f>COUNTIFS('00 Encuesta'!$B$2:$B$511,"*b)*",'00 Encuesta'!$C$2:$C$511,"*b)*",'00 Encuesta'!$E$2:$E$511,"*b)*",'00 Encuesta'!$AX$2:$AX$511,"*a)*")</f>
        <v>1</v>
      </c>
      <c r="S397" s="52">
        <f t="shared" ref="S397:S404" si="670">R397/$Q$7*100</f>
        <v>6.666666666666667</v>
      </c>
      <c r="T397" s="3"/>
      <c r="U397" s="51">
        <f t="shared" ref="U397:U404" si="671">W397+Y397</f>
        <v>14</v>
      </c>
      <c r="V397" s="52">
        <f t="shared" ref="V397:V404" si="672">U397/$X$5*100</f>
        <v>35.897435897435898</v>
      </c>
      <c r="W397" s="53">
        <f>COUNTIFS('00 Encuesta'!$B$2:$B$511,"*b)*",'00 Encuesta'!$C$2:$C$511,"*c)*",'00 Encuesta'!$E$2:$E$511,"*a)*",'00 Encuesta'!$AX$2:$AX$511,"*a)*")</f>
        <v>9</v>
      </c>
      <c r="X397" s="52">
        <f t="shared" ref="X397:X404" si="673">W397/$X$6*100</f>
        <v>42.857142857142854</v>
      </c>
      <c r="Y397" s="53">
        <f>COUNTIFS('00 Encuesta'!$B$2:$B$511,"*b)*",'00 Encuesta'!$C$2:$C$511,"*c)*",'00 Encuesta'!$E$2:$E$511,"*b)*",'00 Encuesta'!$AX$2:$AX$511,"*a)*")</f>
        <v>5</v>
      </c>
      <c r="Z397" s="52">
        <f t="shared" ref="Z397:Z404" si="674">Y397/$X$7*100</f>
        <v>27.777777777777779</v>
      </c>
      <c r="AA397" s="3"/>
      <c r="AB397" s="62">
        <f t="shared" ref="AB397:AB404" si="675">G397+N397+U397</f>
        <v>33</v>
      </c>
      <c r="AC397" s="52">
        <f t="shared" ref="AC397:AC404" si="676">AB397*100/$AC$5</f>
        <v>30.275229357798164</v>
      </c>
      <c r="AD397" s="3"/>
      <c r="AE397" s="3"/>
      <c r="AF397" s="9" t="str">
        <f t="shared" ref="AF397:AF404" si="677">A397&amp;" "&amp;B397</f>
        <v>a) Que sea un buen profesional</v>
      </c>
      <c r="AG397" s="72">
        <f t="shared" ref="AG397:AG404" si="678">J397</f>
        <v>38.095238095238095</v>
      </c>
      <c r="AH397" s="72">
        <f t="shared" ref="AH397:AH404" si="679">L397</f>
        <v>29.411764705882355</v>
      </c>
      <c r="AI397" s="73">
        <f t="shared" ref="AI397:AI404" si="680">H397</f>
        <v>34.210526315789473</v>
      </c>
      <c r="AJ397" s="73"/>
      <c r="AK397" s="76">
        <f t="shared" ref="AK397:AK404" si="681">Q397</f>
        <v>29.411764705882355</v>
      </c>
      <c r="AL397" s="76">
        <f t="shared" ref="AL397:AL404" si="682">S397</f>
        <v>6.666666666666667</v>
      </c>
      <c r="AM397" s="76">
        <f t="shared" ref="AM397:AM404" si="683">O397</f>
        <v>18.75</v>
      </c>
      <c r="AN397" s="76"/>
      <c r="AO397" s="81">
        <f t="shared" ref="AO397:AO404" si="684">X397</f>
        <v>42.857142857142854</v>
      </c>
      <c r="AP397" s="81">
        <f t="shared" ref="AP397:AP404" si="685">Z397</f>
        <v>27.777777777777779</v>
      </c>
      <c r="AQ397" s="81">
        <f t="shared" ref="AQ397:AQ404" si="686">V397</f>
        <v>35.897435897435898</v>
      </c>
      <c r="AR397" s="3"/>
      <c r="AS397" s="76">
        <f t="shared" si="542"/>
        <v>30.275229357798164</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15</v>
      </c>
      <c r="H398" s="52">
        <f t="shared" si="664"/>
        <v>39.473684210526315</v>
      </c>
      <c r="I398" s="53">
        <f>COUNTIFS('00 Encuesta'!$B$2:$B$511,"*b)*",'00 Encuesta'!$C$2:$C$511,"*a)*",'00 Encuesta'!$E$2:$E$511,"*a)*",'00 Encuesta'!$AX$2:$AX$511,"*b)*")</f>
        <v>6</v>
      </c>
      <c r="J398" s="52">
        <f t="shared" si="665"/>
        <v>28.571428571428569</v>
      </c>
      <c r="K398" s="53">
        <f>COUNTIFS('00 Encuesta'!$B$2:$B$511,"*b)*",'00 Encuesta'!$C$2:$C$511,"*a)*",'00 Encuesta'!$E$2:$E$511,"*b)*",'00 Encuesta'!$AX$2:$AX$511,"*b)*")</f>
        <v>9</v>
      </c>
      <c r="L398" s="52">
        <f t="shared" si="666"/>
        <v>52.941176470588239</v>
      </c>
      <c r="M398" s="23"/>
      <c r="N398" s="51">
        <f t="shared" si="667"/>
        <v>12</v>
      </c>
      <c r="O398" s="52">
        <f t="shared" si="668"/>
        <v>37.5</v>
      </c>
      <c r="P398" s="53">
        <f>COUNTIFS('00 Encuesta'!$B$2:$B$511,"*b)*",'00 Encuesta'!$C$2:$C$511,"*b)*",'00 Encuesta'!$E$2:$E$511,"*a)*",'00 Encuesta'!$AX$2:$AX$511,"*b)*")</f>
        <v>3</v>
      </c>
      <c r="Q398" s="52">
        <f t="shared" si="669"/>
        <v>17.647058823529413</v>
      </c>
      <c r="R398" s="53">
        <f>COUNTIFS('00 Encuesta'!$B$2:$B$511,"*b)*",'00 Encuesta'!$C$2:$C$511,"*b)*",'00 Encuesta'!$E$2:$E$511,"*b)*",'00 Encuesta'!$AX$2:$AX$511,"*b)*")</f>
        <v>9</v>
      </c>
      <c r="S398" s="52">
        <f t="shared" si="670"/>
        <v>60</v>
      </c>
      <c r="T398" s="3"/>
      <c r="U398" s="51">
        <f t="shared" si="671"/>
        <v>10</v>
      </c>
      <c r="V398" s="52">
        <f t="shared" si="672"/>
        <v>25.641025641025639</v>
      </c>
      <c r="W398" s="53">
        <f>COUNTIFS('00 Encuesta'!$B$2:$B$511,"*b)*",'00 Encuesta'!$C$2:$C$511,"*c)*",'00 Encuesta'!$E$2:$E$511,"*a)*",'00 Encuesta'!$AX$2:$AX$511,"*b)*")</f>
        <v>6</v>
      </c>
      <c r="X398" s="52">
        <f t="shared" si="673"/>
        <v>28.571428571428569</v>
      </c>
      <c r="Y398" s="53">
        <f>COUNTIFS('00 Encuesta'!$B$2:$B$511,"*b)*",'00 Encuesta'!$C$2:$C$511,"*c)*",'00 Encuesta'!$E$2:$E$511,"*b)*",'00 Encuesta'!$AX$2:$AX$511,"*b)*")</f>
        <v>4</v>
      </c>
      <c r="Z398" s="52">
        <f t="shared" si="674"/>
        <v>22.222222222222221</v>
      </c>
      <c r="AA398" s="3"/>
      <c r="AB398" s="62">
        <f t="shared" si="675"/>
        <v>37</v>
      </c>
      <c r="AC398" s="52">
        <f t="shared" si="676"/>
        <v>33.944954128440365</v>
      </c>
      <c r="AD398" s="3"/>
      <c r="AE398" s="3"/>
      <c r="AF398" s="9" t="str">
        <f t="shared" si="677"/>
        <v>b) Darme una buena ocupaciòn</v>
      </c>
      <c r="AG398" s="72">
        <f t="shared" si="678"/>
        <v>28.571428571428569</v>
      </c>
      <c r="AH398" s="72">
        <f t="shared" si="679"/>
        <v>52.941176470588239</v>
      </c>
      <c r="AI398" s="73">
        <f t="shared" si="680"/>
        <v>39.473684210526315</v>
      </c>
      <c r="AJ398" s="73"/>
      <c r="AK398" s="76">
        <f t="shared" si="681"/>
        <v>17.647058823529413</v>
      </c>
      <c r="AL398" s="76">
        <f t="shared" si="682"/>
        <v>60</v>
      </c>
      <c r="AM398" s="76">
        <f t="shared" si="683"/>
        <v>37.5</v>
      </c>
      <c r="AN398" s="76"/>
      <c r="AO398" s="81">
        <f t="shared" si="684"/>
        <v>28.571428571428569</v>
      </c>
      <c r="AP398" s="81">
        <f t="shared" si="685"/>
        <v>22.222222222222221</v>
      </c>
      <c r="AQ398" s="81">
        <f t="shared" si="686"/>
        <v>25.641025641025639</v>
      </c>
      <c r="AR398" s="3"/>
      <c r="AS398" s="76">
        <f t="shared" si="542"/>
        <v>33.944954128440365</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0</v>
      </c>
      <c r="H399" s="52">
        <f t="shared" si="664"/>
        <v>0</v>
      </c>
      <c r="I399" s="53">
        <f>COUNTIFS('00 Encuesta'!$B$2:$B$511,"*b)*",'00 Encuesta'!$C$2:$C$511,"*a)*",'00 Encuesta'!$E$2:$E$511,"*a)*",'00 Encuesta'!$AX$2:$AX$511,"*c)*")</f>
        <v>0</v>
      </c>
      <c r="J399" s="52">
        <f t="shared" si="665"/>
        <v>0</v>
      </c>
      <c r="K399" s="53">
        <f>COUNTIFS('00 Encuesta'!$B$2:$B$511,"*b)*",'00 Encuesta'!$C$2:$C$511,"*a)*",'00 Encuesta'!$E$2:$E$511,"*b)*",'00 Encuesta'!$AX$2:$AX$511,"*c)*")</f>
        <v>0</v>
      </c>
      <c r="L399" s="52">
        <f t="shared" si="666"/>
        <v>0</v>
      </c>
      <c r="M399" s="23"/>
      <c r="N399" s="51">
        <f t="shared" si="667"/>
        <v>1</v>
      </c>
      <c r="O399" s="52">
        <f t="shared" si="668"/>
        <v>3.125</v>
      </c>
      <c r="P399" s="53">
        <f>COUNTIFS('00 Encuesta'!$B$2:$B$511,"*b)*",'00 Encuesta'!$C$2:$C$511,"*b)*",'00 Encuesta'!$E$2:$E$511,"*a)*",'00 Encuesta'!$AX$2:$AX$511,"*c)*")</f>
        <v>1</v>
      </c>
      <c r="Q399" s="52">
        <f t="shared" si="669"/>
        <v>5.8823529411764701</v>
      </c>
      <c r="R399" s="53">
        <f>COUNTIFS('00 Encuesta'!$B$2:$B$511,"*b)*",'00 Encuesta'!$C$2:$C$511,"*b)*",'00 Encuesta'!$E$2:$E$511,"*b)*",'00 Encuesta'!$AX$2:$AX$511,"*c)*")</f>
        <v>0</v>
      </c>
      <c r="S399" s="52">
        <f t="shared" si="670"/>
        <v>0</v>
      </c>
      <c r="T399" s="3"/>
      <c r="U399" s="51">
        <f t="shared" si="671"/>
        <v>1</v>
      </c>
      <c r="V399" s="52">
        <f t="shared" si="672"/>
        <v>2.5641025641025639</v>
      </c>
      <c r="W399" s="53">
        <f>COUNTIFS('00 Encuesta'!$B$2:$B$511,"*b)*",'00 Encuesta'!$C$2:$C$511,"*c)*",'00 Encuesta'!$E$2:$E$511,"*a)*",'00 Encuesta'!$AX$2:$AX$511,"*c)*")</f>
        <v>1</v>
      </c>
      <c r="X399" s="52">
        <f t="shared" si="673"/>
        <v>4.7619047619047619</v>
      </c>
      <c r="Y399" s="53">
        <f>COUNTIFS('00 Encuesta'!$B$2:$B$511,"*b)*",'00 Encuesta'!$C$2:$C$511,"*c)*",'00 Encuesta'!$E$2:$E$511,"*b)*",'00 Encuesta'!$AX$2:$AX$511,"*c)*")</f>
        <v>0</v>
      </c>
      <c r="Z399" s="52">
        <f t="shared" si="674"/>
        <v>0</v>
      </c>
      <c r="AA399" s="3"/>
      <c r="AB399" s="62">
        <f>G399+N399+U399</f>
        <v>2</v>
      </c>
      <c r="AC399" s="52">
        <f t="shared" si="676"/>
        <v>1.834862385321101</v>
      </c>
      <c r="AD399" s="3"/>
      <c r="AE399" s="3"/>
      <c r="AF399" s="9" t="str">
        <f t="shared" si="677"/>
        <v>c) Que me preocupe de los demàs</v>
      </c>
      <c r="AG399" s="72">
        <f t="shared" si="678"/>
        <v>0</v>
      </c>
      <c r="AH399" s="72">
        <f t="shared" si="679"/>
        <v>0</v>
      </c>
      <c r="AI399" s="73">
        <f t="shared" si="680"/>
        <v>0</v>
      </c>
      <c r="AJ399" s="73"/>
      <c r="AK399" s="76">
        <f t="shared" si="681"/>
        <v>5.8823529411764701</v>
      </c>
      <c r="AL399" s="76">
        <f t="shared" si="682"/>
        <v>0</v>
      </c>
      <c r="AM399" s="76">
        <f t="shared" si="683"/>
        <v>3.125</v>
      </c>
      <c r="AN399" s="76"/>
      <c r="AO399" s="81">
        <f t="shared" si="684"/>
        <v>4.7619047619047619</v>
      </c>
      <c r="AP399" s="81">
        <f t="shared" si="685"/>
        <v>0</v>
      </c>
      <c r="AQ399" s="81">
        <f t="shared" si="686"/>
        <v>2.5641025641025639</v>
      </c>
      <c r="AR399" s="3"/>
      <c r="AS399" s="76">
        <f t="shared" si="542"/>
        <v>1.834862385321101</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0</v>
      </c>
      <c r="H400" s="52">
        <f t="shared" si="664"/>
        <v>0</v>
      </c>
      <c r="I400" s="53">
        <f>COUNTIFS('00 Encuesta'!$B$2:$B$511,"*b)*",'00 Encuesta'!$C$2:$C$511,"*a)*",'00 Encuesta'!$E$2:$E$511,"*a)*",'00 Encuesta'!$AX$2:$AX$511,"*d)*")</f>
        <v>0</v>
      </c>
      <c r="J400" s="52">
        <f t="shared" si="665"/>
        <v>0</v>
      </c>
      <c r="K400" s="53">
        <f>COUNTIFS('00 Encuesta'!$B$2:$B$511,"*b)*",'00 Encuesta'!$C$2:$C$511,"*a)*",'00 Encuesta'!$E$2:$E$511,"*b)*",'00 Encuesta'!$AX$2:$AX$511,"*d)*")</f>
        <v>0</v>
      </c>
      <c r="L400" s="52">
        <f t="shared" si="666"/>
        <v>0</v>
      </c>
      <c r="M400" s="23"/>
      <c r="N400" s="51">
        <f t="shared" si="667"/>
        <v>0</v>
      </c>
      <c r="O400" s="52">
        <f t="shared" si="668"/>
        <v>0</v>
      </c>
      <c r="P400" s="53">
        <f>COUNTIFS('00 Encuesta'!$B$2:$B$511,"*b)*",'00 Encuesta'!$C$2:$C$511,"*b)*",'00 Encuesta'!$E$2:$E$511,"*a)*",'00 Encuesta'!$AX$2:$AX$511,"*d)*")</f>
        <v>0</v>
      </c>
      <c r="Q400" s="52">
        <f t="shared" si="669"/>
        <v>0</v>
      </c>
      <c r="R400" s="53">
        <f>COUNTIFS('00 Encuesta'!$B$2:$B$511,"*b)*",'00 Encuesta'!$C$2:$C$511,"*b)*",'00 Encuesta'!$E$2:$E$511,"*b)*",'00 Encuesta'!$AX$2:$AX$511,"*d)*")</f>
        <v>0</v>
      </c>
      <c r="S400" s="52">
        <f t="shared" si="670"/>
        <v>0</v>
      </c>
      <c r="T400" s="3"/>
      <c r="U400" s="51">
        <f t="shared" si="671"/>
        <v>0</v>
      </c>
      <c r="V400" s="52">
        <f t="shared" si="672"/>
        <v>0</v>
      </c>
      <c r="W400" s="53">
        <f>COUNTIFS('00 Encuesta'!$B$2:$B$511,"*b)*",'00 Encuesta'!$C$2:$C$511,"*c)*",'00 Encuesta'!$E$2:$E$511,"*a)*",'00 Encuesta'!$AX$2:$AX$511,"*d)*")</f>
        <v>0</v>
      </c>
      <c r="X400" s="52">
        <f t="shared" si="673"/>
        <v>0</v>
      </c>
      <c r="Y400" s="53">
        <f>COUNTIFS('00 Encuesta'!$B$2:$B$511,"*b)*",'00 Encuesta'!$C$2:$C$511,"*c)*",'00 Encuesta'!$E$2:$E$511,"*b)*",'00 Encuesta'!$AX$2:$AX$511,"*d)*")</f>
        <v>0</v>
      </c>
      <c r="Z400" s="52">
        <f t="shared" si="674"/>
        <v>0</v>
      </c>
      <c r="AA400" s="3"/>
      <c r="AB400" s="62">
        <f t="shared" si="675"/>
        <v>0</v>
      </c>
      <c r="AC400" s="52">
        <f t="shared" si="676"/>
        <v>0</v>
      </c>
      <c r="AD400" s="3"/>
      <c r="AE400" s="3"/>
      <c r="AF400" s="9" t="str">
        <f t="shared" si="677"/>
        <v>d) Que ayude econòmicamente a la familia</v>
      </c>
      <c r="AG400" s="72">
        <f t="shared" si="678"/>
        <v>0</v>
      </c>
      <c r="AH400" s="72">
        <f t="shared" si="679"/>
        <v>0</v>
      </c>
      <c r="AI400" s="73">
        <f t="shared" si="680"/>
        <v>0</v>
      </c>
      <c r="AJ400" s="73"/>
      <c r="AK400" s="76">
        <f t="shared" si="681"/>
        <v>0</v>
      </c>
      <c r="AL400" s="76">
        <f t="shared" si="682"/>
        <v>0</v>
      </c>
      <c r="AM400" s="76">
        <f t="shared" si="683"/>
        <v>0</v>
      </c>
      <c r="AN400" s="76"/>
      <c r="AO400" s="81">
        <f t="shared" si="684"/>
        <v>0</v>
      </c>
      <c r="AP400" s="81">
        <f t="shared" si="685"/>
        <v>0</v>
      </c>
      <c r="AQ400" s="81">
        <f t="shared" si="686"/>
        <v>0</v>
      </c>
      <c r="AR400" s="3"/>
      <c r="AS400" s="76">
        <f t="shared" si="542"/>
        <v>0</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ht="15.75" x14ac:dyDescent="0.3">
      <c r="A401" s="1" t="s">
        <v>22</v>
      </c>
      <c r="B401" s="2" t="s">
        <v>253</v>
      </c>
      <c r="C401" s="3"/>
      <c r="D401" s="3"/>
      <c r="E401" s="3"/>
      <c r="F401" s="4"/>
      <c r="G401" s="51">
        <f t="shared" si="663"/>
        <v>3</v>
      </c>
      <c r="H401" s="52">
        <f t="shared" si="664"/>
        <v>7.8947368421052628</v>
      </c>
      <c r="I401" s="53">
        <f>COUNTIFS('00 Encuesta'!$B$2:$B$511,"*b)*",'00 Encuesta'!$C$2:$C$511,"*a)*",'00 Encuesta'!$E$2:$E$511,"*a)*",'00 Encuesta'!$AX$2:$AX$511,"*e)*")</f>
        <v>2</v>
      </c>
      <c r="J401" s="52">
        <f t="shared" si="665"/>
        <v>9.5238095238095237</v>
      </c>
      <c r="K401" s="53">
        <f>COUNTIFS('00 Encuesta'!$B$2:$B$511,"*b)*",'00 Encuesta'!$C$2:$C$511,"*a)*",'00 Encuesta'!$E$2:$E$511,"*b)*",'00 Encuesta'!$AX$2:$AX$511,"*e)*")</f>
        <v>1</v>
      </c>
      <c r="L401" s="52">
        <f t="shared" si="666"/>
        <v>5.8823529411764701</v>
      </c>
      <c r="M401" s="23"/>
      <c r="N401" s="51">
        <f t="shared" si="667"/>
        <v>2</v>
      </c>
      <c r="O401" s="52">
        <f t="shared" si="668"/>
        <v>6.25</v>
      </c>
      <c r="P401" s="53">
        <f>COUNTIFS('00 Encuesta'!$B$2:$B$511,"*b)*",'00 Encuesta'!$C$2:$C$511,"*b)*",'00 Encuesta'!$E$2:$E$511,"*a)*",'00 Encuesta'!$AX$2:$AX$511,"*e)*")</f>
        <v>1</v>
      </c>
      <c r="Q401" s="52">
        <f t="shared" si="669"/>
        <v>5.8823529411764701</v>
      </c>
      <c r="R401" s="53">
        <f>COUNTIFS('00 Encuesta'!$B$2:$B$511,"*b)*",'00 Encuesta'!$C$2:$C$511,"*b)*",'00 Encuesta'!$E$2:$E$511,"*b)*",'00 Encuesta'!$AX$2:$AX$511,"*e)*")</f>
        <v>1</v>
      </c>
      <c r="S401" s="52">
        <f t="shared" si="670"/>
        <v>6.666666666666667</v>
      </c>
      <c r="T401" s="3"/>
      <c r="U401" s="51">
        <f t="shared" si="671"/>
        <v>2</v>
      </c>
      <c r="V401" s="52">
        <f t="shared" si="672"/>
        <v>5.1282051282051277</v>
      </c>
      <c r="W401" s="53">
        <f>COUNTIFS('00 Encuesta'!$B$2:$B$511,"*b)*",'00 Encuesta'!$C$2:$C$511,"*c)*",'00 Encuesta'!$E$2:$E$511,"*a)*",'00 Encuesta'!$AX$2:$AX$511,"*e)*")</f>
        <v>1</v>
      </c>
      <c r="X401" s="52">
        <f t="shared" si="673"/>
        <v>4.7619047619047619</v>
      </c>
      <c r="Y401" s="53">
        <f>COUNTIFS('00 Encuesta'!$B$2:$B$511,"*b)*",'00 Encuesta'!$C$2:$C$511,"*c)*",'00 Encuesta'!$E$2:$E$511,"*b)*",'00 Encuesta'!$AX$2:$AX$511,"*e)*")</f>
        <v>1</v>
      </c>
      <c r="Z401" s="52">
        <f t="shared" si="674"/>
        <v>5.5555555555555554</v>
      </c>
      <c r="AA401" s="3"/>
      <c r="AB401" s="62">
        <f t="shared" si="675"/>
        <v>7</v>
      </c>
      <c r="AC401" s="52">
        <f t="shared" si="676"/>
        <v>6.4220183486238529</v>
      </c>
      <c r="AD401" s="3"/>
      <c r="AE401" s="3"/>
      <c r="AF401" s="9" t="str">
        <f t="shared" si="677"/>
        <v>e) Que sea cristiano responsable</v>
      </c>
      <c r="AG401" s="72">
        <f t="shared" si="678"/>
        <v>9.5238095238095237</v>
      </c>
      <c r="AH401" s="72">
        <f t="shared" si="679"/>
        <v>5.8823529411764701</v>
      </c>
      <c r="AI401" s="73">
        <f t="shared" si="680"/>
        <v>7.8947368421052628</v>
      </c>
      <c r="AJ401" s="73"/>
      <c r="AK401" s="76">
        <f t="shared" si="681"/>
        <v>5.8823529411764701</v>
      </c>
      <c r="AL401" s="76">
        <f t="shared" si="682"/>
        <v>6.666666666666667</v>
      </c>
      <c r="AM401" s="76">
        <f t="shared" si="683"/>
        <v>6.25</v>
      </c>
      <c r="AN401" s="76"/>
      <c r="AO401" s="81">
        <f t="shared" si="684"/>
        <v>4.7619047619047619</v>
      </c>
      <c r="AP401" s="81">
        <f t="shared" si="685"/>
        <v>5.5555555555555554</v>
      </c>
      <c r="AQ401" s="81">
        <f t="shared" si="686"/>
        <v>5.1282051282051277</v>
      </c>
      <c r="AR401" s="3"/>
      <c r="AS401" s="76">
        <f t="shared" si="542"/>
        <v>6.4220183486238529</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ht="15.75" x14ac:dyDescent="0.3">
      <c r="A402" s="1" t="s">
        <v>45</v>
      </c>
      <c r="B402" s="2" t="s">
        <v>254</v>
      </c>
      <c r="C402" s="3"/>
      <c r="D402" s="3"/>
      <c r="E402" s="3"/>
      <c r="F402" s="4"/>
      <c r="G402" s="51">
        <f t="shared" si="663"/>
        <v>3</v>
      </c>
      <c r="H402" s="52">
        <f t="shared" si="664"/>
        <v>7.8947368421052628</v>
      </c>
      <c r="I402" s="53">
        <f>COUNTIFS('00 Encuesta'!$B$2:$B$511,"*b)*",'00 Encuesta'!$C$2:$C$511,"*a)*",'00 Encuesta'!$E$2:$E$511,"*a)*",'00 Encuesta'!$AX$2:$AX$511,"*f)*")</f>
        <v>3</v>
      </c>
      <c r="J402" s="52">
        <f t="shared" si="665"/>
        <v>14.285714285714285</v>
      </c>
      <c r="K402" s="53">
        <f>COUNTIFS('00 Encuesta'!$B$2:$B$511,"*b)*",'00 Encuesta'!$C$2:$C$511,"*a)*",'00 Encuesta'!$E$2:$E$511,"*b)*",'00 Encuesta'!$AX$2:$AX$511,"*f)*")</f>
        <v>0</v>
      </c>
      <c r="L402" s="52">
        <f t="shared" si="666"/>
        <v>0</v>
      </c>
      <c r="M402" s="23"/>
      <c r="N402" s="51">
        <f t="shared" si="667"/>
        <v>3</v>
      </c>
      <c r="O402" s="52">
        <f t="shared" si="668"/>
        <v>9.375</v>
      </c>
      <c r="P402" s="53">
        <f>COUNTIFS('00 Encuesta'!$B$2:$B$511,"*b)*",'00 Encuesta'!$C$2:$C$511,"*b)*",'00 Encuesta'!$E$2:$E$511,"*a)*",'00 Encuesta'!$AX$2:$AX$511,"*f)*")</f>
        <v>0</v>
      </c>
      <c r="Q402" s="52">
        <f t="shared" si="669"/>
        <v>0</v>
      </c>
      <c r="R402" s="53">
        <f>COUNTIFS('00 Encuesta'!$B$2:$B$511,"*b)*",'00 Encuesta'!$C$2:$C$511,"*b)*",'00 Encuesta'!$E$2:$E$511,"*b)*",'00 Encuesta'!$AX$2:$AX$511,"*f)*")</f>
        <v>3</v>
      </c>
      <c r="S402" s="52">
        <f t="shared" si="670"/>
        <v>20</v>
      </c>
      <c r="T402" s="3"/>
      <c r="U402" s="51">
        <f t="shared" si="671"/>
        <v>3</v>
      </c>
      <c r="V402" s="52">
        <f t="shared" si="672"/>
        <v>7.6923076923076925</v>
      </c>
      <c r="W402" s="53">
        <f>COUNTIFS('00 Encuesta'!$B$2:$B$511,"*b)*",'00 Encuesta'!$C$2:$C$511,"*c)*",'00 Encuesta'!$E$2:$E$511,"*a)*",'00 Encuesta'!$AX$2:$AX$511,"*f)*")</f>
        <v>0</v>
      </c>
      <c r="X402" s="52">
        <f t="shared" si="673"/>
        <v>0</v>
      </c>
      <c r="Y402" s="53">
        <f>COUNTIFS('00 Encuesta'!$B$2:$B$511,"*b)*",'00 Encuesta'!$C$2:$C$511,"*c)*",'00 Encuesta'!$E$2:$E$511,"*b)*",'00 Encuesta'!$AX$2:$AX$511,"*f)*")</f>
        <v>3</v>
      </c>
      <c r="Z402" s="52">
        <f t="shared" si="674"/>
        <v>16.666666666666664</v>
      </c>
      <c r="AA402" s="3"/>
      <c r="AB402" s="62">
        <f t="shared" si="675"/>
        <v>9</v>
      </c>
      <c r="AC402" s="52">
        <f t="shared" si="676"/>
        <v>8.2568807339449535</v>
      </c>
      <c r="AD402" s="3"/>
      <c r="AE402" s="3"/>
      <c r="AF402" s="9" t="str">
        <f t="shared" si="677"/>
        <v>f) Que tenga honradez en la vida</v>
      </c>
      <c r="AG402" s="72">
        <f t="shared" si="678"/>
        <v>14.285714285714285</v>
      </c>
      <c r="AH402" s="72">
        <f t="shared" si="679"/>
        <v>0</v>
      </c>
      <c r="AI402" s="73">
        <f t="shared" si="680"/>
        <v>7.8947368421052628</v>
      </c>
      <c r="AJ402" s="73"/>
      <c r="AK402" s="76">
        <f t="shared" si="681"/>
        <v>0</v>
      </c>
      <c r="AL402" s="76">
        <f t="shared" si="682"/>
        <v>20</v>
      </c>
      <c r="AM402" s="76">
        <f t="shared" si="683"/>
        <v>9.375</v>
      </c>
      <c r="AN402" s="76"/>
      <c r="AO402" s="81">
        <f t="shared" si="684"/>
        <v>0</v>
      </c>
      <c r="AP402" s="81">
        <f t="shared" si="685"/>
        <v>16.666666666666664</v>
      </c>
      <c r="AQ402" s="81">
        <f t="shared" si="686"/>
        <v>7.6923076923076925</v>
      </c>
      <c r="AR402" s="3"/>
      <c r="AS402" s="76">
        <f t="shared" si="542"/>
        <v>8.2568807339449535</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0</v>
      </c>
      <c r="H403" s="52">
        <f t="shared" si="664"/>
        <v>0</v>
      </c>
      <c r="I403" s="53">
        <f>COUNTIFS('00 Encuesta'!$B$2:$B$511,"*b)*",'00 Encuesta'!$C$2:$C$511,"*a)*",'00 Encuesta'!$E$2:$E$511,"*a)*",'00 Encuesta'!$AX$2:$AX$511,"*g)*")</f>
        <v>0</v>
      </c>
      <c r="J403" s="52">
        <f t="shared" si="665"/>
        <v>0</v>
      </c>
      <c r="K403" s="53">
        <f>COUNTIFS('00 Encuesta'!$B$2:$B$511,"*b)*",'00 Encuesta'!$C$2:$C$511,"*a)*",'00 Encuesta'!$E$2:$E$511,"*b)*",'00 Encuesta'!$AX$2:$AX$511,"*g)*")</f>
        <v>0</v>
      </c>
      <c r="L403" s="52">
        <f t="shared" si="666"/>
        <v>0</v>
      </c>
      <c r="M403" s="23"/>
      <c r="N403" s="51">
        <f t="shared" si="667"/>
        <v>2</v>
      </c>
      <c r="O403" s="52">
        <f t="shared" si="668"/>
        <v>6.25</v>
      </c>
      <c r="P403" s="53">
        <f>COUNTIFS('00 Encuesta'!$B$2:$B$511,"*b)*",'00 Encuesta'!$C$2:$C$511,"*b)*",'00 Encuesta'!$E$2:$E$511,"*a)*",'00 Encuesta'!$AX$2:$AX$511,"*g)*")</f>
        <v>1</v>
      </c>
      <c r="Q403" s="52">
        <f t="shared" si="669"/>
        <v>5.8823529411764701</v>
      </c>
      <c r="R403" s="53">
        <f>COUNTIFS('00 Encuesta'!$B$2:$B$511,"*b)*",'00 Encuesta'!$C$2:$C$511,"*b)*",'00 Encuesta'!$E$2:$E$511,"*b)*",'00 Encuesta'!$AX$2:$AX$511,"*g)*")</f>
        <v>1</v>
      </c>
      <c r="S403" s="52">
        <f t="shared" si="670"/>
        <v>6.666666666666667</v>
      </c>
      <c r="T403" s="3"/>
      <c r="U403" s="51">
        <f t="shared" si="671"/>
        <v>3</v>
      </c>
      <c r="V403" s="52">
        <f t="shared" si="672"/>
        <v>7.6923076923076925</v>
      </c>
      <c r="W403" s="53">
        <f>COUNTIFS('00 Encuesta'!$B$2:$B$511,"*b)*",'00 Encuesta'!$C$2:$C$511,"*c)*",'00 Encuesta'!$E$2:$E$511,"*a)*",'00 Encuesta'!$AX$2:$AX$511,"*g)*")</f>
        <v>1</v>
      </c>
      <c r="X403" s="52">
        <f t="shared" si="673"/>
        <v>4.7619047619047619</v>
      </c>
      <c r="Y403" s="53">
        <f>COUNTIFS('00 Encuesta'!$B$2:$B$511,"*b)*",'00 Encuesta'!$C$2:$C$511,"*c)*",'00 Encuesta'!$E$2:$E$511,"*b)*",'00 Encuesta'!$AX$2:$AX$511,"*g)*")</f>
        <v>2</v>
      </c>
      <c r="Z403" s="52">
        <f t="shared" si="674"/>
        <v>11.111111111111111</v>
      </c>
      <c r="AA403" s="3"/>
      <c r="AB403" s="62">
        <f t="shared" si="675"/>
        <v>5</v>
      </c>
      <c r="AC403" s="52">
        <f t="shared" si="676"/>
        <v>4.5871559633027523</v>
      </c>
      <c r="AD403" s="3"/>
      <c r="AE403" s="3"/>
      <c r="AF403" s="9" t="str">
        <f t="shared" si="677"/>
        <v>g) No tienen una preocupaciòn especial</v>
      </c>
      <c r="AG403" s="72">
        <f t="shared" si="678"/>
        <v>0</v>
      </c>
      <c r="AH403" s="72">
        <f t="shared" si="679"/>
        <v>0</v>
      </c>
      <c r="AI403" s="73">
        <f t="shared" si="680"/>
        <v>0</v>
      </c>
      <c r="AJ403" s="73"/>
      <c r="AK403" s="76">
        <f t="shared" si="681"/>
        <v>5.8823529411764701</v>
      </c>
      <c r="AL403" s="76">
        <f t="shared" si="682"/>
        <v>6.666666666666667</v>
      </c>
      <c r="AM403" s="76">
        <f t="shared" si="683"/>
        <v>6.25</v>
      </c>
      <c r="AN403" s="76"/>
      <c r="AO403" s="81">
        <f t="shared" si="684"/>
        <v>4.7619047619047619</v>
      </c>
      <c r="AP403" s="81">
        <f t="shared" si="685"/>
        <v>11.111111111111111</v>
      </c>
      <c r="AQ403" s="81">
        <f t="shared" si="686"/>
        <v>7.6923076923076925</v>
      </c>
      <c r="AR403" s="3"/>
      <c r="AS403" s="76">
        <f t="shared" si="542"/>
        <v>4.5871559633027523</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1</v>
      </c>
      <c r="H404" s="52">
        <f t="shared" si="664"/>
        <v>2.6315789473684208</v>
      </c>
      <c r="I404" s="53">
        <f>COUNTIFS('00 Encuesta'!$B$2:$B$511,"*b)*",'00 Encuesta'!$C$2:$C$511,"*a)*",'00 Encuesta'!$E$2:$E$511,"*a)*",'00 Encuesta'!$AX$2:$AX$511,"*h)*")</f>
        <v>1</v>
      </c>
      <c r="J404" s="52">
        <f t="shared" si="665"/>
        <v>4.7619047619047619</v>
      </c>
      <c r="K404" s="53">
        <f>COUNTIFS('00 Encuesta'!$B$2:$B$511,"*b)*",'00 Encuesta'!$C$2:$C$511,"*a)*",'00 Encuesta'!$E$2:$E$511,"*b)*",'00 Encuesta'!$AX$2:$AX$511,"*h)*")</f>
        <v>0</v>
      </c>
      <c r="L404" s="52">
        <f t="shared" si="666"/>
        <v>0</v>
      </c>
      <c r="M404" s="23"/>
      <c r="N404" s="51">
        <f t="shared" si="667"/>
        <v>1</v>
      </c>
      <c r="O404" s="52">
        <f t="shared" si="668"/>
        <v>3.125</v>
      </c>
      <c r="P404" s="53">
        <f>COUNTIFS('00 Encuesta'!$B$2:$B$511,"*b)*",'00 Encuesta'!$C$2:$C$511,"*b)*",'00 Encuesta'!$E$2:$E$511,"*a)*",'00 Encuesta'!$AX$2:$AX$511,"*h)*")</f>
        <v>1</v>
      </c>
      <c r="Q404" s="52">
        <f t="shared" si="669"/>
        <v>5.8823529411764701</v>
      </c>
      <c r="R404" s="53">
        <f>COUNTIFS('00 Encuesta'!$B$2:$B$511,"*b)*",'00 Encuesta'!$C$2:$C$511,"*b)*",'00 Encuesta'!$E$2:$E$511,"*b)*",'00 Encuesta'!$AX$2:$AX$511,"*h)*")</f>
        <v>0</v>
      </c>
      <c r="S404" s="52">
        <f t="shared" si="670"/>
        <v>0</v>
      </c>
      <c r="T404" s="3"/>
      <c r="U404" s="51">
        <f t="shared" si="671"/>
        <v>6</v>
      </c>
      <c r="V404" s="52">
        <f t="shared" si="672"/>
        <v>15.384615384615385</v>
      </c>
      <c r="W404" s="53">
        <f>COUNTIFS('00 Encuesta'!$B$2:$B$511,"*b)*",'00 Encuesta'!$C$2:$C$511,"*c)*",'00 Encuesta'!$E$2:$E$511,"*a)*",'00 Encuesta'!$AX$2:$AX$511,"*h)*")</f>
        <v>3</v>
      </c>
      <c r="X404" s="52">
        <f t="shared" si="673"/>
        <v>14.285714285714285</v>
      </c>
      <c r="Y404" s="53">
        <f>COUNTIFS('00 Encuesta'!$B$2:$B$511,"*b)*",'00 Encuesta'!$C$2:$C$511,"*c)*",'00 Encuesta'!$E$2:$E$511,"*b)*",'00 Encuesta'!$AX$2:$AX$511,"*h)*")</f>
        <v>3</v>
      </c>
      <c r="Z404" s="52">
        <f t="shared" si="674"/>
        <v>16.666666666666664</v>
      </c>
      <c r="AA404" s="3"/>
      <c r="AB404" s="62">
        <f t="shared" si="675"/>
        <v>8</v>
      </c>
      <c r="AC404" s="52">
        <f t="shared" si="676"/>
        <v>7.3394495412844041</v>
      </c>
      <c r="AD404" s="3"/>
      <c r="AE404" s="3"/>
      <c r="AF404" s="9" t="str">
        <f t="shared" si="677"/>
        <v>h) No sè</v>
      </c>
      <c r="AG404" s="72">
        <f t="shared" si="678"/>
        <v>4.7619047619047619</v>
      </c>
      <c r="AH404" s="72">
        <f t="shared" si="679"/>
        <v>0</v>
      </c>
      <c r="AI404" s="73">
        <f t="shared" si="680"/>
        <v>2.6315789473684208</v>
      </c>
      <c r="AJ404" s="73"/>
      <c r="AK404" s="76">
        <f t="shared" si="681"/>
        <v>5.8823529411764701</v>
      </c>
      <c r="AL404" s="76">
        <f t="shared" si="682"/>
        <v>0</v>
      </c>
      <c r="AM404" s="76">
        <f t="shared" si="683"/>
        <v>3.125</v>
      </c>
      <c r="AN404" s="76"/>
      <c r="AO404" s="81">
        <f t="shared" si="684"/>
        <v>14.285714285714285</v>
      </c>
      <c r="AP404" s="81">
        <f t="shared" si="685"/>
        <v>16.666666666666664</v>
      </c>
      <c r="AQ404" s="81">
        <f t="shared" si="686"/>
        <v>15.384615384615385</v>
      </c>
      <c r="AR404" s="3"/>
      <c r="AS404" s="76">
        <f t="shared" si="542"/>
        <v>7.3394495412844041</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ht="15.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ht="15.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ht="15.75" x14ac:dyDescent="0.3">
      <c r="A407" s="1" t="s">
        <v>17</v>
      </c>
      <c r="B407" s="2" t="s">
        <v>258</v>
      </c>
      <c r="C407" s="3"/>
      <c r="D407" s="3"/>
      <c r="E407" s="3"/>
      <c r="F407" s="4"/>
      <c r="G407" s="51">
        <f>I407+K407</f>
        <v>3</v>
      </c>
      <c r="H407" s="52">
        <f>G407/$J$5*100</f>
        <v>7.8947368421052628</v>
      </c>
      <c r="I407" s="53">
        <f>COUNTIFS('00 Encuesta'!$B$2:$B$511,"*b)*",'00 Encuesta'!$C$2:$C$511,"*a)*",'00 Encuesta'!$E$2:$E$511,"*a)*",'00 Encuesta'!$AY$2:$AY$511,"*a)*")</f>
        <v>1</v>
      </c>
      <c r="J407" s="52">
        <f>I407/$J$6*100</f>
        <v>4.7619047619047619</v>
      </c>
      <c r="K407" s="53">
        <f>COUNTIFS('00 Encuesta'!$B$2:$B$511,"*b)*",'00 Encuesta'!$C$2:$C$511,"*a)*",'00 Encuesta'!$E$2:$E$511,"*b)*",'00 Encuesta'!$AY$2:$AY$511,"*a)*")</f>
        <v>2</v>
      </c>
      <c r="L407" s="52">
        <f>K407/$J$7*100</f>
        <v>11.76470588235294</v>
      </c>
      <c r="M407" s="23"/>
      <c r="N407" s="51">
        <f>P407+R407</f>
        <v>0</v>
      </c>
      <c r="O407" s="52">
        <f>N407/$Q$5*100</f>
        <v>0</v>
      </c>
      <c r="P407" s="53">
        <f>COUNTIFS('00 Encuesta'!$B$2:$B$511,"*b)*",'00 Encuesta'!$C$2:$C$511,"*b)*",'00 Encuesta'!$E$2:$E$511,"*a)*",'00 Encuesta'!$AY$2:$AY$511,"*a)*")</f>
        <v>0</v>
      </c>
      <c r="Q407" s="52">
        <f>P407/$Q$6*100</f>
        <v>0</v>
      </c>
      <c r="R407" s="53">
        <f>COUNTIFS('00 Encuesta'!$B$2:$B$511,"*b)*",'00 Encuesta'!$C$2:$C$511,"*b)*",'00 Encuesta'!$E$2:$E$511,"*b)*",'00 Encuesta'!$AY$2:$AY$511,"*a)*")</f>
        <v>0</v>
      </c>
      <c r="S407" s="52">
        <f>R407/$Q$7*100</f>
        <v>0</v>
      </c>
      <c r="T407" s="3"/>
      <c r="U407" s="51">
        <f>W407+Y407</f>
        <v>2</v>
      </c>
      <c r="V407" s="52">
        <f>U407/$X$5*100</f>
        <v>5.1282051282051277</v>
      </c>
      <c r="W407" s="53">
        <f>COUNTIFS('00 Encuesta'!$B$2:$B$511,"*b)*",'00 Encuesta'!$C$2:$C$511,"*c)*",'00 Encuesta'!$E$2:$E$511,"*a)*",'00 Encuesta'!$AY$2:$AY$511,"*a)*")</f>
        <v>2</v>
      </c>
      <c r="X407" s="52">
        <f>W407/$X$6*100</f>
        <v>9.5238095238095237</v>
      </c>
      <c r="Y407" s="53">
        <f>COUNTIFS('00 Encuesta'!$B$2:$B$511,"*b)*",'00 Encuesta'!$C$2:$C$511,"*c)*",'00 Encuesta'!$E$2:$E$511,"*b)*",'00 Encuesta'!$AY$2:$AY$511,"*a)*")</f>
        <v>0</v>
      </c>
      <c r="Z407" s="52">
        <f>Y407/$X$7*100</f>
        <v>0</v>
      </c>
      <c r="AA407" s="3"/>
      <c r="AB407" s="62">
        <f>G407+N407+U407</f>
        <v>5</v>
      </c>
      <c r="AC407" s="52">
        <f>AB407*100/$AC$5</f>
        <v>4.5871559633027523</v>
      </c>
      <c r="AD407" s="3"/>
      <c r="AE407" s="3"/>
      <c r="AF407" s="9" t="str">
        <f t="shared" ref="AF407:AF411" si="687">A407&amp;" "&amp;B407</f>
        <v>a) Innecesaria</v>
      </c>
      <c r="AG407" s="72">
        <f>J407</f>
        <v>4.7619047619047619</v>
      </c>
      <c r="AH407" s="72">
        <f>L407</f>
        <v>11.76470588235294</v>
      </c>
      <c r="AI407" s="73">
        <f>H407</f>
        <v>7.8947368421052628</v>
      </c>
      <c r="AJ407" s="73"/>
      <c r="AK407" s="76">
        <f>Q407</f>
        <v>0</v>
      </c>
      <c r="AL407" s="76">
        <f>S407</f>
        <v>0</v>
      </c>
      <c r="AM407" s="76">
        <f>O407</f>
        <v>0</v>
      </c>
      <c r="AN407" s="76"/>
      <c r="AO407" s="81">
        <f>X407</f>
        <v>9.5238095238095237</v>
      </c>
      <c r="AP407" s="81">
        <f>Z407</f>
        <v>0</v>
      </c>
      <c r="AQ407" s="81">
        <f>V407</f>
        <v>5.1282051282051277</v>
      </c>
      <c r="AR407" s="3"/>
      <c r="AS407" s="76">
        <f t="shared" si="542"/>
        <v>4.5871559633027523</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ht="15.75" x14ac:dyDescent="0.3">
      <c r="A408" s="1" t="s">
        <v>18</v>
      </c>
      <c r="B408" s="2" t="s">
        <v>259</v>
      </c>
      <c r="C408" s="3"/>
      <c r="D408" s="3"/>
      <c r="E408" s="3"/>
      <c r="F408" s="4"/>
      <c r="G408" s="51">
        <f>I408+K408</f>
        <v>0</v>
      </c>
      <c r="H408" s="52">
        <f>G408/$J$5*100</f>
        <v>0</v>
      </c>
      <c r="I408" s="53">
        <f>COUNTIFS('00 Encuesta'!$B$2:$B$511,"*b)*",'00 Encuesta'!$C$2:$C$511,"*a)*",'00 Encuesta'!$E$2:$E$511,"*a)*",'00 Encuesta'!$AY$2:$AY$511,"*b)*")</f>
        <v>0</v>
      </c>
      <c r="J408" s="52">
        <f>I408/$J$6*100</f>
        <v>0</v>
      </c>
      <c r="K408" s="53">
        <f>COUNTIFS('00 Encuesta'!$B$2:$B$511,"*b)*",'00 Encuesta'!$C$2:$C$511,"*a)*",'00 Encuesta'!$E$2:$E$511,"*b)*",'00 Encuesta'!$AY$2:$AY$511,"*b)*")</f>
        <v>0</v>
      </c>
      <c r="L408" s="52">
        <f>K408/$J$7*100</f>
        <v>0</v>
      </c>
      <c r="M408" s="23"/>
      <c r="N408" s="51">
        <f>P408+R408</f>
        <v>0</v>
      </c>
      <c r="O408" s="52">
        <f>N408/$Q$5*100</f>
        <v>0</v>
      </c>
      <c r="P408" s="53">
        <f>COUNTIFS('00 Encuesta'!$B$2:$B$511,"*b)*",'00 Encuesta'!$C$2:$C$511,"*b)*",'00 Encuesta'!$E$2:$E$511,"*a)*",'00 Encuesta'!$AY$2:$AY$511,"*b)*")</f>
        <v>0</v>
      </c>
      <c r="Q408" s="52">
        <f>P408/$Q$6*100</f>
        <v>0</v>
      </c>
      <c r="R408" s="53">
        <f>COUNTIFS('00 Encuesta'!$B$2:$B$511,"*b)*",'00 Encuesta'!$C$2:$C$511,"*b)*",'00 Encuesta'!$E$2:$E$511,"*b)*",'00 Encuesta'!$AY$2:$AY$511,"*b)*")</f>
        <v>0</v>
      </c>
      <c r="S408" s="52">
        <f>R408/$Q$7*100</f>
        <v>0</v>
      </c>
      <c r="T408" s="3"/>
      <c r="U408" s="51">
        <f>W408+Y408</f>
        <v>7</v>
      </c>
      <c r="V408" s="52">
        <f>U408/$X$5*100</f>
        <v>17.948717948717949</v>
      </c>
      <c r="W408" s="53">
        <f>COUNTIFS('00 Encuesta'!$B$2:$B$511,"*b)*",'00 Encuesta'!$C$2:$C$511,"*c)*",'00 Encuesta'!$E$2:$E$511,"*a)*",'00 Encuesta'!$AY$2:$AY$511,"*b)*")</f>
        <v>4</v>
      </c>
      <c r="X408" s="52">
        <f>W408/$X$6*100</f>
        <v>19.047619047619047</v>
      </c>
      <c r="Y408" s="53">
        <f>COUNTIFS('00 Encuesta'!$B$2:$B$511,"*b)*",'00 Encuesta'!$C$2:$C$511,"*c)*",'00 Encuesta'!$E$2:$E$511,"*b)*",'00 Encuesta'!$AY$2:$AY$511,"*b)*")</f>
        <v>3</v>
      </c>
      <c r="Z408" s="52">
        <f>Y408/$X$7*100</f>
        <v>16.666666666666664</v>
      </c>
      <c r="AA408" s="3"/>
      <c r="AB408" s="62">
        <f>G408+N408+U408</f>
        <v>7</v>
      </c>
      <c r="AC408" s="52">
        <f>AB408*100/$AC$5</f>
        <v>6.4220183486238529</v>
      </c>
      <c r="AD408" s="3"/>
      <c r="AE408" s="3"/>
      <c r="AF408" s="9" t="str">
        <f t="shared" si="687"/>
        <v>b) Indiferente</v>
      </c>
      <c r="AG408" s="72">
        <f>J408</f>
        <v>0</v>
      </c>
      <c r="AH408" s="72">
        <f>L408</f>
        <v>0</v>
      </c>
      <c r="AI408" s="73">
        <f>H408</f>
        <v>0</v>
      </c>
      <c r="AJ408" s="73"/>
      <c r="AK408" s="76">
        <f>Q408</f>
        <v>0</v>
      </c>
      <c r="AL408" s="76">
        <f>S408</f>
        <v>0</v>
      </c>
      <c r="AM408" s="76">
        <f>O408</f>
        <v>0</v>
      </c>
      <c r="AN408" s="76"/>
      <c r="AO408" s="81">
        <f>X408</f>
        <v>19.047619047619047</v>
      </c>
      <c r="AP408" s="81">
        <f>Z408</f>
        <v>16.666666666666664</v>
      </c>
      <c r="AQ408" s="81">
        <f>V408</f>
        <v>17.948717948717949</v>
      </c>
      <c r="AR408" s="3"/>
      <c r="AS408" s="76">
        <f t="shared" si="542"/>
        <v>6.4220183486238529</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ht="15.75" x14ac:dyDescent="0.3">
      <c r="A409" s="1" t="s">
        <v>20</v>
      </c>
      <c r="B409" s="2" t="s">
        <v>260</v>
      </c>
      <c r="C409" s="3"/>
      <c r="D409" s="3"/>
      <c r="E409" s="3"/>
      <c r="F409" s="4"/>
      <c r="G409" s="51">
        <f>I409+K409</f>
        <v>8</v>
      </c>
      <c r="H409" s="52">
        <f>G409/$J$5*100</f>
        <v>21.052631578947366</v>
      </c>
      <c r="I409" s="53">
        <f>COUNTIFS('00 Encuesta'!$B$2:$B$511,"*b)*",'00 Encuesta'!$C$2:$C$511,"*a)*",'00 Encuesta'!$E$2:$E$511,"*a)*",'00 Encuesta'!$AY$2:$AY$511,"*c)*")</f>
        <v>7</v>
      </c>
      <c r="J409" s="52">
        <f>I409/$J$6*100</f>
        <v>33.333333333333329</v>
      </c>
      <c r="K409" s="53">
        <f>COUNTIFS('00 Encuesta'!$B$2:$B$511,"*b)*",'00 Encuesta'!$C$2:$C$511,"*a)*",'00 Encuesta'!$E$2:$E$511,"*b)*",'00 Encuesta'!$AY$2:$AY$511,"*c)*")</f>
        <v>1</v>
      </c>
      <c r="L409" s="52">
        <f>K409/$J$7*100</f>
        <v>5.8823529411764701</v>
      </c>
      <c r="M409" s="23"/>
      <c r="N409" s="51">
        <f>P409+R409</f>
        <v>5</v>
      </c>
      <c r="O409" s="52">
        <f>N409/$Q$5*100</f>
        <v>15.625</v>
      </c>
      <c r="P409" s="53">
        <f>COUNTIFS('00 Encuesta'!$B$2:$B$511,"*b)*",'00 Encuesta'!$C$2:$C$511,"*b)*",'00 Encuesta'!$E$2:$E$511,"*a)*",'00 Encuesta'!$AY$2:$AY$511,"*c)*")</f>
        <v>2</v>
      </c>
      <c r="Q409" s="52">
        <f>P409/$Q$6*100</f>
        <v>11.76470588235294</v>
      </c>
      <c r="R409" s="53">
        <f>COUNTIFS('00 Encuesta'!$B$2:$B$511,"*b)*",'00 Encuesta'!$C$2:$C$511,"*b)*",'00 Encuesta'!$E$2:$E$511,"*b)*",'00 Encuesta'!$AY$2:$AY$511,"*c)*")</f>
        <v>3</v>
      </c>
      <c r="S409" s="52">
        <f>R409/$Q$7*100</f>
        <v>20</v>
      </c>
      <c r="T409" s="3"/>
      <c r="U409" s="51">
        <f>W409+Y409</f>
        <v>6</v>
      </c>
      <c r="V409" s="52">
        <f>U409/$X$5*100</f>
        <v>15.384615384615385</v>
      </c>
      <c r="W409" s="53">
        <f>COUNTIFS('00 Encuesta'!$B$2:$B$511,"*b)*",'00 Encuesta'!$C$2:$C$511,"*c)*",'00 Encuesta'!$E$2:$E$511,"*a)*",'00 Encuesta'!$AY$2:$AY$511,"*c)*")</f>
        <v>3</v>
      </c>
      <c r="X409" s="52">
        <f>W409/$X$6*100</f>
        <v>14.285714285714285</v>
      </c>
      <c r="Y409" s="53">
        <f>COUNTIFS('00 Encuesta'!$B$2:$B$511,"*b)*",'00 Encuesta'!$C$2:$C$511,"*c)*",'00 Encuesta'!$E$2:$E$511,"*b)*",'00 Encuesta'!$AY$2:$AY$511,"*c)*")</f>
        <v>3</v>
      </c>
      <c r="Z409" s="52">
        <f>Y409/$X$7*100</f>
        <v>16.666666666666664</v>
      </c>
      <c r="AA409" s="3"/>
      <c r="AB409" s="62">
        <f>G409+N409+U409</f>
        <v>19</v>
      </c>
      <c r="AC409" s="52">
        <f>AB409*100/$AC$5</f>
        <v>17.431192660550458</v>
      </c>
      <c r="AD409" s="3"/>
      <c r="AE409" s="3"/>
      <c r="AF409" s="9" t="str">
        <f t="shared" si="687"/>
        <v>c) Conveniente</v>
      </c>
      <c r="AG409" s="72">
        <f>J409</f>
        <v>33.333333333333329</v>
      </c>
      <c r="AH409" s="72">
        <f>L409</f>
        <v>5.8823529411764701</v>
      </c>
      <c r="AI409" s="73">
        <f>H409</f>
        <v>21.052631578947366</v>
      </c>
      <c r="AJ409" s="73"/>
      <c r="AK409" s="76">
        <f>Q409</f>
        <v>11.76470588235294</v>
      </c>
      <c r="AL409" s="76">
        <f>S409</f>
        <v>20</v>
      </c>
      <c r="AM409" s="76">
        <f>O409</f>
        <v>15.625</v>
      </c>
      <c r="AN409" s="76"/>
      <c r="AO409" s="81">
        <f>X409</f>
        <v>14.285714285714285</v>
      </c>
      <c r="AP409" s="81">
        <f>Z409</f>
        <v>16.666666666666664</v>
      </c>
      <c r="AQ409" s="81">
        <f>V409</f>
        <v>15.384615384615385</v>
      </c>
      <c r="AR409" s="3"/>
      <c r="AS409" s="76">
        <f t="shared" ref="AS409:AS452" si="688">AC409</f>
        <v>17.431192660550458</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ht="15.75" x14ac:dyDescent="0.3">
      <c r="A410" s="1" t="s">
        <v>21</v>
      </c>
      <c r="B410" s="2" t="s">
        <v>261</v>
      </c>
      <c r="C410" s="3"/>
      <c r="D410" s="3"/>
      <c r="E410" s="3"/>
      <c r="F410" s="4"/>
      <c r="G410" s="51">
        <f>I410+K410</f>
        <v>10</v>
      </c>
      <c r="H410" s="52">
        <f>G410/$J$5*100</f>
        <v>26.315789473684209</v>
      </c>
      <c r="I410" s="53">
        <f>COUNTIFS('00 Encuesta'!$B$2:$B$511,"*b)*",'00 Encuesta'!$C$2:$C$511,"*a)*",'00 Encuesta'!$E$2:$E$511,"*a)*",'00 Encuesta'!$AY$2:$AY$511,"*d)*")</f>
        <v>4</v>
      </c>
      <c r="J410" s="52">
        <f>I410/$J$6*100</f>
        <v>19.047619047619047</v>
      </c>
      <c r="K410" s="53">
        <f>COUNTIFS('00 Encuesta'!$B$2:$B$511,"*b)*",'00 Encuesta'!$C$2:$C$511,"*a)*",'00 Encuesta'!$E$2:$E$511,"*b)*",'00 Encuesta'!$AY$2:$AY$511,"*d)*")</f>
        <v>6</v>
      </c>
      <c r="L410" s="52">
        <f>K410/$J$7*100</f>
        <v>35.294117647058826</v>
      </c>
      <c r="M410" s="23"/>
      <c r="N410" s="51">
        <f>P410+R410</f>
        <v>8</v>
      </c>
      <c r="O410" s="52">
        <f>N410/$Q$5*100</f>
        <v>25</v>
      </c>
      <c r="P410" s="53">
        <f>COUNTIFS('00 Encuesta'!$B$2:$B$511,"*b)*",'00 Encuesta'!$C$2:$C$511,"*b)*",'00 Encuesta'!$E$2:$E$511,"*a)*",'00 Encuesta'!$AY$2:$AY$511,"*d)*")</f>
        <v>3</v>
      </c>
      <c r="Q410" s="52">
        <f>P410/$Q$6*100</f>
        <v>17.647058823529413</v>
      </c>
      <c r="R410" s="53">
        <f>COUNTIFS('00 Encuesta'!$B$2:$B$511,"*b)*",'00 Encuesta'!$C$2:$C$511,"*b)*",'00 Encuesta'!$E$2:$E$511,"*b)*",'00 Encuesta'!$AY$2:$AY$511,"*d)*")</f>
        <v>5</v>
      </c>
      <c r="S410" s="52">
        <f>R410/$Q$7*100</f>
        <v>33.333333333333329</v>
      </c>
      <c r="T410" s="3"/>
      <c r="U410" s="51">
        <f>W410+Y410</f>
        <v>11</v>
      </c>
      <c r="V410" s="52">
        <f>U410/$X$5*100</f>
        <v>28.205128205128204</v>
      </c>
      <c r="W410" s="53">
        <f>COUNTIFS('00 Encuesta'!$B$2:$B$511,"*b)*",'00 Encuesta'!$C$2:$C$511,"*c)*",'00 Encuesta'!$E$2:$E$511,"*a)*",'00 Encuesta'!$AY$2:$AY$511,"*d)*")</f>
        <v>6</v>
      </c>
      <c r="X410" s="52">
        <f>W410/$X$6*100</f>
        <v>28.571428571428569</v>
      </c>
      <c r="Y410" s="53">
        <f>COUNTIFS('00 Encuesta'!$B$2:$B$511,"*b)*",'00 Encuesta'!$C$2:$C$511,"*c)*",'00 Encuesta'!$E$2:$E$511,"*b)*",'00 Encuesta'!$AY$2:$AY$511,"*d)*")</f>
        <v>5</v>
      </c>
      <c r="Z410" s="52">
        <f>Y410/$X$7*100</f>
        <v>27.777777777777779</v>
      </c>
      <c r="AA410" s="3"/>
      <c r="AB410" s="62">
        <f>G410+N410+U410</f>
        <v>29</v>
      </c>
      <c r="AC410" s="52">
        <f>AB410*100/$AC$5</f>
        <v>26.605504587155963</v>
      </c>
      <c r="AD410" s="3"/>
      <c r="AE410" s="3"/>
      <c r="AF410" s="9" t="str">
        <f t="shared" si="687"/>
        <v>d) Bastante necesaria</v>
      </c>
      <c r="AG410" s="72">
        <f>J410</f>
        <v>19.047619047619047</v>
      </c>
      <c r="AH410" s="72">
        <f>L410</f>
        <v>35.294117647058826</v>
      </c>
      <c r="AI410" s="73">
        <f>H410</f>
        <v>26.315789473684209</v>
      </c>
      <c r="AJ410" s="73"/>
      <c r="AK410" s="76">
        <f>Q410</f>
        <v>17.647058823529413</v>
      </c>
      <c r="AL410" s="76">
        <f>S410</f>
        <v>33.333333333333329</v>
      </c>
      <c r="AM410" s="76">
        <f>O410</f>
        <v>25</v>
      </c>
      <c r="AN410" s="76"/>
      <c r="AO410" s="81">
        <f>X410</f>
        <v>28.571428571428569</v>
      </c>
      <c r="AP410" s="81">
        <f>Z410</f>
        <v>27.777777777777779</v>
      </c>
      <c r="AQ410" s="81">
        <f>V410</f>
        <v>28.205128205128204</v>
      </c>
      <c r="AR410" s="3"/>
      <c r="AS410" s="76">
        <f t="shared" si="688"/>
        <v>26.605504587155963</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ht="15.75" x14ac:dyDescent="0.3">
      <c r="A411" s="1" t="s">
        <v>22</v>
      </c>
      <c r="B411" s="2" t="s">
        <v>262</v>
      </c>
      <c r="C411" s="3"/>
      <c r="D411" s="3"/>
      <c r="E411" s="3"/>
      <c r="F411" s="4"/>
      <c r="G411" s="51">
        <f>I411+K411</f>
        <v>14</v>
      </c>
      <c r="H411" s="52">
        <f>G411/$J$5*100</f>
        <v>36.84210526315789</v>
      </c>
      <c r="I411" s="53">
        <f>COUNTIFS('00 Encuesta'!$B$2:$B$511,"*b)*",'00 Encuesta'!$C$2:$C$511,"*a)*",'00 Encuesta'!$E$2:$E$511,"*a)*",'00 Encuesta'!$AY$2:$AY$511,"*e)*")</f>
        <v>8</v>
      </c>
      <c r="J411" s="52">
        <f>I411/$J$6*100</f>
        <v>38.095238095238095</v>
      </c>
      <c r="K411" s="53">
        <f>COUNTIFS('00 Encuesta'!$B$2:$B$511,"*b)*",'00 Encuesta'!$C$2:$C$511,"*a)*",'00 Encuesta'!$E$2:$E$511,"*b)*",'00 Encuesta'!$AY$2:$AY$511,"*e)*")</f>
        <v>6</v>
      </c>
      <c r="L411" s="52">
        <f>K411/$J$7*100</f>
        <v>35.294117647058826</v>
      </c>
      <c r="M411" s="23"/>
      <c r="N411" s="51">
        <f>P411+R411</f>
        <v>15</v>
      </c>
      <c r="O411" s="52">
        <f>N411/$Q$5*100</f>
        <v>46.875</v>
      </c>
      <c r="P411" s="53">
        <f>COUNTIFS('00 Encuesta'!$B$2:$B$511,"*b)*",'00 Encuesta'!$C$2:$C$511,"*b)*",'00 Encuesta'!$E$2:$E$511,"*a)*",'00 Encuesta'!$AY$2:$AY$511,"*e)*")</f>
        <v>8</v>
      </c>
      <c r="Q411" s="52">
        <f>P411/$Q$6*100</f>
        <v>47.058823529411761</v>
      </c>
      <c r="R411" s="53">
        <f>COUNTIFS('00 Encuesta'!$B$2:$B$511,"*b)*",'00 Encuesta'!$C$2:$C$511,"*b)*",'00 Encuesta'!$E$2:$E$511,"*b)*",'00 Encuesta'!$AY$2:$AY$511,"*e)*")</f>
        <v>7</v>
      </c>
      <c r="S411" s="52">
        <f>R411/$Q$7*100</f>
        <v>46.666666666666664</v>
      </c>
      <c r="T411" s="3"/>
      <c r="U411" s="51">
        <f>W411+Y411</f>
        <v>13</v>
      </c>
      <c r="V411" s="52">
        <f>U411/$X$5*100</f>
        <v>33.333333333333329</v>
      </c>
      <c r="W411" s="53">
        <f>COUNTIFS('00 Encuesta'!$B$2:$B$511,"*b)*",'00 Encuesta'!$C$2:$C$511,"*c)*",'00 Encuesta'!$E$2:$E$511,"*a)*",'00 Encuesta'!$AY$2:$AY$511,"*e)*")</f>
        <v>6</v>
      </c>
      <c r="X411" s="52">
        <f>W411/$X$6*100</f>
        <v>28.571428571428569</v>
      </c>
      <c r="Y411" s="53">
        <f>COUNTIFS('00 Encuesta'!$B$2:$B$511,"*b)*",'00 Encuesta'!$C$2:$C$511,"*c)*",'00 Encuesta'!$E$2:$E$511,"*b)*",'00 Encuesta'!$AY$2:$AY$511,"*e)*")</f>
        <v>7</v>
      </c>
      <c r="Z411" s="52">
        <f>Y411/$X$7*100</f>
        <v>38.888888888888893</v>
      </c>
      <c r="AA411" s="3"/>
      <c r="AB411" s="62">
        <f>G411+N411+U411</f>
        <v>42</v>
      </c>
      <c r="AC411" s="52">
        <f>AB411*100/$AC$5</f>
        <v>38.532110091743121</v>
      </c>
      <c r="AD411" s="3"/>
      <c r="AE411" s="3"/>
      <c r="AF411" s="9" t="str">
        <f t="shared" si="687"/>
        <v>e) Absolutamente necesaria</v>
      </c>
      <c r="AG411" s="72">
        <f>J411</f>
        <v>38.095238095238095</v>
      </c>
      <c r="AH411" s="72">
        <f>L411</f>
        <v>35.294117647058826</v>
      </c>
      <c r="AI411" s="73">
        <f>H411</f>
        <v>36.84210526315789</v>
      </c>
      <c r="AJ411" s="73"/>
      <c r="AK411" s="76">
        <f>Q411</f>
        <v>47.058823529411761</v>
      </c>
      <c r="AL411" s="76">
        <f>S411</f>
        <v>46.666666666666664</v>
      </c>
      <c r="AM411" s="76">
        <f>O411</f>
        <v>46.875</v>
      </c>
      <c r="AN411" s="76"/>
      <c r="AO411" s="81">
        <f>X411</f>
        <v>28.571428571428569</v>
      </c>
      <c r="AP411" s="81">
        <f>Z411</f>
        <v>38.888888888888893</v>
      </c>
      <c r="AQ411" s="81">
        <f>V411</f>
        <v>33.333333333333329</v>
      </c>
      <c r="AR411" s="3"/>
      <c r="AS411" s="76">
        <f t="shared" si="688"/>
        <v>38.532110091743121</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ht="15.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ht="15.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ht="15.75" x14ac:dyDescent="0.3">
      <c r="A414" s="84" t="s">
        <v>17</v>
      </c>
      <c r="B414" s="2" t="s">
        <v>264</v>
      </c>
      <c r="C414" s="3"/>
      <c r="D414" s="3"/>
      <c r="E414" s="3"/>
      <c r="F414" s="4"/>
      <c r="G414" s="51">
        <f>I414+K414</f>
        <v>25</v>
      </c>
      <c r="H414" s="52">
        <f>G414/$J$5*100</f>
        <v>65.789473684210535</v>
      </c>
      <c r="I414" s="53">
        <f>COUNTIFS('00 Encuesta'!$B$2:$B$511,"*b)*",'00 Encuesta'!$C$2:$C$511,"*a)*",'00 Encuesta'!$E$2:$E$511,"*a)*",'00 Encuesta'!$AZ$2:$AZ$511,"*a)*")</f>
        <v>15</v>
      </c>
      <c r="J414" s="52">
        <f>I414/$J$6*100</f>
        <v>71.428571428571431</v>
      </c>
      <c r="K414" s="53">
        <f>COUNTIFS('00 Encuesta'!$B$2:$B$511,"*b)*",'00 Encuesta'!$C$2:$C$511,"*a)*",'00 Encuesta'!$E$2:$E$511,"*b)*",'00 Encuesta'!$AZ$2:$AZ$511,"*a)*")</f>
        <v>10</v>
      </c>
      <c r="L414" s="52">
        <f>K414/$J$7*100</f>
        <v>58.82352941176471</v>
      </c>
      <c r="M414" s="23"/>
      <c r="N414" s="51">
        <f>P414+R414</f>
        <v>12</v>
      </c>
      <c r="O414" s="52">
        <f>N414/$Q$5*100</f>
        <v>37.5</v>
      </c>
      <c r="P414" s="53">
        <f>COUNTIFS('00 Encuesta'!$B$2:$B$511,"*b)*",'00 Encuesta'!$C$2:$C$511,"*b)*",'00 Encuesta'!$E$2:$E$511,"*a)*",'00 Encuesta'!$AZ$2:$AZ$511,"*a)*")</f>
        <v>6</v>
      </c>
      <c r="Q414" s="52">
        <f>P414/$Q$6*100</f>
        <v>35.294117647058826</v>
      </c>
      <c r="R414" s="53">
        <f>COUNTIFS('00 Encuesta'!$B$2:$B$511,"*b)*",'00 Encuesta'!$C$2:$C$511,"*b)*",'00 Encuesta'!$E$2:$E$511,"*b)*",'00 Encuesta'!$AZ$2:$AZ$511,"*a)*")</f>
        <v>6</v>
      </c>
      <c r="S414" s="52">
        <f>R414/$Q$7*100</f>
        <v>40</v>
      </c>
      <c r="T414" s="3"/>
      <c r="U414" s="51">
        <f>W414+Y414</f>
        <v>6</v>
      </c>
      <c r="V414" s="52">
        <f>U414/$X$5*100</f>
        <v>15.384615384615385</v>
      </c>
      <c r="W414" s="53">
        <f>COUNTIFS('00 Encuesta'!$B$2:$B$511,"*b)*",'00 Encuesta'!$C$2:$C$511,"*c)*",'00 Encuesta'!$E$2:$E$511,"*a)*",'00 Encuesta'!$AZ$2:$AZ$511,"*a)*")</f>
        <v>2</v>
      </c>
      <c r="X414" s="52">
        <f>W414/$X$6*100</f>
        <v>9.5238095238095237</v>
      </c>
      <c r="Y414" s="53">
        <f>COUNTIFS('00 Encuesta'!$B$2:$B$511,"*b)*",'00 Encuesta'!$C$2:$C$511,"*c)*",'00 Encuesta'!$E$2:$E$511,"*b)*",'00 Encuesta'!$AZ$2:$AZ$511,"*a)*")</f>
        <v>4</v>
      </c>
      <c r="Z414" s="52">
        <f>Y414/$X$7*100</f>
        <v>22.222222222222221</v>
      </c>
      <c r="AA414" s="3"/>
      <c r="AB414" s="62">
        <f>G414+N414+U414</f>
        <v>43</v>
      </c>
      <c r="AC414" s="52">
        <f>AB414*100/$AC$5</f>
        <v>39.449541284403672</v>
      </c>
      <c r="AD414" s="3"/>
      <c r="AE414" s="3"/>
      <c r="AF414" s="9" t="str">
        <f>A414&amp;" "&amp;B414</f>
        <v>a) No acostumbro a tomarlo nunca</v>
      </c>
      <c r="AG414" s="72">
        <f>J414</f>
        <v>71.428571428571431</v>
      </c>
      <c r="AH414" s="72">
        <f>L414</f>
        <v>58.82352941176471</v>
      </c>
      <c r="AI414" s="73">
        <f>H414</f>
        <v>65.789473684210535</v>
      </c>
      <c r="AJ414" s="73"/>
      <c r="AK414" s="76">
        <f>Q414</f>
        <v>35.294117647058826</v>
      </c>
      <c r="AL414" s="76">
        <f>S414</f>
        <v>40</v>
      </c>
      <c r="AM414" s="76">
        <f>O414</f>
        <v>37.5</v>
      </c>
      <c r="AN414" s="76"/>
      <c r="AO414" s="81">
        <f>X414</f>
        <v>9.5238095238095237</v>
      </c>
      <c r="AP414" s="81">
        <f>Z414</f>
        <v>22.222222222222221</v>
      </c>
      <c r="AQ414" s="81">
        <f>V414</f>
        <v>15.384615384615385</v>
      </c>
      <c r="AR414" s="3"/>
      <c r="AS414" s="76">
        <f t="shared" si="688"/>
        <v>39.449541284403672</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4</v>
      </c>
      <c r="H415" s="52">
        <f>G415/$J$5*100</f>
        <v>10.526315789473683</v>
      </c>
      <c r="I415" s="53">
        <f>COUNTIFS('00 Encuesta'!$B$2:$B$511,"*b)*",'00 Encuesta'!$C$2:$C$511,"*a)*",'00 Encuesta'!$E$2:$E$511,"*a)*",'00 Encuesta'!$AZ$2:$AZ$511,"*b)*")</f>
        <v>0</v>
      </c>
      <c r="J415" s="52">
        <f>I415/$J$6*100</f>
        <v>0</v>
      </c>
      <c r="K415" s="53">
        <f>COUNTIFS('00 Encuesta'!$B$2:$B$511,"*b)*",'00 Encuesta'!$C$2:$C$511,"*a)*",'00 Encuesta'!$E$2:$E$511,"*b)*",'00 Encuesta'!$AZ$2:$AZ$511,"*b)*")</f>
        <v>4</v>
      </c>
      <c r="L415" s="52">
        <f>K415/$J$7*100</f>
        <v>23.52941176470588</v>
      </c>
      <c r="M415" s="23"/>
      <c r="N415" s="51">
        <f>P415+R415</f>
        <v>12</v>
      </c>
      <c r="O415" s="52">
        <f>N415/$Q$5*100</f>
        <v>37.5</v>
      </c>
      <c r="P415" s="53">
        <f>COUNTIFS('00 Encuesta'!$B$2:$B$511,"*b)*",'00 Encuesta'!$C$2:$C$511,"*b)*",'00 Encuesta'!$E$2:$E$511,"*a)*",'00 Encuesta'!$AZ$2:$AZ$511,"*b)*")</f>
        <v>4</v>
      </c>
      <c r="Q415" s="52">
        <f>P415/$Q$6*100</f>
        <v>23.52941176470588</v>
      </c>
      <c r="R415" s="53">
        <f>COUNTIFS('00 Encuesta'!$B$2:$B$511,"*b)*",'00 Encuesta'!$C$2:$C$511,"*b)*",'00 Encuesta'!$E$2:$E$511,"*b)*",'00 Encuesta'!$AZ$2:$AZ$511,"*b)*")</f>
        <v>8</v>
      </c>
      <c r="S415" s="52">
        <f>R415/$Q$7*100</f>
        <v>53.333333333333336</v>
      </c>
      <c r="T415" s="3"/>
      <c r="U415" s="51">
        <f>W415+Y415</f>
        <v>22</v>
      </c>
      <c r="V415" s="52">
        <f>U415/$X$5*100</f>
        <v>56.410256410256409</v>
      </c>
      <c r="W415" s="53">
        <f>COUNTIFS('00 Encuesta'!$B$2:$B$511,"*b)*",'00 Encuesta'!$C$2:$C$511,"*c)*",'00 Encuesta'!$E$2:$E$511,"*a)*",'00 Encuesta'!$AZ$2:$AZ$511,"*b)*")</f>
        <v>11</v>
      </c>
      <c r="X415" s="52">
        <f>W415/$X$6*100</f>
        <v>52.380952380952387</v>
      </c>
      <c r="Y415" s="53">
        <f>COUNTIFS('00 Encuesta'!$B$2:$B$511,"*b)*",'00 Encuesta'!$C$2:$C$511,"*c)*",'00 Encuesta'!$E$2:$E$511,"*b)*",'00 Encuesta'!$AZ$2:$AZ$511,"*b)*")</f>
        <v>11</v>
      </c>
      <c r="Z415" s="52">
        <f>Y415/$X$7*100</f>
        <v>61.111111111111114</v>
      </c>
      <c r="AA415" s="3"/>
      <c r="AB415" s="62">
        <f>G415+N415+U415</f>
        <v>38</v>
      </c>
      <c r="AC415" s="52">
        <f>AB415*100/$AC$5</f>
        <v>34.862385321100916</v>
      </c>
      <c r="AD415" s="3"/>
      <c r="AE415" s="3"/>
      <c r="AF415" s="9" t="str">
        <f>A415&amp;" "&amp;B415</f>
        <v>b) Las veces que bebo, es con moderaciòn</v>
      </c>
      <c r="AG415" s="72">
        <f>J415</f>
        <v>0</v>
      </c>
      <c r="AH415" s="72">
        <f>L415</f>
        <v>23.52941176470588</v>
      </c>
      <c r="AI415" s="73">
        <f>H415</f>
        <v>10.526315789473683</v>
      </c>
      <c r="AJ415" s="73"/>
      <c r="AK415" s="76">
        <f>Q415</f>
        <v>23.52941176470588</v>
      </c>
      <c r="AL415" s="76">
        <f>S415</f>
        <v>53.333333333333336</v>
      </c>
      <c r="AM415" s="76">
        <f>O415</f>
        <v>37.5</v>
      </c>
      <c r="AN415" s="76"/>
      <c r="AO415" s="81">
        <f>X415</f>
        <v>52.380952380952387</v>
      </c>
      <c r="AP415" s="81">
        <f>Z415</f>
        <v>61.111111111111114</v>
      </c>
      <c r="AQ415" s="81">
        <f>V415</f>
        <v>56.410256410256409</v>
      </c>
      <c r="AR415" s="3"/>
      <c r="AS415" s="76">
        <f t="shared" si="688"/>
        <v>34.862385321100916</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5</v>
      </c>
      <c r="H416" s="52">
        <f>G416/$J$5*100</f>
        <v>13.157894736842104</v>
      </c>
      <c r="I416" s="53">
        <f>COUNTIFS('00 Encuesta'!$B$2:$B$511,"*b)*",'00 Encuesta'!$C$2:$C$511,"*a)*",'00 Encuesta'!$E$2:$E$511,"*a)*",'00 Encuesta'!$AZ$2:$AZ$511,"*c)*")</f>
        <v>4</v>
      </c>
      <c r="J416" s="52">
        <f>I416/$J$6*100</f>
        <v>19.047619047619047</v>
      </c>
      <c r="K416" s="53">
        <f>COUNTIFS('00 Encuesta'!$B$2:$B$511,"*b)*",'00 Encuesta'!$C$2:$C$511,"*a)*",'00 Encuesta'!$E$2:$E$511,"*b)*",'00 Encuesta'!$AZ$2:$AZ$511,"*c)*")</f>
        <v>1</v>
      </c>
      <c r="L416" s="52">
        <f>K416/$J$7*100</f>
        <v>5.8823529411764701</v>
      </c>
      <c r="M416" s="23"/>
      <c r="N416" s="51">
        <f>P416+R416</f>
        <v>4</v>
      </c>
      <c r="O416" s="52">
        <f>N416/$Q$5*100</f>
        <v>12.5</v>
      </c>
      <c r="P416" s="53">
        <f>COUNTIFS('00 Encuesta'!$B$2:$B$511,"*b)*",'00 Encuesta'!$C$2:$C$511,"*b)*",'00 Encuesta'!$E$2:$E$511,"*a)*",'00 Encuesta'!$AZ$2:$AZ$511,"*c)*")</f>
        <v>3</v>
      </c>
      <c r="Q416" s="52">
        <f>P416/$Q$6*100</f>
        <v>17.647058823529413</v>
      </c>
      <c r="R416" s="53">
        <f>COUNTIFS('00 Encuesta'!$B$2:$B$511,"*b)*",'00 Encuesta'!$C$2:$C$511,"*b)*",'00 Encuesta'!$E$2:$E$511,"*b)*",'00 Encuesta'!$AZ$2:$AZ$511,"*c)*")</f>
        <v>1</v>
      </c>
      <c r="S416" s="52">
        <f>R416/$Q$7*100</f>
        <v>6.666666666666667</v>
      </c>
      <c r="T416" s="3"/>
      <c r="U416" s="51">
        <f>W416+Y416</f>
        <v>5</v>
      </c>
      <c r="V416" s="52">
        <f>U416/$X$5*100</f>
        <v>12.820512820512819</v>
      </c>
      <c r="W416" s="53">
        <f>COUNTIFS('00 Encuesta'!$B$2:$B$511,"*b)*",'00 Encuesta'!$C$2:$C$511,"*c)*",'00 Encuesta'!$E$2:$E$511,"*a)*",'00 Encuesta'!$AZ$2:$AZ$511,"*c)*")</f>
        <v>3</v>
      </c>
      <c r="X416" s="52">
        <f>W416/$X$6*100</f>
        <v>14.285714285714285</v>
      </c>
      <c r="Y416" s="53">
        <f>COUNTIFS('00 Encuesta'!$B$2:$B$511,"*b)*",'00 Encuesta'!$C$2:$C$511,"*c)*",'00 Encuesta'!$E$2:$E$511,"*b)*",'00 Encuesta'!$AZ$2:$AZ$511,"*c)*")</f>
        <v>2</v>
      </c>
      <c r="Z416" s="52">
        <f>Y416/$X$7*100</f>
        <v>11.111111111111111</v>
      </c>
      <c r="AA416" s="3"/>
      <c r="AB416" s="62">
        <f>G416+N416+U416</f>
        <v>14</v>
      </c>
      <c r="AC416" s="52">
        <f>AB416*100/$AC$5</f>
        <v>12.844036697247706</v>
      </c>
      <c r="AD416" s="3"/>
      <c r="AE416" s="3"/>
      <c r="AF416" s="9" t="str">
        <f>A416&amp;" "&amp;B416</f>
        <v>c) Alguna vez he bebido màs de la cuenta</v>
      </c>
      <c r="AG416" s="72">
        <f>J416</f>
        <v>19.047619047619047</v>
      </c>
      <c r="AH416" s="72">
        <f>L416</f>
        <v>5.8823529411764701</v>
      </c>
      <c r="AI416" s="73">
        <f>H416</f>
        <v>13.157894736842104</v>
      </c>
      <c r="AJ416" s="73"/>
      <c r="AK416" s="76">
        <f>Q416</f>
        <v>17.647058823529413</v>
      </c>
      <c r="AL416" s="76">
        <f>S416</f>
        <v>6.666666666666667</v>
      </c>
      <c r="AM416" s="76">
        <f>O416</f>
        <v>12.5</v>
      </c>
      <c r="AN416" s="76"/>
      <c r="AO416" s="81">
        <f>X416</f>
        <v>14.285714285714285</v>
      </c>
      <c r="AP416" s="81">
        <f>Z416</f>
        <v>11.111111111111111</v>
      </c>
      <c r="AQ416" s="81">
        <f>V416</f>
        <v>12.820512820512819</v>
      </c>
      <c r="AR416" s="3"/>
      <c r="AS416" s="76">
        <f t="shared" si="688"/>
        <v>12.844036697247706</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2</v>
      </c>
      <c r="H417" s="52">
        <f>G417/$J$5*100</f>
        <v>5.2631578947368416</v>
      </c>
      <c r="I417" s="53">
        <f>COUNTIFS('00 Encuesta'!$B$2:$B$511,"*b)*",'00 Encuesta'!$C$2:$C$511,"*a)*",'00 Encuesta'!$E$2:$E$511,"*a)*",'00 Encuesta'!$AZ$2:$AZ$511,"*d)*")</f>
        <v>1</v>
      </c>
      <c r="J417" s="52">
        <f>I417/$J$6*100</f>
        <v>4.7619047619047619</v>
      </c>
      <c r="K417" s="53">
        <f>COUNTIFS('00 Encuesta'!$B$2:$B$511,"*b)*",'00 Encuesta'!$C$2:$C$511,"*a)*",'00 Encuesta'!$E$2:$E$511,"*b)*",'00 Encuesta'!$AZ$2:$AZ$511,"*d)*")</f>
        <v>1</v>
      </c>
      <c r="L417" s="52">
        <f>K417/$J$7*100</f>
        <v>5.8823529411764701</v>
      </c>
      <c r="M417" s="23"/>
      <c r="N417" s="51">
        <f>P417+R417</f>
        <v>0</v>
      </c>
      <c r="O417" s="52">
        <f>N417/$Q$5*100</f>
        <v>0</v>
      </c>
      <c r="P417" s="53">
        <f>COUNTIFS('00 Encuesta'!$B$2:$B$511,"*b)*",'00 Encuesta'!$C$2:$C$511,"*b)*",'00 Encuesta'!$E$2:$E$511,"*a)*",'00 Encuesta'!$AZ$2:$AZ$511,"*d)*")</f>
        <v>0</v>
      </c>
      <c r="Q417" s="52">
        <f>P417/$Q$6*100</f>
        <v>0</v>
      </c>
      <c r="R417" s="53">
        <f>COUNTIFS('00 Encuesta'!$B$2:$B$511,"*b)*",'00 Encuesta'!$C$2:$C$511,"*b)*",'00 Encuesta'!$E$2:$E$511,"*b)*",'00 Encuesta'!$AZ$2:$AZ$511,"*d)*")</f>
        <v>0</v>
      </c>
      <c r="S417" s="52">
        <f>R417/$Q$7*100</f>
        <v>0</v>
      </c>
      <c r="T417" s="3"/>
      <c r="U417" s="51">
        <f>W417+Y417</f>
        <v>6</v>
      </c>
      <c r="V417" s="52">
        <f>U417/$X$5*100</f>
        <v>15.384615384615385</v>
      </c>
      <c r="W417" s="53">
        <f>COUNTIFS('00 Encuesta'!$B$2:$B$511,"*b)*",'00 Encuesta'!$C$2:$C$511,"*c)*",'00 Encuesta'!$E$2:$E$511,"*a)*",'00 Encuesta'!$AZ$2:$AZ$511,"*d)*")</f>
        <v>5</v>
      </c>
      <c r="X417" s="52">
        <f>W417/$X$6*100</f>
        <v>23.809523809523807</v>
      </c>
      <c r="Y417" s="53">
        <f>COUNTIFS('00 Encuesta'!$B$2:$B$511,"*b)*",'00 Encuesta'!$C$2:$C$511,"*c)*",'00 Encuesta'!$E$2:$E$511,"*b)*",'00 Encuesta'!$AZ$2:$AZ$511,"*d)*")</f>
        <v>1</v>
      </c>
      <c r="Z417" s="52">
        <f>Y417/$X$7*100</f>
        <v>5.5555555555555554</v>
      </c>
      <c r="AA417" s="3"/>
      <c r="AB417" s="62">
        <f>G417+N417+U417</f>
        <v>8</v>
      </c>
      <c r="AC417" s="52">
        <f>AB417*100/$AC$5</f>
        <v>7.3394495412844041</v>
      </c>
      <c r="AD417" s="3"/>
      <c r="AE417" s="3"/>
      <c r="AF417" s="9" t="str">
        <f>A417&amp;" "&amp;B417</f>
        <v>d) Con frecuencia (fines de semana u otros momentos) suelo beber màs de la cuenta.</v>
      </c>
      <c r="AG417" s="72">
        <f>J417</f>
        <v>4.7619047619047619</v>
      </c>
      <c r="AH417" s="72">
        <f>L417</f>
        <v>5.8823529411764701</v>
      </c>
      <c r="AI417" s="73">
        <f>H417</f>
        <v>5.2631578947368416</v>
      </c>
      <c r="AJ417" s="73"/>
      <c r="AK417" s="76">
        <f>Q417</f>
        <v>0</v>
      </c>
      <c r="AL417" s="76">
        <f>S417</f>
        <v>0</v>
      </c>
      <c r="AM417" s="76">
        <f>O417</f>
        <v>0</v>
      </c>
      <c r="AN417" s="76"/>
      <c r="AO417" s="81">
        <f>X417</f>
        <v>23.809523809523807</v>
      </c>
      <c r="AP417" s="81">
        <f>Z417</f>
        <v>5.5555555555555554</v>
      </c>
      <c r="AQ417" s="81">
        <f>V417</f>
        <v>15.384615384615385</v>
      </c>
      <c r="AR417" s="3"/>
      <c r="AS417" s="76">
        <f t="shared" si="688"/>
        <v>7.3394495412844041</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ht="15.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ht="15.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ht="15.75" x14ac:dyDescent="0.3">
      <c r="A420" s="1" t="s">
        <v>17</v>
      </c>
      <c r="B420" s="2" t="s">
        <v>269</v>
      </c>
      <c r="C420" s="3"/>
      <c r="D420" s="3"/>
      <c r="E420" s="3"/>
      <c r="F420" s="4"/>
      <c r="G420" s="51">
        <f t="shared" ref="G420:G425" si="689">I420+K420</f>
        <v>5</v>
      </c>
      <c r="H420" s="52">
        <f t="shared" ref="H420:H425" si="690">G420/$J$5*100</f>
        <v>13.157894736842104</v>
      </c>
      <c r="I420" s="53">
        <f>COUNTIFS('00 Encuesta'!$B$2:$B$511,"*b)*",'00 Encuesta'!$C$2:$C$511,"*a)*",'00 Encuesta'!$E$2:$E$511,"*a)*",'00 Encuesta'!$BA$2:$BA$511,"*a)*")</f>
        <v>2</v>
      </c>
      <c r="J420" s="52">
        <f t="shared" ref="J420:J425" si="691">I420/$J$6*100</f>
        <v>9.5238095238095237</v>
      </c>
      <c r="K420" s="53">
        <f>COUNTIFS('00 Encuesta'!$B$2:$B$511,"*b)*",'00 Encuesta'!$C$2:$C$511,"*a)*",'00 Encuesta'!$E$2:$E$511,"*b)*",'00 Encuesta'!$BA$2:$BA$511,"*a)*")</f>
        <v>3</v>
      </c>
      <c r="L420" s="52">
        <f t="shared" ref="L420:L425" si="692">K420/$J$7*100</f>
        <v>17.647058823529413</v>
      </c>
      <c r="M420" s="23"/>
      <c r="N420" s="51">
        <f t="shared" ref="N420:N425" si="693">P420+R420</f>
        <v>3</v>
      </c>
      <c r="O420" s="52">
        <f t="shared" ref="O420:O425" si="694">N420/$Q$5*100</f>
        <v>9.375</v>
      </c>
      <c r="P420" s="53">
        <f>COUNTIFS('00 Encuesta'!$B$2:$B$511,"*b)*",'00 Encuesta'!$C$2:$C$511,"*b)*",'00 Encuesta'!$E$2:$E$511,"*a)*",'00 Encuesta'!$BA$2:$BA$511,"*a)*")</f>
        <v>2</v>
      </c>
      <c r="Q420" s="52">
        <f t="shared" ref="Q420:Q425" si="695">P420/$Q$6*100</f>
        <v>11.76470588235294</v>
      </c>
      <c r="R420" s="53">
        <f>COUNTIFS('00 Encuesta'!$B$2:$B$511,"*b)*",'00 Encuesta'!$C$2:$C$511,"*b)*",'00 Encuesta'!$E$2:$E$511,"*b)*",'00 Encuesta'!$BA$2:$BA$511,"*a)*")</f>
        <v>1</v>
      </c>
      <c r="S420" s="52">
        <f t="shared" ref="S420:S425" si="696">R420/$Q$7*100</f>
        <v>6.666666666666667</v>
      </c>
      <c r="T420" s="3"/>
      <c r="U420" s="51">
        <f t="shared" ref="U420:U425" si="697">W420+Y420</f>
        <v>10</v>
      </c>
      <c r="V420" s="52">
        <f t="shared" ref="V420:V425" si="698">U420/$X$5*100</f>
        <v>25.641025641025639</v>
      </c>
      <c r="W420" s="53">
        <f>COUNTIFS('00 Encuesta'!$B$2:$B$511,"*b)*",'00 Encuesta'!$C$2:$C$511,"*c)*",'00 Encuesta'!$E$2:$E$511,"*a)*",'00 Encuesta'!$BA$2:$BA$511,"*a)*")</f>
        <v>6</v>
      </c>
      <c r="X420" s="52">
        <f t="shared" ref="X420:X425" si="699">W420/$X$6*100</f>
        <v>28.571428571428569</v>
      </c>
      <c r="Y420" s="53">
        <f>COUNTIFS('00 Encuesta'!$B$2:$B$511,"*b)*",'00 Encuesta'!$C$2:$C$511,"*c)*",'00 Encuesta'!$E$2:$E$511,"*b)*",'00 Encuesta'!$BA$2:$BA$511,"*a)*")</f>
        <v>4</v>
      </c>
      <c r="Z420" s="52">
        <f t="shared" ref="Z420:Z425" si="700">Y420/$X$7*100</f>
        <v>22.222222222222221</v>
      </c>
      <c r="AA420" s="3"/>
      <c r="AB420" s="62">
        <f t="shared" ref="AB420:AB425" si="701">G420+N420+U420</f>
        <v>18</v>
      </c>
      <c r="AC420" s="52">
        <f t="shared" ref="AC420:AC425" si="702">AB420*100/$AC$5</f>
        <v>16.513761467889907</v>
      </c>
      <c r="AD420" s="3"/>
      <c r="AE420" s="3"/>
      <c r="AF420" s="9" t="str">
        <f t="shared" ref="AF420:AF425" si="703">A420&amp;" "&amp;B420</f>
        <v>a) Personas a las que tengo que aguantar</v>
      </c>
      <c r="AG420" s="72">
        <f t="shared" ref="AG420:AG425" si="704">J420</f>
        <v>9.5238095238095237</v>
      </c>
      <c r="AH420" s="72">
        <f t="shared" ref="AH420:AH425" si="705">L420</f>
        <v>17.647058823529413</v>
      </c>
      <c r="AI420" s="73">
        <f t="shared" ref="AI420:AI425" si="706">H420</f>
        <v>13.157894736842104</v>
      </c>
      <c r="AJ420" s="73"/>
      <c r="AK420" s="76">
        <f t="shared" ref="AK420:AK425" si="707">Q420</f>
        <v>11.76470588235294</v>
      </c>
      <c r="AL420" s="76">
        <f t="shared" ref="AL420:AL425" si="708">S420</f>
        <v>6.666666666666667</v>
      </c>
      <c r="AM420" s="76">
        <f t="shared" ref="AM420:AM425" si="709">O420</f>
        <v>9.375</v>
      </c>
      <c r="AN420" s="76"/>
      <c r="AO420" s="81">
        <f t="shared" ref="AO420:AO425" si="710">X420</f>
        <v>28.571428571428569</v>
      </c>
      <c r="AP420" s="81">
        <f t="shared" ref="AP420:AP425" si="711">Z420</f>
        <v>22.222222222222221</v>
      </c>
      <c r="AQ420" s="81">
        <f t="shared" ref="AQ420:AQ425" si="712">V420</f>
        <v>25.641025641025639</v>
      </c>
      <c r="AR420" s="3"/>
      <c r="AS420" s="76">
        <f t="shared" si="688"/>
        <v>16.513761467889907</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ht="15.75" x14ac:dyDescent="0.3">
      <c r="A421" s="1" t="s">
        <v>18</v>
      </c>
      <c r="B421" s="2" t="s">
        <v>270</v>
      </c>
      <c r="C421" s="3"/>
      <c r="D421" s="3"/>
      <c r="E421" s="3"/>
      <c r="F421" s="4"/>
      <c r="G421" s="51">
        <f t="shared" si="689"/>
        <v>4</v>
      </c>
      <c r="H421" s="52">
        <f t="shared" si="690"/>
        <v>10.526315789473683</v>
      </c>
      <c r="I421" s="53">
        <f>COUNTIFS('00 Encuesta'!$B$2:$B$511,"*b)*",'00 Encuesta'!$C$2:$C$511,"*a)*",'00 Encuesta'!$E$2:$E$511,"*a)*",'00 Encuesta'!$BA$2:$BA$511,"*b)*")</f>
        <v>1</v>
      </c>
      <c r="J421" s="52">
        <f t="shared" si="691"/>
        <v>4.7619047619047619</v>
      </c>
      <c r="K421" s="53">
        <f>COUNTIFS('00 Encuesta'!$B$2:$B$511,"*b)*",'00 Encuesta'!$C$2:$C$511,"*a)*",'00 Encuesta'!$E$2:$E$511,"*b)*",'00 Encuesta'!$BA$2:$BA$511,"*b)*")</f>
        <v>3</v>
      </c>
      <c r="L421" s="52">
        <f t="shared" si="692"/>
        <v>17.647058823529413</v>
      </c>
      <c r="M421" s="23"/>
      <c r="N421" s="51">
        <f t="shared" si="693"/>
        <v>1</v>
      </c>
      <c r="O421" s="52">
        <f t="shared" si="694"/>
        <v>3.125</v>
      </c>
      <c r="P421" s="53">
        <f>COUNTIFS('00 Encuesta'!$B$2:$B$511,"*b)*",'00 Encuesta'!$C$2:$C$511,"*b)*",'00 Encuesta'!$E$2:$E$511,"*a)*",'00 Encuesta'!$BA$2:$BA$511,"*b)*")</f>
        <v>0</v>
      </c>
      <c r="Q421" s="52">
        <f t="shared" si="695"/>
        <v>0</v>
      </c>
      <c r="R421" s="53">
        <f>COUNTIFS('00 Encuesta'!$B$2:$B$511,"*b)*",'00 Encuesta'!$C$2:$C$511,"*b)*",'00 Encuesta'!$E$2:$E$511,"*b)*",'00 Encuesta'!$BA$2:$BA$511,"*b)*")</f>
        <v>1</v>
      </c>
      <c r="S421" s="52">
        <f t="shared" si="696"/>
        <v>6.666666666666667</v>
      </c>
      <c r="T421" s="3"/>
      <c r="U421" s="51">
        <f t="shared" si="697"/>
        <v>1</v>
      </c>
      <c r="V421" s="52">
        <f t="shared" si="698"/>
        <v>2.5641025641025639</v>
      </c>
      <c r="W421" s="53">
        <f>COUNTIFS('00 Encuesta'!$B$2:$B$511,"*b)*",'00 Encuesta'!$C$2:$C$511,"*c)*",'00 Encuesta'!$E$2:$E$511,"*a)*",'00 Encuesta'!$BA$2:$BA$511,"*b)*")</f>
        <v>1</v>
      </c>
      <c r="X421" s="52">
        <f t="shared" si="699"/>
        <v>4.7619047619047619</v>
      </c>
      <c r="Y421" s="53">
        <f>COUNTIFS('00 Encuesta'!$B$2:$B$511,"*b)*",'00 Encuesta'!$C$2:$C$511,"*c)*",'00 Encuesta'!$E$2:$E$511,"*b)*",'00 Encuesta'!$BA$2:$BA$511,"*b)*")</f>
        <v>0</v>
      </c>
      <c r="Z421" s="52">
        <f t="shared" si="700"/>
        <v>0</v>
      </c>
      <c r="AA421" s="3"/>
      <c r="AB421" s="62">
        <f t="shared" si="701"/>
        <v>6</v>
      </c>
      <c r="AC421" s="52">
        <f t="shared" si="702"/>
        <v>5.5045871559633026</v>
      </c>
      <c r="AD421" s="3"/>
      <c r="AE421" s="3"/>
      <c r="AF421" s="9" t="str">
        <f t="shared" si="703"/>
        <v>b) Profesionales que no se preocupan de nosotros</v>
      </c>
      <c r="AG421" s="72">
        <f t="shared" si="704"/>
        <v>4.7619047619047619</v>
      </c>
      <c r="AH421" s="72">
        <f t="shared" si="705"/>
        <v>17.647058823529413</v>
      </c>
      <c r="AI421" s="73">
        <f t="shared" si="706"/>
        <v>10.526315789473683</v>
      </c>
      <c r="AJ421" s="73"/>
      <c r="AK421" s="76">
        <f t="shared" si="707"/>
        <v>0</v>
      </c>
      <c r="AL421" s="76">
        <f t="shared" si="708"/>
        <v>6.666666666666667</v>
      </c>
      <c r="AM421" s="76">
        <f t="shared" si="709"/>
        <v>3.125</v>
      </c>
      <c r="AN421" s="76"/>
      <c r="AO421" s="81">
        <f t="shared" si="710"/>
        <v>4.7619047619047619</v>
      </c>
      <c r="AP421" s="81">
        <f t="shared" si="711"/>
        <v>0</v>
      </c>
      <c r="AQ421" s="81">
        <f t="shared" si="712"/>
        <v>2.5641025641025639</v>
      </c>
      <c r="AR421" s="3"/>
      <c r="AS421" s="76">
        <f t="shared" si="688"/>
        <v>5.5045871559633026</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ht="15.75" x14ac:dyDescent="0.3">
      <c r="A422" s="1" t="s">
        <v>20</v>
      </c>
      <c r="B422" s="2" t="s">
        <v>271</v>
      </c>
      <c r="C422" s="3"/>
      <c r="D422" s="3"/>
      <c r="E422" s="3"/>
      <c r="F422" s="4"/>
      <c r="G422" s="51">
        <f t="shared" si="689"/>
        <v>7</v>
      </c>
      <c r="H422" s="52">
        <f t="shared" si="690"/>
        <v>18.421052631578945</v>
      </c>
      <c r="I422" s="53">
        <f>COUNTIFS('00 Encuesta'!$B$2:$B$511,"*b)*",'00 Encuesta'!$C$2:$C$511,"*a)*",'00 Encuesta'!$E$2:$E$511,"*a)*",'00 Encuesta'!$BA$2:$BA$511,"*c)*")</f>
        <v>7</v>
      </c>
      <c r="J422" s="52">
        <f t="shared" si="691"/>
        <v>33.333333333333329</v>
      </c>
      <c r="K422" s="53">
        <f>COUNTIFS('00 Encuesta'!$B$2:$B$511,"*b)*",'00 Encuesta'!$C$2:$C$511,"*a)*",'00 Encuesta'!$E$2:$E$511,"*b)*",'00 Encuesta'!$BA$2:$BA$511,"*c)*")</f>
        <v>0</v>
      </c>
      <c r="L422" s="52">
        <f t="shared" si="692"/>
        <v>0</v>
      </c>
      <c r="M422" s="23"/>
      <c r="N422" s="51">
        <f t="shared" si="693"/>
        <v>7</v>
      </c>
      <c r="O422" s="52">
        <f t="shared" si="694"/>
        <v>21.875</v>
      </c>
      <c r="P422" s="53">
        <f>COUNTIFS('00 Encuesta'!$B$2:$B$511,"*b)*",'00 Encuesta'!$C$2:$C$511,"*b)*",'00 Encuesta'!$E$2:$E$511,"*a)*",'00 Encuesta'!$BA$2:$BA$511,"*c)*")</f>
        <v>4</v>
      </c>
      <c r="Q422" s="52">
        <f t="shared" si="695"/>
        <v>23.52941176470588</v>
      </c>
      <c r="R422" s="53">
        <f>COUNTIFS('00 Encuesta'!$B$2:$B$511,"*b)*",'00 Encuesta'!$C$2:$C$511,"*b)*",'00 Encuesta'!$E$2:$E$511,"*b)*",'00 Encuesta'!$BA$2:$BA$511,"*c)*")</f>
        <v>3</v>
      </c>
      <c r="S422" s="52">
        <f t="shared" si="696"/>
        <v>20</v>
      </c>
      <c r="T422" s="3"/>
      <c r="U422" s="51">
        <f t="shared" si="697"/>
        <v>5</v>
      </c>
      <c r="V422" s="52">
        <f t="shared" si="698"/>
        <v>12.820512820512819</v>
      </c>
      <c r="W422" s="53">
        <f>COUNTIFS('00 Encuesta'!$B$2:$B$511,"*b)*",'00 Encuesta'!$C$2:$C$511,"*c)*",'00 Encuesta'!$E$2:$E$511,"*a)*",'00 Encuesta'!$BA$2:$BA$511,"*c)*")</f>
        <v>3</v>
      </c>
      <c r="X422" s="52">
        <f t="shared" si="699"/>
        <v>14.285714285714285</v>
      </c>
      <c r="Y422" s="53">
        <f>COUNTIFS('00 Encuesta'!$B$2:$B$511,"*b)*",'00 Encuesta'!$C$2:$C$511,"*c)*",'00 Encuesta'!$E$2:$E$511,"*b)*",'00 Encuesta'!$BA$2:$BA$511,"*c)*")</f>
        <v>2</v>
      </c>
      <c r="Z422" s="52">
        <f t="shared" si="700"/>
        <v>11.111111111111111</v>
      </c>
      <c r="AA422" s="3"/>
      <c r="AB422" s="62">
        <f t="shared" si="701"/>
        <v>19</v>
      </c>
      <c r="AC422" s="52">
        <f t="shared" si="702"/>
        <v>17.431192660550458</v>
      </c>
      <c r="AD422" s="3"/>
      <c r="AE422" s="3"/>
      <c r="AF422" s="9" t="str">
        <f t="shared" si="703"/>
        <v>c) Profesionales que hacen lo que pueden</v>
      </c>
      <c r="AG422" s="72">
        <f t="shared" si="704"/>
        <v>33.333333333333329</v>
      </c>
      <c r="AH422" s="72">
        <f t="shared" si="705"/>
        <v>0</v>
      </c>
      <c r="AI422" s="73">
        <f t="shared" si="706"/>
        <v>18.421052631578945</v>
      </c>
      <c r="AJ422" s="73"/>
      <c r="AK422" s="76">
        <f t="shared" si="707"/>
        <v>23.52941176470588</v>
      </c>
      <c r="AL422" s="76">
        <f t="shared" si="708"/>
        <v>20</v>
      </c>
      <c r="AM422" s="76">
        <f t="shared" si="709"/>
        <v>21.875</v>
      </c>
      <c r="AN422" s="76"/>
      <c r="AO422" s="81">
        <f t="shared" si="710"/>
        <v>14.285714285714285</v>
      </c>
      <c r="AP422" s="81">
        <f t="shared" si="711"/>
        <v>11.111111111111111</v>
      </c>
      <c r="AQ422" s="81">
        <f t="shared" si="712"/>
        <v>12.820512820512819</v>
      </c>
      <c r="AR422" s="3"/>
      <c r="AS422" s="76">
        <f t="shared" si="688"/>
        <v>17.431192660550458</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9</v>
      </c>
      <c r="H423" s="52">
        <f t="shared" si="690"/>
        <v>23.684210526315788</v>
      </c>
      <c r="I423" s="53">
        <f>COUNTIFS('00 Encuesta'!$B$2:$B$511,"*b)*",'00 Encuesta'!$C$2:$C$511,"*a)*",'00 Encuesta'!$E$2:$E$511,"*a)*",'00 Encuesta'!$BA$2:$BA$511,"*d)*")</f>
        <v>5</v>
      </c>
      <c r="J423" s="52">
        <f t="shared" si="691"/>
        <v>23.809523809523807</v>
      </c>
      <c r="K423" s="53">
        <f>COUNTIFS('00 Encuesta'!$B$2:$B$511,"*b)*",'00 Encuesta'!$C$2:$C$511,"*a)*",'00 Encuesta'!$E$2:$E$511,"*b)*",'00 Encuesta'!$BA$2:$BA$511,"*d)*")</f>
        <v>4</v>
      </c>
      <c r="L423" s="52">
        <f t="shared" si="692"/>
        <v>23.52941176470588</v>
      </c>
      <c r="M423" s="23"/>
      <c r="N423" s="51">
        <f t="shared" si="693"/>
        <v>5</v>
      </c>
      <c r="O423" s="52">
        <f t="shared" si="694"/>
        <v>15.625</v>
      </c>
      <c r="P423" s="53">
        <f>COUNTIFS('00 Encuesta'!$B$2:$B$511,"*b)*",'00 Encuesta'!$C$2:$C$511,"*b)*",'00 Encuesta'!$E$2:$E$511,"*a)*",'00 Encuesta'!$BA$2:$BA$511,"*d)*")</f>
        <v>1</v>
      </c>
      <c r="Q423" s="52">
        <f t="shared" si="695"/>
        <v>5.8823529411764701</v>
      </c>
      <c r="R423" s="53">
        <f>COUNTIFS('00 Encuesta'!$B$2:$B$511,"*b)*",'00 Encuesta'!$C$2:$C$511,"*b)*",'00 Encuesta'!$E$2:$E$511,"*b)*",'00 Encuesta'!$BA$2:$BA$511,"*d)*")</f>
        <v>4</v>
      </c>
      <c r="S423" s="52">
        <f t="shared" si="696"/>
        <v>26.666666666666668</v>
      </c>
      <c r="T423" s="3"/>
      <c r="U423" s="51">
        <f t="shared" si="697"/>
        <v>7</v>
      </c>
      <c r="V423" s="52">
        <f t="shared" si="698"/>
        <v>17.948717948717949</v>
      </c>
      <c r="W423" s="53">
        <f>COUNTIFS('00 Encuesta'!$B$2:$B$511,"*b)*",'00 Encuesta'!$C$2:$C$511,"*c)*",'00 Encuesta'!$E$2:$E$511,"*a)*",'00 Encuesta'!$BA$2:$BA$511,"*d)*")</f>
        <v>3</v>
      </c>
      <c r="X423" s="52">
        <f t="shared" si="699"/>
        <v>14.285714285714285</v>
      </c>
      <c r="Y423" s="53">
        <f>COUNTIFS('00 Encuesta'!$B$2:$B$511,"*b)*",'00 Encuesta'!$C$2:$C$511,"*c)*",'00 Encuesta'!$E$2:$E$511,"*b)*",'00 Encuesta'!$BA$2:$BA$511,"*d)*")</f>
        <v>4</v>
      </c>
      <c r="Z423" s="52">
        <f t="shared" si="700"/>
        <v>22.222222222222221</v>
      </c>
      <c r="AA423" s="3"/>
      <c r="AB423" s="62">
        <f t="shared" si="701"/>
        <v>21</v>
      </c>
      <c r="AC423" s="52">
        <f t="shared" si="702"/>
        <v>19.26605504587156</v>
      </c>
      <c r="AD423" s="3"/>
      <c r="AE423" s="3"/>
      <c r="AF423" s="9" t="str">
        <f t="shared" si="703"/>
        <v>d) Buenos profesionales de la educaciòn</v>
      </c>
      <c r="AG423" s="72">
        <f t="shared" si="704"/>
        <v>23.809523809523807</v>
      </c>
      <c r="AH423" s="72">
        <f t="shared" si="705"/>
        <v>23.52941176470588</v>
      </c>
      <c r="AI423" s="73">
        <f t="shared" si="706"/>
        <v>23.684210526315788</v>
      </c>
      <c r="AJ423" s="73"/>
      <c r="AK423" s="76">
        <f t="shared" si="707"/>
        <v>5.8823529411764701</v>
      </c>
      <c r="AL423" s="76">
        <f t="shared" si="708"/>
        <v>26.666666666666668</v>
      </c>
      <c r="AM423" s="76">
        <f t="shared" si="709"/>
        <v>15.625</v>
      </c>
      <c r="AN423" s="76"/>
      <c r="AO423" s="81">
        <f t="shared" si="710"/>
        <v>14.285714285714285</v>
      </c>
      <c r="AP423" s="81">
        <f t="shared" si="711"/>
        <v>22.222222222222221</v>
      </c>
      <c r="AQ423" s="81">
        <f t="shared" si="712"/>
        <v>17.948717948717949</v>
      </c>
      <c r="AR423" s="3"/>
      <c r="AS423" s="76">
        <f t="shared" si="688"/>
        <v>19.26605504587156</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ht="15.75" x14ac:dyDescent="0.3">
      <c r="A424" s="1" t="s">
        <v>22</v>
      </c>
      <c r="B424" s="2" t="s">
        <v>273</v>
      </c>
      <c r="C424" s="3"/>
      <c r="D424" s="3"/>
      <c r="E424" s="3"/>
      <c r="F424" s="4"/>
      <c r="G424" s="51">
        <f t="shared" si="689"/>
        <v>5</v>
      </c>
      <c r="H424" s="52">
        <f t="shared" si="690"/>
        <v>13.157894736842104</v>
      </c>
      <c r="I424" s="53">
        <f>COUNTIFS('00 Encuesta'!$B$2:$B$511,"*b)*",'00 Encuesta'!$C$2:$C$511,"*a)*",'00 Encuesta'!$E$2:$E$511,"*a)*",'00 Encuesta'!$BA$2:$BA$511,"*e)*")</f>
        <v>2</v>
      </c>
      <c r="J424" s="52">
        <f t="shared" si="691"/>
        <v>9.5238095238095237</v>
      </c>
      <c r="K424" s="53">
        <f>COUNTIFS('00 Encuesta'!$B$2:$B$511,"*b)*",'00 Encuesta'!$C$2:$C$511,"*a)*",'00 Encuesta'!$E$2:$E$511,"*b)*",'00 Encuesta'!$BA$2:$BA$511,"*e)*")</f>
        <v>3</v>
      </c>
      <c r="L424" s="52">
        <f t="shared" si="692"/>
        <v>17.647058823529413</v>
      </c>
      <c r="M424" s="23"/>
      <c r="N424" s="51">
        <f t="shared" si="693"/>
        <v>8</v>
      </c>
      <c r="O424" s="52">
        <f t="shared" si="694"/>
        <v>25</v>
      </c>
      <c r="P424" s="53">
        <f>COUNTIFS('00 Encuesta'!$B$2:$B$511,"*b)*",'00 Encuesta'!$C$2:$C$511,"*b)*",'00 Encuesta'!$E$2:$E$511,"*a)*",'00 Encuesta'!$BA$2:$BA$511,"*e)*")</f>
        <v>4</v>
      </c>
      <c r="Q424" s="52">
        <f t="shared" si="695"/>
        <v>23.52941176470588</v>
      </c>
      <c r="R424" s="53">
        <f>COUNTIFS('00 Encuesta'!$B$2:$B$511,"*b)*",'00 Encuesta'!$C$2:$C$511,"*b)*",'00 Encuesta'!$E$2:$E$511,"*b)*",'00 Encuesta'!$BA$2:$BA$511,"*e)*")</f>
        <v>4</v>
      </c>
      <c r="S424" s="52">
        <f t="shared" si="696"/>
        <v>26.666666666666668</v>
      </c>
      <c r="T424" s="3"/>
      <c r="U424" s="51">
        <f t="shared" si="697"/>
        <v>9</v>
      </c>
      <c r="V424" s="52">
        <f t="shared" si="698"/>
        <v>23.076923076923077</v>
      </c>
      <c r="W424" s="53">
        <f>COUNTIFS('00 Encuesta'!$B$2:$B$511,"*b)*",'00 Encuesta'!$C$2:$C$511,"*c)*",'00 Encuesta'!$E$2:$E$511,"*a)*",'00 Encuesta'!$BA$2:$BA$511,"*e)*")</f>
        <v>3</v>
      </c>
      <c r="X424" s="52">
        <f t="shared" si="699"/>
        <v>14.285714285714285</v>
      </c>
      <c r="Y424" s="53">
        <f>COUNTIFS('00 Encuesta'!$B$2:$B$511,"*b)*",'00 Encuesta'!$C$2:$C$511,"*c)*",'00 Encuesta'!$E$2:$E$511,"*b)*",'00 Encuesta'!$BA$2:$BA$511,"*e)*")</f>
        <v>6</v>
      </c>
      <c r="Z424" s="52">
        <f t="shared" si="700"/>
        <v>33.333333333333329</v>
      </c>
      <c r="AA424" s="3"/>
      <c r="AB424" s="62">
        <f t="shared" si="701"/>
        <v>22</v>
      </c>
      <c r="AC424" s="52">
        <f t="shared" si="702"/>
        <v>20.183486238532112</v>
      </c>
      <c r="AD424" s="3"/>
      <c r="AE424" s="3"/>
      <c r="AF424" s="9" t="str">
        <f t="shared" si="703"/>
        <v>e) Educadores que se preocupan de nosotros</v>
      </c>
      <c r="AG424" s="72">
        <f t="shared" si="704"/>
        <v>9.5238095238095237</v>
      </c>
      <c r="AH424" s="72">
        <f t="shared" si="705"/>
        <v>17.647058823529413</v>
      </c>
      <c r="AI424" s="73">
        <f t="shared" si="706"/>
        <v>13.157894736842104</v>
      </c>
      <c r="AJ424" s="73"/>
      <c r="AK424" s="76">
        <f t="shared" si="707"/>
        <v>23.52941176470588</v>
      </c>
      <c r="AL424" s="76">
        <f t="shared" si="708"/>
        <v>26.666666666666668</v>
      </c>
      <c r="AM424" s="76">
        <f t="shared" si="709"/>
        <v>25</v>
      </c>
      <c r="AN424" s="76"/>
      <c r="AO424" s="81">
        <f t="shared" si="710"/>
        <v>14.285714285714285</v>
      </c>
      <c r="AP424" s="81">
        <f t="shared" si="711"/>
        <v>33.333333333333329</v>
      </c>
      <c r="AQ424" s="81">
        <f t="shared" si="712"/>
        <v>23.076923076923077</v>
      </c>
      <c r="AR424" s="3"/>
      <c r="AS424" s="76">
        <f t="shared" si="688"/>
        <v>20.183486238532112</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5</v>
      </c>
      <c r="H425" s="52">
        <f t="shared" si="690"/>
        <v>13.157894736842104</v>
      </c>
      <c r="I425" s="53">
        <f>COUNTIFS('00 Encuesta'!$B$2:$B$511,"*b)*",'00 Encuesta'!$C$2:$C$511,"*a)*",'00 Encuesta'!$E$2:$E$511,"*a)*",'00 Encuesta'!$BA$2:$BA$511,"*f)*")</f>
        <v>3</v>
      </c>
      <c r="J425" s="52">
        <f t="shared" si="691"/>
        <v>14.285714285714285</v>
      </c>
      <c r="K425" s="53">
        <f>COUNTIFS('00 Encuesta'!$B$2:$B$511,"*b)*",'00 Encuesta'!$C$2:$C$511,"*a)*",'00 Encuesta'!$E$2:$E$511,"*b)*",'00 Encuesta'!$BA$2:$BA$511,"*f)*")</f>
        <v>2</v>
      </c>
      <c r="L425" s="52">
        <f t="shared" si="692"/>
        <v>11.76470588235294</v>
      </c>
      <c r="M425" s="23"/>
      <c r="N425" s="51">
        <f t="shared" si="693"/>
        <v>4</v>
      </c>
      <c r="O425" s="52">
        <f t="shared" si="694"/>
        <v>12.5</v>
      </c>
      <c r="P425" s="53">
        <f>COUNTIFS('00 Encuesta'!$B$2:$B$511,"*b)*",'00 Encuesta'!$C$2:$C$511,"*b)*",'00 Encuesta'!$E$2:$E$511,"*a)*",'00 Encuesta'!$BA$2:$BA$511,"*f)*")</f>
        <v>2</v>
      </c>
      <c r="Q425" s="52">
        <f t="shared" si="695"/>
        <v>11.76470588235294</v>
      </c>
      <c r="R425" s="53">
        <f>COUNTIFS('00 Encuesta'!$B$2:$B$511,"*b)*",'00 Encuesta'!$C$2:$C$511,"*b)*",'00 Encuesta'!$E$2:$E$511,"*b)*",'00 Encuesta'!$BA$2:$BA$511,"*f)*")</f>
        <v>2</v>
      </c>
      <c r="S425" s="52">
        <f t="shared" si="696"/>
        <v>13.333333333333334</v>
      </c>
      <c r="T425" s="3"/>
      <c r="U425" s="51">
        <f t="shared" si="697"/>
        <v>6</v>
      </c>
      <c r="V425" s="52">
        <f t="shared" si="698"/>
        <v>15.384615384615385</v>
      </c>
      <c r="W425" s="53">
        <f>COUNTIFS('00 Encuesta'!$B$2:$B$511,"*b)*",'00 Encuesta'!$C$2:$C$511,"*c)*",'00 Encuesta'!$E$2:$E$511,"*a)*",'00 Encuesta'!$BA$2:$BA$511,"*f)*")</f>
        <v>5</v>
      </c>
      <c r="X425" s="52">
        <f t="shared" si="699"/>
        <v>23.809523809523807</v>
      </c>
      <c r="Y425" s="53">
        <f>COUNTIFS('00 Encuesta'!$B$2:$B$511,"*b)*",'00 Encuesta'!$C$2:$C$511,"*c)*",'00 Encuesta'!$E$2:$E$511,"*b)*",'00 Encuesta'!$BA$2:$BA$511,"*f)*")</f>
        <v>1</v>
      </c>
      <c r="Z425" s="52">
        <f t="shared" si="700"/>
        <v>5.5555555555555554</v>
      </c>
      <c r="AA425" s="3"/>
      <c r="AB425" s="62">
        <f t="shared" si="701"/>
        <v>15</v>
      </c>
      <c r="AC425" s="52">
        <f t="shared" si="702"/>
        <v>13.761467889908257</v>
      </c>
      <c r="AD425" s="3"/>
      <c r="AE425" s="3"/>
      <c r="AF425" s="9" t="str">
        <f t="shared" si="703"/>
        <v>f) Educadores que ademàs me han abierto caminos</v>
      </c>
      <c r="AG425" s="72">
        <f t="shared" si="704"/>
        <v>14.285714285714285</v>
      </c>
      <c r="AH425" s="72">
        <f t="shared" si="705"/>
        <v>11.76470588235294</v>
      </c>
      <c r="AI425" s="73">
        <f t="shared" si="706"/>
        <v>13.157894736842104</v>
      </c>
      <c r="AJ425" s="73"/>
      <c r="AK425" s="76">
        <f t="shared" si="707"/>
        <v>11.76470588235294</v>
      </c>
      <c r="AL425" s="76">
        <f t="shared" si="708"/>
        <v>13.333333333333334</v>
      </c>
      <c r="AM425" s="76">
        <f t="shared" si="709"/>
        <v>12.5</v>
      </c>
      <c r="AN425" s="76"/>
      <c r="AO425" s="81">
        <f t="shared" si="710"/>
        <v>23.809523809523807</v>
      </c>
      <c r="AP425" s="81">
        <f t="shared" si="711"/>
        <v>5.5555555555555554</v>
      </c>
      <c r="AQ425" s="81">
        <f t="shared" si="712"/>
        <v>15.384615384615385</v>
      </c>
      <c r="AR425" s="3"/>
      <c r="AS425" s="76">
        <f t="shared" si="688"/>
        <v>13.761467889908257</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ht="15.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ht="15.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ht="15.75" x14ac:dyDescent="0.3">
      <c r="A428" s="1" t="s">
        <v>17</v>
      </c>
      <c r="B428" s="2" t="s">
        <v>178</v>
      </c>
      <c r="C428" s="3"/>
      <c r="D428" s="3"/>
      <c r="E428" s="3"/>
      <c r="F428" s="5">
        <v>0</v>
      </c>
      <c r="G428" s="51">
        <f>I428+K428</f>
        <v>4</v>
      </c>
      <c r="H428" s="52">
        <f>G428/$J$5*100</f>
        <v>10.526315789473683</v>
      </c>
      <c r="I428" s="53">
        <f>COUNTIFS('00 Encuesta'!$B$2:$B$511,"*b)*",'00 Encuesta'!$C$2:$C$511,"*a)*",'00 Encuesta'!$E$2:$E$511,"*a)*",'00 Encuesta'!$BB$2:$BB$511,"*a)*")</f>
        <v>2</v>
      </c>
      <c r="J428" s="52">
        <f>I428/$J$6*100</f>
        <v>9.5238095238095237</v>
      </c>
      <c r="K428" s="53">
        <f>COUNTIFS('00 Encuesta'!$B$2:$B$511,"*b)*",'00 Encuesta'!$C$2:$C$511,"*a)*",'00 Encuesta'!$E$2:$E$511,"*b)*",'00 Encuesta'!$BB$2:$BB$511,"*a)*")</f>
        <v>2</v>
      </c>
      <c r="L428" s="52">
        <f>K428/$J$7*100</f>
        <v>11.76470588235294</v>
      </c>
      <c r="M428" s="23"/>
      <c r="N428" s="51">
        <f>P428+R428</f>
        <v>1</v>
      </c>
      <c r="O428" s="52">
        <f>N428/$Q$5*100</f>
        <v>3.125</v>
      </c>
      <c r="P428" s="53">
        <f>COUNTIFS('00 Encuesta'!$B$2:$B$511,"*b)*",'00 Encuesta'!$C$2:$C$511,"*b)*",'00 Encuesta'!$E$2:$E$511,"*a)*",'00 Encuesta'!$BB$2:$BB$511,"*a)*")</f>
        <v>0</v>
      </c>
      <c r="Q428" s="52">
        <f>P428/$Q$6*100</f>
        <v>0</v>
      </c>
      <c r="R428" s="53">
        <f>COUNTIFS('00 Encuesta'!$B$2:$B$511,"*b)*",'00 Encuesta'!$C$2:$C$511,"*b)*",'00 Encuesta'!$E$2:$E$511,"*b)*",'00 Encuesta'!$BB$2:$BB$511,"*a)*")</f>
        <v>1</v>
      </c>
      <c r="S428" s="52">
        <f>R428/$Q$7*100</f>
        <v>6.666666666666667</v>
      </c>
      <c r="T428" s="3"/>
      <c r="U428" s="51">
        <f>W428+Y428</f>
        <v>3</v>
      </c>
      <c r="V428" s="52">
        <f>U428/$X$5*100</f>
        <v>7.6923076923076925</v>
      </c>
      <c r="W428" s="53">
        <f>COUNTIFS('00 Encuesta'!$B$2:$B$511,"*b)*",'00 Encuesta'!$C$2:$C$511,"*c)*",'00 Encuesta'!$E$2:$E$511,"*a)*",'00 Encuesta'!$BB$2:$BB$511,"*a)*")</f>
        <v>2</v>
      </c>
      <c r="X428" s="52">
        <f>W428/$X$6*100</f>
        <v>9.5238095238095237</v>
      </c>
      <c r="Y428" s="53">
        <f>COUNTIFS('00 Encuesta'!$B$2:$B$511,"*b)*",'00 Encuesta'!$C$2:$C$511,"*c)*",'00 Encuesta'!$E$2:$E$511,"*b)*",'00 Encuesta'!$BB$2:$BB$511,"*a)*")</f>
        <v>1</v>
      </c>
      <c r="Z428" s="52">
        <f>Y428/$X$7*100</f>
        <v>5.5555555555555554</v>
      </c>
      <c r="AA428" s="3"/>
      <c r="AB428" s="62">
        <f>G428+N428+U428</f>
        <v>8</v>
      </c>
      <c r="AC428" s="52">
        <f>AB428*100/$AC$5</f>
        <v>7.3394495412844041</v>
      </c>
      <c r="AD428" s="3"/>
      <c r="AE428" s="3"/>
      <c r="AF428" s="9" t="str">
        <f t="shared" si="713"/>
        <v>a) No, en absoluto</v>
      </c>
      <c r="AG428" s="72">
        <f>J428</f>
        <v>9.5238095238095237</v>
      </c>
      <c r="AH428" s="72">
        <f>L428</f>
        <v>11.76470588235294</v>
      </c>
      <c r="AI428" s="73">
        <f>H428</f>
        <v>10.526315789473683</v>
      </c>
      <c r="AJ428" s="73"/>
      <c r="AK428" s="76">
        <f>Q428</f>
        <v>0</v>
      </c>
      <c r="AL428" s="76">
        <f>S428</f>
        <v>6.666666666666667</v>
      </c>
      <c r="AM428" s="76">
        <f>O428</f>
        <v>3.125</v>
      </c>
      <c r="AN428" s="76"/>
      <c r="AO428" s="81">
        <f>X428</f>
        <v>9.5238095238095237</v>
      </c>
      <c r="AP428" s="81">
        <f>Z428</f>
        <v>5.5555555555555554</v>
      </c>
      <c r="AQ428" s="81">
        <f>V428</f>
        <v>7.6923076923076925</v>
      </c>
      <c r="AR428" s="3"/>
      <c r="AS428" s="76">
        <f t="shared" si="688"/>
        <v>7.3394495412844041</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ht="15.75" x14ac:dyDescent="0.3">
      <c r="A429" s="1" t="s">
        <v>18</v>
      </c>
      <c r="B429" s="2" t="s">
        <v>104</v>
      </c>
      <c r="C429" s="3"/>
      <c r="D429" s="3"/>
      <c r="E429" s="3"/>
      <c r="F429" s="4">
        <v>33.33</v>
      </c>
      <c r="G429" s="51">
        <f>I429+K429</f>
        <v>12</v>
      </c>
      <c r="H429" s="52">
        <f>G429/$J$5*100</f>
        <v>31.578947368421051</v>
      </c>
      <c r="I429" s="53">
        <f>COUNTIFS('00 Encuesta'!$B$2:$B$511,"*b)*",'00 Encuesta'!$C$2:$C$511,"*a)*",'00 Encuesta'!$E$2:$E$511,"*a)*",'00 Encuesta'!$BB$2:$BB$511,"*b)*")</f>
        <v>5</v>
      </c>
      <c r="J429" s="52">
        <f>I429/$J$6*100</f>
        <v>23.809523809523807</v>
      </c>
      <c r="K429" s="53">
        <f>COUNTIFS('00 Encuesta'!$B$2:$B$511,"*b)*",'00 Encuesta'!$C$2:$C$511,"*a)*",'00 Encuesta'!$E$2:$E$511,"*b)*",'00 Encuesta'!$BB$2:$BB$511,"*b)*")</f>
        <v>7</v>
      </c>
      <c r="L429" s="52">
        <f>K429/$J$7*100</f>
        <v>41.17647058823529</v>
      </c>
      <c r="M429" s="23"/>
      <c r="N429" s="51">
        <f>P429+R429</f>
        <v>10</v>
      </c>
      <c r="O429" s="52">
        <f>N429/$Q$5*100</f>
        <v>31.25</v>
      </c>
      <c r="P429" s="53">
        <f>COUNTIFS('00 Encuesta'!$B$2:$B$511,"*b)*",'00 Encuesta'!$C$2:$C$511,"*b)*",'00 Encuesta'!$E$2:$E$511,"*a)*",'00 Encuesta'!$BB$2:$BB$511,"*b)*")</f>
        <v>5</v>
      </c>
      <c r="Q429" s="52">
        <f>P429/$Q$6*100</f>
        <v>29.411764705882355</v>
      </c>
      <c r="R429" s="53">
        <f>COUNTIFS('00 Encuesta'!$B$2:$B$511,"*b)*",'00 Encuesta'!$C$2:$C$511,"*b)*",'00 Encuesta'!$E$2:$E$511,"*b)*",'00 Encuesta'!$BB$2:$BB$511,"*b)*")</f>
        <v>5</v>
      </c>
      <c r="S429" s="52">
        <f>R429/$Q$7*100</f>
        <v>33.333333333333329</v>
      </c>
      <c r="T429" s="3"/>
      <c r="U429" s="51">
        <f>W429+Y429</f>
        <v>14</v>
      </c>
      <c r="V429" s="52">
        <f>U429/$X$5*100</f>
        <v>35.897435897435898</v>
      </c>
      <c r="W429" s="53">
        <f>COUNTIFS('00 Encuesta'!$B$2:$B$511,"*b)*",'00 Encuesta'!$C$2:$C$511,"*c)*",'00 Encuesta'!$E$2:$E$511,"*a)*",'00 Encuesta'!$BB$2:$BB$511,"*b)*")</f>
        <v>6</v>
      </c>
      <c r="X429" s="52">
        <f>W429/$X$6*100</f>
        <v>28.571428571428569</v>
      </c>
      <c r="Y429" s="53">
        <f>COUNTIFS('00 Encuesta'!$B$2:$B$511,"*b)*",'00 Encuesta'!$C$2:$C$511,"*c)*",'00 Encuesta'!$E$2:$E$511,"*b)*",'00 Encuesta'!$BB$2:$BB$511,"*b)*")</f>
        <v>8</v>
      </c>
      <c r="Z429" s="52">
        <f>Y429/$X$7*100</f>
        <v>44.444444444444443</v>
      </c>
      <c r="AA429" s="3"/>
      <c r="AB429" s="62">
        <f>G429+N429+U429</f>
        <v>36</v>
      </c>
      <c r="AC429" s="52">
        <f>AB429*100/$AC$5</f>
        <v>33.027522935779814</v>
      </c>
      <c r="AD429" s="3"/>
      <c r="AE429" s="3"/>
      <c r="AF429" s="9" t="str">
        <f t="shared" si="713"/>
        <v>b) Poco</v>
      </c>
      <c r="AG429" s="72">
        <f>J429</f>
        <v>23.809523809523807</v>
      </c>
      <c r="AH429" s="72">
        <f>L429</f>
        <v>41.17647058823529</v>
      </c>
      <c r="AI429" s="73">
        <f>H429</f>
        <v>31.578947368421051</v>
      </c>
      <c r="AJ429" s="73"/>
      <c r="AK429" s="76">
        <f>Q429</f>
        <v>29.411764705882355</v>
      </c>
      <c r="AL429" s="76">
        <f>S429</f>
        <v>33.333333333333329</v>
      </c>
      <c r="AM429" s="76">
        <f>O429</f>
        <v>31.25</v>
      </c>
      <c r="AN429" s="76"/>
      <c r="AO429" s="81">
        <f>X429</f>
        <v>28.571428571428569</v>
      </c>
      <c r="AP429" s="81">
        <f>Z429</f>
        <v>44.444444444444443</v>
      </c>
      <c r="AQ429" s="81">
        <f>V429</f>
        <v>35.897435897435898</v>
      </c>
      <c r="AR429" s="3"/>
      <c r="AS429" s="76">
        <f t="shared" si="688"/>
        <v>33.027522935779814</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ht="15.75" x14ac:dyDescent="0.3">
      <c r="A430" s="1" t="s">
        <v>20</v>
      </c>
      <c r="B430" s="2" t="s">
        <v>179</v>
      </c>
      <c r="C430" s="3"/>
      <c r="D430" s="3"/>
      <c r="E430" s="3"/>
      <c r="F430" s="4">
        <v>66.66</v>
      </c>
      <c r="G430" s="51">
        <f>I430+K430</f>
        <v>11</v>
      </c>
      <c r="H430" s="52">
        <f>G430/$J$5*100</f>
        <v>28.947368421052634</v>
      </c>
      <c r="I430" s="53">
        <f>COUNTIFS('00 Encuesta'!$B$2:$B$511,"*b)*",'00 Encuesta'!$C$2:$C$511,"*a)*",'00 Encuesta'!$E$2:$E$511,"*a)*",'00 Encuesta'!$BB$2:$BB$511,"*c)*")</f>
        <v>7</v>
      </c>
      <c r="J430" s="52">
        <f>I430/$J$6*100</f>
        <v>33.333333333333329</v>
      </c>
      <c r="K430" s="53">
        <f>COUNTIFS('00 Encuesta'!$B$2:$B$511,"*b)*",'00 Encuesta'!$C$2:$C$511,"*a)*",'00 Encuesta'!$E$2:$E$511,"*b)*",'00 Encuesta'!$BB$2:$BB$511,"*c)*")</f>
        <v>4</v>
      </c>
      <c r="L430" s="52">
        <f>K430/$J$7*100</f>
        <v>23.52941176470588</v>
      </c>
      <c r="M430" s="23"/>
      <c r="N430" s="51">
        <f>P430+R430</f>
        <v>13</v>
      </c>
      <c r="O430" s="52">
        <f>N430/$Q$5*100</f>
        <v>40.625</v>
      </c>
      <c r="P430" s="53">
        <f>COUNTIFS('00 Encuesta'!$B$2:$B$511,"*b)*",'00 Encuesta'!$C$2:$C$511,"*b)*",'00 Encuesta'!$E$2:$E$511,"*a)*",'00 Encuesta'!$BB$2:$BB$511,"*c)*")</f>
        <v>5</v>
      </c>
      <c r="Q430" s="52">
        <f>P430/$Q$6*100</f>
        <v>29.411764705882355</v>
      </c>
      <c r="R430" s="53">
        <f>COUNTIFS('00 Encuesta'!$B$2:$B$511,"*b)*",'00 Encuesta'!$C$2:$C$511,"*b)*",'00 Encuesta'!$E$2:$E$511,"*b)*",'00 Encuesta'!$BB$2:$BB$511,"*c)*")</f>
        <v>8</v>
      </c>
      <c r="S430" s="52">
        <f>R430/$Q$7*100</f>
        <v>53.333333333333336</v>
      </c>
      <c r="T430" s="3"/>
      <c r="U430" s="51">
        <f>W430+Y430</f>
        <v>17</v>
      </c>
      <c r="V430" s="52">
        <f>U430/$X$5*100</f>
        <v>43.589743589743591</v>
      </c>
      <c r="W430" s="53">
        <f>COUNTIFS('00 Encuesta'!$B$2:$B$511,"*b)*",'00 Encuesta'!$C$2:$C$511,"*c)*",'00 Encuesta'!$E$2:$E$511,"*a)*",'00 Encuesta'!$BB$2:$BB$511,"*c)*")</f>
        <v>11</v>
      </c>
      <c r="X430" s="52">
        <f>W430/$X$6*100</f>
        <v>52.380952380952387</v>
      </c>
      <c r="Y430" s="53">
        <f>COUNTIFS('00 Encuesta'!$B$2:$B$511,"*b)*",'00 Encuesta'!$C$2:$C$511,"*c)*",'00 Encuesta'!$E$2:$E$511,"*b)*",'00 Encuesta'!$BB$2:$BB$511,"*c)*")</f>
        <v>6</v>
      </c>
      <c r="Z430" s="52">
        <f>Y430/$X$7*100</f>
        <v>33.333333333333329</v>
      </c>
      <c r="AA430" s="3"/>
      <c r="AB430" s="62">
        <f>G430+N430+U430</f>
        <v>41</v>
      </c>
      <c r="AC430" s="52">
        <f>AB430*100/$AC$5</f>
        <v>37.61467889908257</v>
      </c>
      <c r="AD430" s="3"/>
      <c r="AE430" s="3"/>
      <c r="AF430" s="9" t="str">
        <f t="shared" si="713"/>
        <v>c) Bastante</v>
      </c>
      <c r="AG430" s="72">
        <f>J430</f>
        <v>33.333333333333329</v>
      </c>
      <c r="AH430" s="72">
        <f>L430</f>
        <v>23.52941176470588</v>
      </c>
      <c r="AI430" s="73">
        <f>H430</f>
        <v>28.947368421052634</v>
      </c>
      <c r="AJ430" s="73"/>
      <c r="AK430" s="76">
        <f>Q430</f>
        <v>29.411764705882355</v>
      </c>
      <c r="AL430" s="76">
        <f>S430</f>
        <v>53.333333333333336</v>
      </c>
      <c r="AM430" s="76">
        <f>O430</f>
        <v>40.625</v>
      </c>
      <c r="AN430" s="76"/>
      <c r="AO430" s="81">
        <f>X430</f>
        <v>52.380952380952387</v>
      </c>
      <c r="AP430" s="81">
        <f>Z430</f>
        <v>33.333333333333329</v>
      </c>
      <c r="AQ430" s="81">
        <f>V430</f>
        <v>43.589743589743591</v>
      </c>
      <c r="AR430" s="3"/>
      <c r="AS430" s="76">
        <f t="shared" si="688"/>
        <v>37.61467889908257</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5</v>
      </c>
      <c r="H431" s="52">
        <f>G431/$J$5*100</f>
        <v>13.157894736842104</v>
      </c>
      <c r="I431" s="53">
        <f>COUNTIFS('00 Encuesta'!$B$2:$B$511,"*b)*",'00 Encuesta'!$C$2:$C$511,"*a)*",'00 Encuesta'!$E$2:$E$511,"*a)*",'00 Encuesta'!$BB$2:$BB$511,"*d)*")</f>
        <v>3</v>
      </c>
      <c r="J431" s="52">
        <f>I431/$J$6*100</f>
        <v>14.285714285714285</v>
      </c>
      <c r="K431" s="53">
        <f>COUNTIFS('00 Encuesta'!$B$2:$B$511,"*b)*",'00 Encuesta'!$C$2:$C$511,"*a)*",'00 Encuesta'!$E$2:$E$511,"*b)*",'00 Encuesta'!$BB$2:$BB$511,"*d)*")</f>
        <v>2</v>
      </c>
      <c r="L431" s="52">
        <f>K431/$J$7*100</f>
        <v>11.76470588235294</v>
      </c>
      <c r="M431" s="23"/>
      <c r="N431" s="51">
        <f>P431+R431</f>
        <v>3</v>
      </c>
      <c r="O431" s="52">
        <f>N431/$Q$5*100</f>
        <v>9.375</v>
      </c>
      <c r="P431" s="53">
        <f>COUNTIFS('00 Encuesta'!$B$2:$B$511,"*b)*",'00 Encuesta'!$C$2:$C$511,"*b)*",'00 Encuesta'!$E$2:$E$511,"*a)*",'00 Encuesta'!$BB$2:$BB$511,"*d)*")</f>
        <v>3</v>
      </c>
      <c r="Q431" s="52">
        <f>P431/$Q$6*100</f>
        <v>17.647058823529413</v>
      </c>
      <c r="R431" s="53">
        <f>COUNTIFS('00 Encuesta'!$B$2:$B$511,"*b)*",'00 Encuesta'!$C$2:$C$511,"*b)*",'00 Encuesta'!$E$2:$E$511,"*b)*",'00 Encuesta'!$BB$2:$BB$511,"*d)*")</f>
        <v>0</v>
      </c>
      <c r="S431" s="52">
        <f>R431/$Q$7*100</f>
        <v>0</v>
      </c>
      <c r="T431" s="3"/>
      <c r="U431" s="51">
        <f>W431+Y431</f>
        <v>3</v>
      </c>
      <c r="V431" s="52">
        <f>U431/$X$5*100</f>
        <v>7.6923076923076925</v>
      </c>
      <c r="W431" s="53">
        <f>COUNTIFS('00 Encuesta'!$B$2:$B$511,"*b)*",'00 Encuesta'!$C$2:$C$511,"*c)*",'00 Encuesta'!$E$2:$E$511,"*a)*",'00 Encuesta'!$BB$2:$BB$511,"*d)*")</f>
        <v>1</v>
      </c>
      <c r="X431" s="52">
        <f>W431/$X$6*100</f>
        <v>4.7619047619047619</v>
      </c>
      <c r="Y431" s="53">
        <f>COUNTIFS('00 Encuesta'!$B$2:$B$511,"*b)*",'00 Encuesta'!$C$2:$C$511,"*c)*",'00 Encuesta'!$E$2:$E$511,"*b)*",'00 Encuesta'!$BB$2:$BB$511,"*d)*")</f>
        <v>2</v>
      </c>
      <c r="Z431" s="52">
        <f>Y431/$X$7*100</f>
        <v>11.111111111111111</v>
      </c>
      <c r="AA431" s="3"/>
      <c r="AB431" s="62">
        <f>G431+N431+U431</f>
        <v>11</v>
      </c>
      <c r="AC431" s="52">
        <f>AB431*100/$AC$5</f>
        <v>10.091743119266056</v>
      </c>
      <c r="AD431" s="3"/>
      <c r="AE431" s="3"/>
      <c r="AF431" s="9" t="str">
        <f t="shared" si="713"/>
        <v>d) Mucho o muchìsimo</v>
      </c>
      <c r="AG431" s="72">
        <f>J431</f>
        <v>14.285714285714285</v>
      </c>
      <c r="AH431" s="72">
        <f>L431</f>
        <v>11.76470588235294</v>
      </c>
      <c r="AI431" s="73">
        <f>H431</f>
        <v>13.157894736842104</v>
      </c>
      <c r="AJ431" s="73"/>
      <c r="AK431" s="76">
        <f>Q431</f>
        <v>17.647058823529413</v>
      </c>
      <c r="AL431" s="76">
        <f>S431</f>
        <v>0</v>
      </c>
      <c r="AM431" s="76">
        <f>O431</f>
        <v>9.375</v>
      </c>
      <c r="AN431" s="76"/>
      <c r="AO431" s="81">
        <f>X431</f>
        <v>4.7619047619047619</v>
      </c>
      <c r="AP431" s="81">
        <f>Z431</f>
        <v>11.111111111111111</v>
      </c>
      <c r="AQ431" s="81">
        <f>V431</f>
        <v>7.6923076923076925</v>
      </c>
      <c r="AR431" s="3"/>
      <c r="AS431" s="76">
        <f t="shared" si="688"/>
        <v>10.091743119266056</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3</v>
      </c>
      <c r="H432" s="52">
        <f>G432/$J$5*100</f>
        <v>7.8947368421052628</v>
      </c>
      <c r="I432" s="53">
        <f>COUNTIFS('00 Encuesta'!$B$2:$B$511,"*b)*",'00 Encuesta'!$C$2:$C$511,"*a)*",'00 Encuesta'!$E$2:$E$511,"*a)*",'00 Encuesta'!$BB$2:$BB$511,"*e)*")</f>
        <v>2</v>
      </c>
      <c r="J432" s="52">
        <f>I432/$J$6*100</f>
        <v>9.5238095238095237</v>
      </c>
      <c r="K432" s="53">
        <f>COUNTIFS('00 Encuesta'!$B$2:$B$511,"*b)*",'00 Encuesta'!$C$2:$C$511,"*a)*",'00 Encuesta'!$E$2:$E$511,"*b)*",'00 Encuesta'!$BB$2:$BB$511,"*e)*")</f>
        <v>1</v>
      </c>
      <c r="L432" s="52">
        <f>K432/$J$7*100</f>
        <v>5.8823529411764701</v>
      </c>
      <c r="M432" s="23"/>
      <c r="N432" s="51">
        <f>P432+R432</f>
        <v>0</v>
      </c>
      <c r="O432" s="52">
        <f>N432/$Q$5*100</f>
        <v>0</v>
      </c>
      <c r="P432" s="53">
        <f>COUNTIFS('00 Encuesta'!$B$2:$B$511,"*b)*",'00 Encuesta'!$C$2:$C$511,"*b)*",'00 Encuesta'!$E$2:$E$511,"*a)*",'00 Encuesta'!$BB$2:$BB$511,"*e)*")</f>
        <v>0</v>
      </c>
      <c r="Q432" s="52">
        <f>P432/$Q$6*100</f>
        <v>0</v>
      </c>
      <c r="R432" s="53">
        <f>COUNTIFS('00 Encuesta'!$B$2:$B$511,"*b)*",'00 Encuesta'!$C$2:$C$511,"*b)*",'00 Encuesta'!$E$2:$E$511,"*b)*",'00 Encuesta'!$BB$2:$BB$511,"*e)*")</f>
        <v>0</v>
      </c>
      <c r="S432" s="52">
        <f>R432/$Q$7*100</f>
        <v>0</v>
      </c>
      <c r="T432" s="3"/>
      <c r="U432" s="51">
        <f>W432+Y432</f>
        <v>2</v>
      </c>
      <c r="V432" s="52">
        <f>U432/$X$5*100</f>
        <v>5.1282051282051277</v>
      </c>
      <c r="W432" s="53">
        <f>COUNTIFS('00 Encuesta'!$B$2:$B$511,"*b)*",'00 Encuesta'!$C$2:$C$511,"*c)*",'00 Encuesta'!$E$2:$E$511,"*a)*",'00 Encuesta'!$BB$2:$BB$511,"*e)*")</f>
        <v>1</v>
      </c>
      <c r="X432" s="52">
        <f>W432/$X$6*100</f>
        <v>4.7619047619047619</v>
      </c>
      <c r="Y432" s="53">
        <f>COUNTIFS('00 Encuesta'!$B$2:$B$511,"*b)*",'00 Encuesta'!$C$2:$C$511,"*c)*",'00 Encuesta'!$E$2:$E$511,"*b)*",'00 Encuesta'!$BB$2:$BB$511,"*e)*")</f>
        <v>1</v>
      </c>
      <c r="Z432" s="52">
        <f>Y432/$X$7*100</f>
        <v>5.5555555555555554</v>
      </c>
      <c r="AA432" s="3"/>
      <c r="AB432" s="62">
        <f>G432+N432+U432</f>
        <v>5</v>
      </c>
      <c r="AC432" s="52">
        <f>AB432*100/$AC$5</f>
        <v>4.5871559633027523</v>
      </c>
      <c r="AD432" s="3"/>
      <c r="AE432" s="3"/>
      <c r="AF432" s="9" t="str">
        <f t="shared" si="713"/>
        <v>e) No sè</v>
      </c>
      <c r="AG432" s="72">
        <f>J432</f>
        <v>9.5238095238095237</v>
      </c>
      <c r="AH432" s="72">
        <f>L432</f>
        <v>5.8823529411764701</v>
      </c>
      <c r="AI432" s="73">
        <f>H432</f>
        <v>7.8947368421052628</v>
      </c>
      <c r="AJ432" s="73"/>
      <c r="AK432" s="76">
        <f>Q432</f>
        <v>0</v>
      </c>
      <c r="AL432" s="76">
        <f>S432</f>
        <v>0</v>
      </c>
      <c r="AM432" s="76">
        <f>O432</f>
        <v>0</v>
      </c>
      <c r="AN432" s="76"/>
      <c r="AO432" s="81">
        <f>X432</f>
        <v>4.7619047619047619</v>
      </c>
      <c r="AP432" s="81">
        <f>Z432</f>
        <v>5.5555555555555554</v>
      </c>
      <c r="AQ432" s="81">
        <f>V432</f>
        <v>5.1282051282051277</v>
      </c>
      <c r="AR432" s="3"/>
      <c r="AS432" s="76">
        <f t="shared" si="688"/>
        <v>4.5871559633027523</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ht="15.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54.898235294117647</v>
      </c>
      <c r="AH433" s="82">
        <f>($F428*K428+$F429*K429+$F430*K430+$F431*K431)/(+K428+K429+K430+K431)</f>
        <v>46.663333333333334</v>
      </c>
      <c r="AI433" s="82">
        <f>($F428*G428+$F429*G429+$F430*G430+$F431*G431)/(G428+G429+G430+G431)</f>
        <v>51.038125000000001</v>
      </c>
      <c r="AJ433" s="82"/>
      <c r="AK433" s="82">
        <f>(+$F428*Q428+$F429*Q429+$F430*Q430+$F431*Q431)/(+Q428+Q429+Q430+Q431)</f>
        <v>61.534615384615392</v>
      </c>
      <c r="AL433" s="82">
        <f>($F428*S428+$F429*S429+$F430*S430+$F431*S431)/(+S428+S429+S430+S431)</f>
        <v>49.994999999999997</v>
      </c>
      <c r="AM433" s="82">
        <f>($F428*O428+$F429*O429+$F430*O430+$F431*O431)/(O428+O429+O430+O431)</f>
        <v>55.551111111111112</v>
      </c>
      <c r="AN433" s="82"/>
      <c r="AO433" s="82">
        <f>($F428*W428+$F429*W429+$F430*W430+$F431*W431)/(W428+W429+W430+W431)</f>
        <v>51.661999999999999</v>
      </c>
      <c r="AP433" s="82">
        <f>($F428*Y428+$F429*Y429+$F430*Y430+$F431*Y431)/(Y428+Y429+Y430+Y431)</f>
        <v>50.976470588235287</v>
      </c>
      <c r="AQ433" s="82">
        <f>($F428*U428+$F429*U429+$F430*U430+$F431*U431)/(U428+U429+U430+U431)</f>
        <v>51.347027027027032</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ht="15.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ht="15.75" x14ac:dyDescent="0.3">
      <c r="A435" s="1" t="s">
        <v>17</v>
      </c>
      <c r="B435" s="2" t="s">
        <v>278</v>
      </c>
      <c r="C435" s="3"/>
      <c r="D435" s="3"/>
      <c r="E435" s="3"/>
      <c r="F435" s="4">
        <v>0</v>
      </c>
      <c r="G435" s="51">
        <f>I435+K435</f>
        <v>3</v>
      </c>
      <c r="H435" s="52">
        <f>G435/$J$5*100</f>
        <v>7.8947368421052628</v>
      </c>
      <c r="I435" s="53">
        <f>COUNTIFS('00 Encuesta'!$B$2:$B$511,"*b)*",'00 Encuesta'!$C$2:$C$511,"*a)*",'00 Encuesta'!$E$2:$E$511,"*a)*",'00 Encuesta'!$BC$2:$BC$511,"*a)*")</f>
        <v>2</v>
      </c>
      <c r="J435" s="52">
        <f>I435/$J$6*100</f>
        <v>9.5238095238095237</v>
      </c>
      <c r="K435" s="53">
        <f>COUNTIFS('00 Encuesta'!$B$2:$B$511,"*b)*",'00 Encuesta'!$C$2:$C$511,"*a)*",'00 Encuesta'!$E$2:$E$511,"*b)*",'00 Encuesta'!$BC$2:$BC$511,"*a)*")</f>
        <v>1</v>
      </c>
      <c r="L435" s="52">
        <f>K435/$J$7*100</f>
        <v>5.8823529411764701</v>
      </c>
      <c r="M435" s="23"/>
      <c r="N435" s="51">
        <f>P435+R435</f>
        <v>1</v>
      </c>
      <c r="O435" s="52">
        <f>N435/$Q$5*100</f>
        <v>3.125</v>
      </c>
      <c r="P435" s="53">
        <f>COUNTIFS('00 Encuesta'!$B$2:$B$511,"*b)*",'00 Encuesta'!$C$2:$C$511,"*b)*",'00 Encuesta'!$E$2:$E$511,"*a)*",'00 Encuesta'!$BC$2:$BC$511,"*a)*")</f>
        <v>1</v>
      </c>
      <c r="Q435" s="52">
        <f>P435/$Q$6*100</f>
        <v>5.8823529411764701</v>
      </c>
      <c r="R435" s="53">
        <f>COUNTIFS('00 Encuesta'!$B$2:$B$511,"*b)*",'00 Encuesta'!$C$2:$C$511,"*b)*",'00 Encuesta'!$E$2:$E$511,"*b)*",'00 Encuesta'!$BC$2:$BC$511,"*a)*")</f>
        <v>0</v>
      </c>
      <c r="S435" s="52">
        <f>R435/$Q$7*100</f>
        <v>0</v>
      </c>
      <c r="T435" s="3"/>
      <c r="U435" s="51">
        <f>W435+Y435</f>
        <v>3</v>
      </c>
      <c r="V435" s="52">
        <f>U435/$X$5*100</f>
        <v>7.6923076923076925</v>
      </c>
      <c r="W435" s="53">
        <f>COUNTIFS('00 Encuesta'!$B$2:$B$511,"*b)*",'00 Encuesta'!$C$2:$C$511,"*c)*",'00 Encuesta'!$E$2:$E$511,"*a)*",'00 Encuesta'!$BC$2:$BC$511,"*a)*")</f>
        <v>2</v>
      </c>
      <c r="X435" s="52">
        <f>W435/$X$6*100</f>
        <v>9.5238095238095237</v>
      </c>
      <c r="Y435" s="53">
        <f>COUNTIFS('00 Encuesta'!$B$2:$B$511,"*b)*",'00 Encuesta'!$C$2:$C$511,"*c)*",'00 Encuesta'!$E$2:$E$511,"*b)*",'00 Encuesta'!$BC$2:$BC$511,"*a)*")</f>
        <v>1</v>
      </c>
      <c r="Z435" s="52">
        <f>Y435/$X$7*100</f>
        <v>5.5555555555555554</v>
      </c>
      <c r="AA435" s="3"/>
      <c r="AB435" s="62">
        <f>G435+N435+U435</f>
        <v>7</v>
      </c>
      <c r="AC435" s="52">
        <f>AB435*100/$AC$5</f>
        <v>6.4220183486238529</v>
      </c>
      <c r="AD435" s="3"/>
      <c r="AE435" s="3"/>
      <c r="AF435" s="9" t="str">
        <f t="shared" si="714"/>
        <v>a) No me gustan en absoluto</v>
      </c>
      <c r="AG435" s="72">
        <f>J435</f>
        <v>9.5238095238095237</v>
      </c>
      <c r="AH435" s="72">
        <f>L435</f>
        <v>5.8823529411764701</v>
      </c>
      <c r="AI435" s="73">
        <f>H435</f>
        <v>7.8947368421052628</v>
      </c>
      <c r="AJ435" s="73"/>
      <c r="AK435" s="76">
        <f>Q435</f>
        <v>5.8823529411764701</v>
      </c>
      <c r="AL435" s="76">
        <f>S435</f>
        <v>0</v>
      </c>
      <c r="AM435" s="76">
        <f>O435</f>
        <v>3.125</v>
      </c>
      <c r="AN435" s="76"/>
      <c r="AO435" s="81">
        <f>X435</f>
        <v>9.5238095238095237</v>
      </c>
      <c r="AP435" s="81">
        <f>Z435</f>
        <v>5.5555555555555554</v>
      </c>
      <c r="AQ435" s="81">
        <f>V435</f>
        <v>7.6923076923076925</v>
      </c>
      <c r="AR435" s="3"/>
      <c r="AS435" s="76">
        <f t="shared" si="688"/>
        <v>6.4220183486238529</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ht="15.75" x14ac:dyDescent="0.3">
      <c r="A436" s="1" t="s">
        <v>18</v>
      </c>
      <c r="B436" s="2" t="s">
        <v>279</v>
      </c>
      <c r="C436" s="3"/>
      <c r="D436" s="3"/>
      <c r="E436" s="3"/>
      <c r="F436" s="4">
        <v>25</v>
      </c>
      <c r="G436" s="51">
        <f>I436+K436</f>
        <v>2</v>
      </c>
      <c r="H436" s="52">
        <f>G436/$J$5*100</f>
        <v>5.2631578947368416</v>
      </c>
      <c r="I436" s="53">
        <f>COUNTIFS('00 Encuesta'!$B$2:$B$511,"*b)*",'00 Encuesta'!$C$2:$C$511,"*a)*",'00 Encuesta'!$E$2:$E$511,"*a)*",'00 Encuesta'!$BC$2:$BC$511,"*b)*")</f>
        <v>1</v>
      </c>
      <c r="J436" s="52">
        <f>I436/$J$6*100</f>
        <v>4.7619047619047619</v>
      </c>
      <c r="K436" s="53">
        <f>COUNTIFS('00 Encuesta'!$B$2:$B$511,"*b)*",'00 Encuesta'!$C$2:$C$511,"*a)*",'00 Encuesta'!$E$2:$E$511,"*b)*",'00 Encuesta'!$BC$2:$BC$511,"*b)*")</f>
        <v>1</v>
      </c>
      <c r="L436" s="52">
        <f>K436/$J$7*100</f>
        <v>5.8823529411764701</v>
      </c>
      <c r="M436" s="23"/>
      <c r="N436" s="51">
        <f>P436+R436</f>
        <v>1</v>
      </c>
      <c r="O436" s="52">
        <f>N436/$Q$5*100</f>
        <v>3.125</v>
      </c>
      <c r="P436" s="53">
        <f>COUNTIFS('00 Encuesta'!$B$2:$B$511,"*b)*",'00 Encuesta'!$C$2:$C$511,"*b)*",'00 Encuesta'!$E$2:$E$511,"*a)*",'00 Encuesta'!$BC$2:$BC$511,"*b)*")</f>
        <v>1</v>
      </c>
      <c r="Q436" s="52">
        <f>P436/$Q$6*100</f>
        <v>5.8823529411764701</v>
      </c>
      <c r="R436" s="53">
        <f>COUNTIFS('00 Encuesta'!$B$2:$B$511,"*b)*",'00 Encuesta'!$C$2:$C$511,"*b)*",'00 Encuesta'!$E$2:$E$511,"*b)*",'00 Encuesta'!$BC$2:$BC$511,"*b)*")</f>
        <v>0</v>
      </c>
      <c r="S436" s="52">
        <f>R436/$Q$7*100</f>
        <v>0</v>
      </c>
      <c r="T436" s="3"/>
      <c r="U436" s="51">
        <f>W436+Y436</f>
        <v>5</v>
      </c>
      <c r="V436" s="52">
        <f>U436/$X$5*100</f>
        <v>12.820512820512819</v>
      </c>
      <c r="W436" s="53">
        <f>COUNTIFS('00 Encuesta'!$B$2:$B$511,"*b)*",'00 Encuesta'!$C$2:$C$511,"*c)*",'00 Encuesta'!$E$2:$E$511,"*a)*",'00 Encuesta'!$BC$2:$BC$511,"*b)*")</f>
        <v>4</v>
      </c>
      <c r="X436" s="52">
        <f>W436/$X$6*100</f>
        <v>19.047619047619047</v>
      </c>
      <c r="Y436" s="53">
        <f>COUNTIFS('00 Encuesta'!$B$2:$B$511,"*b)*",'00 Encuesta'!$C$2:$C$511,"*c)*",'00 Encuesta'!$E$2:$E$511,"*b)*",'00 Encuesta'!$BC$2:$BC$511,"*b)*")</f>
        <v>1</v>
      </c>
      <c r="Z436" s="52">
        <f>Y436/$X$7*100</f>
        <v>5.5555555555555554</v>
      </c>
      <c r="AA436" s="3"/>
      <c r="AB436" s="62">
        <f>G436+N436+U436</f>
        <v>8</v>
      </c>
      <c r="AC436" s="52">
        <f>AB436*100/$AC$5</f>
        <v>7.3394495412844041</v>
      </c>
      <c r="AD436" s="3"/>
      <c r="AE436" s="3"/>
      <c r="AF436" s="9" t="str">
        <f t="shared" si="714"/>
        <v>b) Hay de todo tipo, pero predomina lo negativo</v>
      </c>
      <c r="AG436" s="72">
        <f>J436</f>
        <v>4.7619047619047619</v>
      </c>
      <c r="AH436" s="72">
        <f>L436</f>
        <v>5.8823529411764701</v>
      </c>
      <c r="AI436" s="73">
        <f>H436</f>
        <v>5.2631578947368416</v>
      </c>
      <c r="AJ436" s="73"/>
      <c r="AK436" s="76">
        <f>Q436</f>
        <v>5.8823529411764701</v>
      </c>
      <c r="AL436" s="76">
        <f>S436</f>
        <v>0</v>
      </c>
      <c r="AM436" s="76">
        <f>O436</f>
        <v>3.125</v>
      </c>
      <c r="AN436" s="76"/>
      <c r="AO436" s="81">
        <f>X436</f>
        <v>19.047619047619047</v>
      </c>
      <c r="AP436" s="81">
        <f>Z436</f>
        <v>5.5555555555555554</v>
      </c>
      <c r="AQ436" s="81">
        <f>V436</f>
        <v>12.820512820512819</v>
      </c>
      <c r="AR436" s="3"/>
      <c r="AS436" s="76">
        <f t="shared" si="688"/>
        <v>7.3394495412844041</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ht="15.75" x14ac:dyDescent="0.3">
      <c r="A437" s="1" t="s">
        <v>20</v>
      </c>
      <c r="B437" s="2" t="s">
        <v>280</v>
      </c>
      <c r="C437" s="3"/>
      <c r="D437" s="3"/>
      <c r="E437" s="3"/>
      <c r="F437" s="4">
        <v>50</v>
      </c>
      <c r="G437" s="51">
        <f>I437+K437</f>
        <v>18</v>
      </c>
      <c r="H437" s="52">
        <f>G437/$J$5*100</f>
        <v>47.368421052631575</v>
      </c>
      <c r="I437" s="53">
        <f>COUNTIFS('00 Encuesta'!$B$2:$B$511,"*b)*",'00 Encuesta'!$C$2:$C$511,"*a)*",'00 Encuesta'!$E$2:$E$511,"*a)*",'00 Encuesta'!$BC$2:$BC$511,"*c)*")</f>
        <v>9</v>
      </c>
      <c r="J437" s="52">
        <f>I437/$J$6*100</f>
        <v>42.857142857142854</v>
      </c>
      <c r="K437" s="53">
        <f>COUNTIFS('00 Encuesta'!$B$2:$B$511,"*b)*",'00 Encuesta'!$C$2:$C$511,"*a)*",'00 Encuesta'!$E$2:$E$511,"*b)*",'00 Encuesta'!$BC$2:$BC$511,"*c)*")</f>
        <v>9</v>
      </c>
      <c r="L437" s="52">
        <f>K437/$J$7*100</f>
        <v>52.941176470588239</v>
      </c>
      <c r="M437" s="23"/>
      <c r="N437" s="51">
        <f>P437+R437</f>
        <v>8</v>
      </c>
      <c r="O437" s="52">
        <f>N437/$Q$5*100</f>
        <v>25</v>
      </c>
      <c r="P437" s="53">
        <f>COUNTIFS('00 Encuesta'!$B$2:$B$511,"*b)*",'00 Encuesta'!$C$2:$C$511,"*b)*",'00 Encuesta'!$E$2:$E$511,"*a)*",'00 Encuesta'!$BC$2:$BC$511,"*c)*")</f>
        <v>3</v>
      </c>
      <c r="Q437" s="52">
        <f>P437/$Q$6*100</f>
        <v>17.647058823529413</v>
      </c>
      <c r="R437" s="53">
        <f>COUNTIFS('00 Encuesta'!$B$2:$B$511,"*b)*",'00 Encuesta'!$C$2:$C$511,"*b)*",'00 Encuesta'!$E$2:$E$511,"*b)*",'00 Encuesta'!$BC$2:$BC$511,"*c)*")</f>
        <v>5</v>
      </c>
      <c r="S437" s="52">
        <f>R437/$Q$7*100</f>
        <v>33.333333333333329</v>
      </c>
      <c r="T437" s="3"/>
      <c r="U437" s="51">
        <f>W437+Y437</f>
        <v>12</v>
      </c>
      <c r="V437" s="52">
        <f>U437/$X$5*100</f>
        <v>30.76923076923077</v>
      </c>
      <c r="W437" s="53">
        <f>COUNTIFS('00 Encuesta'!$B$2:$B$511,"*b)*",'00 Encuesta'!$C$2:$C$511,"*c)*",'00 Encuesta'!$E$2:$E$511,"*a)*",'00 Encuesta'!$BC$2:$BC$511,"*c)*")</f>
        <v>4</v>
      </c>
      <c r="X437" s="52">
        <f>W437/$X$6*100</f>
        <v>19.047619047619047</v>
      </c>
      <c r="Y437" s="53">
        <f>COUNTIFS('00 Encuesta'!$B$2:$B$511,"*b)*",'00 Encuesta'!$C$2:$C$511,"*c)*",'00 Encuesta'!$E$2:$E$511,"*b)*",'00 Encuesta'!$BC$2:$BC$511,"*c)*")</f>
        <v>8</v>
      </c>
      <c r="Z437" s="52">
        <f>Y437/$X$7*100</f>
        <v>44.444444444444443</v>
      </c>
      <c r="AA437" s="3"/>
      <c r="AB437" s="62">
        <f>G437+N437+U437</f>
        <v>38</v>
      </c>
      <c r="AC437" s="52">
        <f>AB437*100/$AC$5</f>
        <v>34.862385321100916</v>
      </c>
      <c r="AD437" s="3"/>
      <c r="AE437" s="3"/>
      <c r="AF437" s="9" t="str">
        <f t="shared" si="714"/>
        <v>c) Son personas normales y corrientes</v>
      </c>
      <c r="AG437" s="72">
        <f>J437</f>
        <v>42.857142857142854</v>
      </c>
      <c r="AH437" s="72">
        <f>L437</f>
        <v>52.941176470588239</v>
      </c>
      <c r="AI437" s="73">
        <f>H437</f>
        <v>47.368421052631575</v>
      </c>
      <c r="AJ437" s="73"/>
      <c r="AK437" s="76">
        <f>Q437</f>
        <v>17.647058823529413</v>
      </c>
      <c r="AL437" s="76">
        <f>S437</f>
        <v>33.333333333333329</v>
      </c>
      <c r="AM437" s="76">
        <f>O437</f>
        <v>25</v>
      </c>
      <c r="AN437" s="76"/>
      <c r="AO437" s="81">
        <f>X437</f>
        <v>19.047619047619047</v>
      </c>
      <c r="AP437" s="81">
        <f>Z437</f>
        <v>44.444444444444443</v>
      </c>
      <c r="AQ437" s="81">
        <f>V437</f>
        <v>30.76923076923077</v>
      </c>
      <c r="AR437" s="3"/>
      <c r="AS437" s="76">
        <f t="shared" si="688"/>
        <v>34.862385321100916</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ht="15.75" x14ac:dyDescent="0.3">
      <c r="A438" s="1" t="s">
        <v>21</v>
      </c>
      <c r="B438" s="2" t="s">
        <v>281</v>
      </c>
      <c r="C438" s="3"/>
      <c r="D438" s="3"/>
      <c r="E438" s="3"/>
      <c r="F438" s="4">
        <v>75</v>
      </c>
      <c r="G438" s="51">
        <f>I438+K438</f>
        <v>5</v>
      </c>
      <c r="H438" s="52">
        <f>G438/$J$5*100</f>
        <v>13.157894736842104</v>
      </c>
      <c r="I438" s="53">
        <f>COUNTIFS('00 Encuesta'!$B$2:$B$511,"*b)*",'00 Encuesta'!$C$2:$C$511,"*a)*",'00 Encuesta'!$E$2:$E$511,"*a)*",'00 Encuesta'!$BC$2:$BC$511,"*d)*")</f>
        <v>5</v>
      </c>
      <c r="J438" s="52">
        <f>I438/$J$6*100</f>
        <v>23.809523809523807</v>
      </c>
      <c r="K438" s="53">
        <f>COUNTIFS('00 Encuesta'!$B$2:$B$511,"*b)*",'00 Encuesta'!$C$2:$C$511,"*a)*",'00 Encuesta'!$E$2:$E$511,"*b)*",'00 Encuesta'!$BC$2:$BC$511,"*d)*")</f>
        <v>0</v>
      </c>
      <c r="L438" s="52">
        <f>K438/$J$7*100</f>
        <v>0</v>
      </c>
      <c r="M438" s="23"/>
      <c r="N438" s="51">
        <f>P438+R438</f>
        <v>15</v>
      </c>
      <c r="O438" s="52">
        <f>N438/$Q$5*100</f>
        <v>46.875</v>
      </c>
      <c r="P438" s="53">
        <f>COUNTIFS('00 Encuesta'!$B$2:$B$511,"*b)*",'00 Encuesta'!$C$2:$C$511,"*b)*",'00 Encuesta'!$E$2:$E$511,"*a)*",'00 Encuesta'!$BC$2:$BC$511,"*d)*")</f>
        <v>6</v>
      </c>
      <c r="Q438" s="52">
        <f>P438/$Q$6*100</f>
        <v>35.294117647058826</v>
      </c>
      <c r="R438" s="53">
        <f>COUNTIFS('00 Encuesta'!$B$2:$B$511,"*b)*",'00 Encuesta'!$C$2:$C$511,"*b)*",'00 Encuesta'!$E$2:$E$511,"*b)*",'00 Encuesta'!$BC$2:$BC$511,"*d)*")</f>
        <v>9</v>
      </c>
      <c r="S438" s="52">
        <f>R438/$Q$7*100</f>
        <v>60</v>
      </c>
      <c r="T438" s="3"/>
      <c r="U438" s="51">
        <f>W438+Y438</f>
        <v>16</v>
      </c>
      <c r="V438" s="52">
        <f>U438/$X$5*100</f>
        <v>41.025641025641022</v>
      </c>
      <c r="W438" s="53">
        <f>COUNTIFS('00 Encuesta'!$B$2:$B$511,"*b)*",'00 Encuesta'!$C$2:$C$511,"*c)*",'00 Encuesta'!$E$2:$E$511,"*a)*",'00 Encuesta'!$BC$2:$BC$511,"*d)*")</f>
        <v>10</v>
      </c>
      <c r="X438" s="52">
        <f>W438/$X$6*100</f>
        <v>47.619047619047613</v>
      </c>
      <c r="Y438" s="53">
        <f>COUNTIFS('00 Encuesta'!$B$2:$B$511,"*b)*",'00 Encuesta'!$C$2:$C$511,"*c)*",'00 Encuesta'!$E$2:$E$511,"*b)*",'00 Encuesta'!$BC$2:$BC$511,"*d)*")</f>
        <v>6</v>
      </c>
      <c r="Z438" s="52">
        <f>Y438/$X$7*100</f>
        <v>33.333333333333329</v>
      </c>
      <c r="AA438" s="3"/>
      <c r="AB438" s="62">
        <f>G438+N438+U438</f>
        <v>36</v>
      </c>
      <c r="AC438" s="52">
        <f>AB438*100/$AC$5</f>
        <v>33.027522935779814</v>
      </c>
      <c r="AD438" s="3"/>
      <c r="AE438" s="3"/>
      <c r="AF438" s="9" t="str">
        <f t="shared" si="714"/>
        <v>d) Hay de todo tipo, pero predomina lo positivo</v>
      </c>
      <c r="AG438" s="72">
        <f>J438</f>
        <v>23.809523809523807</v>
      </c>
      <c r="AH438" s="72">
        <f>L438</f>
        <v>0</v>
      </c>
      <c r="AI438" s="73">
        <f>H438</f>
        <v>13.157894736842104</v>
      </c>
      <c r="AJ438" s="73"/>
      <c r="AK438" s="76">
        <f>Q438</f>
        <v>35.294117647058826</v>
      </c>
      <c r="AL438" s="76">
        <f>S438</f>
        <v>60</v>
      </c>
      <c r="AM438" s="76">
        <f>O438</f>
        <v>46.875</v>
      </c>
      <c r="AN438" s="76"/>
      <c r="AO438" s="81">
        <f>X438</f>
        <v>47.619047619047613</v>
      </c>
      <c r="AP438" s="81">
        <f>Z438</f>
        <v>33.333333333333329</v>
      </c>
      <c r="AQ438" s="81">
        <f>V438</f>
        <v>41.025641025641022</v>
      </c>
      <c r="AR438" s="3"/>
      <c r="AS438" s="76">
        <f t="shared" si="688"/>
        <v>33.027522935779814</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ht="15.75" x14ac:dyDescent="0.3">
      <c r="A439" s="1" t="s">
        <v>22</v>
      </c>
      <c r="B439" s="2" t="s">
        <v>282</v>
      </c>
      <c r="C439" s="3"/>
      <c r="D439" s="3"/>
      <c r="E439" s="3"/>
      <c r="F439" s="4">
        <v>100</v>
      </c>
      <c r="G439" s="51">
        <f>I439+K439</f>
        <v>7</v>
      </c>
      <c r="H439" s="52">
        <f>G439/$J$5*100</f>
        <v>18.421052631578945</v>
      </c>
      <c r="I439" s="53">
        <f>COUNTIFS('00 Encuesta'!$B$2:$B$511,"*b)*",'00 Encuesta'!$C$2:$C$511,"*a)*",'00 Encuesta'!$E$2:$E$511,"*a)*",'00 Encuesta'!$BC$2:$BC$511,"*e)*")</f>
        <v>2</v>
      </c>
      <c r="J439" s="52">
        <f>I439/$J$6*100</f>
        <v>9.5238095238095237</v>
      </c>
      <c r="K439" s="53">
        <f>COUNTIFS('00 Encuesta'!$B$2:$B$511,"*b)*",'00 Encuesta'!$C$2:$C$511,"*a)*",'00 Encuesta'!$E$2:$E$511,"*b)*",'00 Encuesta'!$BC$2:$BC$511,"*e)*")</f>
        <v>5</v>
      </c>
      <c r="L439" s="52">
        <f>K439/$J$7*100</f>
        <v>29.411764705882355</v>
      </c>
      <c r="M439" s="23"/>
      <c r="N439" s="51">
        <f>P439+R439</f>
        <v>3</v>
      </c>
      <c r="O439" s="52">
        <f>N439/$Q$5*100</f>
        <v>9.375</v>
      </c>
      <c r="P439" s="53">
        <f>COUNTIFS('00 Encuesta'!$B$2:$B$511,"*b)*",'00 Encuesta'!$C$2:$C$511,"*b)*",'00 Encuesta'!$E$2:$E$511,"*a)*",'00 Encuesta'!$BC$2:$BC$511,"*e)*")</f>
        <v>2</v>
      </c>
      <c r="Q439" s="52">
        <f>P439/$Q$6*100</f>
        <v>11.76470588235294</v>
      </c>
      <c r="R439" s="53">
        <f>COUNTIFS('00 Encuesta'!$B$2:$B$511,"*b)*",'00 Encuesta'!$C$2:$C$511,"*b)*",'00 Encuesta'!$E$2:$E$511,"*b)*",'00 Encuesta'!$BC$2:$BC$511,"*e)*")</f>
        <v>1</v>
      </c>
      <c r="S439" s="52">
        <f>R439/$Q$7*100</f>
        <v>6.666666666666667</v>
      </c>
      <c r="T439" s="3"/>
      <c r="U439" s="51">
        <f>W439+Y439</f>
        <v>3</v>
      </c>
      <c r="V439" s="52">
        <f>U439/$X$5*100</f>
        <v>7.6923076923076925</v>
      </c>
      <c r="W439" s="53">
        <f>COUNTIFS('00 Encuesta'!$B$2:$B$511,"*b)*",'00 Encuesta'!$C$2:$C$511,"*c)*",'00 Encuesta'!$E$2:$E$511,"*a)*",'00 Encuesta'!$BC$2:$BC$511,"*e)*")</f>
        <v>1</v>
      </c>
      <c r="X439" s="52">
        <f>W439/$X$6*100</f>
        <v>4.7619047619047619</v>
      </c>
      <c r="Y439" s="53">
        <f>COUNTIFS('00 Encuesta'!$B$2:$B$511,"*b)*",'00 Encuesta'!$C$2:$C$511,"*c)*",'00 Encuesta'!$E$2:$E$511,"*b)*",'00 Encuesta'!$BC$2:$BC$511,"*e)*")</f>
        <v>2</v>
      </c>
      <c r="Z439" s="52">
        <f>Y439/$X$7*100</f>
        <v>11.111111111111111</v>
      </c>
      <c r="AA439" s="3"/>
      <c r="AB439" s="62">
        <f>G439+N439+U439</f>
        <v>13</v>
      </c>
      <c r="AC439" s="52">
        <f>AB439*100/$AC$5</f>
        <v>11.926605504587156</v>
      </c>
      <c r="AD439" s="3"/>
      <c r="AE439" s="3"/>
      <c r="AF439" s="9" t="str">
        <f t="shared" si="714"/>
        <v>e) Son personas que me gustan y admiro</v>
      </c>
      <c r="AG439" s="72">
        <f>J439</f>
        <v>9.5238095238095237</v>
      </c>
      <c r="AH439" s="72">
        <f>L439</f>
        <v>29.411764705882355</v>
      </c>
      <c r="AI439" s="73">
        <f>H439</f>
        <v>18.421052631578945</v>
      </c>
      <c r="AJ439" s="73"/>
      <c r="AK439" s="76">
        <f>Q439</f>
        <v>11.76470588235294</v>
      </c>
      <c r="AL439" s="76">
        <f>S439</f>
        <v>6.666666666666667</v>
      </c>
      <c r="AM439" s="76">
        <f>O439</f>
        <v>9.375</v>
      </c>
      <c r="AN439" s="76"/>
      <c r="AO439" s="81">
        <f>X439</f>
        <v>4.7619047619047619</v>
      </c>
      <c r="AP439" s="81">
        <f>Z439</f>
        <v>11.111111111111111</v>
      </c>
      <c r="AQ439" s="81">
        <f>V439</f>
        <v>7.6923076923076925</v>
      </c>
      <c r="AR439" s="3"/>
      <c r="AS439" s="76">
        <f t="shared" si="688"/>
        <v>11.926605504587156</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ht="15.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55.263157894736842</v>
      </c>
      <c r="AH440" s="82">
        <f>($F439*K439+$F435*K435+$F436*K436+$F437*K437+$F438*K438)/(K439+K435+K436+K437+K438)</f>
        <v>60.9375</v>
      </c>
      <c r="AI440" s="82">
        <f>($F439*G439+$F435*G435+$F436*G436+$F437*G437+$F438*G438)/(G439+G435+G436+G437+G438)</f>
        <v>57.857142857142854</v>
      </c>
      <c r="AJ440" s="82"/>
      <c r="AK440" s="82">
        <f>($F439*Q439+$F435*Q435+$F436*Q436+$F437*Q437+$F438*Q438)/(Q439+Q435+Q436+Q437+Q438)</f>
        <v>63.461538461538467</v>
      </c>
      <c r="AL440" s="82">
        <f>($F439*S439+$F435*S435+$F436*S436+$F437*S437+$F438*S438)/(S439+S435+S436+S437+S438)</f>
        <v>68.333333333333329</v>
      </c>
      <c r="AM440" s="82">
        <f>($F439*O439+$F435*O435+$F436*O436+$F437*O437+$F438*O438)/(O439+O435+O436+O437+O438)</f>
        <v>66.071428571428569</v>
      </c>
      <c r="AN440" s="82"/>
      <c r="AO440" s="82">
        <f>($F439*W439+$F435*W435+$F436*W436+$F437*W437+$F438*W438)/(W439+W435+W436+W437+W438)</f>
        <v>54.761904761904759</v>
      </c>
      <c r="AP440" s="82">
        <f>($F439*Y439+$F435*Y435+$F436*Y436+$F437*Y437+$F438*Y438)/(Y439+Y435+Y436+Y437+Y438)</f>
        <v>59.722222222222221</v>
      </c>
      <c r="AQ440" s="82">
        <f>($F439*U439+$F435*U435+$F436*U436+$F437*U437+$F438*U438)/(U439+U435+U436+U437+U438)</f>
        <v>57.051282051282051</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715">I442+K442</f>
        <v>20</v>
      </c>
      <c r="H442" s="52">
        <f t="shared" ref="H442:H452" si="716">G442/$J$5*100</f>
        <v>52.631578947368418</v>
      </c>
      <c r="I442" s="53">
        <f>COUNTIFS('00 Encuesta'!$B$2:$B$511,"*b)*",'00 Encuesta'!$C$2:$C$511,"*a)*",'00 Encuesta'!$E$2:$E$511,"*a)*",'00 Encuesta'!$BD$2:$BD$511,"*a)*")</f>
        <v>12</v>
      </c>
      <c r="J442" s="52">
        <f t="shared" ref="J442:J452" si="717">I442/$J$6*100</f>
        <v>57.142857142857139</v>
      </c>
      <c r="K442" s="53">
        <f>COUNTIFS('00 Encuesta'!$B$2:$B$511,"*b)*",'00 Encuesta'!$C$2:$C$511,"*a)*",'00 Encuesta'!$E$2:$E$511,"*b)*",'00 Encuesta'!$BD$2:$BD$511,"*a)*")</f>
        <v>8</v>
      </c>
      <c r="L442" s="52">
        <f t="shared" ref="L442:L452" si="718">K442/$J$7*100</f>
        <v>47.058823529411761</v>
      </c>
      <c r="M442" s="23"/>
      <c r="N442" s="51">
        <f t="shared" ref="N442:N452" si="719">P442+R442</f>
        <v>12</v>
      </c>
      <c r="O442" s="52">
        <f t="shared" ref="O442:O452" si="720">N442/$Q$5*100</f>
        <v>37.5</v>
      </c>
      <c r="P442" s="53">
        <f>COUNTIFS('00 Encuesta'!$B$2:$B$511,"*b)*",'00 Encuesta'!$C$2:$C$511,"*b)*",'00 Encuesta'!$E$2:$E$511,"*a)*",'00 Encuesta'!$BD$2:$BD$511,"*a)*")</f>
        <v>7</v>
      </c>
      <c r="Q442" s="52">
        <f t="shared" ref="Q442:Q452" si="721">P442/$Q$6*100</f>
        <v>41.17647058823529</v>
      </c>
      <c r="R442" s="53">
        <f>COUNTIFS('00 Encuesta'!$B$2:$B$511,"*b)*",'00 Encuesta'!$C$2:$C$511,"*b)*",'00 Encuesta'!$E$2:$E$511,"*b)*",'00 Encuesta'!$BD$2:$BD$511,"*a)*")</f>
        <v>5</v>
      </c>
      <c r="S442" s="52">
        <f t="shared" ref="S442:S452" si="722">R442/$Q$7*100</f>
        <v>33.333333333333329</v>
      </c>
      <c r="T442" s="3"/>
      <c r="U442" s="51">
        <f t="shared" ref="U442:U452" si="723">W442+Y442</f>
        <v>24</v>
      </c>
      <c r="V442" s="52">
        <f t="shared" ref="V442:V452" si="724">U442/$X$5*100</f>
        <v>61.53846153846154</v>
      </c>
      <c r="W442" s="53">
        <f>COUNTIFS('00 Encuesta'!$B$2:$B$511,"*b)*",'00 Encuesta'!$C$2:$C$511,"*c)*",'00 Encuesta'!$E$2:$E$511,"*a)*",'00 Encuesta'!$BD$2:$BD$511,"*a)*")</f>
        <v>17</v>
      </c>
      <c r="X442" s="52">
        <f t="shared" ref="X442:X452" si="725">W442/$X$6*100</f>
        <v>80.952380952380949</v>
      </c>
      <c r="Y442" s="53">
        <f>COUNTIFS('00 Encuesta'!$B$2:$B$511,"*b)*",'00 Encuesta'!$C$2:$C$511,"*c)*",'00 Encuesta'!$E$2:$E$511,"*b)*",'00 Encuesta'!$BD$2:$BD$511,"*a)*")</f>
        <v>7</v>
      </c>
      <c r="Z442" s="52">
        <f t="shared" ref="Z442:Z452" si="726">Y442/$X$7*100</f>
        <v>38.888888888888893</v>
      </c>
      <c r="AA442" s="3"/>
      <c r="AB442" s="62">
        <f t="shared" ref="AB442:AB452" si="727">G442+N442+U442</f>
        <v>56</v>
      </c>
      <c r="AC442" s="52">
        <f t="shared" ref="AC442:AC452" si="728">AB442*100/$AC$5</f>
        <v>51.376146788990823</v>
      </c>
      <c r="AD442" s="3"/>
      <c r="AE442" s="3"/>
      <c r="AF442" s="9" t="str">
        <f t="shared" ref="AF442:AF452" si="729">A442&amp;" "&amp;B442</f>
        <v>a) Mi padre</v>
      </c>
      <c r="AG442" s="72">
        <f t="shared" ref="AG442:AG452" si="730">J442</f>
        <v>57.142857142857139</v>
      </c>
      <c r="AH442" s="72">
        <f t="shared" ref="AH442:AH452" si="731">L442</f>
        <v>47.058823529411761</v>
      </c>
      <c r="AI442" s="73">
        <f t="shared" ref="AI442:AI452" si="732">H442</f>
        <v>52.631578947368418</v>
      </c>
      <c r="AJ442" s="73"/>
      <c r="AK442" s="76">
        <f t="shared" ref="AK442:AK452" si="733">Q442</f>
        <v>41.17647058823529</v>
      </c>
      <c r="AL442" s="76">
        <f t="shared" ref="AL442:AL452" si="734">S442</f>
        <v>33.333333333333329</v>
      </c>
      <c r="AM442" s="76">
        <f t="shared" ref="AM442:AM452" si="735">O442</f>
        <v>37.5</v>
      </c>
      <c r="AN442" s="76"/>
      <c r="AO442" s="81">
        <f t="shared" ref="AO442:AO452" si="736">X442</f>
        <v>80.952380952380949</v>
      </c>
      <c r="AP442" s="81">
        <f t="shared" ref="AP442:AP452" si="737">Z442</f>
        <v>38.888888888888893</v>
      </c>
      <c r="AQ442" s="81">
        <f t="shared" ref="AQ442:AQ452" si="738">V442</f>
        <v>61.53846153846154</v>
      </c>
      <c r="AR442" s="3"/>
      <c r="AS442" s="76">
        <f t="shared" si="688"/>
        <v>51.376146788990823</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715"/>
        <v>24</v>
      </c>
      <c r="H443" s="52">
        <f t="shared" si="716"/>
        <v>63.157894736842103</v>
      </c>
      <c r="I443" s="53">
        <f>COUNTIFS('00 Encuesta'!$B$2:$B$511,"*b)*",'00 Encuesta'!$C$2:$C$511,"*a)*",'00 Encuesta'!$E$2:$E$511,"*a)*",'00 Encuesta'!$BD$2:$BD$511,"*b)*")</f>
        <v>14</v>
      </c>
      <c r="J443" s="52">
        <f t="shared" si="717"/>
        <v>66.666666666666657</v>
      </c>
      <c r="K443" s="53">
        <f>COUNTIFS('00 Encuesta'!$B$2:$B$511,"*b)*",'00 Encuesta'!$C$2:$C$511,"*a)*",'00 Encuesta'!$E$2:$E$511,"*b)*",'00 Encuesta'!$BD$2:$BD$511,"*b)*")</f>
        <v>10</v>
      </c>
      <c r="L443" s="52">
        <f t="shared" si="718"/>
        <v>58.82352941176471</v>
      </c>
      <c r="M443" s="23"/>
      <c r="N443" s="51">
        <f t="shared" si="719"/>
        <v>20</v>
      </c>
      <c r="O443" s="52">
        <f t="shared" si="720"/>
        <v>62.5</v>
      </c>
      <c r="P443" s="53">
        <f>COUNTIFS('00 Encuesta'!$B$2:$B$511,"*b)*",'00 Encuesta'!$C$2:$C$511,"*b)*",'00 Encuesta'!$E$2:$E$511,"*a)*",'00 Encuesta'!$BD$2:$BD$511,"*b)*")</f>
        <v>7</v>
      </c>
      <c r="Q443" s="52">
        <f t="shared" si="721"/>
        <v>41.17647058823529</v>
      </c>
      <c r="R443" s="53">
        <f>COUNTIFS('00 Encuesta'!$B$2:$B$511,"*b)*",'00 Encuesta'!$C$2:$C$511,"*b)*",'00 Encuesta'!$E$2:$E$511,"*b)*",'00 Encuesta'!$BD$2:$BD$511,"*b)*")</f>
        <v>13</v>
      </c>
      <c r="S443" s="52">
        <f t="shared" si="722"/>
        <v>86.666666666666671</v>
      </c>
      <c r="T443" s="3"/>
      <c r="U443" s="51">
        <f t="shared" si="723"/>
        <v>32</v>
      </c>
      <c r="V443" s="52">
        <f t="shared" si="724"/>
        <v>82.051282051282044</v>
      </c>
      <c r="W443" s="53">
        <f>COUNTIFS('00 Encuesta'!$B$2:$B$511,"*b)*",'00 Encuesta'!$C$2:$C$511,"*c)*",'00 Encuesta'!$E$2:$E$511,"*a)*",'00 Encuesta'!$BD$2:$BD$511,"*b)*")</f>
        <v>17</v>
      </c>
      <c r="X443" s="52">
        <f t="shared" si="725"/>
        <v>80.952380952380949</v>
      </c>
      <c r="Y443" s="53">
        <f>COUNTIFS('00 Encuesta'!$B$2:$B$511,"*b)*",'00 Encuesta'!$C$2:$C$511,"*c)*",'00 Encuesta'!$E$2:$E$511,"*b)*",'00 Encuesta'!$BD$2:$BD$511,"*b)*")</f>
        <v>15</v>
      </c>
      <c r="Z443" s="52">
        <f t="shared" si="726"/>
        <v>83.333333333333343</v>
      </c>
      <c r="AA443" s="3"/>
      <c r="AB443" s="62">
        <f t="shared" si="727"/>
        <v>76</v>
      </c>
      <c r="AC443" s="52">
        <f t="shared" si="728"/>
        <v>69.724770642201833</v>
      </c>
      <c r="AD443" s="3"/>
      <c r="AE443" s="3"/>
      <c r="AF443" s="9" t="str">
        <f t="shared" si="729"/>
        <v>b) Mi madre</v>
      </c>
      <c r="AG443" s="72">
        <f t="shared" si="730"/>
        <v>66.666666666666657</v>
      </c>
      <c r="AH443" s="72">
        <f t="shared" si="731"/>
        <v>58.82352941176471</v>
      </c>
      <c r="AI443" s="73">
        <f t="shared" si="732"/>
        <v>63.157894736842103</v>
      </c>
      <c r="AJ443" s="73"/>
      <c r="AK443" s="76">
        <f t="shared" si="733"/>
        <v>41.17647058823529</v>
      </c>
      <c r="AL443" s="76">
        <f t="shared" si="734"/>
        <v>86.666666666666671</v>
      </c>
      <c r="AM443" s="76">
        <f t="shared" si="735"/>
        <v>62.5</v>
      </c>
      <c r="AN443" s="76"/>
      <c r="AO443" s="81">
        <f t="shared" si="736"/>
        <v>80.952380952380949</v>
      </c>
      <c r="AP443" s="81">
        <f t="shared" si="737"/>
        <v>83.333333333333343</v>
      </c>
      <c r="AQ443" s="81">
        <f t="shared" si="738"/>
        <v>82.051282051282044</v>
      </c>
      <c r="AR443" s="3"/>
      <c r="AS443" s="76">
        <f t="shared" si="688"/>
        <v>69.724770642201833</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12</v>
      </c>
      <c r="H444" s="52">
        <f t="shared" si="716"/>
        <v>31.578947368421051</v>
      </c>
      <c r="I444" s="53">
        <f>COUNTIFS('00 Encuesta'!$B$2:$B$511,"*b)*",'00 Encuesta'!$C$2:$C$511,"*a)*",'00 Encuesta'!$E$2:$E$511,"*a)*",'00 Encuesta'!$BD$2:$BD$511,"*c)*")</f>
        <v>6</v>
      </c>
      <c r="J444" s="52">
        <f t="shared" si="717"/>
        <v>28.571428571428569</v>
      </c>
      <c r="K444" s="53">
        <f>COUNTIFS('00 Encuesta'!$B$2:$B$511,"*b)*",'00 Encuesta'!$C$2:$C$511,"*a)*",'00 Encuesta'!$E$2:$E$511,"*b)*",'00 Encuesta'!$BD$2:$BD$511,"*c)*")</f>
        <v>6</v>
      </c>
      <c r="L444" s="52">
        <f t="shared" si="718"/>
        <v>35.294117647058826</v>
      </c>
      <c r="M444" s="23"/>
      <c r="N444" s="51">
        <f t="shared" si="719"/>
        <v>16</v>
      </c>
      <c r="O444" s="52">
        <f t="shared" si="720"/>
        <v>50</v>
      </c>
      <c r="P444" s="53">
        <f>COUNTIFS('00 Encuesta'!$B$2:$B$511,"*b)*",'00 Encuesta'!$C$2:$C$511,"*b)*",'00 Encuesta'!$E$2:$E$511,"*a)*",'00 Encuesta'!$BD$2:$BD$511,"*c)*")</f>
        <v>7</v>
      </c>
      <c r="Q444" s="52">
        <f t="shared" si="721"/>
        <v>41.17647058823529</v>
      </c>
      <c r="R444" s="53">
        <f>COUNTIFS('00 Encuesta'!$B$2:$B$511,"*b)*",'00 Encuesta'!$C$2:$C$511,"*b)*",'00 Encuesta'!$E$2:$E$511,"*b)*",'00 Encuesta'!$BD$2:$BD$511,"*c)*")</f>
        <v>9</v>
      </c>
      <c r="S444" s="52">
        <f t="shared" si="722"/>
        <v>60</v>
      </c>
      <c r="T444" s="3"/>
      <c r="U444" s="51">
        <f t="shared" si="723"/>
        <v>22</v>
      </c>
      <c r="V444" s="52">
        <f t="shared" si="724"/>
        <v>56.410256410256409</v>
      </c>
      <c r="W444" s="53">
        <f>COUNTIFS('00 Encuesta'!$B$2:$B$511,"*b)*",'00 Encuesta'!$C$2:$C$511,"*c)*",'00 Encuesta'!$E$2:$E$511,"*a)*",'00 Encuesta'!$BD$2:$BD$511,"*c)*")</f>
        <v>12</v>
      </c>
      <c r="X444" s="52">
        <f t="shared" si="725"/>
        <v>57.142857142857139</v>
      </c>
      <c r="Y444" s="53">
        <f>COUNTIFS('00 Encuesta'!$B$2:$B$511,"*b)*",'00 Encuesta'!$C$2:$C$511,"*c)*",'00 Encuesta'!$E$2:$E$511,"*b)*",'00 Encuesta'!$BD$2:$BD$511,"*c)*")</f>
        <v>10</v>
      </c>
      <c r="Z444" s="52">
        <f t="shared" si="726"/>
        <v>55.555555555555557</v>
      </c>
      <c r="AA444" s="3"/>
      <c r="AB444" s="62">
        <f t="shared" si="727"/>
        <v>50</v>
      </c>
      <c r="AC444" s="52">
        <f t="shared" si="728"/>
        <v>45.871559633027523</v>
      </c>
      <c r="AD444" s="3"/>
      <c r="AE444" s="3"/>
      <c r="AF444" s="9" t="str">
        <f t="shared" si="729"/>
        <v>c) Un hermano/a</v>
      </c>
      <c r="AG444" s="72">
        <f t="shared" si="730"/>
        <v>28.571428571428569</v>
      </c>
      <c r="AH444" s="72">
        <f t="shared" si="731"/>
        <v>35.294117647058826</v>
      </c>
      <c r="AI444" s="73">
        <f t="shared" si="732"/>
        <v>31.578947368421051</v>
      </c>
      <c r="AJ444" s="73"/>
      <c r="AK444" s="76">
        <f t="shared" si="733"/>
        <v>41.17647058823529</v>
      </c>
      <c r="AL444" s="76">
        <f t="shared" si="734"/>
        <v>60</v>
      </c>
      <c r="AM444" s="76">
        <f t="shared" si="735"/>
        <v>50</v>
      </c>
      <c r="AN444" s="76"/>
      <c r="AO444" s="81">
        <f t="shared" si="736"/>
        <v>57.142857142857139</v>
      </c>
      <c r="AP444" s="81">
        <f t="shared" si="737"/>
        <v>55.555555555555557</v>
      </c>
      <c r="AQ444" s="81">
        <f t="shared" si="738"/>
        <v>56.410256410256409</v>
      </c>
      <c r="AR444" s="3"/>
      <c r="AS444" s="76">
        <f t="shared" si="688"/>
        <v>45.871559633027523</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2</v>
      </c>
      <c r="H445" s="52">
        <f t="shared" si="716"/>
        <v>5.2631578947368416</v>
      </c>
      <c r="I445" s="53">
        <f>COUNTIFS('00 Encuesta'!$B$2:$B$511,"*b)*",'00 Encuesta'!$C$2:$C$511,"*a)*",'00 Encuesta'!$E$2:$E$511,"*a)*",'00 Encuesta'!$BD$2:$BD$511,"*d)*")</f>
        <v>2</v>
      </c>
      <c r="J445" s="52">
        <f t="shared" si="717"/>
        <v>9.5238095238095237</v>
      </c>
      <c r="K445" s="53">
        <f>COUNTIFS('00 Encuesta'!$B$2:$B$511,"*b)*",'00 Encuesta'!$C$2:$C$511,"*a)*",'00 Encuesta'!$E$2:$E$511,"*b)*",'00 Encuesta'!$BD$2:$BD$511,"*d)*")</f>
        <v>0</v>
      </c>
      <c r="L445" s="52">
        <f t="shared" si="718"/>
        <v>0</v>
      </c>
      <c r="M445" s="23"/>
      <c r="N445" s="51">
        <f t="shared" si="719"/>
        <v>1</v>
      </c>
      <c r="O445" s="52">
        <f t="shared" si="720"/>
        <v>3.125</v>
      </c>
      <c r="P445" s="53">
        <f>COUNTIFS('00 Encuesta'!$B$2:$B$511,"*b)*",'00 Encuesta'!$C$2:$C$511,"*b)*",'00 Encuesta'!$E$2:$E$511,"*a)*",'00 Encuesta'!$BD$2:$BD$511,"*d)*")</f>
        <v>1</v>
      </c>
      <c r="Q445" s="52">
        <f t="shared" si="721"/>
        <v>5.8823529411764701</v>
      </c>
      <c r="R445" s="53">
        <f>COUNTIFS('00 Encuesta'!$B$2:$B$511,"*b)*",'00 Encuesta'!$C$2:$C$511,"*b)*",'00 Encuesta'!$E$2:$E$511,"*b)*",'00 Encuesta'!$BD$2:$BD$511,"*d)*")</f>
        <v>0</v>
      </c>
      <c r="S445" s="52">
        <f t="shared" si="722"/>
        <v>0</v>
      </c>
      <c r="T445" s="3"/>
      <c r="U445" s="51">
        <f t="shared" si="723"/>
        <v>2</v>
      </c>
      <c r="V445" s="52">
        <f t="shared" si="724"/>
        <v>5.1282051282051277</v>
      </c>
      <c r="W445" s="53">
        <f>COUNTIFS('00 Encuesta'!$B$2:$B$511,"*b)*",'00 Encuesta'!$C$2:$C$511,"*c)*",'00 Encuesta'!$E$2:$E$511,"*a)*",'00 Encuesta'!$BD$2:$BD$511,"*d)*")</f>
        <v>2</v>
      </c>
      <c r="X445" s="52">
        <f t="shared" si="725"/>
        <v>9.5238095238095237</v>
      </c>
      <c r="Y445" s="53">
        <f>COUNTIFS('00 Encuesta'!$B$2:$B$511,"*b)*",'00 Encuesta'!$C$2:$C$511,"*c)*",'00 Encuesta'!$E$2:$E$511,"*b)*",'00 Encuesta'!$BD$2:$BD$511,"*d)*")</f>
        <v>0</v>
      </c>
      <c r="Z445" s="52">
        <f t="shared" si="726"/>
        <v>0</v>
      </c>
      <c r="AA445" s="3"/>
      <c r="AB445" s="62">
        <f t="shared" si="727"/>
        <v>5</v>
      </c>
      <c r="AC445" s="52">
        <f t="shared" si="728"/>
        <v>4.5871559633027523</v>
      </c>
      <c r="AD445" s="3"/>
      <c r="AE445" s="3"/>
      <c r="AF445" s="9" t="str">
        <f t="shared" si="729"/>
        <v>d) Un escolapio, religioso o religiosa</v>
      </c>
      <c r="AG445" s="72">
        <f t="shared" si="730"/>
        <v>9.5238095238095237</v>
      </c>
      <c r="AH445" s="72">
        <f t="shared" si="731"/>
        <v>0</v>
      </c>
      <c r="AI445" s="73">
        <f t="shared" si="732"/>
        <v>5.2631578947368416</v>
      </c>
      <c r="AJ445" s="73"/>
      <c r="AK445" s="76">
        <f t="shared" si="733"/>
        <v>5.8823529411764701</v>
      </c>
      <c r="AL445" s="76">
        <f t="shared" si="734"/>
        <v>0</v>
      </c>
      <c r="AM445" s="76">
        <f t="shared" si="735"/>
        <v>3.125</v>
      </c>
      <c r="AN445" s="76"/>
      <c r="AO445" s="81">
        <f t="shared" si="736"/>
        <v>9.5238095238095237</v>
      </c>
      <c r="AP445" s="81">
        <f t="shared" si="737"/>
        <v>0</v>
      </c>
      <c r="AQ445" s="81">
        <f t="shared" si="738"/>
        <v>5.1282051282051277</v>
      </c>
      <c r="AR445" s="3"/>
      <c r="AS445" s="76">
        <f t="shared" si="688"/>
        <v>4.5871559633027523</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7</v>
      </c>
      <c r="H446" s="52">
        <f t="shared" si="716"/>
        <v>18.421052631578945</v>
      </c>
      <c r="I446" s="53">
        <f>COUNTIFS('00 Encuesta'!$B$2:$B$511,"*b)*",'00 Encuesta'!$C$2:$C$511,"*a)*",'00 Encuesta'!$E$2:$E$511,"*a)*",'00 Encuesta'!$BD$2:$BD$511,"*e)*")</f>
        <v>5</v>
      </c>
      <c r="J446" s="52">
        <f t="shared" si="717"/>
        <v>23.809523809523807</v>
      </c>
      <c r="K446" s="53">
        <f>COUNTIFS('00 Encuesta'!$B$2:$B$511,"*b)*",'00 Encuesta'!$C$2:$C$511,"*a)*",'00 Encuesta'!$E$2:$E$511,"*b)*",'00 Encuesta'!$BD$2:$BD$511,"*e)*")</f>
        <v>2</v>
      </c>
      <c r="L446" s="52">
        <f t="shared" si="718"/>
        <v>11.76470588235294</v>
      </c>
      <c r="M446" s="23"/>
      <c r="N446" s="51">
        <f t="shared" si="719"/>
        <v>6</v>
      </c>
      <c r="O446" s="52">
        <f t="shared" si="720"/>
        <v>18.75</v>
      </c>
      <c r="P446" s="53">
        <f>COUNTIFS('00 Encuesta'!$B$2:$B$511,"*b)*",'00 Encuesta'!$C$2:$C$511,"*b)*",'00 Encuesta'!$E$2:$E$511,"*a)*",'00 Encuesta'!$BD$2:$BD$511,"*e)*")</f>
        <v>3</v>
      </c>
      <c r="Q446" s="52">
        <f t="shared" si="721"/>
        <v>17.647058823529413</v>
      </c>
      <c r="R446" s="53">
        <f>COUNTIFS('00 Encuesta'!$B$2:$B$511,"*b)*",'00 Encuesta'!$C$2:$C$511,"*b)*",'00 Encuesta'!$E$2:$E$511,"*b)*",'00 Encuesta'!$BD$2:$BD$511,"*e)*")</f>
        <v>3</v>
      </c>
      <c r="S446" s="52">
        <f t="shared" si="722"/>
        <v>20</v>
      </c>
      <c r="T446" s="3"/>
      <c r="U446" s="51">
        <f t="shared" si="723"/>
        <v>10</v>
      </c>
      <c r="V446" s="52">
        <f t="shared" si="724"/>
        <v>25.641025641025639</v>
      </c>
      <c r="W446" s="53">
        <f>COUNTIFS('00 Encuesta'!$B$2:$B$511,"*b)*",'00 Encuesta'!$C$2:$C$511,"*c)*",'00 Encuesta'!$E$2:$E$511,"*a)*",'00 Encuesta'!$BD$2:$BD$511,"*e)*")</f>
        <v>5</v>
      </c>
      <c r="X446" s="52">
        <f t="shared" si="725"/>
        <v>23.809523809523807</v>
      </c>
      <c r="Y446" s="53">
        <f>COUNTIFS('00 Encuesta'!$B$2:$B$511,"*b)*",'00 Encuesta'!$C$2:$C$511,"*c)*",'00 Encuesta'!$E$2:$E$511,"*b)*",'00 Encuesta'!$BD$2:$BD$511,"*e)*")</f>
        <v>5</v>
      </c>
      <c r="Z446" s="52">
        <f t="shared" si="726"/>
        <v>27.777777777777779</v>
      </c>
      <c r="AA446" s="3"/>
      <c r="AB446" s="62">
        <f t="shared" si="727"/>
        <v>23</v>
      </c>
      <c r="AC446" s="52">
        <f t="shared" si="728"/>
        <v>21.100917431192659</v>
      </c>
      <c r="AD446" s="3"/>
      <c r="AE446" s="3"/>
      <c r="AF446" s="9" t="str">
        <f t="shared" si="729"/>
        <v>e) Una, una docente</v>
      </c>
      <c r="AG446" s="72">
        <f t="shared" si="730"/>
        <v>23.809523809523807</v>
      </c>
      <c r="AH446" s="72">
        <f t="shared" si="731"/>
        <v>11.76470588235294</v>
      </c>
      <c r="AI446" s="73">
        <f t="shared" si="732"/>
        <v>18.421052631578945</v>
      </c>
      <c r="AJ446" s="73"/>
      <c r="AK446" s="76">
        <f t="shared" si="733"/>
        <v>17.647058823529413</v>
      </c>
      <c r="AL446" s="76">
        <f t="shared" si="734"/>
        <v>20</v>
      </c>
      <c r="AM446" s="76">
        <f t="shared" si="735"/>
        <v>18.75</v>
      </c>
      <c r="AN446" s="76"/>
      <c r="AO446" s="81">
        <f t="shared" si="736"/>
        <v>23.809523809523807</v>
      </c>
      <c r="AP446" s="81">
        <f t="shared" si="737"/>
        <v>27.777777777777779</v>
      </c>
      <c r="AQ446" s="81">
        <f t="shared" si="738"/>
        <v>25.641025641025639</v>
      </c>
      <c r="AR446" s="3"/>
      <c r="AS446" s="76">
        <f t="shared" si="688"/>
        <v>21.100917431192659</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4</v>
      </c>
      <c r="H447" s="52">
        <f t="shared" si="716"/>
        <v>10.526315789473683</v>
      </c>
      <c r="I447" s="53">
        <f>COUNTIFS('00 Encuesta'!$B$2:$B$511,"*b)*",'00 Encuesta'!$C$2:$C$511,"*a)*",'00 Encuesta'!$E$2:$E$511,"*a)*",'00 Encuesta'!$BD$2:$BD$511,"*f)*")</f>
        <v>3</v>
      </c>
      <c r="J447" s="52">
        <f t="shared" si="717"/>
        <v>14.285714285714285</v>
      </c>
      <c r="K447" s="53">
        <f>COUNTIFS('00 Encuesta'!$B$2:$B$511,"*b)*",'00 Encuesta'!$C$2:$C$511,"*a)*",'00 Encuesta'!$E$2:$E$511,"*b)*",'00 Encuesta'!$BD$2:$BD$511,"*f)*")</f>
        <v>1</v>
      </c>
      <c r="L447" s="52">
        <f t="shared" si="718"/>
        <v>5.8823529411764701</v>
      </c>
      <c r="M447" s="23"/>
      <c r="N447" s="51">
        <f t="shared" si="719"/>
        <v>2</v>
      </c>
      <c r="O447" s="52">
        <f t="shared" si="720"/>
        <v>6.25</v>
      </c>
      <c r="P447" s="53">
        <f>COUNTIFS('00 Encuesta'!$B$2:$B$511,"*b)*",'00 Encuesta'!$C$2:$C$511,"*b)*",'00 Encuesta'!$E$2:$E$511,"*a)*",'00 Encuesta'!$BD$2:$BD$511,"*f)*")</f>
        <v>1</v>
      </c>
      <c r="Q447" s="52">
        <f t="shared" si="721"/>
        <v>5.8823529411764701</v>
      </c>
      <c r="R447" s="53">
        <f>COUNTIFS('00 Encuesta'!$B$2:$B$511,"*b)*",'00 Encuesta'!$C$2:$C$511,"*b)*",'00 Encuesta'!$E$2:$E$511,"*b)*",'00 Encuesta'!$BD$2:$BD$511,"*f)*")</f>
        <v>1</v>
      </c>
      <c r="S447" s="52">
        <f t="shared" si="722"/>
        <v>6.666666666666667</v>
      </c>
      <c r="T447" s="3"/>
      <c r="U447" s="51">
        <f t="shared" si="723"/>
        <v>1</v>
      </c>
      <c r="V447" s="52">
        <f t="shared" si="724"/>
        <v>2.5641025641025639</v>
      </c>
      <c r="W447" s="53">
        <f>COUNTIFS('00 Encuesta'!$B$2:$B$511,"*b)*",'00 Encuesta'!$C$2:$C$511,"*c)*",'00 Encuesta'!$E$2:$E$511,"*a)*",'00 Encuesta'!$BD$2:$BD$511,"*f)*")</f>
        <v>0</v>
      </c>
      <c r="X447" s="52">
        <f t="shared" si="725"/>
        <v>0</v>
      </c>
      <c r="Y447" s="53">
        <f>COUNTIFS('00 Encuesta'!$B$2:$B$511,"*b)*",'00 Encuesta'!$C$2:$C$511,"*c)*",'00 Encuesta'!$E$2:$E$511,"*b)*",'00 Encuesta'!$BD$2:$BD$511,"*f)*")</f>
        <v>1</v>
      </c>
      <c r="Z447" s="52">
        <f t="shared" si="726"/>
        <v>5.5555555555555554</v>
      </c>
      <c r="AA447" s="3"/>
      <c r="AB447" s="62">
        <f t="shared" si="727"/>
        <v>7</v>
      </c>
      <c r="AC447" s="52">
        <f t="shared" si="728"/>
        <v>6.4220183486238529</v>
      </c>
      <c r="AD447" s="3"/>
      <c r="AE447" s="3"/>
      <c r="AF447" s="9" t="str">
        <f t="shared" si="729"/>
        <v>f) La orientadora</v>
      </c>
      <c r="AG447" s="72">
        <f t="shared" si="730"/>
        <v>14.285714285714285</v>
      </c>
      <c r="AH447" s="72">
        <f t="shared" si="731"/>
        <v>5.8823529411764701</v>
      </c>
      <c r="AI447" s="73">
        <f t="shared" si="732"/>
        <v>10.526315789473683</v>
      </c>
      <c r="AJ447" s="73"/>
      <c r="AK447" s="76">
        <f t="shared" si="733"/>
        <v>5.8823529411764701</v>
      </c>
      <c r="AL447" s="76">
        <f t="shared" si="734"/>
        <v>6.666666666666667</v>
      </c>
      <c r="AM447" s="76">
        <f t="shared" si="735"/>
        <v>6.25</v>
      </c>
      <c r="AN447" s="76"/>
      <c r="AO447" s="81">
        <f t="shared" si="736"/>
        <v>0</v>
      </c>
      <c r="AP447" s="81">
        <f t="shared" si="737"/>
        <v>5.5555555555555554</v>
      </c>
      <c r="AQ447" s="81">
        <f t="shared" si="738"/>
        <v>2.5641025641025639</v>
      </c>
      <c r="AR447" s="3"/>
      <c r="AS447" s="76">
        <f t="shared" si="688"/>
        <v>6.4220183486238529</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16</v>
      </c>
      <c r="H448" s="52">
        <f t="shared" si="716"/>
        <v>42.105263157894733</v>
      </c>
      <c r="I448" s="53">
        <f>COUNTIFS('00 Encuesta'!$B$2:$B$511,"*b)*",'00 Encuesta'!$C$2:$C$511,"*a)*",'00 Encuesta'!$E$2:$E$511,"*a)*",'00 Encuesta'!$BD$2:$BD$511,"*g)*")</f>
        <v>8</v>
      </c>
      <c r="J448" s="52">
        <f t="shared" si="717"/>
        <v>38.095238095238095</v>
      </c>
      <c r="K448" s="53">
        <f>COUNTIFS('00 Encuesta'!$B$2:$B$511,"*b)*",'00 Encuesta'!$C$2:$C$511,"*a)*",'00 Encuesta'!$E$2:$E$511,"*b)*",'00 Encuesta'!$BD$2:$BD$511,"*g)*")</f>
        <v>8</v>
      </c>
      <c r="L448" s="52">
        <f t="shared" si="718"/>
        <v>47.058823529411761</v>
      </c>
      <c r="M448" s="23"/>
      <c r="N448" s="51">
        <f t="shared" si="719"/>
        <v>18</v>
      </c>
      <c r="O448" s="52">
        <f t="shared" si="720"/>
        <v>56.25</v>
      </c>
      <c r="P448" s="53">
        <f>COUNTIFS('00 Encuesta'!$B$2:$B$511,"*b)*",'00 Encuesta'!$C$2:$C$511,"*b)*",'00 Encuesta'!$E$2:$E$511,"*a)*",'00 Encuesta'!$BD$2:$BD$511,"*g)*")</f>
        <v>12</v>
      </c>
      <c r="Q448" s="52">
        <f t="shared" si="721"/>
        <v>70.588235294117652</v>
      </c>
      <c r="R448" s="53">
        <f>COUNTIFS('00 Encuesta'!$B$2:$B$511,"*b)*",'00 Encuesta'!$C$2:$C$511,"*b)*",'00 Encuesta'!$E$2:$E$511,"*b)*",'00 Encuesta'!$BD$2:$BD$511,"*g)*")</f>
        <v>6</v>
      </c>
      <c r="S448" s="52">
        <f t="shared" si="722"/>
        <v>40</v>
      </c>
      <c r="T448" s="3"/>
      <c r="U448" s="51">
        <f t="shared" si="723"/>
        <v>31</v>
      </c>
      <c r="V448" s="52">
        <f t="shared" si="724"/>
        <v>79.487179487179489</v>
      </c>
      <c r="W448" s="53">
        <f>COUNTIFS('00 Encuesta'!$B$2:$B$511,"*b)*",'00 Encuesta'!$C$2:$C$511,"*c)*",'00 Encuesta'!$E$2:$E$511,"*a)*",'00 Encuesta'!$BD$2:$BD$511,"*g)*")</f>
        <v>17</v>
      </c>
      <c r="X448" s="52">
        <f t="shared" si="725"/>
        <v>80.952380952380949</v>
      </c>
      <c r="Y448" s="53">
        <f>COUNTIFS('00 Encuesta'!$B$2:$B$511,"*b)*",'00 Encuesta'!$C$2:$C$511,"*c)*",'00 Encuesta'!$E$2:$E$511,"*b)*",'00 Encuesta'!$BD$2:$BD$511,"*g)*")</f>
        <v>14</v>
      </c>
      <c r="Z448" s="52">
        <f t="shared" si="726"/>
        <v>77.777777777777786</v>
      </c>
      <c r="AA448" s="3"/>
      <c r="AB448" s="62">
        <f t="shared" si="727"/>
        <v>65</v>
      </c>
      <c r="AC448" s="52">
        <f t="shared" si="728"/>
        <v>59.633027522935777</v>
      </c>
      <c r="AD448" s="3"/>
      <c r="AE448" s="3"/>
      <c r="AF448" s="9" t="str">
        <f t="shared" si="729"/>
        <v>g) Un amigo</v>
      </c>
      <c r="AG448" s="72">
        <f t="shared" si="730"/>
        <v>38.095238095238095</v>
      </c>
      <c r="AH448" s="72">
        <f t="shared" si="731"/>
        <v>47.058823529411761</v>
      </c>
      <c r="AI448" s="73">
        <f t="shared" si="732"/>
        <v>42.105263157894733</v>
      </c>
      <c r="AJ448" s="73"/>
      <c r="AK448" s="76">
        <f t="shared" si="733"/>
        <v>70.588235294117652</v>
      </c>
      <c r="AL448" s="76">
        <f t="shared" si="734"/>
        <v>40</v>
      </c>
      <c r="AM448" s="76">
        <f t="shared" si="735"/>
        <v>56.25</v>
      </c>
      <c r="AN448" s="76"/>
      <c r="AO448" s="81">
        <f t="shared" si="736"/>
        <v>80.952380952380949</v>
      </c>
      <c r="AP448" s="81">
        <f t="shared" si="737"/>
        <v>77.777777777777786</v>
      </c>
      <c r="AQ448" s="81">
        <f t="shared" si="738"/>
        <v>79.487179487179489</v>
      </c>
      <c r="AR448" s="3"/>
      <c r="AS448" s="76">
        <f t="shared" si="688"/>
        <v>59.633027522935777</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18</v>
      </c>
      <c r="H449" s="52">
        <f t="shared" si="716"/>
        <v>47.368421052631575</v>
      </c>
      <c r="I449" s="53">
        <f>COUNTIFS('00 Encuesta'!$B$2:$B$511,"*b)*",'00 Encuesta'!$C$2:$C$511,"*a)*",'00 Encuesta'!$E$2:$E$511,"*a)*",'00 Encuesta'!$BD$2:$BD$511,"*h)*")</f>
        <v>4</v>
      </c>
      <c r="J449" s="52">
        <f t="shared" si="717"/>
        <v>19.047619047619047</v>
      </c>
      <c r="K449" s="53">
        <f>COUNTIFS('00 Encuesta'!$B$2:$B$511,"*b)*",'00 Encuesta'!$C$2:$C$511,"*a)*",'00 Encuesta'!$E$2:$E$511,"*b)*",'00 Encuesta'!$BD$2:$BD$511,"*h)*")</f>
        <v>14</v>
      </c>
      <c r="L449" s="52">
        <f t="shared" si="718"/>
        <v>82.35294117647058</v>
      </c>
      <c r="M449" s="23"/>
      <c r="N449" s="51">
        <f t="shared" si="719"/>
        <v>23</v>
      </c>
      <c r="O449" s="52">
        <f t="shared" si="720"/>
        <v>71.875</v>
      </c>
      <c r="P449" s="53">
        <f>COUNTIFS('00 Encuesta'!$B$2:$B$511,"*b)*",'00 Encuesta'!$C$2:$C$511,"*b)*",'00 Encuesta'!$E$2:$E$511,"*a)*",'00 Encuesta'!$BD$2:$BD$511,"*h)*")</f>
        <v>9</v>
      </c>
      <c r="Q449" s="52">
        <f t="shared" si="721"/>
        <v>52.941176470588239</v>
      </c>
      <c r="R449" s="53">
        <f>COUNTIFS('00 Encuesta'!$B$2:$B$511,"*b)*",'00 Encuesta'!$C$2:$C$511,"*b)*",'00 Encuesta'!$E$2:$E$511,"*b)*",'00 Encuesta'!$BD$2:$BD$511,"*h)*")</f>
        <v>14</v>
      </c>
      <c r="S449" s="52">
        <f t="shared" si="722"/>
        <v>93.333333333333329</v>
      </c>
      <c r="T449" s="3"/>
      <c r="U449" s="51">
        <f t="shared" si="723"/>
        <v>30</v>
      </c>
      <c r="V449" s="52">
        <f t="shared" si="724"/>
        <v>76.923076923076934</v>
      </c>
      <c r="W449" s="53">
        <f>COUNTIFS('00 Encuesta'!$B$2:$B$511,"*b)*",'00 Encuesta'!$C$2:$C$511,"*c)*",'00 Encuesta'!$E$2:$E$511,"*a)*",'00 Encuesta'!$BD$2:$BD$511,"*h)*")</f>
        <v>14</v>
      </c>
      <c r="X449" s="52">
        <f t="shared" si="725"/>
        <v>66.666666666666657</v>
      </c>
      <c r="Y449" s="53">
        <f>COUNTIFS('00 Encuesta'!$B$2:$B$511,"*b)*",'00 Encuesta'!$C$2:$C$511,"*c)*",'00 Encuesta'!$E$2:$E$511,"*b)*",'00 Encuesta'!$BD$2:$BD$511,"*h)*")</f>
        <v>16</v>
      </c>
      <c r="Z449" s="52">
        <f t="shared" si="726"/>
        <v>88.888888888888886</v>
      </c>
      <c r="AA449" s="3"/>
      <c r="AB449" s="62">
        <f t="shared" si="727"/>
        <v>71</v>
      </c>
      <c r="AC449" s="52">
        <f t="shared" si="728"/>
        <v>65.137614678899084</v>
      </c>
      <c r="AD449" s="3"/>
      <c r="AE449" s="3"/>
      <c r="AF449" s="9" t="str">
        <f t="shared" si="729"/>
        <v>h) Una amiga</v>
      </c>
      <c r="AG449" s="72">
        <f t="shared" si="730"/>
        <v>19.047619047619047</v>
      </c>
      <c r="AH449" s="72">
        <f t="shared" si="731"/>
        <v>82.35294117647058</v>
      </c>
      <c r="AI449" s="73">
        <f t="shared" si="732"/>
        <v>47.368421052631575</v>
      </c>
      <c r="AJ449" s="73"/>
      <c r="AK449" s="76">
        <f t="shared" si="733"/>
        <v>52.941176470588239</v>
      </c>
      <c r="AL449" s="76">
        <f t="shared" si="734"/>
        <v>93.333333333333329</v>
      </c>
      <c r="AM449" s="76">
        <f t="shared" si="735"/>
        <v>71.875</v>
      </c>
      <c r="AN449" s="76"/>
      <c r="AO449" s="81">
        <f t="shared" si="736"/>
        <v>66.666666666666657</v>
      </c>
      <c r="AP449" s="81">
        <f t="shared" si="737"/>
        <v>88.888888888888886</v>
      </c>
      <c r="AQ449" s="81">
        <f t="shared" si="738"/>
        <v>76.923076923076934</v>
      </c>
      <c r="AR449" s="3"/>
      <c r="AS449" s="76">
        <f t="shared" si="688"/>
        <v>65.137614678899084</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1</v>
      </c>
      <c r="H450" s="52">
        <f t="shared" si="716"/>
        <v>2.6315789473684208</v>
      </c>
      <c r="I450" s="53">
        <f>COUNTIFS('00 Encuesta'!$B$2:$B$511,"*b)*",'00 Encuesta'!$C$2:$C$511,"*a)*",'00 Encuesta'!$E$2:$E$511,"*a)*",'00 Encuesta'!$BD$2:$BD$511,"*i)*")</f>
        <v>1</v>
      </c>
      <c r="J450" s="52">
        <f t="shared" si="717"/>
        <v>4.7619047619047619</v>
      </c>
      <c r="K450" s="53">
        <f>COUNTIFS('00 Encuesta'!$B$2:$B$511,"*b)*",'00 Encuesta'!$C$2:$C$511,"*a)*",'00 Encuesta'!$E$2:$E$511,"*b)*",'00 Encuesta'!$BD$2:$BD$511,"*i)*")</f>
        <v>0</v>
      </c>
      <c r="L450" s="52">
        <f t="shared" si="718"/>
        <v>0</v>
      </c>
      <c r="M450" s="23"/>
      <c r="N450" s="51">
        <f t="shared" si="719"/>
        <v>0</v>
      </c>
      <c r="O450" s="52">
        <f t="shared" si="720"/>
        <v>0</v>
      </c>
      <c r="P450" s="53">
        <f>COUNTIFS('00 Encuesta'!$B$2:$B$511,"*b)*",'00 Encuesta'!$C$2:$C$511,"*b)*",'00 Encuesta'!$E$2:$E$511,"*a)*",'00 Encuesta'!$BD$2:$BD$511,"*i)*")</f>
        <v>0</v>
      </c>
      <c r="Q450" s="52">
        <f t="shared" si="721"/>
        <v>0</v>
      </c>
      <c r="R450" s="53">
        <f>COUNTIFS('00 Encuesta'!$B$2:$B$511,"*b)*",'00 Encuesta'!$C$2:$C$511,"*b)*",'00 Encuesta'!$E$2:$E$511,"*b)*",'00 Encuesta'!$BD$2:$BD$511,"*i)*")</f>
        <v>0</v>
      </c>
      <c r="S450" s="52">
        <f t="shared" si="722"/>
        <v>0</v>
      </c>
      <c r="T450" s="3"/>
      <c r="U450" s="51">
        <f t="shared" si="723"/>
        <v>1</v>
      </c>
      <c r="V450" s="52">
        <f t="shared" si="724"/>
        <v>2.5641025641025639</v>
      </c>
      <c r="W450" s="53">
        <f>COUNTIFS('00 Encuesta'!$B$2:$B$511,"*b)*",'00 Encuesta'!$C$2:$C$511,"*c)*",'00 Encuesta'!$E$2:$E$511,"*a)*",'00 Encuesta'!$BD$2:$BD$511,"*i)*")</f>
        <v>0</v>
      </c>
      <c r="X450" s="52">
        <f t="shared" si="725"/>
        <v>0</v>
      </c>
      <c r="Y450" s="53">
        <f>COUNTIFS('00 Encuesta'!$B$2:$B$511,"*b)*",'00 Encuesta'!$C$2:$C$511,"*c)*",'00 Encuesta'!$E$2:$E$511,"*b)*",'00 Encuesta'!$BD$2:$BD$511,"*i)*")</f>
        <v>1</v>
      </c>
      <c r="Z450" s="52">
        <f t="shared" si="726"/>
        <v>5.5555555555555554</v>
      </c>
      <c r="AA450" s="3"/>
      <c r="AB450" s="62">
        <f t="shared" si="727"/>
        <v>2</v>
      </c>
      <c r="AC450" s="52">
        <f t="shared" si="728"/>
        <v>1.834862385321101</v>
      </c>
      <c r="AD450" s="3"/>
      <c r="AE450" s="3"/>
      <c r="AF450" s="9" t="str">
        <f t="shared" si="729"/>
        <v>i) Un, una catequista o responsable de grupo</v>
      </c>
      <c r="AG450" s="72">
        <f t="shared" si="730"/>
        <v>4.7619047619047619</v>
      </c>
      <c r="AH450" s="72">
        <f t="shared" si="731"/>
        <v>0</v>
      </c>
      <c r="AI450" s="73">
        <f t="shared" si="732"/>
        <v>2.6315789473684208</v>
      </c>
      <c r="AJ450" s="73"/>
      <c r="AK450" s="76">
        <f t="shared" si="733"/>
        <v>0</v>
      </c>
      <c r="AL450" s="76">
        <f t="shared" si="734"/>
        <v>0</v>
      </c>
      <c r="AM450" s="76">
        <f t="shared" si="735"/>
        <v>0</v>
      </c>
      <c r="AN450" s="76"/>
      <c r="AO450" s="81">
        <f t="shared" si="736"/>
        <v>0</v>
      </c>
      <c r="AP450" s="81">
        <f t="shared" si="737"/>
        <v>5.5555555555555554</v>
      </c>
      <c r="AQ450" s="81">
        <f t="shared" si="738"/>
        <v>2.5641025641025639</v>
      </c>
      <c r="AR450" s="3"/>
      <c r="AS450" s="76">
        <f t="shared" si="688"/>
        <v>1.834862385321101</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6</v>
      </c>
      <c r="H451" s="52">
        <f t="shared" si="716"/>
        <v>15.789473684210526</v>
      </c>
      <c r="I451" s="53">
        <f>COUNTIFS('00 Encuesta'!$B$2:$B$511,"*b)*",'00 Encuesta'!$C$2:$C$511,"*a)*",'00 Encuesta'!$E$2:$E$511,"*a)*",'00 Encuesta'!$BD$2:$BD$511,"*j)*")</f>
        <v>3</v>
      </c>
      <c r="J451" s="52">
        <f t="shared" si="717"/>
        <v>14.285714285714285</v>
      </c>
      <c r="K451" s="53">
        <f>COUNTIFS('00 Encuesta'!$B$2:$B$511,"*b)*",'00 Encuesta'!$C$2:$C$511,"*a)*",'00 Encuesta'!$E$2:$E$511,"*b)*",'00 Encuesta'!$BD$2:$BD$511,"*j)*")</f>
        <v>3</v>
      </c>
      <c r="L451" s="52">
        <f t="shared" si="718"/>
        <v>17.647058823529413</v>
      </c>
      <c r="M451" s="23"/>
      <c r="N451" s="51">
        <f t="shared" si="719"/>
        <v>1</v>
      </c>
      <c r="O451" s="52">
        <f t="shared" si="720"/>
        <v>3.125</v>
      </c>
      <c r="P451" s="53">
        <f>COUNTIFS('00 Encuesta'!$B$2:$B$511,"*b)*",'00 Encuesta'!$C$2:$C$511,"*b)*",'00 Encuesta'!$E$2:$E$511,"*a)*",'00 Encuesta'!$BD$2:$BD$511,"*j)*")</f>
        <v>1</v>
      </c>
      <c r="Q451" s="52">
        <f t="shared" si="721"/>
        <v>5.8823529411764701</v>
      </c>
      <c r="R451" s="53">
        <f>COUNTIFS('00 Encuesta'!$B$2:$B$511,"*b)*",'00 Encuesta'!$C$2:$C$511,"*b)*",'00 Encuesta'!$E$2:$E$511,"*b)*",'00 Encuesta'!$BD$2:$BD$511,"*j)*")</f>
        <v>0</v>
      </c>
      <c r="S451" s="52">
        <f t="shared" si="722"/>
        <v>0</v>
      </c>
      <c r="T451" s="3"/>
      <c r="U451" s="51">
        <f t="shared" si="723"/>
        <v>3</v>
      </c>
      <c r="V451" s="52">
        <f t="shared" si="724"/>
        <v>7.6923076923076925</v>
      </c>
      <c r="W451" s="53">
        <f>COUNTIFS('00 Encuesta'!$B$2:$B$511,"*b)*",'00 Encuesta'!$C$2:$C$511,"*c)*",'00 Encuesta'!$E$2:$E$511,"*a)*",'00 Encuesta'!$BD$2:$BD$511,"*j)*")</f>
        <v>1</v>
      </c>
      <c r="X451" s="52">
        <f t="shared" si="725"/>
        <v>4.7619047619047619</v>
      </c>
      <c r="Y451" s="53">
        <f>COUNTIFS('00 Encuesta'!$B$2:$B$511,"*b)*",'00 Encuesta'!$C$2:$C$511,"*c)*",'00 Encuesta'!$E$2:$E$511,"*b)*",'00 Encuesta'!$BD$2:$BD$511,"*j)*")</f>
        <v>2</v>
      </c>
      <c r="Z451" s="52">
        <f t="shared" si="726"/>
        <v>11.111111111111111</v>
      </c>
      <c r="AA451" s="3"/>
      <c r="AB451" s="62">
        <f t="shared" si="727"/>
        <v>10</v>
      </c>
      <c r="AC451" s="52">
        <f t="shared" si="728"/>
        <v>9.1743119266055047</v>
      </c>
      <c r="AD451" s="3"/>
      <c r="AE451" s="3"/>
      <c r="AF451" s="9" t="str">
        <f t="shared" si="729"/>
        <v>j) Nadie</v>
      </c>
      <c r="AG451" s="72">
        <f t="shared" si="730"/>
        <v>14.285714285714285</v>
      </c>
      <c r="AH451" s="72">
        <f t="shared" si="731"/>
        <v>17.647058823529413</v>
      </c>
      <c r="AI451" s="73">
        <f t="shared" si="732"/>
        <v>15.789473684210526</v>
      </c>
      <c r="AJ451" s="73"/>
      <c r="AK451" s="76">
        <f t="shared" si="733"/>
        <v>5.8823529411764701</v>
      </c>
      <c r="AL451" s="76">
        <f t="shared" si="734"/>
        <v>0</v>
      </c>
      <c r="AM451" s="76">
        <f t="shared" si="735"/>
        <v>3.125</v>
      </c>
      <c r="AN451" s="76"/>
      <c r="AO451" s="81">
        <f t="shared" si="736"/>
        <v>4.7619047619047619</v>
      </c>
      <c r="AP451" s="81">
        <f t="shared" si="737"/>
        <v>11.111111111111111</v>
      </c>
      <c r="AQ451" s="81">
        <f t="shared" si="738"/>
        <v>7.6923076923076925</v>
      </c>
      <c r="AR451" s="3"/>
      <c r="AS451" s="76">
        <f t="shared" si="688"/>
        <v>9.1743119266055047</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2</v>
      </c>
      <c r="H452" s="52">
        <f t="shared" si="716"/>
        <v>5.2631578947368416</v>
      </c>
      <c r="I452" s="53">
        <f>COUNTIFS('00 Encuesta'!$B$2:$B$511,"*b)*",'00 Encuesta'!$C$2:$C$511,"*a)*",'00 Encuesta'!$E$2:$E$511,"*a)*",'00 Encuesta'!$BD$2:$BD$511,"*k)*")</f>
        <v>2</v>
      </c>
      <c r="J452" s="52">
        <f t="shared" si="717"/>
        <v>9.5238095238095237</v>
      </c>
      <c r="K452" s="53">
        <f>COUNTIFS('00 Encuesta'!$B$2:$B$511,"*b)*",'00 Encuesta'!$C$2:$C$511,"*a)*",'00 Encuesta'!$E$2:$E$511,"*b)*",'00 Encuesta'!$BD$2:$BD$511,"*k)*")</f>
        <v>0</v>
      </c>
      <c r="L452" s="52">
        <f t="shared" si="718"/>
        <v>0</v>
      </c>
      <c r="M452" s="23"/>
      <c r="N452" s="51">
        <f t="shared" si="719"/>
        <v>0</v>
      </c>
      <c r="O452" s="52">
        <f t="shared" si="720"/>
        <v>0</v>
      </c>
      <c r="P452" s="53">
        <f>COUNTIFS('00 Encuesta'!$B$2:$B$511,"*b)*",'00 Encuesta'!$C$2:$C$511,"*b)*",'00 Encuesta'!$E$2:$E$511,"*a)*",'00 Encuesta'!$BD$2:$BD$511,"*k)*")</f>
        <v>0</v>
      </c>
      <c r="Q452" s="52">
        <f t="shared" si="721"/>
        <v>0</v>
      </c>
      <c r="R452" s="53">
        <f>COUNTIFS('00 Encuesta'!$B$2:$B$511,"*b)*",'00 Encuesta'!$C$2:$C$511,"*b)*",'00 Encuesta'!$E$2:$E$511,"*b)*",'00 Encuesta'!$BD$2:$BD$511,"*k)*")</f>
        <v>0</v>
      </c>
      <c r="S452" s="52">
        <f t="shared" si="722"/>
        <v>0</v>
      </c>
      <c r="T452" s="3"/>
      <c r="U452" s="51">
        <f t="shared" si="723"/>
        <v>2</v>
      </c>
      <c r="V452" s="52">
        <f t="shared" si="724"/>
        <v>5.1282051282051277</v>
      </c>
      <c r="W452" s="53">
        <f>COUNTIFS('00 Encuesta'!$B$2:$B$511,"*b)*",'00 Encuesta'!$C$2:$C$511,"*c)*",'00 Encuesta'!$E$2:$E$511,"*a)*",'00 Encuesta'!$BD$2:$BD$511,"*k)*")</f>
        <v>2</v>
      </c>
      <c r="X452" s="52">
        <f t="shared" si="725"/>
        <v>9.5238095238095237</v>
      </c>
      <c r="Y452" s="53">
        <f>COUNTIFS('00 Encuesta'!$B$2:$B$511,"*b)*",'00 Encuesta'!$C$2:$C$511,"*c)*",'00 Encuesta'!$E$2:$E$511,"*b)*",'00 Encuesta'!$BD$2:$BD$511,"*k)*")</f>
        <v>0</v>
      </c>
      <c r="Z452" s="52">
        <f t="shared" si="726"/>
        <v>0</v>
      </c>
      <c r="AA452" s="3"/>
      <c r="AB452" s="62">
        <f t="shared" si="727"/>
        <v>4</v>
      </c>
      <c r="AC452" s="52">
        <f t="shared" si="728"/>
        <v>3.669724770642202</v>
      </c>
      <c r="AD452" s="3"/>
      <c r="AE452" s="3"/>
      <c r="AF452" s="9" t="str">
        <f t="shared" si="729"/>
        <v>k) No tengo problemas personales</v>
      </c>
      <c r="AG452" s="72">
        <f t="shared" si="730"/>
        <v>9.5238095238095237</v>
      </c>
      <c r="AH452" s="72">
        <f t="shared" si="731"/>
        <v>0</v>
      </c>
      <c r="AI452" s="73">
        <f t="shared" si="732"/>
        <v>5.2631578947368416</v>
      </c>
      <c r="AJ452" s="73"/>
      <c r="AK452" s="76">
        <f t="shared" si="733"/>
        <v>0</v>
      </c>
      <c r="AL452" s="76">
        <f t="shared" si="734"/>
        <v>0</v>
      </c>
      <c r="AM452" s="76">
        <f t="shared" si="735"/>
        <v>0</v>
      </c>
      <c r="AN452" s="76"/>
      <c r="AO452" s="81">
        <f t="shared" si="736"/>
        <v>9.5238095238095237</v>
      </c>
      <c r="AP452" s="81">
        <f t="shared" si="737"/>
        <v>0</v>
      </c>
      <c r="AQ452" s="81">
        <f t="shared" si="738"/>
        <v>5.1282051282051277</v>
      </c>
      <c r="AR452" s="3"/>
      <c r="AS452" s="76">
        <f t="shared" si="688"/>
        <v>3.669724770642202</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workbookViewId="0">
      <selection activeCell="A423"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23</v>
      </c>
      <c r="K5" s="14" t="s">
        <v>7</v>
      </c>
      <c r="L5" s="15"/>
      <c r="M5" s="6"/>
      <c r="N5" s="93" t="s">
        <v>502</v>
      </c>
      <c r="O5" s="14"/>
      <c r="P5" s="13"/>
      <c r="Q5" s="13">
        <f>SUM(Q6:Q7)</f>
        <v>20</v>
      </c>
      <c r="R5" s="14" t="s">
        <v>7</v>
      </c>
      <c r="S5" s="15"/>
      <c r="T5" s="6"/>
      <c r="U5" s="93" t="s">
        <v>610</v>
      </c>
      <c r="V5" s="14"/>
      <c r="W5" s="13"/>
      <c r="X5" s="13">
        <f>SUM(X6:X7)</f>
        <v>20</v>
      </c>
      <c r="Y5" s="16" t="s">
        <v>7</v>
      </c>
      <c r="Z5" s="17"/>
      <c r="AA5" s="3"/>
      <c r="AB5" s="18" t="s">
        <v>8</v>
      </c>
      <c r="AC5" s="19">
        <f>J5+Q5+X5</f>
        <v>63</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Encuesta'!$B$2:$B$511,"*d)*",'00 Encuesta'!$C$2:$C$511,"*a)*",'00 Encuesta'!$E$2:$E$511,"*a)*")</f>
        <v>14</v>
      </c>
      <c r="K6" s="25" t="s">
        <v>523</v>
      </c>
      <c r="L6" s="26"/>
      <c r="M6" s="6"/>
      <c r="N6" s="27"/>
      <c r="O6" s="24"/>
      <c r="P6" s="24"/>
      <c r="Q6" s="23">
        <f>COUNTIFS('00 Encuesta'!$B$2:$B$511,"*d)*",'00 Encuesta'!$C$2:$C$511,"*b)*",'00 Encuesta'!$E$2:$E$511,"*a)*")</f>
        <v>7</v>
      </c>
      <c r="R6" s="25" t="s">
        <v>523</v>
      </c>
      <c r="S6" s="26"/>
      <c r="T6" s="6"/>
      <c r="U6" s="27"/>
      <c r="V6" s="24"/>
      <c r="W6" s="24"/>
      <c r="X6" s="23">
        <f>COUNTIFS('00 Encuesta'!$B$2:$B$511,"*d)*",'00 Encuesta'!$C$2:$C$511,"*c)*",'00 Encuesta'!$E$2:$E$511,"*a)*")</f>
        <v>5</v>
      </c>
      <c r="Y6" s="28" t="s">
        <v>523</v>
      </c>
      <c r="Z6" s="29"/>
      <c r="AA6" s="3"/>
      <c r="AB6" s="24"/>
      <c r="AC6" s="19">
        <f>J6+Q6+X6</f>
        <v>26</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Encuesta'!$B$2:$B$511,"*d)*",'00 Encuesta'!$C$2:$C$511,"*a)*",'00 Encuesta'!$E$2:$E$511,"*b)*")</f>
        <v>9</v>
      </c>
      <c r="K7" s="36" t="s">
        <v>524</v>
      </c>
      <c r="L7" s="37"/>
      <c r="M7" s="6"/>
      <c r="N7" s="38"/>
      <c r="O7" s="35"/>
      <c r="P7" s="35"/>
      <c r="Q7" s="34">
        <f>COUNTIFS('00 Encuesta'!$B$2:$B$511,"*d)*",'00 Encuesta'!$C$2:$C$511,"*b)*",'00 Encuesta'!$E$2:$E$511,"*b)*")</f>
        <v>13</v>
      </c>
      <c r="R7" s="36" t="s">
        <v>524</v>
      </c>
      <c r="S7" s="37"/>
      <c r="T7" s="6"/>
      <c r="U7" s="38"/>
      <c r="V7" s="35"/>
      <c r="W7" s="35"/>
      <c r="X7" s="34">
        <f>COUNTIFS('00 Encuesta'!$B$2:$B$511,"*d)*",'00 Encuesta'!$C$2:$C$511,"*c)*",'00 Encuesta'!$E$2:$E$511,"*b)*")</f>
        <v>15</v>
      </c>
      <c r="Y7" s="39" t="s">
        <v>524</v>
      </c>
      <c r="Z7" s="40"/>
      <c r="AA7" s="3"/>
      <c r="AB7" s="24"/>
      <c r="AC7" s="19">
        <f>J7+Q7+X7</f>
        <v>37</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611</v>
      </c>
      <c r="X9" s="48"/>
      <c r="Y9" s="46"/>
      <c r="Z9" s="47"/>
      <c r="AA9" s="3"/>
      <c r="AB9" s="49" t="s">
        <v>612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613</v>
      </c>
      <c r="AP12" s="67" t="s">
        <v>614</v>
      </c>
      <c r="AQ12" s="67" t="s">
        <v>610</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14</v>
      </c>
      <c r="H15" s="52">
        <f>G15/$J$5*100</f>
        <v>60.869565217391312</v>
      </c>
      <c r="I15" s="53">
        <f>COUNTIFS('00 Encuesta'!$B$2:$B$511,"*d)*",'00 Encuesta'!$C$2:$C$511,"*a)*",'00 Encuesta'!$E$2:$E$511,"*a)*",'00 Encuesta'!$D$2:$D$511,"*a)*")</f>
        <v>6</v>
      </c>
      <c r="J15" s="52">
        <f>I15/$J$6*100</f>
        <v>42.857142857142854</v>
      </c>
      <c r="K15" s="53">
        <f>COUNTIFS('00 Encuesta'!$B$2:$B$511,"*d)*",'00 Encuesta'!$C$2:$C$511,"*a)*",'00 Encuesta'!$E$2:$E$511,"*b)*",'00 Encuesta'!$D$2:$D$511,"*a)*")</f>
        <v>8</v>
      </c>
      <c r="L15" s="52">
        <f>K15/$J$7*100</f>
        <v>88.888888888888886</v>
      </c>
      <c r="M15" s="23"/>
      <c r="N15" s="51">
        <f>P15+R15</f>
        <v>18</v>
      </c>
      <c r="O15" s="52">
        <f>N15/$Q$5*100</f>
        <v>90</v>
      </c>
      <c r="P15" s="53">
        <f>COUNTIFS('00 Encuesta'!$B$2:$B$511,"*d)*",'00 Encuesta'!$C$2:$C$511,"*b)*",'00 Encuesta'!$E$2:$E$511,"*a)*",'00 Encuesta'!$D$2:$D$511,"*a)*")</f>
        <v>7</v>
      </c>
      <c r="Q15" s="52">
        <f>P15/$Q$6*100</f>
        <v>100</v>
      </c>
      <c r="R15" s="53">
        <f>COUNTIFS('00 Encuesta'!$B$2:$B$511,"*d)*",'00 Encuesta'!$C$2:$C$511,"*b)*",'00 Encuesta'!$E$2:$E$511,"*b)*",'00 Encuesta'!$D$2:$D$511,"*a)*")</f>
        <v>11</v>
      </c>
      <c r="S15" s="52">
        <f>R15/$Q$7*100</f>
        <v>84.615384615384613</v>
      </c>
      <c r="T15" s="3"/>
      <c r="U15" s="51">
        <f>W15+Y15</f>
        <v>14</v>
      </c>
      <c r="V15" s="52">
        <f>U15/$X$5*100</f>
        <v>70</v>
      </c>
      <c r="W15" s="53">
        <f>COUNTIFS('00 Encuesta'!$B$2:$B$511,"*d)*",'00 Encuesta'!$C$2:$C$511,"*c)*",'00 Encuesta'!$E$2:$E$511,"*a)*",'00 Encuesta'!$D$2:$D$511,"*a)*")</f>
        <v>4</v>
      </c>
      <c r="X15" s="52">
        <f>W15/$X$6*100</f>
        <v>80</v>
      </c>
      <c r="Y15" s="53">
        <f>COUNTIFS('00 Encuesta'!$B$2:$B$511,"*d)*",'00 Encuesta'!$C$2:$C$511,"*c)*",'00 Encuesta'!$E$2:$E$511,"*b)*",'00 Encuesta'!$D$2:$D$511,"*a)*")</f>
        <v>10</v>
      </c>
      <c r="Z15" s="52">
        <f>Y15/$X$7*100</f>
        <v>66.666666666666657</v>
      </c>
      <c r="AA15" s="3"/>
      <c r="AB15" s="62">
        <f>G15+N15+U15</f>
        <v>46</v>
      </c>
      <c r="AC15" s="52">
        <f>AB15*100/$AC$5</f>
        <v>73.015873015873012</v>
      </c>
      <c r="AD15" s="7"/>
      <c r="AE15" s="7"/>
      <c r="AF15" s="9" t="str">
        <f t="shared" si="0"/>
        <v>a) Educación Inicial</v>
      </c>
      <c r="AG15" s="72">
        <f>J15</f>
        <v>42.857142857142854</v>
      </c>
      <c r="AH15" s="72">
        <f>L15</f>
        <v>88.888888888888886</v>
      </c>
      <c r="AI15" s="73">
        <f>H15</f>
        <v>60.869565217391312</v>
      </c>
      <c r="AJ15" s="73"/>
      <c r="AK15" s="74">
        <f>Q15</f>
        <v>100</v>
      </c>
      <c r="AL15" s="74">
        <f>S15</f>
        <v>84.615384615384613</v>
      </c>
      <c r="AM15" s="74">
        <f>O15</f>
        <v>90</v>
      </c>
      <c r="AN15" s="74"/>
      <c r="AO15" s="75">
        <f>X15</f>
        <v>80</v>
      </c>
      <c r="AP15" s="75">
        <f>Z15</f>
        <v>66.666666666666657</v>
      </c>
      <c r="AQ15" s="75">
        <f>V15</f>
        <v>70</v>
      </c>
      <c r="AR15" s="76"/>
      <c r="AS15" s="76">
        <f>AC15</f>
        <v>73.015873015873012</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2</v>
      </c>
      <c r="H16" s="52">
        <f>G16/$J$5*100</f>
        <v>8.695652173913043</v>
      </c>
      <c r="I16" s="53">
        <f>COUNTIFS('00 Encuesta'!$B$2:$B$511,"*d)*",'00 Encuesta'!$C$2:$C$511,"*a)*",'00 Encuesta'!$E$2:$E$511,"*a)*",'00 Encuesta'!$D$2:$D$511,"*b)*")</f>
        <v>2</v>
      </c>
      <c r="J16" s="52">
        <f>I16/$J$6*100</f>
        <v>14.285714285714285</v>
      </c>
      <c r="K16" s="53">
        <f>COUNTIFS('00 Encuesta'!$B$2:$B$511,"*d)*",'00 Encuesta'!$C$2:$C$511,"*a)*",'00 Encuesta'!$E$2:$E$511,"*b)*",'00 Encuesta'!$D$2:$D$511,"*b)*")</f>
        <v>0</v>
      </c>
      <c r="L16" s="52">
        <f>K16/$J$7*100</f>
        <v>0</v>
      </c>
      <c r="M16" s="23"/>
      <c r="N16" s="51">
        <f>P16+R16</f>
        <v>1</v>
      </c>
      <c r="O16" s="52">
        <f>N16/$Q$5*100</f>
        <v>5</v>
      </c>
      <c r="P16" s="53">
        <f>COUNTIFS('00 Encuesta'!$B$2:$B$511,"*d)*",'00 Encuesta'!$C$2:$C$511,"*b)*",'00 Encuesta'!$E$2:$E$511,"*a)*",'00 Encuesta'!$D$2:$D$511,"*b)*")</f>
        <v>0</v>
      </c>
      <c r="Q16" s="52">
        <f>P16/$Q$6*100</f>
        <v>0</v>
      </c>
      <c r="R16" s="53">
        <f>COUNTIFS('00 Encuesta'!$B$2:$B$511,"*d)*",'00 Encuesta'!$C$2:$C$511,"*b)*",'00 Encuesta'!$E$2:$E$511,"*b)*",'00 Encuesta'!$D$2:$D$511,"*b)*")</f>
        <v>1</v>
      </c>
      <c r="S16" s="52">
        <f>R16/$Q$7*100</f>
        <v>7.6923076923076925</v>
      </c>
      <c r="T16" s="3"/>
      <c r="U16" s="51">
        <f>W16+Y16</f>
        <v>5</v>
      </c>
      <c r="V16" s="52">
        <f>U16/$X$5*100</f>
        <v>25</v>
      </c>
      <c r="W16" s="53">
        <f>COUNTIFS('00 Encuesta'!$B$2:$B$511,"*d)*",'00 Encuesta'!$C$2:$C$511,"*c)*",'00 Encuesta'!$E$2:$E$511,"*a)*",'00 Encuesta'!$D$2:$D$511,"*b)*")</f>
        <v>1</v>
      </c>
      <c r="X16" s="52">
        <f>W16/$X$6*100</f>
        <v>20</v>
      </c>
      <c r="Y16" s="53">
        <f>COUNTIFS('00 Encuesta'!$B$2:$B$511,"*d)*",'00 Encuesta'!$C$2:$C$511,"*c)*",'00 Encuesta'!$E$2:$E$511,"*b)*",'00 Encuesta'!$D$2:$D$511,"*b)*")</f>
        <v>4</v>
      </c>
      <c r="Z16" s="52">
        <f>Y16/$X$7*100</f>
        <v>26.666666666666668</v>
      </c>
      <c r="AA16" s="3"/>
      <c r="AB16" s="62">
        <f>G16+N16+U16</f>
        <v>8</v>
      </c>
      <c r="AC16" s="52">
        <f>AB16*100/$AC$5</f>
        <v>12.698412698412698</v>
      </c>
      <c r="AD16" s="7"/>
      <c r="AE16" s="7"/>
      <c r="AF16" s="9" t="str">
        <f t="shared" si="0"/>
        <v>b) Primaria</v>
      </c>
      <c r="AG16" s="72">
        <f>J16</f>
        <v>14.285714285714285</v>
      </c>
      <c r="AH16" s="72">
        <f>L16</f>
        <v>0</v>
      </c>
      <c r="AI16" s="73">
        <f>H16</f>
        <v>8.695652173913043</v>
      </c>
      <c r="AJ16" s="73"/>
      <c r="AK16" s="74">
        <f>Q16</f>
        <v>0</v>
      </c>
      <c r="AL16" s="74">
        <f>S16</f>
        <v>7.6923076923076925</v>
      </c>
      <c r="AM16" s="74">
        <f>O16</f>
        <v>5</v>
      </c>
      <c r="AN16" s="74"/>
      <c r="AO16" s="75">
        <f>X16</f>
        <v>20</v>
      </c>
      <c r="AP16" s="75">
        <f>Z16</f>
        <v>26.666666666666668</v>
      </c>
      <c r="AQ16" s="75">
        <f>V16</f>
        <v>25</v>
      </c>
      <c r="AR16" s="76"/>
      <c r="AS16" s="76">
        <f t="shared" ref="AS16:AS79" si="1">AC16</f>
        <v>12.698412698412698</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7</v>
      </c>
      <c r="H17" s="52">
        <f>G17/$J$5*100</f>
        <v>30.434782608695656</v>
      </c>
      <c r="I17" s="53">
        <f>COUNTIFS('00 Encuesta'!$B$2:$B$511,"*d)*",'00 Encuesta'!$C$2:$C$511,"*a)*",'00 Encuesta'!$E$2:$E$511,"*a)*",'00 Encuesta'!$D$2:$D$511,"*c)*")</f>
        <v>6</v>
      </c>
      <c r="J17" s="52">
        <f>I17/$J$6*100</f>
        <v>42.857142857142854</v>
      </c>
      <c r="K17" s="53">
        <f>COUNTIFS('00 Encuesta'!$B$2:$B$511,"*d)*",'00 Encuesta'!$C$2:$C$511,"*a)*",'00 Encuesta'!$E$2:$E$511,"*b)*",'00 Encuesta'!$D$2:$D$511,"*c)*")</f>
        <v>1</v>
      </c>
      <c r="L17" s="52">
        <f>K17/$J$7*100</f>
        <v>11.111111111111111</v>
      </c>
      <c r="M17" s="23"/>
      <c r="N17" s="51">
        <f>P17+R17</f>
        <v>1</v>
      </c>
      <c r="O17" s="52">
        <f>N17/$Q$5*100</f>
        <v>5</v>
      </c>
      <c r="P17" s="53">
        <f>COUNTIFS('00 Encuesta'!$B$2:$B$511,"*d)*",'00 Encuesta'!$C$2:$C$511,"*b)*",'00 Encuesta'!$E$2:$E$511,"*a)*",'00 Encuesta'!$D$2:$D$511,"*c)*")</f>
        <v>0</v>
      </c>
      <c r="Q17" s="52">
        <f>P17/$Q$6*100</f>
        <v>0</v>
      </c>
      <c r="R17" s="53">
        <f>COUNTIFS('00 Encuesta'!$B$2:$B$511,"*d)*",'00 Encuesta'!$C$2:$C$511,"*b)*",'00 Encuesta'!$E$2:$E$511,"*b)*",'00 Encuesta'!$D$2:$D$511,"*c)*")</f>
        <v>1</v>
      </c>
      <c r="S17" s="52">
        <f>R17/$Q$7*100</f>
        <v>7.6923076923076925</v>
      </c>
      <c r="T17" s="3"/>
      <c r="U17" s="51">
        <f>W17+Y17</f>
        <v>0</v>
      </c>
      <c r="V17" s="52">
        <f>U17/$X$5*100</f>
        <v>0</v>
      </c>
      <c r="W17" s="53">
        <f>COUNTIFS('00 Encuesta'!$B$2:$B$511,"*d)*",'00 Encuesta'!$C$2:$C$511,"*c)*",'00 Encuesta'!$E$2:$E$511,"*a)*",'00 Encuesta'!$D$2:$D$511,"*c)*")</f>
        <v>0</v>
      </c>
      <c r="X17" s="52">
        <f>W17/$X$6*100</f>
        <v>0</v>
      </c>
      <c r="Y17" s="53">
        <f>COUNTIFS('00 Encuesta'!$B$2:$B$511,"*d)*",'00 Encuesta'!$C$2:$C$511,"*c)*",'00 Encuesta'!$E$2:$E$511,"*b)*",'00 Encuesta'!$D$2:$D$511,"*c)*")</f>
        <v>0</v>
      </c>
      <c r="Z17" s="52">
        <f>Y17/$X$7*100</f>
        <v>0</v>
      </c>
      <c r="AA17" s="3"/>
      <c r="AB17" s="62">
        <f>G17+N17+U17</f>
        <v>8</v>
      </c>
      <c r="AC17" s="52">
        <f>AB17*100/$AC$5</f>
        <v>12.698412698412698</v>
      </c>
      <c r="AD17" s="7"/>
      <c r="AE17" s="7"/>
      <c r="AF17" s="9" t="str">
        <f t="shared" si="0"/>
        <v>c) Entre Primero y Tercer año</v>
      </c>
      <c r="AG17" s="72">
        <f>J17</f>
        <v>42.857142857142854</v>
      </c>
      <c r="AH17" s="72">
        <f>L17</f>
        <v>11.111111111111111</v>
      </c>
      <c r="AI17" s="73">
        <f>H17</f>
        <v>30.434782608695656</v>
      </c>
      <c r="AJ17" s="73"/>
      <c r="AK17" s="74">
        <f>Q17</f>
        <v>0</v>
      </c>
      <c r="AL17" s="74">
        <f>S17</f>
        <v>7.6923076923076925</v>
      </c>
      <c r="AM17" s="74">
        <f>O17</f>
        <v>5</v>
      </c>
      <c r="AN17" s="74"/>
      <c r="AO17" s="75">
        <f>X17</f>
        <v>0</v>
      </c>
      <c r="AP17" s="75">
        <f>Z17</f>
        <v>0</v>
      </c>
      <c r="AQ17" s="75">
        <f>V17</f>
        <v>0</v>
      </c>
      <c r="AR17" s="76"/>
      <c r="AS17" s="76">
        <f t="shared" si="1"/>
        <v>12.698412698412698</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f>G18/$J$5*100</f>
        <v>0</v>
      </c>
      <c r="I18" s="53">
        <f>COUNTIFS('00 Encuesta'!$B$2:$B$511,"*d)*",'00 Encuesta'!$C$2:$C$511,"*a)*",'00 Encuesta'!$E$2:$E$511,"*a)*",'00 Encuesta'!$D$2:$D$511,"*d)*")</f>
        <v>0</v>
      </c>
      <c r="J18" s="52">
        <f>I18/$J$6*100</f>
        <v>0</v>
      </c>
      <c r="K18" s="53">
        <f>COUNTIFS('00 Encuesta'!$B$2:$B$511,"*d)*",'00 Encuesta'!$C$2:$C$511,"*a)*",'00 Encuesta'!$E$2:$E$511,"*b)*",'00 Encuesta'!$D$2:$D$511,"*d)*")</f>
        <v>0</v>
      </c>
      <c r="L18" s="52">
        <f>K18/$J$7*100</f>
        <v>0</v>
      </c>
      <c r="M18" s="23"/>
      <c r="N18" s="51">
        <f>P18+R18</f>
        <v>0</v>
      </c>
      <c r="O18" s="52">
        <f>N18/$Q$5*100</f>
        <v>0</v>
      </c>
      <c r="P18" s="53">
        <f>COUNTIFS('00 Encuesta'!$B$2:$B$511,"*d)*",'00 Encuesta'!$C$2:$C$511,"*b)*",'00 Encuesta'!$E$2:$E$511,"*a)*",'00 Encuesta'!$D$2:$D$511,"*d)*")</f>
        <v>0</v>
      </c>
      <c r="Q18" s="52">
        <f>P18/$Q$6*100</f>
        <v>0</v>
      </c>
      <c r="R18" s="53">
        <f>COUNTIFS('00 Encuesta'!$B$2:$B$511,"*d)*",'00 Encuesta'!$C$2:$C$511,"*b)*",'00 Encuesta'!$E$2:$E$511,"*b)*",'00 Encuesta'!$D$2:$D$511,"*d)*")</f>
        <v>0</v>
      </c>
      <c r="S18" s="52">
        <f>R18/$Q$7*100</f>
        <v>0</v>
      </c>
      <c r="T18" s="3"/>
      <c r="U18" s="51">
        <f>W18+Y18</f>
        <v>1</v>
      </c>
      <c r="V18" s="52">
        <f>U18/$X$5*100</f>
        <v>5</v>
      </c>
      <c r="W18" s="53">
        <f>COUNTIFS('00 Encuesta'!$B$2:$B$511,"*d)*",'00 Encuesta'!$C$2:$C$511,"*c)*",'00 Encuesta'!$E$2:$E$511,"*a)*",'00 Encuesta'!$D$2:$D$511,"*d)*")</f>
        <v>0</v>
      </c>
      <c r="X18" s="52">
        <f>W18/$X$6*100</f>
        <v>0</v>
      </c>
      <c r="Y18" s="53">
        <f>COUNTIFS('00 Encuesta'!$B$2:$B$511,"*d)*",'00 Encuesta'!$C$2:$C$511,"*c)*",'00 Encuesta'!$E$2:$E$511,"*b)*",'00 Encuesta'!$D$2:$D$511,"*d)*")</f>
        <v>1</v>
      </c>
      <c r="Z18" s="52">
        <f>Y18/$X$7*100</f>
        <v>6.666666666666667</v>
      </c>
      <c r="AA18" s="3"/>
      <c r="AB18" s="62">
        <f>G18+N18+U18</f>
        <v>1</v>
      </c>
      <c r="AC18" s="52">
        <f>AB18*100/$AC$5</f>
        <v>1.5873015873015872</v>
      </c>
      <c r="AD18" s="7"/>
      <c r="AE18" s="7"/>
      <c r="AF18" s="9" t="str">
        <f t="shared" si="0"/>
        <v>d) En  Cuarto año o posterior</v>
      </c>
      <c r="AG18" s="72">
        <f>J18</f>
        <v>0</v>
      </c>
      <c r="AH18" s="72">
        <f>L18</f>
        <v>0</v>
      </c>
      <c r="AI18" s="73">
        <f>H18</f>
        <v>0</v>
      </c>
      <c r="AJ18" s="73"/>
      <c r="AK18" s="74">
        <f>Q18</f>
        <v>0</v>
      </c>
      <c r="AL18" s="74">
        <f>S18</f>
        <v>0</v>
      </c>
      <c r="AM18" s="74">
        <f>O18</f>
        <v>0</v>
      </c>
      <c r="AN18" s="74"/>
      <c r="AO18" s="75">
        <f>X18</f>
        <v>0</v>
      </c>
      <c r="AP18" s="75">
        <f>Z18</f>
        <v>6.666666666666667</v>
      </c>
      <c r="AQ18" s="75">
        <f>V18</f>
        <v>5</v>
      </c>
      <c r="AR18" s="76"/>
      <c r="AS18" s="76">
        <f t="shared" si="1"/>
        <v>1.5873015873015872</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f>N19/$Q$5*100</f>
        <v>0</v>
      </c>
      <c r="P19" s="53"/>
      <c r="Q19" s="52">
        <f>P19/$Q$6*100</f>
        <v>0</v>
      </c>
      <c r="R19" s="53"/>
      <c r="S19" s="52">
        <f>R19/$Q$7*100</f>
        <v>0</v>
      </c>
      <c r="T19" s="3"/>
      <c r="U19" s="51">
        <f>W19+Y19</f>
        <v>0</v>
      </c>
      <c r="V19" s="52">
        <f>U19/$X$5*100</f>
        <v>0</v>
      </c>
      <c r="W19" s="53"/>
      <c r="X19" s="52">
        <f>W19/$X$6*100</f>
        <v>0</v>
      </c>
      <c r="Y19" s="53"/>
      <c r="Z19" s="52">
        <f>Y19/$X$7*100</f>
        <v>0</v>
      </c>
      <c r="AA19" s="3"/>
      <c r="AB19" s="62">
        <f>G19+N19+U19</f>
        <v>0</v>
      </c>
      <c r="AC19" s="52">
        <f>AB19*100/$AC$5</f>
        <v>0</v>
      </c>
      <c r="AD19" s="7"/>
      <c r="AE19" s="7"/>
      <c r="AF19" s="9" t="str">
        <f t="shared" si="0"/>
        <v>S/R Sin Respuesta</v>
      </c>
      <c r="AG19" s="72">
        <f>J19</f>
        <v>0</v>
      </c>
      <c r="AH19" s="72">
        <f>L19</f>
        <v>0</v>
      </c>
      <c r="AI19" s="73">
        <f>H19</f>
        <v>0</v>
      </c>
      <c r="AJ19" s="73"/>
      <c r="AK19" s="74">
        <f>Q19</f>
        <v>0</v>
      </c>
      <c r="AL19" s="74">
        <f>S19</f>
        <v>0</v>
      </c>
      <c r="AM19" s="74">
        <f>O19</f>
        <v>0</v>
      </c>
      <c r="AN19" s="74"/>
      <c r="AO19" s="75">
        <f>X19</f>
        <v>0</v>
      </c>
      <c r="AP19" s="75">
        <f>Z19</f>
        <v>0</v>
      </c>
      <c r="AQ19" s="75">
        <f>V19</f>
        <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20</v>
      </c>
      <c r="H23" s="52">
        <f>G23/$J$5*100</f>
        <v>86.956521739130437</v>
      </c>
      <c r="I23" s="53">
        <f>COUNTIFS('00 Encuesta'!$B$2:$B$511,"*d)*",'00 Encuesta'!$C$2:$C$511,"*a)*",'00 Encuesta'!$E$2:$E$511,"*a)*",'00 Encuesta'!$F$2:$F$511,"*a)*")</f>
        <v>11</v>
      </c>
      <c r="J23" s="52">
        <f>I23/$J$6*100</f>
        <v>78.571428571428569</v>
      </c>
      <c r="K23" s="53">
        <f>COUNTIFS('00 Encuesta'!$B$2:$B$511,"*d)*",'00 Encuesta'!$C$2:$C$511,"*a)*",'00 Encuesta'!$E$2:$E$511,"*b)*",'00 Encuesta'!$F$2:$F$511,"*a)*")</f>
        <v>9</v>
      </c>
      <c r="L23" s="52">
        <f>K23/$J$7*100</f>
        <v>100</v>
      </c>
      <c r="M23" s="23"/>
      <c r="N23" s="51">
        <f>P23+R23</f>
        <v>18</v>
      </c>
      <c r="O23" s="52">
        <f>N23/$Q$5*100</f>
        <v>90</v>
      </c>
      <c r="P23" s="53">
        <f>COUNTIFS('00 Encuesta'!$B$2:$B$511,"*d)*",'00 Encuesta'!$C$2:$C$511,"*b)*",'00 Encuesta'!$E$2:$E$511,"*a)*",'00 Encuesta'!$F$2:$F$511,"*a)*")</f>
        <v>6</v>
      </c>
      <c r="Q23" s="52">
        <f>P23/$Q$6*100</f>
        <v>85.714285714285708</v>
      </c>
      <c r="R23" s="53">
        <f>COUNTIFS('00 Encuesta'!$B$2:$B$511,"*d)*",'00 Encuesta'!$C$2:$C$511,"*b)*",'00 Encuesta'!$E$2:$E$511,"*b)*",'00 Encuesta'!$F$2:$F$511,"*a)*")</f>
        <v>12</v>
      </c>
      <c r="S23" s="52">
        <f>R23/$Q$7*100</f>
        <v>92.307692307692307</v>
      </c>
      <c r="T23" s="3"/>
      <c r="U23" s="51">
        <f>W23+Y23</f>
        <v>19</v>
      </c>
      <c r="V23" s="52">
        <f>U23/$X$5*100</f>
        <v>95</v>
      </c>
      <c r="W23" s="53">
        <f>COUNTIFS('00 Encuesta'!$B$2:$B$511,"*d)*",'00 Encuesta'!$C$2:$C$511,"*c)*",'00 Encuesta'!$E$2:$E$511,"*a)*",'00 Encuesta'!$F$2:$F$511,"*a)*")</f>
        <v>4</v>
      </c>
      <c r="X23" s="52">
        <f>W23/$X$6*100</f>
        <v>80</v>
      </c>
      <c r="Y23" s="53">
        <f>COUNTIFS('00 Encuesta'!$B$2:$B$511,"*d)*",'00 Encuesta'!$C$2:$C$511,"*c)*",'00 Encuesta'!$E$2:$E$511,"*b)*",'00 Encuesta'!$F$2:$F$511,"*a)*")</f>
        <v>15</v>
      </c>
      <c r="Z23" s="52">
        <f>Y23/$X$7*100</f>
        <v>100</v>
      </c>
      <c r="AA23" s="3"/>
      <c r="AB23" s="62">
        <f>G23+N23+U23</f>
        <v>57</v>
      </c>
      <c r="AC23" s="52">
        <f>AB23*100/$AC$5</f>
        <v>90.476190476190482</v>
      </c>
      <c r="AD23" s="7"/>
      <c r="AE23" s="7"/>
      <c r="AF23" s="9" t="str">
        <f>A23&amp;" "&amp;B23</f>
        <v>a) Católica</v>
      </c>
      <c r="AG23" s="72">
        <f>J23</f>
        <v>78.571428571428569</v>
      </c>
      <c r="AH23" s="72">
        <f>L23</f>
        <v>100</v>
      </c>
      <c r="AI23" s="73">
        <f>H23</f>
        <v>86.956521739130437</v>
      </c>
      <c r="AJ23" s="73"/>
      <c r="AK23" s="74">
        <f>Q23</f>
        <v>85.714285714285708</v>
      </c>
      <c r="AL23" s="74">
        <f>S23</f>
        <v>92.307692307692307</v>
      </c>
      <c r="AM23" s="74">
        <f>O23</f>
        <v>90</v>
      </c>
      <c r="AN23" s="74"/>
      <c r="AO23" s="75">
        <f>X23</f>
        <v>80</v>
      </c>
      <c r="AP23" s="75">
        <f>Z23</f>
        <v>100</v>
      </c>
      <c r="AQ23" s="75">
        <f>V23</f>
        <v>95</v>
      </c>
      <c r="AR23" s="7"/>
      <c r="AS23" s="76">
        <f t="shared" si="1"/>
        <v>90.476190476190482</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0</v>
      </c>
      <c r="H24" s="52">
        <f>G24/$J$5*100</f>
        <v>0</v>
      </c>
      <c r="I24" s="53">
        <f>COUNTIFS('00 Encuesta'!$B$2:$B$511,"*d)*",'00 Encuesta'!$C$2:$C$511,"*a)*",'00 Encuesta'!$E$2:$E$511,"*a)*",'00 Encuesta'!$F$2:$F$511,"*b)*")</f>
        <v>0</v>
      </c>
      <c r="J24" s="52">
        <f>I24/$J$6*100</f>
        <v>0</v>
      </c>
      <c r="K24" s="53">
        <f>COUNTIFS('00 Encuesta'!$B$2:$B$511,"*d)*",'00 Encuesta'!$C$2:$C$511,"*a)*",'00 Encuesta'!$E$2:$E$511,"*b)*",'00 Encuesta'!$F$2:$F$511,"*b)*")</f>
        <v>0</v>
      </c>
      <c r="L24" s="52">
        <f>K24/$J$7*100</f>
        <v>0</v>
      </c>
      <c r="M24" s="23"/>
      <c r="N24" s="51">
        <f>P24+R24</f>
        <v>1</v>
      </c>
      <c r="O24" s="52">
        <f>N24/$Q$5*100</f>
        <v>5</v>
      </c>
      <c r="P24" s="53">
        <f>COUNTIFS('00 Encuesta'!$B$2:$B$511,"*d)*",'00 Encuesta'!$C$2:$C$511,"*b)*",'00 Encuesta'!$E$2:$E$511,"*a)*",'00 Encuesta'!$F$2:$F$511,"*b)*")</f>
        <v>1</v>
      </c>
      <c r="Q24" s="52">
        <f>P24/$Q$6*100</f>
        <v>14.285714285714285</v>
      </c>
      <c r="R24" s="53">
        <f>COUNTIFS('00 Encuesta'!$B$2:$B$511,"*d)*",'00 Encuesta'!$C$2:$C$511,"*b)*",'00 Encuesta'!$E$2:$E$511,"*b)*",'00 Encuesta'!$F$2:$F$511,"*b)*")</f>
        <v>0</v>
      </c>
      <c r="S24" s="52">
        <f>R24/$Q$7*100</f>
        <v>0</v>
      </c>
      <c r="T24" s="3"/>
      <c r="U24" s="51">
        <f>W24+Y24</f>
        <v>1</v>
      </c>
      <c r="V24" s="52">
        <f>U24/$X$5*100</f>
        <v>5</v>
      </c>
      <c r="W24" s="53">
        <f>COUNTIFS('00 Encuesta'!$B$2:$B$511,"*d)*",'00 Encuesta'!$C$2:$C$511,"*c)*",'00 Encuesta'!$E$2:$E$511,"*a)*",'00 Encuesta'!$F$2:$F$511,"*b)*")</f>
        <v>1</v>
      </c>
      <c r="X24" s="52">
        <f>W24/$X$6*100</f>
        <v>20</v>
      </c>
      <c r="Y24" s="53">
        <f>COUNTIFS('00 Encuesta'!$B$2:$B$511,"*d)*",'00 Encuesta'!$C$2:$C$511,"*c)*",'00 Encuesta'!$E$2:$E$511,"*b)*",'00 Encuesta'!$F$2:$F$511,"*b)*")</f>
        <v>0</v>
      </c>
      <c r="Z24" s="52">
        <f>Y24/$X$7*100</f>
        <v>0</v>
      </c>
      <c r="AA24" s="3"/>
      <c r="AB24" s="62">
        <f>G24+N24+U24</f>
        <v>2</v>
      </c>
      <c r="AC24" s="52">
        <f>AB24*100/$AC$5</f>
        <v>3.1746031746031744</v>
      </c>
      <c r="AD24" s="7"/>
      <c r="AE24" s="7"/>
      <c r="AF24" s="9" t="str">
        <f>A24&amp;" "&amp;B24</f>
        <v>b) Evangélica</v>
      </c>
      <c r="AG24" s="72">
        <f>J24</f>
        <v>0</v>
      </c>
      <c r="AH24" s="72">
        <f>L24</f>
        <v>0</v>
      </c>
      <c r="AI24" s="73">
        <f>H24</f>
        <v>0</v>
      </c>
      <c r="AJ24" s="73"/>
      <c r="AK24" s="74">
        <f>Q24</f>
        <v>14.285714285714285</v>
      </c>
      <c r="AL24" s="74">
        <f>S24</f>
        <v>0</v>
      </c>
      <c r="AM24" s="74">
        <f>O24</f>
        <v>5</v>
      </c>
      <c r="AN24" s="74"/>
      <c r="AO24" s="75">
        <f>X24</f>
        <v>20</v>
      </c>
      <c r="AP24" s="75">
        <f>Z24</f>
        <v>0</v>
      </c>
      <c r="AQ24" s="75">
        <f>V24</f>
        <v>5</v>
      </c>
      <c r="AR24" s="7"/>
      <c r="AS24" s="76">
        <f t="shared" si="1"/>
        <v>3.1746031746031744</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x14ac:dyDescent="0.3">
      <c r="A25" s="8" t="s">
        <v>20</v>
      </c>
      <c r="B25" s="9" t="s">
        <v>29</v>
      </c>
      <c r="C25" s="7"/>
      <c r="D25" s="7"/>
      <c r="E25" s="7"/>
      <c r="F25" s="71"/>
      <c r="G25" s="51">
        <f>I25+K25</f>
        <v>0</v>
      </c>
      <c r="H25" s="52">
        <f>G25/$J$5*100</f>
        <v>0</v>
      </c>
      <c r="I25" s="53">
        <f>COUNTIFS('00 Encuesta'!$B$2:$B$511,"*d)*",'00 Encuesta'!$C$2:$C$511,"*a)*",'00 Encuesta'!$E$2:$E$511,"*a)*",'00 Encuesta'!$F$2:$F$511,"*c)*")</f>
        <v>0</v>
      </c>
      <c r="J25" s="52">
        <f>I25/$J$6*100</f>
        <v>0</v>
      </c>
      <c r="K25" s="53">
        <f>COUNTIFS('00 Encuesta'!$B$2:$B$511,"*d)*",'00 Encuesta'!$C$2:$C$511,"*a)*",'00 Encuesta'!$E$2:$E$511,"*b)*",'00 Encuesta'!$F$2:$F$511,"*c)*")</f>
        <v>0</v>
      </c>
      <c r="L25" s="52">
        <f>K25/$J$7*100</f>
        <v>0</v>
      </c>
      <c r="M25" s="23"/>
      <c r="N25" s="51">
        <f>P25+R25</f>
        <v>0</v>
      </c>
      <c r="O25" s="52">
        <f>N25/$Q$5*100</f>
        <v>0</v>
      </c>
      <c r="P25" s="53">
        <f>COUNTIFS('00 Encuesta'!$B$2:$B$511,"*d)*",'00 Encuesta'!$C$2:$C$511,"*b)*",'00 Encuesta'!$E$2:$E$511,"*a)*",'00 Encuesta'!$F$2:$F$511,"*c)*")</f>
        <v>0</v>
      </c>
      <c r="Q25" s="52">
        <f>P25/$Q$6*100</f>
        <v>0</v>
      </c>
      <c r="R25" s="53">
        <f>COUNTIFS('00 Encuesta'!$B$2:$B$511,"*d)*",'00 Encuesta'!$C$2:$C$511,"*b)*",'00 Encuesta'!$E$2:$E$511,"*b)*",'00 Encuesta'!$F$2:$F$511,"*c)*")</f>
        <v>0</v>
      </c>
      <c r="S25" s="52">
        <f>R25/$Q$7*100</f>
        <v>0</v>
      </c>
      <c r="T25" s="3"/>
      <c r="U25" s="51">
        <f>W25+Y25</f>
        <v>0</v>
      </c>
      <c r="V25" s="52">
        <f>U25/$X$5*100</f>
        <v>0</v>
      </c>
      <c r="W25" s="53">
        <f>COUNTIFS('00 Encuesta'!$B$2:$B$511,"*d)*",'00 Encuesta'!$C$2:$C$511,"*c)*",'00 Encuesta'!$E$2:$E$511,"*a)*",'00 Encuesta'!$F$2:$F$511,"*c)*")</f>
        <v>0</v>
      </c>
      <c r="X25" s="52">
        <f>W25/$X$6*100</f>
        <v>0</v>
      </c>
      <c r="Y25" s="53">
        <f>COUNTIFS('00 Encuesta'!$B$2:$B$511,"*d)*",'00 Encuesta'!$C$2:$C$511,"*c)*",'00 Encuesta'!$E$2:$E$511,"*b)*",'00 Encuesta'!$F$2:$F$511,"*c)*")</f>
        <v>0</v>
      </c>
      <c r="Z25" s="52">
        <f>Y25/$X$7*100</f>
        <v>0</v>
      </c>
      <c r="AA25" s="3"/>
      <c r="AB25" s="62">
        <f>G25+N25+U25</f>
        <v>0</v>
      </c>
      <c r="AC25" s="52">
        <f>AB25*100/$AC$5</f>
        <v>0</v>
      </c>
      <c r="AD25" s="7"/>
      <c r="AE25" s="7"/>
      <c r="AF25" s="9" t="str">
        <f>A25&amp;" "&amp;B25</f>
        <v>c) Musulmana</v>
      </c>
      <c r="AG25" s="72">
        <f>J25</f>
        <v>0</v>
      </c>
      <c r="AH25" s="72">
        <f>L25</f>
        <v>0</v>
      </c>
      <c r="AI25" s="73">
        <f>H25</f>
        <v>0</v>
      </c>
      <c r="AJ25" s="73"/>
      <c r="AK25" s="74">
        <f>Q25</f>
        <v>0</v>
      </c>
      <c r="AL25" s="74">
        <f>S25</f>
        <v>0</v>
      </c>
      <c r="AM25" s="74">
        <f>O25</f>
        <v>0</v>
      </c>
      <c r="AN25" s="74"/>
      <c r="AO25" s="75">
        <f>X25</f>
        <v>0</v>
      </c>
      <c r="AP25" s="75">
        <f>Z25</f>
        <v>0</v>
      </c>
      <c r="AQ25" s="75">
        <f>V25</f>
        <v>0</v>
      </c>
      <c r="AR25" s="7"/>
      <c r="AS25" s="76">
        <f t="shared" si="1"/>
        <v>0</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x14ac:dyDescent="0.3">
      <c r="A26" s="8" t="s">
        <v>21</v>
      </c>
      <c r="B26" s="9" t="s">
        <v>30</v>
      </c>
      <c r="C26" s="7"/>
      <c r="D26" s="7"/>
      <c r="E26" s="7"/>
      <c r="F26" s="71"/>
      <c r="G26" s="51">
        <f>I26+K26</f>
        <v>3</v>
      </c>
      <c r="H26" s="52">
        <f>G26/$J$5*100</f>
        <v>13.043478260869565</v>
      </c>
      <c r="I26" s="53">
        <f>COUNTIFS('00 Encuesta'!$B$2:$B$511,"*d)*",'00 Encuesta'!$C$2:$C$511,"*a)*",'00 Encuesta'!$E$2:$E$511,"*a)*",'00 Encuesta'!$F$2:$F$511,"*d)*")</f>
        <v>3</v>
      </c>
      <c r="J26" s="52">
        <f>I26/$J$6*100</f>
        <v>21.428571428571427</v>
      </c>
      <c r="K26" s="53">
        <f>COUNTIFS('00 Encuesta'!$B$2:$B$511,"*d)*",'00 Encuesta'!$C$2:$C$511,"*a)*",'00 Encuesta'!$E$2:$E$511,"*b)*",'00 Encuesta'!$F$2:$F$511,"*d)*")</f>
        <v>0</v>
      </c>
      <c r="L26" s="52">
        <f>K26/$J$7*100</f>
        <v>0</v>
      </c>
      <c r="M26" s="23"/>
      <c r="N26" s="51">
        <f>P26+R26</f>
        <v>0</v>
      </c>
      <c r="O26" s="52">
        <f>N26/$Q$5*100</f>
        <v>0</v>
      </c>
      <c r="P26" s="53">
        <f>COUNTIFS('00 Encuesta'!$B$2:$B$511,"*d)*",'00 Encuesta'!$C$2:$C$511,"*b)*",'00 Encuesta'!$E$2:$E$511,"*a)*",'00 Encuesta'!$F$2:$F$511,"*d)*")</f>
        <v>0</v>
      </c>
      <c r="Q26" s="52">
        <f>P26/$Q$6*100</f>
        <v>0</v>
      </c>
      <c r="R26" s="53">
        <f>COUNTIFS('00 Encuesta'!$B$2:$B$511,"*d)*",'00 Encuesta'!$C$2:$C$511,"*b)*",'00 Encuesta'!$E$2:$E$511,"*b)*",'00 Encuesta'!$F$2:$F$511,"*d)*")</f>
        <v>0</v>
      </c>
      <c r="S26" s="52">
        <f>R26/$Q$7*100</f>
        <v>0</v>
      </c>
      <c r="T26" s="3"/>
      <c r="U26" s="51">
        <f>W26+Y26</f>
        <v>0</v>
      </c>
      <c r="V26" s="52">
        <f>U26/$X$5*100</f>
        <v>0</v>
      </c>
      <c r="W26" s="53">
        <f>COUNTIFS('00 Encuesta'!$B$2:$B$511,"*d)*",'00 Encuesta'!$C$2:$C$511,"*c)*",'00 Encuesta'!$E$2:$E$511,"*a)*",'00 Encuesta'!$F$2:$F$511,"*d)*")</f>
        <v>0</v>
      </c>
      <c r="X26" s="52">
        <f>W26/$X$6*100</f>
        <v>0</v>
      </c>
      <c r="Y26" s="53">
        <f>COUNTIFS('00 Encuesta'!$B$2:$B$511,"*d)*",'00 Encuesta'!$C$2:$C$511,"*c)*",'00 Encuesta'!$E$2:$E$511,"*b)*",'00 Encuesta'!$F$2:$F$511,"*d)*")</f>
        <v>0</v>
      </c>
      <c r="Z26" s="52">
        <f>Y26/$X$7*100</f>
        <v>0</v>
      </c>
      <c r="AA26" s="3"/>
      <c r="AB26" s="62">
        <f>G26+N26+U26</f>
        <v>3</v>
      </c>
      <c r="AC26" s="52">
        <f>AB26*100/$AC$5</f>
        <v>4.7619047619047619</v>
      </c>
      <c r="AD26" s="7"/>
      <c r="AE26" s="7"/>
      <c r="AF26" s="9" t="str">
        <f>A26&amp;" "&amp;B26</f>
        <v>d) Otra</v>
      </c>
      <c r="AG26" s="72">
        <f>J26</f>
        <v>21.428571428571427</v>
      </c>
      <c r="AH26" s="72">
        <f>L26</f>
        <v>0</v>
      </c>
      <c r="AI26" s="73">
        <f>H26</f>
        <v>13.043478260869565</v>
      </c>
      <c r="AJ26" s="73"/>
      <c r="AK26" s="74">
        <f>Q26</f>
        <v>0</v>
      </c>
      <c r="AL26" s="74">
        <f>S26</f>
        <v>0</v>
      </c>
      <c r="AM26" s="74">
        <f>O26</f>
        <v>0</v>
      </c>
      <c r="AN26" s="74"/>
      <c r="AO26" s="75">
        <f>X26</f>
        <v>0</v>
      </c>
      <c r="AP26" s="75">
        <f>Z26</f>
        <v>0</v>
      </c>
      <c r="AQ26" s="75">
        <f>V26</f>
        <v>0</v>
      </c>
      <c r="AR26" s="7"/>
      <c r="AS26" s="76">
        <f t="shared" si="1"/>
        <v>4.7619047619047619</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x14ac:dyDescent="0.3">
      <c r="A27" s="8" t="s">
        <v>23</v>
      </c>
      <c r="B27" s="9" t="s">
        <v>24</v>
      </c>
      <c r="C27" s="7"/>
      <c r="D27" s="7"/>
      <c r="E27" s="7"/>
      <c r="F27" s="71"/>
      <c r="G27" s="51">
        <f>I27+K27</f>
        <v>0</v>
      </c>
      <c r="H27" s="52">
        <f>G27/$J$5*100</f>
        <v>0</v>
      </c>
      <c r="I27" s="53"/>
      <c r="J27" s="52">
        <f>I27/$J$6*100</f>
        <v>0</v>
      </c>
      <c r="K27" s="53"/>
      <c r="L27" s="52">
        <f>K27/$J$7*100</f>
        <v>0</v>
      </c>
      <c r="M27" s="23"/>
      <c r="N27" s="51">
        <f>P27+R27</f>
        <v>0</v>
      </c>
      <c r="O27" s="52">
        <f>N27/$Q$5*100</f>
        <v>0</v>
      </c>
      <c r="P27" s="53"/>
      <c r="Q27" s="52">
        <f>P27/$Q$6*100</f>
        <v>0</v>
      </c>
      <c r="R27" s="53"/>
      <c r="S27" s="52">
        <f>R27/$Q$7*100</f>
        <v>0</v>
      </c>
      <c r="T27" s="3"/>
      <c r="U27" s="51">
        <f>W27+Y27</f>
        <v>0</v>
      </c>
      <c r="V27" s="52">
        <f>U27/$X$5*100</f>
        <v>0</v>
      </c>
      <c r="W27" s="53"/>
      <c r="X27" s="52">
        <f>W27/$X$6*100</f>
        <v>0</v>
      </c>
      <c r="Y27" s="53"/>
      <c r="Z27" s="52">
        <f>Y27/$X$7*100</f>
        <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x14ac:dyDescent="0.3">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23</v>
      </c>
      <c r="H30" s="52">
        <f t="shared" ref="H30:H35" si="3">G30/$J$5*100</f>
        <v>100</v>
      </c>
      <c r="I30" s="53">
        <f>COUNTIFS('00 Encuesta'!$B$2:$B$511,"*d)*",'00 Encuesta'!$C$2:$C$511,"*a)*",'00 Encuesta'!$E$2:$E$511,"*a)*",'00 Encuesta'!$G$2:$G$511,"*a)*")</f>
        <v>14</v>
      </c>
      <c r="J30" s="52">
        <f t="shared" ref="J30:J35" si="4">I30/$J$6*100</f>
        <v>100</v>
      </c>
      <c r="K30" s="53">
        <f>COUNTIFS('00 Encuesta'!$B$2:$B$511,"*d)*",'00 Encuesta'!$C$2:$C$511,"*a)*",'00 Encuesta'!$E$2:$E$511,"*b)*",'00 Encuesta'!$G$2:$G$511,"*a)*")</f>
        <v>9</v>
      </c>
      <c r="L30" s="52">
        <f>K30/$J$7*100</f>
        <v>100</v>
      </c>
      <c r="M30" s="23"/>
      <c r="N30" s="51">
        <f>P30+R30</f>
        <v>20</v>
      </c>
      <c r="O30" s="52">
        <f>N30/$Q$5*100</f>
        <v>100</v>
      </c>
      <c r="P30" s="53">
        <f>COUNTIFS('00 Encuesta'!$B$2:$B$511,"*d)*",'00 Encuesta'!$C$2:$C$511,"*b)*",'00 Encuesta'!$E$2:$E$511,"*a)*",'00 Encuesta'!$G$2:$G$511,"*a)*")</f>
        <v>7</v>
      </c>
      <c r="Q30" s="52">
        <f>P30/$Q$6*100</f>
        <v>100</v>
      </c>
      <c r="R30" s="53">
        <f>COUNTIFS('00 Encuesta'!$B$2:$B$511,"*d)*",'00 Encuesta'!$C$2:$C$511,"*b)*",'00 Encuesta'!$E$2:$E$511,"*b)*",'00 Encuesta'!$G$2:$G$511,"*a)*")</f>
        <v>13</v>
      </c>
      <c r="S30" s="52">
        <f>R30/$Q$7*100</f>
        <v>100</v>
      </c>
      <c r="T30" s="3"/>
      <c r="U30" s="51">
        <f>W30+Y30</f>
        <v>19</v>
      </c>
      <c r="V30" s="52">
        <f>U30/$X$5*100</f>
        <v>95</v>
      </c>
      <c r="W30" s="53">
        <f>COUNTIFS('00 Encuesta'!$B$2:$B$511,"*d)*",'00 Encuesta'!$C$2:$C$511,"*c)*",'00 Encuesta'!$E$2:$E$511,"*a)*",'00 Encuesta'!$G$2:$G$511,"*a)*")</f>
        <v>5</v>
      </c>
      <c r="X30" s="52">
        <f>W30/$X$6*100</f>
        <v>100</v>
      </c>
      <c r="Y30" s="53">
        <f>COUNTIFS('00 Encuesta'!$B$2:$B$511,"*d)*",'00 Encuesta'!$C$2:$C$511,"*c)*",'00 Encuesta'!$E$2:$E$511,"*b)*",'00 Encuesta'!$G$2:$G$511,"*a)*")</f>
        <v>14</v>
      </c>
      <c r="Z30" s="52">
        <f t="shared" ref="Z30:Z35" si="5">Y30/$X$7*100</f>
        <v>93.333333333333329</v>
      </c>
      <c r="AA30" s="3"/>
      <c r="AB30" s="62">
        <f t="shared" ref="AB30:AB64" si="6">G30+N30+U30</f>
        <v>62</v>
      </c>
      <c r="AC30" s="52">
        <f t="shared" ref="AC30:AC35" si="7">AB30*100/$AC$5</f>
        <v>98.412698412698418</v>
      </c>
      <c r="AD30" s="7"/>
      <c r="AE30" s="7"/>
      <c r="AF30" s="9" t="str">
        <f t="shared" ref="AF30:AF35" si="8">A30&amp;" "&amp;B30</f>
        <v>a) Mamá</v>
      </c>
      <c r="AG30" s="72">
        <f t="shared" ref="AG30:AG35" si="9">J30</f>
        <v>100</v>
      </c>
      <c r="AH30" s="72">
        <f t="shared" ref="AH30:AH35" si="10">L30</f>
        <v>100</v>
      </c>
      <c r="AI30" s="73">
        <f t="shared" ref="AI30:AI35" si="11">H30</f>
        <v>100</v>
      </c>
      <c r="AJ30" s="73"/>
      <c r="AK30" s="74">
        <f t="shared" ref="AK30:AK35" si="12">Q30</f>
        <v>100</v>
      </c>
      <c r="AL30" s="74">
        <f t="shared" ref="AL30:AL35" si="13">S30</f>
        <v>100</v>
      </c>
      <c r="AM30" s="74">
        <f t="shared" ref="AM30:AM35" si="14">O30</f>
        <v>100</v>
      </c>
      <c r="AN30" s="74"/>
      <c r="AO30" s="75">
        <f t="shared" ref="AO30:AO35" si="15">X30</f>
        <v>100</v>
      </c>
      <c r="AP30" s="75">
        <f t="shared" ref="AP30:AP35" si="16">Z30</f>
        <v>93.333333333333329</v>
      </c>
      <c r="AQ30" s="75">
        <f t="shared" ref="AQ30:AQ35" si="17">V30</f>
        <v>95</v>
      </c>
      <c r="AR30" s="7"/>
      <c r="AS30" s="76">
        <f t="shared" si="1"/>
        <v>98.412698412698418</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14</v>
      </c>
      <c r="H31" s="52">
        <f t="shared" si="3"/>
        <v>60.869565217391312</v>
      </c>
      <c r="I31" s="53">
        <f>COUNTIFS('00 Encuesta'!$B$2:$B$511,"*d)*",'00 Encuesta'!$C$2:$C$511,"*a)*",'00 Encuesta'!$E$2:$E$511,"*a)*",'00 Encuesta'!$G$2:$G$511,"*b)*")</f>
        <v>8</v>
      </c>
      <c r="J31" s="52">
        <f t="shared" si="4"/>
        <v>57.142857142857139</v>
      </c>
      <c r="K31" s="53">
        <f>COUNTIFS('00 Encuesta'!$B$2:$B$511,"*d)*",'00 Encuesta'!$C$2:$C$511,"*a)*",'00 Encuesta'!$E$2:$E$511,"*b)*",'00 Encuesta'!$G$2:$G$511,"*b)*")</f>
        <v>6</v>
      </c>
      <c r="L31" s="52">
        <f>K31/$J$7*100</f>
        <v>66.666666666666657</v>
      </c>
      <c r="M31" s="23"/>
      <c r="N31" s="51">
        <f>P31+R31</f>
        <v>14</v>
      </c>
      <c r="O31" s="52">
        <f>N31/$Q$5*100</f>
        <v>70</v>
      </c>
      <c r="P31" s="53">
        <f>COUNTIFS('00 Encuesta'!$B$2:$B$511,"*d)*",'00 Encuesta'!$C$2:$C$511,"*b)*",'00 Encuesta'!$E$2:$E$511,"*a)*",'00 Encuesta'!$G$2:$G$511,"*b)*")</f>
        <v>3</v>
      </c>
      <c r="Q31" s="52">
        <f>P31/$Q$6*100</f>
        <v>42.857142857142854</v>
      </c>
      <c r="R31" s="53">
        <f>COUNTIFS('00 Encuesta'!$B$2:$B$511,"*d)*",'00 Encuesta'!$C$2:$C$511,"*b)*",'00 Encuesta'!$E$2:$E$511,"*b)*",'00 Encuesta'!$G$2:$G$511,"*b)*")</f>
        <v>11</v>
      </c>
      <c r="S31" s="52">
        <f>R31/$Q$7*100</f>
        <v>84.615384615384613</v>
      </c>
      <c r="T31" s="3"/>
      <c r="U31" s="51">
        <f>W31+Y31</f>
        <v>14</v>
      </c>
      <c r="V31" s="52">
        <f>U31/$X$5*100</f>
        <v>70</v>
      </c>
      <c r="W31" s="53">
        <f>COUNTIFS('00 Encuesta'!$B$2:$B$511,"*d)*",'00 Encuesta'!$C$2:$C$511,"*c)*",'00 Encuesta'!$E$2:$E$511,"*a)*",'00 Encuesta'!$G$2:$G$511,"*b)*")</f>
        <v>3</v>
      </c>
      <c r="X31" s="52">
        <f>W31/$X$6*100</f>
        <v>60</v>
      </c>
      <c r="Y31" s="53">
        <f>COUNTIFS('00 Encuesta'!$B$2:$B$511,"*d)*",'00 Encuesta'!$C$2:$C$511,"*c)*",'00 Encuesta'!$E$2:$E$511,"*b)*",'00 Encuesta'!$G$2:$G$511,"*b)*")</f>
        <v>11</v>
      </c>
      <c r="Z31" s="52">
        <f t="shared" si="5"/>
        <v>73.333333333333329</v>
      </c>
      <c r="AA31" s="3"/>
      <c r="AB31" s="62">
        <f t="shared" si="6"/>
        <v>42</v>
      </c>
      <c r="AC31" s="52">
        <f t="shared" si="7"/>
        <v>66.666666666666671</v>
      </c>
      <c r="AD31" s="7"/>
      <c r="AE31" s="7"/>
      <c r="AF31" s="9" t="str">
        <f t="shared" si="8"/>
        <v>b) Papá</v>
      </c>
      <c r="AG31" s="72">
        <f t="shared" si="9"/>
        <v>57.142857142857139</v>
      </c>
      <c r="AH31" s="72">
        <f t="shared" si="10"/>
        <v>66.666666666666657</v>
      </c>
      <c r="AI31" s="73">
        <f t="shared" si="11"/>
        <v>60.869565217391312</v>
      </c>
      <c r="AJ31" s="73"/>
      <c r="AK31" s="74">
        <f t="shared" si="12"/>
        <v>42.857142857142854</v>
      </c>
      <c r="AL31" s="74">
        <f t="shared" si="13"/>
        <v>84.615384615384613</v>
      </c>
      <c r="AM31" s="74">
        <f t="shared" si="14"/>
        <v>70</v>
      </c>
      <c r="AN31" s="74"/>
      <c r="AO31" s="75">
        <f t="shared" si="15"/>
        <v>60</v>
      </c>
      <c r="AP31" s="75">
        <f t="shared" si="16"/>
        <v>73.333333333333329</v>
      </c>
      <c r="AQ31" s="75">
        <f t="shared" si="17"/>
        <v>70</v>
      </c>
      <c r="AR31" s="7"/>
      <c r="AS31" s="76">
        <f t="shared" si="1"/>
        <v>66.666666666666671</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x14ac:dyDescent="0.3">
      <c r="A32" s="8" t="s">
        <v>20</v>
      </c>
      <c r="B32" s="9" t="s">
        <v>35</v>
      </c>
      <c r="C32" s="80"/>
      <c r="D32" s="7"/>
      <c r="E32" s="80"/>
      <c r="F32" s="10"/>
      <c r="G32" s="51">
        <f t="shared" si="2"/>
        <v>12</v>
      </c>
      <c r="H32" s="52">
        <f t="shared" si="3"/>
        <v>52.173913043478258</v>
      </c>
      <c r="I32" s="53">
        <f>COUNTIFS('00 Encuesta'!$B$2:$B$511,"*d)*",'00 Encuesta'!$C$2:$C$511,"*a)*",'00 Encuesta'!$E$2:$E$511,"*a)*",'00 Encuesta'!$G$2:$G$511,"*c)*")</f>
        <v>5</v>
      </c>
      <c r="J32" s="52">
        <f t="shared" si="4"/>
        <v>35.714285714285715</v>
      </c>
      <c r="K32" s="53">
        <f>COUNTIFS('00 Encuesta'!$B$2:$B$511,"*d)*",'00 Encuesta'!$C$2:$C$511,"*a)*",'00 Encuesta'!$E$2:$E$511,"*b)*",'00 Encuesta'!$G$2:$G$511,"*c)*")</f>
        <v>7</v>
      </c>
      <c r="L32" s="52">
        <f>K32/$J$7*100</f>
        <v>77.777777777777786</v>
      </c>
      <c r="M32" s="23"/>
      <c r="N32" s="51">
        <f>P32+R32</f>
        <v>16</v>
      </c>
      <c r="O32" s="52">
        <f>N32/$Q$5*100</f>
        <v>80</v>
      </c>
      <c r="P32" s="53">
        <f>COUNTIFS('00 Encuesta'!$B$2:$B$511,"*d)*",'00 Encuesta'!$C$2:$C$511,"*b)*",'00 Encuesta'!$E$2:$E$511,"*a)*",'00 Encuesta'!$G$2:$G$511,"*c)*")</f>
        <v>6</v>
      </c>
      <c r="Q32" s="52">
        <f>P32/$Q$6*100</f>
        <v>85.714285714285708</v>
      </c>
      <c r="R32" s="53">
        <f>COUNTIFS('00 Encuesta'!$B$2:$B$511,"*d)*",'00 Encuesta'!$C$2:$C$511,"*b)*",'00 Encuesta'!$E$2:$E$511,"*b)*",'00 Encuesta'!$G$2:$G$511,"*c)*")</f>
        <v>10</v>
      </c>
      <c r="S32" s="52">
        <f>R32/$Q$7*100</f>
        <v>76.923076923076934</v>
      </c>
      <c r="T32" s="3"/>
      <c r="U32" s="51">
        <f>W32+Y32</f>
        <v>17</v>
      </c>
      <c r="V32" s="52">
        <f>U32/$X$5*100</f>
        <v>85</v>
      </c>
      <c r="W32" s="53">
        <f>COUNTIFS('00 Encuesta'!$B$2:$B$511,"*d)*",'00 Encuesta'!$C$2:$C$511,"*c)*",'00 Encuesta'!$E$2:$E$511,"*a)*",'00 Encuesta'!$G$2:$G$511,"*c)*")</f>
        <v>4</v>
      </c>
      <c r="X32" s="52">
        <f>W32/$X$6*100</f>
        <v>80</v>
      </c>
      <c r="Y32" s="53">
        <f>COUNTIFS('00 Encuesta'!$B$2:$B$511,"*d)*",'00 Encuesta'!$C$2:$C$511,"*c)*",'00 Encuesta'!$E$2:$E$511,"*b)*",'00 Encuesta'!$G$2:$G$511,"*c)*")</f>
        <v>13</v>
      </c>
      <c r="Z32" s="52">
        <f t="shared" si="5"/>
        <v>86.666666666666671</v>
      </c>
      <c r="AA32" s="3"/>
      <c r="AB32" s="62">
        <f t="shared" si="6"/>
        <v>45</v>
      </c>
      <c r="AC32" s="52">
        <f t="shared" si="7"/>
        <v>71.428571428571431</v>
      </c>
      <c r="AD32" s="7"/>
      <c r="AE32" s="7"/>
      <c r="AF32" s="9" t="str">
        <f t="shared" si="8"/>
        <v>c) Hermanos</v>
      </c>
      <c r="AG32" s="72">
        <f t="shared" si="9"/>
        <v>35.714285714285715</v>
      </c>
      <c r="AH32" s="72">
        <f t="shared" si="10"/>
        <v>77.777777777777786</v>
      </c>
      <c r="AI32" s="73">
        <f t="shared" si="11"/>
        <v>52.173913043478258</v>
      </c>
      <c r="AJ32" s="73"/>
      <c r="AK32" s="74">
        <f t="shared" si="12"/>
        <v>85.714285714285708</v>
      </c>
      <c r="AL32" s="74">
        <f t="shared" si="13"/>
        <v>76.923076923076934</v>
      </c>
      <c r="AM32" s="74">
        <f t="shared" si="14"/>
        <v>80</v>
      </c>
      <c r="AN32" s="74"/>
      <c r="AO32" s="75">
        <f t="shared" si="15"/>
        <v>80</v>
      </c>
      <c r="AP32" s="75">
        <f t="shared" si="16"/>
        <v>86.666666666666671</v>
      </c>
      <c r="AQ32" s="75">
        <f t="shared" si="17"/>
        <v>85</v>
      </c>
      <c r="AR32" s="7"/>
      <c r="AS32" s="76">
        <f t="shared" si="1"/>
        <v>71.428571428571431</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x14ac:dyDescent="0.3">
      <c r="A33" s="8" t="s">
        <v>21</v>
      </c>
      <c r="B33" s="9" t="s">
        <v>36</v>
      </c>
      <c r="C33" s="7"/>
      <c r="D33" s="7"/>
      <c r="E33" s="7"/>
      <c r="F33" s="71"/>
      <c r="G33" s="51">
        <f t="shared" si="2"/>
        <v>11</v>
      </c>
      <c r="H33" s="52">
        <f t="shared" si="3"/>
        <v>47.826086956521742</v>
      </c>
      <c r="I33" s="53">
        <f>COUNTIFS('00 Encuesta'!$B$2:$B$511,"*d)*",'00 Encuesta'!$C$2:$C$511,"*a)*",'00 Encuesta'!$E$2:$E$511,"*a)*",'00 Encuesta'!$G$2:$G$511,"*d)*")</f>
        <v>8</v>
      </c>
      <c r="J33" s="52">
        <f t="shared" si="4"/>
        <v>57.142857142857139</v>
      </c>
      <c r="K33" s="53">
        <f>COUNTIFS('00 Encuesta'!$B$2:$B$511,"*d)*",'00 Encuesta'!$C$2:$C$511,"*a)*",'00 Encuesta'!$E$2:$E$511,"*b)*",'00 Encuesta'!$G$2:$G$511,"*d)*")</f>
        <v>3</v>
      </c>
      <c r="L33" s="52">
        <f>K33/$J$7*100</f>
        <v>33.333333333333329</v>
      </c>
      <c r="M33" s="23"/>
      <c r="N33" s="51">
        <f>P33+R33</f>
        <v>10</v>
      </c>
      <c r="O33" s="52">
        <f>N33/$Q$5*100</f>
        <v>50</v>
      </c>
      <c r="P33" s="53">
        <f>COUNTIFS('00 Encuesta'!$B$2:$B$511,"*d)*",'00 Encuesta'!$C$2:$C$511,"*b)*",'00 Encuesta'!$E$2:$E$511,"*a)*",'00 Encuesta'!$G$2:$G$511,"*d)*")</f>
        <v>6</v>
      </c>
      <c r="Q33" s="52">
        <f>P33/$Q$6*100</f>
        <v>85.714285714285708</v>
      </c>
      <c r="R33" s="53">
        <f>COUNTIFS('00 Encuesta'!$B$2:$B$511,"*d)*",'00 Encuesta'!$C$2:$C$511,"*b)*",'00 Encuesta'!$E$2:$E$511,"*b)*",'00 Encuesta'!$G$2:$G$511,"*d)*")</f>
        <v>4</v>
      </c>
      <c r="S33" s="52">
        <f>R33/$Q$7*100</f>
        <v>30.76923076923077</v>
      </c>
      <c r="T33" s="3"/>
      <c r="U33" s="51">
        <f>W33+Y33</f>
        <v>3</v>
      </c>
      <c r="V33" s="52">
        <f>U33/$X$5*100</f>
        <v>15</v>
      </c>
      <c r="W33" s="53">
        <f>COUNTIFS('00 Encuesta'!$B$2:$B$511,"*d)*",'00 Encuesta'!$C$2:$C$511,"*c)*",'00 Encuesta'!$E$2:$E$511,"*a)*",'00 Encuesta'!$G$2:$G$511,"*d)*")</f>
        <v>1</v>
      </c>
      <c r="X33" s="52">
        <f>W33/$X$6*100</f>
        <v>20</v>
      </c>
      <c r="Y33" s="53">
        <f>COUNTIFS('00 Encuesta'!$B$2:$B$511,"*d)*",'00 Encuesta'!$C$2:$C$511,"*c)*",'00 Encuesta'!$E$2:$E$511,"*b)*",'00 Encuesta'!$G$2:$G$511,"*d)*")</f>
        <v>2</v>
      </c>
      <c r="Z33" s="52">
        <f t="shared" si="5"/>
        <v>13.333333333333334</v>
      </c>
      <c r="AA33" s="3"/>
      <c r="AB33" s="62">
        <f t="shared" si="6"/>
        <v>24</v>
      </c>
      <c r="AC33" s="52">
        <f t="shared" si="7"/>
        <v>38.095238095238095</v>
      </c>
      <c r="AD33" s="7"/>
      <c r="AE33" s="7"/>
      <c r="AF33" s="9" t="str">
        <f t="shared" si="8"/>
        <v>d) Abuelos</v>
      </c>
      <c r="AG33" s="72">
        <f t="shared" si="9"/>
        <v>57.142857142857139</v>
      </c>
      <c r="AH33" s="72">
        <f t="shared" si="10"/>
        <v>33.333333333333329</v>
      </c>
      <c r="AI33" s="73">
        <f t="shared" si="11"/>
        <v>47.826086956521742</v>
      </c>
      <c r="AJ33" s="73"/>
      <c r="AK33" s="74">
        <f t="shared" si="12"/>
        <v>85.714285714285708</v>
      </c>
      <c r="AL33" s="74">
        <f t="shared" si="13"/>
        <v>30.76923076923077</v>
      </c>
      <c r="AM33" s="74">
        <f t="shared" si="14"/>
        <v>50</v>
      </c>
      <c r="AN33" s="74"/>
      <c r="AO33" s="75">
        <f t="shared" si="15"/>
        <v>20</v>
      </c>
      <c r="AP33" s="75">
        <f t="shared" si="16"/>
        <v>13.333333333333334</v>
      </c>
      <c r="AQ33" s="75">
        <f t="shared" si="17"/>
        <v>15</v>
      </c>
      <c r="AR33" s="7"/>
      <c r="AS33" s="76">
        <f t="shared" si="1"/>
        <v>38.095238095238095</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x14ac:dyDescent="0.3">
      <c r="A34" s="8" t="s">
        <v>22</v>
      </c>
      <c r="B34" s="9" t="s">
        <v>37</v>
      </c>
      <c r="C34" s="7"/>
      <c r="D34" s="7"/>
      <c r="E34" s="7"/>
      <c r="F34" s="71"/>
      <c r="G34" s="51">
        <f t="shared" si="2"/>
        <v>4</v>
      </c>
      <c r="H34" s="52">
        <f t="shared" si="3"/>
        <v>17.391304347826086</v>
      </c>
      <c r="I34" s="53">
        <f>COUNTIFS('00 Encuesta'!$B$2:$B$511,"*d)*",'00 Encuesta'!$C$2:$C$511,"*a)*",'00 Encuesta'!$E$2:$E$511,"*a)*",'00 Encuesta'!$G$2:$G$511,"*e)*")</f>
        <v>1</v>
      </c>
      <c r="J34" s="52">
        <f t="shared" si="4"/>
        <v>7.1428571428571423</v>
      </c>
      <c r="K34" s="53">
        <f>COUNTIFS('00 Encuesta'!$B$2:$B$511,"*d)*",'00 Encuesta'!$C$2:$C$511,"*a)*",'00 Encuesta'!$E$2:$E$511,"*b)*",'00 Encuesta'!$G$2:$G$511,"*e)*")</f>
        <v>3</v>
      </c>
      <c r="L34" s="52">
        <f>K34/$J$7*100</f>
        <v>33.333333333333329</v>
      </c>
      <c r="M34" s="23"/>
      <c r="N34" s="51">
        <f>P34+R34</f>
        <v>10</v>
      </c>
      <c r="O34" s="52">
        <f>N34/$Q$5*100</f>
        <v>50</v>
      </c>
      <c r="P34" s="53">
        <f>COUNTIFS('00 Encuesta'!$B$2:$B$511,"*d)*",'00 Encuesta'!$C$2:$C$511,"*b)*",'00 Encuesta'!$E$2:$E$511,"*a)*",'00 Encuesta'!$G$2:$G$511,"*e)*")</f>
        <v>7</v>
      </c>
      <c r="Q34" s="52">
        <f>P34/$Q$6*100</f>
        <v>100</v>
      </c>
      <c r="R34" s="53">
        <f>COUNTIFS('00 Encuesta'!$B$2:$B$511,"*d)*",'00 Encuesta'!$C$2:$C$511,"*b)*",'00 Encuesta'!$E$2:$E$511,"*b)*",'00 Encuesta'!$G$2:$G$511,"*e)*")</f>
        <v>3</v>
      </c>
      <c r="S34" s="52">
        <f>R34/$Q$7*100</f>
        <v>23.076923076923077</v>
      </c>
      <c r="T34" s="3"/>
      <c r="U34" s="51">
        <f>W34+Y34</f>
        <v>3</v>
      </c>
      <c r="V34" s="52">
        <f>U34/$X$5*100</f>
        <v>15</v>
      </c>
      <c r="W34" s="53">
        <f>COUNTIFS('00 Encuesta'!$B$2:$B$511,"*d)*",'00 Encuesta'!$C$2:$C$511,"*c)*",'00 Encuesta'!$E$2:$E$511,"*a)*",'00 Encuesta'!$G$2:$G$511,"*e)*")</f>
        <v>1</v>
      </c>
      <c r="X34" s="52">
        <f>W34/$X$6*100</f>
        <v>20</v>
      </c>
      <c r="Y34" s="53">
        <f>COUNTIFS('00 Encuesta'!$B$2:$B$511,"*d)*",'00 Encuesta'!$C$2:$C$511,"*c)*",'00 Encuesta'!$E$2:$E$511,"*b)*",'00 Encuesta'!$G$2:$G$511,"*e)*")</f>
        <v>2</v>
      </c>
      <c r="Z34" s="52">
        <f t="shared" si="5"/>
        <v>13.333333333333334</v>
      </c>
      <c r="AA34" s="3"/>
      <c r="AB34" s="62">
        <f t="shared" si="6"/>
        <v>17</v>
      </c>
      <c r="AC34" s="52">
        <f t="shared" si="7"/>
        <v>26.984126984126984</v>
      </c>
      <c r="AD34" s="7"/>
      <c r="AE34" s="7"/>
      <c r="AF34" s="9" t="str">
        <f t="shared" si="8"/>
        <v>e) Otros familiares</v>
      </c>
      <c r="AG34" s="72">
        <f t="shared" si="9"/>
        <v>7.1428571428571423</v>
      </c>
      <c r="AH34" s="72">
        <f t="shared" si="10"/>
        <v>33.333333333333329</v>
      </c>
      <c r="AI34" s="73">
        <f t="shared" si="11"/>
        <v>17.391304347826086</v>
      </c>
      <c r="AJ34" s="73"/>
      <c r="AK34" s="74">
        <f t="shared" si="12"/>
        <v>100</v>
      </c>
      <c r="AL34" s="74">
        <f t="shared" si="13"/>
        <v>23.076923076923077</v>
      </c>
      <c r="AM34" s="74">
        <f t="shared" si="14"/>
        <v>50</v>
      </c>
      <c r="AN34" s="74"/>
      <c r="AO34" s="75">
        <f t="shared" si="15"/>
        <v>20</v>
      </c>
      <c r="AP34" s="75">
        <f t="shared" si="16"/>
        <v>13.333333333333334</v>
      </c>
      <c r="AQ34" s="75">
        <f t="shared" si="17"/>
        <v>15</v>
      </c>
      <c r="AR34" s="7"/>
      <c r="AS34" s="76">
        <f t="shared" si="1"/>
        <v>26.984126984126984</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x14ac:dyDescent="0.3">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f t="shared" ref="O35" si="20">N35/$Q$5*100</f>
        <v>0</v>
      </c>
      <c r="P35" s="53"/>
      <c r="Q35" s="52">
        <f t="shared" ref="Q35" si="21">P35/$Q$6*100</f>
        <v>0</v>
      </c>
      <c r="R35" s="53"/>
      <c r="S35" s="52">
        <f t="shared" ref="S35" si="22">R35/$Q$7*100</f>
        <v>0</v>
      </c>
      <c r="T35" s="3"/>
      <c r="U35" s="51">
        <f t="shared" ref="U35" si="23">W35+Y35</f>
        <v>0</v>
      </c>
      <c r="V35" s="52">
        <f t="shared" ref="V35" si="24">U35/$X$5*100</f>
        <v>0</v>
      </c>
      <c r="W35" s="53"/>
      <c r="X35" s="52">
        <f t="shared" ref="X35" si="25">W35/$X$6*100</f>
        <v>0</v>
      </c>
      <c r="Y35" s="53"/>
      <c r="Z35" s="52">
        <f t="shared" si="5"/>
        <v>0</v>
      </c>
      <c r="AA35" s="3"/>
      <c r="AB35" s="62">
        <f t="shared" si="6"/>
        <v>0</v>
      </c>
      <c r="AC35" s="52">
        <f t="shared" si="7"/>
        <v>0</v>
      </c>
      <c r="AD35" s="7"/>
      <c r="AE35" s="7"/>
      <c r="AF35" s="9" t="str">
        <f t="shared" si="8"/>
        <v>S/R Sin Respuesta</v>
      </c>
      <c r="AG35" s="72">
        <f t="shared" si="9"/>
        <v>0</v>
      </c>
      <c r="AH35" s="72">
        <f t="shared" si="10"/>
        <v>0</v>
      </c>
      <c r="AI35" s="73">
        <f t="shared" si="11"/>
        <v>0</v>
      </c>
      <c r="AJ35" s="73"/>
      <c r="AK35" s="74">
        <f t="shared" si="12"/>
        <v>0</v>
      </c>
      <c r="AL35" s="74">
        <f t="shared" si="13"/>
        <v>0</v>
      </c>
      <c r="AM35" s="74">
        <f t="shared" si="14"/>
        <v>0</v>
      </c>
      <c r="AN35" s="74"/>
      <c r="AO35" s="75">
        <f t="shared" si="15"/>
        <v>0</v>
      </c>
      <c r="AP35" s="75">
        <f t="shared" si="16"/>
        <v>0</v>
      </c>
      <c r="AQ35" s="75">
        <f t="shared" si="17"/>
        <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x14ac:dyDescent="0.3">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x14ac:dyDescent="0.3">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x14ac:dyDescent="0.3">
      <c r="A38" s="8" t="s">
        <v>17</v>
      </c>
      <c r="B38" s="9" t="s">
        <v>40</v>
      </c>
      <c r="C38" s="7"/>
      <c r="D38" s="7"/>
      <c r="E38" s="7"/>
      <c r="F38" s="71"/>
      <c r="G38" s="51">
        <f t="shared" ref="G38:G44" si="26">I38+K38</f>
        <v>2</v>
      </c>
      <c r="H38" s="52">
        <f t="shared" ref="H38:H44" si="27">G38/$J$5*100</f>
        <v>8.695652173913043</v>
      </c>
      <c r="I38" s="53">
        <f>COUNTIFS('00 Encuesta'!$B$2:$B$511,"*d)*",'00 Encuesta'!$C$2:$C$511,"*a)*",'00 Encuesta'!$E$2:$E$511,"*a)*",'00 Encuesta'!$H$2:$H$511,"*a)*")</f>
        <v>1</v>
      </c>
      <c r="J38" s="52">
        <f t="shared" ref="J38:J44" si="28">I38/$J$6*100</f>
        <v>7.1428571428571423</v>
      </c>
      <c r="K38" s="53">
        <f>COUNTIFS('00 Encuesta'!$B$2:$B$511,"*d)*",'00 Encuesta'!$C$2:$C$511,"*a)*",'00 Encuesta'!$E$2:$E$511,"*b)*",'00 Encuesta'!$H$2:$H$511,"*a)*")</f>
        <v>1</v>
      </c>
      <c r="L38" s="52">
        <f t="shared" ref="L38:L44" si="29">K38/$J$7*100</f>
        <v>11.111111111111111</v>
      </c>
      <c r="M38" s="23"/>
      <c r="N38" s="51">
        <f t="shared" ref="N38:N44" si="30">P38+R38</f>
        <v>2</v>
      </c>
      <c r="O38" s="52">
        <f>N38/$Q$5*100</f>
        <v>10</v>
      </c>
      <c r="P38" s="53">
        <f>COUNTIFS('00 Encuesta'!$B$2:$B$511,"*d)*",'00 Encuesta'!$C$2:$C$511,"*b)*",'00 Encuesta'!$E$2:$E$511,"*a)*",'00 Encuesta'!$H$2:$H$511,"*a)*")</f>
        <v>0</v>
      </c>
      <c r="Q38" s="52">
        <f>P38/$Q$6*100</f>
        <v>0</v>
      </c>
      <c r="R38" s="53">
        <f>COUNTIFS('00 Encuesta'!$B$2:$B$511,"*d)*",'00 Encuesta'!$C$2:$C$511,"*b)*",'00 Encuesta'!$E$2:$E$511,"*b)*",'00 Encuesta'!$H$2:$H$511,"*a)*")</f>
        <v>2</v>
      </c>
      <c r="S38" s="52">
        <f t="shared" ref="S38:S44" si="31">R38/$Q$7*100</f>
        <v>15.384615384615385</v>
      </c>
      <c r="T38" s="3"/>
      <c r="U38" s="51">
        <f t="shared" ref="U38:U44" si="32">W38+Y38</f>
        <v>1</v>
      </c>
      <c r="V38" s="52">
        <f t="shared" ref="V38:V44" si="33">U38/$X$5*100</f>
        <v>5</v>
      </c>
      <c r="W38" s="53">
        <f>COUNTIFS('00 Encuesta'!$B$2:$B$511,"*d)*",'00 Encuesta'!$C$2:$C$511,"*c)*",'00 Encuesta'!$E$2:$E$511,"*a)*",'00 Encuesta'!$H$2:$H$511,"*a)*")</f>
        <v>1</v>
      </c>
      <c r="X38" s="52">
        <f t="shared" ref="X38:X44" si="34">W38/$X$6*100</f>
        <v>20</v>
      </c>
      <c r="Y38" s="53">
        <f>COUNTIFS('00 Encuesta'!$B$2:$B$511,"*d)*",'00 Encuesta'!$C$2:$C$511,"*c)*",'00 Encuesta'!$E$2:$E$511,"*b)*",'00 Encuesta'!$H$2:$H$511,"*a)*")</f>
        <v>0</v>
      </c>
      <c r="Z38" s="52">
        <f t="shared" ref="Z38:Z44" si="35">Y38/$X$7*100</f>
        <v>0</v>
      </c>
      <c r="AA38" s="3"/>
      <c r="AB38" s="62">
        <f t="shared" si="6"/>
        <v>5</v>
      </c>
      <c r="AC38" s="52">
        <f t="shared" ref="AC38:AC44" si="36">AB38*100/$AC$5</f>
        <v>7.9365079365079367</v>
      </c>
      <c r="AD38" s="7"/>
      <c r="AE38" s="7"/>
      <c r="AF38" s="9" t="str">
        <f t="shared" ref="AF38:AF44" si="37">A38&amp;" "&amp;B38</f>
        <v>a) Quinta</v>
      </c>
      <c r="AG38" s="72">
        <f t="shared" ref="AG38:AG44" si="38">J38</f>
        <v>7.1428571428571423</v>
      </c>
      <c r="AH38" s="72">
        <f t="shared" ref="AH38:AH44" si="39">L38</f>
        <v>11.111111111111111</v>
      </c>
      <c r="AI38" s="73">
        <f t="shared" ref="AI38:AI44" si="40">H38</f>
        <v>8.695652173913043</v>
      </c>
      <c r="AJ38" s="73"/>
      <c r="AK38" s="76">
        <f t="shared" ref="AK38:AK44" si="41">Q38</f>
        <v>0</v>
      </c>
      <c r="AL38" s="76">
        <f t="shared" ref="AL38:AL44" si="42">S38</f>
        <v>15.384615384615385</v>
      </c>
      <c r="AM38" s="76">
        <f t="shared" ref="AM38:AM44" si="43">O38</f>
        <v>10</v>
      </c>
      <c r="AN38" s="76"/>
      <c r="AO38" s="81">
        <f t="shared" ref="AO38:AO44" si="44">X38</f>
        <v>20</v>
      </c>
      <c r="AP38" s="81">
        <f t="shared" ref="AP38:AP44" si="45">Z38</f>
        <v>0</v>
      </c>
      <c r="AQ38" s="81">
        <f t="shared" ref="AQ38:AQ44" si="46">V38</f>
        <v>5</v>
      </c>
      <c r="AR38" s="7"/>
      <c r="AS38" s="76">
        <f t="shared" si="1"/>
        <v>7.9365079365079367</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x14ac:dyDescent="0.3">
      <c r="A39" s="8" t="s">
        <v>18</v>
      </c>
      <c r="B39" s="9" t="s">
        <v>41</v>
      </c>
      <c r="C39" s="7"/>
      <c r="D39" s="7"/>
      <c r="E39" s="7"/>
      <c r="F39" s="71"/>
      <c r="G39" s="51">
        <f t="shared" si="26"/>
        <v>15</v>
      </c>
      <c r="H39" s="52">
        <f t="shared" si="27"/>
        <v>65.217391304347828</v>
      </c>
      <c r="I39" s="53">
        <f>COUNTIFS('00 Encuesta'!$B$2:$B$511,"*d)*",'00 Encuesta'!$C$2:$C$511,"*a)*",'00 Encuesta'!$E$2:$E$511,"*a)*",'00 Encuesta'!$H$2:$H$511,"*b)*")</f>
        <v>9</v>
      </c>
      <c r="J39" s="52">
        <f t="shared" si="28"/>
        <v>64.285714285714292</v>
      </c>
      <c r="K39" s="53">
        <f>COUNTIFS('00 Encuesta'!$B$2:$B$511,"*d)*",'00 Encuesta'!$C$2:$C$511,"*a)*",'00 Encuesta'!$E$2:$E$511,"*b)*",'00 Encuesta'!$H$2:$H$511,"*b)*")</f>
        <v>6</v>
      </c>
      <c r="L39" s="52">
        <f t="shared" si="29"/>
        <v>66.666666666666657</v>
      </c>
      <c r="M39" s="23"/>
      <c r="N39" s="51">
        <f t="shared" si="30"/>
        <v>16</v>
      </c>
      <c r="O39" s="52">
        <f t="shared" ref="O39:O44" si="47">N39/$Q$5*100</f>
        <v>80</v>
      </c>
      <c r="P39" s="53">
        <f>COUNTIFS('00 Encuesta'!$B$2:$B$511,"*d)*",'00 Encuesta'!$C$2:$C$511,"*b)*",'00 Encuesta'!$E$2:$E$511,"*a)*",'00 Encuesta'!$H$2:$H$511,"*b)*")</f>
        <v>6</v>
      </c>
      <c r="Q39" s="52">
        <f>P39/$Q$6*100</f>
        <v>85.714285714285708</v>
      </c>
      <c r="R39" s="53">
        <f>COUNTIFS('00 Encuesta'!$B$2:$B$511,"*d)*",'00 Encuesta'!$C$2:$C$511,"*b)*",'00 Encuesta'!$E$2:$E$511,"*b)*",'00 Encuesta'!$H$2:$H$511,"*b)*")</f>
        <v>10</v>
      </c>
      <c r="S39" s="52">
        <f>R39/$Q$7*100</f>
        <v>76.923076923076934</v>
      </c>
      <c r="T39" s="3"/>
      <c r="U39" s="51">
        <f t="shared" si="32"/>
        <v>17</v>
      </c>
      <c r="V39" s="52">
        <f t="shared" si="33"/>
        <v>85</v>
      </c>
      <c r="W39" s="53">
        <f>COUNTIFS('00 Encuesta'!$B$2:$B$511,"*d)*",'00 Encuesta'!$C$2:$C$511,"*c)*",'00 Encuesta'!$E$2:$E$511,"*a)*",'00 Encuesta'!$H$2:$H$511,"*b)*")</f>
        <v>4</v>
      </c>
      <c r="X39" s="52">
        <f t="shared" si="34"/>
        <v>80</v>
      </c>
      <c r="Y39" s="53">
        <f>COUNTIFS('00 Encuesta'!$B$2:$B$511,"*d)*",'00 Encuesta'!$C$2:$C$511,"*c)*",'00 Encuesta'!$E$2:$E$511,"*b)*",'00 Encuesta'!$H$2:$H$511,"*b)*")</f>
        <v>13</v>
      </c>
      <c r="Z39" s="52">
        <f t="shared" si="35"/>
        <v>86.666666666666671</v>
      </c>
      <c r="AA39" s="3"/>
      <c r="AB39" s="62">
        <f t="shared" si="6"/>
        <v>48</v>
      </c>
      <c r="AC39" s="52">
        <f t="shared" si="36"/>
        <v>76.19047619047619</v>
      </c>
      <c r="AD39" s="7"/>
      <c r="AE39" s="7"/>
      <c r="AF39" s="9" t="str">
        <f t="shared" si="37"/>
        <v>b) Casa urbana</v>
      </c>
      <c r="AG39" s="72">
        <f t="shared" si="38"/>
        <v>64.285714285714292</v>
      </c>
      <c r="AH39" s="72">
        <f t="shared" si="39"/>
        <v>66.666666666666657</v>
      </c>
      <c r="AI39" s="73">
        <f t="shared" si="40"/>
        <v>65.217391304347828</v>
      </c>
      <c r="AJ39" s="73"/>
      <c r="AK39" s="76">
        <f t="shared" si="41"/>
        <v>85.714285714285708</v>
      </c>
      <c r="AL39" s="76">
        <f t="shared" si="42"/>
        <v>76.923076923076934</v>
      </c>
      <c r="AM39" s="76">
        <f t="shared" si="43"/>
        <v>80</v>
      </c>
      <c r="AN39" s="76"/>
      <c r="AO39" s="81">
        <f t="shared" si="44"/>
        <v>80</v>
      </c>
      <c r="AP39" s="81">
        <f t="shared" si="45"/>
        <v>86.666666666666671</v>
      </c>
      <c r="AQ39" s="81">
        <f t="shared" si="46"/>
        <v>85</v>
      </c>
      <c r="AR39" s="7"/>
      <c r="AS39" s="76">
        <f t="shared" si="1"/>
        <v>76.19047619047619</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x14ac:dyDescent="0.3">
      <c r="A40" s="8" t="s">
        <v>20</v>
      </c>
      <c r="B40" s="9" t="s">
        <v>42</v>
      </c>
      <c r="C40" s="7"/>
      <c r="D40" s="7"/>
      <c r="E40" s="7"/>
      <c r="F40" s="71"/>
      <c r="G40" s="51">
        <f t="shared" si="26"/>
        <v>0</v>
      </c>
      <c r="H40" s="52">
        <f t="shared" si="27"/>
        <v>0</v>
      </c>
      <c r="I40" s="53">
        <f>COUNTIFS('00 Encuesta'!$B$2:$B$511,"*d)*",'00 Encuesta'!$C$2:$C$511,"*a)*",'00 Encuesta'!$E$2:$E$511,"*a)*",'00 Encuesta'!$H$2:$H$511,"*c)*")</f>
        <v>0</v>
      </c>
      <c r="J40" s="52">
        <f t="shared" si="28"/>
        <v>0</v>
      </c>
      <c r="K40" s="53">
        <f>COUNTIFS('00 Encuesta'!$B$2:$B$511,"*d)*",'00 Encuesta'!$C$2:$C$511,"*a)*",'00 Encuesta'!$E$2:$E$511,"*b)*",'00 Encuesta'!$H$2:$H$511,"*c)*")</f>
        <v>0</v>
      </c>
      <c r="L40" s="52">
        <f t="shared" si="29"/>
        <v>0</v>
      </c>
      <c r="M40" s="23"/>
      <c r="N40" s="51">
        <f t="shared" si="30"/>
        <v>0</v>
      </c>
      <c r="O40" s="52">
        <f t="shared" si="47"/>
        <v>0</v>
      </c>
      <c r="P40" s="53">
        <f>COUNTIFS('00 Encuesta'!$B$2:$B$511,"*d)*",'00 Encuesta'!$C$2:$C$511,"*b)*",'00 Encuesta'!$E$2:$E$511,"*a)*",'00 Encuesta'!$H$2:$H$511,"*c)*")</f>
        <v>0</v>
      </c>
      <c r="Q40" s="52">
        <f t="shared" ref="Q40:Q44" si="48">P40/$Q$6*100</f>
        <v>0</v>
      </c>
      <c r="R40" s="53">
        <f>COUNTIFS('00 Encuesta'!$B$2:$B$511,"*d)*",'00 Encuesta'!$C$2:$C$511,"*b)*",'00 Encuesta'!$E$2:$E$511,"*b)*",'00 Encuesta'!$H$2:$H$511,"*c)*")</f>
        <v>0</v>
      </c>
      <c r="S40" s="52">
        <f t="shared" si="31"/>
        <v>0</v>
      </c>
      <c r="T40" s="3"/>
      <c r="U40" s="51">
        <f t="shared" si="32"/>
        <v>0</v>
      </c>
      <c r="V40" s="52">
        <f t="shared" si="33"/>
        <v>0</v>
      </c>
      <c r="W40" s="53">
        <f>COUNTIFS('00 Encuesta'!$B$2:$B$511,"*d)*",'00 Encuesta'!$C$2:$C$511,"*c)*",'00 Encuesta'!$E$2:$E$511,"*a)*",'00 Encuesta'!$H$2:$H$511,"*c)*")</f>
        <v>0</v>
      </c>
      <c r="X40" s="52">
        <f t="shared" si="34"/>
        <v>0</v>
      </c>
      <c r="Y40" s="53">
        <f>COUNTIFS('00 Encuesta'!$B$2:$B$511,"*d)*",'00 Encuesta'!$C$2:$C$511,"*c)*",'00 Encuesta'!$E$2:$E$511,"*b)*",'00 Encuesta'!$H$2:$H$511,"*c)*")</f>
        <v>0</v>
      </c>
      <c r="Z40" s="52">
        <f t="shared" si="35"/>
        <v>0</v>
      </c>
      <c r="AA40" s="3"/>
      <c r="AB40" s="62">
        <f t="shared" si="6"/>
        <v>0</v>
      </c>
      <c r="AC40" s="52">
        <f t="shared" si="36"/>
        <v>0</v>
      </c>
      <c r="AD40" s="7"/>
      <c r="AE40" s="7"/>
      <c r="AF40" s="9" t="str">
        <f t="shared" si="37"/>
        <v>c) Apartamento</v>
      </c>
      <c r="AG40" s="72">
        <f t="shared" si="38"/>
        <v>0</v>
      </c>
      <c r="AH40" s="72">
        <f t="shared" si="39"/>
        <v>0</v>
      </c>
      <c r="AI40" s="73">
        <f t="shared" si="40"/>
        <v>0</v>
      </c>
      <c r="AJ40" s="73"/>
      <c r="AK40" s="76">
        <f t="shared" si="41"/>
        <v>0</v>
      </c>
      <c r="AL40" s="76">
        <f t="shared" si="42"/>
        <v>0</v>
      </c>
      <c r="AM40" s="76">
        <f t="shared" si="43"/>
        <v>0</v>
      </c>
      <c r="AN40" s="76"/>
      <c r="AO40" s="81">
        <f t="shared" si="44"/>
        <v>0</v>
      </c>
      <c r="AP40" s="81">
        <f t="shared" si="45"/>
        <v>0</v>
      </c>
      <c r="AQ40" s="81">
        <f t="shared" si="46"/>
        <v>0</v>
      </c>
      <c r="AR40" s="7"/>
      <c r="AS40" s="76">
        <f t="shared" si="1"/>
        <v>0</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x14ac:dyDescent="0.3">
      <c r="A41" s="8" t="s">
        <v>21</v>
      </c>
      <c r="B41" s="9" t="s">
        <v>43</v>
      </c>
      <c r="C41" s="7"/>
      <c r="D41" s="7"/>
      <c r="E41" s="7"/>
      <c r="F41" s="71"/>
      <c r="G41" s="51">
        <f t="shared" si="26"/>
        <v>5</v>
      </c>
      <c r="H41" s="52">
        <f t="shared" si="27"/>
        <v>21.739130434782609</v>
      </c>
      <c r="I41" s="53">
        <f>COUNTIFS('00 Encuesta'!$B$2:$B$511,"*d)*",'00 Encuesta'!$C$2:$C$511,"*a)*",'00 Encuesta'!$E$2:$E$511,"*a)*",'00 Encuesta'!$H$2:$H$511,"*d)*")</f>
        <v>3</v>
      </c>
      <c r="J41" s="52">
        <f t="shared" si="28"/>
        <v>21.428571428571427</v>
      </c>
      <c r="K41" s="53">
        <f>COUNTIFS('00 Encuesta'!$B$2:$B$511,"*d)*",'00 Encuesta'!$C$2:$C$511,"*a)*",'00 Encuesta'!$E$2:$E$511,"*b)*",'00 Encuesta'!$H$2:$H$511,"*d)*")</f>
        <v>2</v>
      </c>
      <c r="L41" s="52">
        <f t="shared" si="29"/>
        <v>22.222222222222221</v>
      </c>
      <c r="M41" s="23"/>
      <c r="N41" s="51">
        <f t="shared" si="30"/>
        <v>0</v>
      </c>
      <c r="O41" s="52">
        <f t="shared" si="47"/>
        <v>0</v>
      </c>
      <c r="P41" s="53">
        <f>COUNTIFS('00 Encuesta'!$B$2:$B$511,"*d)*",'00 Encuesta'!$C$2:$C$511,"*b)*",'00 Encuesta'!$E$2:$E$511,"*a)*",'00 Encuesta'!$H$2:$H$511,"*d)*")</f>
        <v>0</v>
      </c>
      <c r="Q41" s="52">
        <f t="shared" si="48"/>
        <v>0</v>
      </c>
      <c r="R41" s="53">
        <f>COUNTIFS('00 Encuesta'!$B$2:$B$511,"*d)*",'00 Encuesta'!$C$2:$C$511,"*b)*",'00 Encuesta'!$E$2:$E$511,"*b)*",'00 Encuesta'!$H$2:$H$511,"*d)*")</f>
        <v>0</v>
      </c>
      <c r="S41" s="52">
        <f t="shared" si="31"/>
        <v>0</v>
      </c>
      <c r="T41" s="3"/>
      <c r="U41" s="51">
        <f t="shared" si="32"/>
        <v>0</v>
      </c>
      <c r="V41" s="52">
        <f t="shared" si="33"/>
        <v>0</v>
      </c>
      <c r="W41" s="53">
        <f>COUNTIFS('00 Encuesta'!$B$2:$B$511,"*d)*",'00 Encuesta'!$C$2:$C$511,"*c)*",'00 Encuesta'!$E$2:$E$511,"*a)*",'00 Encuesta'!$H$2:$H$511,"*d)*")</f>
        <v>0</v>
      </c>
      <c r="X41" s="52">
        <f t="shared" si="34"/>
        <v>0</v>
      </c>
      <c r="Y41" s="53">
        <f>COUNTIFS('00 Encuesta'!$B$2:$B$511,"*d)*",'00 Encuesta'!$C$2:$C$511,"*c)*",'00 Encuesta'!$E$2:$E$511,"*b)*",'00 Encuesta'!$H$2:$H$511,"*d)*")</f>
        <v>0</v>
      </c>
      <c r="Z41" s="52">
        <f t="shared" si="35"/>
        <v>0</v>
      </c>
      <c r="AA41" s="3"/>
      <c r="AB41" s="62">
        <f t="shared" si="6"/>
        <v>5</v>
      </c>
      <c r="AC41" s="52">
        <f t="shared" si="36"/>
        <v>7.9365079365079367</v>
      </c>
      <c r="AD41" s="7"/>
      <c r="AE41" s="7"/>
      <c r="AF41" s="9" t="str">
        <f t="shared" si="37"/>
        <v>d) Casa rural</v>
      </c>
      <c r="AG41" s="72">
        <f t="shared" si="38"/>
        <v>21.428571428571427</v>
      </c>
      <c r="AH41" s="72">
        <f t="shared" si="39"/>
        <v>22.222222222222221</v>
      </c>
      <c r="AI41" s="73">
        <f t="shared" si="40"/>
        <v>21.739130434782609</v>
      </c>
      <c r="AJ41" s="73"/>
      <c r="AK41" s="76">
        <f t="shared" si="41"/>
        <v>0</v>
      </c>
      <c r="AL41" s="76">
        <f t="shared" si="42"/>
        <v>0</v>
      </c>
      <c r="AM41" s="76">
        <f t="shared" si="43"/>
        <v>0</v>
      </c>
      <c r="AN41" s="76"/>
      <c r="AO41" s="81">
        <f t="shared" si="44"/>
        <v>0</v>
      </c>
      <c r="AP41" s="81">
        <f t="shared" si="45"/>
        <v>0</v>
      </c>
      <c r="AQ41" s="81">
        <f t="shared" si="46"/>
        <v>0</v>
      </c>
      <c r="AR41" s="7"/>
      <c r="AS41" s="76">
        <f t="shared" si="1"/>
        <v>7.9365079365079367</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x14ac:dyDescent="0.3">
      <c r="A42" s="8" t="s">
        <v>22</v>
      </c>
      <c r="B42" s="9" t="s">
        <v>44</v>
      </c>
      <c r="C42" s="7"/>
      <c r="D42" s="7"/>
      <c r="E42" s="7"/>
      <c r="F42" s="71"/>
      <c r="G42" s="51">
        <f t="shared" si="26"/>
        <v>0</v>
      </c>
      <c r="H42" s="52">
        <f t="shared" si="27"/>
        <v>0</v>
      </c>
      <c r="I42" s="53">
        <f>COUNTIFS('00 Encuesta'!$B$2:$B$511,"*d)*",'00 Encuesta'!$C$2:$C$511,"*a)*",'00 Encuesta'!$E$2:$E$511,"*a)*",'00 Encuesta'!$H$2:$H$511,"*e)*")</f>
        <v>0</v>
      </c>
      <c r="J42" s="52">
        <f t="shared" si="28"/>
        <v>0</v>
      </c>
      <c r="K42" s="53">
        <f>COUNTIFS('00 Encuesta'!$B$2:$B$511,"*d)*",'00 Encuesta'!$C$2:$C$511,"*a)*",'00 Encuesta'!$E$2:$E$511,"*b)*",'00 Encuesta'!$H$2:$H$511,"*e)*")</f>
        <v>0</v>
      </c>
      <c r="L42" s="52">
        <f t="shared" si="29"/>
        <v>0</v>
      </c>
      <c r="M42" s="23"/>
      <c r="N42" s="51">
        <f t="shared" si="30"/>
        <v>0</v>
      </c>
      <c r="O42" s="52">
        <f t="shared" si="47"/>
        <v>0</v>
      </c>
      <c r="P42" s="53">
        <f>COUNTIFS('00 Encuesta'!$B$2:$B$511,"*d)*",'00 Encuesta'!$C$2:$C$511,"*b)*",'00 Encuesta'!$E$2:$E$511,"*a)*",'00 Encuesta'!$H$2:$H$511,"*e)*")</f>
        <v>0</v>
      </c>
      <c r="Q42" s="52">
        <f t="shared" si="48"/>
        <v>0</v>
      </c>
      <c r="R42" s="53">
        <f>COUNTIFS('00 Encuesta'!$B$2:$B$511,"*d)*",'00 Encuesta'!$C$2:$C$511,"*b)*",'00 Encuesta'!$E$2:$E$511,"*b)*",'00 Encuesta'!$H$2:$H$511,"*e)*")</f>
        <v>0</v>
      </c>
      <c r="S42" s="52">
        <f t="shared" si="31"/>
        <v>0</v>
      </c>
      <c r="T42" s="3"/>
      <c r="U42" s="51">
        <f t="shared" si="32"/>
        <v>2</v>
      </c>
      <c r="V42" s="52">
        <f t="shared" si="33"/>
        <v>10</v>
      </c>
      <c r="W42" s="53">
        <f>COUNTIFS('00 Encuesta'!$B$2:$B$511,"*d)*",'00 Encuesta'!$C$2:$C$511,"*c)*",'00 Encuesta'!$E$2:$E$511,"*a)*",'00 Encuesta'!$H$2:$H$511,"*e)*")</f>
        <v>0</v>
      </c>
      <c r="X42" s="52">
        <f t="shared" si="34"/>
        <v>0</v>
      </c>
      <c r="Y42" s="53">
        <f>COUNTIFS('00 Encuesta'!$B$2:$B$511,"*d)*",'00 Encuesta'!$C$2:$C$511,"*c)*",'00 Encuesta'!$E$2:$E$511,"*b)*",'00 Encuesta'!$H$2:$H$511,"*e)*")</f>
        <v>2</v>
      </c>
      <c r="Z42" s="52">
        <f t="shared" si="35"/>
        <v>13.333333333333334</v>
      </c>
      <c r="AA42" s="3"/>
      <c r="AB42" s="62">
        <f t="shared" si="6"/>
        <v>2</v>
      </c>
      <c r="AC42" s="52">
        <f t="shared" si="36"/>
        <v>3.1746031746031744</v>
      </c>
      <c r="AD42" s="7"/>
      <c r="AE42" s="7"/>
      <c r="AF42" s="9" t="str">
        <f t="shared" si="37"/>
        <v>e) Rancho</v>
      </c>
      <c r="AG42" s="72">
        <f t="shared" si="38"/>
        <v>0</v>
      </c>
      <c r="AH42" s="72">
        <f t="shared" si="39"/>
        <v>0</v>
      </c>
      <c r="AI42" s="73">
        <f t="shared" si="40"/>
        <v>0</v>
      </c>
      <c r="AJ42" s="73"/>
      <c r="AK42" s="76">
        <f t="shared" si="41"/>
        <v>0</v>
      </c>
      <c r="AL42" s="76">
        <f t="shared" si="42"/>
        <v>0</v>
      </c>
      <c r="AM42" s="76">
        <f t="shared" si="43"/>
        <v>0</v>
      </c>
      <c r="AN42" s="76"/>
      <c r="AO42" s="81">
        <f t="shared" si="44"/>
        <v>0</v>
      </c>
      <c r="AP42" s="81">
        <f t="shared" si="45"/>
        <v>13.333333333333334</v>
      </c>
      <c r="AQ42" s="81">
        <f t="shared" si="46"/>
        <v>10</v>
      </c>
      <c r="AR42" s="7"/>
      <c r="AS42" s="76">
        <f t="shared" si="1"/>
        <v>3.1746031746031744</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x14ac:dyDescent="0.3">
      <c r="A43" s="8" t="s">
        <v>45</v>
      </c>
      <c r="B43" s="9" t="s">
        <v>46</v>
      </c>
      <c r="C43" s="7"/>
      <c r="D43" s="7"/>
      <c r="E43" s="7"/>
      <c r="F43" s="71"/>
      <c r="G43" s="51">
        <f t="shared" si="26"/>
        <v>1</v>
      </c>
      <c r="H43" s="52">
        <f t="shared" si="27"/>
        <v>4.3478260869565215</v>
      </c>
      <c r="I43" s="53">
        <f>COUNTIFS('00 Encuesta'!$B$2:$B$511,"*d)*",'00 Encuesta'!$C$2:$C$511,"*a)*",'00 Encuesta'!$E$2:$E$511,"*a)*",'00 Encuesta'!$H$2:$H$511,"*f)*")</f>
        <v>1</v>
      </c>
      <c r="J43" s="52">
        <f t="shared" si="28"/>
        <v>7.1428571428571423</v>
      </c>
      <c r="K43" s="53">
        <f>COUNTIFS('00 Encuesta'!$B$2:$B$511,"*d)*",'00 Encuesta'!$C$2:$C$511,"*a)*",'00 Encuesta'!$E$2:$E$511,"*b)*",'00 Encuesta'!$H$2:$H$511,"*f)*")</f>
        <v>0</v>
      </c>
      <c r="L43" s="52">
        <f t="shared" si="29"/>
        <v>0</v>
      </c>
      <c r="M43" s="23"/>
      <c r="N43" s="51">
        <f t="shared" si="30"/>
        <v>2</v>
      </c>
      <c r="O43" s="52">
        <f t="shared" si="47"/>
        <v>10</v>
      </c>
      <c r="P43" s="53">
        <f>COUNTIFS('00 Encuesta'!$B$2:$B$511,"*d)*",'00 Encuesta'!$C$2:$C$511,"*b)*",'00 Encuesta'!$E$2:$E$511,"*a)*",'00 Encuesta'!$H$2:$H$511,"*f)*")</f>
        <v>1</v>
      </c>
      <c r="Q43" s="52">
        <f t="shared" si="48"/>
        <v>14.285714285714285</v>
      </c>
      <c r="R43" s="53">
        <f>COUNTIFS('00 Encuesta'!$B$2:$B$511,"*d)*",'00 Encuesta'!$C$2:$C$511,"*b)*",'00 Encuesta'!$E$2:$E$511,"*b)*",'00 Encuesta'!$H$2:$H$511,"*f)*")</f>
        <v>1</v>
      </c>
      <c r="S43" s="52">
        <f t="shared" si="31"/>
        <v>7.6923076923076925</v>
      </c>
      <c r="T43" s="3"/>
      <c r="U43" s="51">
        <f t="shared" si="32"/>
        <v>0</v>
      </c>
      <c r="V43" s="52">
        <f t="shared" si="33"/>
        <v>0</v>
      </c>
      <c r="W43" s="53">
        <f>COUNTIFS('00 Encuesta'!$B$2:$B$511,"*d)*",'00 Encuesta'!$C$2:$C$511,"*c)*",'00 Encuesta'!$E$2:$E$511,"*a)*",'00 Encuesta'!$H$2:$H$511,"*f)*")</f>
        <v>0</v>
      </c>
      <c r="X43" s="52">
        <f t="shared" si="34"/>
        <v>0</v>
      </c>
      <c r="Y43" s="53">
        <f>COUNTIFS('00 Encuesta'!$B$2:$B$511,"*d)*",'00 Encuesta'!$C$2:$C$511,"*c)*",'00 Encuesta'!$E$2:$E$511,"*b)*",'00 Encuesta'!$H$2:$H$511,"*f)*")</f>
        <v>0</v>
      </c>
      <c r="Z43" s="52">
        <f t="shared" si="35"/>
        <v>0</v>
      </c>
      <c r="AA43" s="3"/>
      <c r="AB43" s="62">
        <f t="shared" si="6"/>
        <v>3</v>
      </c>
      <c r="AC43" s="52">
        <f t="shared" si="36"/>
        <v>4.7619047619047619</v>
      </c>
      <c r="AD43" s="7"/>
      <c r="AE43" s="7"/>
      <c r="AF43" s="9" t="str">
        <f t="shared" si="37"/>
        <v>f) Otro</v>
      </c>
      <c r="AG43" s="72">
        <f t="shared" si="38"/>
        <v>7.1428571428571423</v>
      </c>
      <c r="AH43" s="72">
        <f t="shared" si="39"/>
        <v>0</v>
      </c>
      <c r="AI43" s="73">
        <f t="shared" si="40"/>
        <v>4.3478260869565215</v>
      </c>
      <c r="AJ43" s="73"/>
      <c r="AK43" s="76">
        <f t="shared" si="41"/>
        <v>14.285714285714285</v>
      </c>
      <c r="AL43" s="76">
        <f t="shared" si="42"/>
        <v>7.6923076923076925</v>
      </c>
      <c r="AM43" s="76">
        <f t="shared" si="43"/>
        <v>10</v>
      </c>
      <c r="AN43" s="76"/>
      <c r="AO43" s="81">
        <f t="shared" si="44"/>
        <v>0</v>
      </c>
      <c r="AP43" s="81">
        <f t="shared" si="45"/>
        <v>0</v>
      </c>
      <c r="AQ43" s="81">
        <f t="shared" si="46"/>
        <v>0</v>
      </c>
      <c r="AR43" s="7"/>
      <c r="AS43" s="76">
        <f t="shared" si="1"/>
        <v>4.7619047619047619</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x14ac:dyDescent="0.3">
      <c r="A44" s="8" t="s">
        <v>23</v>
      </c>
      <c r="B44" s="9" t="s">
        <v>24</v>
      </c>
      <c r="C44" s="7"/>
      <c r="D44" s="7"/>
      <c r="E44" s="7"/>
      <c r="F44" s="71"/>
      <c r="G44" s="51">
        <f t="shared" si="26"/>
        <v>0</v>
      </c>
      <c r="H44" s="52">
        <f t="shared" si="27"/>
        <v>0</v>
      </c>
      <c r="I44" s="53"/>
      <c r="J44" s="52">
        <f t="shared" si="28"/>
        <v>0</v>
      </c>
      <c r="K44" s="53"/>
      <c r="L44" s="52">
        <f t="shared" si="29"/>
        <v>0</v>
      </c>
      <c r="M44" s="23"/>
      <c r="N44" s="51">
        <f t="shared" si="30"/>
        <v>0</v>
      </c>
      <c r="O44" s="52">
        <f t="shared" si="47"/>
        <v>0</v>
      </c>
      <c r="P44" s="53"/>
      <c r="Q44" s="52">
        <f t="shared" si="48"/>
        <v>0</v>
      </c>
      <c r="R44" s="53"/>
      <c r="S44" s="52">
        <f t="shared" si="31"/>
        <v>0</v>
      </c>
      <c r="T44" s="3"/>
      <c r="U44" s="51">
        <f t="shared" si="32"/>
        <v>0</v>
      </c>
      <c r="V44" s="52">
        <f t="shared" si="33"/>
        <v>0</v>
      </c>
      <c r="W44" s="53"/>
      <c r="X44" s="52">
        <f t="shared" si="34"/>
        <v>0</v>
      </c>
      <c r="Y44" s="53"/>
      <c r="Z44" s="52">
        <f t="shared" si="35"/>
        <v>0</v>
      </c>
      <c r="AA44" s="3"/>
      <c r="AB44" s="62">
        <f t="shared" si="6"/>
        <v>0</v>
      </c>
      <c r="AC44" s="52">
        <f t="shared" si="36"/>
        <v>0</v>
      </c>
      <c r="AD44" s="7"/>
      <c r="AE44" s="7"/>
      <c r="AF44" s="9" t="str">
        <f t="shared" si="37"/>
        <v>S/R Sin Respuesta</v>
      </c>
      <c r="AG44" s="72">
        <f t="shared" si="38"/>
        <v>0</v>
      </c>
      <c r="AH44" s="72">
        <f t="shared" si="39"/>
        <v>0</v>
      </c>
      <c r="AI44" s="73">
        <f t="shared" si="40"/>
        <v>0</v>
      </c>
      <c r="AJ44" s="73"/>
      <c r="AK44" s="76">
        <f t="shared" si="41"/>
        <v>0</v>
      </c>
      <c r="AL44" s="76">
        <f t="shared" si="42"/>
        <v>0</v>
      </c>
      <c r="AM44" s="76">
        <f t="shared" si="43"/>
        <v>0</v>
      </c>
      <c r="AN44" s="76"/>
      <c r="AO44" s="81">
        <f t="shared" si="44"/>
        <v>0</v>
      </c>
      <c r="AP44" s="81">
        <f t="shared" si="45"/>
        <v>0</v>
      </c>
      <c r="AQ44" s="81">
        <f t="shared" si="46"/>
        <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x14ac:dyDescent="0.3">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x14ac:dyDescent="0.3">
      <c r="A47" s="8" t="s">
        <v>17</v>
      </c>
      <c r="B47" s="9" t="s">
        <v>49</v>
      </c>
      <c r="C47" s="7"/>
      <c r="D47" s="7"/>
      <c r="E47" s="7"/>
      <c r="F47" s="71">
        <v>100</v>
      </c>
      <c r="G47" s="51">
        <f>I47+K47</f>
        <v>17</v>
      </c>
      <c r="H47" s="52">
        <f>G47/$J$5*100</f>
        <v>73.91304347826086</v>
      </c>
      <c r="I47" s="53">
        <f>COUNTIFS('00 Encuesta'!$B$2:$B$511,"*d)*",'00 Encuesta'!$C$2:$C$511,"*a)*",'00 Encuesta'!$E$2:$E$511,"*a)*",'00 Encuesta'!$I$2:$I$511,"*a)*")</f>
        <v>10</v>
      </c>
      <c r="J47" s="52">
        <f>I47/$J$6*100</f>
        <v>71.428571428571431</v>
      </c>
      <c r="K47" s="53">
        <f>COUNTIFS('00 Encuesta'!$B$2:$B$511,"*d)*",'00 Encuesta'!$C$2:$C$511,"*a)*",'00 Encuesta'!$E$2:$E$511,"*b)*",'00 Encuesta'!$I$2:$I$511,"*a)*")</f>
        <v>7</v>
      </c>
      <c r="L47" s="52">
        <f>K47/$J$7*100</f>
        <v>77.777777777777786</v>
      </c>
      <c r="M47" s="23"/>
      <c r="N47" s="51">
        <f>P47+R47</f>
        <v>16</v>
      </c>
      <c r="O47" s="52">
        <f>N47/$Q$5*100</f>
        <v>80</v>
      </c>
      <c r="P47" s="53">
        <f>COUNTIFS('00 Encuesta'!$B$2:$B$511,"*d)*",'00 Encuesta'!$C$2:$C$511,"*b)*",'00 Encuesta'!$E$2:$E$511,"*a)*",'00 Encuesta'!$I$2:$I$511,"*a)*")</f>
        <v>6</v>
      </c>
      <c r="Q47" s="52">
        <f>P47/$Q$6*100</f>
        <v>85.714285714285708</v>
      </c>
      <c r="R47" s="53">
        <f>COUNTIFS('00 Encuesta'!$B$2:$B$511,"*d)*",'00 Encuesta'!$C$2:$C$511,"*b)*",'00 Encuesta'!$E$2:$E$511,"*b)*",'00 Encuesta'!$I$2:$I$511,"*a)*")</f>
        <v>10</v>
      </c>
      <c r="S47" s="52">
        <f>R47/$Q$7*100</f>
        <v>76.923076923076934</v>
      </c>
      <c r="T47" s="3"/>
      <c r="U47" s="51">
        <f>W47+Y47</f>
        <v>15</v>
      </c>
      <c r="V47" s="52">
        <f>U47/$X$5*100</f>
        <v>75</v>
      </c>
      <c r="W47" s="53">
        <f>COUNTIFS('00 Encuesta'!$B$2:$B$511,"*d)*",'00 Encuesta'!$C$2:$C$511,"*c)*",'00 Encuesta'!$E$2:$E$511,"*a)*",'00 Encuesta'!$I$2:$I$511,"*a)*")</f>
        <v>3</v>
      </c>
      <c r="X47" s="52">
        <f>W47/$X$6*100</f>
        <v>60</v>
      </c>
      <c r="Y47" s="53">
        <f>COUNTIFS('00 Encuesta'!$B$2:$B$511,"*d)*",'00 Encuesta'!$C$2:$C$511,"*c)*",'00 Encuesta'!$E$2:$E$511,"*b)*",'00 Encuesta'!$I$2:$I$511,"*a)*")</f>
        <v>12</v>
      </c>
      <c r="Z47" s="52">
        <f>Y47/$X$7*100</f>
        <v>80</v>
      </c>
      <c r="AA47" s="3"/>
      <c r="AB47" s="62">
        <f t="shared" si="6"/>
        <v>48</v>
      </c>
      <c r="AC47" s="52">
        <f>AB47*100/$AC$5</f>
        <v>76.19047619047619</v>
      </c>
      <c r="AD47" s="7"/>
      <c r="AE47" s="7"/>
      <c r="AF47" s="9" t="str">
        <f t="shared" si="49"/>
        <v>a) Si</v>
      </c>
      <c r="AG47" s="72">
        <f>J47</f>
        <v>71.428571428571431</v>
      </c>
      <c r="AH47" s="72">
        <f>L47</f>
        <v>77.777777777777786</v>
      </c>
      <c r="AI47" s="73">
        <f>H47</f>
        <v>73.91304347826086</v>
      </c>
      <c r="AJ47" s="73"/>
      <c r="AK47" s="76">
        <f>Q47</f>
        <v>85.714285714285708</v>
      </c>
      <c r="AL47" s="76">
        <f>S47</f>
        <v>76.923076923076934</v>
      </c>
      <c r="AM47" s="76">
        <f>O47</f>
        <v>80</v>
      </c>
      <c r="AN47" s="76"/>
      <c r="AO47" s="81">
        <f>X47</f>
        <v>60</v>
      </c>
      <c r="AP47" s="81">
        <f>Z47</f>
        <v>80</v>
      </c>
      <c r="AQ47" s="81">
        <f>V47</f>
        <v>75</v>
      </c>
      <c r="AR47" s="7"/>
      <c r="AS47" s="76">
        <f t="shared" si="1"/>
        <v>76.19047619047619</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x14ac:dyDescent="0.3">
      <c r="A48" s="8" t="s">
        <v>18</v>
      </c>
      <c r="B48" s="9" t="s">
        <v>50</v>
      </c>
      <c r="C48" s="7"/>
      <c r="D48" s="7"/>
      <c r="E48" s="7"/>
      <c r="F48" s="71">
        <v>0</v>
      </c>
      <c r="G48" s="51">
        <f>I48+K48</f>
        <v>1</v>
      </c>
      <c r="H48" s="52">
        <f>G48/$J$5*100</f>
        <v>4.3478260869565215</v>
      </c>
      <c r="I48" s="53">
        <f>COUNTIFS('00 Encuesta'!$B$2:$B$511,"*d)*",'00 Encuesta'!$C$2:$C$511,"*a)*",'00 Encuesta'!$E$2:$E$511,"*a)*",'00 Encuesta'!$I$2:$I$511,"*b)*")</f>
        <v>1</v>
      </c>
      <c r="J48" s="52">
        <f>I48/$J$6*100</f>
        <v>7.1428571428571423</v>
      </c>
      <c r="K48" s="53">
        <f>COUNTIFS('00 Encuesta'!$B$2:$B$511,"*d)*",'00 Encuesta'!$C$2:$C$511,"*a)*",'00 Encuesta'!$E$2:$E$511,"*b)*",'00 Encuesta'!$I$2:$I$511,"*b)*")</f>
        <v>0</v>
      </c>
      <c r="L48" s="52">
        <f>K48/$J$7*100</f>
        <v>0</v>
      </c>
      <c r="M48" s="23"/>
      <c r="N48" s="51">
        <f>P48+R48</f>
        <v>1</v>
      </c>
      <c r="O48" s="52">
        <f>N48/$Q$5*100</f>
        <v>5</v>
      </c>
      <c r="P48" s="53">
        <f>COUNTIFS('00 Encuesta'!$B$2:$B$511,"*d)*",'00 Encuesta'!$C$2:$C$511,"*b)*",'00 Encuesta'!$E$2:$E$511,"*a)*",'00 Encuesta'!$I$2:$I$511,"*b)*")</f>
        <v>0</v>
      </c>
      <c r="Q48" s="52">
        <f>P48/$Q$6*100</f>
        <v>0</v>
      </c>
      <c r="R48" s="53">
        <f>COUNTIFS('00 Encuesta'!$B$2:$B$511,"*d)*",'00 Encuesta'!$C$2:$C$511,"*b)*",'00 Encuesta'!$E$2:$E$511,"*b)*",'00 Encuesta'!$I$2:$I$511,"*b)*")</f>
        <v>1</v>
      </c>
      <c r="S48" s="52">
        <f>R48/$Q$7*100</f>
        <v>7.6923076923076925</v>
      </c>
      <c r="T48" s="3"/>
      <c r="U48" s="51">
        <f>W48+Y48</f>
        <v>2</v>
      </c>
      <c r="V48" s="52">
        <f>U48/$X$5*100</f>
        <v>10</v>
      </c>
      <c r="W48" s="53">
        <f>COUNTIFS('00 Encuesta'!$B$2:$B$511,"*d)*",'00 Encuesta'!$C$2:$C$511,"*c)*",'00 Encuesta'!$E$2:$E$511,"*a)*",'00 Encuesta'!$I$2:$I$511,"*b)*")</f>
        <v>1</v>
      </c>
      <c r="X48" s="52">
        <f>W48/$X$6*100</f>
        <v>20</v>
      </c>
      <c r="Y48" s="53">
        <f>COUNTIFS('00 Encuesta'!$B$2:$B$511,"*d)*",'00 Encuesta'!$C$2:$C$511,"*c)*",'00 Encuesta'!$E$2:$E$511,"*b)*",'00 Encuesta'!$I$2:$I$511,"*b)*")</f>
        <v>1</v>
      </c>
      <c r="Z48" s="52">
        <f>Y48/$X$7*100</f>
        <v>6.666666666666667</v>
      </c>
      <c r="AA48" s="3"/>
      <c r="AB48" s="62">
        <f t="shared" si="6"/>
        <v>4</v>
      </c>
      <c r="AC48" s="52">
        <f>AB48*100/$AC$5</f>
        <v>6.3492063492063489</v>
      </c>
      <c r="AD48" s="7"/>
      <c r="AE48" s="7"/>
      <c r="AF48" s="9" t="str">
        <f t="shared" si="49"/>
        <v>b) No</v>
      </c>
      <c r="AG48" s="72">
        <f>J48</f>
        <v>7.1428571428571423</v>
      </c>
      <c r="AH48" s="72">
        <f>L48</f>
        <v>0</v>
      </c>
      <c r="AI48" s="73">
        <f>H48</f>
        <v>4.3478260869565215</v>
      </c>
      <c r="AJ48" s="73"/>
      <c r="AK48" s="76">
        <f>Q48</f>
        <v>0</v>
      </c>
      <c r="AL48" s="76">
        <f>S48</f>
        <v>7.6923076923076925</v>
      </c>
      <c r="AM48" s="76">
        <f>O48</f>
        <v>5</v>
      </c>
      <c r="AN48" s="76"/>
      <c r="AO48" s="81">
        <f>X48</f>
        <v>20</v>
      </c>
      <c r="AP48" s="81">
        <f>Z48</f>
        <v>6.666666666666667</v>
      </c>
      <c r="AQ48" s="81">
        <f>V48</f>
        <v>10</v>
      </c>
      <c r="AR48" s="7"/>
      <c r="AS48" s="76">
        <f t="shared" si="1"/>
        <v>6.3492063492063489</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x14ac:dyDescent="0.3">
      <c r="A49" s="8" t="s">
        <v>20</v>
      </c>
      <c r="B49" s="9" t="s">
        <v>51</v>
      </c>
      <c r="C49" s="7"/>
      <c r="D49" s="7"/>
      <c r="E49" s="7"/>
      <c r="F49" s="71">
        <v>50</v>
      </c>
      <c r="G49" s="51">
        <f>I49+K49</f>
        <v>5</v>
      </c>
      <c r="H49" s="52">
        <f>G49/$J$5*100</f>
        <v>21.739130434782609</v>
      </c>
      <c r="I49" s="53">
        <f>COUNTIFS('00 Encuesta'!$B$2:$B$511,"*d)*",'00 Encuesta'!$C$2:$C$511,"*a)*",'00 Encuesta'!$E$2:$E$511,"*a)*",'00 Encuesta'!$I$2:$I$511,"*c)*")</f>
        <v>3</v>
      </c>
      <c r="J49" s="52">
        <f>I49/$J$6*100</f>
        <v>21.428571428571427</v>
      </c>
      <c r="K49" s="53">
        <f>COUNTIFS('00 Encuesta'!$B$2:$B$511,"*d)*",'00 Encuesta'!$C$2:$C$511,"*a)*",'00 Encuesta'!$E$2:$E$511,"*b)*",'00 Encuesta'!$I$2:$I$511,"*c)*")</f>
        <v>2</v>
      </c>
      <c r="L49" s="52">
        <f>K49/$J$7*100</f>
        <v>22.222222222222221</v>
      </c>
      <c r="M49" s="23"/>
      <c r="N49" s="51">
        <f>P49+R49</f>
        <v>3</v>
      </c>
      <c r="O49" s="52">
        <f>N49/$Q$5*100</f>
        <v>15</v>
      </c>
      <c r="P49" s="53">
        <f>COUNTIFS('00 Encuesta'!$B$2:$B$511,"*d)*",'00 Encuesta'!$C$2:$C$511,"*b)*",'00 Encuesta'!$E$2:$E$511,"*a)*",'00 Encuesta'!$I$2:$I$511,"*c)*")</f>
        <v>1</v>
      </c>
      <c r="Q49" s="52">
        <f>P49/$Q$6*100</f>
        <v>14.285714285714285</v>
      </c>
      <c r="R49" s="53">
        <f>COUNTIFS('00 Encuesta'!$B$2:$B$511,"*d)*",'00 Encuesta'!$C$2:$C$511,"*b)*",'00 Encuesta'!$E$2:$E$511,"*b)*",'00 Encuesta'!$I$2:$I$511,"*c)*")</f>
        <v>2</v>
      </c>
      <c r="S49" s="52">
        <f>R49/$Q$7*100</f>
        <v>15.384615384615385</v>
      </c>
      <c r="T49" s="3"/>
      <c r="U49" s="51">
        <f>W49+Y49</f>
        <v>2</v>
      </c>
      <c r="V49" s="52">
        <f>U49/$X$5*100</f>
        <v>10</v>
      </c>
      <c r="W49" s="53">
        <f>COUNTIFS('00 Encuesta'!$B$2:$B$511,"*d)*",'00 Encuesta'!$C$2:$C$511,"*c)*",'00 Encuesta'!$E$2:$E$511,"*a)*",'00 Encuesta'!$I$2:$I$511,"*c)*")</f>
        <v>0</v>
      </c>
      <c r="X49" s="52">
        <f>W49/$X$6*100</f>
        <v>0</v>
      </c>
      <c r="Y49" s="53">
        <f>COUNTIFS('00 Encuesta'!$B$2:$B$511,"*d)*",'00 Encuesta'!$C$2:$C$511,"*c)*",'00 Encuesta'!$E$2:$E$511,"*b)*",'00 Encuesta'!$I$2:$I$511,"*c)*")</f>
        <v>2</v>
      </c>
      <c r="Z49" s="52">
        <f>Y49/$X$7*100</f>
        <v>13.333333333333334</v>
      </c>
      <c r="AA49" s="3"/>
      <c r="AB49" s="62">
        <f t="shared" si="6"/>
        <v>10</v>
      </c>
      <c r="AC49" s="52">
        <f>AB49*100/$AC$5</f>
        <v>15.873015873015873</v>
      </c>
      <c r="AD49" s="7"/>
      <c r="AE49" s="7"/>
      <c r="AF49" s="9" t="str">
        <f t="shared" si="49"/>
        <v>c) Algo</v>
      </c>
      <c r="AG49" s="72">
        <f>J49</f>
        <v>21.428571428571427</v>
      </c>
      <c r="AH49" s="72">
        <f>L49</f>
        <v>22.222222222222221</v>
      </c>
      <c r="AI49" s="73">
        <f>H49</f>
        <v>21.739130434782609</v>
      </c>
      <c r="AJ49" s="73"/>
      <c r="AK49" s="76">
        <f>Q49</f>
        <v>14.285714285714285</v>
      </c>
      <c r="AL49" s="76">
        <f>S49</f>
        <v>15.384615384615385</v>
      </c>
      <c r="AM49" s="76">
        <f>O49</f>
        <v>15</v>
      </c>
      <c r="AN49" s="76"/>
      <c r="AO49" s="81">
        <f>X49</f>
        <v>0</v>
      </c>
      <c r="AP49" s="81">
        <f>Z49</f>
        <v>13.333333333333334</v>
      </c>
      <c r="AQ49" s="81">
        <f>V49</f>
        <v>10</v>
      </c>
      <c r="AR49" s="7"/>
      <c r="AS49" s="76">
        <f t="shared" si="1"/>
        <v>15.873015873015873</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0</v>
      </c>
      <c r="H50" s="52">
        <f>G50/$J$5*100</f>
        <v>0</v>
      </c>
      <c r="I50" s="53">
        <f>COUNTIFS('00 Encuesta'!$B$2:$B$511,"*d)*",'00 Encuesta'!$C$2:$C$511,"*a)*",'00 Encuesta'!$E$2:$E$511,"*a)*",'00 Encuesta'!$I$2:$I$511,"*d)*")</f>
        <v>0</v>
      </c>
      <c r="J50" s="52">
        <f>I50/$J$6*100</f>
        <v>0</v>
      </c>
      <c r="K50" s="53">
        <f>COUNTIFS('00 Encuesta'!$B$2:$B$511,"*d)*",'00 Encuesta'!$C$2:$C$511,"*a)*",'00 Encuesta'!$E$2:$E$511,"*b)*",'00 Encuesta'!$I$2:$I$511,"*d)*")</f>
        <v>0</v>
      </c>
      <c r="L50" s="52">
        <f>K50/$J$7*100</f>
        <v>0</v>
      </c>
      <c r="M50" s="23"/>
      <c r="N50" s="51">
        <f>P50+R50</f>
        <v>0</v>
      </c>
      <c r="O50" s="52">
        <f>N50/$Q$5*100</f>
        <v>0</v>
      </c>
      <c r="P50" s="53">
        <f>COUNTIFS('00 Encuesta'!$B$2:$B$511,"*d)*",'00 Encuesta'!$C$2:$C$511,"*b)*",'00 Encuesta'!$E$2:$E$511,"*a)*",'00 Encuesta'!$I$2:$I$511,"*d)*")</f>
        <v>0</v>
      </c>
      <c r="Q50" s="52">
        <f>P50/$Q$6*100</f>
        <v>0</v>
      </c>
      <c r="R50" s="53">
        <f>COUNTIFS('00 Encuesta'!$B$2:$B$511,"*d)*",'00 Encuesta'!$C$2:$C$511,"*b)*",'00 Encuesta'!$E$2:$E$511,"*b)*",'00 Encuesta'!$I$2:$I$511,"*d)*")</f>
        <v>0</v>
      </c>
      <c r="S50" s="52">
        <f>R50/$Q$7*100</f>
        <v>0</v>
      </c>
      <c r="T50" s="3"/>
      <c r="U50" s="51">
        <f>W50+Y50</f>
        <v>1</v>
      </c>
      <c r="V50" s="52">
        <f>U50/$X$5*100</f>
        <v>5</v>
      </c>
      <c r="W50" s="53">
        <f>COUNTIFS('00 Encuesta'!$B$2:$B$511,"*d)*",'00 Encuesta'!$C$2:$C$511,"*c)*",'00 Encuesta'!$E$2:$E$511,"*a)*",'00 Encuesta'!$I$2:$I$511,"*d)*")</f>
        <v>1</v>
      </c>
      <c r="X50" s="52">
        <f>W50/$X$6*100</f>
        <v>20</v>
      </c>
      <c r="Y50" s="53">
        <f>COUNTIFS('00 Encuesta'!$B$2:$B$511,"*d)*",'00 Encuesta'!$C$2:$C$511,"*c)*",'00 Encuesta'!$E$2:$E$511,"*b)*",'00 Encuesta'!$I$2:$I$511,"*d)*")</f>
        <v>0</v>
      </c>
      <c r="Z50" s="52">
        <f>Y50/$X$7*100</f>
        <v>0</v>
      </c>
      <c r="AA50" s="3"/>
      <c r="AB50" s="62">
        <f t="shared" si="6"/>
        <v>1</v>
      </c>
      <c r="AC50" s="52">
        <f>AB50*100/$AC$5</f>
        <v>1.5873015873015872</v>
      </c>
      <c r="AD50" s="7"/>
      <c r="AE50" s="7"/>
      <c r="AF50" s="9" t="str">
        <f t="shared" si="49"/>
        <v>d) No sé</v>
      </c>
      <c r="AG50" s="72">
        <f>J50</f>
        <v>0</v>
      </c>
      <c r="AH50" s="72">
        <f>L50</f>
        <v>0</v>
      </c>
      <c r="AI50" s="73">
        <f>H50</f>
        <v>0</v>
      </c>
      <c r="AJ50" s="73"/>
      <c r="AK50" s="76">
        <f>Q50</f>
        <v>0</v>
      </c>
      <c r="AL50" s="76">
        <f>S50</f>
        <v>0</v>
      </c>
      <c r="AM50" s="76">
        <f>O50</f>
        <v>0</v>
      </c>
      <c r="AN50" s="76"/>
      <c r="AO50" s="81">
        <f>X50</f>
        <v>20</v>
      </c>
      <c r="AP50" s="81">
        <f>Z50</f>
        <v>0</v>
      </c>
      <c r="AQ50" s="81">
        <f>V50</f>
        <v>5</v>
      </c>
      <c r="AR50" s="7"/>
      <c r="AS50" s="76">
        <f t="shared" si="1"/>
        <v>1.5873015873015872</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x14ac:dyDescent="0.3">
      <c r="A51" s="8" t="s">
        <v>23</v>
      </c>
      <c r="B51" s="9" t="s">
        <v>24</v>
      </c>
      <c r="C51" s="7"/>
      <c r="D51" s="7"/>
      <c r="E51" s="7"/>
      <c r="F51" s="71"/>
      <c r="G51" s="51">
        <f>I51+K51</f>
        <v>0</v>
      </c>
      <c r="H51" s="52">
        <f>G51/$J$5*100</f>
        <v>0</v>
      </c>
      <c r="I51" s="53"/>
      <c r="J51" s="52">
        <f>I51/$J$6*100</f>
        <v>0</v>
      </c>
      <c r="K51" s="53"/>
      <c r="L51" s="52">
        <f>K51/$J$7*100</f>
        <v>0</v>
      </c>
      <c r="M51" s="23"/>
      <c r="N51" s="51">
        <f>P51+R51</f>
        <v>0</v>
      </c>
      <c r="O51" s="52">
        <f>N51/$Q$5*100</f>
        <v>0</v>
      </c>
      <c r="P51" s="53"/>
      <c r="Q51" s="52">
        <f>P51/$Q$6*100</f>
        <v>0</v>
      </c>
      <c r="R51" s="53"/>
      <c r="S51" s="52">
        <f>R51/$Q$7*100</f>
        <v>0</v>
      </c>
      <c r="T51" s="3"/>
      <c r="U51" s="51">
        <f>W51+Y51</f>
        <v>0</v>
      </c>
      <c r="V51" s="52">
        <f>U51/$X$5*100</f>
        <v>0</v>
      </c>
      <c r="W51" s="53"/>
      <c r="X51" s="52">
        <f>W51/$X$6*100</f>
        <v>0</v>
      </c>
      <c r="Y51" s="53"/>
      <c r="Z51" s="52">
        <f>Y51/$X$7*100</f>
        <v>0</v>
      </c>
      <c r="AA51" s="3"/>
      <c r="AB51" s="62">
        <f t="shared" si="6"/>
        <v>0</v>
      </c>
      <c r="AC51" s="52">
        <f>AB51*100/$AC$5</f>
        <v>0</v>
      </c>
      <c r="AD51" s="7"/>
      <c r="AE51" s="7"/>
      <c r="AF51" s="9" t="str">
        <f t="shared" si="49"/>
        <v>S/R Sin Respuesta</v>
      </c>
      <c r="AG51" s="72">
        <f>J51</f>
        <v>0</v>
      </c>
      <c r="AH51" s="72">
        <f>L51</f>
        <v>0</v>
      </c>
      <c r="AI51" s="73">
        <f>H51</f>
        <v>0</v>
      </c>
      <c r="AJ51" s="73"/>
      <c r="AK51" s="76">
        <f>Q51</f>
        <v>0</v>
      </c>
      <c r="AL51" s="76">
        <f>S51</f>
        <v>0</v>
      </c>
      <c r="AM51" s="76">
        <f>O51</f>
        <v>0</v>
      </c>
      <c r="AN51" s="76"/>
      <c r="AO51" s="81">
        <f>X51</f>
        <v>0</v>
      </c>
      <c r="AP51" s="81">
        <f>Z51</f>
        <v>0</v>
      </c>
      <c r="AQ51" s="81">
        <f>V51</f>
        <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x14ac:dyDescent="0.3">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82.142857142857139</v>
      </c>
      <c r="AH52" s="82">
        <f>($F47*K47+$F48*K48+$F49*K49+$F50*K50)/(+K47+K48+K49+K50)</f>
        <v>88.888888888888886</v>
      </c>
      <c r="AI52" s="82">
        <f>($F47*G47+$F48*G48+$F49*G49+$F50*G50)/(G47+G48+G49+G50)</f>
        <v>84.782608695652172</v>
      </c>
      <c r="AJ52" s="82"/>
      <c r="AK52" s="82">
        <f>($F47*P47+$F48*P48+$F49*P49+$F50*P50)/(P47+P48+P49+P50)</f>
        <v>92.857142857142861</v>
      </c>
      <c r="AL52" s="82">
        <f>($F47*R47+$F48*R48+$F49*R49+$F50*R50)/(R47+R48+R49+R50)</f>
        <v>84.615384615384613</v>
      </c>
      <c r="AM52" s="82">
        <f>($F47*N47+$F48*N48+$F49*N49+$F50*N50)/(N47+N48+N49+N50)</f>
        <v>87.5</v>
      </c>
      <c r="AN52" s="82"/>
      <c r="AO52" s="82">
        <f>($F47*W47+$F48*W48+$F49*W49+$F50*W50)/(W47+W48+W49+W50)</f>
        <v>60</v>
      </c>
      <c r="AP52" s="82">
        <f>($F47*Y47+$F48*Y48+$F49*Y49+$F50*Y50)/(Y47+Y48+Y49+Y50)</f>
        <v>86.666666666666671</v>
      </c>
      <c r="AQ52" s="82">
        <f>($F47*U47+$F48*U48+$F49*U49+$F50*U50)/(U47+U48+U49+U50)</f>
        <v>80</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x14ac:dyDescent="0.3">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x14ac:dyDescent="0.3">
      <c r="A54" s="8" t="s">
        <v>17</v>
      </c>
      <c r="B54" s="9" t="s">
        <v>55</v>
      </c>
      <c r="C54" s="7"/>
      <c r="D54" s="7"/>
      <c r="E54" s="7"/>
      <c r="F54" s="71"/>
      <c r="G54" s="51">
        <f t="shared" ref="G54:G64" si="50">I54+K54</f>
        <v>11</v>
      </c>
      <c r="H54" s="52">
        <f t="shared" ref="H54:H64" si="51">G54/$J$5*100</f>
        <v>47.826086956521742</v>
      </c>
      <c r="I54" s="53">
        <f>COUNTIFS('00 Encuesta'!$B$2:$B$511,"*d)*",'00 Encuesta'!$C$2:$C$511,"*a)*",'00 Encuesta'!$E$2:$E$511,"*a)*",'00 Encuesta'!$J$2:$J$511,"*a)*")</f>
        <v>9</v>
      </c>
      <c r="J54" s="52">
        <f t="shared" ref="J54:J64" si="52">I54/$J$6*100</f>
        <v>64.285714285714292</v>
      </c>
      <c r="K54" s="53">
        <f>COUNTIFS('00 Encuesta'!$B$2:$B$511,"*d)*",'00 Encuesta'!$C$2:$C$511,"*a)*",'00 Encuesta'!$E$2:$E$511,"*b)*",'00 Encuesta'!$J$2:$J$511,"*a)*")</f>
        <v>2</v>
      </c>
      <c r="L54" s="52">
        <f t="shared" ref="L54:L64" si="53">K54/$J$7*100</f>
        <v>22.222222222222221</v>
      </c>
      <c r="M54" s="23"/>
      <c r="N54" s="51">
        <f t="shared" ref="N54:N64" si="54">P54+R54</f>
        <v>6</v>
      </c>
      <c r="O54" s="52">
        <f t="shared" ref="O54:O64" si="55">N54/$Q$5*100</f>
        <v>30</v>
      </c>
      <c r="P54" s="53">
        <f>COUNTIFS('00 Encuesta'!$B$2:$B$511,"*d)*",'00 Encuesta'!$C$2:$C$511,"*b)*",'00 Encuesta'!$E$2:$E$511,"*a)*",'00 Encuesta'!$J$2:$J$511,"*a)*")</f>
        <v>4</v>
      </c>
      <c r="Q54" s="52">
        <f t="shared" ref="Q54:Q64" si="56">P54/$Q$6*100</f>
        <v>57.142857142857139</v>
      </c>
      <c r="R54" s="53">
        <f>COUNTIFS('00 Encuesta'!$B$2:$B$511,"*d)*",'00 Encuesta'!$C$2:$C$511,"*b)*",'00 Encuesta'!$E$2:$E$511,"*b)*",'00 Encuesta'!$J$2:$J$511,"*a)*")</f>
        <v>2</v>
      </c>
      <c r="S54" s="52">
        <f t="shared" ref="S54:S64" si="57">R54/$Q$7*100</f>
        <v>15.384615384615385</v>
      </c>
      <c r="T54" s="3"/>
      <c r="U54" s="51">
        <f t="shared" ref="U54:U64" si="58">W54+Y54</f>
        <v>6</v>
      </c>
      <c r="V54" s="52">
        <f t="shared" ref="V54:V64" si="59">U54/$X$5*100</f>
        <v>30</v>
      </c>
      <c r="W54" s="53">
        <f>COUNTIFS('00 Encuesta'!$B$2:$B$511,"*d)*",'00 Encuesta'!$C$2:$C$511,"*c)*",'00 Encuesta'!$E$2:$E$511,"*a)*",'00 Encuesta'!$J$2:$J$511,"*a)*")</f>
        <v>3</v>
      </c>
      <c r="X54" s="52">
        <f t="shared" ref="X54:X64" si="60">W54/$X$6*100</f>
        <v>60</v>
      </c>
      <c r="Y54" s="53">
        <f>COUNTIFS('00 Encuesta'!$B$2:$B$511,"*d)*",'00 Encuesta'!$C$2:$C$511,"*c)*",'00 Encuesta'!$E$2:$E$511,"*b)*",'00 Encuesta'!$J$2:$J$511,"*a)*")</f>
        <v>3</v>
      </c>
      <c r="Z54" s="52">
        <f t="shared" ref="Z54:Z64" si="61">Y54/$X$7*100</f>
        <v>20</v>
      </c>
      <c r="AA54" s="3"/>
      <c r="AB54" s="62">
        <f t="shared" si="6"/>
        <v>23</v>
      </c>
      <c r="AC54" s="52">
        <f t="shared" ref="AC54:AC64" si="62">AB54*100/$AC$5</f>
        <v>36.507936507936506</v>
      </c>
      <c r="AD54" s="7"/>
      <c r="AE54" s="7"/>
      <c r="AF54" s="9" t="str">
        <f t="shared" ref="AF54:AF65" si="63">A54&amp;" "&amp;B54</f>
        <v>a) Videojuegos consola</v>
      </c>
      <c r="AG54" s="72">
        <f t="shared" ref="AG54:AG65" si="64">J54</f>
        <v>64.285714285714292</v>
      </c>
      <c r="AH54" s="72">
        <f t="shared" ref="AH54:AH65" si="65">L54</f>
        <v>22.222222222222221</v>
      </c>
      <c r="AI54" s="73">
        <f t="shared" ref="AI54:AI65" si="66">H54</f>
        <v>47.826086956521742</v>
      </c>
      <c r="AJ54" s="73"/>
      <c r="AK54" s="76">
        <f t="shared" ref="AK54:AK65" si="67">Q54</f>
        <v>57.142857142857139</v>
      </c>
      <c r="AL54" s="76">
        <f t="shared" ref="AL54:AL65" si="68">S54</f>
        <v>15.384615384615385</v>
      </c>
      <c r="AM54" s="76">
        <f t="shared" ref="AM54:AM65" si="69">O54</f>
        <v>30</v>
      </c>
      <c r="AN54" s="76"/>
      <c r="AO54" s="81">
        <f t="shared" ref="AO54:AO65" si="70">X54</f>
        <v>60</v>
      </c>
      <c r="AP54" s="81">
        <f t="shared" ref="AP54:AP65" si="71">Z54</f>
        <v>20</v>
      </c>
      <c r="AQ54" s="81">
        <f t="shared" ref="AQ54:AQ65" si="72">V54</f>
        <v>30</v>
      </c>
      <c r="AR54" s="7"/>
      <c r="AS54" s="76">
        <f t="shared" si="1"/>
        <v>36.507936507936506</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x14ac:dyDescent="0.3">
      <c r="A55" s="8" t="s">
        <v>18</v>
      </c>
      <c r="B55" s="9" t="s">
        <v>56</v>
      </c>
      <c r="C55" s="7"/>
      <c r="D55" s="7"/>
      <c r="E55" s="7"/>
      <c r="F55" s="71"/>
      <c r="G55" s="51">
        <f t="shared" si="50"/>
        <v>17</v>
      </c>
      <c r="H55" s="52">
        <f t="shared" si="51"/>
        <v>73.91304347826086</v>
      </c>
      <c r="I55" s="53">
        <f>COUNTIFS('00 Encuesta'!$B$2:$B$511,"*d)*",'00 Encuesta'!$C$2:$C$511,"*a)*",'00 Encuesta'!$E$2:$E$511,"*a)*",'00 Encuesta'!$J$2:$J$511,"*b)*")</f>
        <v>11</v>
      </c>
      <c r="J55" s="52">
        <f t="shared" si="52"/>
        <v>78.571428571428569</v>
      </c>
      <c r="K55" s="53">
        <f>COUNTIFS('00 Encuesta'!$B$2:$B$511,"*d)*",'00 Encuesta'!$C$2:$C$511,"*a)*",'00 Encuesta'!$E$2:$E$511,"*b)*",'00 Encuesta'!$J$2:$J$511,"*b)*")</f>
        <v>6</v>
      </c>
      <c r="L55" s="52">
        <f t="shared" si="53"/>
        <v>66.666666666666657</v>
      </c>
      <c r="M55" s="23"/>
      <c r="N55" s="51">
        <f t="shared" si="54"/>
        <v>17</v>
      </c>
      <c r="O55" s="52">
        <f t="shared" si="55"/>
        <v>85</v>
      </c>
      <c r="P55" s="53">
        <f>COUNTIFS('00 Encuesta'!$B$2:$B$511,"*d)*",'00 Encuesta'!$C$2:$C$511,"*b)*",'00 Encuesta'!$E$2:$E$511,"*a)*",'00 Encuesta'!$J$2:$J$511,"*b)*")</f>
        <v>6</v>
      </c>
      <c r="Q55" s="52">
        <f t="shared" si="56"/>
        <v>85.714285714285708</v>
      </c>
      <c r="R55" s="53">
        <f>COUNTIFS('00 Encuesta'!$B$2:$B$511,"*d)*",'00 Encuesta'!$C$2:$C$511,"*b)*",'00 Encuesta'!$E$2:$E$511,"*b)*",'00 Encuesta'!$J$2:$J$511,"*b)*")</f>
        <v>11</v>
      </c>
      <c r="S55" s="52">
        <f t="shared" si="57"/>
        <v>84.615384615384613</v>
      </c>
      <c r="T55" s="3"/>
      <c r="U55" s="51">
        <f t="shared" si="58"/>
        <v>16</v>
      </c>
      <c r="V55" s="52">
        <f t="shared" si="59"/>
        <v>80</v>
      </c>
      <c r="W55" s="53">
        <f>COUNTIFS('00 Encuesta'!$B$2:$B$511,"*d)*",'00 Encuesta'!$C$2:$C$511,"*c)*",'00 Encuesta'!$E$2:$E$511,"*a)*",'00 Encuesta'!$J$2:$J$511,"*b)*")</f>
        <v>5</v>
      </c>
      <c r="X55" s="52">
        <f t="shared" si="60"/>
        <v>100</v>
      </c>
      <c r="Y55" s="53">
        <f>COUNTIFS('00 Encuesta'!$B$2:$B$511,"*d)*",'00 Encuesta'!$C$2:$C$511,"*c)*",'00 Encuesta'!$E$2:$E$511,"*b)*",'00 Encuesta'!$J$2:$J$511,"*b)*")</f>
        <v>11</v>
      </c>
      <c r="Z55" s="52">
        <f t="shared" si="61"/>
        <v>73.333333333333329</v>
      </c>
      <c r="AA55" s="3"/>
      <c r="AB55" s="62">
        <f t="shared" si="6"/>
        <v>50</v>
      </c>
      <c r="AC55" s="52">
        <f t="shared" si="62"/>
        <v>79.365079365079367</v>
      </c>
      <c r="AD55" s="7"/>
      <c r="AE55" s="7"/>
      <c r="AF55" s="9" t="str">
        <f t="shared" si="63"/>
        <v>b) Lavadora</v>
      </c>
      <c r="AG55" s="72">
        <f t="shared" si="64"/>
        <v>78.571428571428569</v>
      </c>
      <c r="AH55" s="72">
        <f t="shared" si="65"/>
        <v>66.666666666666657</v>
      </c>
      <c r="AI55" s="73">
        <f t="shared" si="66"/>
        <v>73.91304347826086</v>
      </c>
      <c r="AJ55" s="73"/>
      <c r="AK55" s="76">
        <f t="shared" si="67"/>
        <v>85.714285714285708</v>
      </c>
      <c r="AL55" s="76">
        <f t="shared" si="68"/>
        <v>84.615384615384613</v>
      </c>
      <c r="AM55" s="76">
        <f t="shared" si="69"/>
        <v>85</v>
      </c>
      <c r="AN55" s="76"/>
      <c r="AO55" s="81">
        <f t="shared" si="70"/>
        <v>100</v>
      </c>
      <c r="AP55" s="81">
        <f t="shared" si="71"/>
        <v>73.333333333333329</v>
      </c>
      <c r="AQ55" s="81">
        <f t="shared" si="72"/>
        <v>80</v>
      </c>
      <c r="AR55" s="7"/>
      <c r="AS55" s="76">
        <f t="shared" si="1"/>
        <v>79.365079365079367</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x14ac:dyDescent="0.3">
      <c r="A56" s="8" t="s">
        <v>20</v>
      </c>
      <c r="B56" s="9" t="s">
        <v>57</v>
      </c>
      <c r="C56" s="7"/>
      <c r="D56" s="7"/>
      <c r="E56" s="7"/>
      <c r="F56" s="71"/>
      <c r="G56" s="51">
        <f t="shared" si="50"/>
        <v>13</v>
      </c>
      <c r="H56" s="52">
        <f t="shared" si="51"/>
        <v>56.521739130434781</v>
      </c>
      <c r="I56" s="53">
        <f>COUNTIFS('00 Encuesta'!$B$2:$B$511,"*d)*",'00 Encuesta'!$C$2:$C$511,"*a)*",'00 Encuesta'!$E$2:$E$511,"*a)*",'00 Encuesta'!$J$2:$J$511,"*c)*")</f>
        <v>8</v>
      </c>
      <c r="J56" s="52">
        <f t="shared" si="52"/>
        <v>57.142857142857139</v>
      </c>
      <c r="K56" s="53">
        <f>COUNTIFS('00 Encuesta'!$B$2:$B$511,"*d)*",'00 Encuesta'!$C$2:$C$511,"*a)*",'00 Encuesta'!$E$2:$E$511,"*b)*",'00 Encuesta'!$J$2:$J$511,"*c)*")</f>
        <v>5</v>
      </c>
      <c r="L56" s="52">
        <f t="shared" si="53"/>
        <v>55.555555555555557</v>
      </c>
      <c r="M56" s="23"/>
      <c r="N56" s="51">
        <f t="shared" si="54"/>
        <v>13</v>
      </c>
      <c r="O56" s="52">
        <f t="shared" si="55"/>
        <v>65</v>
      </c>
      <c r="P56" s="53">
        <f>COUNTIFS('00 Encuesta'!$B$2:$B$511,"*d)*",'00 Encuesta'!$C$2:$C$511,"*b)*",'00 Encuesta'!$E$2:$E$511,"*a)*",'00 Encuesta'!$J$2:$J$511,"*c)*")</f>
        <v>4</v>
      </c>
      <c r="Q56" s="52">
        <f t="shared" si="56"/>
        <v>57.142857142857139</v>
      </c>
      <c r="R56" s="53">
        <f>COUNTIFS('00 Encuesta'!$B$2:$B$511,"*d)*",'00 Encuesta'!$C$2:$C$511,"*b)*",'00 Encuesta'!$E$2:$E$511,"*b)*",'00 Encuesta'!$J$2:$J$511,"*c)*")</f>
        <v>9</v>
      </c>
      <c r="S56" s="52">
        <f t="shared" si="57"/>
        <v>69.230769230769226</v>
      </c>
      <c r="T56" s="3"/>
      <c r="U56" s="51">
        <f t="shared" si="58"/>
        <v>13</v>
      </c>
      <c r="V56" s="52">
        <f t="shared" si="59"/>
        <v>65</v>
      </c>
      <c r="W56" s="53">
        <f>COUNTIFS('00 Encuesta'!$B$2:$B$511,"*d)*",'00 Encuesta'!$C$2:$C$511,"*c)*",'00 Encuesta'!$E$2:$E$511,"*a)*",'00 Encuesta'!$J$2:$J$511,"*c)*")</f>
        <v>5</v>
      </c>
      <c r="X56" s="52">
        <f t="shared" si="60"/>
        <v>100</v>
      </c>
      <c r="Y56" s="53">
        <f>COUNTIFS('00 Encuesta'!$B$2:$B$511,"*d)*",'00 Encuesta'!$C$2:$C$511,"*c)*",'00 Encuesta'!$E$2:$E$511,"*b)*",'00 Encuesta'!$J$2:$J$511,"*c)*")</f>
        <v>8</v>
      </c>
      <c r="Z56" s="52">
        <f t="shared" si="61"/>
        <v>53.333333333333336</v>
      </c>
      <c r="AA56" s="3"/>
      <c r="AB56" s="62">
        <f t="shared" si="6"/>
        <v>39</v>
      </c>
      <c r="AC56" s="52">
        <f t="shared" si="62"/>
        <v>61.904761904761905</v>
      </c>
      <c r="AD56" s="7"/>
      <c r="AE56" s="7"/>
      <c r="AF56" s="9" t="str">
        <f t="shared" si="63"/>
        <v>c) Microondas</v>
      </c>
      <c r="AG56" s="72">
        <f t="shared" si="64"/>
        <v>57.142857142857139</v>
      </c>
      <c r="AH56" s="72">
        <f t="shared" si="65"/>
        <v>55.555555555555557</v>
      </c>
      <c r="AI56" s="73">
        <f t="shared" si="66"/>
        <v>56.521739130434781</v>
      </c>
      <c r="AJ56" s="73"/>
      <c r="AK56" s="76">
        <f t="shared" si="67"/>
        <v>57.142857142857139</v>
      </c>
      <c r="AL56" s="76">
        <f t="shared" si="68"/>
        <v>69.230769230769226</v>
      </c>
      <c r="AM56" s="76">
        <f t="shared" si="69"/>
        <v>65</v>
      </c>
      <c r="AN56" s="76"/>
      <c r="AO56" s="81">
        <f t="shared" si="70"/>
        <v>100</v>
      </c>
      <c r="AP56" s="81">
        <f t="shared" si="71"/>
        <v>53.333333333333336</v>
      </c>
      <c r="AQ56" s="81">
        <f t="shared" si="72"/>
        <v>65</v>
      </c>
      <c r="AR56" s="7"/>
      <c r="AS56" s="76">
        <f t="shared" si="1"/>
        <v>61.904761904761905</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16</v>
      </c>
      <c r="H57" s="52">
        <f t="shared" si="51"/>
        <v>69.565217391304344</v>
      </c>
      <c r="I57" s="53">
        <f>COUNTIFS('00 Encuesta'!$B$2:$B$511,"*d)*",'00 Encuesta'!$C$2:$C$511,"*a)*",'00 Encuesta'!$E$2:$E$511,"*a)*",'00 Encuesta'!$J$2:$J$511,"*d)*")</f>
        <v>12</v>
      </c>
      <c r="J57" s="52">
        <f t="shared" si="52"/>
        <v>85.714285714285708</v>
      </c>
      <c r="K57" s="53">
        <f>COUNTIFS('00 Encuesta'!$B$2:$B$511,"*d)*",'00 Encuesta'!$C$2:$C$511,"*a)*",'00 Encuesta'!$E$2:$E$511,"*b)*",'00 Encuesta'!$J$2:$J$511,"*d)*")</f>
        <v>4</v>
      </c>
      <c r="L57" s="52">
        <f t="shared" si="53"/>
        <v>44.444444444444443</v>
      </c>
      <c r="M57" s="23"/>
      <c r="N57" s="51">
        <f t="shared" si="54"/>
        <v>10</v>
      </c>
      <c r="O57" s="52">
        <f t="shared" si="55"/>
        <v>50</v>
      </c>
      <c r="P57" s="53">
        <f>COUNTIFS('00 Encuesta'!$B$2:$B$511,"*d)*",'00 Encuesta'!$C$2:$C$511,"*b)*",'00 Encuesta'!$E$2:$E$511,"*a)*",'00 Encuesta'!$J$2:$J$511,"*d)*")</f>
        <v>2</v>
      </c>
      <c r="Q57" s="52">
        <f t="shared" si="56"/>
        <v>28.571428571428569</v>
      </c>
      <c r="R57" s="53">
        <f>COUNTIFS('00 Encuesta'!$B$2:$B$511,"*d)*",'00 Encuesta'!$C$2:$C$511,"*b)*",'00 Encuesta'!$E$2:$E$511,"*b)*",'00 Encuesta'!$J$2:$J$511,"*d)*")</f>
        <v>8</v>
      </c>
      <c r="S57" s="52">
        <f t="shared" si="57"/>
        <v>61.53846153846154</v>
      </c>
      <c r="T57" s="3"/>
      <c r="U57" s="51">
        <f t="shared" si="58"/>
        <v>11</v>
      </c>
      <c r="V57" s="52">
        <f t="shared" si="59"/>
        <v>55.000000000000007</v>
      </c>
      <c r="W57" s="53">
        <f>COUNTIFS('00 Encuesta'!$B$2:$B$511,"*d)*",'00 Encuesta'!$C$2:$C$511,"*c)*",'00 Encuesta'!$E$2:$E$511,"*a)*",'00 Encuesta'!$J$2:$J$511,"*d)*")</f>
        <v>4</v>
      </c>
      <c r="X57" s="52">
        <f t="shared" si="60"/>
        <v>80</v>
      </c>
      <c r="Y57" s="53">
        <f>COUNTIFS('00 Encuesta'!$B$2:$B$511,"*d)*",'00 Encuesta'!$C$2:$C$511,"*c)*",'00 Encuesta'!$E$2:$E$511,"*b)*",'00 Encuesta'!$J$2:$J$511,"*d)*")</f>
        <v>7</v>
      </c>
      <c r="Z57" s="52">
        <f t="shared" si="61"/>
        <v>46.666666666666664</v>
      </c>
      <c r="AA57" s="3"/>
      <c r="AB57" s="62">
        <f t="shared" si="6"/>
        <v>37</v>
      </c>
      <c r="AC57" s="52">
        <f t="shared" si="62"/>
        <v>58.730158730158728</v>
      </c>
      <c r="AD57" s="7"/>
      <c r="AE57" s="7"/>
      <c r="AF57" s="9" t="str">
        <f t="shared" si="63"/>
        <v>d) Televisión plana</v>
      </c>
      <c r="AG57" s="72">
        <f t="shared" si="64"/>
        <v>85.714285714285708</v>
      </c>
      <c r="AH57" s="72">
        <f t="shared" si="65"/>
        <v>44.444444444444443</v>
      </c>
      <c r="AI57" s="73">
        <f t="shared" si="66"/>
        <v>69.565217391304344</v>
      </c>
      <c r="AJ57" s="73"/>
      <c r="AK57" s="76">
        <f t="shared" si="67"/>
        <v>28.571428571428569</v>
      </c>
      <c r="AL57" s="76">
        <f t="shared" si="68"/>
        <v>61.53846153846154</v>
      </c>
      <c r="AM57" s="76">
        <f t="shared" si="69"/>
        <v>50</v>
      </c>
      <c r="AN57" s="76"/>
      <c r="AO57" s="81">
        <f t="shared" si="70"/>
        <v>80</v>
      </c>
      <c r="AP57" s="81">
        <f t="shared" si="71"/>
        <v>46.666666666666664</v>
      </c>
      <c r="AQ57" s="81">
        <f t="shared" si="72"/>
        <v>55.000000000000007</v>
      </c>
      <c r="AR57" s="7"/>
      <c r="AS57" s="76">
        <f t="shared" si="1"/>
        <v>58.730158730158728</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x14ac:dyDescent="0.3">
      <c r="A58" s="8" t="s">
        <v>22</v>
      </c>
      <c r="B58" s="9" t="s">
        <v>59</v>
      </c>
      <c r="C58" s="7"/>
      <c r="D58" s="7"/>
      <c r="E58" s="7"/>
      <c r="F58" s="71"/>
      <c r="G58" s="51">
        <f t="shared" si="50"/>
        <v>3</v>
      </c>
      <c r="H58" s="52">
        <f t="shared" si="51"/>
        <v>13.043478260869565</v>
      </c>
      <c r="I58" s="53">
        <f>COUNTIFS('00 Encuesta'!$B$2:$B$511,"*d)*",'00 Encuesta'!$C$2:$C$511,"*a)*",'00 Encuesta'!$E$2:$E$511,"*a)*",'00 Encuesta'!$J$2:$J$511,"*e)*")</f>
        <v>3</v>
      </c>
      <c r="J58" s="52">
        <f t="shared" si="52"/>
        <v>21.428571428571427</v>
      </c>
      <c r="K58" s="53">
        <f>COUNTIFS('00 Encuesta'!$B$2:$B$511,"*d)*",'00 Encuesta'!$C$2:$C$511,"*a)*",'00 Encuesta'!$E$2:$E$511,"*b)*",'00 Encuesta'!$J$2:$J$511,"*e)*")</f>
        <v>0</v>
      </c>
      <c r="L58" s="52">
        <f t="shared" si="53"/>
        <v>0</v>
      </c>
      <c r="M58" s="23"/>
      <c r="N58" s="51">
        <f t="shared" si="54"/>
        <v>2</v>
      </c>
      <c r="O58" s="52">
        <f t="shared" si="55"/>
        <v>10</v>
      </c>
      <c r="P58" s="53">
        <f>COUNTIFS('00 Encuesta'!$B$2:$B$511,"*d)*",'00 Encuesta'!$C$2:$C$511,"*b)*",'00 Encuesta'!$E$2:$E$511,"*a)*",'00 Encuesta'!$J$2:$J$511,"*e)*")</f>
        <v>2</v>
      </c>
      <c r="Q58" s="52">
        <f t="shared" si="56"/>
        <v>28.571428571428569</v>
      </c>
      <c r="R58" s="53">
        <f>COUNTIFS('00 Encuesta'!$B$2:$B$511,"*d)*",'00 Encuesta'!$C$2:$C$511,"*b)*",'00 Encuesta'!$E$2:$E$511,"*b)*",'00 Encuesta'!$J$2:$J$511,"*e)*")</f>
        <v>0</v>
      </c>
      <c r="S58" s="52">
        <f t="shared" si="57"/>
        <v>0</v>
      </c>
      <c r="T58" s="3"/>
      <c r="U58" s="51">
        <f t="shared" si="58"/>
        <v>3</v>
      </c>
      <c r="V58" s="52">
        <f t="shared" si="59"/>
        <v>15</v>
      </c>
      <c r="W58" s="53">
        <f>COUNTIFS('00 Encuesta'!$B$2:$B$511,"*d)*",'00 Encuesta'!$C$2:$C$511,"*c)*",'00 Encuesta'!$E$2:$E$511,"*a)*",'00 Encuesta'!$J$2:$J$511,"*e)*")</f>
        <v>1</v>
      </c>
      <c r="X58" s="52">
        <f t="shared" si="60"/>
        <v>20</v>
      </c>
      <c r="Y58" s="53">
        <f>COUNTIFS('00 Encuesta'!$B$2:$B$511,"*d)*",'00 Encuesta'!$C$2:$C$511,"*c)*",'00 Encuesta'!$E$2:$E$511,"*b)*",'00 Encuesta'!$J$2:$J$511,"*e)*")</f>
        <v>2</v>
      </c>
      <c r="Z58" s="52">
        <f t="shared" si="61"/>
        <v>13.333333333333334</v>
      </c>
      <c r="AA58" s="3"/>
      <c r="AB58" s="62">
        <f t="shared" si="6"/>
        <v>8</v>
      </c>
      <c r="AC58" s="52">
        <f t="shared" si="62"/>
        <v>12.698412698412698</v>
      </c>
      <c r="AD58" s="7"/>
      <c r="AE58" s="7"/>
      <c r="AF58" s="9" t="str">
        <f t="shared" si="63"/>
        <v>e) Moto</v>
      </c>
      <c r="AG58" s="72">
        <f t="shared" si="64"/>
        <v>21.428571428571427</v>
      </c>
      <c r="AH58" s="72">
        <f t="shared" si="65"/>
        <v>0</v>
      </c>
      <c r="AI58" s="73">
        <f t="shared" si="66"/>
        <v>13.043478260869565</v>
      </c>
      <c r="AJ58" s="73"/>
      <c r="AK58" s="76">
        <f t="shared" si="67"/>
        <v>28.571428571428569</v>
      </c>
      <c r="AL58" s="76">
        <f t="shared" si="68"/>
        <v>0</v>
      </c>
      <c r="AM58" s="76">
        <f t="shared" si="69"/>
        <v>10</v>
      </c>
      <c r="AN58" s="76"/>
      <c r="AO58" s="81">
        <f t="shared" si="70"/>
        <v>20</v>
      </c>
      <c r="AP58" s="81">
        <f t="shared" si="71"/>
        <v>13.333333333333334</v>
      </c>
      <c r="AQ58" s="81">
        <f t="shared" si="72"/>
        <v>15</v>
      </c>
      <c r="AR58" s="7"/>
      <c r="AS58" s="76">
        <f t="shared" si="1"/>
        <v>12.698412698412698</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x14ac:dyDescent="0.3">
      <c r="A59" s="8" t="s">
        <v>45</v>
      </c>
      <c r="B59" s="9" t="s">
        <v>60</v>
      </c>
      <c r="C59" s="7"/>
      <c r="D59" s="7"/>
      <c r="E59" s="7"/>
      <c r="F59" s="71"/>
      <c r="G59" s="51">
        <f t="shared" si="50"/>
        <v>6</v>
      </c>
      <c r="H59" s="52">
        <f t="shared" si="51"/>
        <v>26.086956521739129</v>
      </c>
      <c r="I59" s="53">
        <f>COUNTIFS('00 Encuesta'!$B$2:$B$511,"*d)*",'00 Encuesta'!$C$2:$C$511,"*a)*",'00 Encuesta'!$E$2:$E$511,"*a)*",'00 Encuesta'!$J$2:$J$511,"*f)*")</f>
        <v>5</v>
      </c>
      <c r="J59" s="52">
        <f t="shared" si="52"/>
        <v>35.714285714285715</v>
      </c>
      <c r="K59" s="53">
        <f>COUNTIFS('00 Encuesta'!$B$2:$B$511,"*d)*",'00 Encuesta'!$C$2:$C$511,"*a)*",'00 Encuesta'!$E$2:$E$511,"*b)*",'00 Encuesta'!$J$2:$J$511,"*f)*")</f>
        <v>1</v>
      </c>
      <c r="L59" s="52">
        <f t="shared" si="53"/>
        <v>11.111111111111111</v>
      </c>
      <c r="M59" s="23"/>
      <c r="N59" s="51">
        <f t="shared" si="54"/>
        <v>8</v>
      </c>
      <c r="O59" s="52">
        <f t="shared" si="55"/>
        <v>40</v>
      </c>
      <c r="P59" s="53">
        <f>COUNTIFS('00 Encuesta'!$B$2:$B$511,"*d)*",'00 Encuesta'!$C$2:$C$511,"*b)*",'00 Encuesta'!$E$2:$E$511,"*a)*",'00 Encuesta'!$J$2:$J$511,"*f)*")</f>
        <v>2</v>
      </c>
      <c r="Q59" s="52">
        <f t="shared" si="56"/>
        <v>28.571428571428569</v>
      </c>
      <c r="R59" s="53">
        <f>COUNTIFS('00 Encuesta'!$B$2:$B$511,"*d)*",'00 Encuesta'!$C$2:$C$511,"*b)*",'00 Encuesta'!$E$2:$E$511,"*b)*",'00 Encuesta'!$J$2:$J$511,"*f)*")</f>
        <v>6</v>
      </c>
      <c r="S59" s="52">
        <f t="shared" si="57"/>
        <v>46.153846153846153</v>
      </c>
      <c r="T59" s="3"/>
      <c r="U59" s="51">
        <f t="shared" si="58"/>
        <v>5</v>
      </c>
      <c r="V59" s="52">
        <f t="shared" si="59"/>
        <v>25</v>
      </c>
      <c r="W59" s="53">
        <f>COUNTIFS('00 Encuesta'!$B$2:$B$511,"*d)*",'00 Encuesta'!$C$2:$C$511,"*c)*",'00 Encuesta'!$E$2:$E$511,"*a)*",'00 Encuesta'!$J$2:$J$511,"*f)*")</f>
        <v>1</v>
      </c>
      <c r="X59" s="52">
        <f t="shared" si="60"/>
        <v>20</v>
      </c>
      <c r="Y59" s="53">
        <f>COUNTIFS('00 Encuesta'!$B$2:$B$511,"*d)*",'00 Encuesta'!$C$2:$C$511,"*c)*",'00 Encuesta'!$E$2:$E$511,"*b)*",'00 Encuesta'!$J$2:$J$511,"*f)*")</f>
        <v>4</v>
      </c>
      <c r="Z59" s="52">
        <f t="shared" si="61"/>
        <v>26.666666666666668</v>
      </c>
      <c r="AA59" s="3"/>
      <c r="AB59" s="62">
        <f t="shared" si="6"/>
        <v>19</v>
      </c>
      <c r="AC59" s="52">
        <f t="shared" si="62"/>
        <v>30.158730158730158</v>
      </c>
      <c r="AD59" s="7"/>
      <c r="AE59" s="7"/>
      <c r="AF59" s="9" t="str">
        <f t="shared" si="63"/>
        <v>f) MP3</v>
      </c>
      <c r="AG59" s="72">
        <f t="shared" si="64"/>
        <v>35.714285714285715</v>
      </c>
      <c r="AH59" s="72">
        <f t="shared" si="65"/>
        <v>11.111111111111111</v>
      </c>
      <c r="AI59" s="73">
        <f t="shared" si="66"/>
        <v>26.086956521739129</v>
      </c>
      <c r="AJ59" s="73"/>
      <c r="AK59" s="76">
        <f t="shared" si="67"/>
        <v>28.571428571428569</v>
      </c>
      <c r="AL59" s="76">
        <f t="shared" si="68"/>
        <v>46.153846153846153</v>
      </c>
      <c r="AM59" s="76">
        <f t="shared" si="69"/>
        <v>40</v>
      </c>
      <c r="AN59" s="76"/>
      <c r="AO59" s="81">
        <f t="shared" si="70"/>
        <v>20</v>
      </c>
      <c r="AP59" s="81">
        <f t="shared" si="71"/>
        <v>26.666666666666668</v>
      </c>
      <c r="AQ59" s="81">
        <f t="shared" si="72"/>
        <v>25</v>
      </c>
      <c r="AR59" s="7"/>
      <c r="AS59" s="76">
        <f t="shared" si="1"/>
        <v>30.158730158730158</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x14ac:dyDescent="0.3">
      <c r="A60" s="8" t="s">
        <v>61</v>
      </c>
      <c r="B60" s="9" t="s">
        <v>62</v>
      </c>
      <c r="C60" s="7"/>
      <c r="D60" s="7"/>
      <c r="E60" s="7"/>
      <c r="F60" s="71"/>
      <c r="G60" s="51">
        <f t="shared" si="50"/>
        <v>5</v>
      </c>
      <c r="H60" s="52">
        <f t="shared" si="51"/>
        <v>21.739130434782609</v>
      </c>
      <c r="I60" s="53">
        <f>COUNTIFS('00 Encuesta'!$B$2:$B$511,"*d)*",'00 Encuesta'!$C$2:$C$511,"*a)*",'00 Encuesta'!$E$2:$E$511,"*a)*",'00 Encuesta'!$J$2:$J$511,"*g)*")</f>
        <v>4</v>
      </c>
      <c r="J60" s="52">
        <f t="shared" si="52"/>
        <v>28.571428571428569</v>
      </c>
      <c r="K60" s="53">
        <f>COUNTIFS('00 Encuesta'!$B$2:$B$511,"*d)*",'00 Encuesta'!$C$2:$C$511,"*a)*",'00 Encuesta'!$E$2:$E$511,"*b)*",'00 Encuesta'!$J$2:$J$511,"*g)*")</f>
        <v>1</v>
      </c>
      <c r="L60" s="52">
        <f t="shared" si="53"/>
        <v>11.111111111111111</v>
      </c>
      <c r="M60" s="23"/>
      <c r="N60" s="51">
        <f t="shared" si="54"/>
        <v>7</v>
      </c>
      <c r="O60" s="52">
        <f t="shared" si="55"/>
        <v>35</v>
      </c>
      <c r="P60" s="53">
        <f>COUNTIFS('00 Encuesta'!$B$2:$B$511,"*d)*",'00 Encuesta'!$C$2:$C$511,"*b)*",'00 Encuesta'!$E$2:$E$511,"*a)*",'00 Encuesta'!$J$2:$J$511,"*g)*")</f>
        <v>1</v>
      </c>
      <c r="Q60" s="52">
        <f t="shared" si="56"/>
        <v>14.285714285714285</v>
      </c>
      <c r="R60" s="53">
        <f>COUNTIFS('00 Encuesta'!$B$2:$B$511,"*d)*",'00 Encuesta'!$C$2:$C$511,"*b)*",'00 Encuesta'!$E$2:$E$511,"*b)*",'00 Encuesta'!$J$2:$J$511,"*g)*")</f>
        <v>6</v>
      </c>
      <c r="S60" s="52">
        <f t="shared" si="57"/>
        <v>46.153846153846153</v>
      </c>
      <c r="T60" s="3"/>
      <c r="U60" s="51">
        <f t="shared" si="58"/>
        <v>5</v>
      </c>
      <c r="V60" s="52">
        <f t="shared" si="59"/>
        <v>25</v>
      </c>
      <c r="W60" s="53">
        <f>COUNTIFS('00 Encuesta'!$B$2:$B$511,"*d)*",'00 Encuesta'!$C$2:$C$511,"*c)*",'00 Encuesta'!$E$2:$E$511,"*a)*",'00 Encuesta'!$J$2:$J$511,"*g)*")</f>
        <v>2</v>
      </c>
      <c r="X60" s="52">
        <f t="shared" si="60"/>
        <v>40</v>
      </c>
      <c r="Y60" s="53">
        <f>COUNTIFS('00 Encuesta'!$B$2:$B$511,"*d)*",'00 Encuesta'!$C$2:$C$511,"*c)*",'00 Encuesta'!$E$2:$E$511,"*b)*",'00 Encuesta'!$J$2:$J$511,"*g)*")</f>
        <v>3</v>
      </c>
      <c r="Z60" s="52">
        <f t="shared" si="61"/>
        <v>20</v>
      </c>
      <c r="AA60" s="3"/>
      <c r="AB60" s="62">
        <f t="shared" si="6"/>
        <v>17</v>
      </c>
      <c r="AC60" s="52">
        <f t="shared" si="62"/>
        <v>26.984126984126984</v>
      </c>
      <c r="AD60" s="7"/>
      <c r="AE60" s="7"/>
      <c r="AF60" s="9" t="str">
        <f t="shared" si="63"/>
        <v>g) MP4</v>
      </c>
      <c r="AG60" s="72">
        <f t="shared" si="64"/>
        <v>28.571428571428569</v>
      </c>
      <c r="AH60" s="72">
        <f t="shared" si="65"/>
        <v>11.111111111111111</v>
      </c>
      <c r="AI60" s="73">
        <f t="shared" si="66"/>
        <v>21.739130434782609</v>
      </c>
      <c r="AJ60" s="73"/>
      <c r="AK60" s="76">
        <f t="shared" si="67"/>
        <v>14.285714285714285</v>
      </c>
      <c r="AL60" s="76">
        <f t="shared" si="68"/>
        <v>46.153846153846153</v>
      </c>
      <c r="AM60" s="76">
        <f t="shared" si="69"/>
        <v>35</v>
      </c>
      <c r="AN60" s="76"/>
      <c r="AO60" s="81">
        <f t="shared" si="70"/>
        <v>40</v>
      </c>
      <c r="AP60" s="81">
        <f t="shared" si="71"/>
        <v>20</v>
      </c>
      <c r="AQ60" s="81">
        <f t="shared" si="72"/>
        <v>25</v>
      </c>
      <c r="AR60" s="7"/>
      <c r="AS60" s="76">
        <f t="shared" si="1"/>
        <v>26.984126984126984</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x14ac:dyDescent="0.3">
      <c r="A61" s="8" t="s">
        <v>63</v>
      </c>
      <c r="B61" s="9" t="s">
        <v>64</v>
      </c>
      <c r="C61" s="7"/>
      <c r="D61" s="7"/>
      <c r="E61" s="7"/>
      <c r="F61" s="71"/>
      <c r="G61" s="51">
        <f t="shared" si="50"/>
        <v>14</v>
      </c>
      <c r="H61" s="52">
        <f t="shared" si="51"/>
        <v>60.869565217391312</v>
      </c>
      <c r="I61" s="53">
        <f>COUNTIFS('00 Encuesta'!$B$2:$B$511,"*d)*",'00 Encuesta'!$C$2:$C$511,"*a)*",'00 Encuesta'!$E$2:$E$511,"*a)*",'00 Encuesta'!$J$2:$J$511,"*h)*")</f>
        <v>8</v>
      </c>
      <c r="J61" s="52">
        <f t="shared" si="52"/>
        <v>57.142857142857139</v>
      </c>
      <c r="K61" s="53">
        <f>COUNTIFS('00 Encuesta'!$B$2:$B$511,"*d)*",'00 Encuesta'!$C$2:$C$511,"*a)*",'00 Encuesta'!$E$2:$E$511,"*b)*",'00 Encuesta'!$J$2:$J$511,"*h)*")</f>
        <v>6</v>
      </c>
      <c r="L61" s="52">
        <f t="shared" si="53"/>
        <v>66.666666666666657</v>
      </c>
      <c r="M61" s="23"/>
      <c r="N61" s="51">
        <f t="shared" si="54"/>
        <v>7</v>
      </c>
      <c r="O61" s="52">
        <f t="shared" si="55"/>
        <v>35</v>
      </c>
      <c r="P61" s="53">
        <f>COUNTIFS('00 Encuesta'!$B$2:$B$511,"*d)*",'00 Encuesta'!$C$2:$C$511,"*b)*",'00 Encuesta'!$E$2:$E$511,"*a)*",'00 Encuesta'!$J$2:$J$511,"*h)*")</f>
        <v>0</v>
      </c>
      <c r="Q61" s="52">
        <f t="shared" si="56"/>
        <v>0</v>
      </c>
      <c r="R61" s="53">
        <f>COUNTIFS('00 Encuesta'!$B$2:$B$511,"*d)*",'00 Encuesta'!$C$2:$C$511,"*b)*",'00 Encuesta'!$E$2:$E$511,"*b)*",'00 Encuesta'!$J$2:$J$511,"*h)*")</f>
        <v>7</v>
      </c>
      <c r="S61" s="52">
        <f t="shared" si="57"/>
        <v>53.846153846153847</v>
      </c>
      <c r="T61" s="3"/>
      <c r="U61" s="51">
        <f t="shared" si="58"/>
        <v>11</v>
      </c>
      <c r="V61" s="52">
        <f t="shared" si="59"/>
        <v>55.000000000000007</v>
      </c>
      <c r="W61" s="53">
        <f>COUNTIFS('00 Encuesta'!$B$2:$B$511,"*d)*",'00 Encuesta'!$C$2:$C$511,"*c)*",'00 Encuesta'!$E$2:$E$511,"*a)*",'00 Encuesta'!$J$2:$J$511,"*h)*")</f>
        <v>3</v>
      </c>
      <c r="X61" s="52">
        <f t="shared" si="60"/>
        <v>60</v>
      </c>
      <c r="Y61" s="53">
        <f>COUNTIFS('00 Encuesta'!$B$2:$B$511,"*d)*",'00 Encuesta'!$C$2:$C$511,"*c)*",'00 Encuesta'!$E$2:$E$511,"*b)*",'00 Encuesta'!$J$2:$J$511,"*h)*")</f>
        <v>8</v>
      </c>
      <c r="Z61" s="52">
        <f t="shared" si="61"/>
        <v>53.333333333333336</v>
      </c>
      <c r="AA61" s="3"/>
      <c r="AB61" s="62">
        <f t="shared" si="6"/>
        <v>32</v>
      </c>
      <c r="AC61" s="52">
        <f t="shared" si="62"/>
        <v>50.793650793650791</v>
      </c>
      <c r="AD61" s="7"/>
      <c r="AE61" s="7"/>
      <c r="AF61" s="9" t="str">
        <f t="shared" si="63"/>
        <v>h) Carro</v>
      </c>
      <c r="AG61" s="72">
        <f t="shared" si="64"/>
        <v>57.142857142857139</v>
      </c>
      <c r="AH61" s="72">
        <f t="shared" si="65"/>
        <v>66.666666666666657</v>
      </c>
      <c r="AI61" s="73">
        <f t="shared" si="66"/>
        <v>60.869565217391312</v>
      </c>
      <c r="AJ61" s="73"/>
      <c r="AK61" s="76">
        <f t="shared" si="67"/>
        <v>0</v>
      </c>
      <c r="AL61" s="76">
        <f t="shared" si="68"/>
        <v>53.846153846153847</v>
      </c>
      <c r="AM61" s="76">
        <f t="shared" si="69"/>
        <v>35</v>
      </c>
      <c r="AN61" s="76"/>
      <c r="AO61" s="81">
        <f t="shared" si="70"/>
        <v>60</v>
      </c>
      <c r="AP61" s="81">
        <f t="shared" si="71"/>
        <v>53.333333333333336</v>
      </c>
      <c r="AQ61" s="81">
        <f t="shared" si="72"/>
        <v>55.000000000000007</v>
      </c>
      <c r="AR61" s="7"/>
      <c r="AS61" s="76">
        <f t="shared" si="1"/>
        <v>50.793650793650791</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x14ac:dyDescent="0.3">
      <c r="A62" s="8" t="s">
        <v>65</v>
      </c>
      <c r="B62" s="9" t="s">
        <v>66</v>
      </c>
      <c r="C62" s="7"/>
      <c r="D62" s="7"/>
      <c r="E62" s="7"/>
      <c r="F62" s="71"/>
      <c r="G62" s="51">
        <f t="shared" si="50"/>
        <v>21</v>
      </c>
      <c r="H62" s="52">
        <f t="shared" si="51"/>
        <v>91.304347826086953</v>
      </c>
      <c r="I62" s="53">
        <f>COUNTIFS('00 Encuesta'!$B$2:$B$511,"*d)*",'00 Encuesta'!$C$2:$C$511,"*a)*",'00 Encuesta'!$E$2:$E$511,"*a)*",'00 Encuesta'!$J$2:$J$511,"*i)*")</f>
        <v>13</v>
      </c>
      <c r="J62" s="52">
        <f t="shared" si="52"/>
        <v>92.857142857142861</v>
      </c>
      <c r="K62" s="53">
        <f>COUNTIFS('00 Encuesta'!$B$2:$B$511,"*d)*",'00 Encuesta'!$C$2:$C$511,"*a)*",'00 Encuesta'!$E$2:$E$511,"*b)*",'00 Encuesta'!$J$2:$J$511,"*i)*")</f>
        <v>8</v>
      </c>
      <c r="L62" s="52">
        <f t="shared" si="53"/>
        <v>88.888888888888886</v>
      </c>
      <c r="M62" s="23"/>
      <c r="N62" s="51">
        <f t="shared" si="54"/>
        <v>18</v>
      </c>
      <c r="O62" s="52">
        <f t="shared" si="55"/>
        <v>90</v>
      </c>
      <c r="P62" s="53">
        <f>COUNTIFS('00 Encuesta'!$B$2:$B$511,"*d)*",'00 Encuesta'!$C$2:$C$511,"*b)*",'00 Encuesta'!$E$2:$E$511,"*a)*",'00 Encuesta'!$J$2:$J$511,"*i)*")</f>
        <v>6</v>
      </c>
      <c r="Q62" s="52">
        <f t="shared" si="56"/>
        <v>85.714285714285708</v>
      </c>
      <c r="R62" s="53">
        <f>COUNTIFS('00 Encuesta'!$B$2:$B$511,"*d)*",'00 Encuesta'!$C$2:$C$511,"*b)*",'00 Encuesta'!$E$2:$E$511,"*b)*",'00 Encuesta'!$J$2:$J$511,"*i)*")</f>
        <v>12</v>
      </c>
      <c r="S62" s="52">
        <f t="shared" si="57"/>
        <v>92.307692307692307</v>
      </c>
      <c r="T62" s="3"/>
      <c r="U62" s="51">
        <f t="shared" si="58"/>
        <v>16</v>
      </c>
      <c r="V62" s="52">
        <f t="shared" si="59"/>
        <v>80</v>
      </c>
      <c r="W62" s="53">
        <f>COUNTIFS('00 Encuesta'!$B$2:$B$511,"*d)*",'00 Encuesta'!$C$2:$C$511,"*c)*",'00 Encuesta'!$E$2:$E$511,"*a)*",'00 Encuesta'!$J$2:$J$511,"*i)*")</f>
        <v>4</v>
      </c>
      <c r="X62" s="52">
        <f t="shared" si="60"/>
        <v>80</v>
      </c>
      <c r="Y62" s="53">
        <f>COUNTIFS('00 Encuesta'!$B$2:$B$511,"*d)*",'00 Encuesta'!$C$2:$C$511,"*c)*",'00 Encuesta'!$E$2:$E$511,"*b)*",'00 Encuesta'!$J$2:$J$511,"*i)*")</f>
        <v>12</v>
      </c>
      <c r="Z62" s="52">
        <f t="shared" si="61"/>
        <v>80</v>
      </c>
      <c r="AA62" s="3"/>
      <c r="AB62" s="62">
        <f t="shared" si="6"/>
        <v>55</v>
      </c>
      <c r="AC62" s="52">
        <f t="shared" si="62"/>
        <v>87.301587301587304</v>
      </c>
      <c r="AD62" s="7"/>
      <c r="AE62" s="7"/>
      <c r="AF62" s="9" t="str">
        <f t="shared" si="63"/>
        <v>i) Computadora</v>
      </c>
      <c r="AG62" s="72">
        <f t="shared" si="64"/>
        <v>92.857142857142861</v>
      </c>
      <c r="AH62" s="72">
        <f t="shared" si="65"/>
        <v>88.888888888888886</v>
      </c>
      <c r="AI62" s="73">
        <f t="shared" si="66"/>
        <v>91.304347826086953</v>
      </c>
      <c r="AJ62" s="73"/>
      <c r="AK62" s="76">
        <f t="shared" si="67"/>
        <v>85.714285714285708</v>
      </c>
      <c r="AL62" s="76">
        <f t="shared" si="68"/>
        <v>92.307692307692307</v>
      </c>
      <c r="AM62" s="76">
        <f t="shared" si="69"/>
        <v>90</v>
      </c>
      <c r="AN62" s="76"/>
      <c r="AO62" s="81">
        <f t="shared" si="70"/>
        <v>80</v>
      </c>
      <c r="AP62" s="81">
        <f t="shared" si="71"/>
        <v>80</v>
      </c>
      <c r="AQ62" s="81">
        <f t="shared" si="72"/>
        <v>80</v>
      </c>
      <c r="AR62" s="7"/>
      <c r="AS62" s="76">
        <f t="shared" si="1"/>
        <v>87.301587301587304</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11</v>
      </c>
      <c r="H63" s="52">
        <f t="shared" si="51"/>
        <v>47.826086956521742</v>
      </c>
      <c r="I63" s="53">
        <f>COUNTIFS('00 Encuesta'!$B$2:$B$511,"*d)*",'00 Encuesta'!$C$2:$C$511,"*a)*",'00 Encuesta'!$E$2:$E$511,"*a)*",'00 Encuesta'!$J$2:$J$511,"*j)*")</f>
        <v>6</v>
      </c>
      <c r="J63" s="52">
        <f t="shared" si="52"/>
        <v>42.857142857142854</v>
      </c>
      <c r="K63" s="53">
        <f>COUNTIFS('00 Encuesta'!$B$2:$B$511,"*d)*",'00 Encuesta'!$C$2:$C$511,"*a)*",'00 Encuesta'!$E$2:$E$511,"*b)*",'00 Encuesta'!$J$2:$J$511,"*j)*")</f>
        <v>5</v>
      </c>
      <c r="L63" s="52">
        <f t="shared" si="53"/>
        <v>55.555555555555557</v>
      </c>
      <c r="M63" s="23"/>
      <c r="N63" s="51">
        <f t="shared" si="54"/>
        <v>14</v>
      </c>
      <c r="O63" s="52">
        <f t="shared" si="55"/>
        <v>70</v>
      </c>
      <c r="P63" s="53">
        <f>COUNTIFS('00 Encuesta'!$B$2:$B$511,"*d)*",'00 Encuesta'!$C$2:$C$511,"*b)*",'00 Encuesta'!$E$2:$E$511,"*a)*",'00 Encuesta'!$J$2:$J$511,"*j)*")</f>
        <v>4</v>
      </c>
      <c r="Q63" s="52">
        <f t="shared" si="56"/>
        <v>57.142857142857139</v>
      </c>
      <c r="R63" s="53">
        <f>COUNTIFS('00 Encuesta'!$B$2:$B$511,"*d)*",'00 Encuesta'!$C$2:$C$511,"*b)*",'00 Encuesta'!$E$2:$E$511,"*b)*",'00 Encuesta'!$J$2:$J$511,"*j)*")</f>
        <v>10</v>
      </c>
      <c r="S63" s="52">
        <f t="shared" si="57"/>
        <v>76.923076923076934</v>
      </c>
      <c r="T63" s="3"/>
      <c r="U63" s="51">
        <f t="shared" si="58"/>
        <v>13</v>
      </c>
      <c r="V63" s="52">
        <f t="shared" si="59"/>
        <v>65</v>
      </c>
      <c r="W63" s="53">
        <f>COUNTIFS('00 Encuesta'!$B$2:$B$511,"*d)*",'00 Encuesta'!$C$2:$C$511,"*c)*",'00 Encuesta'!$E$2:$E$511,"*a)*",'00 Encuesta'!$J$2:$J$511,"*j)*")</f>
        <v>2</v>
      </c>
      <c r="X63" s="52">
        <f t="shared" si="60"/>
        <v>40</v>
      </c>
      <c r="Y63" s="53">
        <f>COUNTIFS('00 Encuesta'!$B$2:$B$511,"*d)*",'00 Encuesta'!$C$2:$C$511,"*c)*",'00 Encuesta'!$E$2:$E$511,"*b)*",'00 Encuesta'!$J$2:$J$511,"*j)*")</f>
        <v>11</v>
      </c>
      <c r="Z63" s="52">
        <f t="shared" si="61"/>
        <v>73.333333333333329</v>
      </c>
      <c r="AA63" s="3"/>
      <c r="AB63" s="62">
        <f t="shared" si="6"/>
        <v>38</v>
      </c>
      <c r="AC63" s="52">
        <f t="shared" si="62"/>
        <v>60.317460317460316</v>
      </c>
      <c r="AD63" s="7"/>
      <c r="AE63" s="7"/>
      <c r="AF63" s="9" t="str">
        <f t="shared" si="63"/>
        <v>j) Cámara digital</v>
      </c>
      <c r="AG63" s="72">
        <f t="shared" si="64"/>
        <v>42.857142857142854</v>
      </c>
      <c r="AH63" s="72">
        <f t="shared" si="65"/>
        <v>55.555555555555557</v>
      </c>
      <c r="AI63" s="73">
        <f t="shared" si="66"/>
        <v>47.826086956521742</v>
      </c>
      <c r="AJ63" s="73"/>
      <c r="AK63" s="76">
        <f t="shared" si="67"/>
        <v>57.142857142857139</v>
      </c>
      <c r="AL63" s="76">
        <f t="shared" si="68"/>
        <v>76.923076923076934</v>
      </c>
      <c r="AM63" s="76">
        <f t="shared" si="69"/>
        <v>70</v>
      </c>
      <c r="AN63" s="76"/>
      <c r="AO63" s="81">
        <f t="shared" si="70"/>
        <v>40</v>
      </c>
      <c r="AP63" s="81">
        <f t="shared" si="71"/>
        <v>73.333333333333329</v>
      </c>
      <c r="AQ63" s="81">
        <f t="shared" si="72"/>
        <v>65</v>
      </c>
      <c r="AR63" s="7"/>
      <c r="AS63" s="76">
        <f t="shared" si="1"/>
        <v>60.317460317460316</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x14ac:dyDescent="0.3">
      <c r="A64" s="1" t="s">
        <v>69</v>
      </c>
      <c r="B64" s="2" t="s">
        <v>70</v>
      </c>
      <c r="C64" s="3"/>
      <c r="D64" s="7"/>
      <c r="E64" s="7"/>
      <c r="F64" s="71"/>
      <c r="G64" s="51">
        <f t="shared" si="50"/>
        <v>21</v>
      </c>
      <c r="H64" s="52">
        <f t="shared" si="51"/>
        <v>91.304347826086953</v>
      </c>
      <c r="I64" s="53">
        <f>COUNTIFS('00 Encuesta'!$B$2:$B$511,"*d)*",'00 Encuesta'!$C$2:$C$511,"*a)*",'00 Encuesta'!$E$2:$E$511,"*a)*",'00 Encuesta'!$J$2:$J$511,"*k)*")</f>
        <v>12</v>
      </c>
      <c r="J64" s="52">
        <f t="shared" si="52"/>
        <v>85.714285714285708</v>
      </c>
      <c r="K64" s="53">
        <f>COUNTIFS('00 Encuesta'!$B$2:$B$511,"*d)*",'00 Encuesta'!$C$2:$C$511,"*a)*",'00 Encuesta'!$E$2:$E$511,"*b)*",'00 Encuesta'!$J$2:$J$511,"*k)*")</f>
        <v>9</v>
      </c>
      <c r="L64" s="52">
        <f t="shared" si="53"/>
        <v>100</v>
      </c>
      <c r="M64" s="23"/>
      <c r="N64" s="51">
        <f t="shared" si="54"/>
        <v>17</v>
      </c>
      <c r="O64" s="52">
        <f t="shared" si="55"/>
        <v>85</v>
      </c>
      <c r="P64" s="53">
        <f>COUNTIFS('00 Encuesta'!$B$2:$B$511,"*d)*",'00 Encuesta'!$C$2:$C$511,"*b)*",'00 Encuesta'!$E$2:$E$511,"*a)*",'00 Encuesta'!$J$2:$J$511,"*k)*")</f>
        <v>6</v>
      </c>
      <c r="Q64" s="52">
        <f t="shared" si="56"/>
        <v>85.714285714285708</v>
      </c>
      <c r="R64" s="53">
        <f>COUNTIFS('00 Encuesta'!$B$2:$B$511,"*d)*",'00 Encuesta'!$C$2:$C$511,"*b)*",'00 Encuesta'!$E$2:$E$511,"*b)*",'00 Encuesta'!$J$2:$J$511,"*k)*")</f>
        <v>11</v>
      </c>
      <c r="S64" s="52">
        <f t="shared" si="57"/>
        <v>84.615384615384613</v>
      </c>
      <c r="T64" s="3"/>
      <c r="U64" s="51">
        <f t="shared" si="58"/>
        <v>17</v>
      </c>
      <c r="V64" s="52">
        <f t="shared" si="59"/>
        <v>85</v>
      </c>
      <c r="W64" s="53">
        <f>COUNTIFS('00 Encuesta'!$B$2:$B$511,"*d)*",'00 Encuesta'!$C$2:$C$511,"*c)*",'00 Encuesta'!$E$2:$E$511,"*a)*",'00 Encuesta'!$J$2:$J$511,"*k)*")</f>
        <v>5</v>
      </c>
      <c r="X64" s="52">
        <f t="shared" si="60"/>
        <v>100</v>
      </c>
      <c r="Y64" s="53">
        <f>COUNTIFS('00 Encuesta'!$B$2:$B$511,"*d)*",'00 Encuesta'!$C$2:$C$511,"*c)*",'00 Encuesta'!$E$2:$E$511,"*b)*",'00 Encuesta'!$J$2:$J$511,"*k)*")</f>
        <v>12</v>
      </c>
      <c r="Z64" s="52">
        <f t="shared" si="61"/>
        <v>80</v>
      </c>
      <c r="AA64" s="3"/>
      <c r="AB64" s="62">
        <f t="shared" si="6"/>
        <v>55</v>
      </c>
      <c r="AC64" s="52">
        <f t="shared" si="62"/>
        <v>87.301587301587304</v>
      </c>
      <c r="AD64" s="7"/>
      <c r="AE64" s="7"/>
      <c r="AF64" s="9" t="str">
        <f t="shared" si="63"/>
        <v>k) Aire acondicionado</v>
      </c>
      <c r="AG64" s="72">
        <f t="shared" si="64"/>
        <v>85.714285714285708</v>
      </c>
      <c r="AH64" s="72">
        <f t="shared" si="65"/>
        <v>100</v>
      </c>
      <c r="AI64" s="73">
        <f t="shared" si="66"/>
        <v>91.304347826086953</v>
      </c>
      <c r="AJ64" s="73"/>
      <c r="AK64" s="76">
        <f t="shared" si="67"/>
        <v>85.714285714285708</v>
      </c>
      <c r="AL64" s="76">
        <f t="shared" si="68"/>
        <v>84.615384615384613</v>
      </c>
      <c r="AM64" s="76">
        <f t="shared" si="69"/>
        <v>85</v>
      </c>
      <c r="AN64" s="76"/>
      <c r="AO64" s="81">
        <f t="shared" si="70"/>
        <v>100</v>
      </c>
      <c r="AP64" s="81">
        <f t="shared" si="71"/>
        <v>80</v>
      </c>
      <c r="AQ64" s="81">
        <f t="shared" si="72"/>
        <v>85</v>
      </c>
      <c r="AR64" s="7"/>
      <c r="AS64" s="76">
        <f t="shared" si="1"/>
        <v>87.301587301587304</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x14ac:dyDescent="0.3">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x14ac:dyDescent="0.3">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x14ac:dyDescent="0.3">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x14ac:dyDescent="0.3">
      <c r="A68" s="8" t="s">
        <v>17</v>
      </c>
      <c r="B68" s="9" t="s">
        <v>72</v>
      </c>
      <c r="C68" s="7"/>
      <c r="D68" s="7"/>
      <c r="E68" s="7"/>
      <c r="F68" s="71"/>
      <c r="G68" s="51">
        <f>I68+K68</f>
        <v>1</v>
      </c>
      <c r="H68" s="52">
        <f>G68/$J$5*100</f>
        <v>4.3478260869565215</v>
      </c>
      <c r="I68" s="53">
        <f>COUNTIFS('00 Encuesta'!$B$2:$B$511,"*d)*",'00 Encuesta'!$C$2:$C$511,"*a)*",'00 Encuesta'!$E$2:$E$511,"*a)*",'00 Encuesta'!$K$2:$K$511,"*a)*")</f>
        <v>1</v>
      </c>
      <c r="J68" s="52">
        <f t="shared" ref="J68:J74" si="73">I68/$J$6*100</f>
        <v>7.1428571428571423</v>
      </c>
      <c r="K68" s="53">
        <f>COUNTIFS('00 Encuesta'!$B$2:$B$511,"*d)*",'00 Encuesta'!$C$2:$C$511,"*a)*",'00 Encuesta'!$E$2:$E$511,"*b)*",'00 Encuesta'!$K$2:$K$511,"*a)*")</f>
        <v>0</v>
      </c>
      <c r="L68" s="52">
        <f t="shared" ref="L68:L74" si="74">K68/$J$7*100</f>
        <v>0</v>
      </c>
      <c r="M68" s="23"/>
      <c r="N68" s="51">
        <f t="shared" ref="N68:N74" si="75">P68+R68</f>
        <v>1</v>
      </c>
      <c r="O68" s="52">
        <f t="shared" ref="O68:O74" si="76">N68/$Q$5*100</f>
        <v>5</v>
      </c>
      <c r="P68" s="53">
        <f>COUNTIFS('00 Encuesta'!$B$2:$B$511,"*d)*",'00 Encuesta'!$C$2:$C$511,"*b)*",'00 Encuesta'!$E$2:$E$511,"*a)*",'00 Encuesta'!$K$2:$K$511,"*a)*")</f>
        <v>1</v>
      </c>
      <c r="Q68" s="52">
        <f t="shared" ref="Q68:Q74" si="77">P68/$Q$6*100</f>
        <v>14.285714285714285</v>
      </c>
      <c r="R68" s="53">
        <f>COUNTIFS('00 Encuesta'!$B$2:$B$511,"*d)*",'00 Encuesta'!$C$2:$C$511,"*b)*",'00 Encuesta'!$E$2:$E$511,"*b)*",'00 Encuesta'!$K$2:$K$511,"*a)*")</f>
        <v>0</v>
      </c>
      <c r="S68" s="52">
        <f t="shared" ref="S68:S74" si="78">R68/$Q$7*100</f>
        <v>0</v>
      </c>
      <c r="T68" s="3"/>
      <c r="U68" s="51">
        <f t="shared" ref="U68:U74" si="79">W68+Y68</f>
        <v>1</v>
      </c>
      <c r="V68" s="52">
        <f t="shared" ref="V68:V74" si="80">U68/$X$5*100</f>
        <v>5</v>
      </c>
      <c r="W68" s="53">
        <f>COUNTIFS('00 Encuesta'!$B$2:$B$511,"*d)*",'00 Encuesta'!$C$2:$C$511,"*c)*",'00 Encuesta'!$E$2:$E$511,"*a)*",'00 Encuesta'!$K$2:$K$511,"*a)*")</f>
        <v>1</v>
      </c>
      <c r="X68" s="52">
        <f t="shared" ref="X68:X74" si="81">W68/$X$6*100</f>
        <v>20</v>
      </c>
      <c r="Y68" s="53">
        <f>COUNTIFS('00 Encuesta'!$B$2:$B$511,"*d)*",'00 Encuesta'!$C$2:$C$511,"*c)*",'00 Encuesta'!$E$2:$E$511,"*b)*",'00 Encuesta'!$K$2:$K$511,"*a)*")</f>
        <v>0</v>
      </c>
      <c r="Z68" s="52">
        <f t="shared" ref="Z68:Z74" si="82">Y68/$X$7*100</f>
        <v>0</v>
      </c>
      <c r="AA68" s="3"/>
      <c r="AB68" s="62">
        <f t="shared" ref="AB68:AB74" si="83">G68+N68+U68</f>
        <v>3</v>
      </c>
      <c r="AC68" s="52">
        <f t="shared" ref="AC68:AC74" si="84">AB68*100/$AC$5</f>
        <v>4.7619047619047619</v>
      </c>
      <c r="AD68" s="7"/>
      <c r="AE68" s="7"/>
      <c r="AF68" s="9" t="str">
        <f t="shared" ref="AF68:AF74" si="85">A68&amp;" "&amp;B68</f>
        <v>a) Ninguna</v>
      </c>
      <c r="AG68" s="72">
        <f t="shared" ref="AG68:AG74" si="86">J68</f>
        <v>7.1428571428571423</v>
      </c>
      <c r="AH68" s="72">
        <f t="shared" ref="AH68:AH74" si="87">L68</f>
        <v>0</v>
      </c>
      <c r="AI68" s="73">
        <f t="shared" ref="AI68:AI74" si="88">H68</f>
        <v>4.3478260869565215</v>
      </c>
      <c r="AJ68" s="73"/>
      <c r="AK68" s="76">
        <f t="shared" ref="AK68:AK74" si="89">Q68</f>
        <v>14.285714285714285</v>
      </c>
      <c r="AL68" s="76">
        <f t="shared" ref="AL68:AL74" si="90">S68</f>
        <v>0</v>
      </c>
      <c r="AM68" s="76">
        <f t="shared" ref="AM68:AM74" si="91">O68</f>
        <v>5</v>
      </c>
      <c r="AN68" s="76"/>
      <c r="AO68" s="81">
        <f t="shared" ref="AO68:AO74" si="92">X68</f>
        <v>20</v>
      </c>
      <c r="AP68" s="81">
        <f t="shared" ref="AP68:AP74" si="93">Z68</f>
        <v>0</v>
      </c>
      <c r="AQ68" s="81">
        <f t="shared" ref="AQ68:AQ74" si="94">V68</f>
        <v>5</v>
      </c>
      <c r="AR68" s="7"/>
      <c r="AS68" s="76">
        <f t="shared" si="1"/>
        <v>4.7619047619047619</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x14ac:dyDescent="0.3">
      <c r="A69" s="8" t="s">
        <v>18</v>
      </c>
      <c r="B69" s="9" t="s">
        <v>73</v>
      </c>
      <c r="C69" s="7"/>
      <c r="D69" s="7"/>
      <c r="E69" s="7"/>
      <c r="F69" s="71"/>
      <c r="G69" s="51">
        <f t="shared" ref="G69:G74" si="95">I69+K69</f>
        <v>5</v>
      </c>
      <c r="H69" s="52">
        <f t="shared" ref="H69:H74" si="96">G69/$J$5*100</f>
        <v>21.739130434782609</v>
      </c>
      <c r="I69" s="53">
        <f>COUNTIFS('00 Encuesta'!$B$2:$B$511,"*d)*",'00 Encuesta'!$C$2:$C$511,"*a)*",'00 Encuesta'!$E$2:$E$511,"*a)*",'00 Encuesta'!$K$2:$K$511,"*b)*")</f>
        <v>3</v>
      </c>
      <c r="J69" s="52">
        <f t="shared" si="73"/>
        <v>21.428571428571427</v>
      </c>
      <c r="K69" s="53">
        <f>COUNTIFS('00 Encuesta'!$B$2:$B$511,"*d)*",'00 Encuesta'!$C$2:$C$511,"*a)*",'00 Encuesta'!$E$2:$E$511,"*b)*",'00 Encuesta'!$K$2:$K$511,"*b)*")</f>
        <v>2</v>
      </c>
      <c r="L69" s="52">
        <f t="shared" si="74"/>
        <v>22.222222222222221</v>
      </c>
      <c r="M69" s="23"/>
      <c r="N69" s="51">
        <f t="shared" si="75"/>
        <v>5</v>
      </c>
      <c r="O69" s="52">
        <f t="shared" si="76"/>
        <v>25</v>
      </c>
      <c r="P69" s="53">
        <f>COUNTIFS('00 Encuesta'!$B$2:$B$511,"*d)*",'00 Encuesta'!$C$2:$C$511,"*b)*",'00 Encuesta'!$E$2:$E$511,"*a)*",'00 Encuesta'!$K$2:$K$511,"*b)*")</f>
        <v>1</v>
      </c>
      <c r="Q69" s="52">
        <f t="shared" si="77"/>
        <v>14.285714285714285</v>
      </c>
      <c r="R69" s="53">
        <f>COUNTIFS('00 Encuesta'!$B$2:$B$511,"*d)*",'00 Encuesta'!$C$2:$C$511,"*b)*",'00 Encuesta'!$E$2:$E$511,"*b)*",'00 Encuesta'!$K$2:$K$511,"*b)*")</f>
        <v>4</v>
      </c>
      <c r="S69" s="52">
        <f t="shared" si="78"/>
        <v>30.76923076923077</v>
      </c>
      <c r="T69" s="3"/>
      <c r="U69" s="51">
        <f t="shared" si="79"/>
        <v>5</v>
      </c>
      <c r="V69" s="52">
        <f t="shared" si="80"/>
        <v>25</v>
      </c>
      <c r="W69" s="53">
        <f>COUNTIFS('00 Encuesta'!$B$2:$B$511,"*d)*",'00 Encuesta'!$C$2:$C$511,"*c)*",'00 Encuesta'!$E$2:$E$511,"*a)*",'00 Encuesta'!$K$2:$K$511,"*b)*")</f>
        <v>0</v>
      </c>
      <c r="X69" s="52">
        <f t="shared" si="81"/>
        <v>0</v>
      </c>
      <c r="Y69" s="53">
        <f>COUNTIFS('00 Encuesta'!$B$2:$B$511,"*d)*",'00 Encuesta'!$C$2:$C$511,"*c)*",'00 Encuesta'!$E$2:$E$511,"*b)*",'00 Encuesta'!$K$2:$K$511,"*b)*")</f>
        <v>5</v>
      </c>
      <c r="Z69" s="52">
        <f t="shared" si="82"/>
        <v>33.333333333333329</v>
      </c>
      <c r="AA69" s="3"/>
      <c r="AB69" s="62">
        <f t="shared" si="83"/>
        <v>15</v>
      </c>
      <c r="AC69" s="52">
        <f t="shared" si="84"/>
        <v>23.80952380952381</v>
      </c>
      <c r="AD69" s="7"/>
      <c r="AE69" s="7"/>
      <c r="AF69" s="9" t="str">
        <f t="shared" si="85"/>
        <v>b) Una</v>
      </c>
      <c r="AG69" s="72">
        <f t="shared" si="86"/>
        <v>21.428571428571427</v>
      </c>
      <c r="AH69" s="72">
        <f t="shared" si="87"/>
        <v>22.222222222222221</v>
      </c>
      <c r="AI69" s="73">
        <f t="shared" si="88"/>
        <v>21.739130434782609</v>
      </c>
      <c r="AJ69" s="73"/>
      <c r="AK69" s="76">
        <f t="shared" si="89"/>
        <v>14.285714285714285</v>
      </c>
      <c r="AL69" s="76">
        <f t="shared" si="90"/>
        <v>30.76923076923077</v>
      </c>
      <c r="AM69" s="76">
        <f t="shared" si="91"/>
        <v>25</v>
      </c>
      <c r="AN69" s="76"/>
      <c r="AO69" s="81">
        <f t="shared" si="92"/>
        <v>0</v>
      </c>
      <c r="AP69" s="81">
        <f t="shared" si="93"/>
        <v>33.333333333333329</v>
      </c>
      <c r="AQ69" s="81">
        <f t="shared" si="94"/>
        <v>25</v>
      </c>
      <c r="AR69" s="7"/>
      <c r="AS69" s="76">
        <f t="shared" si="1"/>
        <v>23.80952380952381</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x14ac:dyDescent="0.3">
      <c r="A70" s="8" t="s">
        <v>20</v>
      </c>
      <c r="B70" s="9" t="s">
        <v>74</v>
      </c>
      <c r="C70" s="7"/>
      <c r="D70" s="7"/>
      <c r="E70" s="7"/>
      <c r="F70" s="71"/>
      <c r="G70" s="51">
        <f t="shared" si="95"/>
        <v>11</v>
      </c>
      <c r="H70" s="52">
        <f t="shared" si="96"/>
        <v>47.826086956521742</v>
      </c>
      <c r="I70" s="53">
        <f>COUNTIFS('00 Encuesta'!$B$2:$B$511,"*d)*",'00 Encuesta'!$C$2:$C$511,"*a)*",'00 Encuesta'!$E$2:$E$511,"*a)*",'00 Encuesta'!$K$2:$K$511,"*c)*")</f>
        <v>5</v>
      </c>
      <c r="J70" s="52">
        <f t="shared" si="73"/>
        <v>35.714285714285715</v>
      </c>
      <c r="K70" s="53">
        <f>COUNTIFS('00 Encuesta'!$B$2:$B$511,"*d)*",'00 Encuesta'!$C$2:$C$511,"*a)*",'00 Encuesta'!$E$2:$E$511,"*b)*",'00 Encuesta'!$K$2:$K$511,"*c)*")</f>
        <v>6</v>
      </c>
      <c r="L70" s="52">
        <f t="shared" si="74"/>
        <v>66.666666666666657</v>
      </c>
      <c r="M70" s="23"/>
      <c r="N70" s="51">
        <f t="shared" si="75"/>
        <v>8</v>
      </c>
      <c r="O70" s="52">
        <f t="shared" si="76"/>
        <v>40</v>
      </c>
      <c r="P70" s="53">
        <f>COUNTIFS('00 Encuesta'!$B$2:$B$511,"*d)*",'00 Encuesta'!$C$2:$C$511,"*b)*",'00 Encuesta'!$E$2:$E$511,"*a)*",'00 Encuesta'!$K$2:$K$511,"*c)*")</f>
        <v>2</v>
      </c>
      <c r="Q70" s="52">
        <f t="shared" si="77"/>
        <v>28.571428571428569</v>
      </c>
      <c r="R70" s="53">
        <f>COUNTIFS('00 Encuesta'!$B$2:$B$511,"*d)*",'00 Encuesta'!$C$2:$C$511,"*b)*",'00 Encuesta'!$E$2:$E$511,"*b)*",'00 Encuesta'!$K$2:$K$511,"*c)*")</f>
        <v>6</v>
      </c>
      <c r="S70" s="52">
        <f t="shared" si="78"/>
        <v>46.153846153846153</v>
      </c>
      <c r="T70" s="3"/>
      <c r="U70" s="51">
        <f t="shared" si="79"/>
        <v>11</v>
      </c>
      <c r="V70" s="52">
        <f t="shared" si="80"/>
        <v>55.000000000000007</v>
      </c>
      <c r="W70" s="53">
        <f>COUNTIFS('00 Encuesta'!$B$2:$B$511,"*d)*",'00 Encuesta'!$C$2:$C$511,"*c)*",'00 Encuesta'!$E$2:$E$511,"*a)*",'00 Encuesta'!$K$2:$K$511,"*c)*")</f>
        <v>2</v>
      </c>
      <c r="X70" s="52">
        <f t="shared" si="81"/>
        <v>40</v>
      </c>
      <c r="Y70" s="53">
        <f>COUNTIFS('00 Encuesta'!$B$2:$B$511,"*d)*",'00 Encuesta'!$C$2:$C$511,"*c)*",'00 Encuesta'!$E$2:$E$511,"*b)*",'00 Encuesta'!$K$2:$K$511,"*c)*")</f>
        <v>9</v>
      </c>
      <c r="Z70" s="52">
        <f t="shared" si="82"/>
        <v>60</v>
      </c>
      <c r="AA70" s="3"/>
      <c r="AB70" s="62">
        <f t="shared" si="83"/>
        <v>30</v>
      </c>
      <c r="AC70" s="52">
        <f t="shared" si="84"/>
        <v>47.61904761904762</v>
      </c>
      <c r="AD70" s="7"/>
      <c r="AE70" s="7"/>
      <c r="AF70" s="9" t="str">
        <f t="shared" si="85"/>
        <v>c) Dos</v>
      </c>
      <c r="AG70" s="72">
        <f t="shared" si="86"/>
        <v>35.714285714285715</v>
      </c>
      <c r="AH70" s="72">
        <f t="shared" si="87"/>
        <v>66.666666666666657</v>
      </c>
      <c r="AI70" s="73">
        <f t="shared" si="88"/>
        <v>47.826086956521742</v>
      </c>
      <c r="AJ70" s="73"/>
      <c r="AK70" s="76">
        <f t="shared" si="89"/>
        <v>28.571428571428569</v>
      </c>
      <c r="AL70" s="76">
        <f t="shared" si="90"/>
        <v>46.153846153846153</v>
      </c>
      <c r="AM70" s="76">
        <f t="shared" si="91"/>
        <v>40</v>
      </c>
      <c r="AN70" s="76"/>
      <c r="AO70" s="81">
        <f t="shared" si="92"/>
        <v>40</v>
      </c>
      <c r="AP70" s="81">
        <f t="shared" si="93"/>
        <v>60</v>
      </c>
      <c r="AQ70" s="81">
        <f t="shared" si="94"/>
        <v>55.000000000000007</v>
      </c>
      <c r="AR70" s="7"/>
      <c r="AS70" s="76">
        <f t="shared" si="1"/>
        <v>47.61904761904762</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x14ac:dyDescent="0.3">
      <c r="A71" s="8" t="s">
        <v>21</v>
      </c>
      <c r="B71" s="9" t="s">
        <v>75</v>
      </c>
      <c r="C71" s="7"/>
      <c r="D71" s="7"/>
      <c r="E71" s="7"/>
      <c r="F71" s="71"/>
      <c r="G71" s="51">
        <f t="shared" si="95"/>
        <v>1</v>
      </c>
      <c r="H71" s="52">
        <f t="shared" si="96"/>
        <v>4.3478260869565215</v>
      </c>
      <c r="I71" s="53">
        <f>COUNTIFS('00 Encuesta'!$B$2:$B$511,"*d)*",'00 Encuesta'!$C$2:$C$511,"*a)*",'00 Encuesta'!$E$2:$E$511,"*a)*",'00 Encuesta'!$K$2:$K$511,"*d)*")</f>
        <v>1</v>
      </c>
      <c r="J71" s="52">
        <f t="shared" si="73"/>
        <v>7.1428571428571423</v>
      </c>
      <c r="K71" s="53">
        <f>COUNTIFS('00 Encuesta'!$B$2:$B$511,"*d)*",'00 Encuesta'!$C$2:$C$511,"*a)*",'00 Encuesta'!$E$2:$E$511,"*b)*",'00 Encuesta'!$K$2:$K$511,"*d)*")</f>
        <v>0</v>
      </c>
      <c r="L71" s="52">
        <f t="shared" si="74"/>
        <v>0</v>
      </c>
      <c r="M71" s="23"/>
      <c r="N71" s="51">
        <f t="shared" si="75"/>
        <v>3</v>
      </c>
      <c r="O71" s="52">
        <f t="shared" si="76"/>
        <v>15</v>
      </c>
      <c r="P71" s="53">
        <f>COUNTIFS('00 Encuesta'!$B$2:$B$511,"*d)*",'00 Encuesta'!$C$2:$C$511,"*b)*",'00 Encuesta'!$E$2:$E$511,"*a)*",'00 Encuesta'!$K$2:$K$511,"*d)*")</f>
        <v>1</v>
      </c>
      <c r="Q71" s="52">
        <f t="shared" si="77"/>
        <v>14.285714285714285</v>
      </c>
      <c r="R71" s="53">
        <f>COUNTIFS('00 Encuesta'!$B$2:$B$511,"*d)*",'00 Encuesta'!$C$2:$C$511,"*b)*",'00 Encuesta'!$E$2:$E$511,"*b)*",'00 Encuesta'!$K$2:$K$511,"*d)*")</f>
        <v>2</v>
      </c>
      <c r="S71" s="52">
        <f t="shared" si="78"/>
        <v>15.384615384615385</v>
      </c>
      <c r="T71" s="3"/>
      <c r="U71" s="51">
        <f t="shared" si="79"/>
        <v>1</v>
      </c>
      <c r="V71" s="52">
        <f t="shared" si="80"/>
        <v>5</v>
      </c>
      <c r="W71" s="53">
        <f>COUNTIFS('00 Encuesta'!$B$2:$B$511,"*d)*",'00 Encuesta'!$C$2:$C$511,"*c)*",'00 Encuesta'!$E$2:$E$511,"*a)*",'00 Encuesta'!$K$2:$K$511,"*d)*")</f>
        <v>0</v>
      </c>
      <c r="X71" s="52">
        <f t="shared" si="81"/>
        <v>0</v>
      </c>
      <c r="Y71" s="53">
        <f>COUNTIFS('00 Encuesta'!$B$2:$B$511,"*d)*",'00 Encuesta'!$C$2:$C$511,"*c)*",'00 Encuesta'!$E$2:$E$511,"*b)*",'00 Encuesta'!$K$2:$K$511,"*d)*")</f>
        <v>1</v>
      </c>
      <c r="Z71" s="52">
        <f t="shared" si="82"/>
        <v>6.666666666666667</v>
      </c>
      <c r="AA71" s="3"/>
      <c r="AB71" s="62">
        <f t="shared" si="83"/>
        <v>5</v>
      </c>
      <c r="AC71" s="52">
        <f t="shared" si="84"/>
        <v>7.9365079365079367</v>
      </c>
      <c r="AD71" s="7"/>
      <c r="AE71" s="7"/>
      <c r="AF71" s="9" t="str">
        <f t="shared" si="85"/>
        <v>d) Tres</v>
      </c>
      <c r="AG71" s="72">
        <f t="shared" si="86"/>
        <v>7.1428571428571423</v>
      </c>
      <c r="AH71" s="72">
        <f t="shared" si="87"/>
        <v>0</v>
      </c>
      <c r="AI71" s="73">
        <f t="shared" si="88"/>
        <v>4.3478260869565215</v>
      </c>
      <c r="AJ71" s="73"/>
      <c r="AK71" s="76">
        <f t="shared" si="89"/>
        <v>14.285714285714285</v>
      </c>
      <c r="AL71" s="76">
        <f t="shared" si="90"/>
        <v>15.384615384615385</v>
      </c>
      <c r="AM71" s="76">
        <f t="shared" si="91"/>
        <v>15</v>
      </c>
      <c r="AN71" s="76"/>
      <c r="AO71" s="81">
        <f t="shared" si="92"/>
        <v>0</v>
      </c>
      <c r="AP71" s="81">
        <f t="shared" si="93"/>
        <v>6.666666666666667</v>
      </c>
      <c r="AQ71" s="81">
        <f t="shared" si="94"/>
        <v>5</v>
      </c>
      <c r="AR71" s="7"/>
      <c r="AS71" s="76">
        <f t="shared" si="1"/>
        <v>7.9365079365079367</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x14ac:dyDescent="0.3">
      <c r="A72" s="8" t="s">
        <v>22</v>
      </c>
      <c r="B72" s="9" t="s">
        <v>76</v>
      </c>
      <c r="C72" s="7"/>
      <c r="D72" s="7"/>
      <c r="E72" s="7"/>
      <c r="F72" s="71"/>
      <c r="G72" s="51">
        <f t="shared" si="95"/>
        <v>2</v>
      </c>
      <c r="H72" s="52">
        <f t="shared" si="96"/>
        <v>8.695652173913043</v>
      </c>
      <c r="I72" s="53">
        <f>COUNTIFS('00 Encuesta'!$B$2:$B$511,"*d)*",'00 Encuesta'!$C$2:$C$511,"*a)*",'00 Encuesta'!$E$2:$E$511,"*a)*",'00 Encuesta'!$K$2:$K$511,"*e)*")</f>
        <v>1</v>
      </c>
      <c r="J72" s="52">
        <f t="shared" si="73"/>
        <v>7.1428571428571423</v>
      </c>
      <c r="K72" s="53">
        <f>COUNTIFS('00 Encuesta'!$B$2:$B$511,"*d)*",'00 Encuesta'!$C$2:$C$511,"*a)*",'00 Encuesta'!$E$2:$E$511,"*b)*",'00 Encuesta'!$K$2:$K$511,"*e)*")</f>
        <v>1</v>
      </c>
      <c r="L72" s="52">
        <f t="shared" si="74"/>
        <v>11.111111111111111</v>
      </c>
      <c r="M72" s="23"/>
      <c r="N72" s="51">
        <f t="shared" si="75"/>
        <v>1</v>
      </c>
      <c r="O72" s="52">
        <f t="shared" si="76"/>
        <v>5</v>
      </c>
      <c r="P72" s="53">
        <f>COUNTIFS('00 Encuesta'!$B$2:$B$511,"*d)*",'00 Encuesta'!$C$2:$C$511,"*b)*",'00 Encuesta'!$E$2:$E$511,"*a)*",'00 Encuesta'!$K$2:$K$511,"*e)*")</f>
        <v>1</v>
      </c>
      <c r="Q72" s="52">
        <f t="shared" si="77"/>
        <v>14.285714285714285</v>
      </c>
      <c r="R72" s="53">
        <f>COUNTIFS('00 Encuesta'!$B$2:$B$511,"*d)*",'00 Encuesta'!$C$2:$C$511,"*b)*",'00 Encuesta'!$E$2:$E$511,"*b)*",'00 Encuesta'!$K$2:$K$511,"*e)*")</f>
        <v>0</v>
      </c>
      <c r="S72" s="52">
        <f t="shared" si="78"/>
        <v>0</v>
      </c>
      <c r="T72" s="3"/>
      <c r="U72" s="51">
        <f t="shared" si="79"/>
        <v>1</v>
      </c>
      <c r="V72" s="52">
        <f t="shared" si="80"/>
        <v>5</v>
      </c>
      <c r="W72" s="53">
        <f>COUNTIFS('00 Encuesta'!$B$2:$B$511,"*d)*",'00 Encuesta'!$C$2:$C$511,"*c)*",'00 Encuesta'!$E$2:$E$511,"*a)*",'00 Encuesta'!$K$2:$K$511,"*e)*")</f>
        <v>1</v>
      </c>
      <c r="X72" s="52">
        <f t="shared" si="81"/>
        <v>20</v>
      </c>
      <c r="Y72" s="53">
        <f>COUNTIFS('00 Encuesta'!$B$2:$B$511,"*d)*",'00 Encuesta'!$C$2:$C$511,"*c)*",'00 Encuesta'!$E$2:$E$511,"*b)*",'00 Encuesta'!$K$2:$K$511,"*e)*")</f>
        <v>0</v>
      </c>
      <c r="Z72" s="52">
        <f t="shared" si="82"/>
        <v>0</v>
      </c>
      <c r="AA72" s="3"/>
      <c r="AB72" s="62">
        <f t="shared" si="83"/>
        <v>4</v>
      </c>
      <c r="AC72" s="52">
        <f t="shared" si="84"/>
        <v>6.3492063492063489</v>
      </c>
      <c r="AD72" s="7"/>
      <c r="AE72" s="7"/>
      <c r="AF72" s="9" t="str">
        <f t="shared" si="85"/>
        <v>e) Cuatro</v>
      </c>
      <c r="AG72" s="72">
        <f t="shared" si="86"/>
        <v>7.1428571428571423</v>
      </c>
      <c r="AH72" s="72">
        <f t="shared" si="87"/>
        <v>11.111111111111111</v>
      </c>
      <c r="AI72" s="73">
        <f t="shared" si="88"/>
        <v>8.695652173913043</v>
      </c>
      <c r="AJ72" s="73"/>
      <c r="AK72" s="76">
        <f t="shared" si="89"/>
        <v>14.285714285714285</v>
      </c>
      <c r="AL72" s="76">
        <f t="shared" si="90"/>
        <v>0</v>
      </c>
      <c r="AM72" s="76">
        <f t="shared" si="91"/>
        <v>5</v>
      </c>
      <c r="AN72" s="76"/>
      <c r="AO72" s="81">
        <f t="shared" si="92"/>
        <v>20</v>
      </c>
      <c r="AP72" s="81">
        <f t="shared" si="93"/>
        <v>0</v>
      </c>
      <c r="AQ72" s="81">
        <f t="shared" si="94"/>
        <v>5</v>
      </c>
      <c r="AR72" s="7"/>
      <c r="AS72" s="76">
        <f t="shared" si="1"/>
        <v>6.3492063492063489</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3</v>
      </c>
      <c r="H73" s="52">
        <f t="shared" si="96"/>
        <v>13.043478260869565</v>
      </c>
      <c r="I73" s="53">
        <f>COUNTIFS('00 Encuesta'!$B$2:$B$511,"*d)*",'00 Encuesta'!$C$2:$C$511,"*a)*",'00 Encuesta'!$E$2:$E$511,"*a)*",'00 Encuesta'!$K$2:$K$511,"*f)*")</f>
        <v>3</v>
      </c>
      <c r="J73" s="52">
        <f t="shared" si="73"/>
        <v>21.428571428571427</v>
      </c>
      <c r="K73" s="53">
        <f>COUNTIFS('00 Encuesta'!$B$2:$B$511,"*d)*",'00 Encuesta'!$C$2:$C$511,"*a)*",'00 Encuesta'!$E$2:$E$511,"*b)*",'00 Encuesta'!$K$2:$K$511,"*f)*")</f>
        <v>0</v>
      </c>
      <c r="L73" s="52">
        <f t="shared" si="74"/>
        <v>0</v>
      </c>
      <c r="M73" s="23"/>
      <c r="N73" s="51">
        <f t="shared" si="75"/>
        <v>2</v>
      </c>
      <c r="O73" s="52">
        <f t="shared" si="76"/>
        <v>10</v>
      </c>
      <c r="P73" s="53">
        <f>COUNTIFS('00 Encuesta'!$B$2:$B$511,"*d)*",'00 Encuesta'!$C$2:$C$511,"*b)*",'00 Encuesta'!$E$2:$E$511,"*a)*",'00 Encuesta'!$K$2:$K$511,"*f)*")</f>
        <v>1</v>
      </c>
      <c r="Q73" s="52">
        <f t="shared" si="77"/>
        <v>14.285714285714285</v>
      </c>
      <c r="R73" s="53">
        <f>COUNTIFS('00 Encuesta'!$B$2:$B$511,"*d)*",'00 Encuesta'!$C$2:$C$511,"*b)*",'00 Encuesta'!$E$2:$E$511,"*b)*",'00 Encuesta'!$K$2:$K$511,"*f)*")</f>
        <v>1</v>
      </c>
      <c r="S73" s="52">
        <f t="shared" si="78"/>
        <v>7.6923076923076925</v>
      </c>
      <c r="T73" s="3"/>
      <c r="U73" s="51">
        <f t="shared" si="79"/>
        <v>0</v>
      </c>
      <c r="V73" s="52">
        <f t="shared" si="80"/>
        <v>0</v>
      </c>
      <c r="W73" s="53">
        <f>COUNTIFS('00 Encuesta'!$B$2:$B$511,"*d)*",'00 Encuesta'!$C$2:$C$511,"*c)*",'00 Encuesta'!$E$2:$E$511,"*a)*",'00 Encuesta'!$K$2:$K$511,"*f)*")</f>
        <v>0</v>
      </c>
      <c r="X73" s="52">
        <f t="shared" si="81"/>
        <v>0</v>
      </c>
      <c r="Y73" s="53">
        <f>COUNTIFS('00 Encuesta'!$B$2:$B$511,"*d)*",'00 Encuesta'!$C$2:$C$511,"*c)*",'00 Encuesta'!$E$2:$E$511,"*b)*",'00 Encuesta'!$K$2:$K$511,"*f)*")</f>
        <v>0</v>
      </c>
      <c r="Z73" s="52">
        <f t="shared" si="82"/>
        <v>0</v>
      </c>
      <c r="AA73" s="3"/>
      <c r="AB73" s="62">
        <f t="shared" si="83"/>
        <v>5</v>
      </c>
      <c r="AC73" s="52">
        <f t="shared" si="84"/>
        <v>7.9365079365079367</v>
      </c>
      <c r="AD73" s="7"/>
      <c r="AE73" s="7"/>
      <c r="AF73" s="9" t="str">
        <f t="shared" si="85"/>
        <v>f) Más de cuatro</v>
      </c>
      <c r="AG73" s="72">
        <f t="shared" si="86"/>
        <v>21.428571428571427</v>
      </c>
      <c r="AH73" s="72">
        <f t="shared" si="87"/>
        <v>0</v>
      </c>
      <c r="AI73" s="73">
        <f t="shared" si="88"/>
        <v>13.043478260869565</v>
      </c>
      <c r="AJ73" s="73"/>
      <c r="AK73" s="76">
        <f t="shared" si="89"/>
        <v>14.285714285714285</v>
      </c>
      <c r="AL73" s="76">
        <f t="shared" si="90"/>
        <v>7.6923076923076925</v>
      </c>
      <c r="AM73" s="76">
        <f t="shared" si="91"/>
        <v>10</v>
      </c>
      <c r="AN73" s="76"/>
      <c r="AO73" s="81">
        <f t="shared" si="92"/>
        <v>0</v>
      </c>
      <c r="AP73" s="81">
        <f t="shared" si="93"/>
        <v>0</v>
      </c>
      <c r="AQ73" s="81">
        <f t="shared" si="94"/>
        <v>0</v>
      </c>
      <c r="AR73" s="7"/>
      <c r="AS73" s="76">
        <f t="shared" si="1"/>
        <v>7.9365079365079367</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x14ac:dyDescent="0.3">
      <c r="A74" s="8" t="s">
        <v>23</v>
      </c>
      <c r="B74" s="9" t="s">
        <v>24</v>
      </c>
      <c r="C74" s="7"/>
      <c r="D74" s="7"/>
      <c r="E74" s="7"/>
      <c r="F74" s="71"/>
      <c r="G74" s="51">
        <f t="shared" si="95"/>
        <v>0</v>
      </c>
      <c r="H74" s="52">
        <f t="shared" si="96"/>
        <v>0</v>
      </c>
      <c r="I74" s="53"/>
      <c r="J74" s="52">
        <f t="shared" si="73"/>
        <v>0</v>
      </c>
      <c r="K74" s="53"/>
      <c r="L74" s="52">
        <f t="shared" si="74"/>
        <v>0</v>
      </c>
      <c r="M74" s="23"/>
      <c r="N74" s="51">
        <f t="shared" si="75"/>
        <v>0</v>
      </c>
      <c r="O74" s="52">
        <f t="shared" si="76"/>
        <v>0</v>
      </c>
      <c r="P74" s="53"/>
      <c r="Q74" s="52">
        <f t="shared" si="77"/>
        <v>0</v>
      </c>
      <c r="R74" s="53"/>
      <c r="S74" s="52">
        <f t="shared" si="78"/>
        <v>0</v>
      </c>
      <c r="T74" s="3"/>
      <c r="U74" s="51">
        <f t="shared" si="79"/>
        <v>0</v>
      </c>
      <c r="V74" s="52">
        <f t="shared" si="80"/>
        <v>0</v>
      </c>
      <c r="W74" s="53"/>
      <c r="X74" s="52">
        <f t="shared" si="81"/>
        <v>0</v>
      </c>
      <c r="Y74" s="53"/>
      <c r="Z74" s="52">
        <f t="shared" si="82"/>
        <v>0</v>
      </c>
      <c r="AA74" s="3"/>
      <c r="AB74" s="62">
        <f t="shared" si="83"/>
        <v>0</v>
      </c>
      <c r="AC74" s="52">
        <f t="shared" si="84"/>
        <v>0</v>
      </c>
      <c r="AD74" s="7"/>
      <c r="AE74" s="7"/>
      <c r="AF74" s="9" t="str">
        <f t="shared" si="85"/>
        <v>S/R Sin Respuesta</v>
      </c>
      <c r="AG74" s="72">
        <f t="shared" si="86"/>
        <v>0</v>
      </c>
      <c r="AH74" s="72">
        <f t="shared" si="87"/>
        <v>0</v>
      </c>
      <c r="AI74" s="73">
        <f t="shared" si="88"/>
        <v>0</v>
      </c>
      <c r="AJ74" s="73"/>
      <c r="AK74" s="76">
        <f t="shared" si="89"/>
        <v>0</v>
      </c>
      <c r="AL74" s="76">
        <f t="shared" si="90"/>
        <v>0</v>
      </c>
      <c r="AM74" s="76">
        <f t="shared" si="91"/>
        <v>0</v>
      </c>
      <c r="AN74" s="76"/>
      <c r="AO74" s="81">
        <f t="shared" si="92"/>
        <v>0</v>
      </c>
      <c r="AP74" s="81">
        <f t="shared" si="93"/>
        <v>0</v>
      </c>
      <c r="AQ74" s="81">
        <f t="shared" si="94"/>
        <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x14ac:dyDescent="0.3">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x14ac:dyDescent="0.3">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x14ac:dyDescent="0.3">
      <c r="A78" s="8" t="s">
        <v>17</v>
      </c>
      <c r="B78" s="9" t="s">
        <v>80</v>
      </c>
      <c r="C78" s="7"/>
      <c r="D78" s="7"/>
      <c r="E78" s="7"/>
      <c r="F78" s="71"/>
      <c r="G78" s="51">
        <f t="shared" ref="G78:G88" si="97">I78+K78</f>
        <v>17</v>
      </c>
      <c r="H78" s="52">
        <f t="shared" ref="H78:H88" si="98">G78/$J$5*100</f>
        <v>73.91304347826086</v>
      </c>
      <c r="I78" s="53">
        <f>COUNTIFS('00 Encuesta'!$B$2:$B$511,"*d)*",'00 Encuesta'!$C$2:$C$511,"*a)*",'00 Encuesta'!$E$2:$E$511,"*a)*",'00 Encuesta'!$L$2:$L$511,"*a)*")</f>
        <v>10</v>
      </c>
      <c r="J78" s="52">
        <f t="shared" ref="J78:J88" si="99">I78/$J$6*100</f>
        <v>71.428571428571431</v>
      </c>
      <c r="K78" s="53">
        <f>COUNTIFS('00 Encuesta'!$B$2:$B$511,"*d)*",'00 Encuesta'!$C$2:$C$511,"*a)*",'00 Encuesta'!$E$2:$E$511,"*b)*",'00 Encuesta'!$L$2:$L$511,"*a)*")</f>
        <v>7</v>
      </c>
      <c r="L78" s="52">
        <f t="shared" ref="L78:L88" si="100">K78/$J$7*100</f>
        <v>77.777777777777786</v>
      </c>
      <c r="M78" s="23"/>
      <c r="N78" s="51">
        <f t="shared" ref="N78:N88" si="101">P78+R78</f>
        <v>12</v>
      </c>
      <c r="O78" s="52">
        <f t="shared" ref="O78:O88" si="102">N78/$Q$5*100</f>
        <v>60</v>
      </c>
      <c r="P78" s="53">
        <f>COUNTIFS('00 Encuesta'!$B$2:$B$511,"*d)*",'00 Encuesta'!$C$2:$C$511,"*b)*",'00 Encuesta'!$E$2:$E$511,"*a)*",'00 Encuesta'!$L$2:$L$511,"*a)*")</f>
        <v>4</v>
      </c>
      <c r="Q78" s="52">
        <f t="shared" ref="Q78:Q88" si="103">P78/$Q$6*100</f>
        <v>57.142857142857139</v>
      </c>
      <c r="R78" s="53">
        <f>COUNTIFS('00 Encuesta'!$B$2:$B$511,"*d)*",'00 Encuesta'!$C$2:$C$511,"*b)*",'00 Encuesta'!$E$2:$E$511,"*b)*",'00 Encuesta'!$L$2:$L$511,"*a)*")</f>
        <v>8</v>
      </c>
      <c r="S78" s="52">
        <f t="shared" ref="S78:S88" si="104">R78/$Q$7*100</f>
        <v>61.53846153846154</v>
      </c>
      <c r="T78" s="3"/>
      <c r="U78" s="51">
        <f t="shared" ref="U78:U88" si="105">W78+Y78</f>
        <v>15</v>
      </c>
      <c r="V78" s="52">
        <f t="shared" ref="V78:V88" si="106">U78/$X$5*100</f>
        <v>75</v>
      </c>
      <c r="W78" s="53">
        <f>COUNTIFS('00 Encuesta'!$B$2:$B$511,"*d)*",'00 Encuesta'!$C$2:$C$511,"*c)*",'00 Encuesta'!$E$2:$E$511,"*a)*",'00 Encuesta'!$L$2:$L$511,"*a)*")</f>
        <v>4</v>
      </c>
      <c r="X78" s="52">
        <f>W78/$X$6*100</f>
        <v>80</v>
      </c>
      <c r="Y78" s="53">
        <f>COUNTIFS('00 Encuesta'!$B$2:$B$511,"*d)*",'00 Encuesta'!$C$2:$C$511,"*c)*",'00 Encuesta'!$E$2:$E$511,"*b)*",'00 Encuesta'!$L$2:$L$511,"*a)*")</f>
        <v>11</v>
      </c>
      <c r="Z78" s="52">
        <f t="shared" ref="Z78:Z88" si="107">Y78/$X$7*100</f>
        <v>73.333333333333329</v>
      </c>
      <c r="AA78" s="3"/>
      <c r="AB78" s="62">
        <f t="shared" ref="AB78:AB88" si="108">G78+N78+U78</f>
        <v>44</v>
      </c>
      <c r="AC78" s="52">
        <f t="shared" ref="AC78:AC88" si="109">AB78*100/$AC$5</f>
        <v>69.841269841269835</v>
      </c>
      <c r="AD78" s="7"/>
      <c r="AE78" s="7"/>
      <c r="AF78" s="9" t="str">
        <f t="shared" ref="AF78:AF89" si="110">A78&amp;" "&amp;B78</f>
        <v>a) La familia</v>
      </c>
      <c r="AG78" s="72">
        <f t="shared" ref="AG78:AG89" si="111">J78</f>
        <v>71.428571428571431</v>
      </c>
      <c r="AH78" s="72">
        <f t="shared" ref="AH78:AH89" si="112">L78</f>
        <v>77.777777777777786</v>
      </c>
      <c r="AI78" s="73">
        <f t="shared" ref="AI78:AI89" si="113">H78</f>
        <v>73.91304347826086</v>
      </c>
      <c r="AJ78" s="73"/>
      <c r="AK78" s="76">
        <f t="shared" ref="AK78:AK89" si="114">Q78</f>
        <v>57.142857142857139</v>
      </c>
      <c r="AL78" s="76">
        <f t="shared" ref="AL78:AL89" si="115">S78</f>
        <v>61.53846153846154</v>
      </c>
      <c r="AM78" s="76">
        <f t="shared" ref="AM78:AM89" si="116">O78</f>
        <v>60</v>
      </c>
      <c r="AN78" s="76"/>
      <c r="AO78" s="81">
        <f>X78</f>
        <v>80</v>
      </c>
      <c r="AP78" s="81">
        <f t="shared" ref="AP78:AP89" si="117">Z78</f>
        <v>73.333333333333329</v>
      </c>
      <c r="AQ78" s="81">
        <f t="shared" ref="AQ78:AQ89" si="118">V78</f>
        <v>75</v>
      </c>
      <c r="AR78" s="7"/>
      <c r="AS78" s="76">
        <f t="shared" si="1"/>
        <v>69.841269841269835</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x14ac:dyDescent="0.3">
      <c r="A79" s="8" t="s">
        <v>18</v>
      </c>
      <c r="B79" s="9" t="s">
        <v>81</v>
      </c>
      <c r="C79" s="7"/>
      <c r="D79" s="7"/>
      <c r="E79" s="7"/>
      <c r="F79" s="71"/>
      <c r="G79" s="51">
        <f t="shared" si="97"/>
        <v>10</v>
      </c>
      <c r="H79" s="52">
        <f t="shared" si="98"/>
        <v>43.478260869565219</v>
      </c>
      <c r="I79" s="53">
        <f>COUNTIFS('00 Encuesta'!$B$2:$B$511,"*d)*",'00 Encuesta'!$C$2:$C$511,"*a)*",'00 Encuesta'!$E$2:$E$511,"*a)*",'00 Encuesta'!$L$2:$L$511,"*b)*")</f>
        <v>6</v>
      </c>
      <c r="J79" s="52">
        <f t="shared" si="99"/>
        <v>42.857142857142854</v>
      </c>
      <c r="K79" s="53">
        <f>COUNTIFS('00 Encuesta'!$B$2:$B$511,"*d)*",'00 Encuesta'!$C$2:$C$511,"*a)*",'00 Encuesta'!$E$2:$E$511,"*b)*",'00 Encuesta'!$L$2:$L$511,"*b)*")</f>
        <v>4</v>
      </c>
      <c r="L79" s="52">
        <f t="shared" si="100"/>
        <v>44.444444444444443</v>
      </c>
      <c r="M79" s="23"/>
      <c r="N79" s="51">
        <f t="shared" si="101"/>
        <v>5</v>
      </c>
      <c r="O79" s="52">
        <f t="shared" si="102"/>
        <v>25</v>
      </c>
      <c r="P79" s="53">
        <f>COUNTIFS('00 Encuesta'!$B$2:$B$511,"*d)*",'00 Encuesta'!$C$2:$C$511,"*b)*",'00 Encuesta'!$E$2:$E$511,"*a)*",'00 Encuesta'!$L$2:$L$511,"*b)*")</f>
        <v>1</v>
      </c>
      <c r="Q79" s="52">
        <f t="shared" si="103"/>
        <v>14.285714285714285</v>
      </c>
      <c r="R79" s="53">
        <f>COUNTIFS('00 Encuesta'!$B$2:$B$511,"*d)*",'00 Encuesta'!$C$2:$C$511,"*b)*",'00 Encuesta'!$E$2:$E$511,"*b)*",'00 Encuesta'!$L$2:$L$511,"*b)*")</f>
        <v>4</v>
      </c>
      <c r="S79" s="52">
        <f t="shared" si="104"/>
        <v>30.76923076923077</v>
      </c>
      <c r="T79" s="3"/>
      <c r="U79" s="51">
        <f t="shared" si="105"/>
        <v>10</v>
      </c>
      <c r="V79" s="52">
        <f t="shared" si="106"/>
        <v>50</v>
      </c>
      <c r="W79" s="53">
        <f>COUNTIFS('00 Encuesta'!$B$2:$B$511,"*d)*",'00 Encuesta'!$C$2:$C$511,"*c)*",'00 Encuesta'!$E$2:$E$511,"*a)*",'00 Encuesta'!$L$2:$L$511,"*b)*")</f>
        <v>2</v>
      </c>
      <c r="X79" s="52">
        <f t="shared" ref="X79:X88" si="119">W79/$X$6*100</f>
        <v>40</v>
      </c>
      <c r="Y79" s="53">
        <f>COUNTIFS('00 Encuesta'!$B$2:$B$511,"*d)*",'00 Encuesta'!$C$2:$C$511,"*c)*",'00 Encuesta'!$E$2:$E$511,"*b)*",'00 Encuesta'!$L$2:$L$511,"*b)*")</f>
        <v>8</v>
      </c>
      <c r="Z79" s="52">
        <f t="shared" si="107"/>
        <v>53.333333333333336</v>
      </c>
      <c r="AA79" s="3"/>
      <c r="AB79" s="62">
        <f t="shared" si="108"/>
        <v>25</v>
      </c>
      <c r="AC79" s="52">
        <f t="shared" si="109"/>
        <v>39.682539682539684</v>
      </c>
      <c r="AD79" s="7"/>
      <c r="AE79" s="7"/>
      <c r="AF79" s="9" t="str">
        <f t="shared" si="110"/>
        <v>b) Los amigos</v>
      </c>
      <c r="AG79" s="72">
        <f t="shared" si="111"/>
        <v>42.857142857142854</v>
      </c>
      <c r="AH79" s="72">
        <f t="shared" si="112"/>
        <v>44.444444444444443</v>
      </c>
      <c r="AI79" s="73">
        <f t="shared" si="113"/>
        <v>43.478260869565219</v>
      </c>
      <c r="AJ79" s="73"/>
      <c r="AK79" s="76">
        <f t="shared" si="114"/>
        <v>14.285714285714285</v>
      </c>
      <c r="AL79" s="76">
        <f t="shared" si="115"/>
        <v>30.76923076923077</v>
      </c>
      <c r="AM79" s="76">
        <f t="shared" si="116"/>
        <v>25</v>
      </c>
      <c r="AN79" s="76"/>
      <c r="AO79" s="81">
        <f t="shared" ref="AO79:AO89" si="120">X79</f>
        <v>40</v>
      </c>
      <c r="AP79" s="81">
        <f t="shared" si="117"/>
        <v>53.333333333333336</v>
      </c>
      <c r="AQ79" s="81">
        <f t="shared" si="118"/>
        <v>50</v>
      </c>
      <c r="AR79" s="7"/>
      <c r="AS79" s="76">
        <f t="shared" si="1"/>
        <v>39.682539682539684</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x14ac:dyDescent="0.3">
      <c r="A80" s="8" t="s">
        <v>20</v>
      </c>
      <c r="B80" s="9" t="s">
        <v>82</v>
      </c>
      <c r="C80" s="7"/>
      <c r="D80" s="7"/>
      <c r="E80" s="7"/>
      <c r="F80" s="71"/>
      <c r="G80" s="51">
        <f t="shared" si="97"/>
        <v>10</v>
      </c>
      <c r="H80" s="52">
        <f t="shared" si="98"/>
        <v>43.478260869565219</v>
      </c>
      <c r="I80" s="53">
        <f>COUNTIFS('00 Encuesta'!$B$2:$B$511,"*d)*",'00 Encuesta'!$C$2:$C$511,"*a)*",'00 Encuesta'!$E$2:$E$511,"*a)*",'00 Encuesta'!$L$2:$L$511,"*c)*")</f>
        <v>5</v>
      </c>
      <c r="J80" s="52">
        <f t="shared" si="99"/>
        <v>35.714285714285715</v>
      </c>
      <c r="K80" s="53">
        <f>COUNTIFS('00 Encuesta'!$B$2:$B$511,"*d)*",'00 Encuesta'!$C$2:$C$511,"*a)*",'00 Encuesta'!$E$2:$E$511,"*b)*",'00 Encuesta'!$L$2:$L$511,"*c)*")</f>
        <v>5</v>
      </c>
      <c r="L80" s="52">
        <f t="shared" si="100"/>
        <v>55.555555555555557</v>
      </c>
      <c r="M80" s="23"/>
      <c r="N80" s="51">
        <f t="shared" si="101"/>
        <v>6</v>
      </c>
      <c r="O80" s="52">
        <f t="shared" si="102"/>
        <v>30</v>
      </c>
      <c r="P80" s="53">
        <f>COUNTIFS('00 Encuesta'!$B$2:$B$511,"*d)*",'00 Encuesta'!$C$2:$C$511,"*b)*",'00 Encuesta'!$E$2:$E$511,"*a)*",'00 Encuesta'!$L$2:$L$511,"*c)*")</f>
        <v>0</v>
      </c>
      <c r="Q80" s="52">
        <f t="shared" si="103"/>
        <v>0</v>
      </c>
      <c r="R80" s="53">
        <f>COUNTIFS('00 Encuesta'!$B$2:$B$511,"*d)*",'00 Encuesta'!$C$2:$C$511,"*b)*",'00 Encuesta'!$E$2:$E$511,"*b)*",'00 Encuesta'!$L$2:$L$511,"*c)*")</f>
        <v>6</v>
      </c>
      <c r="S80" s="52">
        <f t="shared" si="104"/>
        <v>46.153846153846153</v>
      </c>
      <c r="T80" s="3"/>
      <c r="U80" s="51">
        <f t="shared" si="105"/>
        <v>3</v>
      </c>
      <c r="V80" s="52">
        <f t="shared" si="106"/>
        <v>15</v>
      </c>
      <c r="W80" s="53">
        <f>COUNTIFS('00 Encuesta'!$B$2:$B$511,"*d)*",'00 Encuesta'!$C$2:$C$511,"*c)*",'00 Encuesta'!$E$2:$E$511,"*a)*",'00 Encuesta'!$L$2:$L$511,"*c)*")</f>
        <v>0</v>
      </c>
      <c r="X80" s="52">
        <f t="shared" si="119"/>
        <v>0</v>
      </c>
      <c r="Y80" s="53">
        <f>COUNTIFS('00 Encuesta'!$B$2:$B$511,"*d)*",'00 Encuesta'!$C$2:$C$511,"*c)*",'00 Encuesta'!$E$2:$E$511,"*b)*",'00 Encuesta'!$L$2:$L$511,"*c)*")</f>
        <v>3</v>
      </c>
      <c r="Z80" s="52">
        <f t="shared" si="107"/>
        <v>20</v>
      </c>
      <c r="AA80" s="3"/>
      <c r="AB80" s="62">
        <f t="shared" si="108"/>
        <v>19</v>
      </c>
      <c r="AC80" s="52">
        <f t="shared" si="109"/>
        <v>30.158730158730158</v>
      </c>
      <c r="AD80" s="7"/>
      <c r="AE80" s="7"/>
      <c r="AF80" s="9" t="str">
        <f t="shared" si="110"/>
        <v>c) Los estudios</v>
      </c>
      <c r="AG80" s="72">
        <f t="shared" si="111"/>
        <v>35.714285714285715</v>
      </c>
      <c r="AH80" s="72">
        <f t="shared" si="112"/>
        <v>55.555555555555557</v>
      </c>
      <c r="AI80" s="73">
        <f t="shared" si="113"/>
        <v>43.478260869565219</v>
      </c>
      <c r="AJ80" s="73"/>
      <c r="AK80" s="76">
        <f t="shared" si="114"/>
        <v>0</v>
      </c>
      <c r="AL80" s="76">
        <f t="shared" si="115"/>
        <v>46.153846153846153</v>
      </c>
      <c r="AM80" s="76">
        <f t="shared" si="116"/>
        <v>30</v>
      </c>
      <c r="AN80" s="76"/>
      <c r="AO80" s="81">
        <f t="shared" si="120"/>
        <v>0</v>
      </c>
      <c r="AP80" s="81">
        <f t="shared" si="117"/>
        <v>20</v>
      </c>
      <c r="AQ80" s="81">
        <f t="shared" si="118"/>
        <v>15</v>
      </c>
      <c r="AR80" s="7"/>
      <c r="AS80" s="76">
        <f t="shared" ref="AS80:AS141" si="121">AC80</f>
        <v>30.158730158730158</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x14ac:dyDescent="0.3">
      <c r="A81" s="8" t="s">
        <v>21</v>
      </c>
      <c r="B81" s="9" t="s">
        <v>83</v>
      </c>
      <c r="C81" s="7"/>
      <c r="D81" s="7"/>
      <c r="E81" s="7"/>
      <c r="F81" s="71"/>
      <c r="G81" s="51">
        <f t="shared" si="97"/>
        <v>0</v>
      </c>
      <c r="H81" s="52">
        <f t="shared" si="98"/>
        <v>0</v>
      </c>
      <c r="I81" s="53">
        <f>COUNTIFS('00 Encuesta'!$B$2:$B$511,"*d)*",'00 Encuesta'!$C$2:$C$511,"*a)*",'00 Encuesta'!$E$2:$E$511,"*a)*",'00 Encuesta'!$L$2:$L$511,"*d)*")</f>
        <v>0</v>
      </c>
      <c r="J81" s="52">
        <f t="shared" si="99"/>
        <v>0</v>
      </c>
      <c r="K81" s="53">
        <f>COUNTIFS('00 Encuesta'!$B$2:$B$511,"*d)*",'00 Encuesta'!$C$2:$C$511,"*a)*",'00 Encuesta'!$E$2:$E$511,"*b)*",'00 Encuesta'!$L$2:$L$511,"*d)*")</f>
        <v>0</v>
      </c>
      <c r="L81" s="52">
        <f t="shared" si="100"/>
        <v>0</v>
      </c>
      <c r="M81" s="23"/>
      <c r="N81" s="51">
        <f t="shared" si="101"/>
        <v>1</v>
      </c>
      <c r="O81" s="52">
        <f t="shared" si="102"/>
        <v>5</v>
      </c>
      <c r="P81" s="53">
        <f>COUNTIFS('00 Encuesta'!$B$2:$B$511,"*d)*",'00 Encuesta'!$C$2:$C$511,"*b)*",'00 Encuesta'!$E$2:$E$511,"*a)*",'00 Encuesta'!$L$2:$L$511,"*d)*")</f>
        <v>1</v>
      </c>
      <c r="Q81" s="52">
        <f t="shared" si="103"/>
        <v>14.285714285714285</v>
      </c>
      <c r="R81" s="53">
        <f>COUNTIFS('00 Encuesta'!$B$2:$B$511,"*d)*",'00 Encuesta'!$C$2:$C$511,"*b)*",'00 Encuesta'!$E$2:$E$511,"*b)*",'00 Encuesta'!$L$2:$L$511,"*d)*")</f>
        <v>0</v>
      </c>
      <c r="S81" s="52">
        <f t="shared" si="104"/>
        <v>0</v>
      </c>
      <c r="T81" s="3"/>
      <c r="U81" s="51">
        <f t="shared" si="105"/>
        <v>1</v>
      </c>
      <c r="V81" s="52">
        <f t="shared" si="106"/>
        <v>5</v>
      </c>
      <c r="W81" s="53">
        <f>COUNTIFS('00 Encuesta'!$B$2:$B$511,"*d)*",'00 Encuesta'!$C$2:$C$511,"*c)*",'00 Encuesta'!$E$2:$E$511,"*a)*",'00 Encuesta'!$L$2:$L$511,"*d)*")</f>
        <v>0</v>
      </c>
      <c r="X81" s="52">
        <f t="shared" si="119"/>
        <v>0</v>
      </c>
      <c r="Y81" s="53">
        <f>COUNTIFS('00 Encuesta'!$B$2:$B$511,"*d)*",'00 Encuesta'!$C$2:$C$511,"*c)*",'00 Encuesta'!$E$2:$E$511,"*b)*",'00 Encuesta'!$L$2:$L$511,"*d)*")</f>
        <v>1</v>
      </c>
      <c r="Z81" s="52">
        <f t="shared" si="107"/>
        <v>6.666666666666667</v>
      </c>
      <c r="AA81" s="3"/>
      <c r="AB81" s="62">
        <f t="shared" si="108"/>
        <v>2</v>
      </c>
      <c r="AC81" s="52">
        <f t="shared" si="109"/>
        <v>3.1746031746031744</v>
      </c>
      <c r="AD81" s="7"/>
      <c r="AE81" s="7"/>
      <c r="AF81" s="9" t="str">
        <f t="shared" si="110"/>
        <v>d) El cuidado de mi cuerpo</v>
      </c>
      <c r="AG81" s="72">
        <f t="shared" si="111"/>
        <v>0</v>
      </c>
      <c r="AH81" s="72">
        <f t="shared" si="112"/>
        <v>0</v>
      </c>
      <c r="AI81" s="73">
        <f t="shared" si="113"/>
        <v>0</v>
      </c>
      <c r="AJ81" s="73"/>
      <c r="AK81" s="76">
        <f t="shared" si="114"/>
        <v>14.285714285714285</v>
      </c>
      <c r="AL81" s="76">
        <f t="shared" si="115"/>
        <v>0</v>
      </c>
      <c r="AM81" s="76">
        <f t="shared" si="116"/>
        <v>5</v>
      </c>
      <c r="AN81" s="76"/>
      <c r="AO81" s="81">
        <f t="shared" si="120"/>
        <v>0</v>
      </c>
      <c r="AP81" s="81">
        <f t="shared" si="117"/>
        <v>6.666666666666667</v>
      </c>
      <c r="AQ81" s="81">
        <f t="shared" si="118"/>
        <v>5</v>
      </c>
      <c r="AR81" s="7"/>
      <c r="AS81" s="76">
        <f t="shared" si="121"/>
        <v>3.1746031746031744</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x14ac:dyDescent="0.3">
      <c r="A82" s="8" t="s">
        <v>22</v>
      </c>
      <c r="B82" s="9" t="s">
        <v>84</v>
      </c>
      <c r="C82" s="7"/>
      <c r="D82" s="7"/>
      <c r="E82" s="56"/>
      <c r="F82" s="71"/>
      <c r="G82" s="51">
        <f t="shared" si="97"/>
        <v>0</v>
      </c>
      <c r="H82" s="52">
        <f t="shared" si="98"/>
        <v>0</v>
      </c>
      <c r="I82" s="53">
        <f>COUNTIFS('00 Encuesta'!$B$2:$B$511,"*d)*",'00 Encuesta'!$C$2:$C$511,"*a)*",'00 Encuesta'!$E$2:$E$511,"*a)*",'00 Encuesta'!$L$2:$L$511,"*e)*")</f>
        <v>0</v>
      </c>
      <c r="J82" s="52">
        <f t="shared" si="99"/>
        <v>0</v>
      </c>
      <c r="K82" s="53">
        <f>COUNTIFS('00 Encuesta'!$B$2:$B$511,"*d)*",'00 Encuesta'!$C$2:$C$511,"*a)*",'00 Encuesta'!$E$2:$E$511,"*b)*",'00 Encuesta'!$L$2:$L$511,"*e)*")</f>
        <v>0</v>
      </c>
      <c r="L82" s="52">
        <f t="shared" si="100"/>
        <v>0</v>
      </c>
      <c r="M82" s="23"/>
      <c r="N82" s="51">
        <f t="shared" si="101"/>
        <v>1</v>
      </c>
      <c r="O82" s="52">
        <f t="shared" si="102"/>
        <v>5</v>
      </c>
      <c r="P82" s="53">
        <f>COUNTIFS('00 Encuesta'!$B$2:$B$511,"*d)*",'00 Encuesta'!$C$2:$C$511,"*b)*",'00 Encuesta'!$E$2:$E$511,"*a)*",'00 Encuesta'!$L$2:$L$511,"*e)*")</f>
        <v>0</v>
      </c>
      <c r="Q82" s="52">
        <f t="shared" si="103"/>
        <v>0</v>
      </c>
      <c r="R82" s="53">
        <f>COUNTIFS('00 Encuesta'!$B$2:$B$511,"*d)*",'00 Encuesta'!$C$2:$C$511,"*b)*",'00 Encuesta'!$E$2:$E$511,"*b)*",'00 Encuesta'!$L$2:$L$511,"*e)*")</f>
        <v>1</v>
      </c>
      <c r="S82" s="52">
        <f t="shared" si="104"/>
        <v>7.6923076923076925</v>
      </c>
      <c r="T82" s="3"/>
      <c r="U82" s="51">
        <f t="shared" si="105"/>
        <v>2</v>
      </c>
      <c r="V82" s="52">
        <f t="shared" si="106"/>
        <v>10</v>
      </c>
      <c r="W82" s="53">
        <f>COUNTIFS('00 Encuesta'!$B$2:$B$511,"*d)*",'00 Encuesta'!$C$2:$C$511,"*c)*",'00 Encuesta'!$E$2:$E$511,"*a)*",'00 Encuesta'!$L$2:$L$511,"*e)*")</f>
        <v>2</v>
      </c>
      <c r="X82" s="52">
        <f t="shared" si="119"/>
        <v>40</v>
      </c>
      <c r="Y82" s="53">
        <f>COUNTIFS('00 Encuesta'!$B$2:$B$511,"*d)*",'00 Encuesta'!$C$2:$C$511,"*c)*",'00 Encuesta'!$E$2:$E$511,"*b)*",'00 Encuesta'!$L$2:$L$511,"*e)*")</f>
        <v>0</v>
      </c>
      <c r="Z82" s="52">
        <f t="shared" si="107"/>
        <v>0</v>
      </c>
      <c r="AA82" s="3"/>
      <c r="AB82" s="62">
        <f t="shared" si="108"/>
        <v>3</v>
      </c>
      <c r="AC82" s="52">
        <f t="shared" si="109"/>
        <v>4.7619047619047619</v>
      </c>
      <c r="AD82" s="7"/>
      <c r="AE82" s="7"/>
      <c r="AF82" s="9" t="str">
        <f t="shared" si="110"/>
        <v>e) Disponer de dinero</v>
      </c>
      <c r="AG82" s="72">
        <f t="shared" si="111"/>
        <v>0</v>
      </c>
      <c r="AH82" s="72">
        <f t="shared" si="112"/>
        <v>0</v>
      </c>
      <c r="AI82" s="73">
        <f t="shared" si="113"/>
        <v>0</v>
      </c>
      <c r="AJ82" s="73"/>
      <c r="AK82" s="76">
        <f t="shared" si="114"/>
        <v>0</v>
      </c>
      <c r="AL82" s="76">
        <f t="shared" si="115"/>
        <v>7.6923076923076925</v>
      </c>
      <c r="AM82" s="76">
        <f t="shared" si="116"/>
        <v>5</v>
      </c>
      <c r="AN82" s="76"/>
      <c r="AO82" s="81">
        <f t="shared" si="120"/>
        <v>40</v>
      </c>
      <c r="AP82" s="81">
        <f t="shared" si="117"/>
        <v>0</v>
      </c>
      <c r="AQ82" s="81">
        <f t="shared" si="118"/>
        <v>10</v>
      </c>
      <c r="AR82" s="7"/>
      <c r="AS82" s="76">
        <f t="shared" si="121"/>
        <v>4.7619047619047619</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x14ac:dyDescent="0.3">
      <c r="A83" s="8" t="s">
        <v>45</v>
      </c>
      <c r="B83" s="9" t="s">
        <v>85</v>
      </c>
      <c r="C83" s="7"/>
      <c r="D83" s="7"/>
      <c r="E83" s="7"/>
      <c r="F83" s="71"/>
      <c r="G83" s="51">
        <f t="shared" si="97"/>
        <v>9</v>
      </c>
      <c r="H83" s="52">
        <f t="shared" si="98"/>
        <v>39.130434782608695</v>
      </c>
      <c r="I83" s="53">
        <f>COUNTIFS('00 Encuesta'!$B$2:$B$511,"*d)*",'00 Encuesta'!$C$2:$C$511,"*a)*",'00 Encuesta'!$E$2:$E$511,"*a)*",'00 Encuesta'!$L$2:$L$511,"*f)*")</f>
        <v>5</v>
      </c>
      <c r="J83" s="52">
        <f t="shared" si="99"/>
        <v>35.714285714285715</v>
      </c>
      <c r="K83" s="53">
        <f>COUNTIFS('00 Encuesta'!$B$2:$B$511,"*d)*",'00 Encuesta'!$C$2:$C$511,"*a)*",'00 Encuesta'!$E$2:$E$511,"*b)*",'00 Encuesta'!$L$2:$L$511,"*f)*")</f>
        <v>4</v>
      </c>
      <c r="L83" s="52">
        <f t="shared" si="100"/>
        <v>44.444444444444443</v>
      </c>
      <c r="M83" s="23"/>
      <c r="N83" s="51">
        <f t="shared" si="101"/>
        <v>4</v>
      </c>
      <c r="O83" s="52">
        <f t="shared" si="102"/>
        <v>20</v>
      </c>
      <c r="P83" s="53">
        <f>COUNTIFS('00 Encuesta'!$B$2:$B$511,"*d)*",'00 Encuesta'!$C$2:$C$511,"*b)*",'00 Encuesta'!$E$2:$E$511,"*a)*",'00 Encuesta'!$L$2:$L$511,"*f)*")</f>
        <v>0</v>
      </c>
      <c r="Q83" s="52">
        <f t="shared" si="103"/>
        <v>0</v>
      </c>
      <c r="R83" s="53">
        <f>COUNTIFS('00 Encuesta'!$B$2:$B$511,"*d)*",'00 Encuesta'!$C$2:$C$511,"*b)*",'00 Encuesta'!$E$2:$E$511,"*b)*",'00 Encuesta'!$L$2:$L$511,"*f)*")</f>
        <v>4</v>
      </c>
      <c r="S83" s="52">
        <f t="shared" si="104"/>
        <v>30.76923076923077</v>
      </c>
      <c r="T83" s="3"/>
      <c r="U83" s="51">
        <f t="shared" si="105"/>
        <v>8</v>
      </c>
      <c r="V83" s="52">
        <f t="shared" si="106"/>
        <v>40</v>
      </c>
      <c r="W83" s="53">
        <f>COUNTIFS('00 Encuesta'!$B$2:$B$511,"*d)*",'00 Encuesta'!$C$2:$C$511,"*c)*",'00 Encuesta'!$E$2:$E$511,"*a)*",'00 Encuesta'!$L$2:$L$511,"*f)*")</f>
        <v>0</v>
      </c>
      <c r="X83" s="52">
        <f t="shared" si="119"/>
        <v>0</v>
      </c>
      <c r="Y83" s="53">
        <f>COUNTIFS('00 Encuesta'!$B$2:$B$511,"*d)*",'00 Encuesta'!$C$2:$C$511,"*c)*",'00 Encuesta'!$E$2:$E$511,"*b)*",'00 Encuesta'!$L$2:$L$511,"*f)*")</f>
        <v>8</v>
      </c>
      <c r="Z83" s="52">
        <f t="shared" si="107"/>
        <v>53.333333333333336</v>
      </c>
      <c r="AA83" s="3"/>
      <c r="AB83" s="62">
        <f t="shared" si="108"/>
        <v>21</v>
      </c>
      <c r="AC83" s="52">
        <f t="shared" si="109"/>
        <v>33.333333333333336</v>
      </c>
      <c r="AD83" s="7"/>
      <c r="AE83" s="7"/>
      <c r="AF83" s="9" t="str">
        <f t="shared" si="110"/>
        <v>f) Mi fe y vida cristiana</v>
      </c>
      <c r="AG83" s="72">
        <f t="shared" si="111"/>
        <v>35.714285714285715</v>
      </c>
      <c r="AH83" s="72">
        <f t="shared" si="112"/>
        <v>44.444444444444443</v>
      </c>
      <c r="AI83" s="73">
        <f t="shared" si="113"/>
        <v>39.130434782608695</v>
      </c>
      <c r="AJ83" s="73"/>
      <c r="AK83" s="76">
        <f t="shared" si="114"/>
        <v>0</v>
      </c>
      <c r="AL83" s="76">
        <f t="shared" si="115"/>
        <v>30.76923076923077</v>
      </c>
      <c r="AM83" s="76">
        <f t="shared" si="116"/>
        <v>20</v>
      </c>
      <c r="AN83" s="76"/>
      <c r="AO83" s="81">
        <f t="shared" si="120"/>
        <v>0</v>
      </c>
      <c r="AP83" s="81">
        <f t="shared" si="117"/>
        <v>53.333333333333336</v>
      </c>
      <c r="AQ83" s="81">
        <f t="shared" si="118"/>
        <v>40</v>
      </c>
      <c r="AR83" s="7"/>
      <c r="AS83" s="76">
        <f t="shared" si="121"/>
        <v>33.333333333333336</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x14ac:dyDescent="0.3">
      <c r="A84" s="8" t="s">
        <v>61</v>
      </c>
      <c r="B84" s="9" t="s">
        <v>86</v>
      </c>
      <c r="C84" s="7"/>
      <c r="D84" s="7"/>
      <c r="E84" s="7"/>
      <c r="F84" s="71"/>
      <c r="G84" s="51">
        <f t="shared" si="97"/>
        <v>2</v>
      </c>
      <c r="H84" s="52">
        <f t="shared" si="98"/>
        <v>8.695652173913043</v>
      </c>
      <c r="I84" s="53">
        <f>COUNTIFS('00 Encuesta'!$B$2:$B$511,"*d)*",'00 Encuesta'!$C$2:$C$511,"*a)*",'00 Encuesta'!$E$2:$E$511,"*a)*",'00 Encuesta'!$L$2:$L$511,"*g)*")</f>
        <v>1</v>
      </c>
      <c r="J84" s="52">
        <f t="shared" si="99"/>
        <v>7.1428571428571423</v>
      </c>
      <c r="K84" s="53">
        <f>COUNTIFS('00 Encuesta'!$B$2:$B$511,"*d)*",'00 Encuesta'!$C$2:$C$511,"*a)*",'00 Encuesta'!$E$2:$E$511,"*b)*",'00 Encuesta'!$L$2:$L$511,"*g)*")</f>
        <v>1</v>
      </c>
      <c r="L84" s="52">
        <f t="shared" si="100"/>
        <v>11.111111111111111</v>
      </c>
      <c r="M84" s="23"/>
      <c r="N84" s="51">
        <f t="shared" si="101"/>
        <v>3</v>
      </c>
      <c r="O84" s="52">
        <f t="shared" si="102"/>
        <v>15</v>
      </c>
      <c r="P84" s="53">
        <f>COUNTIFS('00 Encuesta'!$B$2:$B$511,"*d)*",'00 Encuesta'!$C$2:$C$511,"*b)*",'00 Encuesta'!$E$2:$E$511,"*a)*",'00 Encuesta'!$L$2:$L$511,"*g)*")</f>
        <v>2</v>
      </c>
      <c r="Q84" s="52">
        <f t="shared" si="103"/>
        <v>28.571428571428569</v>
      </c>
      <c r="R84" s="53">
        <f>COUNTIFS('00 Encuesta'!$B$2:$B$511,"*d)*",'00 Encuesta'!$C$2:$C$511,"*b)*",'00 Encuesta'!$E$2:$E$511,"*b)*",'00 Encuesta'!$L$2:$L$511,"*g)*")</f>
        <v>1</v>
      </c>
      <c r="S84" s="52">
        <f t="shared" si="104"/>
        <v>7.6923076923076925</v>
      </c>
      <c r="T84" s="3"/>
      <c r="U84" s="51">
        <f t="shared" si="105"/>
        <v>3</v>
      </c>
      <c r="V84" s="52">
        <f t="shared" si="106"/>
        <v>15</v>
      </c>
      <c r="W84" s="53">
        <f>COUNTIFS('00 Encuesta'!$B$2:$B$511,"*d)*",'00 Encuesta'!$C$2:$C$511,"*c)*",'00 Encuesta'!$E$2:$E$511,"*a)*",'00 Encuesta'!$L$2:$L$511,"*g)*")</f>
        <v>1</v>
      </c>
      <c r="X84" s="52">
        <f t="shared" si="119"/>
        <v>20</v>
      </c>
      <c r="Y84" s="53">
        <f>COUNTIFS('00 Encuesta'!$B$2:$B$511,"*d)*",'00 Encuesta'!$C$2:$C$511,"*c)*",'00 Encuesta'!$E$2:$E$511,"*b)*",'00 Encuesta'!$L$2:$L$511,"*g)*")</f>
        <v>2</v>
      </c>
      <c r="Z84" s="52">
        <f t="shared" si="107"/>
        <v>13.333333333333334</v>
      </c>
      <c r="AA84" s="3"/>
      <c r="AB84" s="62">
        <f t="shared" si="108"/>
        <v>8</v>
      </c>
      <c r="AC84" s="52">
        <f t="shared" si="109"/>
        <v>12.698412698412698</v>
      </c>
      <c r="AD84" s="7"/>
      <c r="AE84" s="7"/>
      <c r="AF84" s="9" t="str">
        <f t="shared" si="110"/>
        <v>g) La felicidad</v>
      </c>
      <c r="AG84" s="72">
        <f t="shared" si="111"/>
        <v>7.1428571428571423</v>
      </c>
      <c r="AH84" s="72">
        <f t="shared" si="112"/>
        <v>11.111111111111111</v>
      </c>
      <c r="AI84" s="73">
        <f t="shared" si="113"/>
        <v>8.695652173913043</v>
      </c>
      <c r="AJ84" s="73"/>
      <c r="AK84" s="76">
        <f t="shared" si="114"/>
        <v>28.571428571428569</v>
      </c>
      <c r="AL84" s="76">
        <f t="shared" si="115"/>
        <v>7.6923076923076925</v>
      </c>
      <c r="AM84" s="76">
        <f t="shared" si="116"/>
        <v>15</v>
      </c>
      <c r="AN84" s="76"/>
      <c r="AO84" s="81">
        <f t="shared" si="120"/>
        <v>20</v>
      </c>
      <c r="AP84" s="81">
        <f t="shared" si="117"/>
        <v>13.333333333333334</v>
      </c>
      <c r="AQ84" s="81">
        <f t="shared" si="118"/>
        <v>15</v>
      </c>
      <c r="AR84" s="7"/>
      <c r="AS84" s="76">
        <f t="shared" si="121"/>
        <v>12.698412698412698</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x14ac:dyDescent="0.3">
      <c r="A85" s="8" t="s">
        <v>63</v>
      </c>
      <c r="B85" s="9" t="s">
        <v>87</v>
      </c>
      <c r="C85" s="7"/>
      <c r="D85" s="7"/>
      <c r="E85" s="7"/>
      <c r="F85" s="71"/>
      <c r="G85" s="51">
        <f t="shared" si="97"/>
        <v>0</v>
      </c>
      <c r="H85" s="52">
        <f t="shared" si="98"/>
        <v>0</v>
      </c>
      <c r="I85" s="53">
        <f>COUNTIFS('00 Encuesta'!$B$2:$B$511,"*d)*",'00 Encuesta'!$C$2:$C$511,"*a)*",'00 Encuesta'!$E$2:$E$511,"*a)*",'00 Encuesta'!$L$2:$L$511,"*h)*")</f>
        <v>0</v>
      </c>
      <c r="J85" s="52">
        <f t="shared" si="99"/>
        <v>0</v>
      </c>
      <c r="K85" s="53">
        <f>COUNTIFS('00 Encuesta'!$B$2:$B$511,"*d)*",'00 Encuesta'!$C$2:$C$511,"*a)*",'00 Encuesta'!$E$2:$E$511,"*b)*",'00 Encuesta'!$L$2:$L$511,"*h)*")</f>
        <v>0</v>
      </c>
      <c r="L85" s="52">
        <f t="shared" si="100"/>
        <v>0</v>
      </c>
      <c r="M85" s="23"/>
      <c r="N85" s="51">
        <f t="shared" si="101"/>
        <v>2</v>
      </c>
      <c r="O85" s="52">
        <f t="shared" si="102"/>
        <v>10</v>
      </c>
      <c r="P85" s="53">
        <f>COUNTIFS('00 Encuesta'!$B$2:$B$511,"*d)*",'00 Encuesta'!$C$2:$C$511,"*b)*",'00 Encuesta'!$E$2:$E$511,"*a)*",'00 Encuesta'!$L$2:$L$511,"*h)*")</f>
        <v>2</v>
      </c>
      <c r="Q85" s="52">
        <f t="shared" si="103"/>
        <v>28.571428571428569</v>
      </c>
      <c r="R85" s="53">
        <f>COUNTIFS('00 Encuesta'!$B$2:$B$511,"*d)*",'00 Encuesta'!$C$2:$C$511,"*b)*",'00 Encuesta'!$E$2:$E$511,"*b)*",'00 Encuesta'!$L$2:$L$511,"*h)*")</f>
        <v>0</v>
      </c>
      <c r="S85" s="52">
        <f t="shared" si="104"/>
        <v>0</v>
      </c>
      <c r="T85" s="3"/>
      <c r="U85" s="51">
        <f t="shared" si="105"/>
        <v>1</v>
      </c>
      <c r="V85" s="52">
        <f t="shared" si="106"/>
        <v>5</v>
      </c>
      <c r="W85" s="53">
        <f>COUNTIFS('00 Encuesta'!$B$2:$B$511,"*d)*",'00 Encuesta'!$C$2:$C$511,"*c)*",'00 Encuesta'!$E$2:$E$511,"*a)*",'00 Encuesta'!$L$2:$L$511,"*h)*")</f>
        <v>1</v>
      </c>
      <c r="X85" s="52">
        <f t="shared" si="119"/>
        <v>20</v>
      </c>
      <c r="Y85" s="53">
        <f>COUNTIFS('00 Encuesta'!$B$2:$B$511,"*d)*",'00 Encuesta'!$C$2:$C$511,"*c)*",'00 Encuesta'!$E$2:$E$511,"*b)*",'00 Encuesta'!$L$2:$L$511,"*h)*")</f>
        <v>0</v>
      </c>
      <c r="Z85" s="52">
        <f t="shared" si="107"/>
        <v>0</v>
      </c>
      <c r="AA85" s="3"/>
      <c r="AB85" s="62">
        <f t="shared" si="108"/>
        <v>3</v>
      </c>
      <c r="AC85" s="52">
        <f t="shared" si="109"/>
        <v>4.7619047619047619</v>
      </c>
      <c r="AD85" s="7"/>
      <c r="AE85" s="7"/>
      <c r="AF85" s="9" t="str">
        <f t="shared" si="110"/>
        <v>h) La sexualidad</v>
      </c>
      <c r="AG85" s="72">
        <f t="shared" si="111"/>
        <v>0</v>
      </c>
      <c r="AH85" s="72">
        <f t="shared" si="112"/>
        <v>0</v>
      </c>
      <c r="AI85" s="73">
        <f t="shared" si="113"/>
        <v>0</v>
      </c>
      <c r="AJ85" s="73"/>
      <c r="AK85" s="76">
        <f t="shared" si="114"/>
        <v>28.571428571428569</v>
      </c>
      <c r="AL85" s="76">
        <f t="shared" si="115"/>
        <v>0</v>
      </c>
      <c r="AM85" s="76">
        <f t="shared" si="116"/>
        <v>10</v>
      </c>
      <c r="AN85" s="76"/>
      <c r="AO85" s="81">
        <f t="shared" si="120"/>
        <v>20</v>
      </c>
      <c r="AP85" s="81">
        <f t="shared" si="117"/>
        <v>0</v>
      </c>
      <c r="AQ85" s="81">
        <f t="shared" si="118"/>
        <v>5</v>
      </c>
      <c r="AR85" s="7"/>
      <c r="AS85" s="76">
        <f t="shared" si="121"/>
        <v>4.7619047619047619</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1</v>
      </c>
      <c r="H86" s="52">
        <f t="shared" si="98"/>
        <v>4.3478260869565215</v>
      </c>
      <c r="I86" s="53">
        <f>COUNTIFS('00 Encuesta'!$B$2:$B$511,"*d)*",'00 Encuesta'!$C$2:$C$511,"*a)*",'00 Encuesta'!$E$2:$E$511,"*a)*",'00 Encuesta'!$L$2:$L$511,"*i)*")</f>
        <v>1</v>
      </c>
      <c r="J86" s="52">
        <f t="shared" si="99"/>
        <v>7.1428571428571423</v>
      </c>
      <c r="K86" s="53">
        <f>COUNTIFS('00 Encuesta'!$B$2:$B$511,"*d)*",'00 Encuesta'!$C$2:$C$511,"*a)*",'00 Encuesta'!$E$2:$E$511,"*b)*",'00 Encuesta'!$L$2:$L$511,"*i)*")</f>
        <v>0</v>
      </c>
      <c r="L86" s="52">
        <f t="shared" si="100"/>
        <v>0</v>
      </c>
      <c r="M86" s="23"/>
      <c r="N86" s="51">
        <f t="shared" si="101"/>
        <v>3</v>
      </c>
      <c r="O86" s="52">
        <f t="shared" si="102"/>
        <v>15</v>
      </c>
      <c r="P86" s="53">
        <f>COUNTIFS('00 Encuesta'!$B$2:$B$511,"*d)*",'00 Encuesta'!$C$2:$C$511,"*b)*",'00 Encuesta'!$E$2:$E$511,"*a)*",'00 Encuesta'!$L$2:$L$511,"*i)*")</f>
        <v>1</v>
      </c>
      <c r="Q86" s="52">
        <f t="shared" si="103"/>
        <v>14.285714285714285</v>
      </c>
      <c r="R86" s="53">
        <f>COUNTIFS('00 Encuesta'!$B$2:$B$511,"*d)*",'00 Encuesta'!$C$2:$C$511,"*b)*",'00 Encuesta'!$E$2:$E$511,"*b)*",'00 Encuesta'!$L$2:$L$511,"*i)*")</f>
        <v>2</v>
      </c>
      <c r="S86" s="52">
        <f t="shared" si="104"/>
        <v>15.384615384615385</v>
      </c>
      <c r="T86" s="3"/>
      <c r="U86" s="51">
        <f t="shared" si="105"/>
        <v>0</v>
      </c>
      <c r="V86" s="52">
        <f t="shared" si="106"/>
        <v>0</v>
      </c>
      <c r="W86" s="53">
        <f>COUNTIFS('00 Encuesta'!$B$2:$B$511,"*d)*",'00 Encuesta'!$C$2:$C$511,"*c)*",'00 Encuesta'!$E$2:$E$511,"*a)*",'00 Encuesta'!$L$2:$L$511,"*i)*")</f>
        <v>0</v>
      </c>
      <c r="X86" s="52">
        <f t="shared" si="119"/>
        <v>0</v>
      </c>
      <c r="Y86" s="53">
        <f>COUNTIFS('00 Encuesta'!$B$2:$B$511,"*d)*",'00 Encuesta'!$C$2:$C$511,"*c)*",'00 Encuesta'!$E$2:$E$511,"*b)*",'00 Encuesta'!$L$2:$L$511,"*i)*")</f>
        <v>0</v>
      </c>
      <c r="Z86" s="52">
        <f t="shared" si="107"/>
        <v>0</v>
      </c>
      <c r="AA86" s="3"/>
      <c r="AB86" s="62">
        <f t="shared" si="108"/>
        <v>4</v>
      </c>
      <c r="AC86" s="52">
        <f t="shared" si="109"/>
        <v>6.3492063492063489</v>
      </c>
      <c r="AD86" s="7"/>
      <c r="AE86" s="7"/>
      <c r="AF86" s="9" t="str">
        <f t="shared" si="110"/>
        <v>i) La música</v>
      </c>
      <c r="AG86" s="72">
        <f t="shared" si="111"/>
        <v>7.1428571428571423</v>
      </c>
      <c r="AH86" s="72">
        <f t="shared" si="112"/>
        <v>0</v>
      </c>
      <c r="AI86" s="73">
        <f t="shared" si="113"/>
        <v>4.3478260869565215</v>
      </c>
      <c r="AJ86" s="73"/>
      <c r="AK86" s="76">
        <f t="shared" si="114"/>
        <v>14.285714285714285</v>
      </c>
      <c r="AL86" s="76">
        <f t="shared" si="115"/>
        <v>15.384615384615385</v>
      </c>
      <c r="AM86" s="76">
        <f t="shared" si="116"/>
        <v>15</v>
      </c>
      <c r="AN86" s="76"/>
      <c r="AO86" s="81">
        <f t="shared" si="120"/>
        <v>0</v>
      </c>
      <c r="AP86" s="81">
        <f t="shared" si="117"/>
        <v>0</v>
      </c>
      <c r="AQ86" s="81">
        <f t="shared" si="118"/>
        <v>0</v>
      </c>
      <c r="AR86" s="7"/>
      <c r="AS86" s="76">
        <f t="shared" si="121"/>
        <v>6.3492063492063489</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x14ac:dyDescent="0.3">
      <c r="A87" s="1" t="s">
        <v>67</v>
      </c>
      <c r="B87" s="2" t="s">
        <v>89</v>
      </c>
      <c r="C87" s="3"/>
      <c r="D87" s="7"/>
      <c r="E87" s="7"/>
      <c r="F87" s="71"/>
      <c r="G87" s="51">
        <f t="shared" si="97"/>
        <v>1</v>
      </c>
      <c r="H87" s="52">
        <f t="shared" si="98"/>
        <v>4.3478260869565215</v>
      </c>
      <c r="I87" s="53">
        <f>COUNTIFS('00 Encuesta'!$B$2:$B$511,"*d)*",'00 Encuesta'!$C$2:$C$511,"*a)*",'00 Encuesta'!$E$2:$E$511,"*a)*",'00 Encuesta'!$L$2:$L$511,"*j)*")</f>
        <v>1</v>
      </c>
      <c r="J87" s="52">
        <f t="shared" si="99"/>
        <v>7.1428571428571423</v>
      </c>
      <c r="K87" s="53">
        <f>COUNTIFS('00 Encuesta'!$B$2:$B$511,"*d)*",'00 Encuesta'!$C$2:$C$511,"*a)*",'00 Encuesta'!$E$2:$E$511,"*b)*",'00 Encuesta'!$L$2:$L$511,"*j)*")</f>
        <v>0</v>
      </c>
      <c r="L87" s="52">
        <f t="shared" si="100"/>
        <v>0</v>
      </c>
      <c r="M87" s="23"/>
      <c r="N87" s="51">
        <f t="shared" si="101"/>
        <v>4</v>
      </c>
      <c r="O87" s="52">
        <f t="shared" si="102"/>
        <v>20</v>
      </c>
      <c r="P87" s="53">
        <f>COUNTIFS('00 Encuesta'!$B$2:$B$511,"*d)*",'00 Encuesta'!$C$2:$C$511,"*b)*",'00 Encuesta'!$E$2:$E$511,"*a)*",'00 Encuesta'!$L$2:$L$511,"*j)*")</f>
        <v>3</v>
      </c>
      <c r="Q87" s="52">
        <f t="shared" si="103"/>
        <v>42.857142857142854</v>
      </c>
      <c r="R87" s="53">
        <f>COUNTIFS('00 Encuesta'!$B$2:$B$511,"*d)*",'00 Encuesta'!$C$2:$C$511,"*b)*",'00 Encuesta'!$E$2:$E$511,"*b)*",'00 Encuesta'!$L$2:$L$511,"*j)*")</f>
        <v>1</v>
      </c>
      <c r="S87" s="52">
        <f t="shared" si="104"/>
        <v>7.6923076923076925</v>
      </c>
      <c r="T87" s="3"/>
      <c r="U87" s="51">
        <f t="shared" si="105"/>
        <v>1</v>
      </c>
      <c r="V87" s="52">
        <f t="shared" si="106"/>
        <v>5</v>
      </c>
      <c r="W87" s="53">
        <f>COUNTIFS('00 Encuesta'!$B$2:$B$511,"*d)*",'00 Encuesta'!$C$2:$C$511,"*c)*",'00 Encuesta'!$E$2:$E$511,"*a)*",'00 Encuesta'!$L$2:$L$511,"*j)*")</f>
        <v>1</v>
      </c>
      <c r="X87" s="52">
        <f t="shared" si="119"/>
        <v>20</v>
      </c>
      <c r="Y87" s="53">
        <f>COUNTIFS('00 Encuesta'!$B$2:$B$511,"*d)*",'00 Encuesta'!$C$2:$C$511,"*c)*",'00 Encuesta'!$E$2:$E$511,"*b)*",'00 Encuesta'!$L$2:$L$511,"*j)*")</f>
        <v>0</v>
      </c>
      <c r="Z87" s="52">
        <f t="shared" si="107"/>
        <v>0</v>
      </c>
      <c r="AA87" s="3"/>
      <c r="AB87" s="62">
        <f t="shared" si="108"/>
        <v>6</v>
      </c>
      <c r="AC87" s="52">
        <f t="shared" si="109"/>
        <v>9.5238095238095237</v>
      </c>
      <c r="AD87" s="7"/>
      <c r="AE87" s="7"/>
      <c r="AF87" s="9" t="str">
        <f t="shared" si="110"/>
        <v>j) El deporte</v>
      </c>
      <c r="AG87" s="72">
        <f t="shared" si="111"/>
        <v>7.1428571428571423</v>
      </c>
      <c r="AH87" s="72">
        <f t="shared" si="112"/>
        <v>0</v>
      </c>
      <c r="AI87" s="73">
        <f t="shared" si="113"/>
        <v>4.3478260869565215</v>
      </c>
      <c r="AJ87" s="73"/>
      <c r="AK87" s="76">
        <f t="shared" si="114"/>
        <v>42.857142857142854</v>
      </c>
      <c r="AL87" s="76">
        <f t="shared" si="115"/>
        <v>7.6923076923076925</v>
      </c>
      <c r="AM87" s="76">
        <f t="shared" si="116"/>
        <v>20</v>
      </c>
      <c r="AN87" s="76"/>
      <c r="AO87" s="81">
        <f t="shared" si="120"/>
        <v>20</v>
      </c>
      <c r="AP87" s="81">
        <f t="shared" si="117"/>
        <v>0</v>
      </c>
      <c r="AQ87" s="81">
        <f t="shared" si="118"/>
        <v>5</v>
      </c>
      <c r="AR87" s="7"/>
      <c r="AS87" s="76">
        <f t="shared" si="121"/>
        <v>9.5238095238095237</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x14ac:dyDescent="0.3">
      <c r="A88" s="1" t="s">
        <v>69</v>
      </c>
      <c r="B88" s="2" t="s">
        <v>90</v>
      </c>
      <c r="C88" s="3"/>
      <c r="D88" s="7"/>
      <c r="E88" s="7"/>
      <c r="F88" s="71"/>
      <c r="G88" s="51">
        <f t="shared" si="97"/>
        <v>1</v>
      </c>
      <c r="H88" s="52">
        <f t="shared" si="98"/>
        <v>4.3478260869565215</v>
      </c>
      <c r="I88" s="53">
        <f>COUNTIFS('00 Encuesta'!$B$2:$B$511,"*d)*",'00 Encuesta'!$C$2:$C$511,"*a)*",'00 Encuesta'!$E$2:$E$511,"*a)*",'00 Encuesta'!$L$2:$L$511,"*k)*")</f>
        <v>1</v>
      </c>
      <c r="J88" s="52">
        <f t="shared" si="99"/>
        <v>7.1428571428571423</v>
      </c>
      <c r="K88" s="53">
        <f>COUNTIFS('00 Encuesta'!$B$2:$B$511,"*d)*",'00 Encuesta'!$C$2:$C$511,"*a)*",'00 Encuesta'!$E$2:$E$511,"*b)*",'00 Encuesta'!$L$2:$L$511,"*k)*")</f>
        <v>0</v>
      </c>
      <c r="L88" s="52">
        <f t="shared" si="100"/>
        <v>0</v>
      </c>
      <c r="M88" s="23"/>
      <c r="N88" s="51">
        <f t="shared" si="101"/>
        <v>2</v>
      </c>
      <c r="O88" s="52">
        <f t="shared" si="102"/>
        <v>10</v>
      </c>
      <c r="P88" s="53">
        <f>COUNTIFS('00 Encuesta'!$B$2:$B$511,"*d)*",'00 Encuesta'!$C$2:$C$511,"*b)*",'00 Encuesta'!$E$2:$E$511,"*a)*",'00 Encuesta'!$L$2:$L$511,"*k)*")</f>
        <v>2</v>
      </c>
      <c r="Q88" s="52">
        <f t="shared" si="103"/>
        <v>28.571428571428569</v>
      </c>
      <c r="R88" s="53">
        <f>COUNTIFS('00 Encuesta'!$B$2:$B$511,"*d)*",'00 Encuesta'!$C$2:$C$511,"*b)*",'00 Encuesta'!$E$2:$E$511,"*b)*",'00 Encuesta'!$L$2:$L$511,"*k)*")</f>
        <v>0</v>
      </c>
      <c r="S88" s="52">
        <f t="shared" si="104"/>
        <v>0</v>
      </c>
      <c r="T88" s="3"/>
      <c r="U88" s="51">
        <f t="shared" si="105"/>
        <v>1</v>
      </c>
      <c r="V88" s="52">
        <f t="shared" si="106"/>
        <v>5</v>
      </c>
      <c r="W88" s="53">
        <f>COUNTIFS('00 Encuesta'!$B$2:$B$511,"*d)*",'00 Encuesta'!$C$2:$C$511,"*c)*",'00 Encuesta'!$E$2:$E$511,"*a)*",'00 Encuesta'!$L$2:$L$511,"*k)*")</f>
        <v>1</v>
      </c>
      <c r="X88" s="52">
        <f t="shared" si="119"/>
        <v>20</v>
      </c>
      <c r="Y88" s="53">
        <f>COUNTIFS('00 Encuesta'!$B$2:$B$511,"*d)*",'00 Encuesta'!$C$2:$C$511,"*c)*",'00 Encuesta'!$E$2:$E$511,"*b)*",'00 Encuesta'!$L$2:$L$511,"*k)*")</f>
        <v>0</v>
      </c>
      <c r="Z88" s="52">
        <f t="shared" si="107"/>
        <v>0</v>
      </c>
      <c r="AA88" s="3"/>
      <c r="AB88" s="62">
        <f t="shared" si="108"/>
        <v>4</v>
      </c>
      <c r="AC88" s="52">
        <f t="shared" si="109"/>
        <v>6.3492063492063489</v>
      </c>
      <c r="AD88" s="7"/>
      <c r="AE88" s="7"/>
      <c r="AF88" s="9" t="str">
        <f t="shared" si="110"/>
        <v>k) Internet</v>
      </c>
      <c r="AG88" s="72">
        <f t="shared" si="111"/>
        <v>7.1428571428571423</v>
      </c>
      <c r="AH88" s="72">
        <f t="shared" si="112"/>
        <v>0</v>
      </c>
      <c r="AI88" s="73">
        <f t="shared" si="113"/>
        <v>4.3478260869565215</v>
      </c>
      <c r="AJ88" s="73"/>
      <c r="AK88" s="76">
        <f t="shared" si="114"/>
        <v>28.571428571428569</v>
      </c>
      <c r="AL88" s="76">
        <f t="shared" si="115"/>
        <v>0</v>
      </c>
      <c r="AM88" s="76">
        <f t="shared" si="116"/>
        <v>10</v>
      </c>
      <c r="AN88" s="76"/>
      <c r="AO88" s="81">
        <f t="shared" si="120"/>
        <v>20</v>
      </c>
      <c r="AP88" s="81">
        <f t="shared" si="117"/>
        <v>0</v>
      </c>
      <c r="AQ88" s="81">
        <f t="shared" si="118"/>
        <v>5</v>
      </c>
      <c r="AR88" s="7"/>
      <c r="AS88" s="76">
        <f t="shared" si="121"/>
        <v>6.3492063492063489</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x14ac:dyDescent="0.3">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0"/>
        <v>S/R Sin Respuesta</v>
      </c>
      <c r="AG89" s="72">
        <f t="shared" si="111"/>
        <v>0</v>
      </c>
      <c r="AH89" s="72">
        <f t="shared" si="112"/>
        <v>0</v>
      </c>
      <c r="AI89" s="73">
        <f t="shared" si="113"/>
        <v>0</v>
      </c>
      <c r="AJ89" s="73"/>
      <c r="AK89" s="76">
        <f t="shared" si="114"/>
        <v>0</v>
      </c>
      <c r="AL89" s="76">
        <f t="shared" si="115"/>
        <v>0</v>
      </c>
      <c r="AM89" s="76">
        <f t="shared" si="116"/>
        <v>0</v>
      </c>
      <c r="AN89" s="76"/>
      <c r="AO89" s="81">
        <f t="shared" si="120"/>
        <v>0</v>
      </c>
      <c r="AP89" s="81">
        <f t="shared" si="117"/>
        <v>0</v>
      </c>
      <c r="AQ89" s="81">
        <f t="shared" si="118"/>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x14ac:dyDescent="0.3">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x14ac:dyDescent="0.3">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x14ac:dyDescent="0.3">
      <c r="A92" s="8" t="s">
        <v>17</v>
      </c>
      <c r="B92" s="9" t="s">
        <v>93</v>
      </c>
      <c r="C92" s="7"/>
      <c r="D92" s="7"/>
      <c r="E92" s="7"/>
      <c r="F92" s="71"/>
      <c r="G92" s="51">
        <f t="shared" ref="G92:G99" si="122">I92+K92</f>
        <v>1</v>
      </c>
      <c r="H92" s="52">
        <f t="shared" ref="H92:H99" si="123">G92/$J$5*100</f>
        <v>4.3478260869565215</v>
      </c>
      <c r="I92" s="53">
        <f>COUNTIFS('00 Encuesta'!$B$2:$B$511,"*d)*",'00 Encuesta'!$C$2:$C$511,"*a)*",'00 Encuesta'!$E$2:$E$511,"*a)*",'00 Encuesta'!$N$2:$N$511,"*a)*")</f>
        <v>0</v>
      </c>
      <c r="J92" s="52">
        <f t="shared" ref="J92:J99" si="124">I92/$J$6*100</f>
        <v>0</v>
      </c>
      <c r="K92" s="53">
        <f>COUNTIFS('00 Encuesta'!$B$2:$B$511,"*d)*",'00 Encuesta'!$C$2:$C$511,"*a)*",'00 Encuesta'!$E$2:$E$511,"*b)*",'00 Encuesta'!$N$2:$N$511,"*a)*")</f>
        <v>1</v>
      </c>
      <c r="L92" s="52">
        <f t="shared" ref="L92:L99" si="125">K92/$J$7*100</f>
        <v>11.111111111111111</v>
      </c>
      <c r="M92" s="23"/>
      <c r="N92" s="51">
        <f t="shared" ref="N92:N99" si="126">P92+R92</f>
        <v>3</v>
      </c>
      <c r="O92" s="52">
        <f t="shared" ref="O92:O99" si="127">N92/$Q$5*100</f>
        <v>15</v>
      </c>
      <c r="P92" s="53">
        <f>COUNTIFS('00 Encuesta'!$B$2:$B$511,"*d)*",'00 Encuesta'!$C$2:$C$511,"*b)*",'00 Encuesta'!$E$2:$E$511,"*a)*",'00 Encuesta'!$N$2:$N$511,"*a)*")</f>
        <v>3</v>
      </c>
      <c r="Q92" s="52">
        <f t="shared" ref="Q92:Q99" si="128">P92/$Q$6*100</f>
        <v>42.857142857142854</v>
      </c>
      <c r="R92" s="53">
        <f>COUNTIFS('00 Encuesta'!$B$2:$B$511,"*d)*",'00 Encuesta'!$C$2:$C$511,"*b)*",'00 Encuesta'!$E$2:$E$511,"*b)*",'00 Encuesta'!$N$2:$N$511,"*a)*")</f>
        <v>0</v>
      </c>
      <c r="S92" s="52">
        <f t="shared" ref="S92:S99" si="129">R92/$Q$7*100</f>
        <v>0</v>
      </c>
      <c r="T92" s="3"/>
      <c r="U92" s="51">
        <f t="shared" ref="U92:U99" si="130">W92+Y92</f>
        <v>3</v>
      </c>
      <c r="V92" s="52">
        <f t="shared" ref="V92:V99" si="131">U92/$X$5*100</f>
        <v>15</v>
      </c>
      <c r="W92" s="53">
        <f>COUNTIFS('00 Encuesta'!$B$2:$B$511,"*d)*",'00 Encuesta'!$C$2:$C$511,"*c)*",'00 Encuesta'!$E$2:$E$511,"*a)*",'00 Encuesta'!$N$2:$N$511,"*a)*")</f>
        <v>1</v>
      </c>
      <c r="X92" s="52">
        <f t="shared" ref="X92:X99" si="132">W92/$X$6*100</f>
        <v>20</v>
      </c>
      <c r="Y92" s="53">
        <f>COUNTIFS('00 Encuesta'!$B$2:$B$511,"*d)*",'00 Encuesta'!$C$2:$C$511,"*c)*",'00 Encuesta'!$E$2:$E$511,"*b)*",'00 Encuesta'!$N$2:$N$511,"*a)*")</f>
        <v>2</v>
      </c>
      <c r="Z92" s="52">
        <f t="shared" ref="Z92:Z99" si="133">Y92/$X$7*100</f>
        <v>13.333333333333334</v>
      </c>
      <c r="AA92" s="3"/>
      <c r="AB92" s="62">
        <f t="shared" ref="AB92:AB99" si="134">G92+N92+U92</f>
        <v>7</v>
      </c>
      <c r="AC92" s="52">
        <f t="shared" ref="AC92:AC99" si="135">AB92*100/$AC$5</f>
        <v>11.111111111111111</v>
      </c>
      <c r="AD92" s="7"/>
      <c r="AE92" s="7"/>
      <c r="AF92" s="9" t="str">
        <f t="shared" ref="AF92:AF100" si="136">A92&amp;" "&amp;B92</f>
        <v>a) Seguridad personal  (la violencia y la delincuencia)</v>
      </c>
      <c r="AG92" s="72">
        <f t="shared" ref="AG92:AG100" si="137">J92</f>
        <v>0</v>
      </c>
      <c r="AH92" s="72">
        <f t="shared" ref="AH92:AH100" si="138">L92</f>
        <v>11.111111111111111</v>
      </c>
      <c r="AI92" s="73">
        <f t="shared" ref="AI92:AI100" si="139">H92</f>
        <v>4.3478260869565215</v>
      </c>
      <c r="AJ92" s="73"/>
      <c r="AK92" s="76">
        <f t="shared" ref="AK92:AK100" si="140">Q92</f>
        <v>42.857142857142854</v>
      </c>
      <c r="AL92" s="76">
        <f t="shared" ref="AL92:AL100" si="141">S92</f>
        <v>0</v>
      </c>
      <c r="AM92" s="76">
        <f t="shared" ref="AM92:AM100" si="142">O92</f>
        <v>15</v>
      </c>
      <c r="AN92" s="76"/>
      <c r="AO92" s="81">
        <f t="shared" ref="AO92:AO100" si="143">X92</f>
        <v>20</v>
      </c>
      <c r="AP92" s="81">
        <f t="shared" ref="AP92:AP100" si="144">Z92</f>
        <v>13.333333333333334</v>
      </c>
      <c r="AQ92" s="81">
        <f t="shared" ref="AQ92:AQ100" si="145">V92</f>
        <v>15</v>
      </c>
      <c r="AR92" s="7"/>
      <c r="AS92" s="76">
        <f t="shared" si="121"/>
        <v>11.111111111111111</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x14ac:dyDescent="0.3">
      <c r="A93" s="8" t="s">
        <v>18</v>
      </c>
      <c r="B93" s="9" t="s">
        <v>94</v>
      </c>
      <c r="C93" s="7"/>
      <c r="D93" s="7"/>
      <c r="E93" s="7"/>
      <c r="F93" s="71"/>
      <c r="G93" s="51">
        <f t="shared" si="122"/>
        <v>11</v>
      </c>
      <c r="H93" s="52">
        <f t="shared" si="123"/>
        <v>47.826086956521742</v>
      </c>
      <c r="I93" s="53">
        <f>COUNTIFS('00 Encuesta'!$B$2:$B$511,"*d)*",'00 Encuesta'!$C$2:$C$511,"*a)*",'00 Encuesta'!$E$2:$E$511,"*a)*",'00 Encuesta'!$N$2:$N$511,"*b)*")</f>
        <v>9</v>
      </c>
      <c r="J93" s="52">
        <f t="shared" si="124"/>
        <v>64.285714285714292</v>
      </c>
      <c r="K93" s="53">
        <f>COUNTIFS('00 Encuesta'!$B$2:$B$511,"*d)*",'00 Encuesta'!$C$2:$C$511,"*a)*",'00 Encuesta'!$E$2:$E$511,"*b)*",'00 Encuesta'!$N$2:$N$511,"*b)*")</f>
        <v>2</v>
      </c>
      <c r="L93" s="52">
        <f t="shared" si="125"/>
        <v>22.222222222222221</v>
      </c>
      <c r="M93" s="23"/>
      <c r="N93" s="51">
        <f t="shared" si="126"/>
        <v>11</v>
      </c>
      <c r="O93" s="52">
        <f t="shared" si="127"/>
        <v>55.000000000000007</v>
      </c>
      <c r="P93" s="53">
        <f>COUNTIFS('00 Encuesta'!$B$2:$B$511,"*d)*",'00 Encuesta'!$C$2:$C$511,"*b)*",'00 Encuesta'!$E$2:$E$511,"*a)*",'00 Encuesta'!$N$2:$N$511,"*b)*")</f>
        <v>2</v>
      </c>
      <c r="Q93" s="52">
        <f t="shared" si="128"/>
        <v>28.571428571428569</v>
      </c>
      <c r="R93" s="53">
        <f>COUNTIFS('00 Encuesta'!$B$2:$B$511,"*d)*",'00 Encuesta'!$C$2:$C$511,"*b)*",'00 Encuesta'!$E$2:$E$511,"*b)*",'00 Encuesta'!$N$2:$N$511,"*b)*")</f>
        <v>9</v>
      </c>
      <c r="S93" s="52">
        <f t="shared" si="129"/>
        <v>69.230769230769226</v>
      </c>
      <c r="T93" s="3"/>
      <c r="U93" s="51">
        <f t="shared" si="130"/>
        <v>10</v>
      </c>
      <c r="V93" s="52">
        <f t="shared" si="131"/>
        <v>50</v>
      </c>
      <c r="W93" s="53">
        <f>COUNTIFS('00 Encuesta'!$B$2:$B$511,"*d)*",'00 Encuesta'!$C$2:$C$511,"*c)*",'00 Encuesta'!$E$2:$E$511,"*a)*",'00 Encuesta'!$N$2:$N$511,"*b)*")</f>
        <v>3</v>
      </c>
      <c r="X93" s="52">
        <f t="shared" si="132"/>
        <v>60</v>
      </c>
      <c r="Y93" s="53">
        <f>COUNTIFS('00 Encuesta'!$B$2:$B$511,"*d)*",'00 Encuesta'!$C$2:$C$511,"*c)*",'00 Encuesta'!$E$2:$E$511,"*b)*",'00 Encuesta'!$N$2:$N$511,"*b)*")</f>
        <v>7</v>
      </c>
      <c r="Z93" s="52">
        <f t="shared" si="133"/>
        <v>46.666666666666664</v>
      </c>
      <c r="AA93" s="3"/>
      <c r="AB93" s="62">
        <f t="shared" si="134"/>
        <v>32</v>
      </c>
      <c r="AC93" s="52">
        <f t="shared" si="135"/>
        <v>50.793650793650791</v>
      </c>
      <c r="AD93" s="7"/>
      <c r="AE93" s="7"/>
      <c r="AF93" s="9" t="str">
        <f t="shared" si="136"/>
        <v>b) El futuro</v>
      </c>
      <c r="AG93" s="72">
        <f t="shared" si="137"/>
        <v>64.285714285714292</v>
      </c>
      <c r="AH93" s="72">
        <f t="shared" si="138"/>
        <v>22.222222222222221</v>
      </c>
      <c r="AI93" s="73">
        <f t="shared" si="139"/>
        <v>47.826086956521742</v>
      </c>
      <c r="AJ93" s="73"/>
      <c r="AK93" s="76">
        <f t="shared" si="140"/>
        <v>28.571428571428569</v>
      </c>
      <c r="AL93" s="76">
        <f t="shared" si="141"/>
        <v>69.230769230769226</v>
      </c>
      <c r="AM93" s="76">
        <f t="shared" si="142"/>
        <v>55.000000000000007</v>
      </c>
      <c r="AN93" s="76"/>
      <c r="AO93" s="81">
        <f t="shared" si="143"/>
        <v>60</v>
      </c>
      <c r="AP93" s="81">
        <f t="shared" si="144"/>
        <v>46.666666666666664</v>
      </c>
      <c r="AQ93" s="81">
        <f t="shared" si="145"/>
        <v>50</v>
      </c>
      <c r="AR93" s="7"/>
      <c r="AS93" s="76">
        <f t="shared" si="121"/>
        <v>50.793650793650791</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x14ac:dyDescent="0.3">
      <c r="A94" s="8" t="s">
        <v>20</v>
      </c>
      <c r="B94" s="9" t="s">
        <v>95</v>
      </c>
      <c r="C94" s="7"/>
      <c r="D94" s="7"/>
      <c r="E94" s="7"/>
      <c r="F94" s="71"/>
      <c r="G94" s="51">
        <f t="shared" si="122"/>
        <v>0</v>
      </c>
      <c r="H94" s="52">
        <f t="shared" si="123"/>
        <v>0</v>
      </c>
      <c r="I94" s="53">
        <f>COUNTIFS('00 Encuesta'!$B$2:$B$511,"*d)*",'00 Encuesta'!$C$2:$C$511,"*a)*",'00 Encuesta'!$E$2:$E$511,"*a)*",'00 Encuesta'!$N$2:$N$511,"*c)*")</f>
        <v>0</v>
      </c>
      <c r="J94" s="52">
        <f t="shared" si="124"/>
        <v>0</v>
      </c>
      <c r="K94" s="53">
        <f>COUNTIFS('00 Encuesta'!$B$2:$B$511,"*d)*",'00 Encuesta'!$C$2:$C$511,"*a)*",'00 Encuesta'!$E$2:$E$511,"*b)*",'00 Encuesta'!$N$2:$N$511,"*c)*")</f>
        <v>0</v>
      </c>
      <c r="L94" s="52">
        <f t="shared" si="125"/>
        <v>0</v>
      </c>
      <c r="M94" s="23"/>
      <c r="N94" s="51">
        <f t="shared" si="126"/>
        <v>0</v>
      </c>
      <c r="O94" s="52">
        <f t="shared" si="127"/>
        <v>0</v>
      </c>
      <c r="P94" s="53">
        <f>COUNTIFS('00 Encuesta'!$B$2:$B$511,"*d)*",'00 Encuesta'!$C$2:$C$511,"*b)*",'00 Encuesta'!$E$2:$E$511,"*a)*",'00 Encuesta'!$N$2:$N$511,"*c)*")</f>
        <v>0</v>
      </c>
      <c r="Q94" s="52">
        <f t="shared" si="128"/>
        <v>0</v>
      </c>
      <c r="R94" s="53">
        <f>COUNTIFS('00 Encuesta'!$B$2:$B$511,"*d)*",'00 Encuesta'!$C$2:$C$511,"*b)*",'00 Encuesta'!$E$2:$E$511,"*b)*",'00 Encuesta'!$N$2:$N$511,"*c)*")</f>
        <v>0</v>
      </c>
      <c r="S94" s="52">
        <f t="shared" si="129"/>
        <v>0</v>
      </c>
      <c r="T94" s="3"/>
      <c r="U94" s="51">
        <f t="shared" si="130"/>
        <v>0</v>
      </c>
      <c r="V94" s="52">
        <f t="shared" si="131"/>
        <v>0</v>
      </c>
      <c r="W94" s="53">
        <f>COUNTIFS('00 Encuesta'!$B$2:$B$511,"*d)*",'00 Encuesta'!$C$2:$C$511,"*c)*",'00 Encuesta'!$E$2:$E$511,"*a)*",'00 Encuesta'!$N$2:$N$511,"*c)*")</f>
        <v>0</v>
      </c>
      <c r="X94" s="52">
        <f t="shared" si="132"/>
        <v>0</v>
      </c>
      <c r="Y94" s="53">
        <f>COUNTIFS('00 Encuesta'!$B$2:$B$511,"*d)*",'00 Encuesta'!$C$2:$C$511,"*c)*",'00 Encuesta'!$E$2:$E$511,"*b)*",'00 Encuesta'!$N$2:$N$511,"*c)*")</f>
        <v>0</v>
      </c>
      <c r="Z94" s="52">
        <f t="shared" si="133"/>
        <v>0</v>
      </c>
      <c r="AA94" s="3"/>
      <c r="AB94" s="62">
        <f t="shared" si="134"/>
        <v>0</v>
      </c>
      <c r="AC94" s="52">
        <f t="shared" si="135"/>
        <v>0</v>
      </c>
      <c r="AD94" s="7"/>
      <c r="AE94" s="7"/>
      <c r="AF94" s="9" t="str">
        <f t="shared" si="136"/>
        <v>c) Yo mismo</v>
      </c>
      <c r="AG94" s="72">
        <f t="shared" si="137"/>
        <v>0</v>
      </c>
      <c r="AH94" s="72">
        <f t="shared" si="138"/>
        <v>0</v>
      </c>
      <c r="AI94" s="73">
        <f t="shared" si="139"/>
        <v>0</v>
      </c>
      <c r="AJ94" s="73"/>
      <c r="AK94" s="76">
        <f t="shared" si="140"/>
        <v>0</v>
      </c>
      <c r="AL94" s="76">
        <f t="shared" si="141"/>
        <v>0</v>
      </c>
      <c r="AM94" s="76">
        <f t="shared" si="142"/>
        <v>0</v>
      </c>
      <c r="AN94" s="76"/>
      <c r="AO94" s="81">
        <f t="shared" si="143"/>
        <v>0</v>
      </c>
      <c r="AP94" s="81">
        <f t="shared" si="144"/>
        <v>0</v>
      </c>
      <c r="AQ94" s="81">
        <f t="shared" si="145"/>
        <v>0</v>
      </c>
      <c r="AR94" s="7"/>
      <c r="AS94" s="76">
        <f t="shared" si="121"/>
        <v>0</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x14ac:dyDescent="0.3">
      <c r="A95" s="8" t="s">
        <v>21</v>
      </c>
      <c r="B95" s="9" t="s">
        <v>96</v>
      </c>
      <c r="C95" s="7"/>
      <c r="D95" s="7"/>
      <c r="E95" s="7"/>
      <c r="F95" s="71"/>
      <c r="G95" s="51">
        <f t="shared" si="122"/>
        <v>1</v>
      </c>
      <c r="H95" s="52">
        <f t="shared" si="123"/>
        <v>4.3478260869565215</v>
      </c>
      <c r="I95" s="53">
        <f>COUNTIFS('00 Encuesta'!$B$2:$B$511,"*d)*",'00 Encuesta'!$C$2:$C$511,"*a)*",'00 Encuesta'!$E$2:$E$511,"*a)*",'00 Encuesta'!$N$2:$N$511,"*d)*")</f>
        <v>1</v>
      </c>
      <c r="J95" s="52">
        <f t="shared" si="124"/>
        <v>7.1428571428571423</v>
      </c>
      <c r="K95" s="53">
        <f>COUNTIFS('00 Encuesta'!$B$2:$B$511,"*d)*",'00 Encuesta'!$C$2:$C$511,"*a)*",'00 Encuesta'!$E$2:$E$511,"*b)*",'00 Encuesta'!$N$2:$N$511,"*d)*")</f>
        <v>0</v>
      </c>
      <c r="L95" s="52">
        <f t="shared" si="125"/>
        <v>0</v>
      </c>
      <c r="M95" s="23"/>
      <c r="N95" s="51">
        <f t="shared" si="126"/>
        <v>1</v>
      </c>
      <c r="O95" s="52">
        <f t="shared" si="127"/>
        <v>5</v>
      </c>
      <c r="P95" s="53">
        <f>COUNTIFS('00 Encuesta'!$B$2:$B$511,"*d)*",'00 Encuesta'!$C$2:$C$511,"*b)*",'00 Encuesta'!$E$2:$E$511,"*a)*",'00 Encuesta'!$N$2:$N$511,"*d)*")</f>
        <v>0</v>
      </c>
      <c r="Q95" s="52">
        <f t="shared" si="128"/>
        <v>0</v>
      </c>
      <c r="R95" s="53">
        <f>COUNTIFS('00 Encuesta'!$B$2:$B$511,"*d)*",'00 Encuesta'!$C$2:$C$511,"*b)*",'00 Encuesta'!$E$2:$E$511,"*b)*",'00 Encuesta'!$N$2:$N$511,"*d)*")</f>
        <v>1</v>
      </c>
      <c r="S95" s="52">
        <f t="shared" si="129"/>
        <v>7.6923076923076925</v>
      </c>
      <c r="T95" s="3"/>
      <c r="U95" s="51">
        <f t="shared" si="130"/>
        <v>1</v>
      </c>
      <c r="V95" s="52">
        <f t="shared" si="131"/>
        <v>5</v>
      </c>
      <c r="W95" s="53">
        <f>COUNTIFS('00 Encuesta'!$B$2:$B$511,"*d)*",'00 Encuesta'!$C$2:$C$511,"*c)*",'00 Encuesta'!$E$2:$E$511,"*a)*",'00 Encuesta'!$N$2:$N$511,"*d)*")</f>
        <v>1</v>
      </c>
      <c r="X95" s="52">
        <f t="shared" si="132"/>
        <v>20</v>
      </c>
      <c r="Y95" s="53">
        <f>COUNTIFS('00 Encuesta'!$B$2:$B$511,"*d)*",'00 Encuesta'!$C$2:$C$511,"*c)*",'00 Encuesta'!$E$2:$E$511,"*b)*",'00 Encuesta'!$N$2:$N$511,"*d)*")</f>
        <v>0</v>
      </c>
      <c r="Z95" s="52">
        <f t="shared" si="133"/>
        <v>0</v>
      </c>
      <c r="AA95" s="3"/>
      <c r="AB95" s="62">
        <f t="shared" si="134"/>
        <v>3</v>
      </c>
      <c r="AC95" s="52">
        <f t="shared" si="135"/>
        <v>4.7619047619047619</v>
      </c>
      <c r="AD95" s="7"/>
      <c r="AE95" s="7"/>
      <c r="AF95" s="9" t="str">
        <f t="shared" si="136"/>
        <v>d) Los problemas familiares</v>
      </c>
      <c r="AG95" s="72">
        <f t="shared" si="137"/>
        <v>7.1428571428571423</v>
      </c>
      <c r="AH95" s="72">
        <f t="shared" si="138"/>
        <v>0</v>
      </c>
      <c r="AI95" s="73">
        <f t="shared" si="139"/>
        <v>4.3478260869565215</v>
      </c>
      <c r="AJ95" s="73"/>
      <c r="AK95" s="76">
        <f t="shared" si="140"/>
        <v>0</v>
      </c>
      <c r="AL95" s="76">
        <f t="shared" si="141"/>
        <v>7.6923076923076925</v>
      </c>
      <c r="AM95" s="76">
        <f t="shared" si="142"/>
        <v>5</v>
      </c>
      <c r="AN95" s="76"/>
      <c r="AO95" s="81">
        <f t="shared" si="143"/>
        <v>20</v>
      </c>
      <c r="AP95" s="81">
        <f t="shared" si="144"/>
        <v>0</v>
      </c>
      <c r="AQ95" s="81">
        <f t="shared" si="145"/>
        <v>5</v>
      </c>
      <c r="AR95" s="7"/>
      <c r="AS95" s="76">
        <f t="shared" si="121"/>
        <v>4.7619047619047619</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0</v>
      </c>
      <c r="H96" s="52">
        <f t="shared" si="123"/>
        <v>0</v>
      </c>
      <c r="I96" s="53">
        <f>COUNTIFS('00 Encuesta'!$B$2:$B$511,"*d)*",'00 Encuesta'!$C$2:$C$511,"*a)*",'00 Encuesta'!$E$2:$E$511,"*a)*",'00 Encuesta'!$N$2:$N$511,"*e)*")</f>
        <v>0</v>
      </c>
      <c r="J96" s="52">
        <f t="shared" si="124"/>
        <v>0</v>
      </c>
      <c r="K96" s="53">
        <f>COUNTIFS('00 Encuesta'!$B$2:$B$511,"*d)*",'00 Encuesta'!$C$2:$C$511,"*a)*",'00 Encuesta'!$E$2:$E$511,"*b)*",'00 Encuesta'!$N$2:$N$511,"*e)*")</f>
        <v>0</v>
      </c>
      <c r="L96" s="52">
        <f t="shared" si="125"/>
        <v>0</v>
      </c>
      <c r="M96" s="23"/>
      <c r="N96" s="51">
        <f t="shared" si="126"/>
        <v>1</v>
      </c>
      <c r="O96" s="52">
        <f t="shared" si="127"/>
        <v>5</v>
      </c>
      <c r="P96" s="53">
        <f>COUNTIFS('00 Encuesta'!$B$2:$B$511,"*d)*",'00 Encuesta'!$C$2:$C$511,"*b)*",'00 Encuesta'!$E$2:$E$511,"*a)*",'00 Encuesta'!$N$2:$N$511,"*e)*")</f>
        <v>0</v>
      </c>
      <c r="Q96" s="52">
        <f t="shared" si="128"/>
        <v>0</v>
      </c>
      <c r="R96" s="53">
        <f>COUNTIFS('00 Encuesta'!$B$2:$B$511,"*d)*",'00 Encuesta'!$C$2:$C$511,"*b)*",'00 Encuesta'!$E$2:$E$511,"*b)*",'00 Encuesta'!$N$2:$N$511,"*e)*")</f>
        <v>1</v>
      </c>
      <c r="S96" s="52">
        <f t="shared" si="129"/>
        <v>7.6923076923076925</v>
      </c>
      <c r="T96" s="3"/>
      <c r="U96" s="51">
        <f t="shared" si="130"/>
        <v>0</v>
      </c>
      <c r="V96" s="52">
        <f t="shared" si="131"/>
        <v>0</v>
      </c>
      <c r="W96" s="53">
        <f>COUNTIFS('00 Encuesta'!$B$2:$B$511,"*d)*",'00 Encuesta'!$C$2:$C$511,"*c)*",'00 Encuesta'!$E$2:$E$511,"*a)*",'00 Encuesta'!$N$2:$N$511,"*e)*")</f>
        <v>0</v>
      </c>
      <c r="X96" s="52">
        <f t="shared" si="132"/>
        <v>0</v>
      </c>
      <c r="Y96" s="53">
        <f>COUNTIFS('00 Encuesta'!$B$2:$B$511,"*d)*",'00 Encuesta'!$C$2:$C$511,"*c)*",'00 Encuesta'!$E$2:$E$511,"*b)*",'00 Encuesta'!$N$2:$N$511,"*e)*")</f>
        <v>0</v>
      </c>
      <c r="Z96" s="52">
        <f t="shared" si="133"/>
        <v>0</v>
      </c>
      <c r="AA96" s="3"/>
      <c r="AB96" s="62">
        <f t="shared" si="134"/>
        <v>1</v>
      </c>
      <c r="AC96" s="52">
        <f t="shared" si="135"/>
        <v>1.5873015873015872</v>
      </c>
      <c r="AD96" s="7"/>
      <c r="AE96" s="7"/>
      <c r="AF96" s="9" t="str">
        <f t="shared" si="136"/>
        <v>e) La situación económica</v>
      </c>
      <c r="AG96" s="72">
        <f t="shared" si="137"/>
        <v>0</v>
      </c>
      <c r="AH96" s="72">
        <f t="shared" si="138"/>
        <v>0</v>
      </c>
      <c r="AI96" s="73">
        <f t="shared" si="139"/>
        <v>0</v>
      </c>
      <c r="AJ96" s="73"/>
      <c r="AK96" s="76">
        <f t="shared" si="140"/>
        <v>0</v>
      </c>
      <c r="AL96" s="76">
        <f t="shared" si="141"/>
        <v>7.6923076923076925</v>
      </c>
      <c r="AM96" s="76">
        <f t="shared" si="142"/>
        <v>5</v>
      </c>
      <c r="AN96" s="76"/>
      <c r="AO96" s="81">
        <f t="shared" si="143"/>
        <v>0</v>
      </c>
      <c r="AP96" s="81">
        <f t="shared" si="144"/>
        <v>0</v>
      </c>
      <c r="AQ96" s="81">
        <f t="shared" si="145"/>
        <v>0</v>
      </c>
      <c r="AR96" s="7"/>
      <c r="AS96" s="76">
        <f t="shared" si="121"/>
        <v>1.5873015873015872</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1</v>
      </c>
      <c r="H97" s="52">
        <f t="shared" si="123"/>
        <v>4.3478260869565215</v>
      </c>
      <c r="I97" s="53">
        <f>COUNTIFS('00 Encuesta'!$B$2:$B$511,"*d)*",'00 Encuesta'!$C$2:$C$511,"*a)*",'00 Encuesta'!$E$2:$E$511,"*a)*",'00 Encuesta'!$N$2:$N$511,"*f)*")</f>
        <v>0</v>
      </c>
      <c r="J97" s="52">
        <f t="shared" si="124"/>
        <v>0</v>
      </c>
      <c r="K97" s="53">
        <f>COUNTIFS('00 Encuesta'!$B$2:$B$511,"*d)*",'00 Encuesta'!$C$2:$C$511,"*a)*",'00 Encuesta'!$E$2:$E$511,"*b)*",'00 Encuesta'!$N$2:$N$511,"*f)*")</f>
        <v>1</v>
      </c>
      <c r="L97" s="52">
        <f t="shared" si="125"/>
        <v>11.111111111111111</v>
      </c>
      <c r="M97" s="23"/>
      <c r="N97" s="51">
        <f t="shared" si="126"/>
        <v>1</v>
      </c>
      <c r="O97" s="52">
        <f t="shared" si="127"/>
        <v>5</v>
      </c>
      <c r="P97" s="53">
        <f>COUNTIFS('00 Encuesta'!$B$2:$B$511,"*d)*",'00 Encuesta'!$C$2:$C$511,"*b)*",'00 Encuesta'!$E$2:$E$511,"*a)*",'00 Encuesta'!$N$2:$N$511,"*f)*")</f>
        <v>1</v>
      </c>
      <c r="Q97" s="52">
        <f t="shared" si="128"/>
        <v>14.285714285714285</v>
      </c>
      <c r="R97" s="53">
        <f>COUNTIFS('00 Encuesta'!$B$2:$B$511,"*d)*",'00 Encuesta'!$C$2:$C$511,"*b)*",'00 Encuesta'!$E$2:$E$511,"*b)*",'00 Encuesta'!$N$2:$N$511,"*f)*")</f>
        <v>0</v>
      </c>
      <c r="S97" s="52">
        <f t="shared" si="129"/>
        <v>0</v>
      </c>
      <c r="T97" s="3"/>
      <c r="U97" s="51">
        <f t="shared" si="130"/>
        <v>4</v>
      </c>
      <c r="V97" s="52">
        <f t="shared" si="131"/>
        <v>20</v>
      </c>
      <c r="W97" s="53">
        <f>COUNTIFS('00 Encuesta'!$B$2:$B$511,"*d)*",'00 Encuesta'!$C$2:$C$511,"*c)*",'00 Encuesta'!$E$2:$E$511,"*a)*",'00 Encuesta'!$N$2:$N$511,"*f)*")</f>
        <v>0</v>
      </c>
      <c r="X97" s="52">
        <f t="shared" si="132"/>
        <v>0</v>
      </c>
      <c r="Y97" s="53">
        <f>COUNTIFS('00 Encuesta'!$B$2:$B$511,"*d)*",'00 Encuesta'!$C$2:$C$511,"*c)*",'00 Encuesta'!$E$2:$E$511,"*b)*",'00 Encuesta'!$N$2:$N$511,"*f)*")</f>
        <v>4</v>
      </c>
      <c r="Z97" s="52">
        <f t="shared" si="133"/>
        <v>26.666666666666668</v>
      </c>
      <c r="AA97" s="3"/>
      <c r="AB97" s="62">
        <f t="shared" si="134"/>
        <v>6</v>
      </c>
      <c r="AC97" s="52">
        <f t="shared" si="135"/>
        <v>9.5238095238095237</v>
      </c>
      <c r="AD97" s="7"/>
      <c r="AE97" s="7"/>
      <c r="AF97" s="9" t="str">
        <f t="shared" si="136"/>
        <v>f) La situación política del país</v>
      </c>
      <c r="AG97" s="72">
        <f t="shared" si="137"/>
        <v>0</v>
      </c>
      <c r="AH97" s="72">
        <f t="shared" si="138"/>
        <v>11.111111111111111</v>
      </c>
      <c r="AI97" s="73">
        <f t="shared" si="139"/>
        <v>4.3478260869565215</v>
      </c>
      <c r="AJ97" s="73"/>
      <c r="AK97" s="76">
        <f t="shared" si="140"/>
        <v>14.285714285714285</v>
      </c>
      <c r="AL97" s="76">
        <f t="shared" si="141"/>
        <v>0</v>
      </c>
      <c r="AM97" s="76">
        <f t="shared" si="142"/>
        <v>5</v>
      </c>
      <c r="AN97" s="76"/>
      <c r="AO97" s="81">
        <f t="shared" si="143"/>
        <v>0</v>
      </c>
      <c r="AP97" s="81">
        <f t="shared" si="144"/>
        <v>26.666666666666668</v>
      </c>
      <c r="AQ97" s="81">
        <f t="shared" si="145"/>
        <v>20</v>
      </c>
      <c r="AR97" s="7"/>
      <c r="AS97" s="76">
        <f t="shared" si="121"/>
        <v>9.5238095238095237</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x14ac:dyDescent="0.3">
      <c r="A98" s="8" t="s">
        <v>61</v>
      </c>
      <c r="B98" s="9" t="s">
        <v>99</v>
      </c>
      <c r="C98" s="7"/>
      <c r="D98" s="7"/>
      <c r="E98" s="7"/>
      <c r="F98" s="71"/>
      <c r="G98" s="51">
        <f t="shared" si="122"/>
        <v>8</v>
      </c>
      <c r="H98" s="52">
        <f t="shared" si="123"/>
        <v>34.782608695652172</v>
      </c>
      <c r="I98" s="53">
        <f>COUNTIFS('00 Encuesta'!$B$2:$B$511,"*d)*",'00 Encuesta'!$C$2:$C$511,"*a)*",'00 Encuesta'!$E$2:$E$511,"*a)*",'00 Encuesta'!$N$2:$N$511,"*g)*")</f>
        <v>3</v>
      </c>
      <c r="J98" s="52">
        <f t="shared" si="124"/>
        <v>21.428571428571427</v>
      </c>
      <c r="K98" s="53">
        <f>COUNTIFS('00 Encuesta'!$B$2:$B$511,"*d)*",'00 Encuesta'!$C$2:$C$511,"*a)*",'00 Encuesta'!$E$2:$E$511,"*b)*",'00 Encuesta'!$N$2:$N$511,"*g)*")</f>
        <v>5</v>
      </c>
      <c r="L98" s="52">
        <f t="shared" si="125"/>
        <v>55.555555555555557</v>
      </c>
      <c r="M98" s="23"/>
      <c r="N98" s="51">
        <f t="shared" si="126"/>
        <v>1</v>
      </c>
      <c r="O98" s="52">
        <f t="shared" si="127"/>
        <v>5</v>
      </c>
      <c r="P98" s="53">
        <f>COUNTIFS('00 Encuesta'!$B$2:$B$511,"*d)*",'00 Encuesta'!$C$2:$C$511,"*b)*",'00 Encuesta'!$E$2:$E$511,"*a)*",'00 Encuesta'!$N$2:$N$511,"*g)*")</f>
        <v>0</v>
      </c>
      <c r="Q98" s="52">
        <f t="shared" si="128"/>
        <v>0</v>
      </c>
      <c r="R98" s="53">
        <f>COUNTIFS('00 Encuesta'!$B$2:$B$511,"*d)*",'00 Encuesta'!$C$2:$C$511,"*b)*",'00 Encuesta'!$E$2:$E$511,"*b)*",'00 Encuesta'!$N$2:$N$511,"*g)*")</f>
        <v>1</v>
      </c>
      <c r="S98" s="52">
        <f t="shared" si="129"/>
        <v>7.6923076923076925</v>
      </c>
      <c r="T98" s="3"/>
      <c r="U98" s="51">
        <f t="shared" si="130"/>
        <v>2</v>
      </c>
      <c r="V98" s="52">
        <f t="shared" si="131"/>
        <v>10</v>
      </c>
      <c r="W98" s="53">
        <f>COUNTIFS('00 Encuesta'!$B$2:$B$511,"*d)*",'00 Encuesta'!$C$2:$C$511,"*c)*",'00 Encuesta'!$E$2:$E$511,"*a)*",'00 Encuesta'!$N$2:$N$511,"*g)*")</f>
        <v>0</v>
      </c>
      <c r="X98" s="52">
        <f t="shared" si="132"/>
        <v>0</v>
      </c>
      <c r="Y98" s="53">
        <f>COUNTIFS('00 Encuesta'!$B$2:$B$511,"*d)*",'00 Encuesta'!$C$2:$C$511,"*c)*",'00 Encuesta'!$E$2:$E$511,"*b)*",'00 Encuesta'!$N$2:$N$511,"*g)*")</f>
        <v>2</v>
      </c>
      <c r="Z98" s="52">
        <f t="shared" si="133"/>
        <v>13.333333333333334</v>
      </c>
      <c r="AA98" s="3"/>
      <c r="AB98" s="62">
        <f t="shared" si="134"/>
        <v>11</v>
      </c>
      <c r="AC98" s="52">
        <f t="shared" si="135"/>
        <v>17.460317460317459</v>
      </c>
      <c r="AD98" s="7"/>
      <c r="AE98" s="7"/>
      <c r="AF98" s="9" t="str">
        <f t="shared" si="136"/>
        <v>g) Mis estudios</v>
      </c>
      <c r="AG98" s="72">
        <f t="shared" si="137"/>
        <v>21.428571428571427</v>
      </c>
      <c r="AH98" s="72">
        <f t="shared" si="138"/>
        <v>55.555555555555557</v>
      </c>
      <c r="AI98" s="73">
        <f t="shared" si="139"/>
        <v>34.782608695652172</v>
      </c>
      <c r="AJ98" s="73"/>
      <c r="AK98" s="76">
        <f t="shared" si="140"/>
        <v>0</v>
      </c>
      <c r="AL98" s="76">
        <f t="shared" si="141"/>
        <v>7.6923076923076925</v>
      </c>
      <c r="AM98" s="76">
        <f t="shared" si="142"/>
        <v>5</v>
      </c>
      <c r="AN98" s="76"/>
      <c r="AO98" s="81">
        <f t="shared" si="143"/>
        <v>0</v>
      </c>
      <c r="AP98" s="81">
        <f t="shared" si="144"/>
        <v>13.333333333333334</v>
      </c>
      <c r="AQ98" s="81">
        <f t="shared" si="145"/>
        <v>10</v>
      </c>
      <c r="AR98" s="7"/>
      <c r="AS98" s="76">
        <f t="shared" si="121"/>
        <v>17.460317460317459</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x14ac:dyDescent="0.3">
      <c r="A99" s="8" t="s">
        <v>63</v>
      </c>
      <c r="B99" s="9" t="s">
        <v>81</v>
      </c>
      <c r="C99" s="7"/>
      <c r="D99" s="7"/>
      <c r="E99" s="7"/>
      <c r="F99" s="71"/>
      <c r="G99" s="51">
        <f t="shared" si="122"/>
        <v>0</v>
      </c>
      <c r="H99" s="52">
        <f t="shared" si="123"/>
        <v>0</v>
      </c>
      <c r="I99" s="53">
        <f>COUNTIFS('00 Encuesta'!$B$2:$B$511,"*d)*",'00 Encuesta'!$C$2:$C$511,"*a)*",'00 Encuesta'!$E$2:$E$511,"*a)*",'00 Encuesta'!$N$2:$N$511,"*h)*")</f>
        <v>0</v>
      </c>
      <c r="J99" s="52">
        <f t="shared" si="124"/>
        <v>0</v>
      </c>
      <c r="K99" s="53">
        <f>COUNTIFS('00 Encuesta'!$B$2:$B$511,"*d)*",'00 Encuesta'!$C$2:$C$511,"*a)*",'00 Encuesta'!$E$2:$E$511,"*b)*",'00 Encuesta'!$N$2:$N$511,"*h)*")</f>
        <v>0</v>
      </c>
      <c r="L99" s="52">
        <f t="shared" si="125"/>
        <v>0</v>
      </c>
      <c r="M99" s="23"/>
      <c r="N99" s="51">
        <f t="shared" si="126"/>
        <v>2</v>
      </c>
      <c r="O99" s="52">
        <f t="shared" si="127"/>
        <v>10</v>
      </c>
      <c r="P99" s="53">
        <f>COUNTIFS('00 Encuesta'!$B$2:$B$511,"*d)*",'00 Encuesta'!$C$2:$C$511,"*b)*",'00 Encuesta'!$E$2:$E$511,"*a)*",'00 Encuesta'!$N$2:$N$511,"*h)*")</f>
        <v>1</v>
      </c>
      <c r="Q99" s="52">
        <f t="shared" si="128"/>
        <v>14.285714285714285</v>
      </c>
      <c r="R99" s="53">
        <f>COUNTIFS('00 Encuesta'!$B$2:$B$511,"*d)*",'00 Encuesta'!$C$2:$C$511,"*b)*",'00 Encuesta'!$E$2:$E$511,"*b)*",'00 Encuesta'!$N$2:$N$511,"*h)*")</f>
        <v>1</v>
      </c>
      <c r="S99" s="52">
        <f t="shared" si="129"/>
        <v>7.6923076923076925</v>
      </c>
      <c r="T99" s="3"/>
      <c r="U99" s="51">
        <f t="shared" si="130"/>
        <v>0</v>
      </c>
      <c r="V99" s="52">
        <f t="shared" si="131"/>
        <v>0</v>
      </c>
      <c r="W99" s="53">
        <f>COUNTIFS('00 Encuesta'!$B$2:$B$511,"*d)*",'00 Encuesta'!$C$2:$C$511,"*c)*",'00 Encuesta'!$E$2:$E$511,"*a)*",'00 Encuesta'!$N$2:$N$511,"*h)*")</f>
        <v>0</v>
      </c>
      <c r="X99" s="52">
        <f t="shared" si="132"/>
        <v>0</v>
      </c>
      <c r="Y99" s="53">
        <f>COUNTIFS('00 Encuesta'!$B$2:$B$511,"*d)*",'00 Encuesta'!$C$2:$C$511,"*c)*",'00 Encuesta'!$E$2:$E$511,"*b)*",'00 Encuesta'!$N$2:$N$511,"*h)*")</f>
        <v>0</v>
      </c>
      <c r="Z99" s="52">
        <f t="shared" si="133"/>
        <v>0</v>
      </c>
      <c r="AA99" s="3"/>
      <c r="AB99" s="62">
        <f t="shared" si="134"/>
        <v>2</v>
      </c>
      <c r="AC99" s="52">
        <f t="shared" si="135"/>
        <v>3.1746031746031744</v>
      </c>
      <c r="AD99" s="7"/>
      <c r="AE99" s="7"/>
      <c r="AF99" s="9" t="str">
        <f t="shared" si="136"/>
        <v>h) Los amigos</v>
      </c>
      <c r="AG99" s="72">
        <f t="shared" si="137"/>
        <v>0</v>
      </c>
      <c r="AH99" s="72">
        <f t="shared" si="138"/>
        <v>0</v>
      </c>
      <c r="AI99" s="73">
        <f t="shared" si="139"/>
        <v>0</v>
      </c>
      <c r="AJ99" s="73"/>
      <c r="AK99" s="76">
        <f t="shared" si="140"/>
        <v>14.285714285714285</v>
      </c>
      <c r="AL99" s="76">
        <f t="shared" si="141"/>
        <v>7.6923076923076925</v>
      </c>
      <c r="AM99" s="76">
        <f t="shared" si="142"/>
        <v>10</v>
      </c>
      <c r="AN99" s="76"/>
      <c r="AO99" s="81">
        <f t="shared" si="143"/>
        <v>0</v>
      </c>
      <c r="AP99" s="81">
        <f t="shared" si="144"/>
        <v>0</v>
      </c>
      <c r="AQ99" s="81">
        <f t="shared" si="145"/>
        <v>0</v>
      </c>
      <c r="AR99" s="7"/>
      <c r="AS99" s="76">
        <f t="shared" si="121"/>
        <v>3.1746031746031744</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x14ac:dyDescent="0.3">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x14ac:dyDescent="0.3">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x14ac:dyDescent="0.3">
      <c r="A103" s="8" t="s">
        <v>17</v>
      </c>
      <c r="B103" s="9" t="s">
        <v>102</v>
      </c>
      <c r="C103" s="7"/>
      <c r="D103" s="7"/>
      <c r="E103" s="7"/>
      <c r="F103" s="71">
        <v>100</v>
      </c>
      <c r="G103" s="51">
        <f>I103+K103</f>
        <v>9</v>
      </c>
      <c r="H103" s="52">
        <f>G103/$J$5*100</f>
        <v>39.130434782608695</v>
      </c>
      <c r="I103" s="53">
        <f>COUNTIFS('00 Encuesta'!$B$2:$B$511,"*d)*",'00 Encuesta'!$C$2:$C$511,"*a)*",'00 Encuesta'!$E$2:$E$511,"*a)*",'00 Encuesta'!$O$2:$O$511,"*a)*")</f>
        <v>5</v>
      </c>
      <c r="J103" s="52">
        <f>I103/$J$6*100</f>
        <v>35.714285714285715</v>
      </c>
      <c r="K103" s="53">
        <f>COUNTIFS('00 Encuesta'!$B$2:$B$511,"*d)*",'00 Encuesta'!$C$2:$C$511,"*a)*",'00 Encuesta'!$E$2:$E$511,"*b)*",'00 Encuesta'!$O$2:$O$511,"*a)*")</f>
        <v>4</v>
      </c>
      <c r="L103" s="52">
        <f>K103/$J$7*100</f>
        <v>44.444444444444443</v>
      </c>
      <c r="M103" s="23"/>
      <c r="N103" s="51">
        <f>P103+R103</f>
        <v>8</v>
      </c>
      <c r="O103" s="52">
        <f>N103/$Q$5*100</f>
        <v>40</v>
      </c>
      <c r="P103" s="53">
        <f>COUNTIFS('00 Encuesta'!$B$2:$B$511,"*d)*",'00 Encuesta'!$C$2:$C$511,"*b)*",'00 Encuesta'!$E$2:$E$511,"*a)*",'00 Encuesta'!$O$2:$O$511,"*a)*")</f>
        <v>3</v>
      </c>
      <c r="Q103" s="52">
        <f>P103/$Q$6*100</f>
        <v>42.857142857142854</v>
      </c>
      <c r="R103" s="53">
        <f>COUNTIFS('00 Encuesta'!$B$2:$B$511,"*d)*",'00 Encuesta'!$C$2:$C$511,"*b)*",'00 Encuesta'!$E$2:$E$511,"*b)*",'00 Encuesta'!$O$2:$O$511,"*a)*")</f>
        <v>5</v>
      </c>
      <c r="S103" s="52">
        <f>R103/$Q$7*100</f>
        <v>38.461538461538467</v>
      </c>
      <c r="T103" s="3"/>
      <c r="U103" s="51">
        <f>W103+Y103</f>
        <v>9</v>
      </c>
      <c r="V103" s="52">
        <f>U103/$X$5*100</f>
        <v>45</v>
      </c>
      <c r="W103" s="53">
        <f>COUNTIFS('00 Encuesta'!$B$2:$B$511,"*d)*",'00 Encuesta'!$C$2:$C$511,"*c)*",'00 Encuesta'!$E$2:$E$511,"*a)*",'00 Encuesta'!$O$2:$O$511,"*a)*")</f>
        <v>3</v>
      </c>
      <c r="X103" s="52">
        <f>W103/$X$6*100</f>
        <v>60</v>
      </c>
      <c r="Y103" s="53">
        <f>COUNTIFS('00 Encuesta'!$B$2:$B$511,"*d)*",'00 Encuesta'!$C$2:$C$511,"*c)*",'00 Encuesta'!$E$2:$E$511,"*b)*",'00 Encuesta'!$O$2:$O$511,"*a)*")</f>
        <v>6</v>
      </c>
      <c r="Z103" s="52">
        <f>Y103/$X$7*100</f>
        <v>40</v>
      </c>
      <c r="AA103" s="3"/>
      <c r="AB103" s="62">
        <f>G103+N103+U103</f>
        <v>26</v>
      </c>
      <c r="AC103" s="52">
        <f>AB103*100/$AC$5</f>
        <v>41.269841269841272</v>
      </c>
      <c r="AD103" s="7"/>
      <c r="AE103" s="7"/>
      <c r="AF103" s="9" t="str">
        <f t="shared" si="146"/>
        <v>a) Mucho</v>
      </c>
      <c r="AG103" s="72">
        <f>J103</f>
        <v>35.714285714285715</v>
      </c>
      <c r="AH103" s="72">
        <f>L103</f>
        <v>44.444444444444443</v>
      </c>
      <c r="AI103" s="73">
        <f>H103</f>
        <v>39.130434782608695</v>
      </c>
      <c r="AJ103" s="73"/>
      <c r="AK103" s="76">
        <f>Q103</f>
        <v>42.857142857142854</v>
      </c>
      <c r="AL103" s="76">
        <f>S103</f>
        <v>38.461538461538467</v>
      </c>
      <c r="AM103" s="76">
        <f>O103</f>
        <v>40</v>
      </c>
      <c r="AN103" s="76"/>
      <c r="AO103" s="81">
        <f>X103</f>
        <v>60</v>
      </c>
      <c r="AP103" s="81">
        <f>Z103</f>
        <v>40</v>
      </c>
      <c r="AQ103" s="81">
        <f>V103</f>
        <v>45</v>
      </c>
      <c r="AR103" s="7"/>
      <c r="AS103" s="76">
        <f t="shared" si="121"/>
        <v>41.269841269841272</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x14ac:dyDescent="0.3">
      <c r="A104" s="8" t="s">
        <v>18</v>
      </c>
      <c r="B104" s="9" t="s">
        <v>103</v>
      </c>
      <c r="C104" s="7"/>
      <c r="D104" s="7"/>
      <c r="E104" s="7"/>
      <c r="F104" s="71">
        <v>66.66</v>
      </c>
      <c r="G104" s="51">
        <f>I104+K104</f>
        <v>6</v>
      </c>
      <c r="H104" s="52">
        <f>G104/$J$5*100</f>
        <v>26.086956521739129</v>
      </c>
      <c r="I104" s="53">
        <f>COUNTIFS('00 Encuesta'!$B$2:$B$511,"*d)*",'00 Encuesta'!$C$2:$C$511,"*a)*",'00 Encuesta'!$E$2:$E$511,"*a)*",'00 Encuesta'!$O$2:$O$511,"*b)*")</f>
        <v>4</v>
      </c>
      <c r="J104" s="52">
        <f>I104/$J$6*100</f>
        <v>28.571428571428569</v>
      </c>
      <c r="K104" s="53">
        <f>COUNTIFS('00 Encuesta'!$B$2:$B$511,"*d)*",'00 Encuesta'!$C$2:$C$511,"*a)*",'00 Encuesta'!$E$2:$E$511,"*b)*",'00 Encuesta'!$O$2:$O$511,"*b)*")</f>
        <v>2</v>
      </c>
      <c r="L104" s="52">
        <f>K104/$J$7*100</f>
        <v>22.222222222222221</v>
      </c>
      <c r="M104" s="23"/>
      <c r="N104" s="51">
        <f>P104+R104</f>
        <v>9</v>
      </c>
      <c r="O104" s="52">
        <f>N104/$Q$5*100</f>
        <v>45</v>
      </c>
      <c r="P104" s="53">
        <f>COUNTIFS('00 Encuesta'!$B$2:$B$511,"*d)*",'00 Encuesta'!$C$2:$C$511,"*b)*",'00 Encuesta'!$E$2:$E$511,"*a)*",'00 Encuesta'!$O$2:$O$511,"*b)*")</f>
        <v>3</v>
      </c>
      <c r="Q104" s="52">
        <f>P104/$Q$6*100</f>
        <v>42.857142857142854</v>
      </c>
      <c r="R104" s="53">
        <f>COUNTIFS('00 Encuesta'!$B$2:$B$511,"*d)*",'00 Encuesta'!$C$2:$C$511,"*b)*",'00 Encuesta'!$E$2:$E$511,"*b)*",'00 Encuesta'!$O$2:$O$511,"*b)*")</f>
        <v>6</v>
      </c>
      <c r="S104" s="52">
        <f>R104/$Q$7*100</f>
        <v>46.153846153846153</v>
      </c>
      <c r="T104" s="3"/>
      <c r="U104" s="51">
        <f>W104+Y104</f>
        <v>8</v>
      </c>
      <c r="V104" s="52">
        <f>U104/$X$5*100</f>
        <v>40</v>
      </c>
      <c r="W104" s="53">
        <f>COUNTIFS('00 Encuesta'!$B$2:$B$511,"*d)*",'00 Encuesta'!$C$2:$C$511,"*c)*",'00 Encuesta'!$E$2:$E$511,"*a)*",'00 Encuesta'!$O$2:$O$511,"*b)*")</f>
        <v>1</v>
      </c>
      <c r="X104" s="52">
        <f>W104/$X$6*100</f>
        <v>20</v>
      </c>
      <c r="Y104" s="53">
        <f>COUNTIFS('00 Encuesta'!$B$2:$B$511,"*d)*",'00 Encuesta'!$C$2:$C$511,"*c)*",'00 Encuesta'!$E$2:$E$511,"*b)*",'00 Encuesta'!$O$2:$O$511,"*b)*")</f>
        <v>7</v>
      </c>
      <c r="Z104" s="52">
        <f>Y104/$X$7*100</f>
        <v>46.666666666666664</v>
      </c>
      <c r="AA104" s="3"/>
      <c r="AB104" s="62">
        <f>G104+N104+U104</f>
        <v>23</v>
      </c>
      <c r="AC104" s="52">
        <f>AB104*100/$AC$5</f>
        <v>36.507936507936506</v>
      </c>
      <c r="AD104" s="7"/>
      <c r="AE104" s="7"/>
      <c r="AF104" s="9" t="str">
        <f t="shared" si="146"/>
        <v>b) Suficiente</v>
      </c>
      <c r="AG104" s="72">
        <f>J104</f>
        <v>28.571428571428569</v>
      </c>
      <c r="AH104" s="72">
        <f>L104</f>
        <v>22.222222222222221</v>
      </c>
      <c r="AI104" s="73">
        <f>H104</f>
        <v>26.086956521739129</v>
      </c>
      <c r="AJ104" s="73"/>
      <c r="AK104" s="76">
        <f>Q104</f>
        <v>42.857142857142854</v>
      </c>
      <c r="AL104" s="76">
        <f>S104</f>
        <v>46.153846153846153</v>
      </c>
      <c r="AM104" s="76">
        <f>O104</f>
        <v>45</v>
      </c>
      <c r="AN104" s="76"/>
      <c r="AO104" s="81">
        <f>X104</f>
        <v>20</v>
      </c>
      <c r="AP104" s="81">
        <f>Z104</f>
        <v>46.666666666666664</v>
      </c>
      <c r="AQ104" s="81">
        <f>V104</f>
        <v>40</v>
      </c>
      <c r="AR104" s="7"/>
      <c r="AS104" s="76">
        <f t="shared" si="121"/>
        <v>36.507936507936506</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x14ac:dyDescent="0.3">
      <c r="A105" s="8" t="s">
        <v>20</v>
      </c>
      <c r="B105" s="9" t="s">
        <v>104</v>
      </c>
      <c r="C105" s="7"/>
      <c r="D105" s="7"/>
      <c r="E105" s="7"/>
      <c r="F105" s="71">
        <v>33.33</v>
      </c>
      <c r="G105" s="51">
        <f>I105+K105</f>
        <v>8</v>
      </c>
      <c r="H105" s="52">
        <f>G105/$J$5*100</f>
        <v>34.782608695652172</v>
      </c>
      <c r="I105" s="53">
        <f>COUNTIFS('00 Encuesta'!$B$2:$B$511,"*d)*",'00 Encuesta'!$C$2:$C$511,"*a)*",'00 Encuesta'!$E$2:$E$511,"*a)*",'00 Encuesta'!$O$2:$O$511,"*c)*")</f>
        <v>5</v>
      </c>
      <c r="J105" s="52">
        <f>I105/$J$6*100</f>
        <v>35.714285714285715</v>
      </c>
      <c r="K105" s="53">
        <f>COUNTIFS('00 Encuesta'!$B$2:$B$511,"*d)*",'00 Encuesta'!$C$2:$C$511,"*a)*",'00 Encuesta'!$E$2:$E$511,"*b)*",'00 Encuesta'!$O$2:$O$511,"*c)*")</f>
        <v>3</v>
      </c>
      <c r="L105" s="52">
        <f>K105/$J$7*100</f>
        <v>33.333333333333329</v>
      </c>
      <c r="M105" s="23"/>
      <c r="N105" s="51">
        <f>P105+R105</f>
        <v>2</v>
      </c>
      <c r="O105" s="52">
        <f>N105/$Q$5*100</f>
        <v>10</v>
      </c>
      <c r="P105" s="53">
        <f>COUNTIFS('00 Encuesta'!$B$2:$B$511,"*d)*",'00 Encuesta'!$C$2:$C$511,"*b)*",'00 Encuesta'!$E$2:$E$511,"*a)*",'00 Encuesta'!$O$2:$O$511,"*c)*")</f>
        <v>1</v>
      </c>
      <c r="Q105" s="52">
        <f>P105/$Q$6*100</f>
        <v>14.285714285714285</v>
      </c>
      <c r="R105" s="53">
        <f>COUNTIFS('00 Encuesta'!$B$2:$B$511,"*d)*",'00 Encuesta'!$C$2:$C$511,"*b)*",'00 Encuesta'!$E$2:$E$511,"*b)*",'00 Encuesta'!$O$2:$O$511,"*c)*")</f>
        <v>1</v>
      </c>
      <c r="S105" s="52">
        <f>R105/$Q$7*100</f>
        <v>7.6923076923076925</v>
      </c>
      <c r="T105" s="3"/>
      <c r="U105" s="51">
        <f>W105+Y105</f>
        <v>2</v>
      </c>
      <c r="V105" s="52">
        <f>U105/$X$5*100</f>
        <v>10</v>
      </c>
      <c r="W105" s="53">
        <f>COUNTIFS('00 Encuesta'!$B$2:$B$511,"*d)*",'00 Encuesta'!$C$2:$C$511,"*c)*",'00 Encuesta'!$E$2:$E$511,"*a)*",'00 Encuesta'!$O$2:$O$511,"*c)*")</f>
        <v>0</v>
      </c>
      <c r="X105" s="52">
        <f>W105/$X$6*100</f>
        <v>0</v>
      </c>
      <c r="Y105" s="53">
        <f>COUNTIFS('00 Encuesta'!$B$2:$B$511,"*d)*",'00 Encuesta'!$C$2:$C$511,"*c)*",'00 Encuesta'!$E$2:$E$511,"*b)*",'00 Encuesta'!$O$2:$O$511,"*c)*")</f>
        <v>2</v>
      </c>
      <c r="Z105" s="52">
        <f>Y105/$X$7*100</f>
        <v>13.333333333333334</v>
      </c>
      <c r="AA105" s="3"/>
      <c r="AB105" s="62">
        <f>G105+N105+U105</f>
        <v>12</v>
      </c>
      <c r="AC105" s="52">
        <f>AB105*100/$AC$5</f>
        <v>19.047619047619047</v>
      </c>
      <c r="AD105" s="7"/>
      <c r="AE105" s="7"/>
      <c r="AF105" s="9" t="str">
        <f t="shared" si="146"/>
        <v>c) Poco</v>
      </c>
      <c r="AG105" s="72">
        <f>J105</f>
        <v>35.714285714285715</v>
      </c>
      <c r="AH105" s="72">
        <f>L105</f>
        <v>33.333333333333329</v>
      </c>
      <c r="AI105" s="73">
        <f>H105</f>
        <v>34.782608695652172</v>
      </c>
      <c r="AJ105" s="73"/>
      <c r="AK105" s="76">
        <f>Q105</f>
        <v>14.285714285714285</v>
      </c>
      <c r="AL105" s="76">
        <f>S105</f>
        <v>7.6923076923076925</v>
      </c>
      <c r="AM105" s="76">
        <f>O105</f>
        <v>10</v>
      </c>
      <c r="AN105" s="76"/>
      <c r="AO105" s="81">
        <f>X105</f>
        <v>0</v>
      </c>
      <c r="AP105" s="81">
        <f>Z105</f>
        <v>13.333333333333334</v>
      </c>
      <c r="AQ105" s="81">
        <f>V105</f>
        <v>10</v>
      </c>
      <c r="AR105" s="7"/>
      <c r="AS105" s="76">
        <f t="shared" si="121"/>
        <v>19.047619047619047</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x14ac:dyDescent="0.3">
      <c r="A106" s="8" t="s">
        <v>21</v>
      </c>
      <c r="B106" s="9" t="s">
        <v>105</v>
      </c>
      <c r="C106" s="7"/>
      <c r="D106" s="7"/>
      <c r="E106" s="7"/>
      <c r="F106" s="71">
        <v>0</v>
      </c>
      <c r="G106" s="51">
        <f>I106+K106</f>
        <v>0</v>
      </c>
      <c r="H106" s="52">
        <f>G106/$J$5*100</f>
        <v>0</v>
      </c>
      <c r="I106" s="53">
        <f>COUNTIFS('00 Encuesta'!$B$2:$B$511,"*d)*",'00 Encuesta'!$C$2:$C$511,"*a)*",'00 Encuesta'!$E$2:$E$511,"*a)*",'00 Encuesta'!$O$2:$O$511,"*d)*")</f>
        <v>0</v>
      </c>
      <c r="J106" s="52">
        <f>I106/$J$6*100</f>
        <v>0</v>
      </c>
      <c r="K106" s="53">
        <f>COUNTIFS('00 Encuesta'!$B$2:$B$511,"*d)*",'00 Encuesta'!$C$2:$C$511,"*a)*",'00 Encuesta'!$E$2:$E$511,"*b)*",'00 Encuesta'!$O$2:$O$511,"*d)*")</f>
        <v>0</v>
      </c>
      <c r="L106" s="52">
        <f>K106/$J$7*100</f>
        <v>0</v>
      </c>
      <c r="M106" s="23"/>
      <c r="N106" s="51">
        <f>P106+R106</f>
        <v>1</v>
      </c>
      <c r="O106" s="52">
        <f>N106/$Q$5*100</f>
        <v>5</v>
      </c>
      <c r="P106" s="53">
        <f>COUNTIFS('00 Encuesta'!$B$2:$B$511,"*d)*",'00 Encuesta'!$C$2:$C$511,"*b)*",'00 Encuesta'!$E$2:$E$511,"*a)*",'00 Encuesta'!$O$2:$O$511,"*d)*")</f>
        <v>0</v>
      </c>
      <c r="Q106" s="52">
        <f>P106/$Q$6*100</f>
        <v>0</v>
      </c>
      <c r="R106" s="53">
        <f>COUNTIFS('00 Encuesta'!$B$2:$B$511,"*d)*",'00 Encuesta'!$C$2:$C$511,"*b)*",'00 Encuesta'!$E$2:$E$511,"*b)*",'00 Encuesta'!$O$2:$O$511,"*d)*")</f>
        <v>1</v>
      </c>
      <c r="S106" s="52">
        <f>R106/$Q$7*100</f>
        <v>7.6923076923076925</v>
      </c>
      <c r="T106" s="3"/>
      <c r="U106" s="51">
        <f>W106+Y106</f>
        <v>1</v>
      </c>
      <c r="V106" s="52">
        <f>U106/$X$5*100</f>
        <v>5</v>
      </c>
      <c r="W106" s="53">
        <f>COUNTIFS('00 Encuesta'!$B$2:$B$511,"*d)*",'00 Encuesta'!$C$2:$C$511,"*c)*",'00 Encuesta'!$E$2:$E$511,"*a)*",'00 Encuesta'!$O$2:$O$511,"*d)*")</f>
        <v>1</v>
      </c>
      <c r="X106" s="52">
        <f>W106/$X$6*100</f>
        <v>20</v>
      </c>
      <c r="Y106" s="53">
        <f>COUNTIFS('00 Encuesta'!$B$2:$B$511,"*d)*",'00 Encuesta'!$C$2:$C$511,"*c)*",'00 Encuesta'!$E$2:$E$511,"*b)*",'00 Encuesta'!$O$2:$O$511,"*d)*")</f>
        <v>0</v>
      </c>
      <c r="Z106" s="52">
        <f>Y106/$X$7*100</f>
        <v>0</v>
      </c>
      <c r="AA106" s="3"/>
      <c r="AB106" s="62">
        <f>G106+N106+U106</f>
        <v>2</v>
      </c>
      <c r="AC106" s="52">
        <f>AB106*100/$AC$5</f>
        <v>3.1746031746031744</v>
      </c>
      <c r="AD106" s="7"/>
      <c r="AE106" s="7"/>
      <c r="AF106" s="9" t="str">
        <f t="shared" si="146"/>
        <v>d) Nada</v>
      </c>
      <c r="AG106" s="72">
        <f>J106</f>
        <v>0</v>
      </c>
      <c r="AH106" s="72">
        <f>L106</f>
        <v>0</v>
      </c>
      <c r="AI106" s="73">
        <f>H106</f>
        <v>0</v>
      </c>
      <c r="AJ106" s="73"/>
      <c r="AK106" s="76">
        <f>Q106</f>
        <v>0</v>
      </c>
      <c r="AL106" s="76">
        <f>S106</f>
        <v>7.6923076923076925</v>
      </c>
      <c r="AM106" s="76">
        <f>O106</f>
        <v>5</v>
      </c>
      <c r="AN106" s="76"/>
      <c r="AO106" s="81">
        <f>X106</f>
        <v>20</v>
      </c>
      <c r="AP106" s="81">
        <f>Z106</f>
        <v>0</v>
      </c>
      <c r="AQ106" s="81">
        <f>V106</f>
        <v>5</v>
      </c>
      <c r="AR106" s="7"/>
      <c r="AS106" s="76">
        <f t="shared" si="121"/>
        <v>3.1746031746031744</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x14ac:dyDescent="0.3">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f>N107/$Q$5*100</f>
        <v>0</v>
      </c>
      <c r="P107" s="53"/>
      <c r="Q107" s="52">
        <f>P107/$Q$6*100</f>
        <v>0</v>
      </c>
      <c r="R107" s="53"/>
      <c r="S107" s="52">
        <f>R107/$Q$7*100</f>
        <v>0</v>
      </c>
      <c r="T107" s="3"/>
      <c r="U107" s="51">
        <f>W107+Y107</f>
        <v>0</v>
      </c>
      <c r="V107" s="52">
        <f>U107/$X$5*100</f>
        <v>0</v>
      </c>
      <c r="W107" s="53"/>
      <c r="X107" s="52">
        <f>W107/$X$6*100</f>
        <v>0</v>
      </c>
      <c r="Y107" s="53"/>
      <c r="Z107" s="52">
        <f>Y107/$X$7*100</f>
        <v>0</v>
      </c>
      <c r="AA107" s="3"/>
      <c r="AB107" s="62">
        <f>G107+N107+U107</f>
        <v>0</v>
      </c>
      <c r="AC107" s="52">
        <f>AB107*100/$AC$5</f>
        <v>0</v>
      </c>
      <c r="AD107" s="7"/>
      <c r="AE107" s="7"/>
      <c r="AF107" s="9" t="str">
        <f t="shared" si="146"/>
        <v>S/R Sin Respuesta</v>
      </c>
      <c r="AG107" s="72">
        <f>J107</f>
        <v>0</v>
      </c>
      <c r="AH107" s="72">
        <f>L107</f>
        <v>0</v>
      </c>
      <c r="AI107" s="73">
        <f>H107</f>
        <v>0</v>
      </c>
      <c r="AJ107" s="73"/>
      <c r="AK107" s="76">
        <f>Q107</f>
        <v>0</v>
      </c>
      <c r="AL107" s="76">
        <f>S107</f>
        <v>0</v>
      </c>
      <c r="AM107" s="76">
        <f>O107</f>
        <v>0</v>
      </c>
      <c r="AN107" s="76"/>
      <c r="AO107" s="81">
        <f>X107</f>
        <v>0</v>
      </c>
      <c r="AP107" s="81">
        <f>Z107</f>
        <v>0</v>
      </c>
      <c r="AQ107" s="81">
        <f>V107</f>
        <v>0</v>
      </c>
      <c r="AR107" s="7"/>
      <c r="AS107" s="76">
        <f t="shared" si="121"/>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x14ac:dyDescent="0.3">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66.66357142857143</v>
      </c>
      <c r="AH108" s="82">
        <f>($F103*K103+$F104*K104+$F105*K105+$F106*K106)/(+K103+K104+K105+K106)</f>
        <v>70.367777777777775</v>
      </c>
      <c r="AI108" s="82">
        <f>($F103*G103+$F104*G104+$F105*G105+$F106*G106)/(G103+G104+G105+G106)</f>
        <v>68.113043478260863</v>
      </c>
      <c r="AJ108" s="82"/>
      <c r="AK108" s="82">
        <f>($F103*P103+$F104*P104+$F105*P105+$F106*P106)/(P103+P104+P105+P106)</f>
        <v>76.187142857142859</v>
      </c>
      <c r="AL108" s="82">
        <f>($F103*R103+$F104*R104+$F105*R105+$F106*R106)/(R103+R104+R105+R106)</f>
        <v>71.791538461538465</v>
      </c>
      <c r="AM108" s="82">
        <f>($F103*N103+$F104*N104+$F105*N105+$F106*N106)/(N103+N104+N105+N106)</f>
        <v>73.330000000000013</v>
      </c>
      <c r="AN108" s="82"/>
      <c r="AO108" s="82">
        <f>($F103*W103+$F104*W104+$F105*W105+$F106*W106)/(W103+W104+W105+W106)</f>
        <v>73.331999999999994</v>
      </c>
      <c r="AP108" s="82">
        <f>($F103*Y103+$F104*Y104+$F105*Y105+$F106*Y106)/(Y103+Y104+Y105+Y106)</f>
        <v>75.551999999999992</v>
      </c>
      <c r="AQ108" s="82">
        <f>($F103*U103+$F104*U104+$F105*U105+$F106*U106)/(U103+U104+U105+U106)</f>
        <v>74.997</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x14ac:dyDescent="0.3">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x14ac:dyDescent="0.3">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x14ac:dyDescent="0.3">
      <c r="A111" s="8" t="s">
        <v>17</v>
      </c>
      <c r="B111" s="9" t="s">
        <v>102</v>
      </c>
      <c r="C111" s="7"/>
      <c r="D111" s="7"/>
      <c r="E111" s="7"/>
      <c r="F111" s="71">
        <v>100</v>
      </c>
      <c r="G111" s="51">
        <f>I111+K111</f>
        <v>4</v>
      </c>
      <c r="H111" s="52">
        <f>G111/$J$5*100</f>
        <v>17.391304347826086</v>
      </c>
      <c r="I111" s="53">
        <f>COUNTIFS('00 Encuesta'!$B$2:$B$511,"*d)*",'00 Encuesta'!$C$2:$C$511,"*a)*",'00 Encuesta'!$E$2:$E$511,"*a)*",'00 Encuesta'!$P$2:$P$511,"*a)*")</f>
        <v>3</v>
      </c>
      <c r="J111" s="52">
        <f>I111/$J$6*100</f>
        <v>21.428571428571427</v>
      </c>
      <c r="K111" s="53">
        <f>COUNTIFS('00 Encuesta'!$B$2:$B$511,"*d)*",'00 Encuesta'!$C$2:$C$511,"*a)*",'00 Encuesta'!$E$2:$E$511,"*b)*",'00 Encuesta'!$P$2:$P$511,"*a)*")</f>
        <v>1</v>
      </c>
      <c r="L111" s="52">
        <f>K111/$J$7*100</f>
        <v>11.111111111111111</v>
      </c>
      <c r="M111" s="23"/>
      <c r="N111" s="51">
        <f>P111+R111</f>
        <v>6</v>
      </c>
      <c r="O111" s="52">
        <f>N111/$Q$5*100</f>
        <v>30</v>
      </c>
      <c r="P111" s="53">
        <f>COUNTIFS('00 Encuesta'!$B$2:$B$511,"*d)*",'00 Encuesta'!$C$2:$C$511,"*b)*",'00 Encuesta'!$E$2:$E$511,"*a)*",'00 Encuesta'!$P$2:$P$511,"*a)*")</f>
        <v>1</v>
      </c>
      <c r="Q111" s="52">
        <f>P111/$Q$6*100</f>
        <v>14.285714285714285</v>
      </c>
      <c r="R111" s="53">
        <f>COUNTIFS('00 Encuesta'!$B$2:$B$511,"*d)*",'00 Encuesta'!$C$2:$C$511,"*b)*",'00 Encuesta'!$E$2:$E$511,"*b)*",'00 Encuesta'!$P$2:$P$511,"*a)*")</f>
        <v>5</v>
      </c>
      <c r="S111" s="52">
        <f>R111/$Q$7*100</f>
        <v>38.461538461538467</v>
      </c>
      <c r="T111" s="3"/>
      <c r="U111" s="51">
        <f>W111+Y111</f>
        <v>3</v>
      </c>
      <c r="V111" s="52">
        <f>U111/$X$5*100</f>
        <v>15</v>
      </c>
      <c r="W111" s="53">
        <f>COUNTIFS('00 Encuesta'!$B$2:$B$511,"*d)*",'00 Encuesta'!$C$2:$C$511,"*c)*",'00 Encuesta'!$E$2:$E$511,"*a)*",'00 Encuesta'!$P$2:$P$511,"*a)*")</f>
        <v>2</v>
      </c>
      <c r="X111" s="52">
        <f>W111/$X$6*100</f>
        <v>40</v>
      </c>
      <c r="Y111" s="53">
        <f>COUNTIFS('00 Encuesta'!$B$2:$B$511,"*d)*",'00 Encuesta'!$C$2:$C$511,"*c)*",'00 Encuesta'!$E$2:$E$511,"*b)*",'00 Encuesta'!$P$2:$P$511,"*a)*")</f>
        <v>1</v>
      </c>
      <c r="Z111" s="52">
        <f>Y111/$X$7*100</f>
        <v>6.666666666666667</v>
      </c>
      <c r="AA111" s="3"/>
      <c r="AB111" s="62">
        <f>G111+N111+U111</f>
        <v>13</v>
      </c>
      <c r="AC111" s="52">
        <f>AB111*100/$AC$5</f>
        <v>20.634920634920636</v>
      </c>
      <c r="AD111" s="7"/>
      <c r="AE111" s="7"/>
      <c r="AF111" s="9" t="str">
        <f t="shared" si="147"/>
        <v>a) Mucho</v>
      </c>
      <c r="AG111" s="72">
        <f>J111</f>
        <v>21.428571428571427</v>
      </c>
      <c r="AH111" s="72">
        <f>L111</f>
        <v>11.111111111111111</v>
      </c>
      <c r="AI111" s="73">
        <f>H111</f>
        <v>17.391304347826086</v>
      </c>
      <c r="AJ111" s="73"/>
      <c r="AK111" s="76">
        <f>Q111</f>
        <v>14.285714285714285</v>
      </c>
      <c r="AL111" s="76">
        <f>S111</f>
        <v>38.461538461538467</v>
      </c>
      <c r="AM111" s="76">
        <f>O111</f>
        <v>30</v>
      </c>
      <c r="AN111" s="76"/>
      <c r="AO111" s="81">
        <f>X111</f>
        <v>40</v>
      </c>
      <c r="AP111" s="81">
        <f>Z111</f>
        <v>6.666666666666667</v>
      </c>
      <c r="AQ111" s="81">
        <f>V111</f>
        <v>15</v>
      </c>
      <c r="AR111" s="7"/>
      <c r="AS111" s="76">
        <f t="shared" si="121"/>
        <v>20.634920634920636</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x14ac:dyDescent="0.3">
      <c r="A112" s="8" t="s">
        <v>18</v>
      </c>
      <c r="B112" s="9" t="s">
        <v>103</v>
      </c>
      <c r="C112" s="7"/>
      <c r="D112" s="7"/>
      <c r="E112" s="7"/>
      <c r="F112" s="71">
        <v>66.66</v>
      </c>
      <c r="G112" s="51">
        <f>I112+K112</f>
        <v>6</v>
      </c>
      <c r="H112" s="52">
        <f>G112/$J$5*100</f>
        <v>26.086956521739129</v>
      </c>
      <c r="I112" s="53">
        <f>COUNTIFS('00 Encuesta'!$B$2:$B$511,"*d)*",'00 Encuesta'!$C$2:$C$511,"*a)*",'00 Encuesta'!$E$2:$E$511,"*a)*",'00 Encuesta'!$P$2:$P$511,"*b)*")</f>
        <v>3</v>
      </c>
      <c r="J112" s="52">
        <f>I112/$J$6*100</f>
        <v>21.428571428571427</v>
      </c>
      <c r="K112" s="53">
        <f>COUNTIFS('00 Encuesta'!$B$2:$B$511,"*d)*",'00 Encuesta'!$C$2:$C$511,"*a)*",'00 Encuesta'!$E$2:$E$511,"*b)*",'00 Encuesta'!$P$2:$P$511,"*b)*")</f>
        <v>3</v>
      </c>
      <c r="L112" s="52">
        <f>K112/$J$7*100</f>
        <v>33.333333333333329</v>
      </c>
      <c r="M112" s="23"/>
      <c r="N112" s="51">
        <f>P112+R112</f>
        <v>7</v>
      </c>
      <c r="O112" s="52">
        <f>N112/$Q$5*100</f>
        <v>35</v>
      </c>
      <c r="P112" s="53">
        <f>COUNTIFS('00 Encuesta'!$B$2:$B$511,"*d)*",'00 Encuesta'!$C$2:$C$511,"*b)*",'00 Encuesta'!$E$2:$E$511,"*a)*",'00 Encuesta'!$P$2:$P$511,"*b)*")</f>
        <v>3</v>
      </c>
      <c r="Q112" s="52">
        <f>P112/$Q$6*100</f>
        <v>42.857142857142854</v>
      </c>
      <c r="R112" s="53">
        <f>COUNTIFS('00 Encuesta'!$B$2:$B$511,"*d)*",'00 Encuesta'!$C$2:$C$511,"*b)*",'00 Encuesta'!$E$2:$E$511,"*b)*",'00 Encuesta'!$P$2:$P$511,"*b)*")</f>
        <v>4</v>
      </c>
      <c r="S112" s="52">
        <f>R112/$Q$7*100</f>
        <v>30.76923076923077</v>
      </c>
      <c r="T112" s="3"/>
      <c r="U112" s="51">
        <f>W112+Y112</f>
        <v>8</v>
      </c>
      <c r="V112" s="52">
        <f>U112/$X$5*100</f>
        <v>40</v>
      </c>
      <c r="W112" s="53">
        <f>COUNTIFS('00 Encuesta'!$B$2:$B$511,"*d)*",'00 Encuesta'!$C$2:$C$511,"*c)*",'00 Encuesta'!$E$2:$E$511,"*a)*",'00 Encuesta'!$P$2:$P$511,"*b)*")</f>
        <v>1</v>
      </c>
      <c r="X112" s="52">
        <f>W112/$X$6*100</f>
        <v>20</v>
      </c>
      <c r="Y112" s="53">
        <f>COUNTIFS('00 Encuesta'!$B$2:$B$511,"*d)*",'00 Encuesta'!$C$2:$C$511,"*c)*",'00 Encuesta'!$E$2:$E$511,"*b)*",'00 Encuesta'!$P$2:$P$511,"*b)*")</f>
        <v>7</v>
      </c>
      <c r="Z112" s="52">
        <f>Y112/$X$7*100</f>
        <v>46.666666666666664</v>
      </c>
      <c r="AA112" s="3"/>
      <c r="AB112" s="62">
        <f>G112+N112+U112</f>
        <v>21</v>
      </c>
      <c r="AC112" s="52">
        <f>AB112*100/$AC$5</f>
        <v>33.333333333333336</v>
      </c>
      <c r="AD112" s="7"/>
      <c r="AE112" s="7"/>
      <c r="AF112" s="9" t="str">
        <f t="shared" si="147"/>
        <v>b) Suficiente</v>
      </c>
      <c r="AG112" s="72">
        <f>J112</f>
        <v>21.428571428571427</v>
      </c>
      <c r="AH112" s="72">
        <f>L112</f>
        <v>33.333333333333329</v>
      </c>
      <c r="AI112" s="73">
        <f>H112</f>
        <v>26.086956521739129</v>
      </c>
      <c r="AJ112" s="73"/>
      <c r="AK112" s="76">
        <f>Q112</f>
        <v>42.857142857142854</v>
      </c>
      <c r="AL112" s="76">
        <f>S112</f>
        <v>30.76923076923077</v>
      </c>
      <c r="AM112" s="76">
        <f>O112</f>
        <v>35</v>
      </c>
      <c r="AN112" s="76"/>
      <c r="AO112" s="81">
        <f>X112</f>
        <v>20</v>
      </c>
      <c r="AP112" s="81">
        <f>Z112</f>
        <v>46.666666666666664</v>
      </c>
      <c r="AQ112" s="81">
        <f>V112</f>
        <v>40</v>
      </c>
      <c r="AR112" s="7"/>
      <c r="AS112" s="76">
        <f t="shared" si="121"/>
        <v>33.333333333333336</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x14ac:dyDescent="0.3">
      <c r="A113" s="8" t="s">
        <v>20</v>
      </c>
      <c r="B113" s="9" t="s">
        <v>104</v>
      </c>
      <c r="C113" s="7"/>
      <c r="D113" s="7"/>
      <c r="E113" s="7"/>
      <c r="F113" s="71">
        <v>33.33</v>
      </c>
      <c r="G113" s="51">
        <f>I113+K113</f>
        <v>12</v>
      </c>
      <c r="H113" s="52">
        <f>G113/$J$5*100</f>
        <v>52.173913043478258</v>
      </c>
      <c r="I113" s="53">
        <f>COUNTIFS('00 Encuesta'!$B$2:$B$511,"*d)*",'00 Encuesta'!$C$2:$C$511,"*a)*",'00 Encuesta'!$E$2:$E$511,"*a)*",'00 Encuesta'!$P$2:$P$511,"*c)*")</f>
        <v>7</v>
      </c>
      <c r="J113" s="52">
        <f>I113/$J$6*100</f>
        <v>50</v>
      </c>
      <c r="K113" s="53">
        <f>COUNTIFS('00 Encuesta'!$B$2:$B$511,"*d)*",'00 Encuesta'!$C$2:$C$511,"*a)*",'00 Encuesta'!$E$2:$E$511,"*b)*",'00 Encuesta'!$P$2:$P$511,"*c)*")</f>
        <v>5</v>
      </c>
      <c r="L113" s="52">
        <f>K113/$J$7*100</f>
        <v>55.555555555555557</v>
      </c>
      <c r="M113" s="23"/>
      <c r="N113" s="51">
        <f>P113+R113</f>
        <v>5</v>
      </c>
      <c r="O113" s="52">
        <f>N113/$Q$5*100</f>
        <v>25</v>
      </c>
      <c r="P113" s="53">
        <f>COUNTIFS('00 Encuesta'!$B$2:$B$511,"*d)*",'00 Encuesta'!$C$2:$C$511,"*b)*",'00 Encuesta'!$E$2:$E$511,"*a)*",'00 Encuesta'!$P$2:$P$511,"*c)*")</f>
        <v>2</v>
      </c>
      <c r="Q113" s="52">
        <f>P113/$Q$6*100</f>
        <v>28.571428571428569</v>
      </c>
      <c r="R113" s="53">
        <f>COUNTIFS('00 Encuesta'!$B$2:$B$511,"*d)*",'00 Encuesta'!$C$2:$C$511,"*b)*",'00 Encuesta'!$E$2:$E$511,"*b)*",'00 Encuesta'!$P$2:$P$511,"*c)*")</f>
        <v>3</v>
      </c>
      <c r="S113" s="52">
        <f>R113/$Q$7*100</f>
        <v>23.076923076923077</v>
      </c>
      <c r="T113" s="3"/>
      <c r="U113" s="51">
        <f>W113+Y113</f>
        <v>7</v>
      </c>
      <c r="V113" s="52">
        <f>U113/$X$5*100</f>
        <v>35</v>
      </c>
      <c r="W113" s="53">
        <f>COUNTIFS('00 Encuesta'!$B$2:$B$511,"*d)*",'00 Encuesta'!$C$2:$C$511,"*c)*",'00 Encuesta'!$E$2:$E$511,"*a)*",'00 Encuesta'!$P$2:$P$511,"*c)*")</f>
        <v>2</v>
      </c>
      <c r="X113" s="52">
        <f>W113/$X$6*100</f>
        <v>40</v>
      </c>
      <c r="Y113" s="53">
        <f>COUNTIFS('00 Encuesta'!$B$2:$B$511,"*d)*",'00 Encuesta'!$C$2:$C$511,"*c)*",'00 Encuesta'!$E$2:$E$511,"*b)*",'00 Encuesta'!$P$2:$P$511,"*c)*")</f>
        <v>5</v>
      </c>
      <c r="Z113" s="52">
        <f>Y113/$X$7*100</f>
        <v>33.333333333333329</v>
      </c>
      <c r="AA113" s="3"/>
      <c r="AB113" s="62">
        <f>G113+N113+U113</f>
        <v>24</v>
      </c>
      <c r="AC113" s="52">
        <f>AB113*100/$AC$5</f>
        <v>38.095238095238095</v>
      </c>
      <c r="AD113" s="7"/>
      <c r="AE113" s="7"/>
      <c r="AF113" s="9" t="str">
        <f t="shared" si="147"/>
        <v>c) Poco</v>
      </c>
      <c r="AG113" s="72">
        <f>J113</f>
        <v>50</v>
      </c>
      <c r="AH113" s="72">
        <f>L113</f>
        <v>55.555555555555557</v>
      </c>
      <c r="AI113" s="73">
        <f>H113</f>
        <v>52.173913043478258</v>
      </c>
      <c r="AJ113" s="73"/>
      <c r="AK113" s="76">
        <f>Q113</f>
        <v>28.571428571428569</v>
      </c>
      <c r="AL113" s="76">
        <f>S113</f>
        <v>23.076923076923077</v>
      </c>
      <c r="AM113" s="76">
        <f>O113</f>
        <v>25</v>
      </c>
      <c r="AN113" s="76"/>
      <c r="AO113" s="81">
        <f>X113</f>
        <v>40</v>
      </c>
      <c r="AP113" s="81">
        <f>Z113</f>
        <v>33.333333333333329</v>
      </c>
      <c r="AQ113" s="81">
        <f>V113</f>
        <v>35</v>
      </c>
      <c r="AR113" s="7"/>
      <c r="AS113" s="76">
        <f t="shared" si="121"/>
        <v>38.095238095238095</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x14ac:dyDescent="0.3">
      <c r="A114" s="8" t="s">
        <v>21</v>
      </c>
      <c r="B114" s="9" t="s">
        <v>105</v>
      </c>
      <c r="C114" s="7"/>
      <c r="D114" s="7"/>
      <c r="E114" s="7"/>
      <c r="F114" s="71">
        <v>0</v>
      </c>
      <c r="G114" s="51">
        <f>I114+K114</f>
        <v>1</v>
      </c>
      <c r="H114" s="52">
        <f>G114/$J$5*100</f>
        <v>4.3478260869565215</v>
      </c>
      <c r="I114" s="53">
        <f>COUNTIFS('00 Encuesta'!$B$2:$B$511,"*d)*",'00 Encuesta'!$C$2:$C$511,"*a)*",'00 Encuesta'!$E$2:$E$511,"*a)*",'00 Encuesta'!$P$2:$P$511,"*d)*")</f>
        <v>1</v>
      </c>
      <c r="J114" s="52">
        <f>I114/$J$6*100</f>
        <v>7.1428571428571423</v>
      </c>
      <c r="K114" s="53">
        <f>COUNTIFS('00 Encuesta'!$B$2:$B$511,"*d)*",'00 Encuesta'!$C$2:$C$511,"*a)*",'00 Encuesta'!$E$2:$E$511,"*b)*",'00 Encuesta'!$P$2:$P$511,"*d)*")</f>
        <v>0</v>
      </c>
      <c r="L114" s="52">
        <f>K114/$J$7*100</f>
        <v>0</v>
      </c>
      <c r="M114" s="23"/>
      <c r="N114" s="51">
        <f>P114+R114</f>
        <v>2</v>
      </c>
      <c r="O114" s="52">
        <f>N114/$Q$5*100</f>
        <v>10</v>
      </c>
      <c r="P114" s="53">
        <f>COUNTIFS('00 Encuesta'!$B$2:$B$511,"*d)*",'00 Encuesta'!$C$2:$C$511,"*b)*",'00 Encuesta'!$E$2:$E$511,"*a)*",'00 Encuesta'!$P$2:$P$511,"*d)*")</f>
        <v>1</v>
      </c>
      <c r="Q114" s="52">
        <f>P114/$Q$6*100</f>
        <v>14.285714285714285</v>
      </c>
      <c r="R114" s="53">
        <f>COUNTIFS('00 Encuesta'!$B$2:$B$511,"*d)*",'00 Encuesta'!$C$2:$C$511,"*b)*",'00 Encuesta'!$E$2:$E$511,"*b)*",'00 Encuesta'!$P$2:$P$511,"*d)*")</f>
        <v>1</v>
      </c>
      <c r="S114" s="52">
        <f>R114/$Q$7*100</f>
        <v>7.6923076923076925</v>
      </c>
      <c r="T114" s="3"/>
      <c r="U114" s="51">
        <f>W114+Y114</f>
        <v>1</v>
      </c>
      <c r="V114" s="52">
        <f>U114/$X$5*100</f>
        <v>5</v>
      </c>
      <c r="W114" s="53">
        <f>COUNTIFS('00 Encuesta'!$B$2:$B$511,"*d)*",'00 Encuesta'!$C$2:$C$511,"*c)*",'00 Encuesta'!$E$2:$E$511,"*a)*",'00 Encuesta'!$P$2:$P$511,"*d)*")</f>
        <v>0</v>
      </c>
      <c r="X114" s="52">
        <f>W114/$X$6*100</f>
        <v>0</v>
      </c>
      <c r="Y114" s="53">
        <f>COUNTIFS('00 Encuesta'!$B$2:$B$511,"*d)*",'00 Encuesta'!$C$2:$C$511,"*c)*",'00 Encuesta'!$E$2:$E$511,"*b)*",'00 Encuesta'!$P$2:$P$511,"*d)*")</f>
        <v>1</v>
      </c>
      <c r="Z114" s="52">
        <f>Y114/$X$7*100</f>
        <v>6.666666666666667</v>
      </c>
      <c r="AA114" s="3"/>
      <c r="AB114" s="62">
        <f>G114+N114+U114</f>
        <v>4</v>
      </c>
      <c r="AC114" s="52">
        <f>AB114*100/$AC$5</f>
        <v>6.3492063492063489</v>
      </c>
      <c r="AD114" s="7"/>
      <c r="AE114" s="7"/>
      <c r="AF114" s="9" t="str">
        <f t="shared" si="147"/>
        <v>d) Nada</v>
      </c>
      <c r="AG114" s="72">
        <f>J114</f>
        <v>7.1428571428571423</v>
      </c>
      <c r="AH114" s="72">
        <f>L114</f>
        <v>0</v>
      </c>
      <c r="AI114" s="73">
        <f>H114</f>
        <v>4.3478260869565215</v>
      </c>
      <c r="AJ114" s="73"/>
      <c r="AK114" s="76">
        <f>Q114</f>
        <v>14.285714285714285</v>
      </c>
      <c r="AL114" s="76">
        <f>S114</f>
        <v>7.6923076923076925</v>
      </c>
      <c r="AM114" s="76">
        <f>O114</f>
        <v>10</v>
      </c>
      <c r="AN114" s="76"/>
      <c r="AO114" s="81">
        <f>X114</f>
        <v>0</v>
      </c>
      <c r="AP114" s="81">
        <f>Z114</f>
        <v>6.666666666666667</v>
      </c>
      <c r="AQ114" s="81">
        <f>V114</f>
        <v>5</v>
      </c>
      <c r="AR114" s="7"/>
      <c r="AS114" s="76">
        <f t="shared" si="121"/>
        <v>6.3492063492063489</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x14ac:dyDescent="0.3">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f>N115/$Q$5*100</f>
        <v>0</v>
      </c>
      <c r="P115" s="53"/>
      <c r="Q115" s="52">
        <f>P115/$Q$6*100</f>
        <v>0</v>
      </c>
      <c r="R115" s="53"/>
      <c r="S115" s="52">
        <f>R115/$Q$7*100</f>
        <v>0</v>
      </c>
      <c r="T115" s="3"/>
      <c r="U115" s="51">
        <f>W115+Y115</f>
        <v>0</v>
      </c>
      <c r="V115" s="52">
        <f>U115/$X$5*100</f>
        <v>0</v>
      </c>
      <c r="W115" s="53"/>
      <c r="X115" s="52">
        <f>W115/$X$6*100</f>
        <v>0</v>
      </c>
      <c r="Y115" s="53"/>
      <c r="Z115" s="52">
        <f>Y115/$X$7*100</f>
        <v>0</v>
      </c>
      <c r="AA115" s="3"/>
      <c r="AB115" s="62">
        <f>G115+N115+U115</f>
        <v>0</v>
      </c>
      <c r="AC115" s="52">
        <f>AB115*100/$AC$5</f>
        <v>0</v>
      </c>
      <c r="AD115" s="7"/>
      <c r="AE115" s="7"/>
      <c r="AF115" s="9" t="str">
        <f t="shared" si="147"/>
        <v>S/R Sin Respuesta</v>
      </c>
      <c r="AG115" s="72">
        <f>J115</f>
        <v>0</v>
      </c>
      <c r="AH115" s="72">
        <f>L115</f>
        <v>0</v>
      </c>
      <c r="AI115" s="73">
        <f>H115</f>
        <v>0</v>
      </c>
      <c r="AJ115" s="73"/>
      <c r="AK115" s="76">
        <f>Q115</f>
        <v>0</v>
      </c>
      <c r="AL115" s="76">
        <f>S115</f>
        <v>0</v>
      </c>
      <c r="AM115" s="76">
        <f>O115</f>
        <v>0</v>
      </c>
      <c r="AN115" s="76"/>
      <c r="AO115" s="81">
        <f>X115</f>
        <v>0</v>
      </c>
      <c r="AP115" s="81">
        <f>Z115</f>
        <v>0</v>
      </c>
      <c r="AQ115" s="81">
        <f>V115</f>
        <v>0</v>
      </c>
      <c r="AR115" s="7"/>
      <c r="AS115" s="76">
        <f t="shared" si="121"/>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x14ac:dyDescent="0.3">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52.377857142857138</v>
      </c>
      <c r="AH116" s="82">
        <f>($F111*K111+$F112*K112+$F113*K113+$F114*K114)/(+K111+K112+K113+K114)</f>
        <v>51.847777777777779</v>
      </c>
      <c r="AI116" s="82">
        <f>($F111*G111+$F112*G112+$F113*G113+$F114*G114)/(G111+G112+G113+G114)</f>
        <v>52.170434782608702</v>
      </c>
      <c r="AJ116" s="82"/>
      <c r="AK116" s="82">
        <f>($F111*P111+$F112*P112+$F113*P113+$F114*P114)/(P111+P112+P113+P114)</f>
        <v>52.377142857142857</v>
      </c>
      <c r="AL116" s="82">
        <f>($F111*R111+$F112*R112+$F113*R113+$F114*R114)/(R111+R112+R113+R114)</f>
        <v>66.663846153846151</v>
      </c>
      <c r="AM116" s="82">
        <f>($F111*N111+$F112*N112+$F113*N113+$F114*N114)/(N111+N112+N113+N114)</f>
        <v>61.663499999999999</v>
      </c>
      <c r="AN116" s="82"/>
      <c r="AO116" s="82">
        <f>($F111*W111+$F112*W112+$F113*W113+$F114*W114)/(W111+W112+W113+W114)</f>
        <v>66.663999999999987</v>
      </c>
      <c r="AP116" s="82">
        <f>($F111*Y111+$F112*Y112+$F113*Y113+$F114*Y114)/(Y111+Y112+Y113+Y114)</f>
        <v>52.376428571428569</v>
      </c>
      <c r="AQ116" s="82">
        <f>($F111*U111+$F112*U112+$F113*U113+$F114*U114)/(U111+U112+U113+U114)</f>
        <v>56.136315789473677</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x14ac:dyDescent="0.3">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x14ac:dyDescent="0.3">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x14ac:dyDescent="0.3">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x14ac:dyDescent="0.3">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x14ac:dyDescent="0.3">
      <c r="A121" s="8" t="s">
        <v>17</v>
      </c>
      <c r="B121" s="9" t="s">
        <v>102</v>
      </c>
      <c r="C121" s="7"/>
      <c r="D121" s="7"/>
      <c r="E121" s="7"/>
      <c r="F121" s="71">
        <v>100</v>
      </c>
      <c r="G121" s="51">
        <f>I121+K121</f>
        <v>5</v>
      </c>
      <c r="H121" s="52">
        <f>G121/$J$5*100</f>
        <v>21.739130434782609</v>
      </c>
      <c r="I121" s="53">
        <f>COUNTIFS('00 Encuesta'!$B$2:$B$511,"*d)*",'00 Encuesta'!$C$2:$C$511,"*a)*",'00 Encuesta'!$E$2:$E$511,"*a)*",'00 Encuesta'!$Q$2:$Q$511,"*a)*")</f>
        <v>2</v>
      </c>
      <c r="J121" s="52">
        <f>I121/$J$6*100</f>
        <v>14.285714285714285</v>
      </c>
      <c r="K121" s="53">
        <f>COUNTIFS('00 Encuesta'!$B$2:$B$511,"*d)*",'00 Encuesta'!$C$2:$C$511,"*a)*",'00 Encuesta'!$E$2:$E$511,"*b)*",'00 Encuesta'!$Q$2:$Q$511,"*a)*")</f>
        <v>3</v>
      </c>
      <c r="L121" s="52">
        <f>K121/$J$7*100</f>
        <v>33.333333333333329</v>
      </c>
      <c r="M121" s="23"/>
      <c r="N121" s="51">
        <f>P121+R121</f>
        <v>9</v>
      </c>
      <c r="O121" s="52">
        <f>N121/$Q$5*100</f>
        <v>45</v>
      </c>
      <c r="P121" s="53">
        <f>COUNTIFS('00 Encuesta'!$B$2:$B$511,"*d)*",'00 Encuesta'!$C$2:$C$511,"*b)*",'00 Encuesta'!$E$2:$E$511,"*a)*",'00 Encuesta'!$Q$2:$Q$511,"*a)*")</f>
        <v>1</v>
      </c>
      <c r="Q121" s="52">
        <f>P121/$Q$6*100</f>
        <v>14.285714285714285</v>
      </c>
      <c r="R121" s="53">
        <f>COUNTIFS('00 Encuesta'!$B$2:$B$511,"*d)*",'00 Encuesta'!$C$2:$C$511,"*b)*",'00 Encuesta'!$E$2:$E$511,"*b)*",'00 Encuesta'!$Q$2:$Q$511,"*a)*")</f>
        <v>8</v>
      </c>
      <c r="S121" s="52">
        <f>R121/$Q$7*100</f>
        <v>61.53846153846154</v>
      </c>
      <c r="T121" s="3"/>
      <c r="U121" s="51">
        <f>W121+Y121</f>
        <v>6</v>
      </c>
      <c r="V121" s="52">
        <f>U121/$X$5*100</f>
        <v>30</v>
      </c>
      <c r="W121" s="53">
        <f>COUNTIFS('00 Encuesta'!$B$2:$B$511,"*d)*",'00 Encuesta'!$C$2:$C$511,"*c)*",'00 Encuesta'!$E$2:$E$511,"*a)*",'00 Encuesta'!$Q$2:$Q$511,"*a)*")</f>
        <v>2</v>
      </c>
      <c r="X121" s="52">
        <f>W121/$X$6*100</f>
        <v>40</v>
      </c>
      <c r="Y121" s="53">
        <f>COUNTIFS('00 Encuesta'!$B$2:$B$511,"*d)*",'00 Encuesta'!$C$2:$C$511,"*c)*",'00 Encuesta'!$E$2:$E$511,"*b)*",'00 Encuesta'!$Q$2:$Q$511,"*a)*")</f>
        <v>4</v>
      </c>
      <c r="Z121" s="52">
        <f>Y121/$X$7*100</f>
        <v>26.666666666666668</v>
      </c>
      <c r="AA121" s="3"/>
      <c r="AB121" s="62">
        <f>G121+N121+U121</f>
        <v>20</v>
      </c>
      <c r="AC121" s="52">
        <f>AB121*100/$AC$5</f>
        <v>31.746031746031747</v>
      </c>
      <c r="AD121" s="7"/>
      <c r="AE121" s="7"/>
      <c r="AF121" s="9" t="str">
        <f t="shared" si="148"/>
        <v>a) Mucho</v>
      </c>
      <c r="AG121" s="72">
        <f>J121</f>
        <v>14.285714285714285</v>
      </c>
      <c r="AH121" s="72">
        <f>L121</f>
        <v>33.333333333333329</v>
      </c>
      <c r="AI121" s="73">
        <f>H121</f>
        <v>21.739130434782609</v>
      </c>
      <c r="AJ121" s="73"/>
      <c r="AK121" s="76">
        <f>Q121</f>
        <v>14.285714285714285</v>
      </c>
      <c r="AL121" s="76">
        <f>S121</f>
        <v>61.53846153846154</v>
      </c>
      <c r="AM121" s="76">
        <f>O121</f>
        <v>45</v>
      </c>
      <c r="AN121" s="76"/>
      <c r="AO121" s="81">
        <f>X121</f>
        <v>40</v>
      </c>
      <c r="AP121" s="81">
        <f>Z121</f>
        <v>26.666666666666668</v>
      </c>
      <c r="AQ121" s="81">
        <f>V121</f>
        <v>30</v>
      </c>
      <c r="AR121" s="7"/>
      <c r="AS121" s="76">
        <f t="shared" si="121"/>
        <v>31.746031746031747</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x14ac:dyDescent="0.3">
      <c r="A122" s="8" t="s">
        <v>18</v>
      </c>
      <c r="B122" s="9" t="s">
        <v>103</v>
      </c>
      <c r="C122" s="7"/>
      <c r="D122" s="7"/>
      <c r="E122" s="7"/>
      <c r="F122" s="71">
        <v>66.66</v>
      </c>
      <c r="G122" s="51">
        <f>I122+K122</f>
        <v>11</v>
      </c>
      <c r="H122" s="52">
        <f>G122/$J$5*100</f>
        <v>47.826086956521742</v>
      </c>
      <c r="I122" s="53">
        <f>COUNTIFS('00 Encuesta'!$B$2:$B$511,"*d)*",'00 Encuesta'!$C$2:$C$511,"*a)*",'00 Encuesta'!$E$2:$E$511,"*a)*",'00 Encuesta'!$Q$2:$Q$511,"*b)*")</f>
        <v>6</v>
      </c>
      <c r="J122" s="52">
        <f>I122/$J$6*100</f>
        <v>42.857142857142854</v>
      </c>
      <c r="K122" s="53">
        <f>COUNTIFS('00 Encuesta'!$B$2:$B$511,"*d)*",'00 Encuesta'!$C$2:$C$511,"*a)*",'00 Encuesta'!$E$2:$E$511,"*b)*",'00 Encuesta'!$Q$2:$Q$511,"*b)*")</f>
        <v>5</v>
      </c>
      <c r="L122" s="52">
        <f>K122/$J$7*100</f>
        <v>55.555555555555557</v>
      </c>
      <c r="M122" s="23"/>
      <c r="N122" s="51">
        <f>P122+R122</f>
        <v>5</v>
      </c>
      <c r="O122" s="52">
        <f>N122/$Q$5*100</f>
        <v>25</v>
      </c>
      <c r="P122" s="53">
        <f>COUNTIFS('00 Encuesta'!$B$2:$B$511,"*d)*",'00 Encuesta'!$C$2:$C$511,"*b)*",'00 Encuesta'!$E$2:$E$511,"*a)*",'00 Encuesta'!$Q$2:$Q$511,"*b)*")</f>
        <v>3</v>
      </c>
      <c r="Q122" s="52">
        <f>P122/$Q$6*100</f>
        <v>42.857142857142854</v>
      </c>
      <c r="R122" s="53">
        <f>COUNTIFS('00 Encuesta'!$B$2:$B$511,"*d)*",'00 Encuesta'!$C$2:$C$511,"*b)*",'00 Encuesta'!$E$2:$E$511,"*b)*",'00 Encuesta'!$Q$2:$Q$511,"*b)*")</f>
        <v>2</v>
      </c>
      <c r="S122" s="52">
        <f>R122/$Q$7*100</f>
        <v>15.384615384615385</v>
      </c>
      <c r="T122" s="3"/>
      <c r="U122" s="51">
        <f>W122+Y122</f>
        <v>9</v>
      </c>
      <c r="V122" s="52">
        <f>U122/$X$5*100</f>
        <v>45</v>
      </c>
      <c r="W122" s="53">
        <f>COUNTIFS('00 Encuesta'!$B$2:$B$511,"*d)*",'00 Encuesta'!$C$2:$C$511,"*c)*",'00 Encuesta'!$E$2:$E$511,"*a)*",'00 Encuesta'!$Q$2:$Q$511,"*b)*")</f>
        <v>2</v>
      </c>
      <c r="X122" s="52">
        <f>W122/$X$6*100</f>
        <v>40</v>
      </c>
      <c r="Y122" s="53">
        <f>COUNTIFS('00 Encuesta'!$B$2:$B$511,"*d)*",'00 Encuesta'!$C$2:$C$511,"*c)*",'00 Encuesta'!$E$2:$E$511,"*b)*",'00 Encuesta'!$Q$2:$Q$511,"*b)*")</f>
        <v>7</v>
      </c>
      <c r="Z122" s="52">
        <f>Y122/$X$7*100</f>
        <v>46.666666666666664</v>
      </c>
      <c r="AA122" s="3"/>
      <c r="AB122" s="62">
        <f>G122+N122+U122</f>
        <v>25</v>
      </c>
      <c r="AC122" s="52">
        <f>AB122*100/$AC$5</f>
        <v>39.682539682539684</v>
      </c>
      <c r="AD122" s="7"/>
      <c r="AE122" s="7"/>
      <c r="AF122" s="9" t="str">
        <f t="shared" si="148"/>
        <v>b) Suficiente</v>
      </c>
      <c r="AG122" s="72">
        <f>J122</f>
        <v>42.857142857142854</v>
      </c>
      <c r="AH122" s="72">
        <f>L122</f>
        <v>55.555555555555557</v>
      </c>
      <c r="AI122" s="73">
        <f>H122</f>
        <v>47.826086956521742</v>
      </c>
      <c r="AJ122" s="73"/>
      <c r="AK122" s="76">
        <f>Q122</f>
        <v>42.857142857142854</v>
      </c>
      <c r="AL122" s="76">
        <f>S122</f>
        <v>15.384615384615385</v>
      </c>
      <c r="AM122" s="76">
        <f>O122</f>
        <v>25</v>
      </c>
      <c r="AN122" s="76"/>
      <c r="AO122" s="81">
        <f>X122</f>
        <v>40</v>
      </c>
      <c r="AP122" s="81">
        <f>Z122</f>
        <v>46.666666666666664</v>
      </c>
      <c r="AQ122" s="81">
        <f>V122</f>
        <v>45</v>
      </c>
      <c r="AR122" s="7"/>
      <c r="AS122" s="76">
        <f t="shared" si="121"/>
        <v>39.682539682539684</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x14ac:dyDescent="0.3">
      <c r="A123" s="8" t="s">
        <v>20</v>
      </c>
      <c r="B123" s="9" t="s">
        <v>104</v>
      </c>
      <c r="C123" s="7"/>
      <c r="D123" s="7"/>
      <c r="E123" s="7"/>
      <c r="F123" s="71">
        <v>33.33</v>
      </c>
      <c r="G123" s="51">
        <f>I123+K123</f>
        <v>6</v>
      </c>
      <c r="H123" s="52">
        <f>G123/$J$5*100</f>
        <v>26.086956521739129</v>
      </c>
      <c r="I123" s="53">
        <f>COUNTIFS('00 Encuesta'!$B$2:$B$511,"*d)*",'00 Encuesta'!$C$2:$C$511,"*a)*",'00 Encuesta'!$E$2:$E$511,"*a)*",'00 Encuesta'!$Q$2:$Q$511,"*c)*")</f>
        <v>5</v>
      </c>
      <c r="J123" s="52">
        <f>I123/$J$6*100</f>
        <v>35.714285714285715</v>
      </c>
      <c r="K123" s="53">
        <f>COUNTIFS('00 Encuesta'!$B$2:$B$511,"*d)*",'00 Encuesta'!$C$2:$C$511,"*a)*",'00 Encuesta'!$E$2:$E$511,"*b)*",'00 Encuesta'!$Q$2:$Q$511,"*c)*")</f>
        <v>1</v>
      </c>
      <c r="L123" s="52">
        <f>K123/$J$7*100</f>
        <v>11.111111111111111</v>
      </c>
      <c r="M123" s="23"/>
      <c r="N123" s="51">
        <f>P123+R123</f>
        <v>5</v>
      </c>
      <c r="O123" s="52">
        <f>N123/$Q$5*100</f>
        <v>25</v>
      </c>
      <c r="P123" s="53">
        <f>COUNTIFS('00 Encuesta'!$B$2:$B$511,"*d)*",'00 Encuesta'!$C$2:$C$511,"*b)*",'00 Encuesta'!$E$2:$E$511,"*a)*",'00 Encuesta'!$Q$2:$Q$511,"*c)*")</f>
        <v>3</v>
      </c>
      <c r="Q123" s="52">
        <f>P123/$Q$6*100</f>
        <v>42.857142857142854</v>
      </c>
      <c r="R123" s="53">
        <f>COUNTIFS('00 Encuesta'!$B$2:$B$511,"*d)*",'00 Encuesta'!$C$2:$C$511,"*b)*",'00 Encuesta'!$E$2:$E$511,"*b)*",'00 Encuesta'!$Q$2:$Q$511,"*c)*")</f>
        <v>2</v>
      </c>
      <c r="S123" s="52">
        <f>R123/$Q$7*100</f>
        <v>15.384615384615385</v>
      </c>
      <c r="T123" s="3"/>
      <c r="U123" s="51">
        <f>W123+Y123</f>
        <v>5</v>
      </c>
      <c r="V123" s="52">
        <f>U123/$X$5*100</f>
        <v>25</v>
      </c>
      <c r="W123" s="53">
        <f>COUNTIFS('00 Encuesta'!$B$2:$B$511,"*d)*",'00 Encuesta'!$C$2:$C$511,"*c)*",'00 Encuesta'!$E$2:$E$511,"*a)*",'00 Encuesta'!$Q$2:$Q$511,"*c)*")</f>
        <v>1</v>
      </c>
      <c r="X123" s="52">
        <f>W123/$X$6*100</f>
        <v>20</v>
      </c>
      <c r="Y123" s="53">
        <f>COUNTIFS('00 Encuesta'!$B$2:$B$511,"*d)*",'00 Encuesta'!$C$2:$C$511,"*c)*",'00 Encuesta'!$E$2:$E$511,"*b)*",'00 Encuesta'!$Q$2:$Q$511,"*c)*")</f>
        <v>4</v>
      </c>
      <c r="Z123" s="52">
        <f>Y123/$X$7*100</f>
        <v>26.666666666666668</v>
      </c>
      <c r="AA123" s="3"/>
      <c r="AB123" s="62">
        <f>G123+N123+U123</f>
        <v>16</v>
      </c>
      <c r="AC123" s="52">
        <f>AB123*100/$AC$5</f>
        <v>25.396825396825395</v>
      </c>
      <c r="AD123" s="7"/>
      <c r="AE123" s="7"/>
      <c r="AF123" s="9" t="str">
        <f t="shared" si="148"/>
        <v>c) Poco</v>
      </c>
      <c r="AG123" s="72">
        <f>J123</f>
        <v>35.714285714285715</v>
      </c>
      <c r="AH123" s="72">
        <f>L123</f>
        <v>11.111111111111111</v>
      </c>
      <c r="AI123" s="73">
        <f>H123</f>
        <v>26.086956521739129</v>
      </c>
      <c r="AJ123" s="73"/>
      <c r="AK123" s="76">
        <f>Q123</f>
        <v>42.857142857142854</v>
      </c>
      <c r="AL123" s="76">
        <f>S123</f>
        <v>15.384615384615385</v>
      </c>
      <c r="AM123" s="76">
        <f>O123</f>
        <v>25</v>
      </c>
      <c r="AN123" s="76"/>
      <c r="AO123" s="81">
        <f>X123</f>
        <v>20</v>
      </c>
      <c r="AP123" s="81">
        <f>Z123</f>
        <v>26.666666666666668</v>
      </c>
      <c r="AQ123" s="81">
        <f>V123</f>
        <v>25</v>
      </c>
      <c r="AR123" s="7"/>
      <c r="AS123" s="76">
        <f t="shared" si="121"/>
        <v>25.396825396825395</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x14ac:dyDescent="0.3">
      <c r="A124" s="8" t="s">
        <v>21</v>
      </c>
      <c r="B124" s="9" t="s">
        <v>105</v>
      </c>
      <c r="C124" s="7"/>
      <c r="D124" s="7"/>
      <c r="E124" s="7"/>
      <c r="F124" s="71">
        <v>0</v>
      </c>
      <c r="G124" s="51">
        <f>I124+K124</f>
        <v>1</v>
      </c>
      <c r="H124" s="52">
        <f>G124/$J$5*100</f>
        <v>4.3478260869565215</v>
      </c>
      <c r="I124" s="53">
        <f>COUNTIFS('00 Encuesta'!$B$2:$B$511,"*d)*",'00 Encuesta'!$C$2:$C$511,"*a)*",'00 Encuesta'!$E$2:$E$511,"*a)*",'00 Encuesta'!$Q$2:$Q$511,"*d)*")</f>
        <v>1</v>
      </c>
      <c r="J124" s="52">
        <f>I124/$J$6*100</f>
        <v>7.1428571428571423</v>
      </c>
      <c r="K124" s="53">
        <f>COUNTIFS('00 Encuesta'!$B$2:$B$511,"*d)*",'00 Encuesta'!$C$2:$C$511,"*a)*",'00 Encuesta'!$E$2:$E$511,"*b)*",'00 Encuesta'!$Q$2:$Q$511,"*d)*")</f>
        <v>0</v>
      </c>
      <c r="L124" s="52">
        <f>K124/$J$7*100</f>
        <v>0</v>
      </c>
      <c r="M124" s="23"/>
      <c r="N124" s="51">
        <f>P124+R124</f>
        <v>1</v>
      </c>
      <c r="O124" s="52">
        <f>N124/$Q$5*100</f>
        <v>5</v>
      </c>
      <c r="P124" s="53">
        <f>COUNTIFS('00 Encuesta'!$B$2:$B$511,"*d)*",'00 Encuesta'!$C$2:$C$511,"*b)*",'00 Encuesta'!$E$2:$E$511,"*a)*",'00 Encuesta'!$Q$2:$Q$511,"*d)*")</f>
        <v>0</v>
      </c>
      <c r="Q124" s="52">
        <f>P124/$Q$6*100</f>
        <v>0</v>
      </c>
      <c r="R124" s="53">
        <f>COUNTIFS('00 Encuesta'!$B$2:$B$511,"*d)*",'00 Encuesta'!$C$2:$C$511,"*b)*",'00 Encuesta'!$E$2:$E$511,"*b)*",'00 Encuesta'!$Q$2:$Q$511,"*d)*")</f>
        <v>1</v>
      </c>
      <c r="S124" s="52">
        <f>R124/$Q$7*100</f>
        <v>7.6923076923076925</v>
      </c>
      <c r="T124" s="3"/>
      <c r="U124" s="51">
        <f>W124+Y124</f>
        <v>0</v>
      </c>
      <c r="V124" s="52">
        <f>U124/$X$5*100</f>
        <v>0</v>
      </c>
      <c r="W124" s="53">
        <f>COUNTIFS('00 Encuesta'!$B$2:$B$511,"*d)*",'00 Encuesta'!$C$2:$C$511,"*c)*",'00 Encuesta'!$E$2:$E$511,"*a)*",'00 Encuesta'!$Q$2:$Q$511,"*d)*")</f>
        <v>0</v>
      </c>
      <c r="X124" s="52">
        <f>W124/$X$6*100</f>
        <v>0</v>
      </c>
      <c r="Y124" s="53">
        <f>COUNTIFS('00 Encuesta'!$B$2:$B$511,"*d)*",'00 Encuesta'!$C$2:$C$511,"*c)*",'00 Encuesta'!$E$2:$E$511,"*b)*",'00 Encuesta'!$Q$2:$Q$511,"*d)*")</f>
        <v>0</v>
      </c>
      <c r="Z124" s="52">
        <f>Y124/$X$7*100</f>
        <v>0</v>
      </c>
      <c r="AA124" s="3"/>
      <c r="AB124" s="62">
        <f>G124+N124+U124</f>
        <v>2</v>
      </c>
      <c r="AC124" s="52">
        <f>AB124*100/$AC$5</f>
        <v>3.1746031746031744</v>
      </c>
      <c r="AD124" s="7"/>
      <c r="AE124" s="7"/>
      <c r="AF124" s="9" t="str">
        <f t="shared" si="148"/>
        <v>d) Nada</v>
      </c>
      <c r="AG124" s="72">
        <f>J124</f>
        <v>7.1428571428571423</v>
      </c>
      <c r="AH124" s="72">
        <f>L124</f>
        <v>0</v>
      </c>
      <c r="AI124" s="73">
        <f>H124</f>
        <v>4.3478260869565215</v>
      </c>
      <c r="AJ124" s="73"/>
      <c r="AK124" s="76">
        <f>Q124</f>
        <v>0</v>
      </c>
      <c r="AL124" s="76">
        <f>S124</f>
        <v>7.6923076923076925</v>
      </c>
      <c r="AM124" s="76">
        <f>O124</f>
        <v>5</v>
      </c>
      <c r="AN124" s="76"/>
      <c r="AO124" s="81">
        <f>X124</f>
        <v>0</v>
      </c>
      <c r="AP124" s="81">
        <f>Z124</f>
        <v>0</v>
      </c>
      <c r="AQ124" s="81">
        <f>V124</f>
        <v>0</v>
      </c>
      <c r="AR124" s="7"/>
      <c r="AS124" s="76">
        <f t="shared" si="121"/>
        <v>3.1746031746031744</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x14ac:dyDescent="0.3">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f>N125/$Q$5*100</f>
        <v>0</v>
      </c>
      <c r="P125" s="53"/>
      <c r="Q125" s="52">
        <f>P125/$Q$6*100</f>
        <v>0</v>
      </c>
      <c r="R125" s="53"/>
      <c r="S125" s="52">
        <f>R125/$Q$7*100</f>
        <v>0</v>
      </c>
      <c r="T125" s="3"/>
      <c r="U125" s="51">
        <f>W125+Y125</f>
        <v>0</v>
      </c>
      <c r="V125" s="52">
        <f>U125/$X$5*100</f>
        <v>0</v>
      </c>
      <c r="W125" s="53"/>
      <c r="X125" s="52">
        <f>W125/$X$6*100</f>
        <v>0</v>
      </c>
      <c r="Y125" s="53"/>
      <c r="Z125" s="52">
        <f>Y125/$X$7*100</f>
        <v>0</v>
      </c>
      <c r="AA125" s="3"/>
      <c r="AB125" s="62">
        <f>G125+N125+U125</f>
        <v>0</v>
      </c>
      <c r="AC125" s="52">
        <f>AB125*100/$AC$5</f>
        <v>0</v>
      </c>
      <c r="AD125" s="7"/>
      <c r="AE125" s="7"/>
      <c r="AF125" s="9" t="str">
        <f t="shared" si="148"/>
        <v>S/R Sin Respuesta</v>
      </c>
      <c r="AG125" s="72">
        <f>J125</f>
        <v>0</v>
      </c>
      <c r="AH125" s="72">
        <f>L125</f>
        <v>0</v>
      </c>
      <c r="AI125" s="73">
        <f>H125</f>
        <v>0</v>
      </c>
      <c r="AJ125" s="73"/>
      <c r="AK125" s="76">
        <f>Q125</f>
        <v>0</v>
      </c>
      <c r="AL125" s="76">
        <f>S125</f>
        <v>0</v>
      </c>
      <c r="AM125" s="76">
        <f>O125</f>
        <v>0</v>
      </c>
      <c r="AN125" s="76"/>
      <c r="AO125" s="81">
        <f>X125</f>
        <v>0</v>
      </c>
      <c r="AP125" s="81">
        <f>Z125</f>
        <v>0</v>
      </c>
      <c r="AQ125" s="81">
        <f>V125</f>
        <v>0</v>
      </c>
      <c r="AR125" s="7"/>
      <c r="AS125" s="76">
        <f t="shared" si="121"/>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x14ac:dyDescent="0.3">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54.757857142857141</v>
      </c>
      <c r="AH126" s="82">
        <f>($F121*K121+$F122*K122+$F123*K123+$F124*K124)/(+K121+K122+K123+K124)</f>
        <v>74.069999999999993</v>
      </c>
      <c r="AI126" s="82">
        <f>($F121*G121+$F122*G122+$F123*G123+$F124*G124)/(G121+G122+G123+G124)</f>
        <v>62.314782608695651</v>
      </c>
      <c r="AJ126" s="82"/>
      <c r="AK126" s="82">
        <f>($F121*P121+$F122*P122+$F123*P123+$F124*P124)/(P121+P122+P123+P124)</f>
        <v>57.138571428571431</v>
      </c>
      <c r="AL126" s="82">
        <f>($F121*R121+$F122*R122+$F123*R123+$F124*R124)/(R121+R122+R123+R124)</f>
        <v>76.921538461538461</v>
      </c>
      <c r="AM126" s="82">
        <f>($F121*N121+$F122*N122+$F123*N123+$F124*N124)/(N121+N122+N123+N124)</f>
        <v>69.997499999999988</v>
      </c>
      <c r="AN126" s="82"/>
      <c r="AO126" s="82">
        <f>($F121*W121+$F122*W122+$F123*W123+$F124*W124)/(W121+W122+W123+W124)</f>
        <v>73.33</v>
      </c>
      <c r="AP126" s="82">
        <f>($F121*Y121+$F122*Y122+$F123*Y123+$F124*Y124)/(Y121+Y122+Y123+Y124)</f>
        <v>66.662666666666667</v>
      </c>
      <c r="AQ126" s="82">
        <f>($F121*U121+$F122*U122+$F123*U123+$F124*U124)/(U121+U122+U123+U124)</f>
        <v>68.32950000000001</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x14ac:dyDescent="0.3">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x14ac:dyDescent="0.3">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x14ac:dyDescent="0.3">
      <c r="A130" s="8" t="s">
        <v>17</v>
      </c>
      <c r="B130" s="9" t="s">
        <v>80</v>
      </c>
      <c r="C130" s="7"/>
      <c r="D130" s="7"/>
      <c r="E130" s="7"/>
      <c r="F130" s="71"/>
      <c r="G130" s="51">
        <f t="shared" ref="G130:G140" si="149">I130+K130</f>
        <v>13</v>
      </c>
      <c r="H130" s="52">
        <f t="shared" ref="H130:H140" si="150">G130/$J$5*100</f>
        <v>56.521739130434781</v>
      </c>
      <c r="I130" s="53">
        <f>COUNTIFS('00 Encuesta'!$B$2:$B$511,"*d)*",'00 Encuesta'!$C$2:$C$511,"*a)*",'00 Encuesta'!$E$2:$E$511,"*a)*",'00 Encuesta'!$R$2:$R$511,"*a)*")</f>
        <v>7</v>
      </c>
      <c r="J130" s="52">
        <f t="shared" ref="J130:J140" si="151">I130/$J$6*100</f>
        <v>50</v>
      </c>
      <c r="K130" s="53">
        <f>COUNTIFS('00 Encuesta'!$B$2:$B$511,"*d)*",'00 Encuesta'!$C$2:$C$511,"*a)*",'00 Encuesta'!$E$2:$E$511,"*b)*",'00 Encuesta'!$R$2:$R$511,"*a)*")</f>
        <v>6</v>
      </c>
      <c r="L130" s="52">
        <f t="shared" ref="L130:L140" si="152">K130/$J$7*100</f>
        <v>66.666666666666657</v>
      </c>
      <c r="M130" s="23"/>
      <c r="N130" s="51">
        <f t="shared" ref="N130:N140" si="153">P130+R130</f>
        <v>8</v>
      </c>
      <c r="O130" s="52">
        <f t="shared" ref="O130:O140" si="154">N130/$Q$5*100</f>
        <v>40</v>
      </c>
      <c r="P130" s="53">
        <f>COUNTIFS('00 Encuesta'!$B$2:$B$511,"*d)*",'00 Encuesta'!$C$2:$C$511,"*b)*",'00 Encuesta'!$E$2:$E$511,"*a)*",'00 Encuesta'!$R$2:$R$511,"*a)*")</f>
        <v>5</v>
      </c>
      <c r="Q130" s="52">
        <f t="shared" ref="Q130:Q140" si="155">P130/$Q$6*100</f>
        <v>71.428571428571431</v>
      </c>
      <c r="R130" s="53">
        <f>COUNTIFS('00 Encuesta'!$B$2:$B$511,"*d)*",'00 Encuesta'!$C$2:$C$511,"*b)*",'00 Encuesta'!$E$2:$E$511,"*b)*",'00 Encuesta'!$R$2:$R$511,"*a)*")</f>
        <v>3</v>
      </c>
      <c r="S130" s="52">
        <f t="shared" ref="S130:S140" si="156">R130/$Q$7*100</f>
        <v>23.076923076923077</v>
      </c>
      <c r="T130" s="3"/>
      <c r="U130" s="51">
        <f t="shared" ref="U130:U140" si="157">W130+Y130</f>
        <v>12</v>
      </c>
      <c r="V130" s="52">
        <f t="shared" ref="V130:V140" si="158">U130/$X$5*100</f>
        <v>60</v>
      </c>
      <c r="W130" s="53">
        <f>COUNTIFS('00 Encuesta'!$B$2:$B$511,"*d)*",'00 Encuesta'!$C$2:$C$511,"*c)*",'00 Encuesta'!$E$2:$E$511,"*a)*",'00 Encuesta'!$R$2:$R$511,"*a)*")</f>
        <v>4</v>
      </c>
      <c r="X130" s="52">
        <f t="shared" ref="X130:X140" si="159">W130/$X$6*100</f>
        <v>80</v>
      </c>
      <c r="Y130" s="53">
        <f>COUNTIFS('00 Encuesta'!$B$2:$B$511,"*d)*",'00 Encuesta'!$C$2:$C$511,"*c)*",'00 Encuesta'!$E$2:$E$511,"*b)*",'00 Encuesta'!$R$2:$R$511,"*a)*")</f>
        <v>8</v>
      </c>
      <c r="Z130" s="52">
        <f t="shared" ref="Z130:Z140" si="160">Y130/$X$7*100</f>
        <v>53.333333333333336</v>
      </c>
      <c r="AA130" s="3"/>
      <c r="AB130" s="62">
        <f t="shared" ref="AB130:AB140" si="161">G130+N130+U130</f>
        <v>33</v>
      </c>
      <c r="AC130" s="52">
        <f t="shared" ref="AC130:AC140" si="162">AB130*100/$AC$5</f>
        <v>52.38095238095238</v>
      </c>
      <c r="AD130" s="7"/>
      <c r="AE130" s="7"/>
      <c r="AF130" s="9" t="str">
        <f t="shared" ref="AF130:AF141" si="163">A130&amp;" "&amp;B130</f>
        <v>a) La familia</v>
      </c>
      <c r="AG130" s="72">
        <f t="shared" ref="AG130:AG141" si="164">J130</f>
        <v>50</v>
      </c>
      <c r="AH130" s="72">
        <f t="shared" ref="AH130:AH141" si="165">L130</f>
        <v>66.666666666666657</v>
      </c>
      <c r="AI130" s="73">
        <f t="shared" ref="AI130:AI141" si="166">H130</f>
        <v>56.521739130434781</v>
      </c>
      <c r="AJ130" s="73"/>
      <c r="AK130" s="76">
        <f t="shared" ref="AK130:AK141" si="167">Q130</f>
        <v>71.428571428571431</v>
      </c>
      <c r="AL130" s="76">
        <f t="shared" ref="AL130:AL141" si="168">S130</f>
        <v>23.076923076923077</v>
      </c>
      <c r="AM130" s="76">
        <f t="shared" ref="AM130:AM141" si="169">O130</f>
        <v>40</v>
      </c>
      <c r="AN130" s="76"/>
      <c r="AO130" s="81">
        <f t="shared" ref="AO130:AO141" si="170">X130</f>
        <v>80</v>
      </c>
      <c r="AP130" s="81">
        <f t="shared" ref="AP130:AP141" si="171">Z130</f>
        <v>53.333333333333336</v>
      </c>
      <c r="AQ130" s="81">
        <f t="shared" ref="AQ130:AQ141" si="172">V130</f>
        <v>60</v>
      </c>
      <c r="AR130" s="7"/>
      <c r="AS130" s="76">
        <f t="shared" si="121"/>
        <v>52.38095238095238</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x14ac:dyDescent="0.3">
      <c r="A131" s="8" t="s">
        <v>18</v>
      </c>
      <c r="B131" s="9" t="s">
        <v>81</v>
      </c>
      <c r="C131" s="7"/>
      <c r="D131" s="7"/>
      <c r="E131" s="7"/>
      <c r="F131" s="71"/>
      <c r="G131" s="51">
        <f t="shared" si="149"/>
        <v>4</v>
      </c>
      <c r="H131" s="52">
        <f t="shared" si="150"/>
        <v>17.391304347826086</v>
      </c>
      <c r="I131" s="53">
        <f>COUNTIFS('00 Encuesta'!$B$2:$B$511,"*d)*",'00 Encuesta'!$C$2:$C$511,"*a)*",'00 Encuesta'!$E$2:$E$511,"*a)*",'00 Encuesta'!$R$2:$R$511,"*b)*")</f>
        <v>3</v>
      </c>
      <c r="J131" s="52">
        <f t="shared" si="151"/>
        <v>21.428571428571427</v>
      </c>
      <c r="K131" s="53">
        <f>COUNTIFS('00 Encuesta'!$B$2:$B$511,"*d)*",'00 Encuesta'!$C$2:$C$511,"*a)*",'00 Encuesta'!$E$2:$E$511,"*b)*",'00 Encuesta'!$R$2:$R$511,"*b)*")</f>
        <v>1</v>
      </c>
      <c r="L131" s="52">
        <f t="shared" si="152"/>
        <v>11.111111111111111</v>
      </c>
      <c r="M131" s="23"/>
      <c r="N131" s="51">
        <f t="shared" si="153"/>
        <v>6</v>
      </c>
      <c r="O131" s="52">
        <f t="shared" si="154"/>
        <v>30</v>
      </c>
      <c r="P131" s="53">
        <f>COUNTIFS('00 Encuesta'!$B$2:$B$511,"*d)*",'00 Encuesta'!$C$2:$C$511,"*b)*",'00 Encuesta'!$E$2:$E$511,"*a)*",'00 Encuesta'!$R$2:$R$511,"*b)*")</f>
        <v>0</v>
      </c>
      <c r="Q131" s="52">
        <f t="shared" si="155"/>
        <v>0</v>
      </c>
      <c r="R131" s="53">
        <f>COUNTIFS('00 Encuesta'!$B$2:$B$511,"*d)*",'00 Encuesta'!$C$2:$C$511,"*b)*",'00 Encuesta'!$E$2:$E$511,"*b)*",'00 Encuesta'!$R$2:$R$511,"*b)*")</f>
        <v>6</v>
      </c>
      <c r="S131" s="52">
        <f t="shared" si="156"/>
        <v>46.153846153846153</v>
      </c>
      <c r="T131" s="3"/>
      <c r="U131" s="51">
        <f t="shared" si="157"/>
        <v>5</v>
      </c>
      <c r="V131" s="52">
        <f t="shared" si="158"/>
        <v>25</v>
      </c>
      <c r="W131" s="53">
        <f>COUNTIFS('00 Encuesta'!$B$2:$B$511,"*d)*",'00 Encuesta'!$C$2:$C$511,"*c)*",'00 Encuesta'!$E$2:$E$511,"*a)*",'00 Encuesta'!$R$2:$R$511,"*b)*")</f>
        <v>1</v>
      </c>
      <c r="X131" s="52">
        <f t="shared" si="159"/>
        <v>20</v>
      </c>
      <c r="Y131" s="53">
        <f>COUNTIFS('00 Encuesta'!$B$2:$B$511,"*d)*",'00 Encuesta'!$C$2:$C$511,"*c)*",'00 Encuesta'!$E$2:$E$511,"*b)*",'00 Encuesta'!$R$2:$R$511,"*b)*")</f>
        <v>4</v>
      </c>
      <c r="Z131" s="52">
        <f t="shared" si="160"/>
        <v>26.666666666666668</v>
      </c>
      <c r="AA131" s="3"/>
      <c r="AB131" s="62">
        <f t="shared" si="161"/>
        <v>15</v>
      </c>
      <c r="AC131" s="52">
        <f t="shared" si="162"/>
        <v>23.80952380952381</v>
      </c>
      <c r="AD131" s="7"/>
      <c r="AE131" s="7"/>
      <c r="AF131" s="9" t="str">
        <f t="shared" si="163"/>
        <v>b) Los amigos</v>
      </c>
      <c r="AG131" s="72">
        <f t="shared" si="164"/>
        <v>21.428571428571427</v>
      </c>
      <c r="AH131" s="72">
        <f t="shared" si="165"/>
        <v>11.111111111111111</v>
      </c>
      <c r="AI131" s="73">
        <f t="shared" si="166"/>
        <v>17.391304347826086</v>
      </c>
      <c r="AJ131" s="73"/>
      <c r="AK131" s="76">
        <f t="shared" si="167"/>
        <v>0</v>
      </c>
      <c r="AL131" s="76">
        <f t="shared" si="168"/>
        <v>46.153846153846153</v>
      </c>
      <c r="AM131" s="76">
        <f t="shared" si="169"/>
        <v>30</v>
      </c>
      <c r="AN131" s="76"/>
      <c r="AO131" s="81">
        <f t="shared" si="170"/>
        <v>20</v>
      </c>
      <c r="AP131" s="81">
        <f t="shared" si="171"/>
        <v>26.666666666666668</v>
      </c>
      <c r="AQ131" s="81">
        <f t="shared" si="172"/>
        <v>25</v>
      </c>
      <c r="AR131" s="7"/>
      <c r="AS131" s="76">
        <f t="shared" si="121"/>
        <v>23.80952380952381</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x14ac:dyDescent="0.3">
      <c r="A132" s="8" t="s">
        <v>20</v>
      </c>
      <c r="B132" s="9" t="s">
        <v>82</v>
      </c>
      <c r="C132" s="7"/>
      <c r="D132" s="7"/>
      <c r="E132" s="7"/>
      <c r="F132" s="71"/>
      <c r="G132" s="51">
        <f t="shared" si="149"/>
        <v>17</v>
      </c>
      <c r="H132" s="52">
        <f t="shared" si="150"/>
        <v>73.91304347826086</v>
      </c>
      <c r="I132" s="53">
        <f>COUNTIFS('00 Encuesta'!$B$2:$B$511,"*d)*",'00 Encuesta'!$C$2:$C$511,"*a)*",'00 Encuesta'!$E$2:$E$511,"*a)*",'00 Encuesta'!$R$2:$R$511,"*c)*")</f>
        <v>9</v>
      </c>
      <c r="J132" s="52">
        <f t="shared" si="151"/>
        <v>64.285714285714292</v>
      </c>
      <c r="K132" s="53">
        <f>COUNTIFS('00 Encuesta'!$B$2:$B$511,"*d)*",'00 Encuesta'!$C$2:$C$511,"*a)*",'00 Encuesta'!$E$2:$E$511,"*b)*",'00 Encuesta'!$R$2:$R$511,"*c)*")</f>
        <v>8</v>
      </c>
      <c r="L132" s="52">
        <f t="shared" si="152"/>
        <v>88.888888888888886</v>
      </c>
      <c r="M132" s="23"/>
      <c r="N132" s="51">
        <f t="shared" si="153"/>
        <v>14</v>
      </c>
      <c r="O132" s="52">
        <f t="shared" si="154"/>
        <v>70</v>
      </c>
      <c r="P132" s="53">
        <f>COUNTIFS('00 Encuesta'!$B$2:$B$511,"*d)*",'00 Encuesta'!$C$2:$C$511,"*b)*",'00 Encuesta'!$E$2:$E$511,"*a)*",'00 Encuesta'!$R$2:$R$511,"*c)*")</f>
        <v>5</v>
      </c>
      <c r="Q132" s="52">
        <f t="shared" si="155"/>
        <v>71.428571428571431</v>
      </c>
      <c r="R132" s="53">
        <f>COUNTIFS('00 Encuesta'!$B$2:$B$511,"*d)*",'00 Encuesta'!$C$2:$C$511,"*b)*",'00 Encuesta'!$E$2:$E$511,"*b)*",'00 Encuesta'!$R$2:$R$511,"*c)*")</f>
        <v>9</v>
      </c>
      <c r="S132" s="52">
        <f t="shared" si="156"/>
        <v>69.230769230769226</v>
      </c>
      <c r="T132" s="3"/>
      <c r="U132" s="51">
        <f t="shared" si="157"/>
        <v>10</v>
      </c>
      <c r="V132" s="52">
        <f t="shared" si="158"/>
        <v>50</v>
      </c>
      <c r="W132" s="53">
        <f>COUNTIFS('00 Encuesta'!$B$2:$B$511,"*d)*",'00 Encuesta'!$C$2:$C$511,"*c)*",'00 Encuesta'!$E$2:$E$511,"*a)*",'00 Encuesta'!$R$2:$R$511,"*c)*")</f>
        <v>3</v>
      </c>
      <c r="X132" s="52">
        <f t="shared" si="159"/>
        <v>60</v>
      </c>
      <c r="Y132" s="53">
        <f>COUNTIFS('00 Encuesta'!$B$2:$B$511,"*d)*",'00 Encuesta'!$C$2:$C$511,"*c)*",'00 Encuesta'!$E$2:$E$511,"*b)*",'00 Encuesta'!$R$2:$R$511,"*c)*")</f>
        <v>7</v>
      </c>
      <c r="Z132" s="52">
        <f t="shared" si="160"/>
        <v>46.666666666666664</v>
      </c>
      <c r="AA132" s="3"/>
      <c r="AB132" s="62">
        <f t="shared" si="161"/>
        <v>41</v>
      </c>
      <c r="AC132" s="52">
        <f t="shared" si="162"/>
        <v>65.079365079365076</v>
      </c>
      <c r="AD132" s="7"/>
      <c r="AE132" s="7"/>
      <c r="AF132" s="9" t="str">
        <f t="shared" si="163"/>
        <v>c) Los estudios</v>
      </c>
      <c r="AG132" s="72">
        <f t="shared" si="164"/>
        <v>64.285714285714292</v>
      </c>
      <c r="AH132" s="72">
        <f t="shared" si="165"/>
        <v>88.888888888888886</v>
      </c>
      <c r="AI132" s="73">
        <f t="shared" si="166"/>
        <v>73.91304347826086</v>
      </c>
      <c r="AJ132" s="73"/>
      <c r="AK132" s="76">
        <f t="shared" si="167"/>
        <v>71.428571428571431</v>
      </c>
      <c r="AL132" s="76">
        <f t="shared" si="168"/>
        <v>69.230769230769226</v>
      </c>
      <c r="AM132" s="76">
        <f t="shared" si="169"/>
        <v>70</v>
      </c>
      <c r="AN132" s="76"/>
      <c r="AO132" s="81">
        <f t="shared" si="170"/>
        <v>60</v>
      </c>
      <c r="AP132" s="81">
        <f t="shared" si="171"/>
        <v>46.666666666666664</v>
      </c>
      <c r="AQ132" s="81">
        <f t="shared" si="172"/>
        <v>50</v>
      </c>
      <c r="AR132" s="7"/>
      <c r="AS132" s="76">
        <f t="shared" si="121"/>
        <v>65.079365079365076</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x14ac:dyDescent="0.3">
      <c r="A133" s="8" t="s">
        <v>21</v>
      </c>
      <c r="B133" s="9" t="s">
        <v>83</v>
      </c>
      <c r="C133" s="7"/>
      <c r="D133" s="7"/>
      <c r="E133" s="7"/>
      <c r="F133" s="71"/>
      <c r="G133" s="51">
        <f t="shared" si="149"/>
        <v>3</v>
      </c>
      <c r="H133" s="52">
        <f t="shared" si="150"/>
        <v>13.043478260869565</v>
      </c>
      <c r="I133" s="53">
        <f>COUNTIFS('00 Encuesta'!$B$2:$B$511,"*d)*",'00 Encuesta'!$C$2:$C$511,"*a)*",'00 Encuesta'!$E$2:$E$511,"*a)*",'00 Encuesta'!$R$2:$R$511,"*d)*")</f>
        <v>0</v>
      </c>
      <c r="J133" s="52">
        <f t="shared" si="151"/>
        <v>0</v>
      </c>
      <c r="K133" s="53">
        <f>COUNTIFS('00 Encuesta'!$B$2:$B$511,"*d)*",'00 Encuesta'!$C$2:$C$511,"*a)*",'00 Encuesta'!$E$2:$E$511,"*b)*",'00 Encuesta'!$R$2:$R$511,"*d)*")</f>
        <v>3</v>
      </c>
      <c r="L133" s="52">
        <f t="shared" si="152"/>
        <v>33.333333333333329</v>
      </c>
      <c r="M133" s="23"/>
      <c r="N133" s="51">
        <f t="shared" si="153"/>
        <v>5</v>
      </c>
      <c r="O133" s="52">
        <f t="shared" si="154"/>
        <v>25</v>
      </c>
      <c r="P133" s="53">
        <f>COUNTIFS('00 Encuesta'!$B$2:$B$511,"*d)*",'00 Encuesta'!$C$2:$C$511,"*b)*",'00 Encuesta'!$E$2:$E$511,"*a)*",'00 Encuesta'!$R$2:$R$511,"*d)*")</f>
        <v>3</v>
      </c>
      <c r="Q133" s="52">
        <f t="shared" si="155"/>
        <v>42.857142857142854</v>
      </c>
      <c r="R133" s="53">
        <f>COUNTIFS('00 Encuesta'!$B$2:$B$511,"*d)*",'00 Encuesta'!$C$2:$C$511,"*b)*",'00 Encuesta'!$E$2:$E$511,"*b)*",'00 Encuesta'!$R$2:$R$511,"*d)*")</f>
        <v>2</v>
      </c>
      <c r="S133" s="52">
        <f t="shared" si="156"/>
        <v>15.384615384615385</v>
      </c>
      <c r="T133" s="3"/>
      <c r="U133" s="51">
        <f t="shared" si="157"/>
        <v>4</v>
      </c>
      <c r="V133" s="52">
        <f t="shared" si="158"/>
        <v>20</v>
      </c>
      <c r="W133" s="53">
        <f>COUNTIFS('00 Encuesta'!$B$2:$B$511,"*d)*",'00 Encuesta'!$C$2:$C$511,"*c)*",'00 Encuesta'!$E$2:$E$511,"*a)*",'00 Encuesta'!$R$2:$R$511,"*d)*")</f>
        <v>0</v>
      </c>
      <c r="X133" s="52">
        <f t="shared" si="159"/>
        <v>0</v>
      </c>
      <c r="Y133" s="53">
        <f>COUNTIFS('00 Encuesta'!$B$2:$B$511,"*d)*",'00 Encuesta'!$C$2:$C$511,"*c)*",'00 Encuesta'!$E$2:$E$511,"*b)*",'00 Encuesta'!$R$2:$R$511,"*d)*")</f>
        <v>4</v>
      </c>
      <c r="Z133" s="52">
        <f t="shared" si="160"/>
        <v>26.666666666666668</v>
      </c>
      <c r="AA133" s="3"/>
      <c r="AB133" s="62">
        <f t="shared" si="161"/>
        <v>12</v>
      </c>
      <c r="AC133" s="52">
        <f t="shared" si="162"/>
        <v>19.047619047619047</v>
      </c>
      <c r="AD133" s="7"/>
      <c r="AE133" s="7"/>
      <c r="AF133" s="9" t="str">
        <f t="shared" si="163"/>
        <v>d) El cuidado de mi cuerpo</v>
      </c>
      <c r="AG133" s="72">
        <f t="shared" si="164"/>
        <v>0</v>
      </c>
      <c r="AH133" s="72">
        <f t="shared" si="165"/>
        <v>33.333333333333329</v>
      </c>
      <c r="AI133" s="73">
        <f t="shared" si="166"/>
        <v>13.043478260869565</v>
      </c>
      <c r="AJ133" s="73"/>
      <c r="AK133" s="76">
        <f t="shared" si="167"/>
        <v>42.857142857142854</v>
      </c>
      <c r="AL133" s="76">
        <f t="shared" si="168"/>
        <v>15.384615384615385</v>
      </c>
      <c r="AM133" s="76">
        <f t="shared" si="169"/>
        <v>25</v>
      </c>
      <c r="AN133" s="76"/>
      <c r="AO133" s="81">
        <f t="shared" si="170"/>
        <v>0</v>
      </c>
      <c r="AP133" s="81">
        <f t="shared" si="171"/>
        <v>26.666666666666668</v>
      </c>
      <c r="AQ133" s="81">
        <f t="shared" si="172"/>
        <v>20</v>
      </c>
      <c r="AR133" s="7"/>
      <c r="AS133" s="76">
        <f t="shared" si="121"/>
        <v>19.047619047619047</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x14ac:dyDescent="0.3">
      <c r="A134" s="8" t="s">
        <v>22</v>
      </c>
      <c r="B134" s="9" t="s">
        <v>84</v>
      </c>
      <c r="C134" s="7"/>
      <c r="D134" s="7"/>
      <c r="E134" s="7"/>
      <c r="F134" s="71"/>
      <c r="G134" s="51">
        <f t="shared" si="149"/>
        <v>2</v>
      </c>
      <c r="H134" s="52">
        <f t="shared" si="150"/>
        <v>8.695652173913043</v>
      </c>
      <c r="I134" s="53">
        <f>COUNTIFS('00 Encuesta'!$B$2:$B$511,"*d)*",'00 Encuesta'!$C$2:$C$511,"*a)*",'00 Encuesta'!$E$2:$E$511,"*a)*",'00 Encuesta'!$R$2:$R$511,"*e)*")</f>
        <v>2</v>
      </c>
      <c r="J134" s="52">
        <f t="shared" si="151"/>
        <v>14.285714285714285</v>
      </c>
      <c r="K134" s="53">
        <f>COUNTIFS('00 Encuesta'!$B$2:$B$511,"*d)*",'00 Encuesta'!$C$2:$C$511,"*a)*",'00 Encuesta'!$E$2:$E$511,"*b)*",'00 Encuesta'!$R$2:$R$511,"*e)*")</f>
        <v>0</v>
      </c>
      <c r="L134" s="52">
        <f t="shared" si="152"/>
        <v>0</v>
      </c>
      <c r="M134" s="23"/>
      <c r="N134" s="51">
        <f t="shared" si="153"/>
        <v>2</v>
      </c>
      <c r="O134" s="52">
        <f t="shared" si="154"/>
        <v>10</v>
      </c>
      <c r="P134" s="53">
        <f>COUNTIFS('00 Encuesta'!$B$2:$B$511,"*d)*",'00 Encuesta'!$C$2:$C$511,"*b)*",'00 Encuesta'!$E$2:$E$511,"*a)*",'00 Encuesta'!$R$2:$R$511,"*e)*")</f>
        <v>1</v>
      </c>
      <c r="Q134" s="52">
        <f t="shared" si="155"/>
        <v>14.285714285714285</v>
      </c>
      <c r="R134" s="53">
        <f>COUNTIFS('00 Encuesta'!$B$2:$B$511,"*d)*",'00 Encuesta'!$C$2:$C$511,"*b)*",'00 Encuesta'!$E$2:$E$511,"*b)*",'00 Encuesta'!$R$2:$R$511,"*e)*")</f>
        <v>1</v>
      </c>
      <c r="S134" s="52">
        <f t="shared" si="156"/>
        <v>7.6923076923076925</v>
      </c>
      <c r="T134" s="3"/>
      <c r="U134" s="51">
        <f t="shared" si="157"/>
        <v>4</v>
      </c>
      <c r="V134" s="52">
        <f t="shared" si="158"/>
        <v>20</v>
      </c>
      <c r="W134" s="53">
        <f>COUNTIFS('00 Encuesta'!$B$2:$B$511,"*d)*",'00 Encuesta'!$C$2:$C$511,"*c)*",'00 Encuesta'!$E$2:$E$511,"*a)*",'00 Encuesta'!$R$2:$R$511,"*e)*")</f>
        <v>1</v>
      </c>
      <c r="X134" s="52">
        <f t="shared" si="159"/>
        <v>20</v>
      </c>
      <c r="Y134" s="53">
        <f>COUNTIFS('00 Encuesta'!$B$2:$B$511,"*d)*",'00 Encuesta'!$C$2:$C$511,"*c)*",'00 Encuesta'!$E$2:$E$511,"*b)*",'00 Encuesta'!$R$2:$R$511,"*e)*")</f>
        <v>3</v>
      </c>
      <c r="Z134" s="52">
        <f t="shared" si="160"/>
        <v>20</v>
      </c>
      <c r="AA134" s="3"/>
      <c r="AB134" s="62">
        <f t="shared" si="161"/>
        <v>8</v>
      </c>
      <c r="AC134" s="52">
        <f t="shared" si="162"/>
        <v>12.698412698412698</v>
      </c>
      <c r="AD134" s="7"/>
      <c r="AE134" s="7"/>
      <c r="AF134" s="9" t="str">
        <f t="shared" si="163"/>
        <v>e) Disponer de dinero</v>
      </c>
      <c r="AG134" s="72">
        <f t="shared" si="164"/>
        <v>14.285714285714285</v>
      </c>
      <c r="AH134" s="72">
        <f t="shared" si="165"/>
        <v>0</v>
      </c>
      <c r="AI134" s="73">
        <f t="shared" si="166"/>
        <v>8.695652173913043</v>
      </c>
      <c r="AJ134" s="73"/>
      <c r="AK134" s="76">
        <f t="shared" si="167"/>
        <v>14.285714285714285</v>
      </c>
      <c r="AL134" s="76">
        <f t="shared" si="168"/>
        <v>7.6923076923076925</v>
      </c>
      <c r="AM134" s="76">
        <f t="shared" si="169"/>
        <v>10</v>
      </c>
      <c r="AN134" s="76"/>
      <c r="AO134" s="81">
        <f t="shared" si="170"/>
        <v>20</v>
      </c>
      <c r="AP134" s="81">
        <f t="shared" si="171"/>
        <v>20</v>
      </c>
      <c r="AQ134" s="81">
        <f t="shared" si="172"/>
        <v>20</v>
      </c>
      <c r="AR134" s="7"/>
      <c r="AS134" s="76">
        <f t="shared" si="121"/>
        <v>12.698412698412698</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x14ac:dyDescent="0.3">
      <c r="A135" s="8" t="s">
        <v>45</v>
      </c>
      <c r="B135" s="9" t="s">
        <v>110</v>
      </c>
      <c r="C135" s="7"/>
      <c r="D135" s="7"/>
      <c r="E135" s="7"/>
      <c r="F135" s="71"/>
      <c r="G135" s="51">
        <f t="shared" si="149"/>
        <v>10</v>
      </c>
      <c r="H135" s="52">
        <f t="shared" si="150"/>
        <v>43.478260869565219</v>
      </c>
      <c r="I135" s="53">
        <f>COUNTIFS('00 Encuesta'!$B$2:$B$511,"*d)*",'00 Encuesta'!$C$2:$C$511,"*a)*",'00 Encuesta'!$E$2:$E$511,"*a)*",'00 Encuesta'!$R$2:$R$511,"*f)*")</f>
        <v>5</v>
      </c>
      <c r="J135" s="52">
        <f t="shared" si="151"/>
        <v>35.714285714285715</v>
      </c>
      <c r="K135" s="53">
        <f>COUNTIFS('00 Encuesta'!$B$2:$B$511,"*d)*",'00 Encuesta'!$C$2:$C$511,"*a)*",'00 Encuesta'!$E$2:$E$511,"*b)*",'00 Encuesta'!$R$2:$R$511,"*f)*")</f>
        <v>5</v>
      </c>
      <c r="L135" s="52">
        <f t="shared" si="152"/>
        <v>55.555555555555557</v>
      </c>
      <c r="M135" s="23"/>
      <c r="N135" s="51">
        <f t="shared" si="153"/>
        <v>5</v>
      </c>
      <c r="O135" s="52">
        <f t="shared" si="154"/>
        <v>25</v>
      </c>
      <c r="P135" s="53">
        <f>COUNTIFS('00 Encuesta'!$B$2:$B$511,"*d)*",'00 Encuesta'!$C$2:$C$511,"*b)*",'00 Encuesta'!$E$2:$E$511,"*a)*",'00 Encuesta'!$R$2:$R$511,"*f)*")</f>
        <v>2</v>
      </c>
      <c r="Q135" s="52">
        <f t="shared" si="155"/>
        <v>28.571428571428569</v>
      </c>
      <c r="R135" s="53">
        <f>COUNTIFS('00 Encuesta'!$B$2:$B$511,"*d)*",'00 Encuesta'!$C$2:$C$511,"*b)*",'00 Encuesta'!$E$2:$E$511,"*b)*",'00 Encuesta'!$R$2:$R$511,"*f)*")</f>
        <v>3</v>
      </c>
      <c r="S135" s="52">
        <f t="shared" si="156"/>
        <v>23.076923076923077</v>
      </c>
      <c r="T135" s="3"/>
      <c r="U135" s="51">
        <f t="shared" si="157"/>
        <v>3</v>
      </c>
      <c r="V135" s="52">
        <f t="shared" si="158"/>
        <v>15</v>
      </c>
      <c r="W135" s="53">
        <f>COUNTIFS('00 Encuesta'!$B$2:$B$511,"*d)*",'00 Encuesta'!$C$2:$C$511,"*c)*",'00 Encuesta'!$E$2:$E$511,"*a)*",'00 Encuesta'!$R$2:$R$511,"*f)*")</f>
        <v>1</v>
      </c>
      <c r="X135" s="52">
        <f t="shared" si="159"/>
        <v>20</v>
      </c>
      <c r="Y135" s="53">
        <f>COUNTIFS('00 Encuesta'!$B$2:$B$511,"*d)*",'00 Encuesta'!$C$2:$C$511,"*c)*",'00 Encuesta'!$E$2:$E$511,"*b)*",'00 Encuesta'!$R$2:$R$511,"*f)*")</f>
        <v>2</v>
      </c>
      <c r="Z135" s="52">
        <f t="shared" si="160"/>
        <v>13.333333333333334</v>
      </c>
      <c r="AA135" s="3"/>
      <c r="AB135" s="62">
        <f t="shared" si="161"/>
        <v>18</v>
      </c>
      <c r="AC135" s="52">
        <f t="shared" si="162"/>
        <v>28.571428571428573</v>
      </c>
      <c r="AD135" s="7"/>
      <c r="AE135" s="7"/>
      <c r="AF135" s="9" t="str">
        <f t="shared" si="163"/>
        <v>f) Mi fe y mi vida cristiana</v>
      </c>
      <c r="AG135" s="72">
        <f t="shared" si="164"/>
        <v>35.714285714285715</v>
      </c>
      <c r="AH135" s="72">
        <f t="shared" si="165"/>
        <v>55.555555555555557</v>
      </c>
      <c r="AI135" s="73">
        <f t="shared" si="166"/>
        <v>43.478260869565219</v>
      </c>
      <c r="AJ135" s="73"/>
      <c r="AK135" s="76">
        <f t="shared" si="167"/>
        <v>28.571428571428569</v>
      </c>
      <c r="AL135" s="76">
        <f t="shared" si="168"/>
        <v>23.076923076923077</v>
      </c>
      <c r="AM135" s="76">
        <f t="shared" si="169"/>
        <v>25</v>
      </c>
      <c r="AN135" s="76"/>
      <c r="AO135" s="81">
        <f t="shared" si="170"/>
        <v>20</v>
      </c>
      <c r="AP135" s="81">
        <f t="shared" si="171"/>
        <v>13.333333333333334</v>
      </c>
      <c r="AQ135" s="81">
        <f t="shared" si="172"/>
        <v>15</v>
      </c>
      <c r="AR135" s="7"/>
      <c r="AS135" s="76">
        <f t="shared" si="121"/>
        <v>28.571428571428573</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x14ac:dyDescent="0.3">
      <c r="A136" s="8" t="s">
        <v>61</v>
      </c>
      <c r="B136" s="9" t="s">
        <v>86</v>
      </c>
      <c r="C136" s="7"/>
      <c r="D136" s="7"/>
      <c r="E136" s="7"/>
      <c r="F136" s="71"/>
      <c r="G136" s="51">
        <f t="shared" si="149"/>
        <v>7</v>
      </c>
      <c r="H136" s="52">
        <f t="shared" si="150"/>
        <v>30.434782608695656</v>
      </c>
      <c r="I136" s="53">
        <f>COUNTIFS('00 Encuesta'!$B$2:$B$511,"*d)*",'00 Encuesta'!$C$2:$C$511,"*a)*",'00 Encuesta'!$E$2:$E$511,"*a)*",'00 Encuesta'!$R$2:$R$511,"*g)*")</f>
        <v>5</v>
      </c>
      <c r="J136" s="52">
        <f t="shared" si="151"/>
        <v>35.714285714285715</v>
      </c>
      <c r="K136" s="53">
        <f>COUNTIFS('00 Encuesta'!$B$2:$B$511,"*d)*",'00 Encuesta'!$C$2:$C$511,"*a)*",'00 Encuesta'!$E$2:$E$511,"*b)*",'00 Encuesta'!$R$2:$R$511,"*g)*")</f>
        <v>2</v>
      </c>
      <c r="L136" s="52">
        <f t="shared" si="152"/>
        <v>22.222222222222221</v>
      </c>
      <c r="M136" s="23"/>
      <c r="N136" s="51">
        <f t="shared" si="153"/>
        <v>10</v>
      </c>
      <c r="O136" s="52">
        <f t="shared" si="154"/>
        <v>50</v>
      </c>
      <c r="P136" s="53">
        <f>COUNTIFS('00 Encuesta'!$B$2:$B$511,"*d)*",'00 Encuesta'!$C$2:$C$511,"*b)*",'00 Encuesta'!$E$2:$E$511,"*a)*",'00 Encuesta'!$R$2:$R$511,"*g)*")</f>
        <v>3</v>
      </c>
      <c r="Q136" s="52">
        <f t="shared" si="155"/>
        <v>42.857142857142854</v>
      </c>
      <c r="R136" s="53">
        <f>COUNTIFS('00 Encuesta'!$B$2:$B$511,"*d)*",'00 Encuesta'!$C$2:$C$511,"*b)*",'00 Encuesta'!$E$2:$E$511,"*b)*",'00 Encuesta'!$R$2:$R$511,"*g)*")</f>
        <v>7</v>
      </c>
      <c r="S136" s="52">
        <f t="shared" si="156"/>
        <v>53.846153846153847</v>
      </c>
      <c r="T136" s="3"/>
      <c r="U136" s="51">
        <f t="shared" si="157"/>
        <v>8</v>
      </c>
      <c r="V136" s="52">
        <f t="shared" si="158"/>
        <v>40</v>
      </c>
      <c r="W136" s="53">
        <f>COUNTIFS('00 Encuesta'!$B$2:$B$511,"*d)*",'00 Encuesta'!$C$2:$C$511,"*c)*",'00 Encuesta'!$E$2:$E$511,"*a)*",'00 Encuesta'!$R$2:$R$511,"*g)*")</f>
        <v>0</v>
      </c>
      <c r="X136" s="52">
        <f t="shared" si="159"/>
        <v>0</v>
      </c>
      <c r="Y136" s="53">
        <f>COUNTIFS('00 Encuesta'!$B$2:$B$511,"*d)*",'00 Encuesta'!$C$2:$C$511,"*c)*",'00 Encuesta'!$E$2:$E$511,"*b)*",'00 Encuesta'!$R$2:$R$511,"*g)*")</f>
        <v>8</v>
      </c>
      <c r="Z136" s="52">
        <f t="shared" si="160"/>
        <v>53.333333333333336</v>
      </c>
      <c r="AA136" s="3"/>
      <c r="AB136" s="62">
        <f t="shared" si="161"/>
        <v>25</v>
      </c>
      <c r="AC136" s="52">
        <f t="shared" si="162"/>
        <v>39.682539682539684</v>
      </c>
      <c r="AD136" s="7"/>
      <c r="AE136" s="7"/>
      <c r="AF136" s="9" t="str">
        <f t="shared" si="163"/>
        <v>g) La felicidad</v>
      </c>
      <c r="AG136" s="72">
        <f t="shared" si="164"/>
        <v>35.714285714285715</v>
      </c>
      <c r="AH136" s="72">
        <f t="shared" si="165"/>
        <v>22.222222222222221</v>
      </c>
      <c r="AI136" s="73">
        <f t="shared" si="166"/>
        <v>30.434782608695656</v>
      </c>
      <c r="AJ136" s="73"/>
      <c r="AK136" s="76">
        <f t="shared" si="167"/>
        <v>42.857142857142854</v>
      </c>
      <c r="AL136" s="76">
        <f t="shared" si="168"/>
        <v>53.846153846153847</v>
      </c>
      <c r="AM136" s="76">
        <f t="shared" si="169"/>
        <v>50</v>
      </c>
      <c r="AN136" s="76"/>
      <c r="AO136" s="81">
        <f t="shared" si="170"/>
        <v>0</v>
      </c>
      <c r="AP136" s="81">
        <f t="shared" si="171"/>
        <v>53.333333333333336</v>
      </c>
      <c r="AQ136" s="81">
        <f t="shared" si="172"/>
        <v>40</v>
      </c>
      <c r="AR136" s="7"/>
      <c r="AS136" s="76">
        <f t="shared" si="121"/>
        <v>39.682539682539684</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x14ac:dyDescent="0.3">
      <c r="A137" s="8" t="s">
        <v>63</v>
      </c>
      <c r="B137" s="9" t="s">
        <v>87</v>
      </c>
      <c r="C137" s="7"/>
      <c r="D137" s="7"/>
      <c r="E137" s="7"/>
      <c r="F137" s="71"/>
      <c r="G137" s="51">
        <f t="shared" si="149"/>
        <v>0</v>
      </c>
      <c r="H137" s="52">
        <f t="shared" si="150"/>
        <v>0</v>
      </c>
      <c r="I137" s="53">
        <f>COUNTIFS('00 Encuesta'!$B$2:$B$511,"*d)*",'00 Encuesta'!$C$2:$C$511,"*a)*",'00 Encuesta'!$E$2:$E$511,"*a)*",'00 Encuesta'!$R$2:$R$511,"*h)*")</f>
        <v>0</v>
      </c>
      <c r="J137" s="52">
        <f t="shared" si="151"/>
        <v>0</v>
      </c>
      <c r="K137" s="53">
        <f>COUNTIFS('00 Encuesta'!$B$2:$B$511,"*d)*",'00 Encuesta'!$C$2:$C$511,"*a)*",'00 Encuesta'!$E$2:$E$511,"*b)*",'00 Encuesta'!$R$2:$R$511,"*h)*")</f>
        <v>0</v>
      </c>
      <c r="L137" s="52">
        <f t="shared" si="152"/>
        <v>0</v>
      </c>
      <c r="M137" s="23"/>
      <c r="N137" s="51">
        <f t="shared" si="153"/>
        <v>2</v>
      </c>
      <c r="O137" s="52">
        <f t="shared" si="154"/>
        <v>10</v>
      </c>
      <c r="P137" s="53">
        <f>COUNTIFS('00 Encuesta'!$B$2:$B$511,"*d)*",'00 Encuesta'!$C$2:$C$511,"*b)*",'00 Encuesta'!$E$2:$E$511,"*a)*",'00 Encuesta'!$R$2:$R$511,"*h)*")</f>
        <v>1</v>
      </c>
      <c r="Q137" s="52">
        <f t="shared" si="155"/>
        <v>14.285714285714285</v>
      </c>
      <c r="R137" s="53">
        <f>COUNTIFS('00 Encuesta'!$B$2:$B$511,"*d)*",'00 Encuesta'!$C$2:$C$511,"*b)*",'00 Encuesta'!$E$2:$E$511,"*b)*",'00 Encuesta'!$R$2:$R$511,"*h)*")</f>
        <v>1</v>
      </c>
      <c r="S137" s="52">
        <f t="shared" si="156"/>
        <v>7.6923076923076925</v>
      </c>
      <c r="T137" s="3"/>
      <c r="U137" s="51">
        <f t="shared" si="157"/>
        <v>0</v>
      </c>
      <c r="V137" s="52">
        <f t="shared" si="158"/>
        <v>0</v>
      </c>
      <c r="W137" s="53">
        <f>COUNTIFS('00 Encuesta'!$B$2:$B$511,"*d)*",'00 Encuesta'!$C$2:$C$511,"*c)*",'00 Encuesta'!$E$2:$E$511,"*a)*",'00 Encuesta'!$R$2:$R$511,"*h)*")</f>
        <v>0</v>
      </c>
      <c r="X137" s="52">
        <f t="shared" si="159"/>
        <v>0</v>
      </c>
      <c r="Y137" s="53">
        <f>COUNTIFS('00 Encuesta'!$B$2:$B$511,"*d)*",'00 Encuesta'!$C$2:$C$511,"*c)*",'00 Encuesta'!$E$2:$E$511,"*b)*",'00 Encuesta'!$R$2:$R$511,"*h)*")</f>
        <v>0</v>
      </c>
      <c r="Z137" s="52">
        <f t="shared" si="160"/>
        <v>0</v>
      </c>
      <c r="AA137" s="3"/>
      <c r="AB137" s="62">
        <f t="shared" si="161"/>
        <v>2</v>
      </c>
      <c r="AC137" s="52">
        <f t="shared" si="162"/>
        <v>3.1746031746031744</v>
      </c>
      <c r="AD137" s="7"/>
      <c r="AE137" s="7"/>
      <c r="AF137" s="9" t="str">
        <f t="shared" si="163"/>
        <v>h) La sexualidad</v>
      </c>
      <c r="AG137" s="72">
        <f t="shared" si="164"/>
        <v>0</v>
      </c>
      <c r="AH137" s="72">
        <f t="shared" si="165"/>
        <v>0</v>
      </c>
      <c r="AI137" s="73">
        <f t="shared" si="166"/>
        <v>0</v>
      </c>
      <c r="AJ137" s="73"/>
      <c r="AK137" s="76">
        <f t="shared" si="167"/>
        <v>14.285714285714285</v>
      </c>
      <c r="AL137" s="76">
        <f t="shared" si="168"/>
        <v>7.6923076923076925</v>
      </c>
      <c r="AM137" s="76">
        <f t="shared" si="169"/>
        <v>10</v>
      </c>
      <c r="AN137" s="76"/>
      <c r="AO137" s="81">
        <f t="shared" si="170"/>
        <v>0</v>
      </c>
      <c r="AP137" s="81">
        <f t="shared" si="171"/>
        <v>0</v>
      </c>
      <c r="AQ137" s="81">
        <f t="shared" si="172"/>
        <v>0</v>
      </c>
      <c r="AR137" s="7"/>
      <c r="AS137" s="76">
        <f t="shared" si="121"/>
        <v>3.1746031746031744</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f t="shared" si="150"/>
        <v>0</v>
      </c>
      <c r="I138" s="53">
        <f>COUNTIFS('00 Encuesta'!$B$2:$B$511,"*d)*",'00 Encuesta'!$C$2:$C$511,"*a)*",'00 Encuesta'!$E$2:$E$511,"*a)*",'00 Encuesta'!$R$2:$R$511,"*i)*")</f>
        <v>0</v>
      </c>
      <c r="J138" s="52">
        <f t="shared" si="151"/>
        <v>0</v>
      </c>
      <c r="K138" s="53">
        <f>COUNTIFS('00 Encuesta'!$B$2:$B$511,"*d)*",'00 Encuesta'!$C$2:$C$511,"*a)*",'00 Encuesta'!$E$2:$E$511,"*b)*",'00 Encuesta'!$R$2:$R$511,"*i)*")</f>
        <v>0</v>
      </c>
      <c r="L138" s="52">
        <f t="shared" si="152"/>
        <v>0</v>
      </c>
      <c r="M138" s="23"/>
      <c r="N138" s="51">
        <f t="shared" si="153"/>
        <v>0</v>
      </c>
      <c r="O138" s="52">
        <f t="shared" si="154"/>
        <v>0</v>
      </c>
      <c r="P138" s="53">
        <f>COUNTIFS('00 Encuesta'!$B$2:$B$511,"*d)*",'00 Encuesta'!$C$2:$C$511,"*b)*",'00 Encuesta'!$E$2:$E$511,"*a)*",'00 Encuesta'!$R$2:$R$511,"*i)*")</f>
        <v>0</v>
      </c>
      <c r="Q138" s="52">
        <f t="shared" si="155"/>
        <v>0</v>
      </c>
      <c r="R138" s="53">
        <f>COUNTIFS('00 Encuesta'!$B$2:$B$511,"*d)*",'00 Encuesta'!$C$2:$C$511,"*b)*",'00 Encuesta'!$E$2:$E$511,"*b)*",'00 Encuesta'!$R$2:$R$511,"*i)*")</f>
        <v>0</v>
      </c>
      <c r="S138" s="52">
        <f t="shared" si="156"/>
        <v>0</v>
      </c>
      <c r="T138" s="3"/>
      <c r="U138" s="51">
        <f t="shared" si="157"/>
        <v>1</v>
      </c>
      <c r="V138" s="52">
        <f t="shared" si="158"/>
        <v>5</v>
      </c>
      <c r="W138" s="53">
        <f>COUNTIFS('00 Encuesta'!$B$2:$B$511,"*d)*",'00 Encuesta'!$C$2:$C$511,"*c)*",'00 Encuesta'!$E$2:$E$511,"*a)*",'00 Encuesta'!$R$2:$R$511,"*i)*")</f>
        <v>0</v>
      </c>
      <c r="X138" s="52">
        <f t="shared" si="159"/>
        <v>0</v>
      </c>
      <c r="Y138" s="53">
        <f>COUNTIFS('00 Encuesta'!$B$2:$B$511,"*d)*",'00 Encuesta'!$C$2:$C$511,"*c)*",'00 Encuesta'!$E$2:$E$511,"*b)*",'00 Encuesta'!$R$2:$R$511,"*i)*")</f>
        <v>1</v>
      </c>
      <c r="Z138" s="52">
        <f t="shared" si="160"/>
        <v>6.666666666666667</v>
      </c>
      <c r="AA138" s="3"/>
      <c r="AB138" s="62">
        <f t="shared" si="161"/>
        <v>1</v>
      </c>
      <c r="AC138" s="52">
        <f t="shared" si="162"/>
        <v>1.5873015873015872</v>
      </c>
      <c r="AD138" s="7"/>
      <c r="AE138" s="7"/>
      <c r="AF138" s="9" t="str">
        <f t="shared" si="163"/>
        <v>i) La música</v>
      </c>
      <c r="AG138" s="72">
        <f t="shared" si="164"/>
        <v>0</v>
      </c>
      <c r="AH138" s="72">
        <f t="shared" si="165"/>
        <v>0</v>
      </c>
      <c r="AI138" s="73">
        <f t="shared" si="166"/>
        <v>0</v>
      </c>
      <c r="AJ138" s="73"/>
      <c r="AK138" s="76">
        <f t="shared" si="167"/>
        <v>0</v>
      </c>
      <c r="AL138" s="76">
        <f t="shared" si="168"/>
        <v>0</v>
      </c>
      <c r="AM138" s="76">
        <f t="shared" si="169"/>
        <v>0</v>
      </c>
      <c r="AN138" s="76"/>
      <c r="AO138" s="81">
        <f t="shared" si="170"/>
        <v>0</v>
      </c>
      <c r="AP138" s="81">
        <f t="shared" si="171"/>
        <v>6.666666666666667</v>
      </c>
      <c r="AQ138" s="81">
        <f t="shared" si="172"/>
        <v>5</v>
      </c>
      <c r="AR138" s="7"/>
      <c r="AS138" s="76">
        <f t="shared" si="121"/>
        <v>1.5873015873015872</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x14ac:dyDescent="0.3">
      <c r="A139" s="1" t="s">
        <v>67</v>
      </c>
      <c r="B139" s="2" t="s">
        <v>89</v>
      </c>
      <c r="C139" s="3"/>
      <c r="D139" s="7"/>
      <c r="E139" s="7"/>
      <c r="F139" s="71"/>
      <c r="G139" s="51">
        <f t="shared" si="149"/>
        <v>5</v>
      </c>
      <c r="H139" s="52">
        <f t="shared" si="150"/>
        <v>21.739130434782609</v>
      </c>
      <c r="I139" s="53">
        <f>COUNTIFS('00 Encuesta'!$B$2:$B$511,"*d)*",'00 Encuesta'!$C$2:$C$511,"*a)*",'00 Encuesta'!$E$2:$E$511,"*a)*",'00 Encuesta'!$R$2:$R$511,"*j)*")</f>
        <v>4</v>
      </c>
      <c r="J139" s="52">
        <f t="shared" si="151"/>
        <v>28.571428571428569</v>
      </c>
      <c r="K139" s="53">
        <f>COUNTIFS('00 Encuesta'!$B$2:$B$511,"*d)*",'00 Encuesta'!$C$2:$C$511,"*a)*",'00 Encuesta'!$E$2:$E$511,"*b)*",'00 Encuesta'!$R$2:$R$511,"*j)*")</f>
        <v>1</v>
      </c>
      <c r="L139" s="52">
        <f t="shared" si="152"/>
        <v>11.111111111111111</v>
      </c>
      <c r="M139" s="23"/>
      <c r="N139" s="51">
        <f t="shared" si="153"/>
        <v>2</v>
      </c>
      <c r="O139" s="52">
        <f t="shared" si="154"/>
        <v>10</v>
      </c>
      <c r="P139" s="53">
        <f>COUNTIFS('00 Encuesta'!$B$2:$B$511,"*d)*",'00 Encuesta'!$C$2:$C$511,"*b)*",'00 Encuesta'!$E$2:$E$511,"*a)*",'00 Encuesta'!$R$2:$R$511,"*j)*")</f>
        <v>1</v>
      </c>
      <c r="Q139" s="52">
        <f t="shared" si="155"/>
        <v>14.285714285714285</v>
      </c>
      <c r="R139" s="53">
        <f>COUNTIFS('00 Encuesta'!$B$2:$B$511,"*d)*",'00 Encuesta'!$C$2:$C$511,"*b)*",'00 Encuesta'!$E$2:$E$511,"*b)*",'00 Encuesta'!$R$2:$R$511,"*j)*")</f>
        <v>1</v>
      </c>
      <c r="S139" s="52">
        <f t="shared" si="156"/>
        <v>7.6923076923076925</v>
      </c>
      <c r="T139" s="3"/>
      <c r="U139" s="51">
        <f t="shared" si="157"/>
        <v>1</v>
      </c>
      <c r="V139" s="52">
        <f t="shared" si="158"/>
        <v>5</v>
      </c>
      <c r="W139" s="53">
        <f>COUNTIFS('00 Encuesta'!$B$2:$B$511,"*d)*",'00 Encuesta'!$C$2:$C$511,"*c)*",'00 Encuesta'!$E$2:$E$511,"*a)*",'00 Encuesta'!$R$2:$R$511,"*j)*")</f>
        <v>1</v>
      </c>
      <c r="X139" s="52">
        <f t="shared" si="159"/>
        <v>20</v>
      </c>
      <c r="Y139" s="53">
        <f>COUNTIFS('00 Encuesta'!$B$2:$B$511,"*d)*",'00 Encuesta'!$C$2:$C$511,"*c)*",'00 Encuesta'!$E$2:$E$511,"*b)*",'00 Encuesta'!$R$2:$R$511,"*j)*")</f>
        <v>0</v>
      </c>
      <c r="Z139" s="52">
        <f t="shared" si="160"/>
        <v>0</v>
      </c>
      <c r="AA139" s="3"/>
      <c r="AB139" s="62">
        <f t="shared" si="161"/>
        <v>8</v>
      </c>
      <c r="AC139" s="52">
        <f t="shared" si="162"/>
        <v>12.698412698412698</v>
      </c>
      <c r="AD139" s="7"/>
      <c r="AE139" s="7"/>
      <c r="AF139" s="9" t="str">
        <f t="shared" si="163"/>
        <v>j) El deporte</v>
      </c>
      <c r="AG139" s="72">
        <f t="shared" si="164"/>
        <v>28.571428571428569</v>
      </c>
      <c r="AH139" s="72">
        <f t="shared" si="165"/>
        <v>11.111111111111111</v>
      </c>
      <c r="AI139" s="73">
        <f t="shared" si="166"/>
        <v>21.739130434782609</v>
      </c>
      <c r="AJ139" s="73"/>
      <c r="AK139" s="76">
        <f t="shared" si="167"/>
        <v>14.285714285714285</v>
      </c>
      <c r="AL139" s="76">
        <f t="shared" si="168"/>
        <v>7.6923076923076925</v>
      </c>
      <c r="AM139" s="76">
        <f t="shared" si="169"/>
        <v>10</v>
      </c>
      <c r="AN139" s="76"/>
      <c r="AO139" s="81">
        <f t="shared" si="170"/>
        <v>20</v>
      </c>
      <c r="AP139" s="81">
        <f t="shared" si="171"/>
        <v>0</v>
      </c>
      <c r="AQ139" s="81">
        <f t="shared" si="172"/>
        <v>5</v>
      </c>
      <c r="AR139" s="7"/>
      <c r="AS139" s="76">
        <f t="shared" si="121"/>
        <v>12.698412698412698</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x14ac:dyDescent="0.3">
      <c r="A140" s="8" t="s">
        <v>69</v>
      </c>
      <c r="B140" s="9" t="s">
        <v>90</v>
      </c>
      <c r="C140" s="7"/>
      <c r="D140" s="7"/>
      <c r="E140" s="7"/>
      <c r="F140" s="71"/>
      <c r="G140" s="51">
        <f t="shared" si="149"/>
        <v>0</v>
      </c>
      <c r="H140" s="52">
        <f t="shared" si="150"/>
        <v>0</v>
      </c>
      <c r="I140" s="53">
        <f>COUNTIFS('00 Encuesta'!$B$2:$B$511,"*d)*",'00 Encuesta'!$C$2:$C$511,"*a)*",'00 Encuesta'!$E$2:$E$511,"*a)*",'00 Encuesta'!$R$2:$R$511,"*k)*")</f>
        <v>0</v>
      </c>
      <c r="J140" s="52">
        <f t="shared" si="151"/>
        <v>0</v>
      </c>
      <c r="K140" s="53">
        <f>COUNTIFS('00 Encuesta'!$B$2:$B$511,"*d)*",'00 Encuesta'!$C$2:$C$511,"*a)*",'00 Encuesta'!$E$2:$E$511,"*b)*",'00 Encuesta'!$R$2:$R$511,"*k)*")</f>
        <v>0</v>
      </c>
      <c r="L140" s="52">
        <f t="shared" si="152"/>
        <v>0</v>
      </c>
      <c r="M140" s="23"/>
      <c r="N140" s="51">
        <f t="shared" si="153"/>
        <v>0</v>
      </c>
      <c r="O140" s="52">
        <f t="shared" si="154"/>
        <v>0</v>
      </c>
      <c r="P140" s="53">
        <f>COUNTIFS('00 Encuesta'!$B$2:$B$511,"*d)*",'00 Encuesta'!$C$2:$C$511,"*b)*",'00 Encuesta'!$E$2:$E$511,"*a)*",'00 Encuesta'!$R$2:$R$511,"*k)*")</f>
        <v>0</v>
      </c>
      <c r="Q140" s="52">
        <f t="shared" si="155"/>
        <v>0</v>
      </c>
      <c r="R140" s="53">
        <f>COUNTIFS('00 Encuesta'!$B$2:$B$511,"*d)*",'00 Encuesta'!$C$2:$C$511,"*b)*",'00 Encuesta'!$E$2:$E$511,"*b)*",'00 Encuesta'!$R$2:$R$511,"*k)*")</f>
        <v>0</v>
      </c>
      <c r="S140" s="52">
        <f t="shared" si="156"/>
        <v>0</v>
      </c>
      <c r="T140" s="3"/>
      <c r="U140" s="51">
        <f t="shared" si="157"/>
        <v>1</v>
      </c>
      <c r="V140" s="52">
        <f t="shared" si="158"/>
        <v>5</v>
      </c>
      <c r="W140" s="53">
        <f>COUNTIFS('00 Encuesta'!$B$2:$B$511,"*d)*",'00 Encuesta'!$C$2:$C$511,"*c)*",'00 Encuesta'!$E$2:$E$511,"*a)*",'00 Encuesta'!$R$2:$R$511,"*k)*")</f>
        <v>1</v>
      </c>
      <c r="X140" s="52">
        <f t="shared" si="159"/>
        <v>20</v>
      </c>
      <c r="Y140" s="53">
        <f>COUNTIFS('00 Encuesta'!$B$2:$B$511,"*d)*",'00 Encuesta'!$C$2:$C$511,"*c)*",'00 Encuesta'!$E$2:$E$511,"*b)*",'00 Encuesta'!$R$2:$R$511,"*k)*")</f>
        <v>0</v>
      </c>
      <c r="Z140" s="52">
        <f t="shared" si="160"/>
        <v>0</v>
      </c>
      <c r="AA140" s="3"/>
      <c r="AB140" s="62">
        <f t="shared" si="161"/>
        <v>1</v>
      </c>
      <c r="AC140" s="52">
        <f t="shared" si="162"/>
        <v>1.5873015873015872</v>
      </c>
      <c r="AD140" s="7"/>
      <c r="AE140" s="7"/>
      <c r="AF140" s="9" t="str">
        <f t="shared" si="163"/>
        <v>k) Internet</v>
      </c>
      <c r="AG140" s="72">
        <f t="shared" si="164"/>
        <v>0</v>
      </c>
      <c r="AH140" s="72">
        <f t="shared" si="165"/>
        <v>0</v>
      </c>
      <c r="AI140" s="73">
        <f t="shared" si="166"/>
        <v>0</v>
      </c>
      <c r="AJ140" s="73"/>
      <c r="AK140" s="76">
        <f t="shared" si="167"/>
        <v>0</v>
      </c>
      <c r="AL140" s="76">
        <f t="shared" si="168"/>
        <v>0</v>
      </c>
      <c r="AM140" s="76">
        <f t="shared" si="169"/>
        <v>0</v>
      </c>
      <c r="AN140" s="76"/>
      <c r="AO140" s="81">
        <f t="shared" si="170"/>
        <v>20</v>
      </c>
      <c r="AP140" s="81">
        <f t="shared" si="171"/>
        <v>0</v>
      </c>
      <c r="AQ140" s="81">
        <f t="shared" si="172"/>
        <v>5</v>
      </c>
      <c r="AR140" s="7"/>
      <c r="AS140" s="76">
        <f t="shared" si="121"/>
        <v>1.5873015873015872</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x14ac:dyDescent="0.3">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x14ac:dyDescent="0.3">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x14ac:dyDescent="0.3">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x14ac:dyDescent="0.3">
      <c r="A144" s="8" t="s">
        <v>17</v>
      </c>
      <c r="B144" s="9" t="s">
        <v>102</v>
      </c>
      <c r="C144" s="7"/>
      <c r="D144" s="7"/>
      <c r="E144" s="7"/>
      <c r="F144" s="71">
        <v>100</v>
      </c>
      <c r="G144" s="51">
        <f>I144+K144</f>
        <v>17</v>
      </c>
      <c r="H144" s="52">
        <f>G144/$J$5*100</f>
        <v>73.91304347826086</v>
      </c>
      <c r="I144" s="53">
        <f>COUNTIFS('00 Encuesta'!$B$2:$B$511,"*d)*",'00 Encuesta'!$C$2:$C$511,"*a)*",'00 Encuesta'!$E$2:$E$511,"*a)*",'00 Encuesta'!$T$2:$T$511,"*a)*")</f>
        <v>8</v>
      </c>
      <c r="J144" s="52">
        <f>I144/$J$6*100</f>
        <v>57.142857142857139</v>
      </c>
      <c r="K144" s="53">
        <f>COUNTIFS('00 Encuesta'!$B$2:$B$511,"*d)*",'00 Encuesta'!$C$2:$C$511,"*a)*",'00 Encuesta'!$E$2:$E$511,"*b)*",'00 Encuesta'!$T$2:$T$511,"*a)*")</f>
        <v>9</v>
      </c>
      <c r="L144" s="52">
        <f>K144/$J$7*100</f>
        <v>100</v>
      </c>
      <c r="M144" s="23"/>
      <c r="N144" s="51">
        <f>P144+R144</f>
        <v>12</v>
      </c>
      <c r="O144" s="52">
        <f>N144/$Q$5*100</f>
        <v>60</v>
      </c>
      <c r="P144" s="53">
        <f>COUNTIFS('00 Encuesta'!$B$2:$B$511,"*d)*",'00 Encuesta'!$C$2:$C$511,"*b)*",'00 Encuesta'!$E$2:$E$511,"*a)*",'00 Encuesta'!$T$2:$T$511,"*a)*")</f>
        <v>2</v>
      </c>
      <c r="Q144" s="52">
        <f>P144/$Q$6*100</f>
        <v>28.571428571428569</v>
      </c>
      <c r="R144" s="53">
        <f>COUNTIFS('00 Encuesta'!$B$2:$B$511,"*d)*",'00 Encuesta'!$C$2:$C$511,"*b)*",'00 Encuesta'!$E$2:$E$511,"*b)*",'00 Encuesta'!$T$2:$T$511,"*a)*")</f>
        <v>10</v>
      </c>
      <c r="S144" s="52">
        <f>R144/$Q$7*100</f>
        <v>76.923076923076934</v>
      </c>
      <c r="T144" s="3"/>
      <c r="U144" s="51">
        <f>W144+Y144</f>
        <v>19</v>
      </c>
      <c r="V144" s="52">
        <f>U144/$X$5*100</f>
        <v>95</v>
      </c>
      <c r="W144" s="53">
        <f>COUNTIFS('00 Encuesta'!$B$2:$B$511,"*d)*",'00 Encuesta'!$C$2:$C$511,"*c)*",'00 Encuesta'!$E$2:$E$511,"*a)*",'00 Encuesta'!$T$2:$T$511,"*a)*")</f>
        <v>4</v>
      </c>
      <c r="X144" s="52">
        <f>W144/$X$6*100</f>
        <v>80</v>
      </c>
      <c r="Y144" s="53">
        <f>COUNTIFS('00 Encuesta'!$B$2:$B$511,"*d)*",'00 Encuesta'!$C$2:$C$511,"*c)*",'00 Encuesta'!$E$2:$E$511,"*b)*",'00 Encuesta'!$T$2:$T$511,"*a)*")</f>
        <v>15</v>
      </c>
      <c r="Z144" s="52">
        <f>Y144/$X$7*100</f>
        <v>100</v>
      </c>
      <c r="AA144" s="3"/>
      <c r="AB144" s="62">
        <f>G144+N144+U144</f>
        <v>48</v>
      </c>
      <c r="AC144" s="52">
        <f>AB144*100/$AC$5</f>
        <v>76.19047619047619</v>
      </c>
      <c r="AD144" s="7"/>
      <c r="AE144" s="7"/>
      <c r="AF144" s="9" t="str">
        <f t="shared" si="173"/>
        <v>a) Mucho</v>
      </c>
      <c r="AG144" s="72">
        <f>J144</f>
        <v>57.142857142857139</v>
      </c>
      <c r="AH144" s="72">
        <f>L144</f>
        <v>100</v>
      </c>
      <c r="AI144" s="73">
        <f>H144</f>
        <v>73.91304347826086</v>
      </c>
      <c r="AJ144" s="73"/>
      <c r="AK144" s="76">
        <f>Q144</f>
        <v>28.571428571428569</v>
      </c>
      <c r="AL144" s="76">
        <f>S144</f>
        <v>76.923076923076934</v>
      </c>
      <c r="AM144" s="76">
        <f>O144</f>
        <v>60</v>
      </c>
      <c r="AN144" s="76"/>
      <c r="AO144" s="81">
        <f>X144</f>
        <v>80</v>
      </c>
      <c r="AP144" s="81">
        <f>Z144</f>
        <v>100</v>
      </c>
      <c r="AQ144" s="81">
        <f>V144</f>
        <v>95</v>
      </c>
      <c r="AR144" s="7"/>
      <c r="AS144" s="76">
        <f t="shared" ref="AS144:AS206" si="174">AC144</f>
        <v>76.19047619047619</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x14ac:dyDescent="0.3">
      <c r="A145" s="8" t="s">
        <v>18</v>
      </c>
      <c r="B145" s="9" t="s">
        <v>103</v>
      </c>
      <c r="C145" s="7"/>
      <c r="D145" s="7"/>
      <c r="E145" s="7"/>
      <c r="F145" s="71">
        <v>66.66</v>
      </c>
      <c r="G145" s="51">
        <f>I145+K145</f>
        <v>4</v>
      </c>
      <c r="H145" s="52">
        <f>G145/$J$5*100</f>
        <v>17.391304347826086</v>
      </c>
      <c r="I145" s="53">
        <f>COUNTIFS('00 Encuesta'!$B$2:$B$511,"*d)*",'00 Encuesta'!$C$2:$C$511,"*a)*",'00 Encuesta'!$E$2:$E$511,"*a)*",'00 Encuesta'!$T$2:$T$511,"*b)*")</f>
        <v>4</v>
      </c>
      <c r="J145" s="52">
        <f>I145/$J$6*100</f>
        <v>28.571428571428569</v>
      </c>
      <c r="K145" s="53">
        <f>COUNTIFS('00 Encuesta'!$B$2:$B$511,"*d)*",'00 Encuesta'!$C$2:$C$511,"*a)*",'00 Encuesta'!$E$2:$E$511,"*b)*",'00 Encuesta'!$T$2:$T$511,"*b)*")</f>
        <v>0</v>
      </c>
      <c r="L145" s="52">
        <f>K145/$J$7*100</f>
        <v>0</v>
      </c>
      <c r="M145" s="23"/>
      <c r="N145" s="51">
        <f>P145+R145</f>
        <v>6</v>
      </c>
      <c r="O145" s="52">
        <f>N145/$Q$5*100</f>
        <v>30</v>
      </c>
      <c r="P145" s="53">
        <f>COUNTIFS('00 Encuesta'!$B$2:$B$511,"*d)*",'00 Encuesta'!$C$2:$C$511,"*b)*",'00 Encuesta'!$E$2:$E$511,"*a)*",'00 Encuesta'!$T$2:$T$511,"*b)*")</f>
        <v>4</v>
      </c>
      <c r="Q145" s="52">
        <f>P145/$Q$6*100</f>
        <v>57.142857142857139</v>
      </c>
      <c r="R145" s="53">
        <f>COUNTIFS('00 Encuesta'!$B$2:$B$511,"*d)*",'00 Encuesta'!$C$2:$C$511,"*b)*",'00 Encuesta'!$E$2:$E$511,"*b)*",'00 Encuesta'!$T$2:$T$511,"*b)*")</f>
        <v>2</v>
      </c>
      <c r="S145" s="52">
        <f>R145/$Q$7*100</f>
        <v>15.384615384615385</v>
      </c>
      <c r="T145" s="3"/>
      <c r="U145" s="51">
        <f>W145+Y145</f>
        <v>0</v>
      </c>
      <c r="V145" s="52">
        <f>U145/$X$5*100</f>
        <v>0</v>
      </c>
      <c r="W145" s="53">
        <f>COUNTIFS('00 Encuesta'!$B$2:$B$511,"*d)*",'00 Encuesta'!$C$2:$C$511,"*c)*",'00 Encuesta'!$E$2:$E$511,"*a)*",'00 Encuesta'!$T$2:$T$511,"*b)*")</f>
        <v>0</v>
      </c>
      <c r="X145" s="52">
        <f>W145/$X$6*100</f>
        <v>0</v>
      </c>
      <c r="Y145" s="53">
        <f>COUNTIFS('00 Encuesta'!$B$2:$B$511,"*d)*",'00 Encuesta'!$C$2:$C$511,"*c)*",'00 Encuesta'!$E$2:$E$511,"*b)*",'00 Encuesta'!$T$2:$T$511,"*b)*")</f>
        <v>0</v>
      </c>
      <c r="Z145" s="52">
        <f>Y145/$X$7*100</f>
        <v>0</v>
      </c>
      <c r="AA145" s="3"/>
      <c r="AB145" s="62">
        <f>G145+N145+U145</f>
        <v>10</v>
      </c>
      <c r="AC145" s="52">
        <f>AB145*100/$AC$5</f>
        <v>15.873015873015873</v>
      </c>
      <c r="AD145" s="7"/>
      <c r="AE145" s="7"/>
      <c r="AF145" s="9" t="str">
        <f t="shared" si="173"/>
        <v>b) Suficiente</v>
      </c>
      <c r="AG145" s="72">
        <f>J145</f>
        <v>28.571428571428569</v>
      </c>
      <c r="AH145" s="72">
        <f>L145</f>
        <v>0</v>
      </c>
      <c r="AI145" s="73">
        <f>H145</f>
        <v>17.391304347826086</v>
      </c>
      <c r="AJ145" s="73"/>
      <c r="AK145" s="76">
        <f>Q145</f>
        <v>57.142857142857139</v>
      </c>
      <c r="AL145" s="76">
        <f>S145</f>
        <v>15.384615384615385</v>
      </c>
      <c r="AM145" s="76">
        <f>O145</f>
        <v>30</v>
      </c>
      <c r="AN145" s="76"/>
      <c r="AO145" s="81">
        <f>X145</f>
        <v>0</v>
      </c>
      <c r="AP145" s="81">
        <f>Z145</f>
        <v>0</v>
      </c>
      <c r="AQ145" s="81">
        <f>V145</f>
        <v>0</v>
      </c>
      <c r="AR145" s="7"/>
      <c r="AS145" s="76">
        <f t="shared" si="174"/>
        <v>15.873015873015873</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x14ac:dyDescent="0.3">
      <c r="A146" s="8" t="s">
        <v>20</v>
      </c>
      <c r="B146" s="9" t="s">
        <v>104</v>
      </c>
      <c r="C146" s="7"/>
      <c r="D146" s="7"/>
      <c r="E146" s="7"/>
      <c r="F146" s="71">
        <v>33.33</v>
      </c>
      <c r="G146" s="51">
        <f>I146+K146</f>
        <v>1</v>
      </c>
      <c r="H146" s="52">
        <f>G146/$J$5*100</f>
        <v>4.3478260869565215</v>
      </c>
      <c r="I146" s="53">
        <f>COUNTIFS('00 Encuesta'!$B$2:$B$511,"*d)*",'00 Encuesta'!$C$2:$C$511,"*a)*",'00 Encuesta'!$E$2:$E$511,"*a)*",'00 Encuesta'!$T$2:$T$511,"*c)*")</f>
        <v>1</v>
      </c>
      <c r="J146" s="52">
        <f>I146/$J$6*100</f>
        <v>7.1428571428571423</v>
      </c>
      <c r="K146" s="53">
        <f>COUNTIFS('00 Encuesta'!$B$2:$B$511,"*d)*",'00 Encuesta'!$C$2:$C$511,"*a)*",'00 Encuesta'!$E$2:$E$511,"*b)*",'00 Encuesta'!$T$2:$T$511,"*c)*")</f>
        <v>0</v>
      </c>
      <c r="L146" s="52">
        <f>K146/$J$7*100</f>
        <v>0</v>
      </c>
      <c r="M146" s="23"/>
      <c r="N146" s="51">
        <f>P146+R146</f>
        <v>2</v>
      </c>
      <c r="O146" s="52">
        <f>N146/$Q$5*100</f>
        <v>10</v>
      </c>
      <c r="P146" s="53">
        <f>COUNTIFS('00 Encuesta'!$B$2:$B$511,"*d)*",'00 Encuesta'!$C$2:$C$511,"*b)*",'00 Encuesta'!$E$2:$E$511,"*a)*",'00 Encuesta'!$T$2:$T$511,"*c)*")</f>
        <v>1</v>
      </c>
      <c r="Q146" s="52">
        <f>P146/$Q$6*100</f>
        <v>14.285714285714285</v>
      </c>
      <c r="R146" s="53">
        <f>COUNTIFS('00 Encuesta'!$B$2:$B$511,"*d)*",'00 Encuesta'!$C$2:$C$511,"*b)*",'00 Encuesta'!$E$2:$E$511,"*b)*",'00 Encuesta'!$T$2:$T$511,"*c)*")</f>
        <v>1</v>
      </c>
      <c r="S146" s="52">
        <f>R146/$Q$7*100</f>
        <v>7.6923076923076925</v>
      </c>
      <c r="T146" s="3"/>
      <c r="U146" s="51">
        <f>W146+Y146</f>
        <v>0</v>
      </c>
      <c r="V146" s="52">
        <f>U146/$X$5*100</f>
        <v>0</v>
      </c>
      <c r="W146" s="53">
        <f>COUNTIFS('00 Encuesta'!$B$2:$B$511,"*d)*",'00 Encuesta'!$C$2:$C$511,"*c)*",'00 Encuesta'!$E$2:$E$511,"*a)*",'00 Encuesta'!$T$2:$T$511,"*c)*")</f>
        <v>0</v>
      </c>
      <c r="X146" s="52">
        <f>W146/$X$6*100</f>
        <v>0</v>
      </c>
      <c r="Y146" s="53">
        <f>COUNTIFS('00 Encuesta'!$B$2:$B$511,"*d)*",'00 Encuesta'!$C$2:$C$511,"*c)*",'00 Encuesta'!$E$2:$E$511,"*b)*",'00 Encuesta'!$T$2:$T$511,"*c)*")</f>
        <v>0</v>
      </c>
      <c r="Z146" s="52">
        <f>Y146/$X$7*100</f>
        <v>0</v>
      </c>
      <c r="AA146" s="3"/>
      <c r="AB146" s="62">
        <f>G146+N146+U146</f>
        <v>3</v>
      </c>
      <c r="AC146" s="52">
        <f>AB146*100/$AC$5</f>
        <v>4.7619047619047619</v>
      </c>
      <c r="AD146" s="7"/>
      <c r="AE146" s="7"/>
      <c r="AF146" s="9" t="str">
        <f t="shared" si="173"/>
        <v>c) Poco</v>
      </c>
      <c r="AG146" s="72">
        <f>J146</f>
        <v>7.1428571428571423</v>
      </c>
      <c r="AH146" s="72">
        <f>L146</f>
        <v>0</v>
      </c>
      <c r="AI146" s="73">
        <f>H146</f>
        <v>4.3478260869565215</v>
      </c>
      <c r="AJ146" s="73"/>
      <c r="AK146" s="76">
        <f>Q146</f>
        <v>14.285714285714285</v>
      </c>
      <c r="AL146" s="76">
        <f>S146</f>
        <v>7.6923076923076925</v>
      </c>
      <c r="AM146" s="76">
        <f>O146</f>
        <v>10</v>
      </c>
      <c r="AN146" s="76"/>
      <c r="AO146" s="81">
        <f>X146</f>
        <v>0</v>
      </c>
      <c r="AP146" s="81">
        <f>Z146</f>
        <v>0</v>
      </c>
      <c r="AQ146" s="81">
        <f>V146</f>
        <v>0</v>
      </c>
      <c r="AR146" s="7"/>
      <c r="AS146" s="76">
        <f t="shared" si="174"/>
        <v>4.7619047619047619</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x14ac:dyDescent="0.3">
      <c r="A147" s="8" t="s">
        <v>21</v>
      </c>
      <c r="B147" s="9" t="s">
        <v>105</v>
      </c>
      <c r="C147" s="7"/>
      <c r="D147" s="7"/>
      <c r="E147" s="7"/>
      <c r="F147" s="71">
        <v>0</v>
      </c>
      <c r="G147" s="51">
        <f>I147+K147</f>
        <v>0</v>
      </c>
      <c r="H147" s="52">
        <f>G147/$J$5*100</f>
        <v>0</v>
      </c>
      <c r="I147" s="53">
        <f>COUNTIFS('00 Encuesta'!$B$2:$B$511,"*d)*",'00 Encuesta'!$C$2:$C$511,"*a)*",'00 Encuesta'!$E$2:$E$511,"*a)*",'00 Encuesta'!$T$2:$T$511,"*d)*")</f>
        <v>0</v>
      </c>
      <c r="J147" s="52">
        <f>I147/$J$6*100</f>
        <v>0</v>
      </c>
      <c r="K147" s="53">
        <f>COUNTIFS('00 Encuesta'!$B$2:$B$511,"*d)*",'00 Encuesta'!$C$2:$C$511,"*a)*",'00 Encuesta'!$E$2:$E$511,"*b)*",'00 Encuesta'!$T$2:$T$511,"*d)*")</f>
        <v>0</v>
      </c>
      <c r="L147" s="52">
        <f>K147/$J$7*100</f>
        <v>0</v>
      </c>
      <c r="M147" s="23"/>
      <c r="N147" s="51">
        <f>P147+R147</f>
        <v>0</v>
      </c>
      <c r="O147" s="52">
        <f>N147/$Q$5*100</f>
        <v>0</v>
      </c>
      <c r="P147" s="53">
        <f>COUNTIFS('00 Encuesta'!$B$2:$B$511,"*d)*",'00 Encuesta'!$C$2:$C$511,"*b)*",'00 Encuesta'!$E$2:$E$511,"*a)*",'00 Encuesta'!$T$2:$T$511,"*d)*")</f>
        <v>0</v>
      </c>
      <c r="Q147" s="52">
        <f>P147/$Q$6*100</f>
        <v>0</v>
      </c>
      <c r="R147" s="53">
        <f>COUNTIFS('00 Encuesta'!$B$2:$B$511,"*d)*",'00 Encuesta'!$C$2:$C$511,"*b)*",'00 Encuesta'!$E$2:$E$511,"*b)*",'00 Encuesta'!$T$2:$T$511,"*d)*")</f>
        <v>0</v>
      </c>
      <c r="S147" s="52">
        <f>R147/$Q$7*100</f>
        <v>0</v>
      </c>
      <c r="T147" s="3"/>
      <c r="U147" s="51">
        <f>W147+Y147</f>
        <v>1</v>
      </c>
      <c r="V147" s="52">
        <f>U147/$X$5*100</f>
        <v>5</v>
      </c>
      <c r="W147" s="53">
        <f>COUNTIFS('00 Encuesta'!$B$2:$B$511,"*d)*",'00 Encuesta'!$C$2:$C$511,"*c)*",'00 Encuesta'!$E$2:$E$511,"*a)*",'00 Encuesta'!$T$2:$T$511,"*d)*")</f>
        <v>1</v>
      </c>
      <c r="X147" s="52">
        <f>W147/$X$6*100</f>
        <v>20</v>
      </c>
      <c r="Y147" s="53">
        <f>COUNTIFS('00 Encuesta'!$B$2:$B$511,"*d)*",'00 Encuesta'!$C$2:$C$511,"*c)*",'00 Encuesta'!$E$2:$E$511,"*b)*",'00 Encuesta'!$T$2:$T$511,"*d)*")</f>
        <v>0</v>
      </c>
      <c r="Z147" s="52">
        <f>Y147/$X$7*100</f>
        <v>0</v>
      </c>
      <c r="AA147" s="3"/>
      <c r="AB147" s="62">
        <f>G147+N147+U147</f>
        <v>1</v>
      </c>
      <c r="AC147" s="52">
        <f>AB147*100/$AC$5</f>
        <v>1.5873015873015872</v>
      </c>
      <c r="AD147" s="7"/>
      <c r="AE147" s="7"/>
      <c r="AF147" s="9" t="str">
        <f t="shared" si="173"/>
        <v>d) Nada</v>
      </c>
      <c r="AG147" s="72">
        <f>J147</f>
        <v>0</v>
      </c>
      <c r="AH147" s="72">
        <f>L147</f>
        <v>0</v>
      </c>
      <c r="AI147" s="73">
        <f>H147</f>
        <v>0</v>
      </c>
      <c r="AJ147" s="73"/>
      <c r="AK147" s="76">
        <f>Q147</f>
        <v>0</v>
      </c>
      <c r="AL147" s="76">
        <f>S147</f>
        <v>0</v>
      </c>
      <c r="AM147" s="76">
        <f>O147</f>
        <v>0</v>
      </c>
      <c r="AN147" s="76"/>
      <c r="AO147" s="81">
        <f>X147</f>
        <v>20</v>
      </c>
      <c r="AP147" s="81">
        <f>Z147</f>
        <v>0</v>
      </c>
      <c r="AQ147" s="81">
        <f>V147</f>
        <v>5</v>
      </c>
      <c r="AR147" s="7"/>
      <c r="AS147" s="76">
        <f t="shared" si="174"/>
        <v>1.5873015873015872</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x14ac:dyDescent="0.3">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f>N148/$Q$5*100</f>
        <v>0</v>
      </c>
      <c r="P148" s="53"/>
      <c r="Q148" s="52">
        <f>P148/$Q$6*100</f>
        <v>0</v>
      </c>
      <c r="R148" s="53"/>
      <c r="S148" s="52">
        <f>R148/$Q$7*100</f>
        <v>0</v>
      </c>
      <c r="T148" s="3"/>
      <c r="U148" s="51">
        <f>W148+Y148</f>
        <v>0</v>
      </c>
      <c r="V148" s="52">
        <f>U148/$X$5*100</f>
        <v>0</v>
      </c>
      <c r="W148" s="53"/>
      <c r="X148" s="52">
        <f>W148/$X$6*100</f>
        <v>0</v>
      </c>
      <c r="Y148" s="53"/>
      <c r="Z148" s="52">
        <f>Y148/$X$7*100</f>
        <v>0</v>
      </c>
      <c r="AA148" s="3"/>
      <c r="AB148" s="62">
        <f>G148+N148+U148</f>
        <v>0</v>
      </c>
      <c r="AC148" s="52">
        <f>AB148*100/$AC$5</f>
        <v>0</v>
      </c>
      <c r="AD148" s="7"/>
      <c r="AE148" s="7"/>
      <c r="AF148" s="9" t="str">
        <f t="shared" si="173"/>
        <v>S/R Sin Respuesta</v>
      </c>
      <c r="AG148" s="72">
        <f>J148</f>
        <v>0</v>
      </c>
      <c r="AH148" s="72">
        <f>L148</f>
        <v>0</v>
      </c>
      <c r="AI148" s="73">
        <f>H148</f>
        <v>0</v>
      </c>
      <c r="AJ148" s="73"/>
      <c r="AK148" s="76">
        <f>Q148</f>
        <v>0</v>
      </c>
      <c r="AL148" s="76">
        <f>S148</f>
        <v>0</v>
      </c>
      <c r="AM148" s="76">
        <f>O148</f>
        <v>0</v>
      </c>
      <c r="AN148" s="76"/>
      <c r="AO148" s="81">
        <f>X148</f>
        <v>0</v>
      </c>
      <c r="AP148" s="81">
        <f>Z148</f>
        <v>0</v>
      </c>
      <c r="AQ148" s="81">
        <f>V148</f>
        <v>0</v>
      </c>
      <c r="AR148" s="7"/>
      <c r="AS148" s="76">
        <f t="shared" si="174"/>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x14ac:dyDescent="0.3">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84.613076923076903</v>
      </c>
      <c r="AH149" s="82">
        <f>($F144*K144+$F145*K145+$F146*K146+$F147*K147)/(+K144+K145+K146+K147)</f>
        <v>100</v>
      </c>
      <c r="AI149" s="82">
        <f>($F144*G144+$F145*G145+$F146*G146+$F147*G147)/(G144+G145+G146+G147)</f>
        <v>90.907727272727257</v>
      </c>
      <c r="AJ149" s="82"/>
      <c r="AK149" s="82">
        <f>($F144*P144+$F145*P145+$F146*P146+$F147*P147)/(P144+P145+P146+P147)</f>
        <v>71.424285714285716</v>
      </c>
      <c r="AL149" s="82">
        <f>($F144*R144+$F145*R145+$F146*R146+$F147*R147)/(R144+R145+R146+R147)</f>
        <v>89.742307692307676</v>
      </c>
      <c r="AM149" s="82">
        <f>($F144*N144+$F145*N145+$F146*N146+$F147*N147)/(N144+N145+N146+N147)</f>
        <v>83.331000000000003</v>
      </c>
      <c r="AN149" s="82"/>
      <c r="AO149" s="82">
        <f>($F144*W144+$F145*W145+$F146*W146+$F147*W147)/(W144+W145+W146+W147)</f>
        <v>80</v>
      </c>
      <c r="AP149" s="82">
        <f>($F144*Y144+$F145*Y145+$F146*Y146+$F147*Y147)/(Y144+Y145+Y146+Y147)</f>
        <v>100</v>
      </c>
      <c r="AQ149" s="82">
        <f>($F144*U144+$F145*U145+$F146*U146+$F147*U147)/(U144+U145+U146+U147)</f>
        <v>95</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x14ac:dyDescent="0.3">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x14ac:dyDescent="0.3">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x14ac:dyDescent="0.3">
      <c r="A153" s="8" t="s">
        <v>17</v>
      </c>
      <c r="B153" s="9" t="s">
        <v>114</v>
      </c>
      <c r="C153" s="7"/>
      <c r="D153" s="7"/>
      <c r="E153" s="7"/>
      <c r="F153" s="71"/>
      <c r="G153" s="51">
        <f t="shared" ref="G153:G164" si="175">I153+K153</f>
        <v>21</v>
      </c>
      <c r="H153" s="52">
        <f t="shared" ref="H153:H164" si="176">G153/$J$5*100</f>
        <v>91.304347826086953</v>
      </c>
      <c r="I153" s="53">
        <f>COUNTIFS('00 Encuesta'!$B$2:$B$511,"*d)*",'00 Encuesta'!$C$2:$C$511,"*a)*",'00 Encuesta'!$E$2:$E$511,"*a)*",'00 Encuesta'!$U$2:$U$511,"*a)*")</f>
        <v>12</v>
      </c>
      <c r="J153" s="52">
        <f t="shared" ref="J153:J164" si="177">I153/$J$6*100</f>
        <v>85.714285714285708</v>
      </c>
      <c r="K153" s="53">
        <f>COUNTIFS('00 Encuesta'!$B$2:$B$511,"*d)*",'00 Encuesta'!$C$2:$C$511,"*a)*",'00 Encuesta'!$E$2:$E$511,"*b)*",'00 Encuesta'!$U$2:$U$511,"*a)*")</f>
        <v>9</v>
      </c>
      <c r="L153" s="52">
        <f t="shared" ref="L153:L164" si="178">K153/$J$7*100</f>
        <v>100</v>
      </c>
      <c r="M153" s="23"/>
      <c r="N153" s="51">
        <f t="shared" ref="N153:N164" si="179">P153+R153</f>
        <v>19</v>
      </c>
      <c r="O153" s="52">
        <f t="shared" ref="O153:O164" si="180">N153/$Q$5*100</f>
        <v>95</v>
      </c>
      <c r="P153" s="53">
        <f>COUNTIFS('00 Encuesta'!$B$2:$B$511,"*d)*",'00 Encuesta'!$C$2:$C$511,"*b)*",'00 Encuesta'!$E$2:$E$511,"*a)*",'00 Encuesta'!$U$2:$U$511,"*a)*")</f>
        <v>7</v>
      </c>
      <c r="Q153" s="52">
        <f t="shared" ref="Q153:Q164" si="181">P153/$Q$6*100</f>
        <v>100</v>
      </c>
      <c r="R153" s="53">
        <f>COUNTIFS('00 Encuesta'!$B$2:$B$511,"*d)*",'00 Encuesta'!$C$2:$C$511,"*b)*",'00 Encuesta'!$E$2:$E$511,"*b)*",'00 Encuesta'!$U$2:$U$511,"*a)*")</f>
        <v>12</v>
      </c>
      <c r="S153" s="52">
        <f t="shared" ref="S153:S164" si="182">R153/$Q$7*100</f>
        <v>92.307692307692307</v>
      </c>
      <c r="T153" s="3"/>
      <c r="U153" s="51">
        <f t="shared" ref="U153:U164" si="183">W153+Y153</f>
        <v>15</v>
      </c>
      <c r="V153" s="52">
        <f t="shared" ref="V153:V164" si="184">U153/$X$5*100</f>
        <v>75</v>
      </c>
      <c r="W153" s="53">
        <f>COUNTIFS('00 Encuesta'!$B$2:$B$511,"*d)*",'00 Encuesta'!$C$2:$C$511,"*c)*",'00 Encuesta'!$E$2:$E$511,"*a)*",'00 Encuesta'!$U$2:$U$511,"*a)*")</f>
        <v>4</v>
      </c>
      <c r="X153" s="52">
        <f t="shared" ref="X153:X164" si="185">W153/$X$6*100</f>
        <v>80</v>
      </c>
      <c r="Y153" s="53">
        <f>COUNTIFS('00 Encuesta'!$B$2:$B$511,"*d)*",'00 Encuesta'!$C$2:$C$511,"*c)*",'00 Encuesta'!$E$2:$E$511,"*b)*",'00 Encuesta'!$U$2:$U$511,"*a)*")</f>
        <v>11</v>
      </c>
      <c r="Z153" s="52">
        <f t="shared" ref="Z153:Z164" si="186">Y153/$X$7*100</f>
        <v>73.333333333333329</v>
      </c>
      <c r="AA153" s="3"/>
      <c r="AB153" s="62">
        <f t="shared" ref="AB153:AB164" si="187">G153+N153+U153</f>
        <v>55</v>
      </c>
      <c r="AC153" s="52">
        <f t="shared" ref="AC153:AC164" si="188">AB153*100/$AC$5</f>
        <v>87.301587301587304</v>
      </c>
      <c r="AD153" s="7"/>
      <c r="AE153" s="7"/>
      <c r="AF153" s="9" t="str">
        <f t="shared" ref="AF153:AF165" si="189">A153&amp;" "&amp;B153</f>
        <v>a) La iglesia</v>
      </c>
      <c r="AG153" s="72">
        <f t="shared" ref="AG153:AG165" si="190">J153</f>
        <v>85.714285714285708</v>
      </c>
      <c r="AH153" s="72">
        <f t="shared" ref="AH153:AH165" si="191">L153</f>
        <v>100</v>
      </c>
      <c r="AI153" s="73">
        <f t="shared" ref="AI153:AI165" si="192">H153</f>
        <v>91.304347826086953</v>
      </c>
      <c r="AJ153" s="73"/>
      <c r="AK153" s="76">
        <f t="shared" ref="AK153:AK165" si="193">Q153</f>
        <v>100</v>
      </c>
      <c r="AL153" s="76">
        <f t="shared" ref="AL153:AL165" si="194">S153</f>
        <v>92.307692307692307</v>
      </c>
      <c r="AM153" s="76">
        <f t="shared" ref="AM153:AM165" si="195">O153</f>
        <v>95</v>
      </c>
      <c r="AN153" s="76"/>
      <c r="AO153" s="81">
        <f t="shared" ref="AO153:AO165" si="196">X153</f>
        <v>80</v>
      </c>
      <c r="AP153" s="81">
        <f t="shared" ref="AP153:AP165" si="197">Z153</f>
        <v>73.333333333333329</v>
      </c>
      <c r="AQ153" s="81">
        <f t="shared" ref="AQ153:AQ165" si="198">V153</f>
        <v>75</v>
      </c>
      <c r="AR153" s="7"/>
      <c r="AS153" s="76">
        <f t="shared" si="174"/>
        <v>87.301587301587304</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x14ac:dyDescent="0.3">
      <c r="A154" s="8" t="s">
        <v>18</v>
      </c>
      <c r="B154" s="9" t="s">
        <v>115</v>
      </c>
      <c r="C154" s="7"/>
      <c r="D154" s="7"/>
      <c r="E154" s="7"/>
      <c r="F154" s="71"/>
      <c r="G154" s="51">
        <f t="shared" si="175"/>
        <v>9</v>
      </c>
      <c r="H154" s="52">
        <f t="shared" si="176"/>
        <v>39.130434782608695</v>
      </c>
      <c r="I154" s="53">
        <f>COUNTIFS('00 Encuesta'!$B$2:$B$511,"*d)*",'00 Encuesta'!$C$2:$C$511,"*a)*",'00 Encuesta'!$E$2:$E$511,"*a)*",'00 Encuesta'!$U$2:$U$511,"*b)*")</f>
        <v>7</v>
      </c>
      <c r="J154" s="52">
        <f t="shared" si="177"/>
        <v>50</v>
      </c>
      <c r="K154" s="53">
        <f>COUNTIFS('00 Encuesta'!$B$2:$B$511,"*d)*",'00 Encuesta'!$C$2:$C$511,"*a)*",'00 Encuesta'!$E$2:$E$511,"*b)*",'00 Encuesta'!$U$2:$U$511,"*b)*")</f>
        <v>2</v>
      </c>
      <c r="L154" s="52">
        <f t="shared" si="178"/>
        <v>22.222222222222221</v>
      </c>
      <c r="M154" s="23"/>
      <c r="N154" s="51">
        <f t="shared" si="179"/>
        <v>8</v>
      </c>
      <c r="O154" s="52">
        <f t="shared" si="180"/>
        <v>40</v>
      </c>
      <c r="P154" s="53">
        <f>COUNTIFS('00 Encuesta'!$B$2:$B$511,"*d)*",'00 Encuesta'!$C$2:$C$511,"*b)*",'00 Encuesta'!$E$2:$E$511,"*a)*",'00 Encuesta'!$U$2:$U$511,"*b)*")</f>
        <v>1</v>
      </c>
      <c r="Q154" s="52">
        <f t="shared" si="181"/>
        <v>14.285714285714285</v>
      </c>
      <c r="R154" s="53">
        <f>COUNTIFS('00 Encuesta'!$B$2:$B$511,"*d)*",'00 Encuesta'!$C$2:$C$511,"*b)*",'00 Encuesta'!$E$2:$E$511,"*b)*",'00 Encuesta'!$U$2:$U$511,"*b)*")</f>
        <v>7</v>
      </c>
      <c r="S154" s="52">
        <f t="shared" si="182"/>
        <v>53.846153846153847</v>
      </c>
      <c r="T154" s="3"/>
      <c r="U154" s="51">
        <f t="shared" si="183"/>
        <v>10</v>
      </c>
      <c r="V154" s="52">
        <f t="shared" si="184"/>
        <v>50</v>
      </c>
      <c r="W154" s="53">
        <f>COUNTIFS('00 Encuesta'!$B$2:$B$511,"*d)*",'00 Encuesta'!$C$2:$C$511,"*c)*",'00 Encuesta'!$E$2:$E$511,"*a)*",'00 Encuesta'!$U$2:$U$511,"*b)*")</f>
        <v>3</v>
      </c>
      <c r="X154" s="52">
        <f t="shared" si="185"/>
        <v>60</v>
      </c>
      <c r="Y154" s="53">
        <f>COUNTIFS('00 Encuesta'!$B$2:$B$511,"*d)*",'00 Encuesta'!$C$2:$C$511,"*c)*",'00 Encuesta'!$E$2:$E$511,"*b)*",'00 Encuesta'!$U$2:$U$511,"*b)*")</f>
        <v>7</v>
      </c>
      <c r="Z154" s="52">
        <f t="shared" si="186"/>
        <v>46.666666666666664</v>
      </c>
      <c r="AA154" s="3"/>
      <c r="AB154" s="62">
        <f t="shared" si="187"/>
        <v>27</v>
      </c>
      <c r="AC154" s="52">
        <f t="shared" si="188"/>
        <v>42.857142857142854</v>
      </c>
      <c r="AD154" s="7"/>
      <c r="AE154" s="7"/>
      <c r="AF154" s="9" t="str">
        <f t="shared" si="189"/>
        <v>b) La naturaleza</v>
      </c>
      <c r="AG154" s="72">
        <f t="shared" si="190"/>
        <v>50</v>
      </c>
      <c r="AH154" s="72">
        <f t="shared" si="191"/>
        <v>22.222222222222221</v>
      </c>
      <c r="AI154" s="73">
        <f t="shared" si="192"/>
        <v>39.130434782608695</v>
      </c>
      <c r="AJ154" s="73"/>
      <c r="AK154" s="76">
        <f t="shared" si="193"/>
        <v>14.285714285714285</v>
      </c>
      <c r="AL154" s="76">
        <f t="shared" si="194"/>
        <v>53.846153846153847</v>
      </c>
      <c r="AM154" s="76">
        <f t="shared" si="195"/>
        <v>40</v>
      </c>
      <c r="AN154" s="76"/>
      <c r="AO154" s="81">
        <f t="shared" si="196"/>
        <v>60</v>
      </c>
      <c r="AP154" s="81">
        <f t="shared" si="197"/>
        <v>46.666666666666664</v>
      </c>
      <c r="AQ154" s="81">
        <f t="shared" si="198"/>
        <v>50</v>
      </c>
      <c r="AR154" s="7"/>
      <c r="AS154" s="76">
        <f t="shared" si="174"/>
        <v>42.857142857142854</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3</v>
      </c>
      <c r="H155" s="52">
        <f t="shared" si="176"/>
        <v>13.043478260869565</v>
      </c>
      <c r="I155" s="53">
        <f>COUNTIFS('00 Encuesta'!$B$2:$B$511,"*d)*",'00 Encuesta'!$C$2:$C$511,"*a)*",'00 Encuesta'!$E$2:$E$511,"*a)*",'00 Encuesta'!$U$2:$U$511,"*c)*")</f>
        <v>2</v>
      </c>
      <c r="J155" s="52">
        <f t="shared" si="177"/>
        <v>14.285714285714285</v>
      </c>
      <c r="K155" s="53">
        <f>COUNTIFS('00 Encuesta'!$B$2:$B$511,"*d)*",'00 Encuesta'!$C$2:$C$511,"*a)*",'00 Encuesta'!$E$2:$E$511,"*b)*",'00 Encuesta'!$U$2:$U$511,"*c)*")</f>
        <v>1</v>
      </c>
      <c r="L155" s="52">
        <f t="shared" si="178"/>
        <v>11.111111111111111</v>
      </c>
      <c r="M155" s="23"/>
      <c r="N155" s="51">
        <f t="shared" si="179"/>
        <v>4</v>
      </c>
      <c r="O155" s="52">
        <f t="shared" si="180"/>
        <v>20</v>
      </c>
      <c r="P155" s="53">
        <f>COUNTIFS('00 Encuesta'!$B$2:$B$511,"*d)*",'00 Encuesta'!$C$2:$C$511,"*b)*",'00 Encuesta'!$E$2:$E$511,"*a)*",'00 Encuesta'!$U$2:$U$511,"*c)*")</f>
        <v>0</v>
      </c>
      <c r="Q155" s="52">
        <f t="shared" si="181"/>
        <v>0</v>
      </c>
      <c r="R155" s="53">
        <f>COUNTIFS('00 Encuesta'!$B$2:$B$511,"*d)*",'00 Encuesta'!$C$2:$C$511,"*b)*",'00 Encuesta'!$E$2:$E$511,"*b)*",'00 Encuesta'!$U$2:$U$511,"*c)*")</f>
        <v>4</v>
      </c>
      <c r="S155" s="52">
        <f t="shared" si="182"/>
        <v>30.76923076923077</v>
      </c>
      <c r="T155" s="3"/>
      <c r="U155" s="51">
        <f t="shared" si="183"/>
        <v>5</v>
      </c>
      <c r="V155" s="52">
        <f t="shared" si="184"/>
        <v>25</v>
      </c>
      <c r="W155" s="53">
        <f>COUNTIFS('00 Encuesta'!$B$2:$B$511,"*d)*",'00 Encuesta'!$C$2:$C$511,"*c)*",'00 Encuesta'!$E$2:$E$511,"*a)*",'00 Encuesta'!$U$2:$U$511,"*c)*")</f>
        <v>2</v>
      </c>
      <c r="X155" s="52">
        <f t="shared" si="185"/>
        <v>40</v>
      </c>
      <c r="Y155" s="53">
        <f>COUNTIFS('00 Encuesta'!$B$2:$B$511,"*d)*",'00 Encuesta'!$C$2:$C$511,"*c)*",'00 Encuesta'!$E$2:$E$511,"*b)*",'00 Encuesta'!$U$2:$U$511,"*c)*")</f>
        <v>3</v>
      </c>
      <c r="Z155" s="52">
        <f t="shared" si="186"/>
        <v>20</v>
      </c>
      <c r="AA155" s="3"/>
      <c r="AB155" s="62">
        <f t="shared" si="187"/>
        <v>12</v>
      </c>
      <c r="AC155" s="52">
        <f t="shared" si="188"/>
        <v>19.047619047619047</v>
      </c>
      <c r="AD155" s="7"/>
      <c r="AE155" s="7"/>
      <c r="AF155" s="9" t="str">
        <f t="shared" si="189"/>
        <v>c) El salón de clase</v>
      </c>
      <c r="AG155" s="72">
        <f t="shared" si="190"/>
        <v>14.285714285714285</v>
      </c>
      <c r="AH155" s="72">
        <f t="shared" si="191"/>
        <v>11.111111111111111</v>
      </c>
      <c r="AI155" s="73">
        <f t="shared" si="192"/>
        <v>13.043478260869565</v>
      </c>
      <c r="AJ155" s="73"/>
      <c r="AK155" s="76">
        <f t="shared" si="193"/>
        <v>0</v>
      </c>
      <c r="AL155" s="76">
        <f t="shared" si="194"/>
        <v>30.76923076923077</v>
      </c>
      <c r="AM155" s="76">
        <f t="shared" si="195"/>
        <v>20</v>
      </c>
      <c r="AN155" s="76"/>
      <c r="AO155" s="81">
        <f t="shared" si="196"/>
        <v>40</v>
      </c>
      <c r="AP155" s="81">
        <f t="shared" si="197"/>
        <v>20</v>
      </c>
      <c r="AQ155" s="81">
        <f t="shared" si="198"/>
        <v>25</v>
      </c>
      <c r="AR155" s="7"/>
      <c r="AS155" s="76">
        <f t="shared" si="174"/>
        <v>19.047619047619047</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x14ac:dyDescent="0.3">
      <c r="A156" s="8" t="s">
        <v>21</v>
      </c>
      <c r="B156" s="9" t="s">
        <v>117</v>
      </c>
      <c r="C156" s="7"/>
      <c r="D156" s="7"/>
      <c r="E156" s="7"/>
      <c r="F156" s="71"/>
      <c r="G156" s="51">
        <f t="shared" si="175"/>
        <v>13</v>
      </c>
      <c r="H156" s="52">
        <f t="shared" si="176"/>
        <v>56.521739130434781</v>
      </c>
      <c r="I156" s="53">
        <f>COUNTIFS('00 Encuesta'!$B$2:$B$511,"*d)*",'00 Encuesta'!$C$2:$C$511,"*a)*",'00 Encuesta'!$E$2:$E$511,"*a)*",'00 Encuesta'!$U$2:$U$511,"*d)*")</f>
        <v>7</v>
      </c>
      <c r="J156" s="52">
        <f t="shared" si="177"/>
        <v>50</v>
      </c>
      <c r="K156" s="53">
        <f>COUNTIFS('00 Encuesta'!$B$2:$B$511,"*d)*",'00 Encuesta'!$C$2:$C$511,"*a)*",'00 Encuesta'!$E$2:$E$511,"*b)*",'00 Encuesta'!$U$2:$U$511,"*d)*")</f>
        <v>6</v>
      </c>
      <c r="L156" s="52">
        <f t="shared" si="178"/>
        <v>66.666666666666657</v>
      </c>
      <c r="M156" s="23"/>
      <c r="N156" s="51">
        <f t="shared" si="179"/>
        <v>14</v>
      </c>
      <c r="O156" s="52">
        <f t="shared" si="180"/>
        <v>70</v>
      </c>
      <c r="P156" s="53">
        <f>COUNTIFS('00 Encuesta'!$B$2:$B$511,"*d)*",'00 Encuesta'!$C$2:$C$511,"*b)*",'00 Encuesta'!$E$2:$E$511,"*a)*",'00 Encuesta'!$U$2:$U$511,"*d)*")</f>
        <v>4</v>
      </c>
      <c r="Q156" s="52">
        <f t="shared" si="181"/>
        <v>57.142857142857139</v>
      </c>
      <c r="R156" s="53">
        <f>COUNTIFS('00 Encuesta'!$B$2:$B$511,"*d)*",'00 Encuesta'!$C$2:$C$511,"*b)*",'00 Encuesta'!$E$2:$E$511,"*b)*",'00 Encuesta'!$U$2:$U$511,"*d)*")</f>
        <v>10</v>
      </c>
      <c r="S156" s="52">
        <f t="shared" si="182"/>
        <v>76.923076923076934</v>
      </c>
      <c r="T156" s="3"/>
      <c r="U156" s="51">
        <f t="shared" si="183"/>
        <v>12</v>
      </c>
      <c r="V156" s="52">
        <f t="shared" si="184"/>
        <v>60</v>
      </c>
      <c r="W156" s="53">
        <f>COUNTIFS('00 Encuesta'!$B$2:$B$511,"*d)*",'00 Encuesta'!$C$2:$C$511,"*c)*",'00 Encuesta'!$E$2:$E$511,"*a)*",'00 Encuesta'!$U$2:$U$511,"*d)*")</f>
        <v>3</v>
      </c>
      <c r="X156" s="52">
        <f t="shared" si="185"/>
        <v>60</v>
      </c>
      <c r="Y156" s="53">
        <f>COUNTIFS('00 Encuesta'!$B$2:$B$511,"*d)*",'00 Encuesta'!$C$2:$C$511,"*c)*",'00 Encuesta'!$E$2:$E$511,"*b)*",'00 Encuesta'!$U$2:$U$511,"*d)*")</f>
        <v>9</v>
      </c>
      <c r="Z156" s="52">
        <f t="shared" si="186"/>
        <v>60</v>
      </c>
      <c r="AA156" s="3"/>
      <c r="AB156" s="62">
        <f t="shared" si="187"/>
        <v>39</v>
      </c>
      <c r="AC156" s="52">
        <f t="shared" si="188"/>
        <v>61.904761904761905</v>
      </c>
      <c r="AD156" s="7"/>
      <c r="AE156" s="7"/>
      <c r="AF156" s="9" t="str">
        <f t="shared" si="189"/>
        <v>d) Las convivencias</v>
      </c>
      <c r="AG156" s="72">
        <f t="shared" si="190"/>
        <v>50</v>
      </c>
      <c r="AH156" s="72">
        <f t="shared" si="191"/>
        <v>66.666666666666657</v>
      </c>
      <c r="AI156" s="73">
        <f t="shared" si="192"/>
        <v>56.521739130434781</v>
      </c>
      <c r="AJ156" s="73"/>
      <c r="AK156" s="76">
        <f t="shared" si="193"/>
        <v>57.142857142857139</v>
      </c>
      <c r="AL156" s="76">
        <f t="shared" si="194"/>
        <v>76.923076923076934</v>
      </c>
      <c r="AM156" s="76">
        <f t="shared" si="195"/>
        <v>70</v>
      </c>
      <c r="AN156" s="76"/>
      <c r="AO156" s="81">
        <f t="shared" si="196"/>
        <v>60</v>
      </c>
      <c r="AP156" s="81">
        <f t="shared" si="197"/>
        <v>60</v>
      </c>
      <c r="AQ156" s="81">
        <f t="shared" si="198"/>
        <v>60</v>
      </c>
      <c r="AR156" s="7"/>
      <c r="AS156" s="76">
        <f t="shared" si="174"/>
        <v>61.904761904761905</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x14ac:dyDescent="0.3">
      <c r="A157" s="8" t="s">
        <v>22</v>
      </c>
      <c r="B157" s="9" t="s">
        <v>81</v>
      </c>
      <c r="C157" s="7"/>
      <c r="D157" s="7"/>
      <c r="E157" s="7"/>
      <c r="F157" s="71"/>
      <c r="G157" s="51">
        <f t="shared" si="175"/>
        <v>5</v>
      </c>
      <c r="H157" s="52">
        <f t="shared" si="176"/>
        <v>21.739130434782609</v>
      </c>
      <c r="I157" s="53">
        <f>COUNTIFS('00 Encuesta'!$B$2:$B$511,"*d)*",'00 Encuesta'!$C$2:$C$511,"*a)*",'00 Encuesta'!$E$2:$E$511,"*a)*",'00 Encuesta'!$U$2:$U$511,"*e)*")</f>
        <v>2</v>
      </c>
      <c r="J157" s="52">
        <f t="shared" si="177"/>
        <v>14.285714285714285</v>
      </c>
      <c r="K157" s="53">
        <f>COUNTIFS('00 Encuesta'!$B$2:$B$511,"*d)*",'00 Encuesta'!$C$2:$C$511,"*a)*",'00 Encuesta'!$E$2:$E$511,"*b)*",'00 Encuesta'!$U$2:$U$511,"*e)*")</f>
        <v>3</v>
      </c>
      <c r="L157" s="52">
        <f t="shared" si="178"/>
        <v>33.333333333333329</v>
      </c>
      <c r="M157" s="23"/>
      <c r="N157" s="51">
        <f t="shared" si="179"/>
        <v>5</v>
      </c>
      <c r="O157" s="52">
        <f t="shared" si="180"/>
        <v>25</v>
      </c>
      <c r="P157" s="53">
        <f>COUNTIFS('00 Encuesta'!$B$2:$B$511,"*d)*",'00 Encuesta'!$C$2:$C$511,"*b)*",'00 Encuesta'!$E$2:$E$511,"*a)*",'00 Encuesta'!$U$2:$U$511,"*e)*")</f>
        <v>0</v>
      </c>
      <c r="Q157" s="52">
        <f t="shared" si="181"/>
        <v>0</v>
      </c>
      <c r="R157" s="53">
        <f>COUNTIFS('00 Encuesta'!$B$2:$B$511,"*d)*",'00 Encuesta'!$C$2:$C$511,"*b)*",'00 Encuesta'!$E$2:$E$511,"*b)*",'00 Encuesta'!$U$2:$U$511,"*e)*")</f>
        <v>5</v>
      </c>
      <c r="S157" s="52">
        <f t="shared" si="182"/>
        <v>38.461538461538467</v>
      </c>
      <c r="T157" s="3"/>
      <c r="U157" s="51">
        <f t="shared" si="183"/>
        <v>8</v>
      </c>
      <c r="V157" s="52">
        <f t="shared" si="184"/>
        <v>40</v>
      </c>
      <c r="W157" s="53">
        <f>COUNTIFS('00 Encuesta'!$B$2:$B$511,"*d)*",'00 Encuesta'!$C$2:$C$511,"*c)*",'00 Encuesta'!$E$2:$E$511,"*a)*",'00 Encuesta'!$U$2:$U$511,"*e)*")</f>
        <v>3</v>
      </c>
      <c r="X157" s="52">
        <f t="shared" si="185"/>
        <v>60</v>
      </c>
      <c r="Y157" s="53">
        <f>COUNTIFS('00 Encuesta'!$B$2:$B$511,"*d)*",'00 Encuesta'!$C$2:$C$511,"*c)*",'00 Encuesta'!$E$2:$E$511,"*b)*",'00 Encuesta'!$U$2:$U$511,"*e)*")</f>
        <v>5</v>
      </c>
      <c r="Z157" s="52">
        <f t="shared" si="186"/>
        <v>33.333333333333329</v>
      </c>
      <c r="AA157" s="3"/>
      <c r="AB157" s="62">
        <f t="shared" si="187"/>
        <v>18</v>
      </c>
      <c r="AC157" s="52">
        <f t="shared" si="188"/>
        <v>28.571428571428573</v>
      </c>
      <c r="AD157" s="7"/>
      <c r="AE157" s="7"/>
      <c r="AF157" s="9" t="str">
        <f t="shared" si="189"/>
        <v>e) Los amigos</v>
      </c>
      <c r="AG157" s="72">
        <f t="shared" si="190"/>
        <v>14.285714285714285</v>
      </c>
      <c r="AH157" s="72">
        <f t="shared" si="191"/>
        <v>33.333333333333329</v>
      </c>
      <c r="AI157" s="73">
        <f t="shared" si="192"/>
        <v>21.739130434782609</v>
      </c>
      <c r="AJ157" s="73"/>
      <c r="AK157" s="76">
        <f t="shared" si="193"/>
        <v>0</v>
      </c>
      <c r="AL157" s="76">
        <f t="shared" si="194"/>
        <v>38.461538461538467</v>
      </c>
      <c r="AM157" s="76">
        <f t="shared" si="195"/>
        <v>25</v>
      </c>
      <c r="AN157" s="76"/>
      <c r="AO157" s="81">
        <f t="shared" si="196"/>
        <v>60</v>
      </c>
      <c r="AP157" s="81">
        <f t="shared" si="197"/>
        <v>33.333333333333329</v>
      </c>
      <c r="AQ157" s="81">
        <f t="shared" si="198"/>
        <v>40</v>
      </c>
      <c r="AR157" s="7"/>
      <c r="AS157" s="76">
        <f t="shared" si="174"/>
        <v>28.571428571428573</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x14ac:dyDescent="0.3">
      <c r="A158" s="8" t="s">
        <v>45</v>
      </c>
      <c r="B158" s="9" t="s">
        <v>118</v>
      </c>
      <c r="C158" s="7"/>
      <c r="D158" s="7"/>
      <c r="E158" s="7"/>
      <c r="F158" s="71"/>
      <c r="G158" s="51">
        <f t="shared" si="175"/>
        <v>3</v>
      </c>
      <c r="H158" s="52">
        <f t="shared" si="176"/>
        <v>13.043478260869565</v>
      </c>
      <c r="I158" s="53">
        <f>COUNTIFS('00 Encuesta'!$B$2:$B$511,"*d)*",'00 Encuesta'!$C$2:$C$511,"*a)*",'00 Encuesta'!$E$2:$E$511,"*a)*",'00 Encuesta'!$U$2:$U$511,"*f)*")</f>
        <v>2</v>
      </c>
      <c r="J158" s="52">
        <f t="shared" si="177"/>
        <v>14.285714285714285</v>
      </c>
      <c r="K158" s="53">
        <f>COUNTIFS('00 Encuesta'!$B$2:$B$511,"*d)*",'00 Encuesta'!$C$2:$C$511,"*a)*",'00 Encuesta'!$E$2:$E$511,"*b)*",'00 Encuesta'!$U$2:$U$511,"*f)*")</f>
        <v>1</v>
      </c>
      <c r="L158" s="52">
        <f t="shared" si="178"/>
        <v>11.111111111111111</v>
      </c>
      <c r="M158" s="23"/>
      <c r="N158" s="51">
        <f t="shared" si="179"/>
        <v>3</v>
      </c>
      <c r="O158" s="52">
        <f t="shared" si="180"/>
        <v>15</v>
      </c>
      <c r="P158" s="53">
        <f>COUNTIFS('00 Encuesta'!$B$2:$B$511,"*d)*",'00 Encuesta'!$C$2:$C$511,"*b)*",'00 Encuesta'!$E$2:$E$511,"*a)*",'00 Encuesta'!$U$2:$U$511,"*f)*")</f>
        <v>0</v>
      </c>
      <c r="Q158" s="52">
        <f t="shared" si="181"/>
        <v>0</v>
      </c>
      <c r="R158" s="53">
        <f>COUNTIFS('00 Encuesta'!$B$2:$B$511,"*d)*",'00 Encuesta'!$C$2:$C$511,"*b)*",'00 Encuesta'!$E$2:$E$511,"*b)*",'00 Encuesta'!$U$2:$U$511,"*f)*")</f>
        <v>3</v>
      </c>
      <c r="S158" s="52">
        <f t="shared" si="182"/>
        <v>23.076923076923077</v>
      </c>
      <c r="T158" s="3"/>
      <c r="U158" s="51">
        <f t="shared" si="183"/>
        <v>7</v>
      </c>
      <c r="V158" s="52">
        <f t="shared" si="184"/>
        <v>35</v>
      </c>
      <c r="W158" s="53">
        <f>COUNTIFS('00 Encuesta'!$B$2:$B$511,"*d)*",'00 Encuesta'!$C$2:$C$511,"*c)*",'00 Encuesta'!$E$2:$E$511,"*a)*",'00 Encuesta'!$U$2:$U$511,"*f)*")</f>
        <v>3</v>
      </c>
      <c r="X158" s="52">
        <f t="shared" si="185"/>
        <v>60</v>
      </c>
      <c r="Y158" s="53">
        <f>COUNTIFS('00 Encuesta'!$B$2:$B$511,"*d)*",'00 Encuesta'!$C$2:$C$511,"*c)*",'00 Encuesta'!$E$2:$E$511,"*b)*",'00 Encuesta'!$U$2:$U$511,"*f)*")</f>
        <v>4</v>
      </c>
      <c r="Z158" s="52">
        <f t="shared" si="186"/>
        <v>26.666666666666668</v>
      </c>
      <c r="AA158" s="3"/>
      <c r="AB158" s="62">
        <f t="shared" si="187"/>
        <v>13</v>
      </c>
      <c r="AC158" s="52">
        <f t="shared" si="188"/>
        <v>20.634920634920636</v>
      </c>
      <c r="AD158" s="7"/>
      <c r="AE158" s="7"/>
      <c r="AF158" s="9" t="str">
        <f t="shared" si="189"/>
        <v>f) Todas las personas</v>
      </c>
      <c r="AG158" s="72">
        <f t="shared" si="190"/>
        <v>14.285714285714285</v>
      </c>
      <c r="AH158" s="72">
        <f t="shared" si="191"/>
        <v>11.111111111111111</v>
      </c>
      <c r="AI158" s="73">
        <f t="shared" si="192"/>
        <v>13.043478260869565</v>
      </c>
      <c r="AJ158" s="73"/>
      <c r="AK158" s="76">
        <f t="shared" si="193"/>
        <v>0</v>
      </c>
      <c r="AL158" s="76">
        <f t="shared" si="194"/>
        <v>23.076923076923077</v>
      </c>
      <c r="AM158" s="76">
        <f t="shared" si="195"/>
        <v>15</v>
      </c>
      <c r="AN158" s="76"/>
      <c r="AO158" s="81">
        <f t="shared" si="196"/>
        <v>60</v>
      </c>
      <c r="AP158" s="81">
        <f t="shared" si="197"/>
        <v>26.666666666666668</v>
      </c>
      <c r="AQ158" s="81">
        <f t="shared" si="198"/>
        <v>35</v>
      </c>
      <c r="AR158" s="7"/>
      <c r="AS158" s="76">
        <f t="shared" si="174"/>
        <v>20.634920634920636</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x14ac:dyDescent="0.3">
      <c r="A159" s="8" t="s">
        <v>61</v>
      </c>
      <c r="B159" s="9" t="s">
        <v>119</v>
      </c>
      <c r="C159" s="7"/>
      <c r="D159" s="7"/>
      <c r="E159" s="56"/>
      <c r="F159" s="71"/>
      <c r="G159" s="51">
        <f t="shared" si="175"/>
        <v>14</v>
      </c>
      <c r="H159" s="52">
        <f t="shared" si="176"/>
        <v>60.869565217391312</v>
      </c>
      <c r="I159" s="53">
        <f>COUNTIFS('00 Encuesta'!$B$2:$B$511,"*d)*",'00 Encuesta'!$C$2:$C$511,"*a)*",'00 Encuesta'!$E$2:$E$511,"*a)*",'00 Encuesta'!$U$2:$U$511,"*g)*")</f>
        <v>9</v>
      </c>
      <c r="J159" s="52">
        <f t="shared" si="177"/>
        <v>64.285714285714292</v>
      </c>
      <c r="K159" s="53">
        <f>COUNTIFS('00 Encuesta'!$B$2:$B$511,"*d)*",'00 Encuesta'!$C$2:$C$511,"*a)*",'00 Encuesta'!$E$2:$E$511,"*b)*",'00 Encuesta'!$U$2:$U$511,"*g)*")</f>
        <v>5</v>
      </c>
      <c r="L159" s="52">
        <f t="shared" si="178"/>
        <v>55.555555555555557</v>
      </c>
      <c r="M159" s="23"/>
      <c r="N159" s="51">
        <f t="shared" si="179"/>
        <v>13</v>
      </c>
      <c r="O159" s="52">
        <f t="shared" si="180"/>
        <v>65</v>
      </c>
      <c r="P159" s="53">
        <f>COUNTIFS('00 Encuesta'!$B$2:$B$511,"*d)*",'00 Encuesta'!$C$2:$C$511,"*b)*",'00 Encuesta'!$E$2:$E$511,"*a)*",'00 Encuesta'!$U$2:$U$511,"*g)*")</f>
        <v>3</v>
      </c>
      <c r="Q159" s="52">
        <f t="shared" si="181"/>
        <v>42.857142857142854</v>
      </c>
      <c r="R159" s="53">
        <f>COUNTIFS('00 Encuesta'!$B$2:$B$511,"*d)*",'00 Encuesta'!$C$2:$C$511,"*b)*",'00 Encuesta'!$E$2:$E$511,"*b)*",'00 Encuesta'!$U$2:$U$511,"*g)*")</f>
        <v>10</v>
      </c>
      <c r="S159" s="52">
        <f t="shared" si="182"/>
        <v>76.923076923076934</v>
      </c>
      <c r="T159" s="3"/>
      <c r="U159" s="51">
        <f t="shared" si="183"/>
        <v>14</v>
      </c>
      <c r="V159" s="52">
        <f t="shared" si="184"/>
        <v>70</v>
      </c>
      <c r="W159" s="53">
        <f>COUNTIFS('00 Encuesta'!$B$2:$B$511,"*d)*",'00 Encuesta'!$C$2:$C$511,"*c)*",'00 Encuesta'!$E$2:$E$511,"*a)*",'00 Encuesta'!$U$2:$U$511,"*g)*")</f>
        <v>5</v>
      </c>
      <c r="X159" s="52">
        <f t="shared" si="185"/>
        <v>100</v>
      </c>
      <c r="Y159" s="53">
        <f>COUNTIFS('00 Encuesta'!$B$2:$B$511,"*d)*",'00 Encuesta'!$C$2:$C$511,"*c)*",'00 Encuesta'!$E$2:$E$511,"*b)*",'00 Encuesta'!$U$2:$U$511,"*g)*")</f>
        <v>9</v>
      </c>
      <c r="Z159" s="52">
        <f t="shared" si="186"/>
        <v>60</v>
      </c>
      <c r="AA159" s="3"/>
      <c r="AB159" s="62">
        <f t="shared" si="187"/>
        <v>41</v>
      </c>
      <c r="AC159" s="52">
        <f t="shared" si="188"/>
        <v>65.079365079365076</v>
      </c>
      <c r="AD159" s="7"/>
      <c r="AE159" s="7"/>
      <c r="AF159" s="9" t="str">
        <f t="shared" si="189"/>
        <v>g) Mi familia</v>
      </c>
      <c r="AG159" s="72">
        <f t="shared" si="190"/>
        <v>64.285714285714292</v>
      </c>
      <c r="AH159" s="72">
        <f t="shared" si="191"/>
        <v>55.555555555555557</v>
      </c>
      <c r="AI159" s="73">
        <f t="shared" si="192"/>
        <v>60.869565217391312</v>
      </c>
      <c r="AJ159" s="73"/>
      <c r="AK159" s="76">
        <f t="shared" si="193"/>
        <v>42.857142857142854</v>
      </c>
      <c r="AL159" s="76">
        <f t="shared" si="194"/>
        <v>76.923076923076934</v>
      </c>
      <c r="AM159" s="76">
        <f t="shared" si="195"/>
        <v>65</v>
      </c>
      <c r="AN159" s="76"/>
      <c r="AO159" s="81">
        <f t="shared" si="196"/>
        <v>100</v>
      </c>
      <c r="AP159" s="81">
        <f t="shared" si="197"/>
        <v>60</v>
      </c>
      <c r="AQ159" s="81">
        <f t="shared" si="198"/>
        <v>70</v>
      </c>
      <c r="AR159" s="7"/>
      <c r="AS159" s="76">
        <f t="shared" si="174"/>
        <v>65.079365079365076</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x14ac:dyDescent="0.3">
      <c r="A160" s="8" t="s">
        <v>63</v>
      </c>
      <c r="B160" s="9" t="s">
        <v>120</v>
      </c>
      <c r="C160" s="7"/>
      <c r="D160" s="7"/>
      <c r="E160" s="7"/>
      <c r="F160" s="71"/>
      <c r="G160" s="51">
        <f t="shared" si="175"/>
        <v>4</v>
      </c>
      <c r="H160" s="52">
        <f t="shared" si="176"/>
        <v>17.391304347826086</v>
      </c>
      <c r="I160" s="53">
        <f>COUNTIFS('00 Encuesta'!$B$2:$B$511,"*d)*",'00 Encuesta'!$C$2:$C$511,"*a)*",'00 Encuesta'!$E$2:$E$511,"*a)*",'00 Encuesta'!$U$2:$U$511,"*h)*")</f>
        <v>3</v>
      </c>
      <c r="J160" s="52">
        <f t="shared" si="177"/>
        <v>21.428571428571427</v>
      </c>
      <c r="K160" s="53">
        <f>COUNTIFS('00 Encuesta'!$B$2:$B$511,"*d)*",'00 Encuesta'!$C$2:$C$511,"*a)*",'00 Encuesta'!$E$2:$E$511,"*b)*",'00 Encuesta'!$U$2:$U$511,"*h)*")</f>
        <v>1</v>
      </c>
      <c r="L160" s="52">
        <f t="shared" si="178"/>
        <v>11.111111111111111</v>
      </c>
      <c r="M160" s="23"/>
      <c r="N160" s="51">
        <f t="shared" si="179"/>
        <v>9</v>
      </c>
      <c r="O160" s="52">
        <f t="shared" si="180"/>
        <v>45</v>
      </c>
      <c r="P160" s="53">
        <f>COUNTIFS('00 Encuesta'!$B$2:$B$511,"*d)*",'00 Encuesta'!$C$2:$C$511,"*b)*",'00 Encuesta'!$E$2:$E$511,"*a)*",'00 Encuesta'!$U$2:$U$511,"*h)*")</f>
        <v>2</v>
      </c>
      <c r="Q160" s="52">
        <f t="shared" si="181"/>
        <v>28.571428571428569</v>
      </c>
      <c r="R160" s="53">
        <f>COUNTIFS('00 Encuesta'!$B$2:$B$511,"*d)*",'00 Encuesta'!$C$2:$C$511,"*b)*",'00 Encuesta'!$E$2:$E$511,"*b)*",'00 Encuesta'!$U$2:$U$511,"*h)*")</f>
        <v>7</v>
      </c>
      <c r="S160" s="52">
        <f t="shared" si="182"/>
        <v>53.846153846153847</v>
      </c>
      <c r="T160" s="3"/>
      <c r="U160" s="51">
        <f t="shared" si="183"/>
        <v>7</v>
      </c>
      <c r="V160" s="52">
        <f t="shared" si="184"/>
        <v>35</v>
      </c>
      <c r="W160" s="53">
        <f>COUNTIFS('00 Encuesta'!$B$2:$B$511,"*d)*",'00 Encuesta'!$C$2:$C$511,"*c)*",'00 Encuesta'!$E$2:$E$511,"*a)*",'00 Encuesta'!$U$2:$U$511,"*h)*")</f>
        <v>2</v>
      </c>
      <c r="X160" s="52">
        <f t="shared" si="185"/>
        <v>40</v>
      </c>
      <c r="Y160" s="53">
        <f>COUNTIFS('00 Encuesta'!$B$2:$B$511,"*d)*",'00 Encuesta'!$C$2:$C$511,"*c)*",'00 Encuesta'!$E$2:$E$511,"*b)*",'00 Encuesta'!$U$2:$U$511,"*h)*")</f>
        <v>5</v>
      </c>
      <c r="Z160" s="52">
        <f t="shared" si="186"/>
        <v>33.333333333333329</v>
      </c>
      <c r="AA160" s="3"/>
      <c r="AB160" s="62">
        <f t="shared" si="187"/>
        <v>20</v>
      </c>
      <c r="AC160" s="52">
        <f t="shared" si="188"/>
        <v>31.746031746031747</v>
      </c>
      <c r="AD160" s="7"/>
      <c r="AE160" s="7"/>
      <c r="AF160" s="9" t="str">
        <f t="shared" si="189"/>
        <v>h) Algunas personas cercanas a dios</v>
      </c>
      <c r="AG160" s="72">
        <f t="shared" si="190"/>
        <v>21.428571428571427</v>
      </c>
      <c r="AH160" s="72">
        <f t="shared" si="191"/>
        <v>11.111111111111111</v>
      </c>
      <c r="AI160" s="73">
        <f t="shared" si="192"/>
        <v>17.391304347826086</v>
      </c>
      <c r="AJ160" s="73"/>
      <c r="AK160" s="76">
        <f t="shared" si="193"/>
        <v>28.571428571428569</v>
      </c>
      <c r="AL160" s="76">
        <f t="shared" si="194"/>
        <v>53.846153846153847</v>
      </c>
      <c r="AM160" s="76">
        <f t="shared" si="195"/>
        <v>45</v>
      </c>
      <c r="AN160" s="76"/>
      <c r="AO160" s="81">
        <f t="shared" si="196"/>
        <v>40</v>
      </c>
      <c r="AP160" s="81">
        <f t="shared" si="197"/>
        <v>33.333333333333329</v>
      </c>
      <c r="AQ160" s="81">
        <f t="shared" si="198"/>
        <v>35</v>
      </c>
      <c r="AR160" s="7"/>
      <c r="AS160" s="76">
        <f t="shared" si="174"/>
        <v>31.746031746031747</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x14ac:dyDescent="0.3">
      <c r="A161" s="8" t="s">
        <v>65</v>
      </c>
      <c r="B161" s="9" t="s">
        <v>121</v>
      </c>
      <c r="C161" s="7"/>
      <c r="D161" s="7"/>
      <c r="E161" s="7"/>
      <c r="F161" s="71"/>
      <c r="G161" s="51">
        <f t="shared" si="175"/>
        <v>8</v>
      </c>
      <c r="H161" s="52">
        <f t="shared" si="176"/>
        <v>34.782608695652172</v>
      </c>
      <c r="I161" s="53">
        <f>COUNTIFS('00 Encuesta'!$B$2:$B$511,"*d)*",'00 Encuesta'!$C$2:$C$511,"*a)*",'00 Encuesta'!$E$2:$E$511,"*a)*",'00 Encuesta'!$U$2:$U$511,"*i)*")</f>
        <v>5</v>
      </c>
      <c r="J161" s="52">
        <f t="shared" si="177"/>
        <v>35.714285714285715</v>
      </c>
      <c r="K161" s="53">
        <f>COUNTIFS('00 Encuesta'!$B$2:$B$511,"*d)*",'00 Encuesta'!$C$2:$C$511,"*a)*",'00 Encuesta'!$E$2:$E$511,"*b)*",'00 Encuesta'!$U$2:$U$511,"*i)*")</f>
        <v>3</v>
      </c>
      <c r="L161" s="52">
        <f t="shared" si="178"/>
        <v>33.333333333333329</v>
      </c>
      <c r="M161" s="23"/>
      <c r="N161" s="51">
        <f t="shared" si="179"/>
        <v>8</v>
      </c>
      <c r="O161" s="52">
        <f t="shared" si="180"/>
        <v>40</v>
      </c>
      <c r="P161" s="53">
        <f>COUNTIFS('00 Encuesta'!$B$2:$B$511,"*d)*",'00 Encuesta'!$C$2:$C$511,"*b)*",'00 Encuesta'!$E$2:$E$511,"*a)*",'00 Encuesta'!$U$2:$U$511,"*i)*")</f>
        <v>0</v>
      </c>
      <c r="Q161" s="52">
        <f t="shared" si="181"/>
        <v>0</v>
      </c>
      <c r="R161" s="53">
        <f>COUNTIFS('00 Encuesta'!$B$2:$B$511,"*d)*",'00 Encuesta'!$C$2:$C$511,"*b)*",'00 Encuesta'!$E$2:$E$511,"*b)*",'00 Encuesta'!$U$2:$U$511,"*i)*")</f>
        <v>8</v>
      </c>
      <c r="S161" s="52">
        <f t="shared" si="182"/>
        <v>61.53846153846154</v>
      </c>
      <c r="T161" s="3"/>
      <c r="U161" s="51">
        <f t="shared" si="183"/>
        <v>15</v>
      </c>
      <c r="V161" s="52">
        <f t="shared" si="184"/>
        <v>75</v>
      </c>
      <c r="W161" s="53">
        <f>COUNTIFS('00 Encuesta'!$B$2:$B$511,"*d)*",'00 Encuesta'!$C$2:$C$511,"*c)*",'00 Encuesta'!$E$2:$E$511,"*a)*",'00 Encuesta'!$U$2:$U$511,"*i)*")</f>
        <v>3</v>
      </c>
      <c r="X161" s="52">
        <f t="shared" si="185"/>
        <v>60</v>
      </c>
      <c r="Y161" s="53">
        <f>COUNTIFS('00 Encuesta'!$B$2:$B$511,"*d)*",'00 Encuesta'!$C$2:$C$511,"*c)*",'00 Encuesta'!$E$2:$E$511,"*b)*",'00 Encuesta'!$U$2:$U$511,"*i)*")</f>
        <v>12</v>
      </c>
      <c r="Z161" s="52">
        <f t="shared" si="186"/>
        <v>80</v>
      </c>
      <c r="AA161" s="3"/>
      <c r="AB161" s="62">
        <f t="shared" si="187"/>
        <v>31</v>
      </c>
      <c r="AC161" s="52">
        <f t="shared" si="188"/>
        <v>49.206349206349209</v>
      </c>
      <c r="AD161" s="7"/>
      <c r="AE161" s="7"/>
      <c r="AF161" s="9" t="str">
        <f t="shared" si="189"/>
        <v>i) Los necesitados</v>
      </c>
      <c r="AG161" s="72">
        <f t="shared" si="190"/>
        <v>35.714285714285715</v>
      </c>
      <c r="AH161" s="72">
        <f t="shared" si="191"/>
        <v>33.333333333333329</v>
      </c>
      <c r="AI161" s="73">
        <f t="shared" si="192"/>
        <v>34.782608695652172</v>
      </c>
      <c r="AJ161" s="73"/>
      <c r="AK161" s="76">
        <f t="shared" si="193"/>
        <v>0</v>
      </c>
      <c r="AL161" s="76">
        <f t="shared" si="194"/>
        <v>61.53846153846154</v>
      </c>
      <c r="AM161" s="76">
        <f t="shared" si="195"/>
        <v>40</v>
      </c>
      <c r="AN161" s="76"/>
      <c r="AO161" s="81">
        <f t="shared" si="196"/>
        <v>60</v>
      </c>
      <c r="AP161" s="81">
        <f t="shared" si="197"/>
        <v>80</v>
      </c>
      <c r="AQ161" s="81">
        <f t="shared" si="198"/>
        <v>75</v>
      </c>
      <c r="AR161" s="7"/>
      <c r="AS161" s="76">
        <f t="shared" si="174"/>
        <v>49.206349206349209</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x14ac:dyDescent="0.3">
      <c r="A162" s="8" t="s">
        <v>67</v>
      </c>
      <c r="B162" s="9" t="s">
        <v>122</v>
      </c>
      <c r="C162" s="7"/>
      <c r="D162" s="7"/>
      <c r="E162" s="7"/>
      <c r="F162" s="71"/>
      <c r="G162" s="51">
        <f t="shared" si="175"/>
        <v>6</v>
      </c>
      <c r="H162" s="52">
        <f t="shared" si="176"/>
        <v>26.086956521739129</v>
      </c>
      <c r="I162" s="53">
        <f>COUNTIFS('00 Encuesta'!$B$2:$B$511,"*d)*",'00 Encuesta'!$C$2:$C$511,"*a)*",'00 Encuesta'!$E$2:$E$511,"*a)*",'00 Encuesta'!$U$2:$U$511,"*j)*")</f>
        <v>3</v>
      </c>
      <c r="J162" s="52">
        <f t="shared" si="177"/>
        <v>21.428571428571427</v>
      </c>
      <c r="K162" s="53">
        <f>COUNTIFS('00 Encuesta'!$B$2:$B$511,"*d)*",'00 Encuesta'!$C$2:$C$511,"*a)*",'00 Encuesta'!$E$2:$E$511,"*b)*",'00 Encuesta'!$U$2:$U$511,"*j)*")</f>
        <v>3</v>
      </c>
      <c r="L162" s="52">
        <f t="shared" si="178"/>
        <v>33.333333333333329</v>
      </c>
      <c r="M162" s="23"/>
      <c r="N162" s="51">
        <f t="shared" si="179"/>
        <v>7</v>
      </c>
      <c r="O162" s="52">
        <f t="shared" si="180"/>
        <v>35</v>
      </c>
      <c r="P162" s="53">
        <f>COUNTIFS('00 Encuesta'!$B$2:$B$511,"*d)*",'00 Encuesta'!$C$2:$C$511,"*b)*",'00 Encuesta'!$E$2:$E$511,"*a)*",'00 Encuesta'!$U$2:$U$511,"*j)*")</f>
        <v>2</v>
      </c>
      <c r="Q162" s="52">
        <f t="shared" si="181"/>
        <v>28.571428571428569</v>
      </c>
      <c r="R162" s="53">
        <f>COUNTIFS('00 Encuesta'!$B$2:$B$511,"*d)*",'00 Encuesta'!$C$2:$C$511,"*b)*",'00 Encuesta'!$E$2:$E$511,"*b)*",'00 Encuesta'!$U$2:$U$511,"*j)*")</f>
        <v>5</v>
      </c>
      <c r="S162" s="52">
        <f t="shared" si="182"/>
        <v>38.461538461538467</v>
      </c>
      <c r="T162" s="3"/>
      <c r="U162" s="51">
        <f t="shared" si="183"/>
        <v>10</v>
      </c>
      <c r="V162" s="52">
        <f t="shared" si="184"/>
        <v>50</v>
      </c>
      <c r="W162" s="53">
        <f>COUNTIFS('00 Encuesta'!$B$2:$B$511,"*d)*",'00 Encuesta'!$C$2:$C$511,"*c)*",'00 Encuesta'!$E$2:$E$511,"*a)*",'00 Encuesta'!$U$2:$U$511,"*j)*")</f>
        <v>3</v>
      </c>
      <c r="X162" s="52">
        <f t="shared" si="185"/>
        <v>60</v>
      </c>
      <c r="Y162" s="53">
        <f>COUNTIFS('00 Encuesta'!$B$2:$B$511,"*d)*",'00 Encuesta'!$C$2:$C$511,"*c)*",'00 Encuesta'!$E$2:$E$511,"*b)*",'00 Encuesta'!$U$2:$U$511,"*j)*")</f>
        <v>7</v>
      </c>
      <c r="Z162" s="52">
        <f t="shared" si="186"/>
        <v>46.666666666666664</v>
      </c>
      <c r="AA162" s="3"/>
      <c r="AB162" s="62">
        <f t="shared" si="187"/>
        <v>23</v>
      </c>
      <c r="AC162" s="52">
        <f t="shared" si="188"/>
        <v>36.507936507936506</v>
      </c>
      <c r="AD162" s="7"/>
      <c r="AE162" s="7"/>
      <c r="AF162" s="9" t="str">
        <f t="shared" si="189"/>
        <v>j) Todas partes</v>
      </c>
      <c r="AG162" s="72">
        <f t="shared" si="190"/>
        <v>21.428571428571427</v>
      </c>
      <c r="AH162" s="72">
        <f t="shared" si="191"/>
        <v>33.333333333333329</v>
      </c>
      <c r="AI162" s="73">
        <f t="shared" si="192"/>
        <v>26.086956521739129</v>
      </c>
      <c r="AJ162" s="73"/>
      <c r="AK162" s="76">
        <f t="shared" si="193"/>
        <v>28.571428571428569</v>
      </c>
      <c r="AL162" s="76">
        <f t="shared" si="194"/>
        <v>38.461538461538467</v>
      </c>
      <c r="AM162" s="76">
        <f t="shared" si="195"/>
        <v>35</v>
      </c>
      <c r="AN162" s="76"/>
      <c r="AO162" s="81">
        <f t="shared" si="196"/>
        <v>60</v>
      </c>
      <c r="AP162" s="81">
        <f t="shared" si="197"/>
        <v>46.666666666666664</v>
      </c>
      <c r="AQ162" s="81">
        <f t="shared" si="198"/>
        <v>50</v>
      </c>
      <c r="AR162" s="7"/>
      <c r="AS162" s="76">
        <f t="shared" si="174"/>
        <v>36.507936507936506</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15</v>
      </c>
      <c r="H163" s="52">
        <f t="shared" si="176"/>
        <v>65.217391304347828</v>
      </c>
      <c r="I163" s="53">
        <f>COUNTIFS('00 Encuesta'!$B$2:$B$511,"*d)*",'00 Encuesta'!$C$2:$C$511,"*a)*",'00 Encuesta'!$E$2:$E$511,"*a)*",'00 Encuesta'!$U$2:$U$511,"*k)*")</f>
        <v>8</v>
      </c>
      <c r="J163" s="52">
        <f t="shared" si="177"/>
        <v>57.142857142857139</v>
      </c>
      <c r="K163" s="53">
        <f>COUNTIFS('00 Encuesta'!$B$2:$B$511,"*d)*",'00 Encuesta'!$C$2:$C$511,"*a)*",'00 Encuesta'!$E$2:$E$511,"*b)*",'00 Encuesta'!$U$2:$U$511,"*k)*")</f>
        <v>7</v>
      </c>
      <c r="L163" s="52">
        <f t="shared" si="178"/>
        <v>77.777777777777786</v>
      </c>
      <c r="M163" s="23"/>
      <c r="N163" s="51">
        <f t="shared" si="179"/>
        <v>18</v>
      </c>
      <c r="O163" s="52">
        <f t="shared" si="180"/>
        <v>90</v>
      </c>
      <c r="P163" s="53">
        <f>COUNTIFS('00 Encuesta'!$B$2:$B$511,"*d)*",'00 Encuesta'!$C$2:$C$511,"*b)*",'00 Encuesta'!$E$2:$E$511,"*a)*",'00 Encuesta'!$U$2:$U$511,"*k)*")</f>
        <v>6</v>
      </c>
      <c r="Q163" s="52">
        <f t="shared" si="181"/>
        <v>85.714285714285708</v>
      </c>
      <c r="R163" s="53">
        <f>COUNTIFS('00 Encuesta'!$B$2:$B$511,"*d)*",'00 Encuesta'!$C$2:$C$511,"*b)*",'00 Encuesta'!$E$2:$E$511,"*b)*",'00 Encuesta'!$U$2:$U$511,"*k)*")</f>
        <v>12</v>
      </c>
      <c r="S163" s="52">
        <f t="shared" si="182"/>
        <v>92.307692307692307</v>
      </c>
      <c r="T163" s="3"/>
      <c r="U163" s="51">
        <f t="shared" si="183"/>
        <v>16</v>
      </c>
      <c r="V163" s="52">
        <f t="shared" si="184"/>
        <v>80</v>
      </c>
      <c r="W163" s="53">
        <f>COUNTIFS('00 Encuesta'!$B$2:$B$511,"*d)*",'00 Encuesta'!$C$2:$C$511,"*c)*",'00 Encuesta'!$E$2:$E$511,"*a)*",'00 Encuesta'!$U$2:$U$511,"*k)*")</f>
        <v>3</v>
      </c>
      <c r="X163" s="52">
        <f t="shared" si="185"/>
        <v>60</v>
      </c>
      <c r="Y163" s="53">
        <f>COUNTIFS('00 Encuesta'!$B$2:$B$511,"*d)*",'00 Encuesta'!$C$2:$C$511,"*c)*",'00 Encuesta'!$E$2:$E$511,"*b)*",'00 Encuesta'!$U$2:$U$511,"*k)*")</f>
        <v>13</v>
      </c>
      <c r="Z163" s="52">
        <f t="shared" si="186"/>
        <v>86.666666666666671</v>
      </c>
      <c r="AA163" s="3"/>
      <c r="AB163" s="62">
        <f t="shared" si="187"/>
        <v>49</v>
      </c>
      <c r="AC163" s="52">
        <f t="shared" si="188"/>
        <v>77.777777777777771</v>
      </c>
      <c r="AD163" s="7"/>
      <c r="AE163" s="7"/>
      <c r="AF163" s="9" t="str">
        <f t="shared" si="189"/>
        <v>k) Oración</v>
      </c>
      <c r="AG163" s="72">
        <f t="shared" si="190"/>
        <v>57.142857142857139</v>
      </c>
      <c r="AH163" s="72">
        <f t="shared" si="191"/>
        <v>77.777777777777786</v>
      </c>
      <c r="AI163" s="73">
        <f t="shared" si="192"/>
        <v>65.217391304347828</v>
      </c>
      <c r="AJ163" s="73"/>
      <c r="AK163" s="76">
        <f t="shared" si="193"/>
        <v>85.714285714285708</v>
      </c>
      <c r="AL163" s="76">
        <f t="shared" si="194"/>
        <v>92.307692307692307</v>
      </c>
      <c r="AM163" s="76">
        <f t="shared" si="195"/>
        <v>90</v>
      </c>
      <c r="AN163" s="76"/>
      <c r="AO163" s="81">
        <f t="shared" si="196"/>
        <v>60</v>
      </c>
      <c r="AP163" s="81">
        <f t="shared" si="197"/>
        <v>86.666666666666671</v>
      </c>
      <c r="AQ163" s="81">
        <f t="shared" si="198"/>
        <v>80</v>
      </c>
      <c r="AR163" s="7"/>
      <c r="AS163" s="76">
        <f t="shared" si="174"/>
        <v>77.777777777777771</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x14ac:dyDescent="0.3">
      <c r="A164" s="1" t="s">
        <v>124</v>
      </c>
      <c r="B164" s="2" t="s">
        <v>125</v>
      </c>
      <c r="C164" s="3"/>
      <c r="D164" s="7"/>
      <c r="E164" s="7"/>
      <c r="F164" s="71"/>
      <c r="G164" s="51">
        <f t="shared" si="175"/>
        <v>9</v>
      </c>
      <c r="H164" s="52">
        <f t="shared" si="176"/>
        <v>39.130434782608695</v>
      </c>
      <c r="I164" s="53">
        <f>COUNTIFS('00 Encuesta'!$B$2:$B$511,"*d)*",'00 Encuesta'!$C$2:$C$511,"*a)*",'00 Encuesta'!$E$2:$E$511,"*a)*",'00 Encuesta'!$U$2:$U$511,"*l)*")</f>
        <v>5</v>
      </c>
      <c r="J164" s="52">
        <f t="shared" si="177"/>
        <v>35.714285714285715</v>
      </c>
      <c r="K164" s="53">
        <f>COUNTIFS('00 Encuesta'!$B$2:$B$511,"*d)*",'00 Encuesta'!$C$2:$C$511,"*a)*",'00 Encuesta'!$E$2:$E$511,"*b)*",'00 Encuesta'!$U$2:$U$511,"*l)*")</f>
        <v>4</v>
      </c>
      <c r="L164" s="52">
        <f t="shared" si="178"/>
        <v>44.444444444444443</v>
      </c>
      <c r="M164" s="23"/>
      <c r="N164" s="51">
        <f t="shared" si="179"/>
        <v>12</v>
      </c>
      <c r="O164" s="52">
        <f t="shared" si="180"/>
        <v>60</v>
      </c>
      <c r="P164" s="53">
        <f>COUNTIFS('00 Encuesta'!$B$2:$B$511,"*d)*",'00 Encuesta'!$C$2:$C$511,"*b)*",'00 Encuesta'!$E$2:$E$511,"*a)*",'00 Encuesta'!$U$2:$U$511,"*l)*")</f>
        <v>3</v>
      </c>
      <c r="Q164" s="52">
        <f t="shared" si="181"/>
        <v>42.857142857142854</v>
      </c>
      <c r="R164" s="53">
        <f>COUNTIFS('00 Encuesta'!$B$2:$B$511,"*d)*",'00 Encuesta'!$C$2:$C$511,"*b)*",'00 Encuesta'!$E$2:$E$511,"*b)*",'00 Encuesta'!$U$2:$U$511,"*l)*")</f>
        <v>9</v>
      </c>
      <c r="S164" s="52">
        <f t="shared" si="182"/>
        <v>69.230769230769226</v>
      </c>
      <c r="T164" s="3"/>
      <c r="U164" s="51">
        <f t="shared" si="183"/>
        <v>8</v>
      </c>
      <c r="V164" s="52">
        <f t="shared" si="184"/>
        <v>40</v>
      </c>
      <c r="W164" s="53">
        <f>COUNTIFS('00 Encuesta'!$B$2:$B$511,"*d)*",'00 Encuesta'!$C$2:$C$511,"*c)*",'00 Encuesta'!$E$2:$E$511,"*a)*",'00 Encuesta'!$U$2:$U$511,"*l)*")</f>
        <v>3</v>
      </c>
      <c r="X164" s="52">
        <f t="shared" si="185"/>
        <v>60</v>
      </c>
      <c r="Y164" s="53">
        <f>COUNTIFS('00 Encuesta'!$B$2:$B$511,"*d)*",'00 Encuesta'!$C$2:$C$511,"*c)*",'00 Encuesta'!$E$2:$E$511,"*b)*",'00 Encuesta'!$U$2:$U$511,"*l)*")</f>
        <v>5</v>
      </c>
      <c r="Z164" s="52">
        <f t="shared" si="186"/>
        <v>33.333333333333329</v>
      </c>
      <c r="AA164" s="3"/>
      <c r="AB164" s="62">
        <f t="shared" si="187"/>
        <v>29</v>
      </c>
      <c r="AC164" s="52">
        <f t="shared" si="188"/>
        <v>46.031746031746032</v>
      </c>
      <c r="AD164" s="7"/>
      <c r="AE164" s="7"/>
      <c r="AF164" s="9" t="str">
        <f t="shared" si="189"/>
        <v>l) Sacramentos</v>
      </c>
      <c r="AG164" s="72">
        <f t="shared" si="190"/>
        <v>35.714285714285715</v>
      </c>
      <c r="AH164" s="72">
        <f t="shared" si="191"/>
        <v>44.444444444444443</v>
      </c>
      <c r="AI164" s="73">
        <f t="shared" si="192"/>
        <v>39.130434782608695</v>
      </c>
      <c r="AJ164" s="73"/>
      <c r="AK164" s="76">
        <f t="shared" si="193"/>
        <v>42.857142857142854</v>
      </c>
      <c r="AL164" s="76">
        <f t="shared" si="194"/>
        <v>69.230769230769226</v>
      </c>
      <c r="AM164" s="76">
        <f t="shared" si="195"/>
        <v>60</v>
      </c>
      <c r="AN164" s="76"/>
      <c r="AO164" s="81">
        <f t="shared" si="196"/>
        <v>60</v>
      </c>
      <c r="AP164" s="81">
        <f t="shared" si="197"/>
        <v>33.333333333333329</v>
      </c>
      <c r="AQ164" s="81">
        <f t="shared" si="198"/>
        <v>40</v>
      </c>
      <c r="AR164" s="7"/>
      <c r="AS164" s="76">
        <f t="shared" si="174"/>
        <v>46.031746031746032</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x14ac:dyDescent="0.3">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x14ac:dyDescent="0.3">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5</v>
      </c>
      <c r="H168" s="52">
        <f>G168/$J$5*100</f>
        <v>21.739130434782609</v>
      </c>
      <c r="I168" s="53">
        <f>COUNTIFS('00 Encuesta'!$B$2:$B$511,"*d)*",'00 Encuesta'!$C$2:$C$511,"*a)*",'00 Encuesta'!$E$2:$E$511,"*a)*",'00 Encuesta'!$V$2:$V$511,"*a)*")</f>
        <v>2</v>
      </c>
      <c r="J168" s="52">
        <f>I168/$J$6*100</f>
        <v>14.285714285714285</v>
      </c>
      <c r="K168" s="53">
        <f>COUNTIFS('00 Encuesta'!$B$2:$B$511,"*d)*",'00 Encuesta'!$C$2:$C$511,"*a)*",'00 Encuesta'!$E$2:$E$511,"*b)*",'00 Encuesta'!$V$2:$V$511,"*a)*")</f>
        <v>3</v>
      </c>
      <c r="L168" s="52">
        <f>K168/$J$7*100</f>
        <v>33.333333333333329</v>
      </c>
      <c r="M168" s="23"/>
      <c r="N168" s="51">
        <f>P168+R168</f>
        <v>9</v>
      </c>
      <c r="O168" s="52">
        <f>N168/$Q$5*100</f>
        <v>45</v>
      </c>
      <c r="P168" s="53">
        <f>COUNTIFS('00 Encuesta'!$B$2:$B$511,"*d)*",'00 Encuesta'!$C$2:$C$511,"*b)*",'00 Encuesta'!$E$2:$E$511,"*a)*",'00 Encuesta'!$V$2:$V$511,"*a)*")</f>
        <v>1</v>
      </c>
      <c r="Q168" s="52">
        <f>P168/$Q$6*100</f>
        <v>14.285714285714285</v>
      </c>
      <c r="R168" s="53">
        <f>COUNTIFS('00 Encuesta'!$B$2:$B$511,"*d)*",'00 Encuesta'!$C$2:$C$511,"*b)*",'00 Encuesta'!$E$2:$E$511,"*b)*",'00 Encuesta'!$V$2:$V$511,"*a)*")</f>
        <v>8</v>
      </c>
      <c r="S168" s="52">
        <f>R168/$Q$7*100</f>
        <v>61.53846153846154</v>
      </c>
      <c r="T168" s="3"/>
      <c r="U168" s="51">
        <f>W168+Y168</f>
        <v>6</v>
      </c>
      <c r="V168" s="52">
        <f>U168/$X$5*100</f>
        <v>30</v>
      </c>
      <c r="W168" s="53">
        <f>COUNTIFS('00 Encuesta'!$B$2:$B$511,"*d)*",'00 Encuesta'!$C$2:$C$511,"*c)*",'00 Encuesta'!$E$2:$E$511,"*a)*",'00 Encuesta'!$V$2:$V$511,"*a)*")</f>
        <v>1</v>
      </c>
      <c r="X168" s="52">
        <f>W168/$X$6*100</f>
        <v>20</v>
      </c>
      <c r="Y168" s="53">
        <f>COUNTIFS('00 Encuesta'!$B$2:$B$511,"*d)*",'00 Encuesta'!$C$2:$C$511,"*c)*",'00 Encuesta'!$E$2:$E$511,"*b)*",'00 Encuesta'!$V$2:$V$511,"*a)*")</f>
        <v>5</v>
      </c>
      <c r="Z168" s="52">
        <f>Y168/$X$7*100</f>
        <v>33.333333333333329</v>
      </c>
      <c r="AA168" s="3"/>
      <c r="AB168" s="62">
        <f>G168+N168+U168</f>
        <v>20</v>
      </c>
      <c r="AC168" s="52">
        <f>AB168*100/$AC$5</f>
        <v>31.746031746031747</v>
      </c>
      <c r="AD168" s="3"/>
      <c r="AE168" s="3"/>
      <c r="AF168" s="9" t="str">
        <f t="shared" si="199"/>
        <v>a) Suelo rezar por convicción o porque me gusta</v>
      </c>
      <c r="AG168" s="72">
        <f>J168</f>
        <v>14.285714285714285</v>
      </c>
      <c r="AH168" s="72">
        <f>L168</f>
        <v>33.333333333333329</v>
      </c>
      <c r="AI168" s="73">
        <f>H168</f>
        <v>21.739130434782609</v>
      </c>
      <c r="AJ168" s="73"/>
      <c r="AK168" s="76">
        <f>Q168</f>
        <v>14.285714285714285</v>
      </c>
      <c r="AL168" s="76">
        <f>S168</f>
        <v>61.53846153846154</v>
      </c>
      <c r="AM168" s="76">
        <f>O168</f>
        <v>45</v>
      </c>
      <c r="AN168" s="76"/>
      <c r="AO168" s="81">
        <f>X168</f>
        <v>20</v>
      </c>
      <c r="AP168" s="81">
        <f>Z168</f>
        <v>33.333333333333329</v>
      </c>
      <c r="AQ168" s="81">
        <f>V168</f>
        <v>30</v>
      </c>
      <c r="AR168" s="3"/>
      <c r="AS168" s="76">
        <f t="shared" si="174"/>
        <v>31.746031746031747</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x14ac:dyDescent="0.3">
      <c r="A169" s="8" t="s">
        <v>18</v>
      </c>
      <c r="B169" s="9" t="s">
        <v>128</v>
      </c>
      <c r="C169" s="7"/>
      <c r="D169" s="7"/>
      <c r="E169" s="7"/>
      <c r="F169" s="71"/>
      <c r="G169" s="51">
        <f>I169+K169</f>
        <v>11</v>
      </c>
      <c r="H169" s="52">
        <f>G169/$J$5*100</f>
        <v>47.826086956521742</v>
      </c>
      <c r="I169" s="53">
        <f>COUNTIFS('00 Encuesta'!$B$2:$B$511,"*d)*",'00 Encuesta'!$C$2:$C$511,"*a)*",'00 Encuesta'!$E$2:$E$511,"*a)*",'00 Encuesta'!$V$2:$V$511,"*b)*")</f>
        <v>6</v>
      </c>
      <c r="J169" s="52">
        <f>I169/$J$6*100</f>
        <v>42.857142857142854</v>
      </c>
      <c r="K169" s="53">
        <f>COUNTIFS('00 Encuesta'!$B$2:$B$511,"*d)*",'00 Encuesta'!$C$2:$C$511,"*a)*",'00 Encuesta'!$E$2:$E$511,"*b)*",'00 Encuesta'!$V$2:$V$511,"*b)*")</f>
        <v>5</v>
      </c>
      <c r="L169" s="52">
        <f>K169/$J$7*100</f>
        <v>55.555555555555557</v>
      </c>
      <c r="M169" s="23"/>
      <c r="N169" s="51">
        <f>P169+R169</f>
        <v>9</v>
      </c>
      <c r="O169" s="52">
        <f>N169/$Q$5*100</f>
        <v>45</v>
      </c>
      <c r="P169" s="53">
        <f>COUNTIFS('00 Encuesta'!$B$2:$B$511,"*d)*",'00 Encuesta'!$C$2:$C$511,"*b)*",'00 Encuesta'!$E$2:$E$511,"*a)*",'00 Encuesta'!$V$2:$V$511,"*b)*")</f>
        <v>5</v>
      </c>
      <c r="Q169" s="52">
        <f>P169/$Q$6*100</f>
        <v>71.428571428571431</v>
      </c>
      <c r="R169" s="53">
        <f>COUNTIFS('00 Encuesta'!$B$2:$B$511,"*d)*",'00 Encuesta'!$C$2:$C$511,"*b)*",'00 Encuesta'!$E$2:$E$511,"*b)*",'00 Encuesta'!$V$2:$V$511,"*b)*")</f>
        <v>4</v>
      </c>
      <c r="S169" s="52">
        <f>R169/$Q$7*100</f>
        <v>30.76923076923077</v>
      </c>
      <c r="T169" s="3"/>
      <c r="U169" s="51">
        <f>W169+Y169</f>
        <v>6</v>
      </c>
      <c r="V169" s="52">
        <f>U169/$X$5*100</f>
        <v>30</v>
      </c>
      <c r="W169" s="53">
        <f>COUNTIFS('00 Encuesta'!$B$2:$B$511,"*d)*",'00 Encuesta'!$C$2:$C$511,"*c)*",'00 Encuesta'!$E$2:$E$511,"*a)*",'00 Encuesta'!$V$2:$V$511,"*b)*")</f>
        <v>2</v>
      </c>
      <c r="X169" s="52">
        <f>W169/$X$6*100</f>
        <v>40</v>
      </c>
      <c r="Y169" s="53">
        <f>COUNTIFS('00 Encuesta'!$B$2:$B$511,"*d)*",'00 Encuesta'!$C$2:$C$511,"*c)*",'00 Encuesta'!$E$2:$E$511,"*b)*",'00 Encuesta'!$V$2:$V$511,"*b)*")</f>
        <v>4</v>
      </c>
      <c r="Z169" s="52">
        <f>Y169/$X$7*100</f>
        <v>26.666666666666668</v>
      </c>
      <c r="AA169" s="3"/>
      <c r="AB169" s="62">
        <f>G169+N169+U169</f>
        <v>26</v>
      </c>
      <c r="AC169" s="52">
        <f>AB169*100/$AC$5</f>
        <v>41.269841269841272</v>
      </c>
      <c r="AD169" s="7"/>
      <c r="AE169" s="7"/>
      <c r="AF169" s="9" t="str">
        <f t="shared" si="199"/>
        <v>b) Rezo por costumbre</v>
      </c>
      <c r="AG169" s="72">
        <f>J169</f>
        <v>42.857142857142854</v>
      </c>
      <c r="AH169" s="72">
        <f>L169</f>
        <v>55.555555555555557</v>
      </c>
      <c r="AI169" s="73">
        <f>H169</f>
        <v>47.826086956521742</v>
      </c>
      <c r="AJ169" s="73"/>
      <c r="AK169" s="76">
        <f>Q169</f>
        <v>71.428571428571431</v>
      </c>
      <c r="AL169" s="76">
        <f>S169</f>
        <v>30.76923076923077</v>
      </c>
      <c r="AM169" s="76">
        <f>O169</f>
        <v>45</v>
      </c>
      <c r="AN169" s="76"/>
      <c r="AO169" s="81">
        <f>X169</f>
        <v>40</v>
      </c>
      <c r="AP169" s="81">
        <f>Z169</f>
        <v>26.666666666666668</v>
      </c>
      <c r="AQ169" s="81">
        <f>V169</f>
        <v>30</v>
      </c>
      <c r="AR169" s="3"/>
      <c r="AS169" s="76">
        <f t="shared" si="174"/>
        <v>41.269841269841272</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6</v>
      </c>
      <c r="H170" s="52">
        <f>G170/$J$5*100</f>
        <v>26.086956521739129</v>
      </c>
      <c r="I170" s="53">
        <f>COUNTIFS('00 Encuesta'!$B$2:$B$511,"*d)*",'00 Encuesta'!$C$2:$C$511,"*a)*",'00 Encuesta'!$E$2:$E$511,"*a)*",'00 Encuesta'!$V$2:$V$511,"*c)*")</f>
        <v>5</v>
      </c>
      <c r="J170" s="52">
        <f>I170/$J$6*100</f>
        <v>35.714285714285715</v>
      </c>
      <c r="K170" s="53">
        <f>COUNTIFS('00 Encuesta'!$B$2:$B$511,"*d)*",'00 Encuesta'!$C$2:$C$511,"*a)*",'00 Encuesta'!$E$2:$E$511,"*b)*",'00 Encuesta'!$V$2:$V$511,"*c)*")</f>
        <v>1</v>
      </c>
      <c r="L170" s="52">
        <f>K170/$J$7*100</f>
        <v>11.111111111111111</v>
      </c>
      <c r="M170" s="23"/>
      <c r="N170" s="51">
        <f>P170+R170</f>
        <v>2</v>
      </c>
      <c r="O170" s="52">
        <f>N170/$Q$5*100</f>
        <v>10</v>
      </c>
      <c r="P170" s="53">
        <f>COUNTIFS('00 Encuesta'!$B$2:$B$511,"*d)*",'00 Encuesta'!$C$2:$C$511,"*b)*",'00 Encuesta'!$E$2:$E$511,"*a)*",'00 Encuesta'!$V$2:$V$511,"*c)*")</f>
        <v>1</v>
      </c>
      <c r="Q170" s="52">
        <f>P170/$Q$6*100</f>
        <v>14.285714285714285</v>
      </c>
      <c r="R170" s="53">
        <f>COUNTIFS('00 Encuesta'!$B$2:$B$511,"*d)*",'00 Encuesta'!$C$2:$C$511,"*b)*",'00 Encuesta'!$E$2:$E$511,"*b)*",'00 Encuesta'!$V$2:$V$511,"*c)*")</f>
        <v>1</v>
      </c>
      <c r="S170" s="52">
        <f>R170/$Q$7*100</f>
        <v>7.6923076923076925</v>
      </c>
      <c r="T170" s="3"/>
      <c r="U170" s="51">
        <f>W170+Y170</f>
        <v>7</v>
      </c>
      <c r="V170" s="52">
        <f>U170/$X$5*100</f>
        <v>35</v>
      </c>
      <c r="W170" s="53">
        <f>COUNTIFS('00 Encuesta'!$B$2:$B$511,"*d)*",'00 Encuesta'!$C$2:$C$511,"*c)*",'00 Encuesta'!$E$2:$E$511,"*a)*",'00 Encuesta'!$V$2:$V$511,"*c)*")</f>
        <v>1</v>
      </c>
      <c r="X170" s="52">
        <f>W170/$X$6*100</f>
        <v>20</v>
      </c>
      <c r="Y170" s="53">
        <f>COUNTIFS('00 Encuesta'!$B$2:$B$511,"*d)*",'00 Encuesta'!$C$2:$C$511,"*c)*",'00 Encuesta'!$E$2:$E$511,"*b)*",'00 Encuesta'!$V$2:$V$511,"*c)*")</f>
        <v>6</v>
      </c>
      <c r="Z170" s="52">
        <f>Y170/$X$7*100</f>
        <v>40</v>
      </c>
      <c r="AA170" s="3"/>
      <c r="AB170" s="62">
        <f>G170+N170+U170</f>
        <v>15</v>
      </c>
      <c r="AC170" s="52">
        <f>AB170*100/$AC$5</f>
        <v>23.80952380952381</v>
      </c>
      <c r="AD170" s="7"/>
      <c r="AE170" s="7"/>
      <c r="AF170" s="9" t="str">
        <f t="shared" si="199"/>
        <v>c) Rezo solo en situación de dificultad</v>
      </c>
      <c r="AG170" s="72">
        <f>J170</f>
        <v>35.714285714285715</v>
      </c>
      <c r="AH170" s="72">
        <f>L170</f>
        <v>11.111111111111111</v>
      </c>
      <c r="AI170" s="73">
        <f>H170</f>
        <v>26.086956521739129</v>
      </c>
      <c r="AJ170" s="73"/>
      <c r="AK170" s="76">
        <f>Q170</f>
        <v>14.285714285714285</v>
      </c>
      <c r="AL170" s="76">
        <f>S170</f>
        <v>7.6923076923076925</v>
      </c>
      <c r="AM170" s="76">
        <f>O170</f>
        <v>10</v>
      </c>
      <c r="AN170" s="76"/>
      <c r="AO170" s="81">
        <f>X170</f>
        <v>20</v>
      </c>
      <c r="AP170" s="81">
        <f>Z170</f>
        <v>40</v>
      </c>
      <c r="AQ170" s="81">
        <f>V170</f>
        <v>35</v>
      </c>
      <c r="AR170" s="7"/>
      <c r="AS170" s="76">
        <f t="shared" si="174"/>
        <v>23.80952380952381</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x14ac:dyDescent="0.3">
      <c r="A171" s="8" t="s">
        <v>21</v>
      </c>
      <c r="B171" s="9" t="s">
        <v>130</v>
      </c>
      <c r="C171" s="7"/>
      <c r="D171" s="7"/>
      <c r="E171" s="7"/>
      <c r="F171" s="71"/>
      <c r="G171" s="51">
        <f>I171+K171</f>
        <v>1</v>
      </c>
      <c r="H171" s="52">
        <f>G171/$J$5*100</f>
        <v>4.3478260869565215</v>
      </c>
      <c r="I171" s="53">
        <f>COUNTIFS('00 Encuesta'!$B$2:$B$511,"*d)*",'00 Encuesta'!$C$2:$C$511,"*a)*",'00 Encuesta'!$E$2:$E$511,"*a)*",'00 Encuesta'!$V$2:$V$511,"*d)*")</f>
        <v>1</v>
      </c>
      <c r="J171" s="52">
        <f>I171/$J$6*100</f>
        <v>7.1428571428571423</v>
      </c>
      <c r="K171" s="53">
        <f>COUNTIFS('00 Encuesta'!$B$2:$B$511,"*d)*",'00 Encuesta'!$C$2:$C$511,"*a)*",'00 Encuesta'!$E$2:$E$511,"*b)*",'00 Encuesta'!$V$2:$V$511,"*d)*")</f>
        <v>0</v>
      </c>
      <c r="L171" s="52">
        <f>K171/$J$7*100</f>
        <v>0</v>
      </c>
      <c r="M171" s="23"/>
      <c r="N171" s="51">
        <f>P171+R171</f>
        <v>0</v>
      </c>
      <c r="O171" s="52">
        <f>N171/$Q$5*100</f>
        <v>0</v>
      </c>
      <c r="P171" s="53">
        <f>COUNTIFS('00 Encuesta'!$B$2:$B$511,"*d)*",'00 Encuesta'!$C$2:$C$511,"*b)*",'00 Encuesta'!$E$2:$E$511,"*a)*",'00 Encuesta'!$V$2:$V$511,"*d)*")</f>
        <v>0</v>
      </c>
      <c r="Q171" s="52">
        <f>P171/$Q$6*100</f>
        <v>0</v>
      </c>
      <c r="R171" s="53">
        <f>COUNTIFS('00 Encuesta'!$B$2:$B$511,"*d)*",'00 Encuesta'!$C$2:$C$511,"*b)*",'00 Encuesta'!$E$2:$E$511,"*b)*",'00 Encuesta'!$V$2:$V$511,"*d)*")</f>
        <v>0</v>
      </c>
      <c r="S171" s="52">
        <f>R171/$Q$7*100</f>
        <v>0</v>
      </c>
      <c r="T171" s="3"/>
      <c r="U171" s="51">
        <f>W171+Y171</f>
        <v>1</v>
      </c>
      <c r="V171" s="52">
        <f>U171/$X$5*100</f>
        <v>5</v>
      </c>
      <c r="W171" s="53">
        <f>COUNTIFS('00 Encuesta'!$B$2:$B$511,"*d)*",'00 Encuesta'!$C$2:$C$511,"*c)*",'00 Encuesta'!$E$2:$E$511,"*a)*",'00 Encuesta'!$V$2:$V$511,"*d)*")</f>
        <v>1</v>
      </c>
      <c r="X171" s="52">
        <f>W171/$X$6*100</f>
        <v>20</v>
      </c>
      <c r="Y171" s="53">
        <f>COUNTIFS('00 Encuesta'!$B$2:$B$511,"*d)*",'00 Encuesta'!$C$2:$C$511,"*c)*",'00 Encuesta'!$E$2:$E$511,"*b)*",'00 Encuesta'!$V$2:$V$511,"*d)*")</f>
        <v>0</v>
      </c>
      <c r="Z171" s="52">
        <f>Y171/$X$7*100</f>
        <v>0</v>
      </c>
      <c r="AA171" s="3"/>
      <c r="AB171" s="62">
        <f>G171+N171+U171</f>
        <v>2</v>
      </c>
      <c r="AC171" s="52">
        <f>AB171*100/$AC$5</f>
        <v>3.1746031746031744</v>
      </c>
      <c r="AD171" s="3"/>
      <c r="AE171" s="3"/>
      <c r="AF171" s="9" t="str">
        <f t="shared" si="199"/>
        <v>d) No rezo nunca</v>
      </c>
      <c r="AG171" s="72">
        <f>J171</f>
        <v>7.1428571428571423</v>
      </c>
      <c r="AH171" s="72">
        <f>L171</f>
        <v>0</v>
      </c>
      <c r="AI171" s="73">
        <f>H171</f>
        <v>4.3478260869565215</v>
      </c>
      <c r="AJ171" s="73"/>
      <c r="AK171" s="76">
        <f>Q171</f>
        <v>0</v>
      </c>
      <c r="AL171" s="76">
        <f>S171</f>
        <v>0</v>
      </c>
      <c r="AM171" s="76">
        <f>O171</f>
        <v>0</v>
      </c>
      <c r="AN171" s="76"/>
      <c r="AO171" s="81">
        <f>X171</f>
        <v>20</v>
      </c>
      <c r="AP171" s="81">
        <f>Z171</f>
        <v>0</v>
      </c>
      <c r="AQ171" s="81">
        <f>V171</f>
        <v>5</v>
      </c>
      <c r="AR171" s="7"/>
      <c r="AS171" s="76">
        <f t="shared" si="174"/>
        <v>3.1746031746031744</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x14ac:dyDescent="0.3">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f>N172/$Q$5*100</f>
        <v>0</v>
      </c>
      <c r="P172" s="53"/>
      <c r="Q172" s="52">
        <f>P172/$Q$6*100</f>
        <v>0</v>
      </c>
      <c r="R172" s="53"/>
      <c r="S172" s="52">
        <f>R172/$Q$7*100</f>
        <v>0</v>
      </c>
      <c r="T172" s="3"/>
      <c r="U172" s="51">
        <f>W172+Y172</f>
        <v>0</v>
      </c>
      <c r="V172" s="52">
        <f>U172/$X$5*100</f>
        <v>0</v>
      </c>
      <c r="W172" s="53"/>
      <c r="X172" s="52">
        <f>W172/$X$6*100</f>
        <v>0</v>
      </c>
      <c r="Y172" s="53"/>
      <c r="Z172" s="52">
        <f>Y172/$X$7*100</f>
        <v>0</v>
      </c>
      <c r="AA172" s="3"/>
      <c r="AB172" s="62">
        <f>G172+N172+U172</f>
        <v>0</v>
      </c>
      <c r="AC172" s="52">
        <f>AB172*100/$AC$5</f>
        <v>0</v>
      </c>
      <c r="AD172" s="3"/>
      <c r="AE172" s="3"/>
      <c r="AF172" s="9" t="str">
        <f t="shared" si="199"/>
        <v>S/R Sin Respuesta</v>
      </c>
      <c r="AG172" s="72">
        <f>J172</f>
        <v>0</v>
      </c>
      <c r="AH172" s="72">
        <f>L172</f>
        <v>0</v>
      </c>
      <c r="AI172" s="73">
        <f>H172</f>
        <v>0</v>
      </c>
      <c r="AJ172" s="73"/>
      <c r="AK172" s="76">
        <f>Q172</f>
        <v>0</v>
      </c>
      <c r="AL172" s="76">
        <f>S172</f>
        <v>0</v>
      </c>
      <c r="AM172" s="76">
        <f>O172</f>
        <v>0</v>
      </c>
      <c r="AN172" s="76"/>
      <c r="AO172" s="81">
        <f>X172</f>
        <v>0</v>
      </c>
      <c r="AP172" s="81">
        <f>Z172</f>
        <v>0</v>
      </c>
      <c r="AQ172" s="81">
        <f>V172</f>
        <v>0</v>
      </c>
      <c r="AR172" s="3"/>
      <c r="AS172" s="76">
        <f t="shared" si="174"/>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x14ac:dyDescent="0.3">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x14ac:dyDescent="0.3">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x14ac:dyDescent="0.3">
      <c r="A175" s="8" t="s">
        <v>17</v>
      </c>
      <c r="B175" s="9" t="s">
        <v>132</v>
      </c>
      <c r="C175" s="7"/>
      <c r="D175" s="7"/>
      <c r="E175" s="7"/>
      <c r="F175" s="71"/>
      <c r="G175" s="51">
        <f>I175+K175</f>
        <v>1</v>
      </c>
      <c r="H175" s="52">
        <f>G175/$J$5*100</f>
        <v>4.3478260869565215</v>
      </c>
      <c r="I175" s="53">
        <f>COUNTIFS('00 Encuesta'!$B$2:$B$511,"*d)*",'00 Encuesta'!$C$2:$C$511,"*a)*",'00 Encuesta'!$E$2:$E$511,"*a)*",'00 Encuesta'!$W$2:$W$511,"*a)*")</f>
        <v>1</v>
      </c>
      <c r="J175" s="52">
        <f>I175/$J$6*100</f>
        <v>7.1428571428571423</v>
      </c>
      <c r="K175" s="53">
        <f>COUNTIFS('00 Encuesta'!$B$2:$B$511,"*d)*",'00 Encuesta'!$C$2:$C$511,"*a)*",'00 Encuesta'!$E$2:$E$511,"*b)*",'00 Encuesta'!$W$2:$W$511,"*a)*")</f>
        <v>0</v>
      </c>
      <c r="L175" s="52">
        <f>K175/$J$7*100</f>
        <v>0</v>
      </c>
      <c r="M175" s="23"/>
      <c r="N175" s="51">
        <f>P175+R175</f>
        <v>5</v>
      </c>
      <c r="O175" s="52">
        <f>N175/$Q$5*100</f>
        <v>25</v>
      </c>
      <c r="P175" s="53">
        <f>COUNTIFS('00 Encuesta'!$B$2:$B$511,"*d)*",'00 Encuesta'!$C$2:$C$511,"*b)*",'00 Encuesta'!$E$2:$E$511,"*a)*",'00 Encuesta'!$W$2:$W$511,"*a)*")</f>
        <v>1</v>
      </c>
      <c r="Q175" s="52">
        <f>P175/$Q$6*100</f>
        <v>14.285714285714285</v>
      </c>
      <c r="R175" s="53">
        <f>COUNTIFS('00 Encuesta'!$B$2:$B$511,"*d)*",'00 Encuesta'!$C$2:$C$511,"*b)*",'00 Encuesta'!$E$2:$E$511,"*b)*",'00 Encuesta'!$W$2:$W$511,"*a)*")</f>
        <v>4</v>
      </c>
      <c r="S175" s="52">
        <f>R175/$Q$7*100</f>
        <v>30.76923076923077</v>
      </c>
      <c r="T175" s="3"/>
      <c r="U175" s="51">
        <f>W175+Y175</f>
        <v>7</v>
      </c>
      <c r="V175" s="52">
        <f>U175/$X$5*100</f>
        <v>35</v>
      </c>
      <c r="W175" s="53">
        <f>COUNTIFS('00 Encuesta'!$B$2:$B$511,"*d)*",'00 Encuesta'!$C$2:$C$511,"*c)*",'00 Encuesta'!$E$2:$E$511,"*a)*",'00 Encuesta'!$W$2:$W$511,"*a)*")</f>
        <v>1</v>
      </c>
      <c r="X175" s="52">
        <f>W175/$X$6*100</f>
        <v>20</v>
      </c>
      <c r="Y175" s="53">
        <f>COUNTIFS('00 Encuesta'!$B$2:$B$511,"*d)*",'00 Encuesta'!$C$2:$C$511,"*c)*",'00 Encuesta'!$E$2:$E$511,"*b)*",'00 Encuesta'!$W$2:$W$511,"*a)*")</f>
        <v>6</v>
      </c>
      <c r="Z175" s="52">
        <f>Y175/$X$7*100</f>
        <v>40</v>
      </c>
      <c r="AA175" s="3"/>
      <c r="AB175" s="62">
        <f>G175+N175+U175</f>
        <v>13</v>
      </c>
      <c r="AC175" s="52">
        <f>AB175*100/$AC$5</f>
        <v>20.634920634920636</v>
      </c>
      <c r="AD175" s="3"/>
      <c r="AE175" s="3"/>
      <c r="AF175" s="9" t="str">
        <f t="shared" si="200"/>
        <v>a) Todos los domingos</v>
      </c>
      <c r="AG175" s="72">
        <f>J175</f>
        <v>7.1428571428571423</v>
      </c>
      <c r="AH175" s="72">
        <f>L175</f>
        <v>0</v>
      </c>
      <c r="AI175" s="73">
        <f>H175</f>
        <v>4.3478260869565215</v>
      </c>
      <c r="AJ175" s="73"/>
      <c r="AK175" s="76">
        <f>Q175</f>
        <v>14.285714285714285</v>
      </c>
      <c r="AL175" s="76">
        <f>S175</f>
        <v>30.76923076923077</v>
      </c>
      <c r="AM175" s="76">
        <f>O175</f>
        <v>25</v>
      </c>
      <c r="AN175" s="76"/>
      <c r="AO175" s="81">
        <f>X175</f>
        <v>20</v>
      </c>
      <c r="AP175" s="81">
        <f>Z175</f>
        <v>40</v>
      </c>
      <c r="AQ175" s="81">
        <f>V175</f>
        <v>35</v>
      </c>
      <c r="AR175" s="3"/>
      <c r="AS175" s="76">
        <f t="shared" si="174"/>
        <v>20.634920634920636</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x14ac:dyDescent="0.3">
      <c r="A176" s="8" t="s">
        <v>18</v>
      </c>
      <c r="B176" s="9" t="s">
        <v>133</v>
      </c>
      <c r="C176" s="7"/>
      <c r="D176" s="7"/>
      <c r="E176" s="7"/>
      <c r="F176" s="71"/>
      <c r="G176" s="51">
        <f>I176+K176</f>
        <v>17</v>
      </c>
      <c r="H176" s="52">
        <f>G176/$J$5*100</f>
        <v>73.91304347826086</v>
      </c>
      <c r="I176" s="53">
        <f>COUNTIFS('00 Encuesta'!$B$2:$B$511,"*d)*",'00 Encuesta'!$C$2:$C$511,"*a)*",'00 Encuesta'!$E$2:$E$511,"*a)*",'00 Encuesta'!$W$2:$W$511,"*b)*")</f>
        <v>9</v>
      </c>
      <c r="J176" s="52">
        <f>I176/$J$6*100</f>
        <v>64.285714285714292</v>
      </c>
      <c r="K176" s="53">
        <f>COUNTIFS('00 Encuesta'!$B$2:$B$511,"*d)*",'00 Encuesta'!$C$2:$C$511,"*a)*",'00 Encuesta'!$E$2:$E$511,"*b)*",'00 Encuesta'!$W$2:$W$511,"*b)*")</f>
        <v>8</v>
      </c>
      <c r="L176" s="52">
        <f>K176/$J$7*100</f>
        <v>88.888888888888886</v>
      </c>
      <c r="M176" s="23"/>
      <c r="N176" s="51">
        <f>P176+R176</f>
        <v>7</v>
      </c>
      <c r="O176" s="52">
        <f>N176/$Q$5*100</f>
        <v>35</v>
      </c>
      <c r="P176" s="53">
        <f>COUNTIFS('00 Encuesta'!$B$2:$B$511,"*d)*",'00 Encuesta'!$C$2:$C$511,"*b)*",'00 Encuesta'!$E$2:$E$511,"*a)*",'00 Encuesta'!$W$2:$W$511,"*b)*")</f>
        <v>1</v>
      </c>
      <c r="Q176" s="52">
        <f>P176/$Q$6*100</f>
        <v>14.285714285714285</v>
      </c>
      <c r="R176" s="53">
        <f>COUNTIFS('00 Encuesta'!$B$2:$B$511,"*d)*",'00 Encuesta'!$C$2:$C$511,"*b)*",'00 Encuesta'!$E$2:$E$511,"*b)*",'00 Encuesta'!$W$2:$W$511,"*b)*")</f>
        <v>6</v>
      </c>
      <c r="S176" s="52">
        <f>R176/$Q$7*100</f>
        <v>46.153846153846153</v>
      </c>
      <c r="T176" s="3"/>
      <c r="U176" s="51">
        <f>W176+Y176</f>
        <v>7</v>
      </c>
      <c r="V176" s="52">
        <f>U176/$X$5*100</f>
        <v>35</v>
      </c>
      <c r="W176" s="53">
        <f>COUNTIFS('00 Encuesta'!$B$2:$B$511,"*d)*",'00 Encuesta'!$C$2:$C$511,"*c)*",'00 Encuesta'!$E$2:$E$511,"*a)*",'00 Encuesta'!$W$2:$W$511,"*b)*")</f>
        <v>2</v>
      </c>
      <c r="X176" s="52">
        <f>W176/$X$6*100</f>
        <v>40</v>
      </c>
      <c r="Y176" s="53">
        <f>COUNTIFS('00 Encuesta'!$B$2:$B$511,"*d)*",'00 Encuesta'!$C$2:$C$511,"*c)*",'00 Encuesta'!$E$2:$E$511,"*b)*",'00 Encuesta'!$W$2:$W$511,"*b)*")</f>
        <v>5</v>
      </c>
      <c r="Z176" s="52">
        <f>Y176/$X$7*100</f>
        <v>33.333333333333329</v>
      </c>
      <c r="AA176" s="3"/>
      <c r="AB176" s="62">
        <f>G176+N176+U176</f>
        <v>31</v>
      </c>
      <c r="AC176" s="52">
        <f>AB176*100/$AC$5</f>
        <v>49.206349206349209</v>
      </c>
      <c r="AD176" s="3"/>
      <c r="AE176" s="3"/>
      <c r="AF176" s="9" t="str">
        <f t="shared" si="200"/>
        <v>b) Algunos domingos</v>
      </c>
      <c r="AG176" s="72">
        <f>J176</f>
        <v>64.285714285714292</v>
      </c>
      <c r="AH176" s="72">
        <f>L176</f>
        <v>88.888888888888886</v>
      </c>
      <c r="AI176" s="73">
        <f>H176</f>
        <v>73.91304347826086</v>
      </c>
      <c r="AJ176" s="73"/>
      <c r="AK176" s="76">
        <f>Q176</f>
        <v>14.285714285714285</v>
      </c>
      <c r="AL176" s="76">
        <f>S176</f>
        <v>46.153846153846153</v>
      </c>
      <c r="AM176" s="76">
        <f>O176</f>
        <v>35</v>
      </c>
      <c r="AN176" s="76"/>
      <c r="AO176" s="81">
        <f>X176</f>
        <v>40</v>
      </c>
      <c r="AP176" s="81">
        <f>Z176</f>
        <v>33.333333333333329</v>
      </c>
      <c r="AQ176" s="81">
        <f>V176</f>
        <v>35</v>
      </c>
      <c r="AR176" s="3"/>
      <c r="AS176" s="76">
        <f t="shared" si="174"/>
        <v>49.206349206349209</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4</v>
      </c>
      <c r="H177" s="52">
        <f>G177/$J$5*100</f>
        <v>17.391304347826086</v>
      </c>
      <c r="I177" s="53">
        <f>COUNTIFS('00 Encuesta'!$B$2:$B$511,"*d)*",'00 Encuesta'!$C$2:$C$511,"*a)*",'00 Encuesta'!$E$2:$E$511,"*a)*",'00 Encuesta'!$W$2:$W$511,"*c)*")</f>
        <v>3</v>
      </c>
      <c r="J177" s="52">
        <f>I177/$J$6*100</f>
        <v>21.428571428571427</v>
      </c>
      <c r="K177" s="53">
        <f>COUNTIFS('00 Encuesta'!$B$2:$B$511,"*d)*",'00 Encuesta'!$C$2:$C$511,"*a)*",'00 Encuesta'!$E$2:$E$511,"*b)*",'00 Encuesta'!$W$2:$W$511,"*c)*")</f>
        <v>1</v>
      </c>
      <c r="L177" s="52">
        <f>K177/$J$7*100</f>
        <v>11.111111111111111</v>
      </c>
      <c r="M177" s="23"/>
      <c r="N177" s="51">
        <f>P177+R177</f>
        <v>8</v>
      </c>
      <c r="O177" s="52">
        <f>N177/$Q$5*100</f>
        <v>40</v>
      </c>
      <c r="P177" s="53">
        <f>COUNTIFS('00 Encuesta'!$B$2:$B$511,"*d)*",'00 Encuesta'!$C$2:$C$511,"*b)*",'00 Encuesta'!$E$2:$E$511,"*a)*",'00 Encuesta'!$W$2:$W$511,"*c)*")</f>
        <v>5</v>
      </c>
      <c r="Q177" s="52">
        <f>P177/$Q$6*100</f>
        <v>71.428571428571431</v>
      </c>
      <c r="R177" s="53">
        <f>COUNTIFS('00 Encuesta'!$B$2:$B$511,"*d)*",'00 Encuesta'!$C$2:$C$511,"*b)*",'00 Encuesta'!$E$2:$E$511,"*b)*",'00 Encuesta'!$W$2:$W$511,"*c)*")</f>
        <v>3</v>
      </c>
      <c r="S177" s="52">
        <f>R177/$Q$7*100</f>
        <v>23.076923076923077</v>
      </c>
      <c r="T177" s="3"/>
      <c r="U177" s="51">
        <f>W177+Y177</f>
        <v>6</v>
      </c>
      <c r="V177" s="52">
        <f>U177/$X$5*100</f>
        <v>30</v>
      </c>
      <c r="W177" s="53">
        <f>COUNTIFS('00 Encuesta'!$B$2:$B$511,"*d)*",'00 Encuesta'!$C$2:$C$511,"*c)*",'00 Encuesta'!$E$2:$E$511,"*a)*",'00 Encuesta'!$W$2:$W$511,"*c)*")</f>
        <v>2</v>
      </c>
      <c r="X177" s="52">
        <f>W177/$X$6*100</f>
        <v>40</v>
      </c>
      <c r="Y177" s="53">
        <f>COUNTIFS('00 Encuesta'!$B$2:$B$511,"*d)*",'00 Encuesta'!$C$2:$C$511,"*c)*",'00 Encuesta'!$E$2:$E$511,"*b)*",'00 Encuesta'!$W$2:$W$511,"*c)*")</f>
        <v>4</v>
      </c>
      <c r="Z177" s="52">
        <f>Y177/$X$7*100</f>
        <v>26.666666666666668</v>
      </c>
      <c r="AA177" s="3"/>
      <c r="AB177" s="62">
        <f>G177+N177+U177</f>
        <v>18</v>
      </c>
      <c r="AC177" s="52">
        <f>AB177*100/$AC$5</f>
        <v>28.571428571428573</v>
      </c>
      <c r="AD177" s="3"/>
      <c r="AE177" s="3"/>
      <c r="AF177" s="9" t="str">
        <f t="shared" si="200"/>
        <v>c) Sólo en fechas especiales</v>
      </c>
      <c r="AG177" s="72">
        <f>J177</f>
        <v>21.428571428571427</v>
      </c>
      <c r="AH177" s="72">
        <f>L177</f>
        <v>11.111111111111111</v>
      </c>
      <c r="AI177" s="73">
        <f>H177</f>
        <v>17.391304347826086</v>
      </c>
      <c r="AJ177" s="73"/>
      <c r="AK177" s="76">
        <f>Q177</f>
        <v>71.428571428571431</v>
      </c>
      <c r="AL177" s="76">
        <f>S177</f>
        <v>23.076923076923077</v>
      </c>
      <c r="AM177" s="76">
        <f>O177</f>
        <v>40</v>
      </c>
      <c r="AN177" s="76"/>
      <c r="AO177" s="81">
        <f>X177</f>
        <v>40</v>
      </c>
      <c r="AP177" s="81">
        <f>Z177</f>
        <v>26.666666666666668</v>
      </c>
      <c r="AQ177" s="81">
        <f>V177</f>
        <v>30</v>
      </c>
      <c r="AR177" s="3"/>
      <c r="AS177" s="76">
        <f t="shared" si="174"/>
        <v>28.571428571428573</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x14ac:dyDescent="0.3">
      <c r="A178" s="8" t="s">
        <v>21</v>
      </c>
      <c r="B178" s="9" t="s">
        <v>135</v>
      </c>
      <c r="C178" s="7"/>
      <c r="D178" s="7"/>
      <c r="E178" s="7"/>
      <c r="F178" s="71"/>
      <c r="G178" s="51">
        <f>I178+K178</f>
        <v>0</v>
      </c>
      <c r="H178" s="52">
        <f>G178/$J$5*100</f>
        <v>0</v>
      </c>
      <c r="I178" s="53">
        <f>COUNTIFS('00 Encuesta'!$B$2:$B$511,"*d)*",'00 Encuesta'!$C$2:$C$511,"*a)*",'00 Encuesta'!$E$2:$E$511,"*a)*",'00 Encuesta'!$W$2:$W$511,"*d)*")</f>
        <v>0</v>
      </c>
      <c r="J178" s="52">
        <f>I178/$J$6*100</f>
        <v>0</v>
      </c>
      <c r="K178" s="53">
        <f>COUNTIFS('00 Encuesta'!$B$2:$B$511,"*d)*",'00 Encuesta'!$C$2:$C$511,"*a)*",'00 Encuesta'!$E$2:$E$511,"*b)*",'00 Encuesta'!$W$2:$W$511,"*d)*")</f>
        <v>0</v>
      </c>
      <c r="L178" s="52">
        <f>K178/$J$7*100</f>
        <v>0</v>
      </c>
      <c r="M178" s="23"/>
      <c r="N178" s="51">
        <f>P178+R178</f>
        <v>0</v>
      </c>
      <c r="O178" s="52">
        <f>N178/$Q$5*100</f>
        <v>0</v>
      </c>
      <c r="P178" s="53">
        <f>COUNTIFS('00 Encuesta'!$B$2:$B$511,"*d)*",'00 Encuesta'!$C$2:$C$511,"*b)*",'00 Encuesta'!$E$2:$E$511,"*a)*",'00 Encuesta'!$W$2:$W$511,"*d)*")</f>
        <v>0</v>
      </c>
      <c r="Q178" s="52">
        <f>P178/$Q$6*100</f>
        <v>0</v>
      </c>
      <c r="R178" s="53">
        <f>COUNTIFS('00 Encuesta'!$B$2:$B$511,"*d)*",'00 Encuesta'!$C$2:$C$511,"*b)*",'00 Encuesta'!$E$2:$E$511,"*b)*",'00 Encuesta'!$W$2:$W$511,"*d)*")</f>
        <v>0</v>
      </c>
      <c r="S178" s="52">
        <f>R178/$Q$7*100</f>
        <v>0</v>
      </c>
      <c r="T178" s="3"/>
      <c r="U178" s="51">
        <f>W178+Y178</f>
        <v>0</v>
      </c>
      <c r="V178" s="52">
        <f>U178/$X$5*100</f>
        <v>0</v>
      </c>
      <c r="W178" s="53">
        <f>COUNTIFS('00 Encuesta'!$B$2:$B$511,"*d)*",'00 Encuesta'!$C$2:$C$511,"*c)*",'00 Encuesta'!$E$2:$E$511,"*a)*",'00 Encuesta'!$W$2:$W$511,"*d)*")</f>
        <v>0</v>
      </c>
      <c r="X178" s="52">
        <f>W178/$X$6*100</f>
        <v>0</v>
      </c>
      <c r="Y178" s="53">
        <f>COUNTIFS('00 Encuesta'!$B$2:$B$511,"*d)*",'00 Encuesta'!$C$2:$C$511,"*c)*",'00 Encuesta'!$E$2:$E$511,"*b)*",'00 Encuesta'!$W$2:$W$511,"*d)*")</f>
        <v>0</v>
      </c>
      <c r="Z178" s="52">
        <f>Y178/$X$7*100</f>
        <v>0</v>
      </c>
      <c r="AA178" s="3"/>
      <c r="AB178" s="62">
        <f>G178+N178+U178</f>
        <v>0</v>
      </c>
      <c r="AC178" s="52">
        <f>AB178*100/$AC$5</f>
        <v>0</v>
      </c>
      <c r="AD178" s="7"/>
      <c r="AE178" s="7"/>
      <c r="AF178" s="9" t="str">
        <f t="shared" si="200"/>
        <v>d) Nunca</v>
      </c>
      <c r="AG178" s="72">
        <f>J178</f>
        <v>0</v>
      </c>
      <c r="AH178" s="72">
        <f>L178</f>
        <v>0</v>
      </c>
      <c r="AI178" s="73">
        <f>H178</f>
        <v>0</v>
      </c>
      <c r="AJ178" s="73"/>
      <c r="AK178" s="76">
        <f>Q178</f>
        <v>0</v>
      </c>
      <c r="AL178" s="76">
        <f>S178</f>
        <v>0</v>
      </c>
      <c r="AM178" s="76">
        <f>O178</f>
        <v>0</v>
      </c>
      <c r="AN178" s="76"/>
      <c r="AO178" s="81">
        <f>X178</f>
        <v>0</v>
      </c>
      <c r="AP178" s="81">
        <f>Z178</f>
        <v>0</v>
      </c>
      <c r="AQ178" s="81">
        <f>V178</f>
        <v>0</v>
      </c>
      <c r="AR178" s="3"/>
      <c r="AS178" s="76">
        <f t="shared" si="174"/>
        <v>0</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x14ac:dyDescent="0.3">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f>N179/$Q$5*100</f>
        <v>0</v>
      </c>
      <c r="P179" s="53"/>
      <c r="Q179" s="52">
        <f>P179/$Q$6*100</f>
        <v>0</v>
      </c>
      <c r="R179" s="53"/>
      <c r="S179" s="52">
        <f>R179/$Q$7*100</f>
        <v>0</v>
      </c>
      <c r="T179" s="3"/>
      <c r="U179" s="51">
        <f>W179+Y179</f>
        <v>0</v>
      </c>
      <c r="V179" s="52">
        <f>U179/$X$5*100</f>
        <v>0</v>
      </c>
      <c r="W179" s="53"/>
      <c r="X179" s="52">
        <f>W179/$X$6*100</f>
        <v>0</v>
      </c>
      <c r="Y179" s="53"/>
      <c r="Z179" s="52">
        <f>Y179/$X$7*100</f>
        <v>0</v>
      </c>
      <c r="AA179" s="3"/>
      <c r="AB179" s="62">
        <f>G179+N179+U179</f>
        <v>0</v>
      </c>
      <c r="AC179" s="52">
        <f>AB179*100/$AC$5</f>
        <v>0</v>
      </c>
      <c r="AD179" s="3"/>
      <c r="AE179" s="3"/>
      <c r="AF179" s="9" t="str">
        <f t="shared" si="200"/>
        <v>S/R Sin Respuesta</v>
      </c>
      <c r="AG179" s="72">
        <f>J179</f>
        <v>0</v>
      </c>
      <c r="AH179" s="72">
        <f>L179</f>
        <v>0</v>
      </c>
      <c r="AI179" s="73">
        <f>H179</f>
        <v>0</v>
      </c>
      <c r="AJ179" s="73"/>
      <c r="AK179" s="76">
        <f>Q179</f>
        <v>0</v>
      </c>
      <c r="AL179" s="76">
        <f>S179</f>
        <v>0</v>
      </c>
      <c r="AM179" s="76">
        <f>O179</f>
        <v>0</v>
      </c>
      <c r="AN179" s="76"/>
      <c r="AO179" s="81">
        <f>X179</f>
        <v>0</v>
      </c>
      <c r="AP179" s="81">
        <f>Z179</f>
        <v>0</v>
      </c>
      <c r="AQ179" s="81">
        <f>V179</f>
        <v>0</v>
      </c>
      <c r="AR179" s="7"/>
      <c r="AS179" s="76">
        <f t="shared" si="174"/>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x14ac:dyDescent="0.3">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x14ac:dyDescent="0.3">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6</v>
      </c>
      <c r="H182" s="52">
        <f t="shared" ref="H182:H191" si="202">G182/$J$5*100</f>
        <v>26.086956521739129</v>
      </c>
      <c r="I182" s="53">
        <f>COUNTIFS('00 Encuesta'!$B$2:$B$511,"*d)*",'00 Encuesta'!$C$2:$C$511,"*a)*",'00 Encuesta'!$E$2:$E$511,"*a)*",'00 Encuesta'!$X$2:$X$511,"*a)*")</f>
        <v>4</v>
      </c>
      <c r="J182" s="52">
        <f t="shared" ref="J182:J191" si="203">I182/$J$6*100</f>
        <v>28.571428571428569</v>
      </c>
      <c r="K182" s="53">
        <f>COUNTIFS('00 Encuesta'!$B$2:$B$511,"*d)*",'00 Encuesta'!$C$2:$C$511,"*a)*",'00 Encuesta'!$E$2:$E$511,"*b)*",'00 Encuesta'!$X$2:$X$511,"*a)*")</f>
        <v>2</v>
      </c>
      <c r="L182" s="52">
        <f t="shared" ref="L182:L191" si="204">K182/$J$7*100</f>
        <v>22.222222222222221</v>
      </c>
      <c r="M182" s="23"/>
      <c r="N182" s="51">
        <f t="shared" ref="N182:N191" si="205">P182+R182</f>
        <v>6</v>
      </c>
      <c r="O182" s="52">
        <f t="shared" ref="O182:O191" si="206">N182/$Q$5*100</f>
        <v>30</v>
      </c>
      <c r="P182" s="53">
        <f>COUNTIFS('00 Encuesta'!$B$2:$B$511,"*d)*",'00 Encuesta'!$C$2:$C$511,"*b)*",'00 Encuesta'!$E$2:$E$511,"*a)*",'00 Encuesta'!$X$2:$X$511,"*a)*")</f>
        <v>2</v>
      </c>
      <c r="Q182" s="52">
        <f t="shared" ref="Q182:Q191" si="207">P182/$Q$6*100</f>
        <v>28.571428571428569</v>
      </c>
      <c r="R182" s="53">
        <f>COUNTIFS('00 Encuesta'!$B$2:$B$511,"*d)*",'00 Encuesta'!$C$2:$C$511,"*b)*",'00 Encuesta'!$E$2:$E$511,"*b)*",'00 Encuesta'!$X$2:$X$511,"*a)*")</f>
        <v>4</v>
      </c>
      <c r="S182" s="52">
        <f t="shared" ref="S182:S191" si="208">R182/$Q$7*100</f>
        <v>30.76923076923077</v>
      </c>
      <c r="T182" s="3"/>
      <c r="U182" s="51">
        <f t="shared" ref="U182:U191" si="209">W182+Y182</f>
        <v>7</v>
      </c>
      <c r="V182" s="52">
        <f t="shared" ref="V182:V191" si="210">U182/$X$5*100</f>
        <v>35</v>
      </c>
      <c r="W182" s="53">
        <f>COUNTIFS('00 Encuesta'!$B$2:$B$511,"*d)*",'00 Encuesta'!$C$2:$C$511,"*c)*",'00 Encuesta'!$E$2:$E$511,"*a)*",'00 Encuesta'!$X$2:$X$511,"*a)*")</f>
        <v>1</v>
      </c>
      <c r="X182" s="52">
        <f t="shared" ref="X182:X191" si="211">W182/$X$6*100</f>
        <v>20</v>
      </c>
      <c r="Y182" s="53">
        <f>COUNTIFS('00 Encuesta'!$B$2:$B$511,"*d)*",'00 Encuesta'!$C$2:$C$511,"*c)*",'00 Encuesta'!$E$2:$E$511,"*b)*",'00 Encuesta'!$X$2:$X$511,"*a)*")</f>
        <v>6</v>
      </c>
      <c r="Z182" s="52">
        <f t="shared" ref="Z182:Z191" si="212">Y182/$X$7*100</f>
        <v>40</v>
      </c>
      <c r="AA182" s="3"/>
      <c r="AB182" s="62">
        <f t="shared" ref="AB182:AB191" si="213">G182+N182+U182</f>
        <v>19</v>
      </c>
      <c r="AC182" s="52">
        <f t="shared" ref="AC182:AC191" si="214">AB182*100/$AC$5</f>
        <v>30.158730158730158</v>
      </c>
      <c r="AD182" s="3"/>
      <c r="AE182" s="3"/>
      <c r="AF182" s="9" t="str">
        <f t="shared" ref="AF182:AF191" si="215">A182&amp;" "&amp;B182</f>
        <v>a) Suelo llevar una cruz o algún objeto religioso</v>
      </c>
      <c r="AG182" s="72">
        <f t="shared" ref="AG182:AG191" si="216">J182</f>
        <v>28.571428571428569</v>
      </c>
      <c r="AH182" s="72">
        <f t="shared" ref="AH182:AH191" si="217">L182</f>
        <v>22.222222222222221</v>
      </c>
      <c r="AI182" s="73">
        <f t="shared" ref="AI182:AI191" si="218">H182</f>
        <v>26.086956521739129</v>
      </c>
      <c r="AJ182" s="73"/>
      <c r="AK182" s="76">
        <f t="shared" ref="AK182:AK191" si="219">Q182</f>
        <v>28.571428571428569</v>
      </c>
      <c r="AL182" s="76">
        <f t="shared" ref="AL182:AL191" si="220">S182</f>
        <v>30.76923076923077</v>
      </c>
      <c r="AM182" s="76">
        <f t="shared" ref="AM182:AM191" si="221">O182</f>
        <v>30</v>
      </c>
      <c r="AN182" s="76"/>
      <c r="AO182" s="81">
        <f t="shared" ref="AO182:AO191" si="222">X182</f>
        <v>20</v>
      </c>
      <c r="AP182" s="81">
        <f t="shared" ref="AP182:AP191" si="223">Z182</f>
        <v>40</v>
      </c>
      <c r="AQ182" s="81">
        <f t="shared" ref="AQ182:AQ191" si="224">V182</f>
        <v>35</v>
      </c>
      <c r="AR182" s="3"/>
      <c r="AS182" s="76">
        <f t="shared" si="174"/>
        <v>30.158730158730158</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x14ac:dyDescent="0.3">
      <c r="A183" s="8" t="s">
        <v>18</v>
      </c>
      <c r="B183" s="9" t="s">
        <v>138</v>
      </c>
      <c r="C183" s="7"/>
      <c r="D183" s="7"/>
      <c r="E183" s="7"/>
      <c r="F183" s="71"/>
      <c r="G183" s="51">
        <f t="shared" si="201"/>
        <v>3</v>
      </c>
      <c r="H183" s="52">
        <f t="shared" si="202"/>
        <v>13.043478260869565</v>
      </c>
      <c r="I183" s="53">
        <f>COUNTIFS('00 Encuesta'!$B$2:$B$511,"*d)*",'00 Encuesta'!$C$2:$C$511,"*a)*",'00 Encuesta'!$E$2:$E$511,"*a)*",'00 Encuesta'!$X$2:$X$511,"*b)*")</f>
        <v>2</v>
      </c>
      <c r="J183" s="52">
        <f t="shared" si="203"/>
        <v>14.285714285714285</v>
      </c>
      <c r="K183" s="53">
        <f>COUNTIFS('00 Encuesta'!$B$2:$B$511,"*d)*",'00 Encuesta'!$C$2:$C$511,"*a)*",'00 Encuesta'!$E$2:$E$511,"*b)*",'00 Encuesta'!$X$2:$X$511,"*b)*")</f>
        <v>1</v>
      </c>
      <c r="L183" s="52">
        <f t="shared" si="204"/>
        <v>11.111111111111111</v>
      </c>
      <c r="M183" s="23"/>
      <c r="N183" s="51">
        <f t="shared" si="205"/>
        <v>10</v>
      </c>
      <c r="O183" s="52">
        <f t="shared" si="206"/>
        <v>50</v>
      </c>
      <c r="P183" s="53">
        <f>COUNTIFS('00 Encuesta'!$B$2:$B$511,"*d)*",'00 Encuesta'!$C$2:$C$511,"*b)*",'00 Encuesta'!$E$2:$E$511,"*a)*",'00 Encuesta'!$X$2:$X$511,"*b)*")</f>
        <v>2</v>
      </c>
      <c r="Q183" s="52">
        <f t="shared" si="207"/>
        <v>28.571428571428569</v>
      </c>
      <c r="R183" s="53">
        <f>COUNTIFS('00 Encuesta'!$B$2:$B$511,"*d)*",'00 Encuesta'!$C$2:$C$511,"*b)*",'00 Encuesta'!$E$2:$E$511,"*b)*",'00 Encuesta'!$X$2:$X$511,"*b)*")</f>
        <v>8</v>
      </c>
      <c r="S183" s="52">
        <f t="shared" si="208"/>
        <v>61.53846153846154</v>
      </c>
      <c r="T183" s="3"/>
      <c r="U183" s="51">
        <f t="shared" si="209"/>
        <v>3</v>
      </c>
      <c r="V183" s="52">
        <f t="shared" si="210"/>
        <v>15</v>
      </c>
      <c r="W183" s="53">
        <f>COUNTIFS('00 Encuesta'!$B$2:$B$511,"*d)*",'00 Encuesta'!$C$2:$C$511,"*c)*",'00 Encuesta'!$E$2:$E$511,"*a)*",'00 Encuesta'!$X$2:$X$511,"*b)*")</f>
        <v>1</v>
      </c>
      <c r="X183" s="52">
        <f t="shared" si="211"/>
        <v>20</v>
      </c>
      <c r="Y183" s="53">
        <f>COUNTIFS('00 Encuesta'!$B$2:$B$511,"*d)*",'00 Encuesta'!$C$2:$C$511,"*c)*",'00 Encuesta'!$E$2:$E$511,"*b)*",'00 Encuesta'!$X$2:$X$511,"*b)*")</f>
        <v>2</v>
      </c>
      <c r="Z183" s="52">
        <f t="shared" si="212"/>
        <v>13.333333333333334</v>
      </c>
      <c r="AA183" s="3"/>
      <c r="AB183" s="62">
        <f t="shared" si="213"/>
        <v>16</v>
      </c>
      <c r="AC183" s="52">
        <f t="shared" si="214"/>
        <v>25.396825396825395</v>
      </c>
      <c r="AD183" s="3"/>
      <c r="AE183" s="3"/>
      <c r="AF183" s="9" t="str">
        <f t="shared" si="215"/>
        <v>b) Suelo bendecir los alimentos antes de comer</v>
      </c>
      <c r="AG183" s="72">
        <f t="shared" si="216"/>
        <v>14.285714285714285</v>
      </c>
      <c r="AH183" s="72">
        <f t="shared" si="217"/>
        <v>11.111111111111111</v>
      </c>
      <c r="AI183" s="73">
        <f t="shared" si="218"/>
        <v>13.043478260869565</v>
      </c>
      <c r="AJ183" s="73"/>
      <c r="AK183" s="76">
        <f t="shared" si="219"/>
        <v>28.571428571428569</v>
      </c>
      <c r="AL183" s="76">
        <f t="shared" si="220"/>
        <v>61.53846153846154</v>
      </c>
      <c r="AM183" s="76">
        <f t="shared" si="221"/>
        <v>50</v>
      </c>
      <c r="AN183" s="76"/>
      <c r="AO183" s="81">
        <f t="shared" si="222"/>
        <v>20</v>
      </c>
      <c r="AP183" s="81">
        <f t="shared" si="223"/>
        <v>13.333333333333334</v>
      </c>
      <c r="AQ183" s="81">
        <f t="shared" si="224"/>
        <v>15</v>
      </c>
      <c r="AR183" s="3"/>
      <c r="AS183" s="76">
        <f t="shared" si="174"/>
        <v>25.396825396825395</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x14ac:dyDescent="0.3">
      <c r="A184" s="8" t="s">
        <v>20</v>
      </c>
      <c r="B184" s="9" t="s">
        <v>139</v>
      </c>
      <c r="C184" s="7"/>
      <c r="D184" s="7"/>
      <c r="E184" s="7"/>
      <c r="F184" s="71"/>
      <c r="G184" s="51">
        <f t="shared" si="201"/>
        <v>12</v>
      </c>
      <c r="H184" s="52">
        <f t="shared" si="202"/>
        <v>52.173913043478258</v>
      </c>
      <c r="I184" s="53">
        <f>COUNTIFS('00 Encuesta'!$B$2:$B$511,"*d)*",'00 Encuesta'!$C$2:$C$511,"*a)*",'00 Encuesta'!$E$2:$E$511,"*a)*",'00 Encuesta'!$X$2:$X$511,"*c)*")</f>
        <v>8</v>
      </c>
      <c r="J184" s="52">
        <f t="shared" si="203"/>
        <v>57.142857142857139</v>
      </c>
      <c r="K184" s="53">
        <f>COUNTIFS('00 Encuesta'!$B$2:$B$511,"*d)*",'00 Encuesta'!$C$2:$C$511,"*a)*",'00 Encuesta'!$E$2:$E$511,"*b)*",'00 Encuesta'!$X$2:$X$511,"*c)*")</f>
        <v>4</v>
      </c>
      <c r="L184" s="52">
        <f t="shared" si="204"/>
        <v>44.444444444444443</v>
      </c>
      <c r="M184" s="23"/>
      <c r="N184" s="51">
        <f t="shared" si="205"/>
        <v>12</v>
      </c>
      <c r="O184" s="52">
        <f t="shared" si="206"/>
        <v>60</v>
      </c>
      <c r="P184" s="53">
        <f>COUNTIFS('00 Encuesta'!$B$2:$B$511,"*d)*",'00 Encuesta'!$C$2:$C$511,"*b)*",'00 Encuesta'!$E$2:$E$511,"*a)*",'00 Encuesta'!$X$2:$X$511,"*c)*")</f>
        <v>1</v>
      </c>
      <c r="Q184" s="52">
        <f t="shared" si="207"/>
        <v>14.285714285714285</v>
      </c>
      <c r="R184" s="53">
        <f>COUNTIFS('00 Encuesta'!$B$2:$B$511,"*d)*",'00 Encuesta'!$C$2:$C$511,"*b)*",'00 Encuesta'!$E$2:$E$511,"*b)*",'00 Encuesta'!$X$2:$X$511,"*c)*")</f>
        <v>11</v>
      </c>
      <c r="S184" s="52">
        <f t="shared" si="208"/>
        <v>84.615384615384613</v>
      </c>
      <c r="T184" s="3"/>
      <c r="U184" s="51">
        <f t="shared" si="209"/>
        <v>13</v>
      </c>
      <c r="V184" s="52">
        <f t="shared" si="210"/>
        <v>65</v>
      </c>
      <c r="W184" s="53">
        <f>COUNTIFS('00 Encuesta'!$B$2:$B$511,"*d)*",'00 Encuesta'!$C$2:$C$511,"*c)*",'00 Encuesta'!$E$2:$E$511,"*a)*",'00 Encuesta'!$X$2:$X$511,"*c)*")</f>
        <v>1</v>
      </c>
      <c r="X184" s="52">
        <f t="shared" si="211"/>
        <v>20</v>
      </c>
      <c r="Y184" s="53">
        <f>COUNTIFS('00 Encuesta'!$B$2:$B$511,"*d)*",'00 Encuesta'!$C$2:$C$511,"*c)*",'00 Encuesta'!$E$2:$E$511,"*b)*",'00 Encuesta'!$X$2:$X$511,"*c)*")</f>
        <v>12</v>
      </c>
      <c r="Z184" s="52">
        <f t="shared" si="212"/>
        <v>80</v>
      </c>
      <c r="AA184" s="3"/>
      <c r="AB184" s="62">
        <f t="shared" si="213"/>
        <v>37</v>
      </c>
      <c r="AC184" s="52">
        <f t="shared" si="214"/>
        <v>58.730158730158728</v>
      </c>
      <c r="AD184" s="3"/>
      <c r="AE184" s="3"/>
      <c r="AF184" s="9" t="str">
        <f t="shared" si="215"/>
        <v>c) Suelo ir los domingos y otras fechas especiales a la iglesia</v>
      </c>
      <c r="AG184" s="72">
        <f t="shared" si="216"/>
        <v>57.142857142857139</v>
      </c>
      <c r="AH184" s="72">
        <f t="shared" si="217"/>
        <v>44.444444444444443</v>
      </c>
      <c r="AI184" s="73">
        <f t="shared" si="218"/>
        <v>52.173913043478258</v>
      </c>
      <c r="AJ184" s="73"/>
      <c r="AK184" s="76">
        <f t="shared" si="219"/>
        <v>14.285714285714285</v>
      </c>
      <c r="AL184" s="76">
        <f t="shared" si="220"/>
        <v>84.615384615384613</v>
      </c>
      <c r="AM184" s="76">
        <f t="shared" si="221"/>
        <v>60</v>
      </c>
      <c r="AN184" s="76"/>
      <c r="AO184" s="81">
        <f t="shared" si="222"/>
        <v>20</v>
      </c>
      <c r="AP184" s="81">
        <f t="shared" si="223"/>
        <v>80</v>
      </c>
      <c r="AQ184" s="81">
        <f t="shared" si="224"/>
        <v>65</v>
      </c>
      <c r="AR184" s="3"/>
      <c r="AS184" s="76">
        <f t="shared" si="174"/>
        <v>58.730158730158728</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3</v>
      </c>
      <c r="H185" s="52">
        <f t="shared" si="202"/>
        <v>13.043478260869565</v>
      </c>
      <c r="I185" s="53">
        <f>COUNTIFS('00 Encuesta'!$B$2:$B$511,"*d)*",'00 Encuesta'!$C$2:$C$511,"*a)*",'00 Encuesta'!$E$2:$E$511,"*a)*",'00 Encuesta'!$X$2:$X$511,"*d)*")</f>
        <v>1</v>
      </c>
      <c r="J185" s="52">
        <f t="shared" si="203"/>
        <v>7.1428571428571423</v>
      </c>
      <c r="K185" s="53">
        <f>COUNTIFS('00 Encuesta'!$B$2:$B$511,"*d)*",'00 Encuesta'!$C$2:$C$511,"*a)*",'00 Encuesta'!$E$2:$E$511,"*b)*",'00 Encuesta'!$X$2:$X$511,"*d)*")</f>
        <v>2</v>
      </c>
      <c r="L185" s="52">
        <f t="shared" si="204"/>
        <v>22.222222222222221</v>
      </c>
      <c r="M185" s="23"/>
      <c r="N185" s="51">
        <f t="shared" si="205"/>
        <v>10</v>
      </c>
      <c r="O185" s="52">
        <f t="shared" si="206"/>
        <v>50</v>
      </c>
      <c r="P185" s="53">
        <f>COUNTIFS('00 Encuesta'!$B$2:$B$511,"*d)*",'00 Encuesta'!$C$2:$C$511,"*b)*",'00 Encuesta'!$E$2:$E$511,"*a)*",'00 Encuesta'!$X$2:$X$511,"*d)*")</f>
        <v>3</v>
      </c>
      <c r="Q185" s="52">
        <f t="shared" si="207"/>
        <v>42.857142857142854</v>
      </c>
      <c r="R185" s="53">
        <f>COUNTIFS('00 Encuesta'!$B$2:$B$511,"*d)*",'00 Encuesta'!$C$2:$C$511,"*b)*",'00 Encuesta'!$E$2:$E$511,"*b)*",'00 Encuesta'!$X$2:$X$511,"*d)*")</f>
        <v>7</v>
      </c>
      <c r="S185" s="52">
        <f t="shared" si="208"/>
        <v>53.846153846153847</v>
      </c>
      <c r="T185" s="3"/>
      <c r="U185" s="51">
        <f t="shared" si="209"/>
        <v>7</v>
      </c>
      <c r="V185" s="52">
        <f t="shared" si="210"/>
        <v>35</v>
      </c>
      <c r="W185" s="53">
        <f>COUNTIFS('00 Encuesta'!$B$2:$B$511,"*d)*",'00 Encuesta'!$C$2:$C$511,"*c)*",'00 Encuesta'!$E$2:$E$511,"*a)*",'00 Encuesta'!$X$2:$X$511,"*d)*")</f>
        <v>1</v>
      </c>
      <c r="X185" s="52">
        <f t="shared" si="211"/>
        <v>20</v>
      </c>
      <c r="Y185" s="53">
        <f>COUNTIFS('00 Encuesta'!$B$2:$B$511,"*d)*",'00 Encuesta'!$C$2:$C$511,"*c)*",'00 Encuesta'!$E$2:$E$511,"*b)*",'00 Encuesta'!$X$2:$X$511,"*d)*")</f>
        <v>6</v>
      </c>
      <c r="Z185" s="52">
        <f t="shared" si="212"/>
        <v>40</v>
      </c>
      <c r="AA185" s="3"/>
      <c r="AB185" s="62">
        <f t="shared" si="213"/>
        <v>20</v>
      </c>
      <c r="AC185" s="52">
        <f t="shared" si="214"/>
        <v>31.746031746031747</v>
      </c>
      <c r="AD185" s="3"/>
      <c r="AE185" s="3"/>
      <c r="AF185" s="9" t="str">
        <f t="shared" si="215"/>
        <v>d) Suelo orar todos los días</v>
      </c>
      <c r="AG185" s="72">
        <f t="shared" si="216"/>
        <v>7.1428571428571423</v>
      </c>
      <c r="AH185" s="72">
        <f t="shared" si="217"/>
        <v>22.222222222222221</v>
      </c>
      <c r="AI185" s="73">
        <f t="shared" si="218"/>
        <v>13.043478260869565</v>
      </c>
      <c r="AJ185" s="73"/>
      <c r="AK185" s="76">
        <f t="shared" si="219"/>
        <v>42.857142857142854</v>
      </c>
      <c r="AL185" s="76">
        <f t="shared" si="220"/>
        <v>53.846153846153847</v>
      </c>
      <c r="AM185" s="76">
        <f t="shared" si="221"/>
        <v>50</v>
      </c>
      <c r="AN185" s="76"/>
      <c r="AO185" s="81">
        <f t="shared" si="222"/>
        <v>20</v>
      </c>
      <c r="AP185" s="81">
        <f t="shared" si="223"/>
        <v>40</v>
      </c>
      <c r="AQ185" s="81">
        <f t="shared" si="224"/>
        <v>35</v>
      </c>
      <c r="AR185" s="3"/>
      <c r="AS185" s="76">
        <f t="shared" si="174"/>
        <v>31.746031746031747</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x14ac:dyDescent="0.3">
      <c r="A186" s="1" t="s">
        <v>22</v>
      </c>
      <c r="B186" s="2" t="s">
        <v>141</v>
      </c>
      <c r="C186" s="3"/>
      <c r="D186" s="7"/>
      <c r="E186" s="7"/>
      <c r="F186" s="71"/>
      <c r="G186" s="51">
        <f t="shared" si="201"/>
        <v>8</v>
      </c>
      <c r="H186" s="52">
        <f t="shared" si="202"/>
        <v>34.782608695652172</v>
      </c>
      <c r="I186" s="53">
        <f>COUNTIFS('00 Encuesta'!$B$2:$B$511,"*d)*",'00 Encuesta'!$C$2:$C$511,"*a)*",'00 Encuesta'!$E$2:$E$511,"*a)*",'00 Encuesta'!$X$2:$X$511,"*e)*")</f>
        <v>3</v>
      </c>
      <c r="J186" s="52">
        <f t="shared" si="203"/>
        <v>21.428571428571427</v>
      </c>
      <c r="K186" s="53">
        <f>COUNTIFS('00 Encuesta'!$B$2:$B$511,"*d)*",'00 Encuesta'!$C$2:$C$511,"*a)*",'00 Encuesta'!$E$2:$E$511,"*b)*",'00 Encuesta'!$X$2:$X$511,"*e)*")</f>
        <v>5</v>
      </c>
      <c r="L186" s="52">
        <f t="shared" si="204"/>
        <v>55.555555555555557</v>
      </c>
      <c r="M186" s="23"/>
      <c r="N186" s="51">
        <f t="shared" si="205"/>
        <v>12</v>
      </c>
      <c r="O186" s="52">
        <f t="shared" si="206"/>
        <v>60</v>
      </c>
      <c r="P186" s="53">
        <f>COUNTIFS('00 Encuesta'!$B$2:$B$511,"*d)*",'00 Encuesta'!$C$2:$C$511,"*b)*",'00 Encuesta'!$E$2:$E$511,"*a)*",'00 Encuesta'!$X$2:$X$511,"*e)*")</f>
        <v>4</v>
      </c>
      <c r="Q186" s="52">
        <f t="shared" si="207"/>
        <v>57.142857142857139</v>
      </c>
      <c r="R186" s="53">
        <f>COUNTIFS('00 Encuesta'!$B$2:$B$511,"*d)*",'00 Encuesta'!$C$2:$C$511,"*b)*",'00 Encuesta'!$E$2:$E$511,"*b)*",'00 Encuesta'!$X$2:$X$511,"*e)*")</f>
        <v>8</v>
      </c>
      <c r="S186" s="52">
        <f t="shared" si="208"/>
        <v>61.53846153846154</v>
      </c>
      <c r="T186" s="3"/>
      <c r="U186" s="51">
        <f t="shared" si="209"/>
        <v>11</v>
      </c>
      <c r="V186" s="52">
        <f t="shared" si="210"/>
        <v>55.000000000000007</v>
      </c>
      <c r="W186" s="53">
        <f>COUNTIFS('00 Encuesta'!$B$2:$B$511,"*d)*",'00 Encuesta'!$C$2:$C$511,"*c)*",'00 Encuesta'!$E$2:$E$511,"*a)*",'00 Encuesta'!$X$2:$X$511,"*e)*")</f>
        <v>1</v>
      </c>
      <c r="X186" s="52">
        <f t="shared" si="211"/>
        <v>20</v>
      </c>
      <c r="Y186" s="53">
        <f>COUNTIFS('00 Encuesta'!$B$2:$B$511,"*d)*",'00 Encuesta'!$C$2:$C$511,"*c)*",'00 Encuesta'!$E$2:$E$511,"*b)*",'00 Encuesta'!$X$2:$X$511,"*e)*")</f>
        <v>10</v>
      </c>
      <c r="Z186" s="52">
        <f t="shared" si="212"/>
        <v>66.666666666666657</v>
      </c>
      <c r="AA186" s="3"/>
      <c r="AB186" s="62">
        <f t="shared" si="213"/>
        <v>31</v>
      </c>
      <c r="AC186" s="52">
        <f t="shared" si="214"/>
        <v>49.206349206349209</v>
      </c>
      <c r="AD186" s="7"/>
      <c r="AE186" s="7"/>
      <c r="AF186" s="9" t="str">
        <f t="shared" si="215"/>
        <v>e) Voy a misa en las fechas de mis familiares difuntos</v>
      </c>
      <c r="AG186" s="72">
        <f t="shared" si="216"/>
        <v>21.428571428571427</v>
      </c>
      <c r="AH186" s="72">
        <f t="shared" si="217"/>
        <v>55.555555555555557</v>
      </c>
      <c r="AI186" s="73">
        <f t="shared" si="218"/>
        <v>34.782608695652172</v>
      </c>
      <c r="AJ186" s="73"/>
      <c r="AK186" s="76">
        <f t="shared" si="219"/>
        <v>57.142857142857139</v>
      </c>
      <c r="AL186" s="76">
        <f t="shared" si="220"/>
        <v>61.53846153846154</v>
      </c>
      <c r="AM186" s="76">
        <f t="shared" si="221"/>
        <v>60</v>
      </c>
      <c r="AN186" s="76"/>
      <c r="AO186" s="81">
        <f t="shared" si="222"/>
        <v>20</v>
      </c>
      <c r="AP186" s="81">
        <f t="shared" si="223"/>
        <v>66.666666666666657</v>
      </c>
      <c r="AQ186" s="81">
        <f t="shared" si="224"/>
        <v>55.000000000000007</v>
      </c>
      <c r="AR186" s="3"/>
      <c r="AS186" s="76">
        <f t="shared" si="174"/>
        <v>49.206349206349209</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13</v>
      </c>
      <c r="H187" s="52">
        <f t="shared" si="202"/>
        <v>56.521739130434781</v>
      </c>
      <c r="I187" s="53">
        <f>COUNTIFS('00 Encuesta'!$B$2:$B$511,"*d)*",'00 Encuesta'!$C$2:$C$511,"*a)*",'00 Encuesta'!$E$2:$E$511,"*a)*",'00 Encuesta'!$X$2:$X$511,"*f)*")</f>
        <v>8</v>
      </c>
      <c r="J187" s="52">
        <f t="shared" si="203"/>
        <v>57.142857142857139</v>
      </c>
      <c r="K187" s="53">
        <f>COUNTIFS('00 Encuesta'!$B$2:$B$511,"*d)*",'00 Encuesta'!$C$2:$C$511,"*a)*",'00 Encuesta'!$E$2:$E$511,"*b)*",'00 Encuesta'!$X$2:$X$511,"*f)*")</f>
        <v>5</v>
      </c>
      <c r="L187" s="52">
        <f t="shared" si="204"/>
        <v>55.555555555555557</v>
      </c>
      <c r="M187" s="23"/>
      <c r="N187" s="51">
        <f t="shared" si="205"/>
        <v>9</v>
      </c>
      <c r="O187" s="52">
        <f t="shared" si="206"/>
        <v>45</v>
      </c>
      <c r="P187" s="53">
        <f>COUNTIFS('00 Encuesta'!$B$2:$B$511,"*d)*",'00 Encuesta'!$C$2:$C$511,"*b)*",'00 Encuesta'!$E$2:$E$511,"*a)*",'00 Encuesta'!$X$2:$X$511,"*f)*")</f>
        <v>4</v>
      </c>
      <c r="Q187" s="52">
        <f t="shared" si="207"/>
        <v>57.142857142857139</v>
      </c>
      <c r="R187" s="53">
        <f>COUNTIFS('00 Encuesta'!$B$2:$B$511,"*d)*",'00 Encuesta'!$C$2:$C$511,"*b)*",'00 Encuesta'!$E$2:$E$511,"*b)*",'00 Encuesta'!$X$2:$X$511,"*f)*")</f>
        <v>5</v>
      </c>
      <c r="S187" s="52">
        <f t="shared" si="208"/>
        <v>38.461538461538467</v>
      </c>
      <c r="T187" s="3"/>
      <c r="U187" s="51">
        <f t="shared" si="209"/>
        <v>11</v>
      </c>
      <c r="V187" s="52">
        <f t="shared" si="210"/>
        <v>55.000000000000007</v>
      </c>
      <c r="W187" s="53">
        <f>COUNTIFS('00 Encuesta'!$B$2:$B$511,"*d)*",'00 Encuesta'!$C$2:$C$511,"*c)*",'00 Encuesta'!$E$2:$E$511,"*a)*",'00 Encuesta'!$X$2:$X$511,"*f)*")</f>
        <v>1</v>
      </c>
      <c r="X187" s="52">
        <f t="shared" si="211"/>
        <v>20</v>
      </c>
      <c r="Y187" s="53">
        <f>COUNTIFS('00 Encuesta'!$B$2:$B$511,"*d)*",'00 Encuesta'!$C$2:$C$511,"*c)*",'00 Encuesta'!$E$2:$E$511,"*b)*",'00 Encuesta'!$X$2:$X$511,"*f)*")</f>
        <v>10</v>
      </c>
      <c r="Z187" s="52">
        <f t="shared" si="212"/>
        <v>66.666666666666657</v>
      </c>
      <c r="AA187" s="3"/>
      <c r="AB187" s="62">
        <f t="shared" si="213"/>
        <v>33</v>
      </c>
      <c r="AC187" s="52">
        <f t="shared" si="214"/>
        <v>52.38095238095238</v>
      </c>
      <c r="AD187" s="7"/>
      <c r="AE187" s="7"/>
      <c r="AF187" s="9" t="str">
        <f t="shared" si="215"/>
        <v>f) En alguna ocasión he rezado el rosario</v>
      </c>
      <c r="AG187" s="72">
        <f t="shared" si="216"/>
        <v>57.142857142857139</v>
      </c>
      <c r="AH187" s="72">
        <f t="shared" si="217"/>
        <v>55.555555555555557</v>
      </c>
      <c r="AI187" s="73">
        <f t="shared" si="218"/>
        <v>56.521739130434781</v>
      </c>
      <c r="AJ187" s="73"/>
      <c r="AK187" s="76">
        <f t="shared" si="219"/>
        <v>57.142857142857139</v>
      </c>
      <c r="AL187" s="76">
        <f t="shared" si="220"/>
        <v>38.461538461538467</v>
      </c>
      <c r="AM187" s="76">
        <f t="shared" si="221"/>
        <v>45</v>
      </c>
      <c r="AN187" s="76"/>
      <c r="AO187" s="81">
        <f t="shared" si="222"/>
        <v>20</v>
      </c>
      <c r="AP187" s="81">
        <f t="shared" si="223"/>
        <v>66.666666666666657</v>
      </c>
      <c r="AQ187" s="81">
        <f t="shared" si="224"/>
        <v>55.000000000000007</v>
      </c>
      <c r="AR187" s="7"/>
      <c r="AS187" s="76">
        <f t="shared" si="174"/>
        <v>52.38095238095238</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5</v>
      </c>
      <c r="H188" s="52">
        <f t="shared" si="202"/>
        <v>21.739130434782609</v>
      </c>
      <c r="I188" s="53">
        <f>COUNTIFS('00 Encuesta'!$B$2:$B$511,"*d)*",'00 Encuesta'!$C$2:$C$511,"*a)*",'00 Encuesta'!$E$2:$E$511,"*a)*",'00 Encuesta'!$X$2:$X$511,"*g)*")</f>
        <v>2</v>
      </c>
      <c r="J188" s="52">
        <f t="shared" si="203"/>
        <v>14.285714285714285</v>
      </c>
      <c r="K188" s="53">
        <f>COUNTIFS('00 Encuesta'!$B$2:$B$511,"*d)*",'00 Encuesta'!$C$2:$C$511,"*a)*",'00 Encuesta'!$E$2:$E$511,"*b)*",'00 Encuesta'!$X$2:$X$511,"*g)*")</f>
        <v>3</v>
      </c>
      <c r="L188" s="52">
        <f t="shared" si="204"/>
        <v>33.333333333333329</v>
      </c>
      <c r="M188" s="23"/>
      <c r="N188" s="51">
        <f t="shared" si="205"/>
        <v>5</v>
      </c>
      <c r="O188" s="52">
        <f t="shared" si="206"/>
        <v>25</v>
      </c>
      <c r="P188" s="53">
        <f>COUNTIFS('00 Encuesta'!$B$2:$B$511,"*d)*",'00 Encuesta'!$C$2:$C$511,"*b)*",'00 Encuesta'!$E$2:$E$511,"*a)*",'00 Encuesta'!$X$2:$X$511,"*g)*")</f>
        <v>2</v>
      </c>
      <c r="Q188" s="52">
        <f t="shared" si="207"/>
        <v>28.571428571428569</v>
      </c>
      <c r="R188" s="53">
        <f>COUNTIFS('00 Encuesta'!$B$2:$B$511,"*d)*",'00 Encuesta'!$C$2:$C$511,"*b)*",'00 Encuesta'!$E$2:$E$511,"*b)*",'00 Encuesta'!$X$2:$X$511,"*g)*")</f>
        <v>3</v>
      </c>
      <c r="S188" s="52">
        <f t="shared" si="208"/>
        <v>23.076923076923077</v>
      </c>
      <c r="T188" s="3"/>
      <c r="U188" s="51">
        <f t="shared" si="209"/>
        <v>4</v>
      </c>
      <c r="V188" s="52">
        <f t="shared" si="210"/>
        <v>20</v>
      </c>
      <c r="W188" s="53">
        <f>COUNTIFS('00 Encuesta'!$B$2:$B$511,"*d)*",'00 Encuesta'!$C$2:$C$511,"*c)*",'00 Encuesta'!$E$2:$E$511,"*a)*",'00 Encuesta'!$X$2:$X$511,"*g)*")</f>
        <v>1</v>
      </c>
      <c r="X188" s="52">
        <f t="shared" si="211"/>
        <v>20</v>
      </c>
      <c r="Y188" s="53">
        <f>COUNTIFS('00 Encuesta'!$B$2:$B$511,"*d)*",'00 Encuesta'!$C$2:$C$511,"*c)*",'00 Encuesta'!$E$2:$E$511,"*b)*",'00 Encuesta'!$X$2:$X$511,"*g)*")</f>
        <v>3</v>
      </c>
      <c r="Z188" s="52">
        <f t="shared" si="212"/>
        <v>20</v>
      </c>
      <c r="AA188" s="3"/>
      <c r="AB188" s="62">
        <f t="shared" si="213"/>
        <v>14</v>
      </c>
      <c r="AC188" s="52">
        <f t="shared" si="214"/>
        <v>22.222222222222221</v>
      </c>
      <c r="AD188" s="7"/>
      <c r="AE188" s="7"/>
      <c r="AF188" s="9" t="str">
        <f t="shared" si="215"/>
        <v>g) En ocasiones, en mi casa tenemos una oración familiar</v>
      </c>
      <c r="AG188" s="72">
        <f t="shared" si="216"/>
        <v>14.285714285714285</v>
      </c>
      <c r="AH188" s="72">
        <f t="shared" si="217"/>
        <v>33.333333333333329</v>
      </c>
      <c r="AI188" s="73">
        <f t="shared" si="218"/>
        <v>21.739130434782609</v>
      </c>
      <c r="AJ188" s="73"/>
      <c r="AK188" s="76">
        <f t="shared" si="219"/>
        <v>28.571428571428569</v>
      </c>
      <c r="AL188" s="76">
        <f t="shared" si="220"/>
        <v>23.076923076923077</v>
      </c>
      <c r="AM188" s="76">
        <f t="shared" si="221"/>
        <v>25</v>
      </c>
      <c r="AN188" s="76"/>
      <c r="AO188" s="81">
        <f t="shared" si="222"/>
        <v>20</v>
      </c>
      <c r="AP188" s="81">
        <f t="shared" si="223"/>
        <v>20</v>
      </c>
      <c r="AQ188" s="81">
        <f t="shared" si="224"/>
        <v>20</v>
      </c>
      <c r="AR188" s="7"/>
      <c r="AS188" s="76">
        <f t="shared" si="174"/>
        <v>22.222222222222221</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x14ac:dyDescent="0.3">
      <c r="A189" s="8" t="s">
        <v>63</v>
      </c>
      <c r="B189" s="9" t="s">
        <v>144</v>
      </c>
      <c r="C189" s="7"/>
      <c r="D189" s="7"/>
      <c r="E189" s="7"/>
      <c r="F189" s="71"/>
      <c r="G189" s="51">
        <f t="shared" si="201"/>
        <v>4</v>
      </c>
      <c r="H189" s="52">
        <f t="shared" si="202"/>
        <v>17.391304347826086</v>
      </c>
      <c r="I189" s="53">
        <f>COUNTIFS('00 Encuesta'!$B$2:$B$511,"*d)*",'00 Encuesta'!$C$2:$C$511,"*a)*",'00 Encuesta'!$E$2:$E$511,"*a)*",'00 Encuesta'!$X$2:$X$511,"*h)*")</f>
        <v>2</v>
      </c>
      <c r="J189" s="52">
        <f t="shared" si="203"/>
        <v>14.285714285714285</v>
      </c>
      <c r="K189" s="53">
        <f>COUNTIFS('00 Encuesta'!$B$2:$B$511,"*d)*",'00 Encuesta'!$C$2:$C$511,"*a)*",'00 Encuesta'!$E$2:$E$511,"*b)*",'00 Encuesta'!$X$2:$X$511,"*h)*")</f>
        <v>2</v>
      </c>
      <c r="L189" s="52">
        <f t="shared" si="204"/>
        <v>22.222222222222221</v>
      </c>
      <c r="M189" s="23"/>
      <c r="N189" s="51">
        <f t="shared" si="205"/>
        <v>6</v>
      </c>
      <c r="O189" s="52">
        <f t="shared" si="206"/>
        <v>30</v>
      </c>
      <c r="P189" s="53">
        <f>COUNTIFS('00 Encuesta'!$B$2:$B$511,"*d)*",'00 Encuesta'!$C$2:$C$511,"*b)*",'00 Encuesta'!$E$2:$E$511,"*a)*",'00 Encuesta'!$X$2:$X$511,"*h)*")</f>
        <v>1</v>
      </c>
      <c r="Q189" s="52">
        <f t="shared" si="207"/>
        <v>14.285714285714285</v>
      </c>
      <c r="R189" s="53">
        <f>COUNTIFS('00 Encuesta'!$B$2:$B$511,"*d)*",'00 Encuesta'!$C$2:$C$511,"*b)*",'00 Encuesta'!$E$2:$E$511,"*b)*",'00 Encuesta'!$X$2:$X$511,"*h)*")</f>
        <v>5</v>
      </c>
      <c r="S189" s="52">
        <f t="shared" si="208"/>
        <v>38.461538461538467</v>
      </c>
      <c r="T189" s="3"/>
      <c r="U189" s="51">
        <f t="shared" si="209"/>
        <v>12</v>
      </c>
      <c r="V189" s="52">
        <f t="shared" si="210"/>
        <v>60</v>
      </c>
      <c r="W189" s="53">
        <f>COUNTIFS('00 Encuesta'!$B$2:$B$511,"*d)*",'00 Encuesta'!$C$2:$C$511,"*c)*",'00 Encuesta'!$E$2:$E$511,"*a)*",'00 Encuesta'!$X$2:$X$511,"*h)*")</f>
        <v>1</v>
      </c>
      <c r="X189" s="52">
        <f t="shared" si="211"/>
        <v>20</v>
      </c>
      <c r="Y189" s="53">
        <f>COUNTIFS('00 Encuesta'!$B$2:$B$511,"*d)*",'00 Encuesta'!$C$2:$C$511,"*c)*",'00 Encuesta'!$E$2:$E$511,"*b)*",'00 Encuesta'!$X$2:$X$511,"*h)*")</f>
        <v>11</v>
      </c>
      <c r="Z189" s="52">
        <f t="shared" si="212"/>
        <v>73.333333333333329</v>
      </c>
      <c r="AA189" s="3"/>
      <c r="AB189" s="62">
        <f t="shared" si="213"/>
        <v>22</v>
      </c>
      <c r="AC189" s="52">
        <f t="shared" si="214"/>
        <v>34.920634920634917</v>
      </c>
      <c r="AD189" s="7"/>
      <c r="AE189" s="7"/>
      <c r="AF189" s="9" t="str">
        <f t="shared" si="215"/>
        <v>h) En Semana Santa asisto a las procesiones</v>
      </c>
      <c r="AG189" s="72">
        <f t="shared" si="216"/>
        <v>14.285714285714285</v>
      </c>
      <c r="AH189" s="72">
        <f t="shared" si="217"/>
        <v>22.222222222222221</v>
      </c>
      <c r="AI189" s="73">
        <f t="shared" si="218"/>
        <v>17.391304347826086</v>
      </c>
      <c r="AJ189" s="73"/>
      <c r="AK189" s="76">
        <f t="shared" si="219"/>
        <v>14.285714285714285</v>
      </c>
      <c r="AL189" s="76">
        <f t="shared" si="220"/>
        <v>38.461538461538467</v>
      </c>
      <c r="AM189" s="76">
        <f t="shared" si="221"/>
        <v>30</v>
      </c>
      <c r="AN189" s="76"/>
      <c r="AO189" s="81">
        <f t="shared" si="222"/>
        <v>20</v>
      </c>
      <c r="AP189" s="81">
        <f t="shared" si="223"/>
        <v>73.333333333333329</v>
      </c>
      <c r="AQ189" s="81">
        <f t="shared" si="224"/>
        <v>60</v>
      </c>
      <c r="AR189" s="7"/>
      <c r="AS189" s="76">
        <f t="shared" si="174"/>
        <v>34.920634920634917</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x14ac:dyDescent="0.3">
      <c r="A190" s="8" t="s">
        <v>65</v>
      </c>
      <c r="B190" s="9" t="s">
        <v>145</v>
      </c>
      <c r="C190" s="7"/>
      <c r="D190" s="7"/>
      <c r="E190" s="7"/>
      <c r="F190" s="71"/>
      <c r="G190" s="51">
        <f t="shared" si="201"/>
        <v>11</v>
      </c>
      <c r="H190" s="52">
        <f t="shared" si="202"/>
        <v>47.826086956521742</v>
      </c>
      <c r="I190" s="53">
        <f>COUNTIFS('00 Encuesta'!$B$2:$B$511,"*d)*",'00 Encuesta'!$C$2:$C$511,"*a)*",'00 Encuesta'!$E$2:$E$511,"*a)*",'00 Encuesta'!$X$2:$X$511,"*i)*")</f>
        <v>6</v>
      </c>
      <c r="J190" s="52">
        <f t="shared" si="203"/>
        <v>42.857142857142854</v>
      </c>
      <c r="K190" s="53">
        <f>COUNTIFS('00 Encuesta'!$B$2:$B$511,"*d)*",'00 Encuesta'!$C$2:$C$511,"*a)*",'00 Encuesta'!$E$2:$E$511,"*b)*",'00 Encuesta'!$X$2:$X$511,"*i)*")</f>
        <v>5</v>
      </c>
      <c r="L190" s="52">
        <f t="shared" si="204"/>
        <v>55.555555555555557</v>
      </c>
      <c r="M190" s="23"/>
      <c r="N190" s="51">
        <f t="shared" si="205"/>
        <v>11</v>
      </c>
      <c r="O190" s="52">
        <f t="shared" si="206"/>
        <v>55.000000000000007</v>
      </c>
      <c r="P190" s="53">
        <f>COUNTIFS('00 Encuesta'!$B$2:$B$511,"*d)*",'00 Encuesta'!$C$2:$C$511,"*b)*",'00 Encuesta'!$E$2:$E$511,"*a)*",'00 Encuesta'!$X$2:$X$511,"*i)*")</f>
        <v>3</v>
      </c>
      <c r="Q190" s="52">
        <f t="shared" si="207"/>
        <v>42.857142857142854</v>
      </c>
      <c r="R190" s="53">
        <f>COUNTIFS('00 Encuesta'!$B$2:$B$511,"*d)*",'00 Encuesta'!$C$2:$C$511,"*b)*",'00 Encuesta'!$E$2:$E$511,"*b)*",'00 Encuesta'!$X$2:$X$511,"*i)*")</f>
        <v>8</v>
      </c>
      <c r="S190" s="52">
        <f t="shared" si="208"/>
        <v>61.53846153846154</v>
      </c>
      <c r="T190" s="3"/>
      <c r="U190" s="51">
        <f t="shared" si="209"/>
        <v>11</v>
      </c>
      <c r="V190" s="52">
        <f t="shared" si="210"/>
        <v>55.000000000000007</v>
      </c>
      <c r="W190" s="53">
        <f>COUNTIFS('00 Encuesta'!$B$2:$B$511,"*d)*",'00 Encuesta'!$C$2:$C$511,"*c)*",'00 Encuesta'!$E$2:$E$511,"*a)*",'00 Encuesta'!$X$2:$X$511,"*i)*")</f>
        <v>1</v>
      </c>
      <c r="X190" s="52">
        <f t="shared" si="211"/>
        <v>20</v>
      </c>
      <c r="Y190" s="53">
        <f>COUNTIFS('00 Encuesta'!$B$2:$B$511,"*d)*",'00 Encuesta'!$C$2:$C$511,"*c)*",'00 Encuesta'!$E$2:$E$511,"*b)*",'00 Encuesta'!$X$2:$X$511,"*i)*")</f>
        <v>10</v>
      </c>
      <c r="Z190" s="52">
        <f t="shared" si="212"/>
        <v>66.666666666666657</v>
      </c>
      <c r="AA190" s="3"/>
      <c r="AB190" s="62">
        <f t="shared" si="213"/>
        <v>33</v>
      </c>
      <c r="AC190" s="52">
        <f t="shared" si="214"/>
        <v>52.38095238095238</v>
      </c>
      <c r="AD190" s="7"/>
      <c r="AE190" s="7"/>
      <c r="AF190" s="9" t="str">
        <f t="shared" si="215"/>
        <v>i) Tengo en mi cuarto alguna imagen religiosa</v>
      </c>
      <c r="AG190" s="72">
        <f t="shared" si="216"/>
        <v>42.857142857142854</v>
      </c>
      <c r="AH190" s="72">
        <f t="shared" si="217"/>
        <v>55.555555555555557</v>
      </c>
      <c r="AI190" s="73">
        <f t="shared" si="218"/>
        <v>47.826086956521742</v>
      </c>
      <c r="AJ190" s="73"/>
      <c r="AK190" s="76">
        <f t="shared" si="219"/>
        <v>42.857142857142854</v>
      </c>
      <c r="AL190" s="76">
        <f t="shared" si="220"/>
        <v>61.53846153846154</v>
      </c>
      <c r="AM190" s="76">
        <f t="shared" si="221"/>
        <v>55.000000000000007</v>
      </c>
      <c r="AN190" s="76"/>
      <c r="AO190" s="81">
        <f t="shared" si="222"/>
        <v>20</v>
      </c>
      <c r="AP190" s="81">
        <f t="shared" si="223"/>
        <v>66.666666666666657</v>
      </c>
      <c r="AQ190" s="81">
        <f t="shared" si="224"/>
        <v>55.000000000000007</v>
      </c>
      <c r="AR190" s="7"/>
      <c r="AS190" s="76">
        <f t="shared" si="174"/>
        <v>52.38095238095238</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x14ac:dyDescent="0.3">
      <c r="A191" s="8" t="s">
        <v>23</v>
      </c>
      <c r="B191" s="9" t="s">
        <v>24</v>
      </c>
      <c r="C191" s="7"/>
      <c r="D191" s="7"/>
      <c r="E191" s="7"/>
      <c r="F191" s="71"/>
      <c r="G191" s="51">
        <f t="shared" si="201"/>
        <v>0</v>
      </c>
      <c r="H191" s="52">
        <f t="shared" si="202"/>
        <v>0</v>
      </c>
      <c r="I191" s="53"/>
      <c r="J191" s="52">
        <f t="shared" si="203"/>
        <v>0</v>
      </c>
      <c r="K191" s="53"/>
      <c r="L191" s="52">
        <f t="shared" si="204"/>
        <v>0</v>
      </c>
      <c r="M191" s="23"/>
      <c r="N191" s="51">
        <f t="shared" si="205"/>
        <v>0</v>
      </c>
      <c r="O191" s="52">
        <f t="shared" si="206"/>
        <v>0</v>
      </c>
      <c r="P191" s="53"/>
      <c r="Q191" s="52">
        <f t="shared" si="207"/>
        <v>0</v>
      </c>
      <c r="R191" s="53"/>
      <c r="S191" s="52">
        <f t="shared" si="208"/>
        <v>0</v>
      </c>
      <c r="T191" s="3"/>
      <c r="U191" s="51">
        <f t="shared" si="209"/>
        <v>0</v>
      </c>
      <c r="V191" s="52">
        <f t="shared" si="210"/>
        <v>0</v>
      </c>
      <c r="W191" s="53"/>
      <c r="X191" s="52">
        <f t="shared" si="211"/>
        <v>0</v>
      </c>
      <c r="Y191" s="53"/>
      <c r="Z191" s="52">
        <f t="shared" si="212"/>
        <v>0</v>
      </c>
      <c r="AA191" s="3"/>
      <c r="AB191" s="62">
        <f t="shared" si="213"/>
        <v>0</v>
      </c>
      <c r="AC191" s="52">
        <f t="shared" si="214"/>
        <v>0</v>
      </c>
      <c r="AD191" s="7"/>
      <c r="AE191" s="7"/>
      <c r="AF191" s="9" t="str">
        <f t="shared" si="215"/>
        <v>S/R Sin Respuesta</v>
      </c>
      <c r="AG191" s="72">
        <f t="shared" si="216"/>
        <v>0</v>
      </c>
      <c r="AH191" s="72">
        <f t="shared" si="217"/>
        <v>0</v>
      </c>
      <c r="AI191" s="73">
        <f t="shared" si="218"/>
        <v>0</v>
      </c>
      <c r="AJ191" s="73"/>
      <c r="AK191" s="76">
        <f t="shared" si="219"/>
        <v>0</v>
      </c>
      <c r="AL191" s="76">
        <f t="shared" si="220"/>
        <v>0</v>
      </c>
      <c r="AM191" s="76">
        <f t="shared" si="221"/>
        <v>0</v>
      </c>
      <c r="AN191" s="76"/>
      <c r="AO191" s="81">
        <f t="shared" si="222"/>
        <v>0</v>
      </c>
      <c r="AP191" s="81">
        <f t="shared" si="223"/>
        <v>0</v>
      </c>
      <c r="AQ191" s="81">
        <f t="shared" si="224"/>
        <v>0</v>
      </c>
      <c r="AR191" s="7"/>
      <c r="AS191" s="76">
        <f t="shared" si="174"/>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x14ac:dyDescent="0.3">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x14ac:dyDescent="0.3">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x14ac:dyDescent="0.3">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x14ac:dyDescent="0.3">
      <c r="A195" s="8" t="s">
        <v>17</v>
      </c>
      <c r="B195" s="9" t="s">
        <v>147</v>
      </c>
      <c r="C195" s="7"/>
      <c r="D195" s="7"/>
      <c r="E195" s="7"/>
      <c r="F195" s="71"/>
      <c r="G195" s="51">
        <f>I195+K195</f>
        <v>11</v>
      </c>
      <c r="H195" s="52">
        <f>G195/$J$5*100</f>
        <v>47.826086956521742</v>
      </c>
      <c r="I195" s="53">
        <f>COUNTIFS('00 Encuesta'!$B$2:$B$511,"*d)*",'00 Encuesta'!$C$2:$C$511,"*a)*",'00 Encuesta'!$E$2:$E$511,"*a)*",'00 Encuesta'!$Y$2:$Y$511,"*a)*")</f>
        <v>11</v>
      </c>
      <c r="J195" s="52">
        <f>I195/$J$6*100</f>
        <v>78.571428571428569</v>
      </c>
      <c r="K195" s="53">
        <f>COUNTIFS('00 Encuesta'!$B$2:$B$511,"*d)*",'00 Encuesta'!$C$2:$C$511,"*a)*",'00 Encuesta'!$E$2:$E$511,"*b)*",'00 Encuesta'!$Y$2:$Y$511,"*a)*")</f>
        <v>0</v>
      </c>
      <c r="L195" s="52">
        <f>K195/$J$7*100</f>
        <v>0</v>
      </c>
      <c r="M195" s="23"/>
      <c r="N195" s="51">
        <f>P195+R195</f>
        <v>8</v>
      </c>
      <c r="O195" s="52">
        <f>N195/$Q$5*100</f>
        <v>40</v>
      </c>
      <c r="P195" s="53">
        <f>COUNTIFS('00 Encuesta'!$B$2:$B$511,"*d)*",'00 Encuesta'!$C$2:$C$511,"*b)*",'00 Encuesta'!$E$2:$E$511,"*a)*",'00 Encuesta'!$Y$2:$Y$511,"*a)*")</f>
        <v>2</v>
      </c>
      <c r="Q195" s="52">
        <f>P195/$Q$6*100</f>
        <v>28.571428571428569</v>
      </c>
      <c r="R195" s="53">
        <f>COUNTIFS('00 Encuesta'!$B$2:$B$511,"*d)*",'00 Encuesta'!$C$2:$C$511,"*b)*",'00 Encuesta'!$E$2:$E$511,"*b)*",'00 Encuesta'!$Y$2:$Y$511,"*a)*")</f>
        <v>6</v>
      </c>
      <c r="S195" s="52">
        <f>R195/$Q$7*100</f>
        <v>46.153846153846153</v>
      </c>
      <c r="T195" s="3"/>
      <c r="U195" s="51">
        <f>W195+Y195</f>
        <v>5</v>
      </c>
      <c r="V195" s="52">
        <f>U195/$X$5*100</f>
        <v>25</v>
      </c>
      <c r="W195" s="53">
        <f>COUNTIFS('00 Encuesta'!$B$2:$B$511,"*d)*",'00 Encuesta'!$C$2:$C$511,"*c)*",'00 Encuesta'!$E$2:$E$511,"*a)*",'00 Encuesta'!$Y$2:$Y$511,"*a)*")</f>
        <v>4</v>
      </c>
      <c r="X195" s="52">
        <f>W195/$X$6*100</f>
        <v>80</v>
      </c>
      <c r="Y195" s="53">
        <f>COUNTIFS('00 Encuesta'!$B$2:$B$511,"*d)*",'00 Encuesta'!$C$2:$C$511,"*c)*",'00 Encuesta'!$E$2:$E$511,"*b)*",'00 Encuesta'!$Y$2:$Y$511,"*a)*")</f>
        <v>1</v>
      </c>
      <c r="Z195" s="52">
        <f>Y195/$X$7*100</f>
        <v>6.666666666666667</v>
      </c>
      <c r="AA195" s="3"/>
      <c r="AB195" s="62">
        <f>G195+N195+U195</f>
        <v>24</v>
      </c>
      <c r="AC195" s="52">
        <f>AB195*100/$AC$5</f>
        <v>38.095238095238095</v>
      </c>
      <c r="AD195" s="3"/>
      <c r="AE195" s="3"/>
      <c r="AF195" s="9" t="str">
        <f t="shared" si="225"/>
        <v>a) Deportivo</v>
      </c>
      <c r="AG195" s="72">
        <f>J195</f>
        <v>78.571428571428569</v>
      </c>
      <c r="AH195" s="72">
        <f>L195</f>
        <v>0</v>
      </c>
      <c r="AI195" s="73">
        <f>H195</f>
        <v>47.826086956521742</v>
      </c>
      <c r="AJ195" s="73"/>
      <c r="AK195" s="76">
        <f>Q195</f>
        <v>28.571428571428569</v>
      </c>
      <c r="AL195" s="76">
        <f>S195</f>
        <v>46.153846153846153</v>
      </c>
      <c r="AM195" s="76">
        <f>O195</f>
        <v>40</v>
      </c>
      <c r="AN195" s="76"/>
      <c r="AO195" s="81">
        <f>X195</f>
        <v>80</v>
      </c>
      <c r="AP195" s="81">
        <f>Z195</f>
        <v>6.666666666666667</v>
      </c>
      <c r="AQ195" s="81">
        <f>V195</f>
        <v>25</v>
      </c>
      <c r="AR195" s="3"/>
      <c r="AS195" s="76">
        <f t="shared" si="174"/>
        <v>38.095238095238095</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5</v>
      </c>
      <c r="H196" s="52">
        <f>G196/$J$5*100</f>
        <v>21.739130434782609</v>
      </c>
      <c r="I196" s="53">
        <f>COUNTIFS('00 Encuesta'!$B$2:$B$511,"*d)*",'00 Encuesta'!$C$2:$C$511,"*a)*",'00 Encuesta'!$E$2:$E$511,"*a)*",'00 Encuesta'!$Y$2:$Y$511,"*b)*")</f>
        <v>3</v>
      </c>
      <c r="J196" s="52">
        <f>I196/$J$6*100</f>
        <v>21.428571428571427</v>
      </c>
      <c r="K196" s="53">
        <f>COUNTIFS('00 Encuesta'!$B$2:$B$511,"*d)*",'00 Encuesta'!$C$2:$C$511,"*a)*",'00 Encuesta'!$E$2:$E$511,"*b)*",'00 Encuesta'!$Y$2:$Y$511,"*b)*")</f>
        <v>2</v>
      </c>
      <c r="L196" s="52">
        <f>K196/$J$7*100</f>
        <v>22.222222222222221</v>
      </c>
      <c r="M196" s="23"/>
      <c r="N196" s="51">
        <f>P196+R196</f>
        <v>6</v>
      </c>
      <c r="O196" s="52">
        <f>N196/$Q$5*100</f>
        <v>30</v>
      </c>
      <c r="P196" s="53">
        <f>COUNTIFS('00 Encuesta'!$B$2:$B$511,"*d)*",'00 Encuesta'!$C$2:$C$511,"*b)*",'00 Encuesta'!$E$2:$E$511,"*a)*",'00 Encuesta'!$Y$2:$Y$511,"*b)*")</f>
        <v>1</v>
      </c>
      <c r="Q196" s="52">
        <f>P196/$Q$6*100</f>
        <v>14.285714285714285</v>
      </c>
      <c r="R196" s="53">
        <f>COUNTIFS('00 Encuesta'!$B$2:$B$511,"*d)*",'00 Encuesta'!$C$2:$C$511,"*b)*",'00 Encuesta'!$E$2:$E$511,"*b)*",'00 Encuesta'!$Y$2:$Y$511,"*b)*")</f>
        <v>5</v>
      </c>
      <c r="S196" s="52">
        <f>R196/$Q$7*100</f>
        <v>38.461538461538467</v>
      </c>
      <c r="T196" s="3"/>
      <c r="U196" s="51">
        <f>W196+Y196</f>
        <v>5</v>
      </c>
      <c r="V196" s="52">
        <f>U196/$X$5*100</f>
        <v>25</v>
      </c>
      <c r="W196" s="53">
        <f>COUNTIFS('00 Encuesta'!$B$2:$B$511,"*d)*",'00 Encuesta'!$C$2:$C$511,"*c)*",'00 Encuesta'!$E$2:$E$511,"*a)*",'00 Encuesta'!$Y$2:$Y$511,"*b)*")</f>
        <v>1</v>
      </c>
      <c r="X196" s="52">
        <f>W196/$X$6*100</f>
        <v>20</v>
      </c>
      <c r="Y196" s="53">
        <f>COUNTIFS('00 Encuesta'!$B$2:$B$511,"*d)*",'00 Encuesta'!$C$2:$C$511,"*c)*",'00 Encuesta'!$E$2:$E$511,"*b)*",'00 Encuesta'!$Y$2:$Y$511,"*b)*")</f>
        <v>4</v>
      </c>
      <c r="Z196" s="52">
        <f>Y196/$X$7*100</f>
        <v>26.666666666666668</v>
      </c>
      <c r="AA196" s="3"/>
      <c r="AB196" s="62">
        <f>G196+N196+U196</f>
        <v>16</v>
      </c>
      <c r="AC196" s="52">
        <f>AB196*100/$AC$5</f>
        <v>25.396825396825395</v>
      </c>
      <c r="AD196" s="3"/>
      <c r="AE196" s="3"/>
      <c r="AF196" s="9" t="str">
        <f t="shared" si="225"/>
        <v>b) Cultural (folklórico, musicales, danzas, scout, banda marcial...)</v>
      </c>
      <c r="AG196" s="72">
        <f>J196</f>
        <v>21.428571428571427</v>
      </c>
      <c r="AH196" s="72">
        <f>L196</f>
        <v>22.222222222222221</v>
      </c>
      <c r="AI196" s="73">
        <f>H196</f>
        <v>21.739130434782609</v>
      </c>
      <c r="AJ196" s="73"/>
      <c r="AK196" s="76">
        <f>Q196</f>
        <v>14.285714285714285</v>
      </c>
      <c r="AL196" s="76">
        <f>S196</f>
        <v>38.461538461538467</v>
      </c>
      <c r="AM196" s="76">
        <f>O196</f>
        <v>30</v>
      </c>
      <c r="AN196" s="76"/>
      <c r="AO196" s="81">
        <f>X196</f>
        <v>20</v>
      </c>
      <c r="AP196" s="81">
        <f>Z196</f>
        <v>26.666666666666668</v>
      </c>
      <c r="AQ196" s="81">
        <f>V196</f>
        <v>25</v>
      </c>
      <c r="AR196" s="3"/>
      <c r="AS196" s="76">
        <f t="shared" si="174"/>
        <v>25.396825396825395</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x14ac:dyDescent="0.3">
      <c r="A197" s="8" t="s">
        <v>20</v>
      </c>
      <c r="B197" s="9" t="s">
        <v>149</v>
      </c>
      <c r="C197" s="7"/>
      <c r="D197" s="7"/>
      <c r="E197" s="7"/>
      <c r="F197" s="71"/>
      <c r="G197" s="51">
        <f>I197+K197</f>
        <v>2</v>
      </c>
      <c r="H197" s="52">
        <f>G197/$J$5*100</f>
        <v>8.695652173913043</v>
      </c>
      <c r="I197" s="53">
        <f>COUNTIFS('00 Encuesta'!$B$2:$B$511,"*d)*",'00 Encuesta'!$C$2:$C$511,"*a)*",'00 Encuesta'!$E$2:$E$511,"*a)*",'00 Encuesta'!$Y$2:$Y$511,"*c)*")</f>
        <v>0</v>
      </c>
      <c r="J197" s="52">
        <f>I197/$J$6*100</f>
        <v>0</v>
      </c>
      <c r="K197" s="53">
        <f>COUNTIFS('00 Encuesta'!$B$2:$B$511,"*d)*",'00 Encuesta'!$C$2:$C$511,"*a)*",'00 Encuesta'!$E$2:$E$511,"*b)*",'00 Encuesta'!$Y$2:$Y$511,"*c)*")</f>
        <v>2</v>
      </c>
      <c r="L197" s="52">
        <f>K197/$J$7*100</f>
        <v>22.222222222222221</v>
      </c>
      <c r="M197" s="23"/>
      <c r="N197" s="51">
        <f>P197+R197</f>
        <v>3</v>
      </c>
      <c r="O197" s="52">
        <f>N197/$Q$5*100</f>
        <v>15</v>
      </c>
      <c r="P197" s="53">
        <f>COUNTIFS('00 Encuesta'!$B$2:$B$511,"*d)*",'00 Encuesta'!$C$2:$C$511,"*b)*",'00 Encuesta'!$E$2:$E$511,"*a)*",'00 Encuesta'!$Y$2:$Y$511,"*c)*")</f>
        <v>1</v>
      </c>
      <c r="Q197" s="52">
        <f>P197/$Q$6*100</f>
        <v>14.285714285714285</v>
      </c>
      <c r="R197" s="53">
        <f>COUNTIFS('00 Encuesta'!$B$2:$B$511,"*d)*",'00 Encuesta'!$C$2:$C$511,"*b)*",'00 Encuesta'!$E$2:$E$511,"*b)*",'00 Encuesta'!$Y$2:$Y$511,"*c)*")</f>
        <v>2</v>
      </c>
      <c r="S197" s="52">
        <f>R197/$Q$7*100</f>
        <v>15.384615384615385</v>
      </c>
      <c r="T197" s="3"/>
      <c r="U197" s="51">
        <f>W197+Y197</f>
        <v>10</v>
      </c>
      <c r="V197" s="52">
        <f>U197/$X$5*100</f>
        <v>50</v>
      </c>
      <c r="W197" s="53">
        <f>COUNTIFS('00 Encuesta'!$B$2:$B$511,"*d)*",'00 Encuesta'!$C$2:$C$511,"*c)*",'00 Encuesta'!$E$2:$E$511,"*a)*",'00 Encuesta'!$Y$2:$Y$511,"*c)*")</f>
        <v>1</v>
      </c>
      <c r="X197" s="52">
        <f>W197/$X$6*100</f>
        <v>20</v>
      </c>
      <c r="Y197" s="53">
        <f>COUNTIFS('00 Encuesta'!$B$2:$B$511,"*d)*",'00 Encuesta'!$C$2:$C$511,"*c)*",'00 Encuesta'!$E$2:$E$511,"*b)*",'00 Encuesta'!$Y$2:$Y$511,"*c)*")</f>
        <v>9</v>
      </c>
      <c r="Z197" s="52">
        <f>Y197/$X$7*100</f>
        <v>60</v>
      </c>
      <c r="AA197" s="3"/>
      <c r="AB197" s="62">
        <f>G197+N197+U197</f>
        <v>15</v>
      </c>
      <c r="AC197" s="52">
        <f>AB197*100/$AC$5</f>
        <v>23.80952380952381</v>
      </c>
      <c r="AD197" s="3"/>
      <c r="AE197" s="3"/>
      <c r="AF197" s="9" t="str">
        <f t="shared" si="225"/>
        <v>c) Religioso o parroquial</v>
      </c>
      <c r="AG197" s="72">
        <f>J197</f>
        <v>0</v>
      </c>
      <c r="AH197" s="72">
        <f>L197</f>
        <v>22.222222222222221</v>
      </c>
      <c r="AI197" s="73">
        <f>H197</f>
        <v>8.695652173913043</v>
      </c>
      <c r="AJ197" s="73"/>
      <c r="AK197" s="76">
        <f>Q197</f>
        <v>14.285714285714285</v>
      </c>
      <c r="AL197" s="76">
        <f>S197</f>
        <v>15.384615384615385</v>
      </c>
      <c r="AM197" s="76">
        <f>O197</f>
        <v>15</v>
      </c>
      <c r="AN197" s="76"/>
      <c r="AO197" s="81">
        <f>X197</f>
        <v>20</v>
      </c>
      <c r="AP197" s="81">
        <f>Z197</f>
        <v>60</v>
      </c>
      <c r="AQ197" s="81">
        <f>V197</f>
        <v>50</v>
      </c>
      <c r="AR197" s="3"/>
      <c r="AS197" s="76">
        <f t="shared" si="174"/>
        <v>23.80952380952381</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x14ac:dyDescent="0.3">
      <c r="A198" s="8" t="s">
        <v>21</v>
      </c>
      <c r="B198" s="9" t="s">
        <v>150</v>
      </c>
      <c r="C198" s="7"/>
      <c r="D198" s="7"/>
      <c r="E198" s="7"/>
      <c r="F198" s="71"/>
      <c r="G198" s="51">
        <f>I198+K198</f>
        <v>9</v>
      </c>
      <c r="H198" s="52">
        <f>G198/$J$5*100</f>
        <v>39.130434782608695</v>
      </c>
      <c r="I198" s="53">
        <f>COUNTIFS('00 Encuesta'!$B$2:$B$511,"*d)*",'00 Encuesta'!$C$2:$C$511,"*a)*",'00 Encuesta'!$E$2:$E$511,"*a)*",'00 Encuesta'!$Y$2:$Y$511,"*d)*")</f>
        <v>3</v>
      </c>
      <c r="J198" s="52">
        <f>I198/$J$6*100</f>
        <v>21.428571428571427</v>
      </c>
      <c r="K198" s="53">
        <f>COUNTIFS('00 Encuesta'!$B$2:$B$511,"*d)*",'00 Encuesta'!$C$2:$C$511,"*a)*",'00 Encuesta'!$E$2:$E$511,"*b)*",'00 Encuesta'!$Y$2:$Y$511,"*d)*")</f>
        <v>6</v>
      </c>
      <c r="L198" s="52">
        <f>K198/$J$7*100</f>
        <v>66.666666666666657</v>
      </c>
      <c r="M198" s="23"/>
      <c r="N198" s="51">
        <f>P198+R198</f>
        <v>8</v>
      </c>
      <c r="O198" s="52">
        <f>N198/$Q$5*100</f>
        <v>40</v>
      </c>
      <c r="P198" s="53">
        <f>COUNTIFS('00 Encuesta'!$B$2:$B$511,"*d)*",'00 Encuesta'!$C$2:$C$511,"*b)*",'00 Encuesta'!$E$2:$E$511,"*a)*",'00 Encuesta'!$Y$2:$Y$511,"*d)*")</f>
        <v>4</v>
      </c>
      <c r="Q198" s="52">
        <f>P198/$Q$6*100</f>
        <v>57.142857142857139</v>
      </c>
      <c r="R198" s="53">
        <f>COUNTIFS('00 Encuesta'!$B$2:$B$511,"*d)*",'00 Encuesta'!$C$2:$C$511,"*b)*",'00 Encuesta'!$E$2:$E$511,"*b)*",'00 Encuesta'!$Y$2:$Y$511,"*d)*")</f>
        <v>4</v>
      </c>
      <c r="S198" s="52">
        <f>R198/$Q$7*100</f>
        <v>30.76923076923077</v>
      </c>
      <c r="T198" s="3"/>
      <c r="U198" s="51">
        <f>W198+Y198</f>
        <v>5</v>
      </c>
      <c r="V198" s="52">
        <f>U198/$X$5*100</f>
        <v>25</v>
      </c>
      <c r="W198" s="53">
        <f>COUNTIFS('00 Encuesta'!$B$2:$B$511,"*d)*",'00 Encuesta'!$C$2:$C$511,"*c)*",'00 Encuesta'!$E$2:$E$511,"*a)*",'00 Encuesta'!$Y$2:$Y$511,"*d)*")</f>
        <v>1</v>
      </c>
      <c r="X198" s="52">
        <f>W198/$X$6*100</f>
        <v>20</v>
      </c>
      <c r="Y198" s="53">
        <f>COUNTIFS('00 Encuesta'!$B$2:$B$511,"*d)*",'00 Encuesta'!$C$2:$C$511,"*c)*",'00 Encuesta'!$E$2:$E$511,"*b)*",'00 Encuesta'!$Y$2:$Y$511,"*d)*")</f>
        <v>4</v>
      </c>
      <c r="Z198" s="52">
        <f>Y198/$X$7*100</f>
        <v>26.666666666666668</v>
      </c>
      <c r="AA198" s="3"/>
      <c r="AB198" s="62">
        <f>G198+N198+U198</f>
        <v>22</v>
      </c>
      <c r="AC198" s="52">
        <f>AB198*100/$AC$5</f>
        <v>34.920634920634917</v>
      </c>
      <c r="AD198" s="3"/>
      <c r="AE198" s="3"/>
      <c r="AF198" s="9" t="str">
        <f t="shared" si="225"/>
        <v>d) No pertenezco a ninguno.</v>
      </c>
      <c r="AG198" s="72">
        <f>J198</f>
        <v>21.428571428571427</v>
      </c>
      <c r="AH198" s="72">
        <f>L198</f>
        <v>66.666666666666657</v>
      </c>
      <c r="AI198" s="73">
        <f>H198</f>
        <v>39.130434782608695</v>
      </c>
      <c r="AJ198" s="73"/>
      <c r="AK198" s="76">
        <f>Q198</f>
        <v>57.142857142857139</v>
      </c>
      <c r="AL198" s="76">
        <f>S198</f>
        <v>30.76923076923077</v>
      </c>
      <c r="AM198" s="76">
        <f>O198</f>
        <v>40</v>
      </c>
      <c r="AN198" s="76"/>
      <c r="AO198" s="81">
        <f>X198</f>
        <v>20</v>
      </c>
      <c r="AP198" s="81">
        <f>Z198</f>
        <v>26.666666666666668</v>
      </c>
      <c r="AQ198" s="81">
        <f>V198</f>
        <v>25</v>
      </c>
      <c r="AR198" s="3"/>
      <c r="AS198" s="76">
        <f t="shared" si="174"/>
        <v>34.920634920634917</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x14ac:dyDescent="0.3">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f>N199/$Q$5*100</f>
        <v>0</v>
      </c>
      <c r="P199" s="53"/>
      <c r="Q199" s="52">
        <f>P199/$Q$6*100</f>
        <v>0</v>
      </c>
      <c r="R199" s="53"/>
      <c r="S199" s="52">
        <f>R199/$Q$7*100</f>
        <v>0</v>
      </c>
      <c r="T199" s="3"/>
      <c r="U199" s="51">
        <f>W199+Y199</f>
        <v>0</v>
      </c>
      <c r="V199" s="52">
        <f>U199/$X$5*100</f>
        <v>0</v>
      </c>
      <c r="W199" s="53"/>
      <c r="X199" s="52">
        <f>W199/$X$6*100</f>
        <v>0</v>
      </c>
      <c r="Y199" s="53"/>
      <c r="Z199" s="52">
        <f>Y199/$X$7*100</f>
        <v>0</v>
      </c>
      <c r="AA199" s="3"/>
      <c r="AB199" s="62">
        <f>G199+N199+U199</f>
        <v>0</v>
      </c>
      <c r="AC199" s="52">
        <f>AB199*100/$AC$5</f>
        <v>0</v>
      </c>
      <c r="AD199" s="3"/>
      <c r="AE199" s="3"/>
      <c r="AF199" s="9" t="str">
        <f t="shared" si="225"/>
        <v>S/R Sin Respuesta</v>
      </c>
      <c r="AG199" s="72">
        <f>J199</f>
        <v>0</v>
      </c>
      <c r="AH199" s="72">
        <f>L199</f>
        <v>0</v>
      </c>
      <c r="AI199" s="73">
        <f>H199</f>
        <v>0</v>
      </c>
      <c r="AJ199" s="73"/>
      <c r="AK199" s="76">
        <f>Q199</f>
        <v>0</v>
      </c>
      <c r="AL199" s="76">
        <f>S199</f>
        <v>0</v>
      </c>
      <c r="AM199" s="76">
        <f>O199</f>
        <v>0</v>
      </c>
      <c r="AN199" s="76"/>
      <c r="AO199" s="81">
        <f>X199</f>
        <v>0</v>
      </c>
      <c r="AP199" s="81">
        <f>Z199</f>
        <v>0</v>
      </c>
      <c r="AQ199" s="81">
        <f>V199</f>
        <v>0</v>
      </c>
      <c r="AR199" s="3"/>
      <c r="AS199" s="76">
        <f t="shared" si="174"/>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x14ac:dyDescent="0.3">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x14ac:dyDescent="0.3">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x14ac:dyDescent="0.3">
      <c r="A202" s="8" t="s">
        <v>17</v>
      </c>
      <c r="B202" s="9" t="s">
        <v>152</v>
      </c>
      <c r="C202" s="7"/>
      <c r="D202" s="7"/>
      <c r="E202" s="7"/>
      <c r="F202" s="71"/>
      <c r="G202" s="51">
        <f>I202+K202</f>
        <v>12</v>
      </c>
      <c r="H202" s="52">
        <f>G202/$J$5*100</f>
        <v>52.173913043478258</v>
      </c>
      <c r="I202" s="53">
        <f>COUNTIFS('00 Encuesta'!$B$2:$B$511,"*d)*",'00 Encuesta'!$C$2:$C$511,"*a)*",'00 Encuesta'!$E$2:$E$511,"*a)*",'00 Encuesta'!$Z$2:$Z$511,"*a)*")</f>
        <v>7</v>
      </c>
      <c r="J202" s="52">
        <f>I202/$J$6*100</f>
        <v>50</v>
      </c>
      <c r="K202" s="53">
        <f>COUNTIFS('00 Encuesta'!$B$2:$B$511,"*d)*",'00 Encuesta'!$C$2:$C$511,"*a)*",'00 Encuesta'!$E$2:$E$511,"*b)*",'00 Encuesta'!$Z$2:$Z$511,"*a)*")</f>
        <v>5</v>
      </c>
      <c r="L202" s="52">
        <f>K202/$J$7*100</f>
        <v>55.555555555555557</v>
      </c>
      <c r="M202" s="23"/>
      <c r="N202" s="51">
        <f>P202+R202</f>
        <v>8</v>
      </c>
      <c r="O202" s="52">
        <f>N202/$Q$5*100</f>
        <v>40</v>
      </c>
      <c r="P202" s="53">
        <f>COUNTIFS('00 Encuesta'!$B$2:$B$511,"*d)*",'00 Encuesta'!$C$2:$C$511,"*b)*",'00 Encuesta'!$E$2:$E$511,"*a)*",'00 Encuesta'!$Z$2:$Z$511,"*a)*")</f>
        <v>4</v>
      </c>
      <c r="Q202" s="52">
        <f>P202/$Q$6*100</f>
        <v>57.142857142857139</v>
      </c>
      <c r="R202" s="53">
        <f>COUNTIFS('00 Encuesta'!$B$2:$B$511,"*d)*",'00 Encuesta'!$C$2:$C$511,"*b)*",'00 Encuesta'!$E$2:$E$511,"*b)*",'00 Encuesta'!$Z$2:$Z$511,"*a)*")</f>
        <v>4</v>
      </c>
      <c r="S202" s="52">
        <f>R202/$Q$7*100</f>
        <v>30.76923076923077</v>
      </c>
      <c r="T202" s="3"/>
      <c r="U202" s="51">
        <f>W202+Y202</f>
        <v>12</v>
      </c>
      <c r="V202" s="52">
        <f>U202/$X$5*100</f>
        <v>60</v>
      </c>
      <c r="W202" s="53">
        <f>COUNTIFS('00 Encuesta'!$B$2:$B$511,"*d)*",'00 Encuesta'!$C$2:$C$511,"*c)*",'00 Encuesta'!$E$2:$E$511,"*a)*",'00 Encuesta'!$Z$2:$Z$511,"*a)*")</f>
        <v>2</v>
      </c>
      <c r="X202" s="52">
        <f>W202/$X$6*100</f>
        <v>40</v>
      </c>
      <c r="Y202" s="53">
        <f>COUNTIFS('00 Encuesta'!$B$2:$B$511,"*d)*",'00 Encuesta'!$C$2:$C$511,"*c)*",'00 Encuesta'!$E$2:$E$511,"*b)*",'00 Encuesta'!$Z$2:$Z$511,"*a)*")</f>
        <v>10</v>
      </c>
      <c r="Z202" s="52">
        <f>Y202/$X$7*100</f>
        <v>66.666666666666657</v>
      </c>
      <c r="AA202" s="3"/>
      <c r="AB202" s="62">
        <f>G202+N202+U202</f>
        <v>32</v>
      </c>
      <c r="AC202" s="52">
        <f>AB202*100/$AC$5</f>
        <v>50.793650793650791</v>
      </c>
      <c r="AD202" s="3"/>
      <c r="AE202" s="3"/>
      <c r="AF202" s="9" t="str">
        <f t="shared" si="226"/>
        <v>a) Un grupo donde profundizo mi fe</v>
      </c>
      <c r="AG202" s="72">
        <f>J202</f>
        <v>50</v>
      </c>
      <c r="AH202" s="72">
        <f>L202</f>
        <v>55.555555555555557</v>
      </c>
      <c r="AI202" s="73">
        <f>H202</f>
        <v>52.173913043478258</v>
      </c>
      <c r="AJ202" s="73"/>
      <c r="AK202" s="76">
        <f>Q202</f>
        <v>57.142857142857139</v>
      </c>
      <c r="AL202" s="76">
        <f>S202</f>
        <v>30.76923076923077</v>
      </c>
      <c r="AM202" s="76">
        <f>O202</f>
        <v>40</v>
      </c>
      <c r="AN202" s="76"/>
      <c r="AO202" s="81">
        <f>X202</f>
        <v>40</v>
      </c>
      <c r="AP202" s="81">
        <f>Z202</f>
        <v>66.666666666666657</v>
      </c>
      <c r="AQ202" s="81">
        <f>V202</f>
        <v>60</v>
      </c>
      <c r="AR202" s="3"/>
      <c r="AS202" s="76">
        <f t="shared" si="174"/>
        <v>50.793650793650791</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3</v>
      </c>
      <c r="H203" s="52">
        <f>G203/$J$5*100</f>
        <v>13.043478260869565</v>
      </c>
      <c r="I203" s="53">
        <f>COUNTIFS('00 Encuesta'!$B$2:$B$511,"*d)*",'00 Encuesta'!$C$2:$C$511,"*a)*",'00 Encuesta'!$E$2:$E$511,"*a)*",'00 Encuesta'!$Z$2:$Z$511,"*b)*")</f>
        <v>1</v>
      </c>
      <c r="J203" s="52">
        <f>I203/$J$6*100</f>
        <v>7.1428571428571423</v>
      </c>
      <c r="K203" s="53">
        <f>COUNTIFS('00 Encuesta'!$B$2:$B$511,"*d)*",'00 Encuesta'!$C$2:$C$511,"*a)*",'00 Encuesta'!$E$2:$E$511,"*b)*",'00 Encuesta'!$Z$2:$Z$511,"*b)*")</f>
        <v>2</v>
      </c>
      <c r="L203" s="52">
        <f>K203/$J$7*100</f>
        <v>22.222222222222221</v>
      </c>
      <c r="M203" s="23"/>
      <c r="N203" s="51">
        <f>P203+R203</f>
        <v>2</v>
      </c>
      <c r="O203" s="52">
        <f>N203/$Q$5*100</f>
        <v>10</v>
      </c>
      <c r="P203" s="53">
        <f>COUNTIFS('00 Encuesta'!$B$2:$B$511,"*d)*",'00 Encuesta'!$C$2:$C$511,"*b)*",'00 Encuesta'!$E$2:$E$511,"*a)*",'00 Encuesta'!$Z$2:$Z$511,"*b)*")</f>
        <v>0</v>
      </c>
      <c r="Q203" s="52">
        <f>P203/$Q$6*100</f>
        <v>0</v>
      </c>
      <c r="R203" s="53">
        <f>COUNTIFS('00 Encuesta'!$B$2:$B$511,"*d)*",'00 Encuesta'!$C$2:$C$511,"*b)*",'00 Encuesta'!$E$2:$E$511,"*b)*",'00 Encuesta'!$Z$2:$Z$511,"*b)*")</f>
        <v>2</v>
      </c>
      <c r="S203" s="52">
        <f>R203/$Q$7*100</f>
        <v>15.384615384615385</v>
      </c>
      <c r="T203" s="3"/>
      <c r="U203" s="51">
        <f>W203+Y203</f>
        <v>0</v>
      </c>
      <c r="V203" s="52">
        <f>U203/$X$5*100</f>
        <v>0</v>
      </c>
      <c r="W203" s="53">
        <f>COUNTIFS('00 Encuesta'!$B$2:$B$511,"*d)*",'00 Encuesta'!$C$2:$C$511,"*c)*",'00 Encuesta'!$E$2:$E$511,"*a)*",'00 Encuesta'!$Z$2:$Z$511,"*b)*")</f>
        <v>0</v>
      </c>
      <c r="X203" s="52">
        <f>W203/$X$6*100</f>
        <v>0</v>
      </c>
      <c r="Y203" s="53">
        <f>COUNTIFS('00 Encuesta'!$B$2:$B$511,"*d)*",'00 Encuesta'!$C$2:$C$511,"*c)*",'00 Encuesta'!$E$2:$E$511,"*b)*",'00 Encuesta'!$Z$2:$Z$511,"*b)*")</f>
        <v>0</v>
      </c>
      <c r="Z203" s="52">
        <f>Y203/$X$7*100</f>
        <v>0</v>
      </c>
      <c r="AA203" s="3"/>
      <c r="AB203" s="62">
        <f>G203+N203+U203</f>
        <v>5</v>
      </c>
      <c r="AC203" s="52">
        <f>AB203*100/$AC$5</f>
        <v>7.9365079365079367</v>
      </c>
      <c r="AD203" s="3"/>
      <c r="AE203" s="3"/>
      <c r="AF203" s="9" t="str">
        <f t="shared" si="226"/>
        <v>b) Un lugar donde comparto con mis compañeros</v>
      </c>
      <c r="AG203" s="72">
        <f>J203</f>
        <v>7.1428571428571423</v>
      </c>
      <c r="AH203" s="72">
        <f>L203</f>
        <v>22.222222222222221</v>
      </c>
      <c r="AI203" s="73">
        <f>H203</f>
        <v>13.043478260869565</v>
      </c>
      <c r="AJ203" s="73"/>
      <c r="AK203" s="76">
        <f>Q203</f>
        <v>0</v>
      </c>
      <c r="AL203" s="76">
        <f>S203</f>
        <v>15.384615384615385</v>
      </c>
      <c r="AM203" s="76">
        <f>O203</f>
        <v>10</v>
      </c>
      <c r="AN203" s="76"/>
      <c r="AO203" s="81">
        <f>X203</f>
        <v>0</v>
      </c>
      <c r="AP203" s="81">
        <f>Z203</f>
        <v>0</v>
      </c>
      <c r="AQ203" s="81">
        <f>V203</f>
        <v>0</v>
      </c>
      <c r="AR203" s="3"/>
      <c r="AS203" s="76">
        <f t="shared" si="174"/>
        <v>7.9365079365079367</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x14ac:dyDescent="0.3">
      <c r="A204" s="8" t="s">
        <v>20</v>
      </c>
      <c r="B204" s="9" t="s">
        <v>154</v>
      </c>
      <c r="C204" s="7"/>
      <c r="D204" s="7"/>
      <c r="E204" s="7"/>
      <c r="F204" s="71"/>
      <c r="G204" s="51">
        <f>I204+K204</f>
        <v>3</v>
      </c>
      <c r="H204" s="52">
        <f>G204/$J$5*100</f>
        <v>13.043478260869565</v>
      </c>
      <c r="I204" s="53">
        <f>COUNTIFS('00 Encuesta'!$B$2:$B$511,"*d)*",'00 Encuesta'!$C$2:$C$511,"*a)*",'00 Encuesta'!$E$2:$E$511,"*a)*",'00 Encuesta'!$Z$2:$Z$511,"*c)*")</f>
        <v>2</v>
      </c>
      <c r="J204" s="52">
        <f>I204/$J$6*100</f>
        <v>14.285714285714285</v>
      </c>
      <c r="K204" s="53">
        <f>COUNTIFS('00 Encuesta'!$B$2:$B$511,"*d)*",'00 Encuesta'!$C$2:$C$511,"*a)*",'00 Encuesta'!$E$2:$E$511,"*b)*",'00 Encuesta'!$Z$2:$Z$511,"*c)*")</f>
        <v>1</v>
      </c>
      <c r="L204" s="52">
        <f>K204/$J$7*100</f>
        <v>11.111111111111111</v>
      </c>
      <c r="M204" s="23"/>
      <c r="N204" s="51">
        <f>P204+R204</f>
        <v>0</v>
      </c>
      <c r="O204" s="52">
        <f>N204/$Q$5*100</f>
        <v>0</v>
      </c>
      <c r="P204" s="53">
        <f>COUNTIFS('00 Encuesta'!$B$2:$B$511,"*d)*",'00 Encuesta'!$C$2:$C$511,"*b)*",'00 Encuesta'!$E$2:$E$511,"*a)*",'00 Encuesta'!$Z$2:$Z$511,"*c)*")</f>
        <v>0</v>
      </c>
      <c r="Q204" s="52">
        <f>P204/$Q$6*100</f>
        <v>0</v>
      </c>
      <c r="R204" s="53">
        <f>COUNTIFS('00 Encuesta'!$B$2:$B$511,"*d)*",'00 Encuesta'!$C$2:$C$511,"*b)*",'00 Encuesta'!$E$2:$E$511,"*b)*",'00 Encuesta'!$Z$2:$Z$511,"*c)*")</f>
        <v>0</v>
      </c>
      <c r="S204" s="52">
        <f>R204/$Q$7*100</f>
        <v>0</v>
      </c>
      <c r="T204" s="3"/>
      <c r="U204" s="51">
        <f>W204+Y204</f>
        <v>1</v>
      </c>
      <c r="V204" s="52">
        <f>U204/$X$5*100</f>
        <v>5</v>
      </c>
      <c r="W204" s="53">
        <f>COUNTIFS('00 Encuesta'!$B$2:$B$511,"*d)*",'00 Encuesta'!$C$2:$C$511,"*c)*",'00 Encuesta'!$E$2:$E$511,"*a)*",'00 Encuesta'!$Z$2:$Z$511,"*c)*")</f>
        <v>1</v>
      </c>
      <c r="X204" s="52">
        <f>W204/$X$6*100</f>
        <v>20</v>
      </c>
      <c r="Y204" s="53">
        <f>COUNTIFS('00 Encuesta'!$B$2:$B$511,"*d)*",'00 Encuesta'!$C$2:$C$511,"*c)*",'00 Encuesta'!$E$2:$E$511,"*b)*",'00 Encuesta'!$Z$2:$Z$511,"*c)*")</f>
        <v>0</v>
      </c>
      <c r="Z204" s="52">
        <f>Y204/$X$7*100</f>
        <v>0</v>
      </c>
      <c r="AA204" s="3"/>
      <c r="AB204" s="62">
        <f>G204+N204+U204</f>
        <v>4</v>
      </c>
      <c r="AC204" s="52">
        <f>AB204*100/$AC$5</f>
        <v>6.3492063492063489</v>
      </c>
      <c r="AD204" s="3"/>
      <c r="AE204" s="3"/>
      <c r="AF204" s="9" t="str">
        <f t="shared" si="226"/>
        <v>c) Un lugar donde me lo paso bien</v>
      </c>
      <c r="AG204" s="72">
        <f>J204</f>
        <v>14.285714285714285</v>
      </c>
      <c r="AH204" s="72">
        <f>L204</f>
        <v>11.111111111111111</v>
      </c>
      <c r="AI204" s="73">
        <f>H204</f>
        <v>13.043478260869565</v>
      </c>
      <c r="AJ204" s="73"/>
      <c r="AK204" s="76">
        <f>Q204</f>
        <v>0</v>
      </c>
      <c r="AL204" s="76">
        <f>S204</f>
        <v>0</v>
      </c>
      <c r="AM204" s="76">
        <f>O204</f>
        <v>0</v>
      </c>
      <c r="AN204" s="76"/>
      <c r="AO204" s="81">
        <f>X204</f>
        <v>20</v>
      </c>
      <c r="AP204" s="81">
        <f>Z204</f>
        <v>0</v>
      </c>
      <c r="AQ204" s="81">
        <f>V204</f>
        <v>5</v>
      </c>
      <c r="AR204" s="3"/>
      <c r="AS204" s="76">
        <f t="shared" si="174"/>
        <v>6.3492063492063489</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x14ac:dyDescent="0.3">
      <c r="A205" s="8" t="s">
        <v>21</v>
      </c>
      <c r="B205" s="9" t="s">
        <v>155</v>
      </c>
      <c r="C205" s="7"/>
      <c r="D205" s="7"/>
      <c r="E205" s="7"/>
      <c r="F205" s="71"/>
      <c r="G205" s="51">
        <f>I205+K205</f>
        <v>5</v>
      </c>
      <c r="H205" s="52">
        <f>G205/$J$5*100</f>
        <v>21.739130434782609</v>
      </c>
      <c r="I205" s="53">
        <f>COUNTIFS('00 Encuesta'!$B$2:$B$511,"*d)*",'00 Encuesta'!$C$2:$C$511,"*a)*",'00 Encuesta'!$E$2:$E$511,"*a)*",'00 Encuesta'!$Z$2:$Z$511,"*d)*")</f>
        <v>4</v>
      </c>
      <c r="J205" s="52">
        <f>I205/$J$6*100</f>
        <v>28.571428571428569</v>
      </c>
      <c r="K205" s="53">
        <f>COUNTIFS('00 Encuesta'!$B$2:$B$511,"*d)*",'00 Encuesta'!$C$2:$C$511,"*a)*",'00 Encuesta'!$E$2:$E$511,"*b)*",'00 Encuesta'!$Z$2:$Z$511,"*d)*")</f>
        <v>1</v>
      </c>
      <c r="L205" s="52">
        <f>K205/$J$7*100</f>
        <v>11.111111111111111</v>
      </c>
      <c r="M205" s="23"/>
      <c r="N205" s="51">
        <f>P205+R205</f>
        <v>10</v>
      </c>
      <c r="O205" s="52">
        <f>N205/$Q$5*100</f>
        <v>50</v>
      </c>
      <c r="P205" s="53">
        <f>COUNTIFS('00 Encuesta'!$B$2:$B$511,"*d)*",'00 Encuesta'!$C$2:$C$511,"*b)*",'00 Encuesta'!$E$2:$E$511,"*a)*",'00 Encuesta'!$Z$2:$Z$511,"*d)*")</f>
        <v>3</v>
      </c>
      <c r="Q205" s="52">
        <f>P205/$Q$6*100</f>
        <v>42.857142857142854</v>
      </c>
      <c r="R205" s="53">
        <f>COUNTIFS('00 Encuesta'!$B$2:$B$511,"*d)*",'00 Encuesta'!$C$2:$C$511,"*b)*",'00 Encuesta'!$E$2:$E$511,"*b)*",'00 Encuesta'!$Z$2:$Z$511,"*d)*")</f>
        <v>7</v>
      </c>
      <c r="S205" s="52">
        <f>R205/$Q$7*100</f>
        <v>53.846153846153847</v>
      </c>
      <c r="T205" s="3"/>
      <c r="U205" s="51">
        <f>W205+Y205</f>
        <v>7</v>
      </c>
      <c r="V205" s="52">
        <f>U205/$X$5*100</f>
        <v>35</v>
      </c>
      <c r="W205" s="53">
        <f>COUNTIFS('00 Encuesta'!$B$2:$B$511,"*d)*",'00 Encuesta'!$C$2:$C$511,"*c)*",'00 Encuesta'!$E$2:$E$511,"*a)*",'00 Encuesta'!$Z$2:$Z$511,"*d)*")</f>
        <v>2</v>
      </c>
      <c r="X205" s="52">
        <f>W205/$X$6*100</f>
        <v>40</v>
      </c>
      <c r="Y205" s="53">
        <f>COUNTIFS('00 Encuesta'!$B$2:$B$511,"*d)*",'00 Encuesta'!$C$2:$C$511,"*c)*",'00 Encuesta'!$E$2:$E$511,"*b)*",'00 Encuesta'!$Z$2:$Z$511,"*d)*")</f>
        <v>5</v>
      </c>
      <c r="Z205" s="52">
        <f>Y205/$X$7*100</f>
        <v>33.333333333333329</v>
      </c>
      <c r="AA205" s="3"/>
      <c r="AB205" s="62">
        <f>G205+N205+U205</f>
        <v>22</v>
      </c>
      <c r="AC205" s="52">
        <f>AB205*100/$AC$5</f>
        <v>34.920634920634917</v>
      </c>
      <c r="AD205" s="3"/>
      <c r="AE205" s="3"/>
      <c r="AF205" s="9" t="str">
        <f t="shared" si="226"/>
        <v>d) No pertenezco a grupos juveniles cristianos</v>
      </c>
      <c r="AG205" s="72">
        <f>J205</f>
        <v>28.571428571428569</v>
      </c>
      <c r="AH205" s="72">
        <f>L205</f>
        <v>11.111111111111111</v>
      </c>
      <c r="AI205" s="73">
        <f>H205</f>
        <v>21.739130434782609</v>
      </c>
      <c r="AJ205" s="73"/>
      <c r="AK205" s="76">
        <f>Q205</f>
        <v>42.857142857142854</v>
      </c>
      <c r="AL205" s="76">
        <f>S205</f>
        <v>53.846153846153847</v>
      </c>
      <c r="AM205" s="76">
        <f>O205</f>
        <v>50</v>
      </c>
      <c r="AN205" s="76"/>
      <c r="AO205" s="81">
        <f>X205</f>
        <v>40</v>
      </c>
      <c r="AP205" s="81">
        <f>Z205</f>
        <v>33.333333333333329</v>
      </c>
      <c r="AQ205" s="81">
        <f>V205</f>
        <v>35</v>
      </c>
      <c r="AR205" s="3"/>
      <c r="AS205" s="76">
        <f t="shared" si="174"/>
        <v>34.920634920634917</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x14ac:dyDescent="0.3">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f>N206/$Q$5*100</f>
        <v>0</v>
      </c>
      <c r="P206" s="53"/>
      <c r="Q206" s="52">
        <f>P206/$Q$6*100</f>
        <v>0</v>
      </c>
      <c r="R206" s="53"/>
      <c r="S206" s="52">
        <f>R206/$Q$7*100</f>
        <v>0</v>
      </c>
      <c r="T206" s="3"/>
      <c r="U206" s="51">
        <f>W206+Y206</f>
        <v>0</v>
      </c>
      <c r="V206" s="52">
        <f>U206/$X$5*100</f>
        <v>0</v>
      </c>
      <c r="W206" s="53"/>
      <c r="X206" s="52">
        <f>W206/$X$6*100</f>
        <v>0</v>
      </c>
      <c r="Y206" s="53"/>
      <c r="Z206" s="52">
        <f>Y206/$X$7*100</f>
        <v>0</v>
      </c>
      <c r="AA206" s="3"/>
      <c r="AB206" s="62">
        <f>G206+N206+U206</f>
        <v>0</v>
      </c>
      <c r="AC206" s="52">
        <f>AB206*100/$AC$5</f>
        <v>0</v>
      </c>
      <c r="AD206" s="3"/>
      <c r="AE206" s="3"/>
      <c r="AF206" s="9" t="str">
        <f t="shared" si="226"/>
        <v>S/R Sin Respuesta</v>
      </c>
      <c r="AG206" s="72">
        <f>J206</f>
        <v>0</v>
      </c>
      <c r="AH206" s="72">
        <f>L206</f>
        <v>0</v>
      </c>
      <c r="AI206" s="73">
        <f>H206</f>
        <v>0</v>
      </c>
      <c r="AJ206" s="73"/>
      <c r="AK206" s="76">
        <f>Q206</f>
        <v>0</v>
      </c>
      <c r="AL206" s="76">
        <f>S206</f>
        <v>0</v>
      </c>
      <c r="AM206" s="76">
        <f>O206</f>
        <v>0</v>
      </c>
      <c r="AN206" s="76"/>
      <c r="AO206" s="81">
        <f>X206</f>
        <v>0</v>
      </c>
      <c r="AP206" s="81">
        <f>Z206</f>
        <v>0</v>
      </c>
      <c r="AQ206" s="81">
        <f>V206</f>
        <v>0</v>
      </c>
      <c r="AR206" s="3"/>
      <c r="AS206" s="76">
        <f t="shared" si="174"/>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x14ac:dyDescent="0.3">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x14ac:dyDescent="0.3">
      <c r="A209" s="8" t="s">
        <v>17</v>
      </c>
      <c r="B209" s="9" t="s">
        <v>49</v>
      </c>
      <c r="C209" s="7"/>
      <c r="D209" s="7"/>
      <c r="E209" s="7"/>
      <c r="F209" s="71"/>
      <c r="G209" s="51">
        <f>I209+K209</f>
        <v>3</v>
      </c>
      <c r="H209" s="52">
        <f>G209/$J$5*100</f>
        <v>13.043478260869565</v>
      </c>
      <c r="I209" s="53">
        <f>COUNTIFS('00 Encuesta'!$B$2:$B$511,"*d)*",'00 Encuesta'!$C$2:$C$511,"*a)*",'00 Encuesta'!$E$2:$E$511,"*a)*",'00 Encuesta'!$AA$2:$AA$511,"*a)*")</f>
        <v>3</v>
      </c>
      <c r="J209" s="52">
        <f>I209/$J$6*100</f>
        <v>21.428571428571427</v>
      </c>
      <c r="K209" s="53">
        <f>COUNTIFS('00 Encuesta'!$B$2:$B$511,"*d)*",'00 Encuesta'!$C$2:$C$511,"*a)*",'00 Encuesta'!$E$2:$E$511,"*b)*",'00 Encuesta'!$AA$2:$AA$511,"*a)*")</f>
        <v>0</v>
      </c>
      <c r="L209" s="52">
        <f>K209/$J$7*100</f>
        <v>0</v>
      </c>
      <c r="M209" s="23"/>
      <c r="N209" s="51">
        <f>P209+R209</f>
        <v>5</v>
      </c>
      <c r="O209" s="52">
        <f>N209/$Q$5*100</f>
        <v>25</v>
      </c>
      <c r="P209" s="53">
        <f>COUNTIFS('00 Encuesta'!$B$2:$B$511,"*d)*",'00 Encuesta'!$C$2:$C$511,"*b)*",'00 Encuesta'!$E$2:$E$511,"*a)*",'00 Encuesta'!$AA$2:$AA$511,"*a)*")</f>
        <v>1</v>
      </c>
      <c r="Q209" s="52">
        <f>P209/$Q$6*100</f>
        <v>14.285714285714285</v>
      </c>
      <c r="R209" s="53">
        <f>COUNTIFS('00 Encuesta'!$B$2:$B$511,"*d)*",'00 Encuesta'!$C$2:$C$511,"*b)*",'00 Encuesta'!$E$2:$E$511,"*b)*",'00 Encuesta'!$AA$2:$AA$511,"*a)*")</f>
        <v>4</v>
      </c>
      <c r="S209" s="52">
        <f>R209/$Q$7*100</f>
        <v>30.76923076923077</v>
      </c>
      <c r="T209" s="3"/>
      <c r="U209" s="51">
        <f>W209+Y209</f>
        <v>2</v>
      </c>
      <c r="V209" s="52">
        <f>U209/$X$5*100</f>
        <v>10</v>
      </c>
      <c r="W209" s="53">
        <f>COUNTIFS('00 Encuesta'!$B$2:$B$511,"*d)*",'00 Encuesta'!$C$2:$C$511,"*c)*",'00 Encuesta'!$E$2:$E$511,"*a)*",'00 Encuesta'!$AA$2:$AA$511,"*a)*")</f>
        <v>0</v>
      </c>
      <c r="X209" s="52">
        <f>W209/$X$6*100</f>
        <v>0</v>
      </c>
      <c r="Y209" s="53">
        <f>COUNTIFS('00 Encuesta'!$B$2:$B$511,"*d)*",'00 Encuesta'!$C$2:$C$511,"*c)*",'00 Encuesta'!$E$2:$E$511,"*b)*",'00 Encuesta'!$AA$2:$AA$511,"*a)*")</f>
        <v>2</v>
      </c>
      <c r="Z209" s="52">
        <f>Y209/$X$7*100</f>
        <v>13.333333333333334</v>
      </c>
      <c r="AA209" s="3"/>
      <c r="AB209" s="62">
        <f>G209+N209+U209</f>
        <v>10</v>
      </c>
      <c r="AC209" s="52">
        <f>AB209*100/$AC$5</f>
        <v>15.873015873015873</v>
      </c>
      <c r="AD209" s="3"/>
      <c r="AE209" s="3"/>
      <c r="AF209" s="9" t="str">
        <f>A209&amp;" "&amp;B209</f>
        <v>a) Si</v>
      </c>
      <c r="AG209" s="72">
        <f>J209</f>
        <v>21.428571428571427</v>
      </c>
      <c r="AH209" s="72">
        <f>L209</f>
        <v>0</v>
      </c>
      <c r="AI209" s="73">
        <f>H209</f>
        <v>13.043478260869565</v>
      </c>
      <c r="AJ209" s="73"/>
      <c r="AK209" s="76">
        <f>Q209</f>
        <v>14.285714285714285</v>
      </c>
      <c r="AL209" s="76">
        <f>S209</f>
        <v>30.76923076923077</v>
      </c>
      <c r="AM209" s="76">
        <f>O209</f>
        <v>25</v>
      </c>
      <c r="AN209" s="76"/>
      <c r="AO209" s="81">
        <f>X209</f>
        <v>0</v>
      </c>
      <c r="AP209" s="81">
        <f>Z209</f>
        <v>13.333333333333334</v>
      </c>
      <c r="AQ209" s="81">
        <f>V209</f>
        <v>10</v>
      </c>
      <c r="AR209" s="3"/>
      <c r="AS209" s="76">
        <f t="shared" ref="AS209:AS270" si="227">AC209</f>
        <v>15.873015873015873</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x14ac:dyDescent="0.3">
      <c r="A210" s="8" t="s">
        <v>18</v>
      </c>
      <c r="B210" s="9" t="s">
        <v>50</v>
      </c>
      <c r="C210" s="7"/>
      <c r="D210" s="7"/>
      <c r="E210" s="7"/>
      <c r="F210" s="71"/>
      <c r="G210" s="51">
        <f>I210+K210</f>
        <v>14</v>
      </c>
      <c r="H210" s="52">
        <f>G210/$J$5*100</f>
        <v>60.869565217391312</v>
      </c>
      <c r="I210" s="53">
        <f>COUNTIFS('00 Encuesta'!$B$2:$B$511,"*d)*",'00 Encuesta'!$C$2:$C$511,"*a)*",'00 Encuesta'!$E$2:$E$511,"*a)*",'00 Encuesta'!$AA$2:$AA$511,"*b)*")</f>
        <v>6</v>
      </c>
      <c r="J210" s="52">
        <f>I210/$J$6*100</f>
        <v>42.857142857142854</v>
      </c>
      <c r="K210" s="53">
        <f>COUNTIFS('00 Encuesta'!$B$2:$B$511,"*d)*",'00 Encuesta'!$C$2:$C$511,"*a)*",'00 Encuesta'!$E$2:$E$511,"*b)*",'00 Encuesta'!$AA$2:$AA$511,"*b)*")</f>
        <v>8</v>
      </c>
      <c r="L210" s="52">
        <f>K210/$J$7*100</f>
        <v>88.888888888888886</v>
      </c>
      <c r="M210" s="23"/>
      <c r="N210" s="51">
        <f>P210+R210</f>
        <v>11</v>
      </c>
      <c r="O210" s="52">
        <f>N210/$Q$5*100</f>
        <v>55.000000000000007</v>
      </c>
      <c r="P210" s="53">
        <f>COUNTIFS('00 Encuesta'!$B$2:$B$511,"*d)*",'00 Encuesta'!$C$2:$C$511,"*b)*",'00 Encuesta'!$E$2:$E$511,"*a)*",'00 Encuesta'!$AA$2:$AA$511,"*b)*")</f>
        <v>6</v>
      </c>
      <c r="Q210" s="52">
        <f>P210/$Q$6*100</f>
        <v>85.714285714285708</v>
      </c>
      <c r="R210" s="53">
        <f>COUNTIFS('00 Encuesta'!$B$2:$B$511,"*d)*",'00 Encuesta'!$C$2:$C$511,"*b)*",'00 Encuesta'!$E$2:$E$511,"*b)*",'00 Encuesta'!$AA$2:$AA$511,"*b)*")</f>
        <v>5</v>
      </c>
      <c r="S210" s="52">
        <f>R210/$Q$7*100</f>
        <v>38.461538461538467</v>
      </c>
      <c r="T210" s="3"/>
      <c r="U210" s="51">
        <f>W210+Y210</f>
        <v>14</v>
      </c>
      <c r="V210" s="52">
        <f>U210/$X$5*100</f>
        <v>70</v>
      </c>
      <c r="W210" s="53">
        <f>COUNTIFS('00 Encuesta'!$B$2:$B$511,"*d)*",'00 Encuesta'!$C$2:$C$511,"*c)*",'00 Encuesta'!$E$2:$E$511,"*a)*",'00 Encuesta'!$AA$2:$AA$511,"*b)*")</f>
        <v>5</v>
      </c>
      <c r="X210" s="52">
        <f>W210/$X$6*100</f>
        <v>100</v>
      </c>
      <c r="Y210" s="53">
        <f>COUNTIFS('00 Encuesta'!$B$2:$B$511,"*d)*",'00 Encuesta'!$C$2:$C$511,"*c)*",'00 Encuesta'!$E$2:$E$511,"*b)*",'00 Encuesta'!$AA$2:$AA$511,"*b)*")</f>
        <v>9</v>
      </c>
      <c r="Z210" s="52">
        <f>Y210/$X$7*100</f>
        <v>60</v>
      </c>
      <c r="AA210" s="3"/>
      <c r="AB210" s="62">
        <f>G210+N210+U210</f>
        <v>39</v>
      </c>
      <c r="AC210" s="52">
        <f>AB210*100/$AC$5</f>
        <v>61.904761904761905</v>
      </c>
      <c r="AD210" s="3"/>
      <c r="AE210" s="3"/>
      <c r="AF210" s="9" t="str">
        <f>A210&amp;" "&amp;B210</f>
        <v>b) No</v>
      </c>
      <c r="AG210" s="72">
        <f>J210</f>
        <v>42.857142857142854</v>
      </c>
      <c r="AH210" s="72">
        <f>L210</f>
        <v>88.888888888888886</v>
      </c>
      <c r="AI210" s="73">
        <f>H210</f>
        <v>60.869565217391312</v>
      </c>
      <c r="AJ210" s="73"/>
      <c r="AK210" s="76">
        <f>Q210</f>
        <v>85.714285714285708</v>
      </c>
      <c r="AL210" s="76">
        <f>S210</f>
        <v>38.461538461538467</v>
      </c>
      <c r="AM210" s="76">
        <f>O210</f>
        <v>55.000000000000007</v>
      </c>
      <c r="AN210" s="76"/>
      <c r="AO210" s="81">
        <f>X210</f>
        <v>100</v>
      </c>
      <c r="AP210" s="81">
        <f>Z210</f>
        <v>60</v>
      </c>
      <c r="AQ210" s="81">
        <f>V210</f>
        <v>70</v>
      </c>
      <c r="AR210" s="3"/>
      <c r="AS210" s="76">
        <f t="shared" si="227"/>
        <v>61.904761904761905</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x14ac:dyDescent="0.3">
      <c r="A211" s="8" t="s">
        <v>20</v>
      </c>
      <c r="B211" s="9" t="s">
        <v>51</v>
      </c>
      <c r="C211" s="7"/>
      <c r="D211" s="7"/>
      <c r="E211" s="7"/>
      <c r="F211" s="71"/>
      <c r="G211" s="51">
        <f>I211+K211</f>
        <v>6</v>
      </c>
      <c r="H211" s="52">
        <f>G211/$J$5*100</f>
        <v>26.086956521739129</v>
      </c>
      <c r="I211" s="53">
        <f>COUNTIFS('00 Encuesta'!$B$2:$B$511,"*d)*",'00 Encuesta'!$C$2:$C$511,"*a)*",'00 Encuesta'!$E$2:$E$511,"*a)*",'00 Encuesta'!$AA$2:$AA$511,"*c)*")</f>
        <v>5</v>
      </c>
      <c r="J211" s="52">
        <f>I211/$J$6*100</f>
        <v>35.714285714285715</v>
      </c>
      <c r="K211" s="53">
        <f>COUNTIFS('00 Encuesta'!$B$2:$B$511,"*d)*",'00 Encuesta'!$C$2:$C$511,"*a)*",'00 Encuesta'!$E$2:$E$511,"*b)*",'00 Encuesta'!$AA$2:$AA$511,"*c)*")</f>
        <v>1</v>
      </c>
      <c r="L211" s="52">
        <f>K211/$J$7*100</f>
        <v>11.111111111111111</v>
      </c>
      <c r="M211" s="23"/>
      <c r="N211" s="51">
        <f>P211+R211</f>
        <v>4</v>
      </c>
      <c r="O211" s="52">
        <f>N211/$Q$5*100</f>
        <v>20</v>
      </c>
      <c r="P211" s="53">
        <f>COUNTIFS('00 Encuesta'!$B$2:$B$511,"*d)*",'00 Encuesta'!$C$2:$C$511,"*b)*",'00 Encuesta'!$E$2:$E$511,"*a)*",'00 Encuesta'!$AA$2:$AA$511,"*c)*")</f>
        <v>0</v>
      </c>
      <c r="Q211" s="52">
        <f>P211/$Q$6*100</f>
        <v>0</v>
      </c>
      <c r="R211" s="53">
        <f>COUNTIFS('00 Encuesta'!$B$2:$B$511,"*d)*",'00 Encuesta'!$C$2:$C$511,"*b)*",'00 Encuesta'!$E$2:$E$511,"*b)*",'00 Encuesta'!$AA$2:$AA$511,"*c)*")</f>
        <v>4</v>
      </c>
      <c r="S211" s="52">
        <f>R211/$Q$7*100</f>
        <v>30.76923076923077</v>
      </c>
      <c r="T211" s="3"/>
      <c r="U211" s="51">
        <f>W211+Y211</f>
        <v>3</v>
      </c>
      <c r="V211" s="52">
        <f>U211/$X$5*100</f>
        <v>15</v>
      </c>
      <c r="W211" s="53">
        <f>COUNTIFS('00 Encuesta'!$B$2:$B$511,"*d)*",'00 Encuesta'!$C$2:$C$511,"*c)*",'00 Encuesta'!$E$2:$E$511,"*a)*",'00 Encuesta'!$AA$2:$AA$511,"*c)*")</f>
        <v>0</v>
      </c>
      <c r="X211" s="52">
        <f>W211/$X$6*100</f>
        <v>0</v>
      </c>
      <c r="Y211" s="53">
        <f>COUNTIFS('00 Encuesta'!$B$2:$B$511,"*d)*",'00 Encuesta'!$C$2:$C$511,"*c)*",'00 Encuesta'!$E$2:$E$511,"*b)*",'00 Encuesta'!$AA$2:$AA$511,"*c)*")</f>
        <v>3</v>
      </c>
      <c r="Z211" s="52">
        <f>Y211/$X$7*100</f>
        <v>20</v>
      </c>
      <c r="AA211" s="3"/>
      <c r="AB211" s="62">
        <f>G211+N211+U211</f>
        <v>13</v>
      </c>
      <c r="AC211" s="52">
        <f>AB211*100/$AC$5</f>
        <v>20.634920634920636</v>
      </c>
      <c r="AD211" s="3"/>
      <c r="AE211" s="3"/>
      <c r="AF211" s="9" t="str">
        <f>A211&amp;" "&amp;B211</f>
        <v>c) Algo</v>
      </c>
      <c r="AG211" s="72">
        <f>J211</f>
        <v>35.714285714285715</v>
      </c>
      <c r="AH211" s="72">
        <f>L211</f>
        <v>11.111111111111111</v>
      </c>
      <c r="AI211" s="73">
        <f>H211</f>
        <v>26.086956521739129</v>
      </c>
      <c r="AJ211" s="73"/>
      <c r="AK211" s="76">
        <f>Q211</f>
        <v>0</v>
      </c>
      <c r="AL211" s="76">
        <f>S211</f>
        <v>30.76923076923077</v>
      </c>
      <c r="AM211" s="76">
        <f>O211</f>
        <v>20</v>
      </c>
      <c r="AN211" s="76"/>
      <c r="AO211" s="81">
        <f>X211</f>
        <v>0</v>
      </c>
      <c r="AP211" s="81">
        <f>Z211</f>
        <v>20</v>
      </c>
      <c r="AQ211" s="81">
        <f>V211</f>
        <v>15</v>
      </c>
      <c r="AR211" s="3"/>
      <c r="AS211" s="76">
        <f t="shared" si="227"/>
        <v>20.634920634920636</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x14ac:dyDescent="0.3">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f>N212/$Q$5*100</f>
        <v>0</v>
      </c>
      <c r="P212" s="53"/>
      <c r="Q212" s="52">
        <f>P212/$Q$6*100</f>
        <v>0</v>
      </c>
      <c r="R212" s="53"/>
      <c r="S212" s="52">
        <f>R212/$Q$7*100</f>
        <v>0</v>
      </c>
      <c r="T212" s="3"/>
      <c r="U212" s="51">
        <f>W212+Y212</f>
        <v>0</v>
      </c>
      <c r="V212" s="52">
        <f>U212/$X$5*100</f>
        <v>0</v>
      </c>
      <c r="W212" s="53"/>
      <c r="X212" s="52">
        <f>W212/$X$6*100</f>
        <v>0</v>
      </c>
      <c r="Y212" s="53"/>
      <c r="Z212" s="52">
        <f>Y212/$X$7*100</f>
        <v>0</v>
      </c>
      <c r="AA212" s="3"/>
      <c r="AB212" s="62">
        <f>G212+N212+U212</f>
        <v>0</v>
      </c>
      <c r="AC212" s="52">
        <f>AB212*100/$AC$5</f>
        <v>0</v>
      </c>
      <c r="AD212" s="3"/>
      <c r="AE212" s="3"/>
      <c r="AF212" s="9" t="str">
        <f>A212&amp;" "&amp;B212</f>
        <v>S/R Sin Respuesta</v>
      </c>
      <c r="AG212" s="72">
        <f>J212</f>
        <v>0</v>
      </c>
      <c r="AH212" s="72">
        <f>L212</f>
        <v>0</v>
      </c>
      <c r="AI212" s="73">
        <f>H212</f>
        <v>0</v>
      </c>
      <c r="AJ212" s="73"/>
      <c r="AK212" s="76">
        <f>Q212</f>
        <v>0</v>
      </c>
      <c r="AL212" s="76">
        <f>S212</f>
        <v>0</v>
      </c>
      <c r="AM212" s="76">
        <f>O212</f>
        <v>0</v>
      </c>
      <c r="AN212" s="76"/>
      <c r="AO212" s="81">
        <f>X212</f>
        <v>0</v>
      </c>
      <c r="AP212" s="81">
        <f>Z212</f>
        <v>0</v>
      </c>
      <c r="AQ212" s="81">
        <f>V212</f>
        <v>0</v>
      </c>
      <c r="AR212" s="3"/>
      <c r="AS212" s="76">
        <f t="shared" si="227"/>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x14ac:dyDescent="0.3">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x14ac:dyDescent="0.3">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x14ac:dyDescent="0.3">
      <c r="A215" s="8" t="s">
        <v>17</v>
      </c>
      <c r="B215" s="9" t="s">
        <v>49</v>
      </c>
      <c r="C215" s="7"/>
      <c r="D215" s="7"/>
      <c r="E215" s="7"/>
      <c r="F215" s="71"/>
      <c r="G215" s="51">
        <f>I215+K215</f>
        <v>1</v>
      </c>
      <c r="H215" s="52">
        <f>G215/$J$5*100</f>
        <v>4.3478260869565215</v>
      </c>
      <c r="I215" s="53">
        <f>COUNTIFS('00 Encuesta'!$B$2:$B$511,"*d)*",'00 Encuesta'!$C$2:$C$511,"*a)*",'00 Encuesta'!$E$2:$E$511,"*a)*",'00 Encuesta'!$AB$2:$AB$511,"*a)*")</f>
        <v>1</v>
      </c>
      <c r="J215" s="52">
        <f>I215/$J$6*100</f>
        <v>7.1428571428571423</v>
      </c>
      <c r="K215" s="53">
        <f>COUNTIFS('00 Encuesta'!$B$2:$B$511,"*d)*",'00 Encuesta'!$C$2:$C$511,"*a)*",'00 Encuesta'!$E$2:$E$511,"*b)*",'00 Encuesta'!$AB$2:$AB$511,"*a)*")</f>
        <v>0</v>
      </c>
      <c r="L215" s="52">
        <f>K215/$J$7*100</f>
        <v>0</v>
      </c>
      <c r="M215" s="23"/>
      <c r="N215" s="51">
        <f>P215+R215</f>
        <v>2</v>
      </c>
      <c r="O215" s="52">
        <f>N215/$Q$5*100</f>
        <v>10</v>
      </c>
      <c r="P215" s="53">
        <f>COUNTIFS('00 Encuesta'!$B$2:$B$511,"*d)*",'00 Encuesta'!$C$2:$C$511,"*b)*",'00 Encuesta'!$E$2:$E$511,"*a)*",'00 Encuesta'!$AB$2:$AB$511,"*a)*")</f>
        <v>0</v>
      </c>
      <c r="Q215" s="52">
        <f>P215/$Q$6*100</f>
        <v>0</v>
      </c>
      <c r="R215" s="53">
        <f>COUNTIFS('00 Encuesta'!$B$2:$B$511,"*d)*",'00 Encuesta'!$C$2:$C$511,"*b)*",'00 Encuesta'!$E$2:$E$511,"*b)*",'00 Encuesta'!$AB$2:$AB$511,"*a)*")</f>
        <v>2</v>
      </c>
      <c r="S215" s="52">
        <f>R215/$Q$7*100</f>
        <v>15.384615384615385</v>
      </c>
      <c r="T215" s="3"/>
      <c r="U215" s="51">
        <f>W215+Y215</f>
        <v>1</v>
      </c>
      <c r="V215" s="52">
        <f>U215/$X$5*100</f>
        <v>5</v>
      </c>
      <c r="W215" s="53">
        <f>COUNTIFS('00 Encuesta'!$B$2:$B$511,"*d)*",'00 Encuesta'!$C$2:$C$511,"*c)*",'00 Encuesta'!$E$2:$E$511,"*a)*",'00 Encuesta'!$AB$2:$AB$511,"*a)*")</f>
        <v>0</v>
      </c>
      <c r="X215" s="52">
        <f>W215/$X$6*100</f>
        <v>0</v>
      </c>
      <c r="Y215" s="53">
        <f>COUNTIFS('00 Encuesta'!$B$2:$B$511,"*d)*",'00 Encuesta'!$C$2:$C$511,"*c)*",'00 Encuesta'!$E$2:$E$511,"*b)*",'00 Encuesta'!$AB$2:$AB$511,"*a)*")</f>
        <v>1</v>
      </c>
      <c r="Z215" s="52">
        <f>Y215/$X$7*100</f>
        <v>6.666666666666667</v>
      </c>
      <c r="AA215" s="3"/>
      <c r="AB215" s="62">
        <f>G215+N215+U215</f>
        <v>4</v>
      </c>
      <c r="AC215" s="52">
        <f>AB215*100/$AC$5</f>
        <v>6.3492063492063489</v>
      </c>
      <c r="AD215" s="3"/>
      <c r="AE215" s="3"/>
      <c r="AF215" s="9" t="str">
        <f>A215&amp;" "&amp;B215</f>
        <v>a) Si</v>
      </c>
      <c r="AG215" s="72">
        <f>J215</f>
        <v>7.1428571428571423</v>
      </c>
      <c r="AH215" s="72">
        <f>L215</f>
        <v>0</v>
      </c>
      <c r="AI215" s="73">
        <f>H215</f>
        <v>4.3478260869565215</v>
      </c>
      <c r="AJ215" s="73"/>
      <c r="AK215" s="76">
        <f>Q215</f>
        <v>0</v>
      </c>
      <c r="AL215" s="76">
        <f>S215</f>
        <v>15.384615384615385</v>
      </c>
      <c r="AM215" s="76">
        <f>O215</f>
        <v>10</v>
      </c>
      <c r="AN215" s="76"/>
      <c r="AO215" s="81">
        <f>X215</f>
        <v>0</v>
      </c>
      <c r="AP215" s="81">
        <f>Z215</f>
        <v>6.666666666666667</v>
      </c>
      <c r="AQ215" s="81">
        <f>V215</f>
        <v>5</v>
      </c>
      <c r="AR215" s="3"/>
      <c r="AS215" s="76">
        <f t="shared" si="227"/>
        <v>6.3492063492063489</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x14ac:dyDescent="0.3">
      <c r="A216" s="8" t="s">
        <v>18</v>
      </c>
      <c r="B216" s="9" t="s">
        <v>50</v>
      </c>
      <c r="C216" s="7"/>
      <c r="D216" s="7"/>
      <c r="E216" s="7"/>
      <c r="F216" s="71"/>
      <c r="G216" s="51">
        <f>I216+K216</f>
        <v>19</v>
      </c>
      <c r="H216" s="52">
        <f>G216/$J$5*100</f>
        <v>82.608695652173907</v>
      </c>
      <c r="I216" s="53">
        <f>COUNTIFS('00 Encuesta'!$B$2:$B$511,"*d)*",'00 Encuesta'!$C$2:$C$511,"*a)*",'00 Encuesta'!$E$2:$E$511,"*a)*",'00 Encuesta'!$AB$2:$AB$511,"*b)*")</f>
        <v>11</v>
      </c>
      <c r="J216" s="52">
        <f>I216/$J$6*100</f>
        <v>78.571428571428569</v>
      </c>
      <c r="K216" s="53">
        <f>COUNTIFS('00 Encuesta'!$B$2:$B$511,"*d)*",'00 Encuesta'!$C$2:$C$511,"*a)*",'00 Encuesta'!$E$2:$E$511,"*b)*",'00 Encuesta'!$AB$2:$AB$511,"*b)*")</f>
        <v>8</v>
      </c>
      <c r="L216" s="52">
        <f>K216/$J$7*100</f>
        <v>88.888888888888886</v>
      </c>
      <c r="M216" s="23"/>
      <c r="N216" s="51">
        <f>P216+R216</f>
        <v>14</v>
      </c>
      <c r="O216" s="52">
        <f>N216/$Q$5*100</f>
        <v>70</v>
      </c>
      <c r="P216" s="53">
        <f>COUNTIFS('00 Encuesta'!$B$2:$B$511,"*d)*",'00 Encuesta'!$C$2:$C$511,"*b)*",'00 Encuesta'!$E$2:$E$511,"*a)*",'00 Encuesta'!$AB$2:$AB$511,"*b)*")</f>
        <v>7</v>
      </c>
      <c r="Q216" s="52">
        <f>P216/$Q$6*100</f>
        <v>100</v>
      </c>
      <c r="R216" s="53">
        <f>COUNTIFS('00 Encuesta'!$B$2:$B$511,"*d)*",'00 Encuesta'!$C$2:$C$511,"*b)*",'00 Encuesta'!$E$2:$E$511,"*b)*",'00 Encuesta'!$AB$2:$AB$511,"*b)*")</f>
        <v>7</v>
      </c>
      <c r="S216" s="52">
        <f>R216/$Q$7*100</f>
        <v>53.846153846153847</v>
      </c>
      <c r="T216" s="3"/>
      <c r="U216" s="51">
        <f>W216+Y216</f>
        <v>17</v>
      </c>
      <c r="V216" s="52">
        <f>U216/$X$5*100</f>
        <v>85</v>
      </c>
      <c r="W216" s="53">
        <f>COUNTIFS('00 Encuesta'!$B$2:$B$511,"*d)*",'00 Encuesta'!$C$2:$C$511,"*c)*",'00 Encuesta'!$E$2:$E$511,"*a)*",'00 Encuesta'!$AB$2:$AB$511,"*b)*")</f>
        <v>5</v>
      </c>
      <c r="X216" s="52">
        <f>W216/$X$6*100</f>
        <v>100</v>
      </c>
      <c r="Y216" s="53">
        <f>COUNTIFS('00 Encuesta'!$B$2:$B$511,"*d)*",'00 Encuesta'!$C$2:$C$511,"*c)*",'00 Encuesta'!$E$2:$E$511,"*b)*",'00 Encuesta'!$AB$2:$AB$511,"*b)*")</f>
        <v>12</v>
      </c>
      <c r="Z216" s="52">
        <f>Y216/$X$7*100</f>
        <v>80</v>
      </c>
      <c r="AA216" s="3"/>
      <c r="AB216" s="62">
        <f>G216+N216+U216</f>
        <v>50</v>
      </c>
      <c r="AC216" s="52">
        <f>AB216*100/$AC$5</f>
        <v>79.365079365079367</v>
      </c>
      <c r="AD216" s="3"/>
      <c r="AE216" s="3"/>
      <c r="AF216" s="9" t="str">
        <f>A216&amp;" "&amp;B216</f>
        <v>b) No</v>
      </c>
      <c r="AG216" s="72">
        <f>J216</f>
        <v>78.571428571428569</v>
      </c>
      <c r="AH216" s="72">
        <f>L216</f>
        <v>88.888888888888886</v>
      </c>
      <c r="AI216" s="73">
        <f>H216</f>
        <v>82.608695652173907</v>
      </c>
      <c r="AJ216" s="73"/>
      <c r="AK216" s="76">
        <f>Q216</f>
        <v>100</v>
      </c>
      <c r="AL216" s="76">
        <f>S216</f>
        <v>53.846153846153847</v>
      </c>
      <c r="AM216" s="76">
        <f>O216</f>
        <v>70</v>
      </c>
      <c r="AN216" s="76"/>
      <c r="AO216" s="81">
        <f>X216</f>
        <v>100</v>
      </c>
      <c r="AP216" s="81">
        <f>Z216</f>
        <v>80</v>
      </c>
      <c r="AQ216" s="81">
        <f>V216</f>
        <v>85</v>
      </c>
      <c r="AR216" s="3"/>
      <c r="AS216" s="76">
        <f t="shared" si="227"/>
        <v>79.365079365079367</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x14ac:dyDescent="0.3">
      <c r="A217" s="8" t="s">
        <v>20</v>
      </c>
      <c r="B217" s="9" t="s">
        <v>51</v>
      </c>
      <c r="C217" s="7"/>
      <c r="D217" s="7"/>
      <c r="E217" s="7"/>
      <c r="F217" s="71"/>
      <c r="G217" s="51">
        <f>I217+K217</f>
        <v>2</v>
      </c>
      <c r="H217" s="52">
        <f>G217/$J$5*100</f>
        <v>8.695652173913043</v>
      </c>
      <c r="I217" s="53">
        <f>COUNTIFS('00 Encuesta'!$B$2:$B$511,"*d)*",'00 Encuesta'!$C$2:$C$511,"*a)*",'00 Encuesta'!$E$2:$E$511,"*a)*",'00 Encuesta'!$AB$2:$AB$511,"*c)*")</f>
        <v>2</v>
      </c>
      <c r="J217" s="52">
        <f>I217/$J$6*100</f>
        <v>14.285714285714285</v>
      </c>
      <c r="K217" s="53">
        <f>COUNTIFS('00 Encuesta'!$B$2:$B$511,"*d)*",'00 Encuesta'!$C$2:$C$511,"*a)*",'00 Encuesta'!$E$2:$E$511,"*b)*",'00 Encuesta'!$AB$2:$AB$511,"*c)*")</f>
        <v>0</v>
      </c>
      <c r="L217" s="52">
        <f>K217/$J$7*100</f>
        <v>0</v>
      </c>
      <c r="M217" s="23"/>
      <c r="N217" s="51">
        <f>P217+R217</f>
        <v>4</v>
      </c>
      <c r="O217" s="52">
        <f>N217/$Q$5*100</f>
        <v>20</v>
      </c>
      <c r="P217" s="53">
        <f>COUNTIFS('00 Encuesta'!$B$2:$B$511,"*d)*",'00 Encuesta'!$C$2:$C$511,"*b)*",'00 Encuesta'!$E$2:$E$511,"*a)*",'00 Encuesta'!$AB$2:$AB$511,"*c)*")</f>
        <v>0</v>
      </c>
      <c r="Q217" s="52">
        <f>P217/$Q$6*100</f>
        <v>0</v>
      </c>
      <c r="R217" s="53">
        <f>COUNTIFS('00 Encuesta'!$B$2:$B$511,"*d)*",'00 Encuesta'!$C$2:$C$511,"*b)*",'00 Encuesta'!$E$2:$E$511,"*b)*",'00 Encuesta'!$AB$2:$AB$511,"*c)*")</f>
        <v>4</v>
      </c>
      <c r="S217" s="52">
        <f>R217/$Q$7*100</f>
        <v>30.76923076923077</v>
      </c>
      <c r="T217" s="3"/>
      <c r="U217" s="51">
        <f>W217+Y217</f>
        <v>2</v>
      </c>
      <c r="V217" s="52">
        <f>U217/$X$5*100</f>
        <v>10</v>
      </c>
      <c r="W217" s="53">
        <f>COUNTIFS('00 Encuesta'!$B$2:$B$511,"*d)*",'00 Encuesta'!$C$2:$C$511,"*c)*",'00 Encuesta'!$E$2:$E$511,"*a)*",'00 Encuesta'!$AB$2:$AB$511,"*c)*")</f>
        <v>0</v>
      </c>
      <c r="X217" s="52">
        <f>W217/$X$6*100</f>
        <v>0</v>
      </c>
      <c r="Y217" s="53">
        <f>COUNTIFS('00 Encuesta'!$B$2:$B$511,"*d)*",'00 Encuesta'!$C$2:$C$511,"*c)*",'00 Encuesta'!$E$2:$E$511,"*b)*",'00 Encuesta'!$AB$2:$AB$511,"*c)*")</f>
        <v>2</v>
      </c>
      <c r="Z217" s="52">
        <f>Y217/$X$7*100</f>
        <v>13.333333333333334</v>
      </c>
      <c r="AA217" s="3"/>
      <c r="AB217" s="62">
        <f>G217+N217+U217</f>
        <v>8</v>
      </c>
      <c r="AC217" s="52">
        <f>AB217*100/$AC$5</f>
        <v>12.698412698412698</v>
      </c>
      <c r="AD217" s="3"/>
      <c r="AE217" s="3"/>
      <c r="AF217" s="9" t="str">
        <f>A217&amp;" "&amp;B217</f>
        <v>c) Algo</v>
      </c>
      <c r="AG217" s="72">
        <f>J217</f>
        <v>14.285714285714285</v>
      </c>
      <c r="AH217" s="72">
        <f>L217</f>
        <v>0</v>
      </c>
      <c r="AI217" s="73">
        <f>H217</f>
        <v>8.695652173913043</v>
      </c>
      <c r="AJ217" s="73"/>
      <c r="AK217" s="76">
        <f>Q217</f>
        <v>0</v>
      </c>
      <c r="AL217" s="76">
        <f>S217</f>
        <v>30.76923076923077</v>
      </c>
      <c r="AM217" s="76">
        <f>O217</f>
        <v>20</v>
      </c>
      <c r="AN217" s="76"/>
      <c r="AO217" s="81">
        <f>X217</f>
        <v>0</v>
      </c>
      <c r="AP217" s="81">
        <f>Z217</f>
        <v>13.333333333333334</v>
      </c>
      <c r="AQ217" s="81">
        <f>V217</f>
        <v>10</v>
      </c>
      <c r="AR217" s="3"/>
      <c r="AS217" s="76">
        <f t="shared" si="227"/>
        <v>12.698412698412698</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x14ac:dyDescent="0.3">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f>N218/$Q$5*100</f>
        <v>0</v>
      </c>
      <c r="P218" s="53"/>
      <c r="Q218" s="52">
        <f>P218/$Q$6*100</f>
        <v>0</v>
      </c>
      <c r="R218" s="53"/>
      <c r="S218" s="52">
        <f>R218/$Q$7*100</f>
        <v>0</v>
      </c>
      <c r="T218" s="3"/>
      <c r="U218" s="51">
        <f>W218+Y218</f>
        <v>0</v>
      </c>
      <c r="V218" s="52">
        <f>U218/$X$5*100</f>
        <v>0</v>
      </c>
      <c r="W218" s="53"/>
      <c r="X218" s="52">
        <f>W218/$X$6*100</f>
        <v>0</v>
      </c>
      <c r="Y218" s="53"/>
      <c r="Z218" s="52">
        <f>Y218/$X$7*100</f>
        <v>0</v>
      </c>
      <c r="AA218" s="3"/>
      <c r="AB218" s="62">
        <f>G218+N218+U218</f>
        <v>0</v>
      </c>
      <c r="AC218" s="52">
        <f>AB218*100/$AC$5</f>
        <v>0</v>
      </c>
      <c r="AD218" s="3"/>
      <c r="AE218" s="3"/>
      <c r="AF218" s="9" t="str">
        <f>A218&amp;" "&amp;B218</f>
        <v>S/R Sin respuesta</v>
      </c>
      <c r="AG218" s="72">
        <f>J218</f>
        <v>0</v>
      </c>
      <c r="AH218" s="72">
        <f>L218</f>
        <v>0</v>
      </c>
      <c r="AI218" s="73">
        <f>H218</f>
        <v>0</v>
      </c>
      <c r="AJ218" s="73"/>
      <c r="AK218" s="76">
        <f>Q218</f>
        <v>0</v>
      </c>
      <c r="AL218" s="76">
        <f>S218</f>
        <v>0</v>
      </c>
      <c r="AM218" s="76">
        <f>O218</f>
        <v>0</v>
      </c>
      <c r="AN218" s="76"/>
      <c r="AO218" s="81">
        <f>X218</f>
        <v>0</v>
      </c>
      <c r="AP218" s="81">
        <f>Z218</f>
        <v>0</v>
      </c>
      <c r="AQ218" s="81">
        <f>V218</f>
        <v>0</v>
      </c>
      <c r="AR218" s="3"/>
      <c r="AS218" s="76">
        <f t="shared" si="227"/>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x14ac:dyDescent="0.3">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x14ac:dyDescent="0.3">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x14ac:dyDescent="0.3">
      <c r="A222" s="8" t="s">
        <v>17</v>
      </c>
      <c r="B222" s="9" t="s">
        <v>160</v>
      </c>
      <c r="C222" s="7"/>
      <c r="D222" s="7"/>
      <c r="E222" s="7"/>
      <c r="F222" s="71"/>
      <c r="G222" s="51">
        <f t="shared" ref="G222:G232" si="228">I222+K222</f>
        <v>5</v>
      </c>
      <c r="H222" s="52">
        <f t="shared" ref="H222:H232" si="229">G222/$J$5*100</f>
        <v>21.739130434782609</v>
      </c>
      <c r="I222" s="53">
        <f>COUNTIFS('00 Encuesta'!$B$2:$B$511,"*d)*",'00 Encuesta'!$C$2:$C$511,"*a)*",'00 Encuesta'!$E$2:$E$511,"*a)*",'00 Encuesta'!$AC$2:$AC$511,"*a)*")</f>
        <v>1</v>
      </c>
      <c r="J222" s="52">
        <f t="shared" ref="J222:J232" si="230">I222/$J$6*100</f>
        <v>7.1428571428571423</v>
      </c>
      <c r="K222" s="53">
        <f>COUNTIFS('00 Encuesta'!$B$2:$B$511,"*d)*",'00 Encuesta'!$C$2:$C$511,"*a)*",'00 Encuesta'!$E$2:$E$511,"*b)*",'00 Encuesta'!$AC$2:$AC$511,"*a)*")</f>
        <v>4</v>
      </c>
      <c r="L222" s="52">
        <f t="shared" ref="L222:L232" si="231">K222/$J$7*100</f>
        <v>44.444444444444443</v>
      </c>
      <c r="M222" s="23"/>
      <c r="N222" s="51">
        <f t="shared" ref="N222:N232" si="232">P222+R222</f>
        <v>12</v>
      </c>
      <c r="O222" s="52">
        <f t="shared" ref="O222:O232" si="233">N222/$Q$5*100</f>
        <v>60</v>
      </c>
      <c r="P222" s="53">
        <f>COUNTIFS('00 Encuesta'!$B$2:$B$511,"*d)*",'00 Encuesta'!$C$2:$C$511,"*b)*",'00 Encuesta'!$E$2:$E$511,"*a)*",'00 Encuesta'!$AC$2:$AC$511,"*a)*")</f>
        <v>2</v>
      </c>
      <c r="Q222" s="52">
        <f t="shared" ref="Q222:Q232" si="234">P222/$Q$6*100</f>
        <v>28.571428571428569</v>
      </c>
      <c r="R222" s="53">
        <f>COUNTIFS('00 Encuesta'!$B$2:$B$511,"*d)*",'00 Encuesta'!$C$2:$C$511,"*b)*",'00 Encuesta'!$E$2:$E$511,"*b)*",'00 Encuesta'!$AC$2:$AC$511,"*a)*")</f>
        <v>10</v>
      </c>
      <c r="S222" s="52">
        <f t="shared" ref="S222:S232" si="235">R222/$Q$7*100</f>
        <v>76.923076923076934</v>
      </c>
      <c r="T222" s="3"/>
      <c r="U222" s="51">
        <f t="shared" ref="U222:U232" si="236">W222+Y222</f>
        <v>14</v>
      </c>
      <c r="V222" s="52">
        <f t="shared" ref="V222:V232" si="237">U222/$X$5*100</f>
        <v>70</v>
      </c>
      <c r="W222" s="53">
        <f>COUNTIFS('00 Encuesta'!$B$2:$B$511,"*d)*",'00 Encuesta'!$C$2:$C$511,"*c)*",'00 Encuesta'!$E$2:$E$511,"*a)*",'00 Encuesta'!$AC$2:$AC$511,"*a)*")</f>
        <v>2</v>
      </c>
      <c r="X222" s="52">
        <f t="shared" ref="X222:X232" si="238">W222/$X$6*100</f>
        <v>40</v>
      </c>
      <c r="Y222" s="53">
        <f>COUNTIFS('00 Encuesta'!$B$2:$B$511,"*d)*",'00 Encuesta'!$C$2:$C$511,"*c)*",'00 Encuesta'!$E$2:$E$511,"*b)*",'00 Encuesta'!$AC$2:$AC$511,"*a)*")</f>
        <v>12</v>
      </c>
      <c r="Z222" s="52">
        <f t="shared" ref="Z222:Z232" si="239">Y222/$X$7*100</f>
        <v>80</v>
      </c>
      <c r="AA222" s="3"/>
      <c r="AB222" s="62">
        <f t="shared" ref="AB222:AB232" si="240">G222+N222+U222</f>
        <v>31</v>
      </c>
      <c r="AC222" s="52">
        <f t="shared" ref="AC222:AC232" si="241">AB222*100/$AC$5</f>
        <v>49.206349206349209</v>
      </c>
      <c r="AD222" s="3"/>
      <c r="AE222" s="3"/>
      <c r="AF222" s="9" t="str">
        <f t="shared" ref="AF222:AF232" si="242">A222&amp;" "&amp;B222</f>
        <v>a) Medicina</v>
      </c>
      <c r="AG222" s="72">
        <f t="shared" ref="AG222:AG232" si="243">J222</f>
        <v>7.1428571428571423</v>
      </c>
      <c r="AH222" s="72">
        <f t="shared" ref="AH222:AH232" si="244">L222</f>
        <v>44.444444444444443</v>
      </c>
      <c r="AI222" s="73">
        <f t="shared" ref="AI222:AI232" si="245">H222</f>
        <v>21.739130434782609</v>
      </c>
      <c r="AJ222" s="73"/>
      <c r="AK222" s="76">
        <f t="shared" ref="AK222:AK232" si="246">Q222</f>
        <v>28.571428571428569</v>
      </c>
      <c r="AL222" s="76">
        <f t="shared" ref="AL222:AL232" si="247">S222</f>
        <v>76.923076923076934</v>
      </c>
      <c r="AM222" s="76">
        <f t="shared" ref="AM222:AM232" si="248">O222</f>
        <v>60</v>
      </c>
      <c r="AN222" s="76"/>
      <c r="AO222" s="81">
        <f t="shared" ref="AO222:AO232" si="249">X222</f>
        <v>40</v>
      </c>
      <c r="AP222" s="81">
        <f t="shared" ref="AP222:AP232" si="250">Z222</f>
        <v>80</v>
      </c>
      <c r="AQ222" s="81">
        <f t="shared" ref="AQ222:AQ232" si="251">V222</f>
        <v>70</v>
      </c>
      <c r="AR222" s="3"/>
      <c r="AS222" s="76">
        <f t="shared" si="227"/>
        <v>49.206349206349209</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x14ac:dyDescent="0.3">
      <c r="A223" s="8" t="s">
        <v>18</v>
      </c>
      <c r="B223" s="9" t="s">
        <v>161</v>
      </c>
      <c r="C223" s="7"/>
      <c r="D223" s="7"/>
      <c r="E223" s="7"/>
      <c r="F223" s="71"/>
      <c r="G223" s="51">
        <f t="shared" si="228"/>
        <v>1</v>
      </c>
      <c r="H223" s="52">
        <f t="shared" si="229"/>
        <v>4.3478260869565215</v>
      </c>
      <c r="I223" s="53">
        <f>COUNTIFS('00 Encuesta'!$B$2:$B$511,"*d)*",'00 Encuesta'!$C$2:$C$511,"*a)*",'00 Encuesta'!$E$2:$E$511,"*a)*",'00 Encuesta'!$AC$2:$AC$511,"*b)*")</f>
        <v>1</v>
      </c>
      <c r="J223" s="52">
        <f t="shared" si="230"/>
        <v>7.1428571428571423</v>
      </c>
      <c r="K223" s="53">
        <f>COUNTIFS('00 Encuesta'!$B$2:$B$511,"*d)*",'00 Encuesta'!$C$2:$C$511,"*a)*",'00 Encuesta'!$E$2:$E$511,"*b)*",'00 Encuesta'!$AC$2:$AC$511,"*b)*")</f>
        <v>0</v>
      </c>
      <c r="L223" s="52">
        <f t="shared" si="231"/>
        <v>0</v>
      </c>
      <c r="M223" s="23"/>
      <c r="N223" s="51">
        <f t="shared" si="232"/>
        <v>1</v>
      </c>
      <c r="O223" s="52">
        <f t="shared" si="233"/>
        <v>5</v>
      </c>
      <c r="P223" s="53">
        <f>COUNTIFS('00 Encuesta'!$B$2:$B$511,"*d)*",'00 Encuesta'!$C$2:$C$511,"*b)*",'00 Encuesta'!$E$2:$E$511,"*a)*",'00 Encuesta'!$AC$2:$AC$511,"*b)*")</f>
        <v>0</v>
      </c>
      <c r="Q223" s="52">
        <f t="shared" si="234"/>
        <v>0</v>
      </c>
      <c r="R223" s="53">
        <f>COUNTIFS('00 Encuesta'!$B$2:$B$511,"*d)*",'00 Encuesta'!$C$2:$C$511,"*b)*",'00 Encuesta'!$E$2:$E$511,"*b)*",'00 Encuesta'!$AC$2:$AC$511,"*b)*")</f>
        <v>1</v>
      </c>
      <c r="S223" s="52">
        <f t="shared" si="235"/>
        <v>7.6923076923076925</v>
      </c>
      <c r="T223" s="3"/>
      <c r="U223" s="51">
        <f t="shared" si="236"/>
        <v>1</v>
      </c>
      <c r="V223" s="52">
        <f t="shared" si="237"/>
        <v>5</v>
      </c>
      <c r="W223" s="53">
        <f>COUNTIFS('00 Encuesta'!$B$2:$B$511,"*d)*",'00 Encuesta'!$C$2:$C$511,"*c)*",'00 Encuesta'!$E$2:$E$511,"*a)*",'00 Encuesta'!$AC$2:$AC$511,"*b)*")</f>
        <v>1</v>
      </c>
      <c r="X223" s="52">
        <f t="shared" si="238"/>
        <v>20</v>
      </c>
      <c r="Y223" s="53">
        <f>COUNTIFS('00 Encuesta'!$B$2:$B$511,"*d)*",'00 Encuesta'!$C$2:$C$511,"*c)*",'00 Encuesta'!$E$2:$E$511,"*b)*",'00 Encuesta'!$AC$2:$AC$511,"*b)*")</f>
        <v>0</v>
      </c>
      <c r="Z223" s="52">
        <f t="shared" si="239"/>
        <v>0</v>
      </c>
      <c r="AA223" s="3"/>
      <c r="AB223" s="62">
        <f t="shared" si="240"/>
        <v>3</v>
      </c>
      <c r="AC223" s="52">
        <f t="shared" si="241"/>
        <v>4.7619047619047619</v>
      </c>
      <c r="AD223" s="3"/>
      <c r="AE223" s="3"/>
      <c r="AF223" s="9" t="str">
        <f t="shared" si="242"/>
        <v>b) Docencia</v>
      </c>
      <c r="AG223" s="72">
        <f t="shared" si="243"/>
        <v>7.1428571428571423</v>
      </c>
      <c r="AH223" s="72">
        <f t="shared" si="244"/>
        <v>0</v>
      </c>
      <c r="AI223" s="73">
        <f t="shared" si="245"/>
        <v>4.3478260869565215</v>
      </c>
      <c r="AJ223" s="73"/>
      <c r="AK223" s="76">
        <f t="shared" si="246"/>
        <v>0</v>
      </c>
      <c r="AL223" s="76">
        <f t="shared" si="247"/>
        <v>7.6923076923076925</v>
      </c>
      <c r="AM223" s="76">
        <f t="shared" si="248"/>
        <v>5</v>
      </c>
      <c r="AN223" s="76"/>
      <c r="AO223" s="81">
        <f t="shared" si="249"/>
        <v>20</v>
      </c>
      <c r="AP223" s="81">
        <f t="shared" si="250"/>
        <v>0</v>
      </c>
      <c r="AQ223" s="81">
        <f t="shared" si="251"/>
        <v>5</v>
      </c>
      <c r="AR223" s="3"/>
      <c r="AS223" s="76">
        <f t="shared" si="227"/>
        <v>4.7619047619047619</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x14ac:dyDescent="0.3">
      <c r="A224" s="8" t="s">
        <v>20</v>
      </c>
      <c r="B224" s="9" t="s">
        <v>162</v>
      </c>
      <c r="C224" s="7"/>
      <c r="D224" s="7"/>
      <c r="E224" s="7"/>
      <c r="F224" s="71"/>
      <c r="G224" s="51">
        <f t="shared" si="228"/>
        <v>3</v>
      </c>
      <c r="H224" s="52">
        <f t="shared" si="229"/>
        <v>13.043478260869565</v>
      </c>
      <c r="I224" s="53">
        <f>COUNTIFS('00 Encuesta'!$B$2:$B$511,"*d)*",'00 Encuesta'!$C$2:$C$511,"*a)*",'00 Encuesta'!$E$2:$E$511,"*a)*",'00 Encuesta'!$AC$2:$AC$511,"*c)*")</f>
        <v>2</v>
      </c>
      <c r="J224" s="52">
        <f t="shared" si="230"/>
        <v>14.285714285714285</v>
      </c>
      <c r="K224" s="53">
        <f>COUNTIFS('00 Encuesta'!$B$2:$B$511,"*d)*",'00 Encuesta'!$C$2:$C$511,"*a)*",'00 Encuesta'!$E$2:$E$511,"*b)*",'00 Encuesta'!$AC$2:$AC$511,"*c)*")</f>
        <v>1</v>
      </c>
      <c r="L224" s="52">
        <f t="shared" si="231"/>
        <v>11.111111111111111</v>
      </c>
      <c r="M224" s="23"/>
      <c r="N224" s="51">
        <f t="shared" si="232"/>
        <v>1</v>
      </c>
      <c r="O224" s="52">
        <f t="shared" si="233"/>
        <v>5</v>
      </c>
      <c r="P224" s="53">
        <f>COUNTIFS('00 Encuesta'!$B$2:$B$511,"*d)*",'00 Encuesta'!$C$2:$C$511,"*b)*",'00 Encuesta'!$E$2:$E$511,"*a)*",'00 Encuesta'!$AC$2:$AC$511,"*c)*")</f>
        <v>0</v>
      </c>
      <c r="Q224" s="52">
        <f t="shared" si="234"/>
        <v>0</v>
      </c>
      <c r="R224" s="53">
        <f>COUNTIFS('00 Encuesta'!$B$2:$B$511,"*d)*",'00 Encuesta'!$C$2:$C$511,"*b)*",'00 Encuesta'!$E$2:$E$511,"*b)*",'00 Encuesta'!$AC$2:$AC$511,"*c)*")</f>
        <v>1</v>
      </c>
      <c r="S224" s="52">
        <f t="shared" si="235"/>
        <v>7.6923076923076925</v>
      </c>
      <c r="T224" s="3"/>
      <c r="U224" s="51">
        <f t="shared" si="236"/>
        <v>5</v>
      </c>
      <c r="V224" s="52">
        <f t="shared" si="237"/>
        <v>25</v>
      </c>
      <c r="W224" s="53">
        <f>COUNTIFS('00 Encuesta'!$B$2:$B$511,"*d)*",'00 Encuesta'!$C$2:$C$511,"*c)*",'00 Encuesta'!$E$2:$E$511,"*a)*",'00 Encuesta'!$AC$2:$AC$511,"*c)*")</f>
        <v>0</v>
      </c>
      <c r="X224" s="52">
        <f t="shared" si="238"/>
        <v>0</v>
      </c>
      <c r="Y224" s="53">
        <f>COUNTIFS('00 Encuesta'!$B$2:$B$511,"*d)*",'00 Encuesta'!$C$2:$C$511,"*c)*",'00 Encuesta'!$E$2:$E$511,"*b)*",'00 Encuesta'!$AC$2:$AC$511,"*c)*")</f>
        <v>5</v>
      </c>
      <c r="Z224" s="52">
        <f t="shared" si="239"/>
        <v>33.333333333333329</v>
      </c>
      <c r="AA224" s="3"/>
      <c r="AB224" s="62">
        <f t="shared" si="240"/>
        <v>9</v>
      </c>
      <c r="AC224" s="52">
        <f t="shared" si="241"/>
        <v>14.285714285714286</v>
      </c>
      <c r="AD224" s="3"/>
      <c r="AE224" s="3"/>
      <c r="AF224" s="9" t="str">
        <f t="shared" si="242"/>
        <v>c) Sacerdocio o hermana religiosa</v>
      </c>
      <c r="AG224" s="72">
        <f t="shared" si="243"/>
        <v>14.285714285714285</v>
      </c>
      <c r="AH224" s="72">
        <f t="shared" si="244"/>
        <v>11.111111111111111</v>
      </c>
      <c r="AI224" s="73">
        <f t="shared" si="245"/>
        <v>13.043478260869565</v>
      </c>
      <c r="AJ224" s="73"/>
      <c r="AK224" s="76">
        <f t="shared" si="246"/>
        <v>0</v>
      </c>
      <c r="AL224" s="76">
        <f t="shared" si="247"/>
        <v>7.6923076923076925</v>
      </c>
      <c r="AM224" s="76">
        <f t="shared" si="248"/>
        <v>5</v>
      </c>
      <c r="AN224" s="76"/>
      <c r="AO224" s="81">
        <f t="shared" si="249"/>
        <v>0</v>
      </c>
      <c r="AP224" s="81">
        <f t="shared" si="250"/>
        <v>33.333333333333329</v>
      </c>
      <c r="AQ224" s="81">
        <f t="shared" si="251"/>
        <v>25</v>
      </c>
      <c r="AR224" s="3"/>
      <c r="AS224" s="76">
        <f t="shared" si="227"/>
        <v>14.285714285714286</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10</v>
      </c>
      <c r="H225" s="52">
        <f t="shared" si="229"/>
        <v>43.478260869565219</v>
      </c>
      <c r="I225" s="53">
        <f>COUNTIFS('00 Encuesta'!$B$2:$B$511,"*d)*",'00 Encuesta'!$C$2:$C$511,"*a)*",'00 Encuesta'!$E$2:$E$511,"*a)*",'00 Encuesta'!$AC$2:$AC$511,"*d)*")</f>
        <v>6</v>
      </c>
      <c r="J225" s="52">
        <f t="shared" si="230"/>
        <v>42.857142857142854</v>
      </c>
      <c r="K225" s="53">
        <f>COUNTIFS('00 Encuesta'!$B$2:$B$511,"*d)*",'00 Encuesta'!$C$2:$C$511,"*a)*",'00 Encuesta'!$E$2:$E$511,"*b)*",'00 Encuesta'!$AC$2:$AC$511,"*d)*")</f>
        <v>4</v>
      </c>
      <c r="L225" s="52">
        <f t="shared" si="231"/>
        <v>44.444444444444443</v>
      </c>
      <c r="M225" s="23"/>
      <c r="N225" s="51">
        <f t="shared" si="232"/>
        <v>8</v>
      </c>
      <c r="O225" s="52">
        <f t="shared" si="233"/>
        <v>40</v>
      </c>
      <c r="P225" s="53">
        <f>COUNTIFS('00 Encuesta'!$B$2:$B$511,"*d)*",'00 Encuesta'!$C$2:$C$511,"*b)*",'00 Encuesta'!$E$2:$E$511,"*a)*",'00 Encuesta'!$AC$2:$AC$511,"*d)*")</f>
        <v>5</v>
      </c>
      <c r="Q225" s="52">
        <f t="shared" si="234"/>
        <v>71.428571428571431</v>
      </c>
      <c r="R225" s="53">
        <f>COUNTIFS('00 Encuesta'!$B$2:$B$511,"*d)*",'00 Encuesta'!$C$2:$C$511,"*b)*",'00 Encuesta'!$E$2:$E$511,"*b)*",'00 Encuesta'!$AC$2:$AC$511,"*d)*")</f>
        <v>3</v>
      </c>
      <c r="S225" s="52">
        <f t="shared" si="235"/>
        <v>23.076923076923077</v>
      </c>
      <c r="T225" s="3"/>
      <c r="U225" s="51">
        <f t="shared" si="236"/>
        <v>3</v>
      </c>
      <c r="V225" s="52">
        <f t="shared" si="237"/>
        <v>15</v>
      </c>
      <c r="W225" s="53">
        <f>COUNTIFS('00 Encuesta'!$B$2:$B$511,"*d)*",'00 Encuesta'!$C$2:$C$511,"*c)*",'00 Encuesta'!$E$2:$E$511,"*a)*",'00 Encuesta'!$AC$2:$AC$511,"*d)*")</f>
        <v>2</v>
      </c>
      <c r="X225" s="52">
        <f t="shared" si="238"/>
        <v>40</v>
      </c>
      <c r="Y225" s="53">
        <f>COUNTIFS('00 Encuesta'!$B$2:$B$511,"*d)*",'00 Encuesta'!$C$2:$C$511,"*c)*",'00 Encuesta'!$E$2:$E$511,"*b)*",'00 Encuesta'!$AC$2:$AC$511,"*d)*")</f>
        <v>1</v>
      </c>
      <c r="Z225" s="52">
        <f t="shared" si="239"/>
        <v>6.666666666666667</v>
      </c>
      <c r="AA225" s="3"/>
      <c r="AB225" s="62">
        <f t="shared" si="240"/>
        <v>21</v>
      </c>
      <c r="AC225" s="52">
        <f t="shared" si="241"/>
        <v>33.333333333333336</v>
      </c>
      <c r="AD225" s="3"/>
      <c r="AE225" s="3"/>
      <c r="AF225" s="9" t="str">
        <f t="shared" si="242"/>
        <v>d) Ingeniería</v>
      </c>
      <c r="AG225" s="72">
        <f t="shared" si="243"/>
        <v>42.857142857142854</v>
      </c>
      <c r="AH225" s="72">
        <f t="shared" si="244"/>
        <v>44.444444444444443</v>
      </c>
      <c r="AI225" s="73">
        <f t="shared" si="245"/>
        <v>43.478260869565219</v>
      </c>
      <c r="AJ225" s="73"/>
      <c r="AK225" s="76">
        <f t="shared" si="246"/>
        <v>71.428571428571431</v>
      </c>
      <c r="AL225" s="76">
        <f t="shared" si="247"/>
        <v>23.076923076923077</v>
      </c>
      <c r="AM225" s="76">
        <f t="shared" si="248"/>
        <v>40</v>
      </c>
      <c r="AN225" s="76"/>
      <c r="AO225" s="81">
        <f t="shared" si="249"/>
        <v>40</v>
      </c>
      <c r="AP225" s="81">
        <f t="shared" si="250"/>
        <v>6.666666666666667</v>
      </c>
      <c r="AQ225" s="81">
        <f t="shared" si="251"/>
        <v>15</v>
      </c>
      <c r="AR225" s="3"/>
      <c r="AS225" s="76">
        <f t="shared" si="227"/>
        <v>33.333333333333336</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x14ac:dyDescent="0.3">
      <c r="A226" s="8" t="s">
        <v>22</v>
      </c>
      <c r="B226" s="9" t="s">
        <v>164</v>
      </c>
      <c r="C226" s="7"/>
      <c r="D226" s="7"/>
      <c r="E226" s="7"/>
      <c r="F226" s="71"/>
      <c r="G226" s="51">
        <f t="shared" si="228"/>
        <v>7</v>
      </c>
      <c r="H226" s="52">
        <f t="shared" si="229"/>
        <v>30.434782608695656</v>
      </c>
      <c r="I226" s="53">
        <f>COUNTIFS('00 Encuesta'!$B$2:$B$511,"*d)*",'00 Encuesta'!$C$2:$C$511,"*a)*",'00 Encuesta'!$E$2:$E$511,"*a)*",'00 Encuesta'!$AC$2:$AC$511,"*e)*")</f>
        <v>5</v>
      </c>
      <c r="J226" s="52">
        <f t="shared" si="230"/>
        <v>35.714285714285715</v>
      </c>
      <c r="K226" s="53">
        <f>COUNTIFS('00 Encuesta'!$B$2:$B$511,"*d)*",'00 Encuesta'!$C$2:$C$511,"*a)*",'00 Encuesta'!$E$2:$E$511,"*b)*",'00 Encuesta'!$AC$2:$AC$511,"*e)*")</f>
        <v>2</v>
      </c>
      <c r="L226" s="52">
        <f t="shared" si="231"/>
        <v>22.222222222222221</v>
      </c>
      <c r="M226" s="23"/>
      <c r="N226" s="51">
        <f t="shared" si="232"/>
        <v>3</v>
      </c>
      <c r="O226" s="52">
        <f t="shared" si="233"/>
        <v>15</v>
      </c>
      <c r="P226" s="53">
        <f>COUNTIFS('00 Encuesta'!$B$2:$B$511,"*d)*",'00 Encuesta'!$C$2:$C$511,"*b)*",'00 Encuesta'!$E$2:$E$511,"*a)*",'00 Encuesta'!$AC$2:$AC$511,"*e)*")</f>
        <v>1</v>
      </c>
      <c r="Q226" s="52">
        <f t="shared" si="234"/>
        <v>14.285714285714285</v>
      </c>
      <c r="R226" s="53">
        <f>COUNTIFS('00 Encuesta'!$B$2:$B$511,"*d)*",'00 Encuesta'!$C$2:$C$511,"*b)*",'00 Encuesta'!$E$2:$E$511,"*b)*",'00 Encuesta'!$AC$2:$AC$511,"*e)*")</f>
        <v>2</v>
      </c>
      <c r="S226" s="52">
        <f t="shared" si="235"/>
        <v>15.384615384615385</v>
      </c>
      <c r="T226" s="3"/>
      <c r="U226" s="51">
        <f t="shared" si="236"/>
        <v>3</v>
      </c>
      <c r="V226" s="52">
        <f t="shared" si="237"/>
        <v>15</v>
      </c>
      <c r="W226" s="53">
        <f>COUNTIFS('00 Encuesta'!$B$2:$B$511,"*d)*",'00 Encuesta'!$C$2:$C$511,"*c)*",'00 Encuesta'!$E$2:$E$511,"*a)*",'00 Encuesta'!$AC$2:$AC$511,"*e)*")</f>
        <v>1</v>
      </c>
      <c r="X226" s="52">
        <f t="shared" si="238"/>
        <v>20</v>
      </c>
      <c r="Y226" s="53">
        <f>COUNTIFS('00 Encuesta'!$B$2:$B$511,"*d)*",'00 Encuesta'!$C$2:$C$511,"*c)*",'00 Encuesta'!$E$2:$E$511,"*b)*",'00 Encuesta'!$AC$2:$AC$511,"*e)*")</f>
        <v>2</v>
      </c>
      <c r="Z226" s="52">
        <f t="shared" si="239"/>
        <v>13.333333333333334</v>
      </c>
      <c r="AA226" s="3"/>
      <c r="AB226" s="62">
        <f t="shared" si="240"/>
        <v>13</v>
      </c>
      <c r="AC226" s="52">
        <f t="shared" si="241"/>
        <v>20.634920634920636</v>
      </c>
      <c r="AD226" s="3"/>
      <c r="AE226" s="3"/>
      <c r="AF226" s="9" t="str">
        <f t="shared" si="242"/>
        <v>e) Derecho</v>
      </c>
      <c r="AG226" s="72">
        <f t="shared" si="243"/>
        <v>35.714285714285715</v>
      </c>
      <c r="AH226" s="72">
        <f t="shared" si="244"/>
        <v>22.222222222222221</v>
      </c>
      <c r="AI226" s="73">
        <f t="shared" si="245"/>
        <v>30.434782608695656</v>
      </c>
      <c r="AJ226" s="73"/>
      <c r="AK226" s="76">
        <f t="shared" si="246"/>
        <v>14.285714285714285</v>
      </c>
      <c r="AL226" s="76">
        <f t="shared" si="247"/>
        <v>15.384615384615385</v>
      </c>
      <c r="AM226" s="76">
        <f t="shared" si="248"/>
        <v>15</v>
      </c>
      <c r="AN226" s="76"/>
      <c r="AO226" s="81">
        <f t="shared" si="249"/>
        <v>20</v>
      </c>
      <c r="AP226" s="81">
        <f t="shared" si="250"/>
        <v>13.333333333333334</v>
      </c>
      <c r="AQ226" s="81">
        <f t="shared" si="251"/>
        <v>15</v>
      </c>
      <c r="AR226" s="3"/>
      <c r="AS226" s="76">
        <f t="shared" si="227"/>
        <v>20.634920634920636</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x14ac:dyDescent="0.3">
      <c r="A227" s="1" t="s">
        <v>45</v>
      </c>
      <c r="B227" s="2" t="s">
        <v>165</v>
      </c>
      <c r="C227" s="3"/>
      <c r="D227" s="7"/>
      <c r="E227" s="7"/>
      <c r="F227" s="71"/>
      <c r="G227" s="51">
        <f t="shared" si="228"/>
        <v>1</v>
      </c>
      <c r="H227" s="52">
        <f t="shared" si="229"/>
        <v>4.3478260869565215</v>
      </c>
      <c r="I227" s="53">
        <f>COUNTIFS('00 Encuesta'!$B$2:$B$511,"*d)*",'00 Encuesta'!$C$2:$C$511,"*a)*",'00 Encuesta'!$E$2:$E$511,"*a)*",'00 Encuesta'!$AC$2:$AC$511,"*f)*")</f>
        <v>1</v>
      </c>
      <c r="J227" s="52">
        <f t="shared" si="230"/>
        <v>7.1428571428571423</v>
      </c>
      <c r="K227" s="53">
        <f>COUNTIFS('00 Encuesta'!$B$2:$B$511,"*d)*",'00 Encuesta'!$C$2:$C$511,"*a)*",'00 Encuesta'!$E$2:$E$511,"*b)*",'00 Encuesta'!$AC$2:$AC$511,"*f)*")</f>
        <v>0</v>
      </c>
      <c r="L227" s="52">
        <f t="shared" si="231"/>
        <v>0</v>
      </c>
      <c r="M227" s="23"/>
      <c r="N227" s="51">
        <f t="shared" si="232"/>
        <v>0</v>
      </c>
      <c r="O227" s="52">
        <f t="shared" si="233"/>
        <v>0</v>
      </c>
      <c r="P227" s="53">
        <f>COUNTIFS('00 Encuesta'!$B$2:$B$511,"*d)*",'00 Encuesta'!$C$2:$C$511,"*b)*",'00 Encuesta'!$E$2:$E$511,"*a)*",'00 Encuesta'!$AC$2:$AC$511,"*f)*")</f>
        <v>0</v>
      </c>
      <c r="Q227" s="52">
        <f t="shared" si="234"/>
        <v>0</v>
      </c>
      <c r="R227" s="53">
        <f>COUNTIFS('00 Encuesta'!$B$2:$B$511,"*d)*",'00 Encuesta'!$C$2:$C$511,"*b)*",'00 Encuesta'!$E$2:$E$511,"*b)*",'00 Encuesta'!$AC$2:$AC$511,"*f)*")</f>
        <v>0</v>
      </c>
      <c r="S227" s="52">
        <f t="shared" si="235"/>
        <v>0</v>
      </c>
      <c r="T227" s="3"/>
      <c r="U227" s="51">
        <f t="shared" si="236"/>
        <v>0</v>
      </c>
      <c r="V227" s="52">
        <f t="shared" si="237"/>
        <v>0</v>
      </c>
      <c r="W227" s="53">
        <f>COUNTIFS('00 Encuesta'!$B$2:$B$511,"*d)*",'00 Encuesta'!$C$2:$C$511,"*c)*",'00 Encuesta'!$E$2:$E$511,"*a)*",'00 Encuesta'!$AC$2:$AC$511,"*f)*")</f>
        <v>0</v>
      </c>
      <c r="X227" s="52">
        <f t="shared" si="238"/>
        <v>0</v>
      </c>
      <c r="Y227" s="53">
        <f>COUNTIFS('00 Encuesta'!$B$2:$B$511,"*d)*",'00 Encuesta'!$C$2:$C$511,"*c)*",'00 Encuesta'!$E$2:$E$511,"*b)*",'00 Encuesta'!$AC$2:$AC$511,"*f)*")</f>
        <v>0</v>
      </c>
      <c r="Z227" s="52">
        <f t="shared" si="239"/>
        <v>0</v>
      </c>
      <c r="AA227" s="3"/>
      <c r="AB227" s="62">
        <f t="shared" si="240"/>
        <v>1</v>
      </c>
      <c r="AC227" s="52">
        <f t="shared" si="241"/>
        <v>1.5873015873015872</v>
      </c>
      <c r="AD227" s="3"/>
      <c r="AE227" s="3"/>
      <c r="AF227" s="9" t="str">
        <f t="shared" si="242"/>
        <v>f) Ciencias policiales o artes militares</v>
      </c>
      <c r="AG227" s="72">
        <f t="shared" si="243"/>
        <v>7.1428571428571423</v>
      </c>
      <c r="AH227" s="72">
        <f t="shared" si="244"/>
        <v>0</v>
      </c>
      <c r="AI227" s="73">
        <f t="shared" si="245"/>
        <v>4.3478260869565215</v>
      </c>
      <c r="AJ227" s="73"/>
      <c r="AK227" s="76">
        <f t="shared" si="246"/>
        <v>0</v>
      </c>
      <c r="AL227" s="76">
        <f t="shared" si="247"/>
        <v>0</v>
      </c>
      <c r="AM227" s="76">
        <f t="shared" si="248"/>
        <v>0</v>
      </c>
      <c r="AN227" s="76"/>
      <c r="AO227" s="81">
        <f t="shared" si="249"/>
        <v>0</v>
      </c>
      <c r="AP227" s="81">
        <f t="shared" si="250"/>
        <v>0</v>
      </c>
      <c r="AQ227" s="81">
        <f t="shared" si="251"/>
        <v>0</v>
      </c>
      <c r="AR227" s="3"/>
      <c r="AS227" s="76">
        <f t="shared" si="227"/>
        <v>1.5873015873015872</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x14ac:dyDescent="0.3">
      <c r="A228" s="1" t="s">
        <v>61</v>
      </c>
      <c r="B228" s="2" t="s">
        <v>166</v>
      </c>
      <c r="C228" s="3"/>
      <c r="D228" s="7"/>
      <c r="E228" s="7"/>
      <c r="F228" s="71"/>
      <c r="G228" s="51">
        <f t="shared" si="228"/>
        <v>4</v>
      </c>
      <c r="H228" s="52">
        <f t="shared" si="229"/>
        <v>17.391304347826086</v>
      </c>
      <c r="I228" s="53">
        <f>COUNTIFS('00 Encuesta'!$B$2:$B$511,"*d)*",'00 Encuesta'!$C$2:$C$511,"*a)*",'00 Encuesta'!$E$2:$E$511,"*a)*",'00 Encuesta'!$AC$2:$AC$511,"*g)*")</f>
        <v>1</v>
      </c>
      <c r="J228" s="52">
        <f t="shared" si="230"/>
        <v>7.1428571428571423</v>
      </c>
      <c r="K228" s="53">
        <f>COUNTIFS('00 Encuesta'!$B$2:$B$511,"*d)*",'00 Encuesta'!$C$2:$C$511,"*a)*",'00 Encuesta'!$E$2:$E$511,"*b)*",'00 Encuesta'!$AC$2:$AC$511,"*g)*")</f>
        <v>3</v>
      </c>
      <c r="L228" s="52">
        <f t="shared" si="231"/>
        <v>33.333333333333329</v>
      </c>
      <c r="M228" s="23"/>
      <c r="N228" s="51">
        <f t="shared" si="232"/>
        <v>5</v>
      </c>
      <c r="O228" s="52">
        <f t="shared" si="233"/>
        <v>25</v>
      </c>
      <c r="P228" s="53">
        <f>COUNTIFS('00 Encuesta'!$B$2:$B$511,"*d)*",'00 Encuesta'!$C$2:$C$511,"*b)*",'00 Encuesta'!$E$2:$E$511,"*a)*",'00 Encuesta'!$AC$2:$AC$511,"*g)*")</f>
        <v>1</v>
      </c>
      <c r="Q228" s="52">
        <f t="shared" si="234"/>
        <v>14.285714285714285</v>
      </c>
      <c r="R228" s="53">
        <f>COUNTIFS('00 Encuesta'!$B$2:$B$511,"*d)*",'00 Encuesta'!$C$2:$C$511,"*b)*",'00 Encuesta'!$E$2:$E$511,"*b)*",'00 Encuesta'!$AC$2:$AC$511,"*g)*")</f>
        <v>4</v>
      </c>
      <c r="S228" s="52">
        <f t="shared" si="235"/>
        <v>30.76923076923077</v>
      </c>
      <c r="T228" s="3"/>
      <c r="U228" s="51">
        <f t="shared" si="236"/>
        <v>3</v>
      </c>
      <c r="V228" s="52">
        <f t="shared" si="237"/>
        <v>15</v>
      </c>
      <c r="W228" s="53">
        <f>COUNTIFS('00 Encuesta'!$B$2:$B$511,"*d)*",'00 Encuesta'!$C$2:$C$511,"*c)*",'00 Encuesta'!$E$2:$E$511,"*a)*",'00 Encuesta'!$AC$2:$AC$511,"*g)*")</f>
        <v>1</v>
      </c>
      <c r="X228" s="52">
        <f t="shared" si="238"/>
        <v>20</v>
      </c>
      <c r="Y228" s="53">
        <f>COUNTIFS('00 Encuesta'!$B$2:$B$511,"*d)*",'00 Encuesta'!$C$2:$C$511,"*c)*",'00 Encuesta'!$E$2:$E$511,"*b)*",'00 Encuesta'!$AC$2:$AC$511,"*g)*")</f>
        <v>2</v>
      </c>
      <c r="Z228" s="52">
        <f t="shared" si="239"/>
        <v>13.333333333333334</v>
      </c>
      <c r="AA228" s="3"/>
      <c r="AB228" s="62">
        <f t="shared" si="240"/>
        <v>12</v>
      </c>
      <c r="AC228" s="52">
        <f t="shared" si="241"/>
        <v>19.047619047619047</v>
      </c>
      <c r="AD228" s="3"/>
      <c r="AE228" s="3"/>
      <c r="AF228" s="9" t="str">
        <f t="shared" si="242"/>
        <v>g) Artista</v>
      </c>
      <c r="AG228" s="72">
        <f t="shared" si="243"/>
        <v>7.1428571428571423</v>
      </c>
      <c r="AH228" s="72">
        <f t="shared" si="244"/>
        <v>33.333333333333329</v>
      </c>
      <c r="AI228" s="73">
        <f t="shared" si="245"/>
        <v>17.391304347826086</v>
      </c>
      <c r="AJ228" s="73"/>
      <c r="AK228" s="76">
        <f t="shared" si="246"/>
        <v>14.285714285714285</v>
      </c>
      <c r="AL228" s="76">
        <f t="shared" si="247"/>
        <v>30.76923076923077</v>
      </c>
      <c r="AM228" s="76">
        <f t="shared" si="248"/>
        <v>25</v>
      </c>
      <c r="AN228" s="76"/>
      <c r="AO228" s="81">
        <f t="shared" si="249"/>
        <v>20</v>
      </c>
      <c r="AP228" s="81">
        <f t="shared" si="250"/>
        <v>13.333333333333334</v>
      </c>
      <c r="AQ228" s="81">
        <f t="shared" si="251"/>
        <v>15</v>
      </c>
      <c r="AR228" s="3"/>
      <c r="AS228" s="76">
        <f t="shared" si="227"/>
        <v>19.047619047619047</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2</v>
      </c>
      <c r="H229" s="52">
        <f t="shared" si="229"/>
        <v>8.695652173913043</v>
      </c>
      <c r="I229" s="53">
        <f>COUNTIFS('00 Encuesta'!$B$2:$B$511,"*d)*",'00 Encuesta'!$C$2:$C$511,"*a)*",'00 Encuesta'!$E$2:$E$511,"*a)*",'00 Encuesta'!$AC$2:$AC$511,"*h)*")</f>
        <v>2</v>
      </c>
      <c r="J229" s="52">
        <f t="shared" si="230"/>
        <v>14.285714285714285</v>
      </c>
      <c r="K229" s="53">
        <f>COUNTIFS('00 Encuesta'!$B$2:$B$511,"*d)*",'00 Encuesta'!$C$2:$C$511,"*a)*",'00 Encuesta'!$E$2:$E$511,"*b)*",'00 Encuesta'!$AC$2:$AC$511,"*h)*")</f>
        <v>0</v>
      </c>
      <c r="L229" s="52">
        <f t="shared" si="231"/>
        <v>0</v>
      </c>
      <c r="M229" s="23"/>
      <c r="N229" s="51">
        <f t="shared" si="232"/>
        <v>1</v>
      </c>
      <c r="O229" s="52">
        <f t="shared" si="233"/>
        <v>5</v>
      </c>
      <c r="P229" s="53">
        <f>COUNTIFS('00 Encuesta'!$B$2:$B$511,"*d)*",'00 Encuesta'!$C$2:$C$511,"*b)*",'00 Encuesta'!$E$2:$E$511,"*a)*",'00 Encuesta'!$AC$2:$AC$511,"*h)*")</f>
        <v>1</v>
      </c>
      <c r="Q229" s="52">
        <f t="shared" si="234"/>
        <v>14.285714285714285</v>
      </c>
      <c r="R229" s="53">
        <f>COUNTIFS('00 Encuesta'!$B$2:$B$511,"*d)*",'00 Encuesta'!$C$2:$C$511,"*b)*",'00 Encuesta'!$E$2:$E$511,"*b)*",'00 Encuesta'!$AC$2:$AC$511,"*h)*")</f>
        <v>0</v>
      </c>
      <c r="S229" s="52">
        <f t="shared" si="235"/>
        <v>0</v>
      </c>
      <c r="T229" s="3"/>
      <c r="U229" s="51">
        <f t="shared" si="236"/>
        <v>0</v>
      </c>
      <c r="V229" s="52">
        <f t="shared" si="237"/>
        <v>0</v>
      </c>
      <c r="W229" s="53">
        <f>COUNTIFS('00 Encuesta'!$B$2:$B$511,"*d)*",'00 Encuesta'!$C$2:$C$511,"*c)*",'00 Encuesta'!$E$2:$E$511,"*a)*",'00 Encuesta'!$AC$2:$AC$511,"*h)*")</f>
        <v>0</v>
      </c>
      <c r="X229" s="52">
        <f t="shared" si="238"/>
        <v>0</v>
      </c>
      <c r="Y229" s="53">
        <f>COUNTIFS('00 Encuesta'!$B$2:$B$511,"*d)*",'00 Encuesta'!$C$2:$C$511,"*c)*",'00 Encuesta'!$E$2:$E$511,"*b)*",'00 Encuesta'!$AC$2:$AC$511,"*h)*")</f>
        <v>0</v>
      </c>
      <c r="Z229" s="52">
        <f t="shared" si="239"/>
        <v>0</v>
      </c>
      <c r="AA229" s="3"/>
      <c r="AB229" s="62">
        <f t="shared" si="240"/>
        <v>3</v>
      </c>
      <c r="AC229" s="52">
        <f t="shared" si="241"/>
        <v>4.7619047619047619</v>
      </c>
      <c r="AD229" s="3"/>
      <c r="AE229" s="3"/>
      <c r="AF229" s="9" t="str">
        <f t="shared" si="242"/>
        <v>h) Ciencias Políticas</v>
      </c>
      <c r="AG229" s="72">
        <f t="shared" si="243"/>
        <v>14.285714285714285</v>
      </c>
      <c r="AH229" s="72">
        <f t="shared" si="244"/>
        <v>0</v>
      </c>
      <c r="AI229" s="73">
        <f t="shared" si="245"/>
        <v>8.695652173913043</v>
      </c>
      <c r="AJ229" s="73"/>
      <c r="AK229" s="76">
        <f t="shared" si="246"/>
        <v>14.285714285714285</v>
      </c>
      <c r="AL229" s="76">
        <f t="shared" si="247"/>
        <v>0</v>
      </c>
      <c r="AM229" s="76">
        <f t="shared" si="248"/>
        <v>5</v>
      </c>
      <c r="AN229" s="76"/>
      <c r="AO229" s="81">
        <f t="shared" si="249"/>
        <v>0</v>
      </c>
      <c r="AP229" s="81">
        <f t="shared" si="250"/>
        <v>0</v>
      </c>
      <c r="AQ229" s="81">
        <f t="shared" si="251"/>
        <v>0</v>
      </c>
      <c r="AR229" s="3"/>
      <c r="AS229" s="76">
        <f t="shared" si="227"/>
        <v>4.7619047619047619</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x14ac:dyDescent="0.3">
      <c r="A230" s="84" t="s">
        <v>65</v>
      </c>
      <c r="B230" s="9" t="s">
        <v>168</v>
      </c>
      <c r="C230" s="7"/>
      <c r="D230" s="7"/>
      <c r="E230" s="7"/>
      <c r="F230" s="71"/>
      <c r="G230" s="51">
        <f t="shared" si="228"/>
        <v>1</v>
      </c>
      <c r="H230" s="52">
        <f t="shared" si="229"/>
        <v>4.3478260869565215</v>
      </c>
      <c r="I230" s="53">
        <f>COUNTIFS('00 Encuesta'!$B$2:$B$511,"*d)*",'00 Encuesta'!$C$2:$C$511,"*a)*",'00 Encuesta'!$E$2:$E$511,"*a)*",'00 Encuesta'!$AC$2:$AC$511,"*i)*")</f>
        <v>1</v>
      </c>
      <c r="J230" s="52">
        <f t="shared" si="230"/>
        <v>7.1428571428571423</v>
      </c>
      <c r="K230" s="53">
        <f>COUNTIFS('00 Encuesta'!$B$2:$B$511,"*d)*",'00 Encuesta'!$C$2:$C$511,"*a)*",'00 Encuesta'!$E$2:$E$511,"*b)*",'00 Encuesta'!$AC$2:$AC$511,"*i)*")</f>
        <v>0</v>
      </c>
      <c r="L230" s="52">
        <f t="shared" si="231"/>
        <v>0</v>
      </c>
      <c r="M230" s="23"/>
      <c r="N230" s="51">
        <f t="shared" si="232"/>
        <v>5</v>
      </c>
      <c r="O230" s="52">
        <f t="shared" si="233"/>
        <v>25</v>
      </c>
      <c r="P230" s="53">
        <f>COUNTIFS('00 Encuesta'!$B$2:$B$511,"*d)*",'00 Encuesta'!$C$2:$C$511,"*b)*",'00 Encuesta'!$E$2:$E$511,"*a)*",'00 Encuesta'!$AC$2:$AC$511,"*i)*")</f>
        <v>1</v>
      </c>
      <c r="Q230" s="52">
        <f t="shared" si="234"/>
        <v>14.285714285714285</v>
      </c>
      <c r="R230" s="53">
        <f>COUNTIFS('00 Encuesta'!$B$2:$B$511,"*d)*",'00 Encuesta'!$C$2:$C$511,"*b)*",'00 Encuesta'!$E$2:$E$511,"*b)*",'00 Encuesta'!$AC$2:$AC$511,"*i)*")</f>
        <v>4</v>
      </c>
      <c r="S230" s="52">
        <f t="shared" si="235"/>
        <v>30.76923076923077</v>
      </c>
      <c r="T230" s="3"/>
      <c r="U230" s="51">
        <f t="shared" si="236"/>
        <v>0</v>
      </c>
      <c r="V230" s="52">
        <f t="shared" si="237"/>
        <v>0</v>
      </c>
      <c r="W230" s="53">
        <f>COUNTIFS('00 Encuesta'!$B$2:$B$511,"*d)*",'00 Encuesta'!$C$2:$C$511,"*c)*",'00 Encuesta'!$E$2:$E$511,"*a)*",'00 Encuesta'!$AC$2:$AC$511,"*i)*")</f>
        <v>0</v>
      </c>
      <c r="X230" s="52">
        <f t="shared" si="238"/>
        <v>0</v>
      </c>
      <c r="Y230" s="53">
        <f>COUNTIFS('00 Encuesta'!$B$2:$B$511,"*d)*",'00 Encuesta'!$C$2:$C$511,"*c)*",'00 Encuesta'!$E$2:$E$511,"*b)*",'00 Encuesta'!$AC$2:$AC$511,"*i)*")</f>
        <v>0</v>
      </c>
      <c r="Z230" s="52">
        <f t="shared" si="239"/>
        <v>0</v>
      </c>
      <c r="AA230" s="3"/>
      <c r="AB230" s="62">
        <f t="shared" si="240"/>
        <v>6</v>
      </c>
      <c r="AC230" s="52">
        <f t="shared" si="241"/>
        <v>9.5238095238095237</v>
      </c>
      <c r="AD230" s="3"/>
      <c r="AE230" s="3"/>
      <c r="AF230" s="9" t="str">
        <f t="shared" si="242"/>
        <v>i) Comerciante</v>
      </c>
      <c r="AG230" s="72">
        <f t="shared" si="243"/>
        <v>7.1428571428571423</v>
      </c>
      <c r="AH230" s="72">
        <f t="shared" si="244"/>
        <v>0</v>
      </c>
      <c r="AI230" s="73">
        <f t="shared" si="245"/>
        <v>4.3478260869565215</v>
      </c>
      <c r="AJ230" s="73"/>
      <c r="AK230" s="76">
        <f t="shared" si="246"/>
        <v>14.285714285714285</v>
      </c>
      <c r="AL230" s="76">
        <f t="shared" si="247"/>
        <v>30.76923076923077</v>
      </c>
      <c r="AM230" s="76">
        <f t="shared" si="248"/>
        <v>25</v>
      </c>
      <c r="AN230" s="76"/>
      <c r="AO230" s="81">
        <f t="shared" si="249"/>
        <v>0</v>
      </c>
      <c r="AP230" s="81">
        <f t="shared" si="250"/>
        <v>0</v>
      </c>
      <c r="AQ230" s="81">
        <f t="shared" si="251"/>
        <v>0</v>
      </c>
      <c r="AR230" s="3"/>
      <c r="AS230" s="76">
        <f t="shared" si="227"/>
        <v>9.5238095238095237</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x14ac:dyDescent="0.3">
      <c r="A231" s="84" t="s">
        <v>67</v>
      </c>
      <c r="B231" s="9" t="s">
        <v>169</v>
      </c>
      <c r="C231" s="7"/>
      <c r="D231" s="7"/>
      <c r="E231" s="7"/>
      <c r="F231" s="71"/>
      <c r="G231" s="51">
        <f t="shared" si="228"/>
        <v>1</v>
      </c>
      <c r="H231" s="52">
        <f t="shared" si="229"/>
        <v>4.3478260869565215</v>
      </c>
      <c r="I231" s="53">
        <f>COUNTIFS('00 Encuesta'!$B$2:$B$511,"*d)*",'00 Encuesta'!$C$2:$C$511,"*a)*",'00 Encuesta'!$E$2:$E$511,"*a)*",'00 Encuesta'!$AC$2:$AC$511,"*j)*")</f>
        <v>1</v>
      </c>
      <c r="J231" s="52">
        <f t="shared" si="230"/>
        <v>7.1428571428571423</v>
      </c>
      <c r="K231" s="53">
        <f>COUNTIFS('00 Encuesta'!$B$2:$B$511,"*d)*",'00 Encuesta'!$C$2:$C$511,"*a)*",'00 Encuesta'!$E$2:$E$511,"*b)*",'00 Encuesta'!$AC$2:$AC$511,"*j)*")</f>
        <v>0</v>
      </c>
      <c r="L231" s="52">
        <f t="shared" si="231"/>
        <v>0</v>
      </c>
      <c r="M231" s="23"/>
      <c r="N231" s="51">
        <f t="shared" si="232"/>
        <v>1</v>
      </c>
      <c r="O231" s="52">
        <f t="shared" si="233"/>
        <v>5</v>
      </c>
      <c r="P231" s="53">
        <f>COUNTIFS('00 Encuesta'!$B$2:$B$511,"*d)*",'00 Encuesta'!$C$2:$C$511,"*b)*",'00 Encuesta'!$E$2:$E$511,"*a)*",'00 Encuesta'!$AC$2:$AC$511,"*j)*")</f>
        <v>1</v>
      </c>
      <c r="Q231" s="52">
        <f t="shared" si="234"/>
        <v>14.285714285714285</v>
      </c>
      <c r="R231" s="53">
        <f>COUNTIFS('00 Encuesta'!$B$2:$B$511,"*d)*",'00 Encuesta'!$C$2:$C$511,"*b)*",'00 Encuesta'!$E$2:$E$511,"*b)*",'00 Encuesta'!$AC$2:$AC$511,"*j)*")</f>
        <v>0</v>
      </c>
      <c r="S231" s="52">
        <f t="shared" si="235"/>
        <v>0</v>
      </c>
      <c r="T231" s="3"/>
      <c r="U231" s="51">
        <f t="shared" si="236"/>
        <v>1</v>
      </c>
      <c r="V231" s="52">
        <f t="shared" si="237"/>
        <v>5</v>
      </c>
      <c r="W231" s="53">
        <f>COUNTIFS('00 Encuesta'!$B$2:$B$511,"*d)*",'00 Encuesta'!$C$2:$C$511,"*c)*",'00 Encuesta'!$E$2:$E$511,"*a)*",'00 Encuesta'!$AC$2:$AC$511,"*j)*")</f>
        <v>0</v>
      </c>
      <c r="X231" s="52">
        <f t="shared" si="238"/>
        <v>0</v>
      </c>
      <c r="Y231" s="53">
        <f>COUNTIFS('00 Encuesta'!$B$2:$B$511,"*d)*",'00 Encuesta'!$C$2:$C$511,"*c)*",'00 Encuesta'!$E$2:$E$511,"*b)*",'00 Encuesta'!$AC$2:$AC$511,"*j)*")</f>
        <v>1</v>
      </c>
      <c r="Z231" s="52">
        <f t="shared" si="239"/>
        <v>6.666666666666667</v>
      </c>
      <c r="AA231" s="3"/>
      <c r="AB231" s="62">
        <f t="shared" si="240"/>
        <v>3</v>
      </c>
      <c r="AC231" s="52">
        <f t="shared" si="241"/>
        <v>4.7619047619047619</v>
      </c>
      <c r="AD231" s="3"/>
      <c r="AE231" s="3"/>
      <c r="AF231" s="9" t="str">
        <f t="shared" si="242"/>
        <v>j) Trabajador calificado</v>
      </c>
      <c r="AG231" s="72">
        <f t="shared" si="243"/>
        <v>7.1428571428571423</v>
      </c>
      <c r="AH231" s="72">
        <f t="shared" si="244"/>
        <v>0</v>
      </c>
      <c r="AI231" s="73">
        <f t="shared" si="245"/>
        <v>4.3478260869565215</v>
      </c>
      <c r="AJ231" s="73"/>
      <c r="AK231" s="76">
        <f t="shared" si="246"/>
        <v>14.285714285714285</v>
      </c>
      <c r="AL231" s="76">
        <f t="shared" si="247"/>
        <v>0</v>
      </c>
      <c r="AM231" s="76">
        <f t="shared" si="248"/>
        <v>5</v>
      </c>
      <c r="AN231" s="76"/>
      <c r="AO231" s="81">
        <f t="shared" si="249"/>
        <v>0</v>
      </c>
      <c r="AP231" s="81">
        <f t="shared" si="250"/>
        <v>6.666666666666667</v>
      </c>
      <c r="AQ231" s="81">
        <f t="shared" si="251"/>
        <v>5</v>
      </c>
      <c r="AR231" s="3"/>
      <c r="AS231" s="76">
        <f t="shared" si="227"/>
        <v>4.7619047619047619</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x14ac:dyDescent="0.3">
      <c r="A232" s="8" t="s">
        <v>23</v>
      </c>
      <c r="B232" s="9" t="s">
        <v>158</v>
      </c>
      <c r="C232" s="7"/>
      <c r="D232" s="7"/>
      <c r="E232" s="7"/>
      <c r="F232" s="71"/>
      <c r="G232" s="51">
        <f t="shared" si="228"/>
        <v>0</v>
      </c>
      <c r="H232" s="52">
        <f t="shared" si="229"/>
        <v>0</v>
      </c>
      <c r="I232" s="53"/>
      <c r="J232" s="52">
        <f t="shared" si="230"/>
        <v>0</v>
      </c>
      <c r="K232" s="53"/>
      <c r="L232" s="52">
        <f t="shared" si="231"/>
        <v>0</v>
      </c>
      <c r="M232" s="23"/>
      <c r="N232" s="51">
        <f t="shared" si="232"/>
        <v>0</v>
      </c>
      <c r="O232" s="52">
        <f t="shared" si="233"/>
        <v>0</v>
      </c>
      <c r="P232" s="53"/>
      <c r="Q232" s="52">
        <f t="shared" si="234"/>
        <v>0</v>
      </c>
      <c r="R232" s="53"/>
      <c r="S232" s="52">
        <f t="shared" si="235"/>
        <v>0</v>
      </c>
      <c r="T232" s="3"/>
      <c r="U232" s="51">
        <f t="shared" si="236"/>
        <v>0</v>
      </c>
      <c r="V232" s="52">
        <f t="shared" si="237"/>
        <v>0</v>
      </c>
      <c r="W232" s="53"/>
      <c r="X232" s="52">
        <f t="shared" si="238"/>
        <v>0</v>
      </c>
      <c r="Y232" s="53"/>
      <c r="Z232" s="52">
        <f t="shared" si="239"/>
        <v>0</v>
      </c>
      <c r="AA232" s="3"/>
      <c r="AB232" s="62">
        <f t="shared" si="240"/>
        <v>0</v>
      </c>
      <c r="AC232" s="52">
        <f t="shared" si="241"/>
        <v>0</v>
      </c>
      <c r="AD232" s="3"/>
      <c r="AE232" s="3"/>
      <c r="AF232" s="9" t="str">
        <f t="shared" si="242"/>
        <v>S/R Sin respuesta</v>
      </c>
      <c r="AG232" s="72">
        <f t="shared" si="243"/>
        <v>0</v>
      </c>
      <c r="AH232" s="72">
        <f t="shared" si="244"/>
        <v>0</v>
      </c>
      <c r="AI232" s="73">
        <f t="shared" si="245"/>
        <v>0</v>
      </c>
      <c r="AJ232" s="73"/>
      <c r="AK232" s="76">
        <f t="shared" si="246"/>
        <v>0</v>
      </c>
      <c r="AL232" s="76">
        <f t="shared" si="247"/>
        <v>0</v>
      </c>
      <c r="AM232" s="76">
        <f t="shared" si="248"/>
        <v>0</v>
      </c>
      <c r="AN232" s="76"/>
      <c r="AO232" s="81">
        <f t="shared" si="249"/>
        <v>0</v>
      </c>
      <c r="AP232" s="81">
        <f t="shared" si="250"/>
        <v>0</v>
      </c>
      <c r="AQ232" s="81">
        <f t="shared" si="251"/>
        <v>0</v>
      </c>
      <c r="AR232" s="3"/>
      <c r="AS232" s="76">
        <f t="shared" si="227"/>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x14ac:dyDescent="0.3">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x14ac:dyDescent="0.3">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x14ac:dyDescent="0.3">
      <c r="A235" s="8" t="s">
        <v>17</v>
      </c>
      <c r="B235" s="9" t="s">
        <v>171</v>
      </c>
      <c r="C235" s="7"/>
      <c r="D235" s="7"/>
      <c r="E235" s="7"/>
      <c r="F235" s="71"/>
      <c r="G235" s="51">
        <f t="shared" ref="G235:G241" si="252">I235+K235</f>
        <v>5</v>
      </c>
      <c r="H235" s="52">
        <f t="shared" ref="H235:H241" si="253">G235/$J$5*100</f>
        <v>21.739130434782609</v>
      </c>
      <c r="I235" s="53">
        <f>COUNTIFS('00 Encuesta'!$B$2:$B$511,"*d)*",'00 Encuesta'!$C$2:$C$511,"*a)*",'00 Encuesta'!$E$2:$E$511,"*a)*",'00 Encuesta'!$AE$2:$AE$511,"*a)*")</f>
        <v>5</v>
      </c>
      <c r="J235" s="52">
        <f t="shared" ref="J235:J241" si="254">I235/$J$6*100</f>
        <v>35.714285714285715</v>
      </c>
      <c r="K235" s="53">
        <f>COUNTIFS('00 Encuesta'!$B$2:$B$511,"*d)*",'00 Encuesta'!$C$2:$C$511,"*a)*",'00 Encuesta'!$E$2:$E$511,"*b)*",'00 Encuesta'!$AE$2:$AE$511,"*a)*")</f>
        <v>0</v>
      </c>
      <c r="L235" s="52">
        <f t="shared" ref="L235:L241" si="255">K235/$J$7*100</f>
        <v>0</v>
      </c>
      <c r="M235" s="23"/>
      <c r="N235" s="51">
        <f t="shared" ref="N235:N241" si="256">P235+R235</f>
        <v>5</v>
      </c>
      <c r="O235" s="52">
        <f t="shared" ref="O235:O241" si="257">N235/$Q$5*100</f>
        <v>25</v>
      </c>
      <c r="P235" s="53">
        <f>COUNTIFS('00 Encuesta'!$B$2:$B$511,"*d)*",'00 Encuesta'!$C$2:$C$511,"*b)*",'00 Encuesta'!$E$2:$E$511,"*a)*",'00 Encuesta'!$AE$2:$AE$511,"*a)*")</f>
        <v>5</v>
      </c>
      <c r="Q235" s="52">
        <f t="shared" ref="Q235:Q241" si="258">P235/$Q$6*100</f>
        <v>71.428571428571431</v>
      </c>
      <c r="R235" s="53">
        <f>COUNTIFS('00 Encuesta'!$B$2:$B$511,"*d)*",'00 Encuesta'!$C$2:$C$511,"*b)*",'00 Encuesta'!$E$2:$E$511,"*b)*",'00 Encuesta'!$AE$2:$AE$511,"*a)*")</f>
        <v>0</v>
      </c>
      <c r="S235" s="52">
        <f t="shared" ref="S235:S241" si="259">R235/$Q$7*100</f>
        <v>0</v>
      </c>
      <c r="T235" s="3"/>
      <c r="U235" s="51">
        <f t="shared" ref="U235:U241" si="260">W235+Y235</f>
        <v>2</v>
      </c>
      <c r="V235" s="52">
        <f t="shared" ref="V235:V241" si="261">U235/$X$5*100</f>
        <v>10</v>
      </c>
      <c r="W235" s="53">
        <f>COUNTIFS('00 Encuesta'!$B$2:$B$511,"*d)*",'00 Encuesta'!$C$2:$C$511,"*c)*",'00 Encuesta'!$E$2:$E$511,"*a)*",'00 Encuesta'!$AE$2:$AE$511,"*a)*")</f>
        <v>2</v>
      </c>
      <c r="X235" s="52">
        <f t="shared" ref="X235:X241" si="262">W235/$X$6*100</f>
        <v>40</v>
      </c>
      <c r="Y235" s="53">
        <f>COUNTIFS('00 Encuesta'!$B$2:$B$511,"*d)*",'00 Encuesta'!$C$2:$C$511,"*c)*",'00 Encuesta'!$E$2:$E$511,"*b)*",'00 Encuesta'!$AE$2:$AE$511,"*a)*")</f>
        <v>0</v>
      </c>
      <c r="Z235" s="52">
        <f t="shared" ref="Z235:Z241" si="263">Y235/$X$7*100</f>
        <v>0</v>
      </c>
      <c r="AA235" s="3"/>
      <c r="AB235" s="62">
        <f t="shared" ref="AB235:AB241" si="264">G235+N235+U235</f>
        <v>12</v>
      </c>
      <c r="AC235" s="52">
        <f t="shared" ref="AC235:AC241" si="265">AB235*100/$AC$5</f>
        <v>19.047619047619047</v>
      </c>
      <c r="AD235" s="3"/>
      <c r="AE235" s="3"/>
      <c r="AF235" s="9" t="str">
        <f t="shared" ref="AF235:AF241" si="266">A235&amp;" "&amp;B235</f>
        <v>a) Ganar mucho dinero</v>
      </c>
      <c r="AG235" s="72">
        <f t="shared" ref="AG235:AG241" si="267">J235</f>
        <v>35.714285714285715</v>
      </c>
      <c r="AH235" s="72">
        <f t="shared" ref="AH235:AH241" si="268">L235</f>
        <v>0</v>
      </c>
      <c r="AI235" s="73">
        <f t="shared" ref="AI235:AI241" si="269">H235</f>
        <v>21.739130434782609</v>
      </c>
      <c r="AJ235" s="73"/>
      <c r="AK235" s="76">
        <f t="shared" ref="AK235:AK241" si="270">Q235</f>
        <v>71.428571428571431</v>
      </c>
      <c r="AL235" s="76">
        <f t="shared" ref="AL235:AL241" si="271">S235</f>
        <v>0</v>
      </c>
      <c r="AM235" s="76">
        <f t="shared" ref="AM235:AM241" si="272">O235</f>
        <v>25</v>
      </c>
      <c r="AN235" s="76"/>
      <c r="AO235" s="81">
        <f t="shared" ref="AO235:AO241" si="273">X235</f>
        <v>40</v>
      </c>
      <c r="AP235" s="81">
        <f t="shared" ref="AP235:AP241" si="274">Z235</f>
        <v>0</v>
      </c>
      <c r="AQ235" s="81">
        <f t="shared" ref="AQ235:AQ241" si="275">V235</f>
        <v>10</v>
      </c>
      <c r="AR235" s="3"/>
      <c r="AS235" s="76">
        <f t="shared" si="227"/>
        <v>19.047619047619047</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5</v>
      </c>
      <c r="H236" s="52">
        <f t="shared" si="253"/>
        <v>21.739130434782609</v>
      </c>
      <c r="I236" s="53">
        <f>COUNTIFS('00 Encuesta'!$B$2:$B$511,"*d)*",'00 Encuesta'!$C$2:$C$511,"*a)*",'00 Encuesta'!$E$2:$E$511,"*a)*",'00 Encuesta'!$AE$2:$AE$511,"*b)*")</f>
        <v>2</v>
      </c>
      <c r="J236" s="52">
        <f t="shared" si="254"/>
        <v>14.285714285714285</v>
      </c>
      <c r="K236" s="53">
        <f>COUNTIFS('00 Encuesta'!$B$2:$B$511,"*d)*",'00 Encuesta'!$C$2:$C$511,"*a)*",'00 Encuesta'!$E$2:$E$511,"*b)*",'00 Encuesta'!$AE$2:$AE$511,"*b)*")</f>
        <v>3</v>
      </c>
      <c r="L236" s="52">
        <f t="shared" si="255"/>
        <v>33.333333333333329</v>
      </c>
      <c r="M236" s="23"/>
      <c r="N236" s="51">
        <f t="shared" si="256"/>
        <v>4</v>
      </c>
      <c r="O236" s="52">
        <f t="shared" si="257"/>
        <v>20</v>
      </c>
      <c r="P236" s="53">
        <f>COUNTIFS('00 Encuesta'!$B$2:$B$511,"*d)*",'00 Encuesta'!$C$2:$C$511,"*b)*",'00 Encuesta'!$E$2:$E$511,"*a)*",'00 Encuesta'!$AE$2:$AE$511,"*b)*")</f>
        <v>1</v>
      </c>
      <c r="Q236" s="52">
        <f t="shared" si="258"/>
        <v>14.285714285714285</v>
      </c>
      <c r="R236" s="53">
        <f>COUNTIFS('00 Encuesta'!$B$2:$B$511,"*d)*",'00 Encuesta'!$C$2:$C$511,"*b)*",'00 Encuesta'!$E$2:$E$511,"*b)*",'00 Encuesta'!$AE$2:$AE$511,"*b)*")</f>
        <v>3</v>
      </c>
      <c r="S236" s="52">
        <f t="shared" si="259"/>
        <v>23.076923076923077</v>
      </c>
      <c r="T236" s="3"/>
      <c r="U236" s="51">
        <f t="shared" si="260"/>
        <v>3</v>
      </c>
      <c r="V236" s="52">
        <f t="shared" si="261"/>
        <v>15</v>
      </c>
      <c r="W236" s="53">
        <f>COUNTIFS('00 Encuesta'!$B$2:$B$511,"*d)*",'00 Encuesta'!$C$2:$C$511,"*c)*",'00 Encuesta'!$E$2:$E$511,"*a)*",'00 Encuesta'!$AE$2:$AE$511,"*b)*")</f>
        <v>1</v>
      </c>
      <c r="X236" s="52">
        <f t="shared" si="262"/>
        <v>20</v>
      </c>
      <c r="Y236" s="53">
        <f>COUNTIFS('00 Encuesta'!$B$2:$B$511,"*d)*",'00 Encuesta'!$C$2:$C$511,"*c)*",'00 Encuesta'!$E$2:$E$511,"*b)*",'00 Encuesta'!$AE$2:$AE$511,"*b)*")</f>
        <v>2</v>
      </c>
      <c r="Z236" s="52">
        <f t="shared" si="263"/>
        <v>13.333333333333334</v>
      </c>
      <c r="AA236" s="3"/>
      <c r="AB236" s="62">
        <f t="shared" si="264"/>
        <v>12</v>
      </c>
      <c r="AC236" s="52">
        <f t="shared" si="265"/>
        <v>19.047619047619047</v>
      </c>
      <c r="AD236" s="3"/>
      <c r="AE236" s="3"/>
      <c r="AF236" s="9" t="str">
        <f t="shared" si="266"/>
        <v>b) Tener una buena posición social, ser importante</v>
      </c>
      <c r="AG236" s="72">
        <f t="shared" si="267"/>
        <v>14.285714285714285</v>
      </c>
      <c r="AH236" s="72">
        <f t="shared" si="268"/>
        <v>33.333333333333329</v>
      </c>
      <c r="AI236" s="73">
        <f t="shared" si="269"/>
        <v>21.739130434782609</v>
      </c>
      <c r="AJ236" s="73"/>
      <c r="AK236" s="76">
        <f t="shared" si="270"/>
        <v>14.285714285714285</v>
      </c>
      <c r="AL236" s="76">
        <f t="shared" si="271"/>
        <v>23.076923076923077</v>
      </c>
      <c r="AM236" s="76">
        <f t="shared" si="272"/>
        <v>20</v>
      </c>
      <c r="AN236" s="76"/>
      <c r="AO236" s="81">
        <f t="shared" si="273"/>
        <v>20</v>
      </c>
      <c r="AP236" s="81">
        <f t="shared" si="274"/>
        <v>13.333333333333334</v>
      </c>
      <c r="AQ236" s="81">
        <f t="shared" si="275"/>
        <v>15</v>
      </c>
      <c r="AR236" s="3"/>
      <c r="AS236" s="76">
        <f t="shared" si="227"/>
        <v>19.047619047619047</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x14ac:dyDescent="0.3">
      <c r="A237" s="8" t="s">
        <v>20</v>
      </c>
      <c r="B237" s="9" t="s">
        <v>173</v>
      </c>
      <c r="C237" s="7"/>
      <c r="D237" s="7"/>
      <c r="E237" s="7"/>
      <c r="F237" s="71"/>
      <c r="G237" s="51">
        <f t="shared" si="252"/>
        <v>7</v>
      </c>
      <c r="H237" s="52">
        <f t="shared" si="253"/>
        <v>30.434782608695656</v>
      </c>
      <c r="I237" s="53">
        <f>COUNTIFS('00 Encuesta'!$B$2:$B$511,"*d)*",'00 Encuesta'!$C$2:$C$511,"*a)*",'00 Encuesta'!$E$2:$E$511,"*a)*",'00 Encuesta'!$AE$2:$AE$511,"*c)*")</f>
        <v>5</v>
      </c>
      <c r="J237" s="52">
        <f t="shared" si="254"/>
        <v>35.714285714285715</v>
      </c>
      <c r="K237" s="53">
        <f>COUNTIFS('00 Encuesta'!$B$2:$B$511,"*d)*",'00 Encuesta'!$C$2:$C$511,"*a)*",'00 Encuesta'!$E$2:$E$511,"*b)*",'00 Encuesta'!$AE$2:$AE$511,"*c)*")</f>
        <v>2</v>
      </c>
      <c r="L237" s="52">
        <f t="shared" si="255"/>
        <v>22.222222222222221</v>
      </c>
      <c r="M237" s="23"/>
      <c r="N237" s="51">
        <f t="shared" si="256"/>
        <v>6</v>
      </c>
      <c r="O237" s="52">
        <f t="shared" si="257"/>
        <v>30</v>
      </c>
      <c r="P237" s="53">
        <f>COUNTIFS('00 Encuesta'!$B$2:$B$511,"*d)*",'00 Encuesta'!$C$2:$C$511,"*b)*",'00 Encuesta'!$E$2:$E$511,"*a)*",'00 Encuesta'!$AE$2:$AE$511,"*c)*")</f>
        <v>1</v>
      </c>
      <c r="Q237" s="52">
        <f t="shared" si="258"/>
        <v>14.285714285714285</v>
      </c>
      <c r="R237" s="53">
        <f>COUNTIFS('00 Encuesta'!$B$2:$B$511,"*d)*",'00 Encuesta'!$C$2:$C$511,"*b)*",'00 Encuesta'!$E$2:$E$511,"*b)*",'00 Encuesta'!$AE$2:$AE$511,"*c)*")</f>
        <v>5</v>
      </c>
      <c r="S237" s="52">
        <f t="shared" si="259"/>
        <v>38.461538461538467</v>
      </c>
      <c r="T237" s="3"/>
      <c r="U237" s="51">
        <f t="shared" si="260"/>
        <v>7</v>
      </c>
      <c r="V237" s="52">
        <f t="shared" si="261"/>
        <v>35</v>
      </c>
      <c r="W237" s="53">
        <f>COUNTIFS('00 Encuesta'!$B$2:$B$511,"*d)*",'00 Encuesta'!$C$2:$C$511,"*c)*",'00 Encuesta'!$E$2:$E$511,"*a)*",'00 Encuesta'!$AE$2:$AE$511,"*c)*")</f>
        <v>1</v>
      </c>
      <c r="X237" s="52">
        <f t="shared" si="262"/>
        <v>20</v>
      </c>
      <c r="Y237" s="53">
        <f>COUNTIFS('00 Encuesta'!$B$2:$B$511,"*d)*",'00 Encuesta'!$C$2:$C$511,"*c)*",'00 Encuesta'!$E$2:$E$511,"*b)*",'00 Encuesta'!$AE$2:$AE$511,"*c)*")</f>
        <v>6</v>
      </c>
      <c r="Z237" s="52">
        <f t="shared" si="263"/>
        <v>40</v>
      </c>
      <c r="AA237" s="3"/>
      <c r="AB237" s="62">
        <f t="shared" si="264"/>
        <v>20</v>
      </c>
      <c r="AC237" s="52">
        <f t="shared" si="265"/>
        <v>31.746031746031747</v>
      </c>
      <c r="AD237" s="3"/>
      <c r="AE237" s="3"/>
      <c r="AF237" s="9" t="str">
        <f t="shared" si="266"/>
        <v>c) Ser un excelente profesional</v>
      </c>
      <c r="AG237" s="72">
        <f t="shared" si="267"/>
        <v>35.714285714285715</v>
      </c>
      <c r="AH237" s="72">
        <f t="shared" si="268"/>
        <v>22.222222222222221</v>
      </c>
      <c r="AI237" s="73">
        <f t="shared" si="269"/>
        <v>30.434782608695656</v>
      </c>
      <c r="AJ237" s="73"/>
      <c r="AK237" s="76">
        <f t="shared" si="270"/>
        <v>14.285714285714285</v>
      </c>
      <c r="AL237" s="76">
        <f t="shared" si="271"/>
        <v>38.461538461538467</v>
      </c>
      <c r="AM237" s="76">
        <f t="shared" si="272"/>
        <v>30</v>
      </c>
      <c r="AN237" s="76"/>
      <c r="AO237" s="81">
        <f t="shared" si="273"/>
        <v>20</v>
      </c>
      <c r="AP237" s="81">
        <f t="shared" si="274"/>
        <v>40</v>
      </c>
      <c r="AQ237" s="81">
        <f t="shared" si="275"/>
        <v>35</v>
      </c>
      <c r="AR237" s="3"/>
      <c r="AS237" s="76">
        <f t="shared" si="227"/>
        <v>31.746031746031747</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x14ac:dyDescent="0.3">
      <c r="A238" s="8" t="s">
        <v>21</v>
      </c>
      <c r="B238" s="9" t="s">
        <v>174</v>
      </c>
      <c r="C238" s="7"/>
      <c r="D238" s="7"/>
      <c r="E238" s="7"/>
      <c r="F238" s="71"/>
      <c r="G238" s="51">
        <f t="shared" si="252"/>
        <v>3</v>
      </c>
      <c r="H238" s="52">
        <f t="shared" si="253"/>
        <v>13.043478260869565</v>
      </c>
      <c r="I238" s="53">
        <f>COUNTIFS('00 Encuesta'!$B$2:$B$511,"*d)*",'00 Encuesta'!$C$2:$C$511,"*a)*",'00 Encuesta'!$E$2:$E$511,"*a)*",'00 Encuesta'!$AE$2:$AE$511,"*d)*")</f>
        <v>2</v>
      </c>
      <c r="J238" s="52">
        <f t="shared" si="254"/>
        <v>14.285714285714285</v>
      </c>
      <c r="K238" s="53">
        <f>COUNTIFS('00 Encuesta'!$B$2:$B$511,"*d)*",'00 Encuesta'!$C$2:$C$511,"*a)*",'00 Encuesta'!$E$2:$E$511,"*b)*",'00 Encuesta'!$AE$2:$AE$511,"*d)*")</f>
        <v>1</v>
      </c>
      <c r="L238" s="52">
        <f t="shared" si="255"/>
        <v>11.111111111111111</v>
      </c>
      <c r="M238" s="23"/>
      <c r="N238" s="51">
        <f t="shared" si="256"/>
        <v>2</v>
      </c>
      <c r="O238" s="52">
        <f t="shared" si="257"/>
        <v>10</v>
      </c>
      <c r="P238" s="53">
        <f>COUNTIFS('00 Encuesta'!$B$2:$B$511,"*d)*",'00 Encuesta'!$C$2:$C$511,"*b)*",'00 Encuesta'!$E$2:$E$511,"*a)*",'00 Encuesta'!$AE$2:$AE$511,"*d)*")</f>
        <v>0</v>
      </c>
      <c r="Q238" s="52">
        <f t="shared" si="258"/>
        <v>0</v>
      </c>
      <c r="R238" s="53">
        <f>COUNTIFS('00 Encuesta'!$B$2:$B$511,"*d)*",'00 Encuesta'!$C$2:$C$511,"*b)*",'00 Encuesta'!$E$2:$E$511,"*b)*",'00 Encuesta'!$AE$2:$AE$511,"*d)*")</f>
        <v>2</v>
      </c>
      <c r="S238" s="52">
        <f t="shared" si="259"/>
        <v>15.384615384615385</v>
      </c>
      <c r="T238" s="3"/>
      <c r="U238" s="51">
        <f t="shared" si="260"/>
        <v>1</v>
      </c>
      <c r="V238" s="52">
        <f t="shared" si="261"/>
        <v>5</v>
      </c>
      <c r="W238" s="53">
        <f>COUNTIFS('00 Encuesta'!$B$2:$B$511,"*d)*",'00 Encuesta'!$C$2:$C$511,"*c)*",'00 Encuesta'!$E$2:$E$511,"*a)*",'00 Encuesta'!$AE$2:$AE$511,"*d)*")</f>
        <v>0</v>
      </c>
      <c r="X238" s="52">
        <f t="shared" si="262"/>
        <v>0</v>
      </c>
      <c r="Y238" s="53">
        <f>COUNTIFS('00 Encuesta'!$B$2:$B$511,"*d)*",'00 Encuesta'!$C$2:$C$511,"*c)*",'00 Encuesta'!$E$2:$E$511,"*b)*",'00 Encuesta'!$AE$2:$AE$511,"*d)*")</f>
        <v>1</v>
      </c>
      <c r="Z238" s="52">
        <f t="shared" si="263"/>
        <v>6.666666666666667</v>
      </c>
      <c r="AA238" s="3"/>
      <c r="AB238" s="62">
        <f t="shared" si="264"/>
        <v>6</v>
      </c>
      <c r="AC238" s="52">
        <f t="shared" si="265"/>
        <v>9.5238095238095237</v>
      </c>
      <c r="AD238" s="3"/>
      <c r="AE238" s="3"/>
      <c r="AF238" s="9" t="str">
        <f t="shared" si="266"/>
        <v>d) Desarrollarme personalmente</v>
      </c>
      <c r="AG238" s="72">
        <f t="shared" si="267"/>
        <v>14.285714285714285</v>
      </c>
      <c r="AH238" s="72">
        <f t="shared" si="268"/>
        <v>11.111111111111111</v>
      </c>
      <c r="AI238" s="73">
        <f t="shared" si="269"/>
        <v>13.043478260869565</v>
      </c>
      <c r="AJ238" s="73"/>
      <c r="AK238" s="76">
        <f t="shared" si="270"/>
        <v>0</v>
      </c>
      <c r="AL238" s="76">
        <f t="shared" si="271"/>
        <v>15.384615384615385</v>
      </c>
      <c r="AM238" s="76">
        <f t="shared" si="272"/>
        <v>10</v>
      </c>
      <c r="AN238" s="76"/>
      <c r="AO238" s="81">
        <f t="shared" si="273"/>
        <v>0</v>
      </c>
      <c r="AP238" s="81">
        <f t="shared" si="274"/>
        <v>6.666666666666667</v>
      </c>
      <c r="AQ238" s="81">
        <f t="shared" si="275"/>
        <v>5</v>
      </c>
      <c r="AR238" s="3"/>
      <c r="AS238" s="76">
        <f t="shared" si="227"/>
        <v>9.5238095238095237</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3</v>
      </c>
      <c r="H239" s="52">
        <f t="shared" si="253"/>
        <v>13.043478260869565</v>
      </c>
      <c r="I239" s="53">
        <f>COUNTIFS('00 Encuesta'!$B$2:$B$511,"*d)*",'00 Encuesta'!$C$2:$C$511,"*a)*",'00 Encuesta'!$E$2:$E$511,"*a)*",'00 Encuesta'!$AE$2:$AE$511,"*e)*")</f>
        <v>0</v>
      </c>
      <c r="J239" s="52">
        <f t="shared" si="254"/>
        <v>0</v>
      </c>
      <c r="K239" s="53">
        <f>COUNTIFS('00 Encuesta'!$B$2:$B$511,"*d)*",'00 Encuesta'!$C$2:$C$511,"*a)*",'00 Encuesta'!$E$2:$E$511,"*b)*",'00 Encuesta'!$AE$2:$AE$511,"*e)*")</f>
        <v>3</v>
      </c>
      <c r="L239" s="52">
        <f t="shared" si="255"/>
        <v>33.333333333333329</v>
      </c>
      <c r="M239" s="23"/>
      <c r="N239" s="51">
        <f t="shared" si="256"/>
        <v>3</v>
      </c>
      <c r="O239" s="52">
        <f t="shared" si="257"/>
        <v>15</v>
      </c>
      <c r="P239" s="53">
        <f>COUNTIFS('00 Encuesta'!$B$2:$B$511,"*d)*",'00 Encuesta'!$C$2:$C$511,"*b)*",'00 Encuesta'!$E$2:$E$511,"*a)*",'00 Encuesta'!$AE$2:$AE$511,"*e)*")</f>
        <v>0</v>
      </c>
      <c r="Q239" s="52">
        <f t="shared" si="258"/>
        <v>0</v>
      </c>
      <c r="R239" s="53">
        <f>COUNTIFS('00 Encuesta'!$B$2:$B$511,"*d)*",'00 Encuesta'!$C$2:$C$511,"*b)*",'00 Encuesta'!$E$2:$E$511,"*b)*",'00 Encuesta'!$AE$2:$AE$511,"*e)*")</f>
        <v>3</v>
      </c>
      <c r="S239" s="52">
        <f t="shared" si="259"/>
        <v>23.076923076923077</v>
      </c>
      <c r="T239" s="3"/>
      <c r="U239" s="51">
        <f t="shared" si="260"/>
        <v>5</v>
      </c>
      <c r="V239" s="52">
        <f t="shared" si="261"/>
        <v>25</v>
      </c>
      <c r="W239" s="53">
        <f>COUNTIFS('00 Encuesta'!$B$2:$B$511,"*d)*",'00 Encuesta'!$C$2:$C$511,"*c)*",'00 Encuesta'!$E$2:$E$511,"*a)*",'00 Encuesta'!$AE$2:$AE$511,"*e)*")</f>
        <v>0</v>
      </c>
      <c r="X239" s="52">
        <f t="shared" si="262"/>
        <v>0</v>
      </c>
      <c r="Y239" s="53">
        <f>COUNTIFS('00 Encuesta'!$B$2:$B$511,"*d)*",'00 Encuesta'!$C$2:$C$511,"*c)*",'00 Encuesta'!$E$2:$E$511,"*b)*",'00 Encuesta'!$AE$2:$AE$511,"*e)*")</f>
        <v>5</v>
      </c>
      <c r="Z239" s="52">
        <f t="shared" si="263"/>
        <v>33.333333333333329</v>
      </c>
      <c r="AA239" s="3"/>
      <c r="AB239" s="62">
        <f t="shared" si="264"/>
        <v>11</v>
      </c>
      <c r="AC239" s="52">
        <f t="shared" si="265"/>
        <v>17.460317460317459</v>
      </c>
      <c r="AD239" s="3"/>
      <c r="AE239" s="3"/>
      <c r="AF239" s="9" t="str">
        <f t="shared" si="266"/>
        <v>e) Servir a los demás</v>
      </c>
      <c r="AG239" s="72">
        <f t="shared" si="267"/>
        <v>0</v>
      </c>
      <c r="AH239" s="72">
        <f t="shared" si="268"/>
        <v>33.333333333333329</v>
      </c>
      <c r="AI239" s="73">
        <f t="shared" si="269"/>
        <v>13.043478260869565</v>
      </c>
      <c r="AJ239" s="73"/>
      <c r="AK239" s="76">
        <f t="shared" si="270"/>
        <v>0</v>
      </c>
      <c r="AL239" s="76">
        <f t="shared" si="271"/>
        <v>23.076923076923077</v>
      </c>
      <c r="AM239" s="76">
        <f t="shared" si="272"/>
        <v>15</v>
      </c>
      <c r="AN239" s="76"/>
      <c r="AO239" s="81">
        <f t="shared" si="273"/>
        <v>0</v>
      </c>
      <c r="AP239" s="81">
        <f t="shared" si="274"/>
        <v>33.333333333333329</v>
      </c>
      <c r="AQ239" s="81">
        <f t="shared" si="275"/>
        <v>25</v>
      </c>
      <c r="AR239" s="3"/>
      <c r="AS239" s="76">
        <f t="shared" si="227"/>
        <v>17.460317460317459</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x14ac:dyDescent="0.3">
      <c r="A240" s="8" t="s">
        <v>45</v>
      </c>
      <c r="B240" s="9" t="s">
        <v>176</v>
      </c>
      <c r="C240" s="7"/>
      <c r="D240" s="7"/>
      <c r="E240" s="7"/>
      <c r="F240" s="71"/>
      <c r="G240" s="51">
        <f t="shared" si="252"/>
        <v>0</v>
      </c>
      <c r="H240" s="52">
        <f t="shared" si="253"/>
        <v>0</v>
      </c>
      <c r="I240" s="53">
        <f>COUNTIFS('00 Encuesta'!$B$2:$B$511,"*d)*",'00 Encuesta'!$C$2:$C$511,"*a)*",'00 Encuesta'!$E$2:$E$511,"*a)*",'00 Encuesta'!$AE$2:$AE$511,"*f)*")</f>
        <v>0</v>
      </c>
      <c r="J240" s="52">
        <f t="shared" si="254"/>
        <v>0</v>
      </c>
      <c r="K240" s="53">
        <f>COUNTIFS('00 Encuesta'!$B$2:$B$511,"*d)*",'00 Encuesta'!$C$2:$C$511,"*a)*",'00 Encuesta'!$E$2:$E$511,"*b)*",'00 Encuesta'!$AE$2:$AE$511,"*f)*")</f>
        <v>0</v>
      </c>
      <c r="L240" s="52">
        <f t="shared" si="255"/>
        <v>0</v>
      </c>
      <c r="M240" s="23"/>
      <c r="N240" s="51">
        <f t="shared" si="256"/>
        <v>0</v>
      </c>
      <c r="O240" s="52">
        <f t="shared" si="257"/>
        <v>0</v>
      </c>
      <c r="P240" s="53">
        <f>COUNTIFS('00 Encuesta'!$B$2:$B$511,"*d)*",'00 Encuesta'!$C$2:$C$511,"*b)*",'00 Encuesta'!$E$2:$E$511,"*a)*",'00 Encuesta'!$AE$2:$AE$511,"*f)*")</f>
        <v>0</v>
      </c>
      <c r="Q240" s="52">
        <f t="shared" si="258"/>
        <v>0</v>
      </c>
      <c r="R240" s="53">
        <f>COUNTIFS('00 Encuesta'!$B$2:$B$511,"*d)*",'00 Encuesta'!$C$2:$C$511,"*b)*",'00 Encuesta'!$E$2:$E$511,"*b)*",'00 Encuesta'!$AE$2:$AE$511,"*f)*")</f>
        <v>0</v>
      </c>
      <c r="S240" s="52">
        <f t="shared" si="259"/>
        <v>0</v>
      </c>
      <c r="T240" s="3"/>
      <c r="U240" s="51">
        <f t="shared" si="260"/>
        <v>1</v>
      </c>
      <c r="V240" s="52">
        <f t="shared" si="261"/>
        <v>5</v>
      </c>
      <c r="W240" s="53">
        <f>COUNTIFS('00 Encuesta'!$B$2:$B$511,"*d)*",'00 Encuesta'!$C$2:$C$511,"*c)*",'00 Encuesta'!$E$2:$E$511,"*a)*",'00 Encuesta'!$AE$2:$AE$511,"*f)*")</f>
        <v>0</v>
      </c>
      <c r="X240" s="52">
        <f t="shared" si="262"/>
        <v>0</v>
      </c>
      <c r="Y240" s="53">
        <f>COUNTIFS('00 Encuesta'!$B$2:$B$511,"*d)*",'00 Encuesta'!$C$2:$C$511,"*c)*",'00 Encuesta'!$E$2:$E$511,"*b)*",'00 Encuesta'!$AE$2:$AE$511,"*f)*")</f>
        <v>1</v>
      </c>
      <c r="Z240" s="52">
        <f t="shared" si="263"/>
        <v>6.666666666666667</v>
      </c>
      <c r="AA240" s="3"/>
      <c r="AB240" s="62">
        <f t="shared" si="264"/>
        <v>1</v>
      </c>
      <c r="AC240" s="52">
        <f t="shared" si="265"/>
        <v>1.5873015873015872</v>
      </c>
      <c r="AD240" s="3"/>
      <c r="AE240" s="3"/>
      <c r="AF240" s="9" t="str">
        <f t="shared" si="266"/>
        <v>f) Ejecutar una tarea conforme a mi fe</v>
      </c>
      <c r="AG240" s="72">
        <f t="shared" si="267"/>
        <v>0</v>
      </c>
      <c r="AH240" s="72">
        <f t="shared" si="268"/>
        <v>0</v>
      </c>
      <c r="AI240" s="73">
        <f t="shared" si="269"/>
        <v>0</v>
      </c>
      <c r="AJ240" s="73"/>
      <c r="AK240" s="76">
        <f t="shared" si="270"/>
        <v>0</v>
      </c>
      <c r="AL240" s="76">
        <f t="shared" si="271"/>
        <v>0</v>
      </c>
      <c r="AM240" s="76">
        <f t="shared" si="272"/>
        <v>0</v>
      </c>
      <c r="AN240" s="76"/>
      <c r="AO240" s="81">
        <f t="shared" si="273"/>
        <v>0</v>
      </c>
      <c r="AP240" s="81">
        <f t="shared" si="274"/>
        <v>6.666666666666667</v>
      </c>
      <c r="AQ240" s="81">
        <f t="shared" si="275"/>
        <v>5</v>
      </c>
      <c r="AR240" s="3"/>
      <c r="AS240" s="76">
        <f t="shared" si="227"/>
        <v>1.5873015873015872</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x14ac:dyDescent="0.3">
      <c r="A241" s="8" t="s">
        <v>23</v>
      </c>
      <c r="B241" s="9" t="s">
        <v>24</v>
      </c>
      <c r="C241" s="7"/>
      <c r="D241" s="7"/>
      <c r="E241" s="7"/>
      <c r="F241" s="71"/>
      <c r="G241" s="51">
        <f t="shared" si="252"/>
        <v>0</v>
      </c>
      <c r="H241" s="52">
        <f t="shared" si="253"/>
        <v>0</v>
      </c>
      <c r="I241" s="53"/>
      <c r="J241" s="52">
        <f t="shared" si="254"/>
        <v>0</v>
      </c>
      <c r="K241" s="53"/>
      <c r="L241" s="52">
        <f t="shared" si="255"/>
        <v>0</v>
      </c>
      <c r="M241" s="23"/>
      <c r="N241" s="51">
        <f t="shared" si="256"/>
        <v>0</v>
      </c>
      <c r="O241" s="52">
        <f t="shared" si="257"/>
        <v>0</v>
      </c>
      <c r="P241" s="53"/>
      <c r="Q241" s="52">
        <f t="shared" si="258"/>
        <v>0</v>
      </c>
      <c r="R241" s="53"/>
      <c r="S241" s="52">
        <f t="shared" si="259"/>
        <v>0</v>
      </c>
      <c r="T241" s="3"/>
      <c r="U241" s="51">
        <f t="shared" si="260"/>
        <v>0</v>
      </c>
      <c r="V241" s="52">
        <f t="shared" si="261"/>
        <v>0</v>
      </c>
      <c r="W241" s="53"/>
      <c r="X241" s="52">
        <f t="shared" si="262"/>
        <v>0</v>
      </c>
      <c r="Y241" s="53"/>
      <c r="Z241" s="52">
        <f t="shared" si="263"/>
        <v>0</v>
      </c>
      <c r="AA241" s="3"/>
      <c r="AB241" s="62">
        <f t="shared" si="264"/>
        <v>0</v>
      </c>
      <c r="AC241" s="52">
        <f t="shared" si="265"/>
        <v>0</v>
      </c>
      <c r="AD241" s="3"/>
      <c r="AE241" s="3"/>
      <c r="AF241" s="9" t="str">
        <f t="shared" si="266"/>
        <v>S/R Sin Respuesta</v>
      </c>
      <c r="AG241" s="72">
        <f t="shared" si="267"/>
        <v>0</v>
      </c>
      <c r="AH241" s="72">
        <f t="shared" si="268"/>
        <v>0</v>
      </c>
      <c r="AI241" s="73">
        <f t="shared" si="269"/>
        <v>0</v>
      </c>
      <c r="AJ241" s="73"/>
      <c r="AK241" s="76">
        <f t="shared" si="270"/>
        <v>0</v>
      </c>
      <c r="AL241" s="76">
        <f t="shared" si="271"/>
        <v>0</v>
      </c>
      <c r="AM241" s="76">
        <f t="shared" si="272"/>
        <v>0</v>
      </c>
      <c r="AN241" s="76"/>
      <c r="AO241" s="81">
        <f t="shared" si="273"/>
        <v>0</v>
      </c>
      <c r="AP241" s="81">
        <f t="shared" si="274"/>
        <v>0</v>
      </c>
      <c r="AQ241" s="81">
        <f t="shared" si="275"/>
        <v>0</v>
      </c>
      <c r="AR241" s="3"/>
      <c r="AS241" s="76">
        <f t="shared" si="227"/>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x14ac:dyDescent="0.3">
      <c r="A244" s="8" t="s">
        <v>17</v>
      </c>
      <c r="B244" s="9" t="s">
        <v>178</v>
      </c>
      <c r="C244" s="7"/>
      <c r="D244" s="7"/>
      <c r="E244" s="7"/>
      <c r="F244" s="71">
        <v>0</v>
      </c>
      <c r="G244" s="51">
        <f t="shared" ref="G244:G249" si="276">I244+K244</f>
        <v>2</v>
      </c>
      <c r="H244" s="52">
        <f t="shared" ref="H244:H249" si="277">G244/$J$5*100</f>
        <v>8.695652173913043</v>
      </c>
      <c r="I244" s="53">
        <f>COUNTIFS('00 Encuesta'!$B$2:$B$511,"*d)*",'00 Encuesta'!$C$2:$C$511,"*a)*",'00 Encuesta'!$E$2:$E$511,"*a)*",'00 Encuesta'!$AF$2:$AF$511,"*a)*")</f>
        <v>2</v>
      </c>
      <c r="J244" s="52">
        <f t="shared" ref="J244:J249" si="278">I244/$J$6*100</f>
        <v>14.285714285714285</v>
      </c>
      <c r="K244" s="53">
        <f>COUNTIFS('00 Encuesta'!$B$2:$B$511,"*d)*",'00 Encuesta'!$C$2:$C$511,"*a)*",'00 Encuesta'!$E$2:$E$511,"*b)*",'00 Encuesta'!$AF$2:$AF$511,"*a)*")</f>
        <v>0</v>
      </c>
      <c r="L244" s="52">
        <f>K244/$J$7*100</f>
        <v>0</v>
      </c>
      <c r="M244" s="23"/>
      <c r="N244" s="51">
        <f>P244+R244</f>
        <v>1</v>
      </c>
      <c r="O244" s="52">
        <f>N244/$Q$5*100</f>
        <v>5</v>
      </c>
      <c r="P244" s="53">
        <f>COUNTIFS('00 Encuesta'!$B$2:$B$511,"*d)*",'00 Encuesta'!$C$2:$C$511,"*b)*",'00 Encuesta'!$E$2:$E$511,"*a)*",'00 Encuesta'!$AF$2:$AF$511,"*a)*")</f>
        <v>1</v>
      </c>
      <c r="Q244" s="52">
        <f>P244/$Q$6*100</f>
        <v>14.285714285714285</v>
      </c>
      <c r="R244" s="53">
        <f>COUNTIFS('00 Encuesta'!$B$2:$B$511,"*d)*",'00 Encuesta'!$C$2:$C$511,"*b)*",'00 Encuesta'!$E$2:$E$511,"*b)*",'00 Encuesta'!$AF$2:$AF$511,"*a)*")</f>
        <v>0</v>
      </c>
      <c r="S244" s="52">
        <f>R244/$Q$7*100</f>
        <v>0</v>
      </c>
      <c r="T244" s="3"/>
      <c r="U244" s="51">
        <f>W244+Y244</f>
        <v>2</v>
      </c>
      <c r="V244" s="52">
        <f>U244/$X$5*100</f>
        <v>10</v>
      </c>
      <c r="W244" s="53">
        <f>COUNTIFS('00 Encuesta'!$B$2:$B$511,"*d)*",'00 Encuesta'!$C$2:$C$511,"*c)*",'00 Encuesta'!$E$2:$E$511,"*a)*",'00 Encuesta'!$AF$2:$AF$511,"*a)*")</f>
        <v>2</v>
      </c>
      <c r="X244" s="52">
        <f>W244/$X$6*100</f>
        <v>40</v>
      </c>
      <c r="Y244" s="53">
        <f>COUNTIFS('00 Encuesta'!$B$2:$B$511,"*d)*",'00 Encuesta'!$C$2:$C$511,"*c)*",'00 Encuesta'!$E$2:$E$511,"*b)*",'00 Encuesta'!$AF$2:$AF$511,"*a)*")</f>
        <v>0</v>
      </c>
      <c r="Z244" s="52">
        <f t="shared" ref="Z244:Z249" si="279">Y244/$X$7*100</f>
        <v>0</v>
      </c>
      <c r="AA244" s="3"/>
      <c r="AB244" s="62">
        <f t="shared" ref="AB244:AB249" si="280">G244+N244+U244</f>
        <v>5</v>
      </c>
      <c r="AC244" s="52">
        <f t="shared" ref="AC244:AC249" si="281">AB244*100/$AC$5</f>
        <v>7.9365079365079367</v>
      </c>
      <c r="AD244" s="3"/>
      <c r="AE244" s="3"/>
      <c r="AF244" s="9" t="str">
        <f t="shared" ref="AF244:AF249" si="282">A244&amp;" "&amp;B244</f>
        <v>a) No, en absoluto</v>
      </c>
      <c r="AG244" s="72">
        <f t="shared" ref="AG244:AG249" si="283">J244</f>
        <v>14.285714285714285</v>
      </c>
      <c r="AH244" s="72">
        <f t="shared" ref="AH244:AH249" si="284">L244</f>
        <v>0</v>
      </c>
      <c r="AI244" s="73">
        <f t="shared" ref="AI244:AI249" si="285">H244</f>
        <v>8.695652173913043</v>
      </c>
      <c r="AJ244" s="73"/>
      <c r="AK244" s="76">
        <f t="shared" ref="AK244:AK249" si="286">Q244</f>
        <v>14.285714285714285</v>
      </c>
      <c r="AL244" s="76">
        <f t="shared" ref="AL244:AL249" si="287">S244</f>
        <v>0</v>
      </c>
      <c r="AM244" s="76">
        <f t="shared" ref="AM244:AM249" si="288">O244</f>
        <v>5</v>
      </c>
      <c r="AN244" s="76"/>
      <c r="AO244" s="81">
        <f t="shared" ref="AO244:AO249" si="289">X244</f>
        <v>40</v>
      </c>
      <c r="AP244" s="81">
        <f t="shared" ref="AP244:AP249" si="290">Z244</f>
        <v>0</v>
      </c>
      <c r="AQ244" s="81">
        <f t="shared" ref="AQ244:AQ249" si="291">V244</f>
        <v>10</v>
      </c>
      <c r="AR244" s="3"/>
      <c r="AS244" s="76">
        <f t="shared" si="227"/>
        <v>7.9365079365079367</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x14ac:dyDescent="0.3">
      <c r="A245" s="8" t="s">
        <v>18</v>
      </c>
      <c r="B245" s="9" t="s">
        <v>104</v>
      </c>
      <c r="C245" s="7"/>
      <c r="D245" s="7"/>
      <c r="E245" s="7"/>
      <c r="F245" s="71">
        <v>33.33</v>
      </c>
      <c r="G245" s="51">
        <f t="shared" si="276"/>
        <v>5</v>
      </c>
      <c r="H245" s="52">
        <f t="shared" si="277"/>
        <v>21.739130434782609</v>
      </c>
      <c r="I245" s="53">
        <f>COUNTIFS('00 Encuesta'!$B$2:$B$511,"*d)*",'00 Encuesta'!$C$2:$C$511,"*a)*",'00 Encuesta'!$E$2:$E$511,"*a)*",'00 Encuesta'!$AF$2:$AF$511,"*b)*")</f>
        <v>4</v>
      </c>
      <c r="J245" s="52">
        <f t="shared" si="278"/>
        <v>28.571428571428569</v>
      </c>
      <c r="K245" s="53">
        <f>COUNTIFS('00 Encuesta'!$B$2:$B$511,"*d)*",'00 Encuesta'!$C$2:$C$511,"*a)*",'00 Encuesta'!$E$2:$E$511,"*b)*",'00 Encuesta'!$AF$2:$AF$511,"*b)*")</f>
        <v>1</v>
      </c>
      <c r="L245" s="52">
        <f>K245/$J$7*100</f>
        <v>11.111111111111111</v>
      </c>
      <c r="M245" s="23"/>
      <c r="N245" s="51">
        <f>P245+R245</f>
        <v>4</v>
      </c>
      <c r="O245" s="52">
        <f>N245/$Q$5*100</f>
        <v>20</v>
      </c>
      <c r="P245" s="53">
        <f>COUNTIFS('00 Encuesta'!$B$2:$B$511,"*d)*",'00 Encuesta'!$C$2:$C$511,"*b)*",'00 Encuesta'!$E$2:$E$511,"*a)*",'00 Encuesta'!$AF$2:$AF$511,"*b)*")</f>
        <v>3</v>
      </c>
      <c r="Q245" s="52">
        <f>P245/$Q$6*100</f>
        <v>42.857142857142854</v>
      </c>
      <c r="R245" s="53">
        <f>COUNTIFS('00 Encuesta'!$B$2:$B$511,"*d)*",'00 Encuesta'!$C$2:$C$511,"*b)*",'00 Encuesta'!$E$2:$E$511,"*b)*",'00 Encuesta'!$AF$2:$AF$511,"*b)*")</f>
        <v>1</v>
      </c>
      <c r="S245" s="52">
        <f>R245/$Q$7*100</f>
        <v>7.6923076923076925</v>
      </c>
      <c r="T245" s="3"/>
      <c r="U245" s="51">
        <f>W245+Y245</f>
        <v>2</v>
      </c>
      <c r="V245" s="52">
        <f>U245/$X$5*100</f>
        <v>10</v>
      </c>
      <c r="W245" s="53">
        <f>COUNTIFS('00 Encuesta'!$B$2:$B$511,"*d)*",'00 Encuesta'!$C$2:$C$511,"*c)*",'00 Encuesta'!$E$2:$E$511,"*a)*",'00 Encuesta'!$AF$2:$AF$511,"*b)*")</f>
        <v>1</v>
      </c>
      <c r="X245" s="52">
        <f>W245/$X$6*100</f>
        <v>20</v>
      </c>
      <c r="Y245" s="53">
        <f>COUNTIFS('00 Encuesta'!$B$2:$B$511,"*d)*",'00 Encuesta'!$C$2:$C$511,"*c)*",'00 Encuesta'!$E$2:$E$511,"*b)*",'00 Encuesta'!$AF$2:$AF$511,"*b)*")</f>
        <v>1</v>
      </c>
      <c r="Z245" s="52">
        <f t="shared" si="279"/>
        <v>6.666666666666667</v>
      </c>
      <c r="AA245" s="3"/>
      <c r="AB245" s="62">
        <f t="shared" si="280"/>
        <v>11</v>
      </c>
      <c r="AC245" s="52">
        <f t="shared" si="281"/>
        <v>17.460317460317459</v>
      </c>
      <c r="AD245" s="3"/>
      <c r="AE245" s="3"/>
      <c r="AF245" s="9" t="str">
        <f t="shared" si="282"/>
        <v>b) Poco</v>
      </c>
      <c r="AG245" s="72">
        <f t="shared" si="283"/>
        <v>28.571428571428569</v>
      </c>
      <c r="AH245" s="72">
        <f t="shared" si="284"/>
        <v>11.111111111111111</v>
      </c>
      <c r="AI245" s="73">
        <f t="shared" si="285"/>
        <v>21.739130434782609</v>
      </c>
      <c r="AJ245" s="73"/>
      <c r="AK245" s="76">
        <f t="shared" si="286"/>
        <v>42.857142857142854</v>
      </c>
      <c r="AL245" s="76">
        <f t="shared" si="287"/>
        <v>7.6923076923076925</v>
      </c>
      <c r="AM245" s="76">
        <f t="shared" si="288"/>
        <v>20</v>
      </c>
      <c r="AN245" s="76"/>
      <c r="AO245" s="81">
        <f t="shared" si="289"/>
        <v>20</v>
      </c>
      <c r="AP245" s="81">
        <f t="shared" si="290"/>
        <v>6.666666666666667</v>
      </c>
      <c r="AQ245" s="81">
        <f t="shared" si="291"/>
        <v>10</v>
      </c>
      <c r="AR245" s="3"/>
      <c r="AS245" s="76">
        <f t="shared" si="227"/>
        <v>17.460317460317459</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x14ac:dyDescent="0.3">
      <c r="A246" s="8" t="s">
        <v>20</v>
      </c>
      <c r="B246" s="9" t="s">
        <v>179</v>
      </c>
      <c r="C246" s="7"/>
      <c r="D246" s="7"/>
      <c r="E246" s="7"/>
      <c r="F246" s="71">
        <v>66.66</v>
      </c>
      <c r="G246" s="51">
        <f t="shared" si="276"/>
        <v>11</v>
      </c>
      <c r="H246" s="52">
        <f t="shared" si="277"/>
        <v>47.826086956521742</v>
      </c>
      <c r="I246" s="53">
        <f>COUNTIFS('00 Encuesta'!$B$2:$B$511,"*d)*",'00 Encuesta'!$C$2:$C$511,"*a)*",'00 Encuesta'!$E$2:$E$511,"*a)*",'00 Encuesta'!$AF$2:$AF$511,"*c)*")</f>
        <v>5</v>
      </c>
      <c r="J246" s="52">
        <f t="shared" si="278"/>
        <v>35.714285714285715</v>
      </c>
      <c r="K246" s="53">
        <f>COUNTIFS('00 Encuesta'!$B$2:$B$511,"*d)*",'00 Encuesta'!$C$2:$C$511,"*a)*",'00 Encuesta'!$E$2:$E$511,"*b)*",'00 Encuesta'!$AF$2:$AF$511,"*c)*")</f>
        <v>6</v>
      </c>
      <c r="L246" s="52">
        <f>K246/$J$7*100</f>
        <v>66.666666666666657</v>
      </c>
      <c r="M246" s="23"/>
      <c r="N246" s="51">
        <f>P246+R246</f>
        <v>10</v>
      </c>
      <c r="O246" s="52">
        <f>N246/$Q$5*100</f>
        <v>50</v>
      </c>
      <c r="P246" s="53">
        <f>COUNTIFS('00 Encuesta'!$B$2:$B$511,"*d)*",'00 Encuesta'!$C$2:$C$511,"*b)*",'00 Encuesta'!$E$2:$E$511,"*a)*",'00 Encuesta'!$AF$2:$AF$511,"*c)*")</f>
        <v>2</v>
      </c>
      <c r="Q246" s="52">
        <f>P246/$Q$6*100</f>
        <v>28.571428571428569</v>
      </c>
      <c r="R246" s="53">
        <f>COUNTIFS('00 Encuesta'!$B$2:$B$511,"*d)*",'00 Encuesta'!$C$2:$C$511,"*b)*",'00 Encuesta'!$E$2:$E$511,"*b)*",'00 Encuesta'!$AF$2:$AF$511,"*c)*")</f>
        <v>8</v>
      </c>
      <c r="S246" s="52">
        <f>R246/$Q$7*100</f>
        <v>61.53846153846154</v>
      </c>
      <c r="T246" s="3"/>
      <c r="U246" s="51">
        <f>W246+Y246</f>
        <v>9</v>
      </c>
      <c r="V246" s="52">
        <f>U246/$X$5*100</f>
        <v>45</v>
      </c>
      <c r="W246" s="53">
        <f>COUNTIFS('00 Encuesta'!$B$2:$B$511,"*d)*",'00 Encuesta'!$C$2:$C$511,"*c)*",'00 Encuesta'!$E$2:$E$511,"*a)*",'00 Encuesta'!$AF$2:$AF$511,"*c)*")</f>
        <v>1</v>
      </c>
      <c r="X246" s="52">
        <f>W246/$X$6*100</f>
        <v>20</v>
      </c>
      <c r="Y246" s="53">
        <f>COUNTIFS('00 Encuesta'!$B$2:$B$511,"*d)*",'00 Encuesta'!$C$2:$C$511,"*c)*",'00 Encuesta'!$E$2:$E$511,"*b)*",'00 Encuesta'!$AF$2:$AF$511,"*c)*")</f>
        <v>8</v>
      </c>
      <c r="Z246" s="52">
        <f t="shared" si="279"/>
        <v>53.333333333333336</v>
      </c>
      <c r="AA246" s="3"/>
      <c r="AB246" s="62">
        <f t="shared" si="280"/>
        <v>30</v>
      </c>
      <c r="AC246" s="52">
        <f t="shared" si="281"/>
        <v>47.61904761904762</v>
      </c>
      <c r="AD246" s="3"/>
      <c r="AE246" s="3"/>
      <c r="AF246" s="9" t="str">
        <f t="shared" si="282"/>
        <v>c) Bastante</v>
      </c>
      <c r="AG246" s="72">
        <f t="shared" si="283"/>
        <v>35.714285714285715</v>
      </c>
      <c r="AH246" s="72">
        <f t="shared" si="284"/>
        <v>66.666666666666657</v>
      </c>
      <c r="AI246" s="73">
        <f t="shared" si="285"/>
        <v>47.826086956521742</v>
      </c>
      <c r="AJ246" s="73"/>
      <c r="AK246" s="76">
        <f t="shared" si="286"/>
        <v>28.571428571428569</v>
      </c>
      <c r="AL246" s="76">
        <f t="shared" si="287"/>
        <v>61.53846153846154</v>
      </c>
      <c r="AM246" s="76">
        <f t="shared" si="288"/>
        <v>50</v>
      </c>
      <c r="AN246" s="76"/>
      <c r="AO246" s="81">
        <f t="shared" si="289"/>
        <v>20</v>
      </c>
      <c r="AP246" s="81">
        <f t="shared" si="290"/>
        <v>53.333333333333336</v>
      </c>
      <c r="AQ246" s="81">
        <f t="shared" si="291"/>
        <v>45</v>
      </c>
      <c r="AR246" s="3"/>
      <c r="AS246" s="76">
        <f t="shared" si="227"/>
        <v>47.61904761904762</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3</v>
      </c>
      <c r="H247" s="52">
        <f t="shared" si="277"/>
        <v>13.043478260869565</v>
      </c>
      <c r="I247" s="53">
        <f>COUNTIFS('00 Encuesta'!$B$2:$B$511,"*d)*",'00 Encuesta'!$C$2:$C$511,"*a)*",'00 Encuesta'!$E$2:$E$511,"*a)*",'00 Encuesta'!$AF$2:$AF$511,"*d)*")</f>
        <v>1</v>
      </c>
      <c r="J247" s="52">
        <f t="shared" si="278"/>
        <v>7.1428571428571423</v>
      </c>
      <c r="K247" s="53">
        <f>COUNTIFS('00 Encuesta'!$B$2:$B$511,"*d)*",'00 Encuesta'!$C$2:$C$511,"*a)*",'00 Encuesta'!$E$2:$E$511,"*b)*",'00 Encuesta'!$AF$2:$AF$511,"*d)*")</f>
        <v>2</v>
      </c>
      <c r="L247" s="52">
        <f>K247/$J$7*100</f>
        <v>22.222222222222221</v>
      </c>
      <c r="M247" s="23"/>
      <c r="N247" s="51">
        <f>P247+R247</f>
        <v>3</v>
      </c>
      <c r="O247" s="52">
        <f>N247/$Q$5*100</f>
        <v>15</v>
      </c>
      <c r="P247" s="53">
        <f>COUNTIFS('00 Encuesta'!$B$2:$B$511,"*d)*",'00 Encuesta'!$C$2:$C$511,"*b)*",'00 Encuesta'!$E$2:$E$511,"*a)*",'00 Encuesta'!$AF$2:$AF$511,"*d)*")</f>
        <v>0</v>
      </c>
      <c r="Q247" s="52">
        <f>P247/$Q$6*100</f>
        <v>0</v>
      </c>
      <c r="R247" s="53">
        <f>COUNTIFS('00 Encuesta'!$B$2:$B$511,"*d)*",'00 Encuesta'!$C$2:$C$511,"*b)*",'00 Encuesta'!$E$2:$E$511,"*b)*",'00 Encuesta'!$AF$2:$AF$511,"*d)*")</f>
        <v>3</v>
      </c>
      <c r="S247" s="52">
        <f>R247/$Q$7*100</f>
        <v>23.076923076923077</v>
      </c>
      <c r="T247" s="3"/>
      <c r="U247" s="51">
        <f>W247+Y247</f>
        <v>5</v>
      </c>
      <c r="V247" s="52">
        <f>U247/$X$5*100</f>
        <v>25</v>
      </c>
      <c r="W247" s="53">
        <f>COUNTIFS('00 Encuesta'!$B$2:$B$511,"*d)*",'00 Encuesta'!$C$2:$C$511,"*c)*",'00 Encuesta'!$E$2:$E$511,"*a)*",'00 Encuesta'!$AF$2:$AF$511,"*d)*")</f>
        <v>0</v>
      </c>
      <c r="X247" s="52">
        <f>W247/$X$6*100</f>
        <v>0</v>
      </c>
      <c r="Y247" s="53">
        <f>COUNTIFS('00 Encuesta'!$B$2:$B$511,"*d)*",'00 Encuesta'!$C$2:$C$511,"*c)*",'00 Encuesta'!$E$2:$E$511,"*b)*",'00 Encuesta'!$AF$2:$AF$511,"*d)*")</f>
        <v>5</v>
      </c>
      <c r="Z247" s="52">
        <f t="shared" si="279"/>
        <v>33.333333333333329</v>
      </c>
      <c r="AA247" s="3"/>
      <c r="AB247" s="62">
        <f t="shared" si="280"/>
        <v>11</v>
      </c>
      <c r="AC247" s="52">
        <f t="shared" si="281"/>
        <v>17.460317460317459</v>
      </c>
      <c r="AD247" s="3"/>
      <c r="AE247" s="3"/>
      <c r="AF247" s="9" t="str">
        <f t="shared" si="282"/>
        <v>d) Mucho o muchísimo</v>
      </c>
      <c r="AG247" s="72">
        <f t="shared" si="283"/>
        <v>7.1428571428571423</v>
      </c>
      <c r="AH247" s="72">
        <f t="shared" si="284"/>
        <v>22.222222222222221</v>
      </c>
      <c r="AI247" s="73">
        <f t="shared" si="285"/>
        <v>13.043478260869565</v>
      </c>
      <c r="AJ247" s="73"/>
      <c r="AK247" s="76">
        <f t="shared" si="286"/>
        <v>0</v>
      </c>
      <c r="AL247" s="76">
        <f t="shared" si="287"/>
        <v>23.076923076923077</v>
      </c>
      <c r="AM247" s="76">
        <f t="shared" si="288"/>
        <v>15</v>
      </c>
      <c r="AN247" s="76"/>
      <c r="AO247" s="81">
        <f t="shared" si="289"/>
        <v>0</v>
      </c>
      <c r="AP247" s="81">
        <f t="shared" si="290"/>
        <v>33.333333333333329</v>
      </c>
      <c r="AQ247" s="81">
        <f t="shared" si="291"/>
        <v>25</v>
      </c>
      <c r="AR247" s="3"/>
      <c r="AS247" s="76">
        <f t="shared" si="227"/>
        <v>17.460317460317459</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1</v>
      </c>
      <c r="H248" s="52">
        <f t="shared" si="277"/>
        <v>4.3478260869565215</v>
      </c>
      <c r="I248" s="53">
        <f>COUNTIFS('00 Encuesta'!$B$2:$B$511,"*d)*",'00 Encuesta'!$C$2:$C$511,"*a)*",'00 Encuesta'!$E$2:$E$511,"*a)*",'00 Encuesta'!$AF$2:$AF$511,"*e)*")</f>
        <v>1</v>
      </c>
      <c r="J248" s="52">
        <f t="shared" si="278"/>
        <v>7.1428571428571423</v>
      </c>
      <c r="K248" s="53">
        <f>COUNTIFS('00 Encuesta'!$B$2:$B$511,"*d)*",'00 Encuesta'!$C$2:$C$511,"*a)*",'00 Encuesta'!$E$2:$E$511,"*b)*",'00 Encuesta'!$AF$2:$AF$511,"*e)*")</f>
        <v>0</v>
      </c>
      <c r="L248" s="52">
        <f>K248/$J$7*100</f>
        <v>0</v>
      </c>
      <c r="M248" s="23"/>
      <c r="N248" s="51">
        <f>P248+R248</f>
        <v>2</v>
      </c>
      <c r="O248" s="52">
        <f>N248/$Q$5*100</f>
        <v>10</v>
      </c>
      <c r="P248" s="53">
        <f>COUNTIFS('00 Encuesta'!$B$2:$B$511,"*d)*",'00 Encuesta'!$C$2:$C$511,"*b)*",'00 Encuesta'!$E$2:$E$511,"*a)*",'00 Encuesta'!$AF$2:$AF$511,"*e)*")</f>
        <v>1</v>
      </c>
      <c r="Q248" s="52">
        <f>P248/$Q$6*100</f>
        <v>14.285714285714285</v>
      </c>
      <c r="R248" s="53">
        <f>COUNTIFS('00 Encuesta'!$B$2:$B$511,"*d)*",'00 Encuesta'!$C$2:$C$511,"*b)*",'00 Encuesta'!$E$2:$E$511,"*b)*",'00 Encuesta'!$AF$2:$AF$511,"*e)*")</f>
        <v>1</v>
      </c>
      <c r="S248" s="52">
        <f>R248/$Q$7*100</f>
        <v>7.6923076923076925</v>
      </c>
      <c r="T248" s="3"/>
      <c r="U248" s="51">
        <f>W248+Y248</f>
        <v>1</v>
      </c>
      <c r="V248" s="52">
        <f>U248/$X$5*100</f>
        <v>5</v>
      </c>
      <c r="W248" s="53">
        <f>COUNTIFS('00 Encuesta'!$B$2:$B$511,"*d)*",'00 Encuesta'!$C$2:$C$511,"*c)*",'00 Encuesta'!$E$2:$E$511,"*a)*",'00 Encuesta'!$AF$2:$AF$511,"*e)*")</f>
        <v>0</v>
      </c>
      <c r="X248" s="52">
        <f>W248/$X$6*100</f>
        <v>0</v>
      </c>
      <c r="Y248" s="53">
        <f>COUNTIFS('00 Encuesta'!$B$2:$B$511,"*d)*",'00 Encuesta'!$C$2:$C$511,"*c)*",'00 Encuesta'!$E$2:$E$511,"*b)*",'00 Encuesta'!$AF$2:$AF$511,"*e)*")</f>
        <v>1</v>
      </c>
      <c r="Z248" s="52">
        <f t="shared" si="279"/>
        <v>6.666666666666667</v>
      </c>
      <c r="AA248" s="3"/>
      <c r="AB248" s="62">
        <f t="shared" si="280"/>
        <v>4</v>
      </c>
      <c r="AC248" s="52">
        <f t="shared" si="281"/>
        <v>6.3492063492063489</v>
      </c>
      <c r="AD248" s="3"/>
      <c r="AE248" s="3"/>
      <c r="AF248" s="9" t="str">
        <f t="shared" si="282"/>
        <v>e) No sé</v>
      </c>
      <c r="AG248" s="72">
        <f t="shared" si="283"/>
        <v>7.1428571428571423</v>
      </c>
      <c r="AH248" s="72">
        <f t="shared" si="284"/>
        <v>0</v>
      </c>
      <c r="AI248" s="73">
        <f t="shared" si="285"/>
        <v>4.3478260869565215</v>
      </c>
      <c r="AJ248" s="73"/>
      <c r="AK248" s="76">
        <f t="shared" si="286"/>
        <v>14.285714285714285</v>
      </c>
      <c r="AL248" s="76">
        <f t="shared" si="287"/>
        <v>7.6923076923076925</v>
      </c>
      <c r="AM248" s="76">
        <f t="shared" si="288"/>
        <v>10</v>
      </c>
      <c r="AN248" s="76"/>
      <c r="AO248" s="81">
        <f t="shared" si="289"/>
        <v>0</v>
      </c>
      <c r="AP248" s="81">
        <f t="shared" si="290"/>
        <v>6.666666666666667</v>
      </c>
      <c r="AQ248" s="81">
        <f t="shared" si="291"/>
        <v>5</v>
      </c>
      <c r="AR248" s="3"/>
      <c r="AS248" s="76">
        <f t="shared" si="227"/>
        <v>6.3492063492063489</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x14ac:dyDescent="0.3">
      <c r="A249" s="8" t="s">
        <v>23</v>
      </c>
      <c r="B249" s="9" t="s">
        <v>24</v>
      </c>
      <c r="C249" s="7"/>
      <c r="D249" s="7"/>
      <c r="E249" s="7"/>
      <c r="F249" s="71"/>
      <c r="G249" s="51">
        <f t="shared" si="276"/>
        <v>0</v>
      </c>
      <c r="H249" s="52">
        <f t="shared" si="277"/>
        <v>0</v>
      </c>
      <c r="I249" s="53"/>
      <c r="J249" s="52">
        <f t="shared" si="278"/>
        <v>0</v>
      </c>
      <c r="K249" s="53"/>
      <c r="L249" s="52">
        <f t="shared" ref="L249" si="292">K249/$J$7*100</f>
        <v>0</v>
      </c>
      <c r="M249" s="23"/>
      <c r="N249" s="51">
        <f t="shared" ref="N249" si="293">P249+R249</f>
        <v>0</v>
      </c>
      <c r="O249" s="52">
        <f t="shared" ref="O249" si="294">N249/$Q$5*100</f>
        <v>0</v>
      </c>
      <c r="P249" s="53"/>
      <c r="Q249" s="52">
        <f t="shared" ref="Q249" si="295">P249/$Q$6*100</f>
        <v>0</v>
      </c>
      <c r="R249" s="53"/>
      <c r="S249" s="52">
        <f t="shared" ref="S249" si="296">R249/$Q$7*100</f>
        <v>0</v>
      </c>
      <c r="T249" s="3"/>
      <c r="U249" s="51">
        <f t="shared" ref="U249" si="297">W249+Y249</f>
        <v>0</v>
      </c>
      <c r="V249" s="52">
        <f t="shared" ref="V249" si="298">U249/$X$5*100</f>
        <v>0</v>
      </c>
      <c r="W249" s="53"/>
      <c r="X249" s="52">
        <f t="shared" ref="X249" si="299">W249/$X$6*100</f>
        <v>0</v>
      </c>
      <c r="Y249" s="53"/>
      <c r="Z249" s="52">
        <f t="shared" si="279"/>
        <v>0</v>
      </c>
      <c r="AA249" s="3"/>
      <c r="AB249" s="62">
        <f t="shared" si="280"/>
        <v>0</v>
      </c>
      <c r="AC249" s="52">
        <f t="shared" si="281"/>
        <v>0</v>
      </c>
      <c r="AD249" s="3"/>
      <c r="AE249" s="3"/>
      <c r="AF249" s="9" t="str">
        <f t="shared" si="282"/>
        <v>S/R Sin Respuesta</v>
      </c>
      <c r="AG249" s="72">
        <f t="shared" si="283"/>
        <v>0</v>
      </c>
      <c r="AH249" s="72">
        <f t="shared" si="284"/>
        <v>0</v>
      </c>
      <c r="AI249" s="73">
        <f t="shared" si="285"/>
        <v>0</v>
      </c>
      <c r="AJ249" s="73"/>
      <c r="AK249" s="76">
        <f t="shared" si="286"/>
        <v>0</v>
      </c>
      <c r="AL249" s="76">
        <f t="shared" si="287"/>
        <v>0</v>
      </c>
      <c r="AM249" s="76">
        <f t="shared" si="288"/>
        <v>0</v>
      </c>
      <c r="AN249" s="76"/>
      <c r="AO249" s="81">
        <f t="shared" si="289"/>
        <v>0</v>
      </c>
      <c r="AP249" s="81">
        <f t="shared" si="290"/>
        <v>0</v>
      </c>
      <c r="AQ249" s="81">
        <f t="shared" si="291"/>
        <v>0</v>
      </c>
      <c r="AR249" s="3"/>
      <c r="AS249" s="76">
        <f t="shared" si="227"/>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x14ac:dyDescent="0.3">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47.218333333333327</v>
      </c>
      <c r="AH250" s="82">
        <f>($F245*K245+$F246*K246+$F247*K247+$F244*K244)/(+K245+K246+K247+K244)</f>
        <v>70.365555555555545</v>
      </c>
      <c r="AI250" s="82">
        <f>($F245*G245+$F246*G246+$F247*G247+$F244*G244)/(G245+G246+G247+G244)</f>
        <v>57.138571428571424</v>
      </c>
      <c r="AJ250" s="82"/>
      <c r="AK250" s="82">
        <f>($F245*P245+$F246*P246+$F247*P247+$F248*P248)/(P245+P246+P247+P248)</f>
        <v>38.884999999999998</v>
      </c>
      <c r="AL250" s="82">
        <f>($F245*R245+$F246*R246+$F247*R247+$F248*R248)/(R245+R246+R247+R248)</f>
        <v>66.662307692307692</v>
      </c>
      <c r="AM250" s="82">
        <f>($F245*N245+$F246*N246+$F247*N247+$F248*N248)/(N245+N246+N247+N248)</f>
        <v>57.890526315789465</v>
      </c>
      <c r="AN250" s="82"/>
      <c r="AO250" s="82">
        <f>($F245*W245+$F246*W246+$F247*W247+$F244*W244)/(W245+W246+W247+W244)</f>
        <v>24.997499999999999</v>
      </c>
      <c r="AP250" s="82">
        <f>($F245*Y245+$F246*Y246+$F247*Y247+$F244*Y244)/(Y245+Y246+Y247+Y244)</f>
        <v>76.186428571428578</v>
      </c>
      <c r="AQ250" s="82">
        <f>($F245*U245+$F246*U246+$F247*U247+$F244*U244)/(U245+U246+U247+U244)</f>
        <v>64.811111111111103</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x14ac:dyDescent="0.3">
      <c r="A252" s="8" t="s">
        <v>17</v>
      </c>
      <c r="B252" s="9" t="s">
        <v>182</v>
      </c>
      <c r="C252" s="7"/>
      <c r="D252" s="7"/>
      <c r="E252" s="7"/>
      <c r="F252" s="71"/>
      <c r="G252" s="51">
        <f t="shared" ref="G252:G261" si="300">I252+K252</f>
        <v>10</v>
      </c>
      <c r="H252" s="52">
        <f t="shared" ref="H252:H261" si="301">G252/$J$5*100</f>
        <v>43.478260869565219</v>
      </c>
      <c r="I252" s="53">
        <f>COUNTIFS('00 Encuesta'!$B$2:$B$511,"*d)*",'00 Encuesta'!$C$2:$C$511,"*a)*",'00 Encuesta'!$E$2:$E$511,"*a)*",'00 Encuesta'!$AG$2:$AG$511,"*a)*")</f>
        <v>8</v>
      </c>
      <c r="J252" s="52">
        <f t="shared" ref="J252:J261" si="302">I252/$J$6*100</f>
        <v>57.142857142857139</v>
      </c>
      <c r="K252" s="53">
        <f>COUNTIFS('00 Encuesta'!$B$2:$B$511,"*d)*",'00 Encuesta'!$C$2:$C$511,"*a)*",'00 Encuesta'!$E$2:$E$511,"*b)*",'00 Encuesta'!$AG$2:$AG$511,"*a)*")</f>
        <v>2</v>
      </c>
      <c r="L252" s="52">
        <f t="shared" ref="L252:L261" si="303">K252/$J$7*100</f>
        <v>22.222222222222221</v>
      </c>
      <c r="M252" s="23"/>
      <c r="N252" s="51">
        <f t="shared" ref="N252:N261" si="304">P252+R252</f>
        <v>7</v>
      </c>
      <c r="O252" s="52">
        <f t="shared" ref="O252:O261" si="305">N252/$Q$5*100</f>
        <v>35</v>
      </c>
      <c r="P252" s="53">
        <f>COUNTIFS('00 Encuesta'!$B$2:$B$511,"*d)*",'00 Encuesta'!$C$2:$C$511,"*b)*",'00 Encuesta'!$E$2:$E$511,"*a)*",'00 Encuesta'!$AG$2:$AG$511,"*a)*")</f>
        <v>4</v>
      </c>
      <c r="Q252" s="52">
        <f t="shared" ref="Q252:Q261" si="306">P252/$Q$6*100</f>
        <v>57.142857142857139</v>
      </c>
      <c r="R252" s="53">
        <f>COUNTIFS('00 Encuesta'!$B$2:$B$511,"*d)*",'00 Encuesta'!$C$2:$C$511,"*b)*",'00 Encuesta'!$E$2:$E$511,"*b)*",'00 Encuesta'!$AG$2:$AG$511,"*a)*")</f>
        <v>3</v>
      </c>
      <c r="S252" s="52">
        <f t="shared" ref="S252:S261" si="307">R252/$Q$7*100</f>
        <v>23.076923076923077</v>
      </c>
      <c r="T252" s="3"/>
      <c r="U252" s="51">
        <f t="shared" ref="U252:U261" si="308">W252+Y252</f>
        <v>1</v>
      </c>
      <c r="V252" s="52">
        <f t="shared" ref="V252:V261" si="309">U252/$X$5*100</f>
        <v>5</v>
      </c>
      <c r="W252" s="53">
        <f>COUNTIFS('00 Encuesta'!$B$2:$B$511,"*d)*",'00 Encuesta'!$C$2:$C$511,"*c)*",'00 Encuesta'!$E$2:$E$511,"*a)*",'00 Encuesta'!$AG$2:$AG$511,"*a)*")</f>
        <v>1</v>
      </c>
      <c r="X252" s="52">
        <f t="shared" ref="X252:X261" si="310">W252/$X$6*100</f>
        <v>20</v>
      </c>
      <c r="Y252" s="53">
        <f>COUNTIFS('00 Encuesta'!$B$2:$B$511,"*d)*",'00 Encuesta'!$C$2:$C$511,"*c)*",'00 Encuesta'!$E$2:$E$511,"*b)*",'00 Encuesta'!$AG$2:$AG$511,"*a)*")</f>
        <v>0</v>
      </c>
      <c r="Z252" s="52">
        <f t="shared" ref="Z252:Z261" si="311">Y252/$X$7*100</f>
        <v>0</v>
      </c>
      <c r="AA252" s="3"/>
      <c r="AB252" s="62">
        <f t="shared" ref="AB252:AB261" si="312">G252+N252+U252</f>
        <v>18</v>
      </c>
      <c r="AC252" s="52">
        <f t="shared" ref="AC252:AC261" si="313">AB252*100/$AC$5</f>
        <v>28.571428571428573</v>
      </c>
      <c r="AD252" s="3"/>
      <c r="AE252" s="3"/>
      <c r="AF252" s="9" t="str">
        <f t="shared" ref="AF252:AF261" si="314">A252&amp;" "&amp;B252</f>
        <v>a) Los deportes y diversiones</v>
      </c>
      <c r="AG252" s="72">
        <f t="shared" ref="AG252:AG261" si="315">J252</f>
        <v>57.142857142857139</v>
      </c>
      <c r="AH252" s="72">
        <f t="shared" ref="AH252:AH261" si="316">L252</f>
        <v>22.222222222222221</v>
      </c>
      <c r="AI252" s="73">
        <f t="shared" ref="AI252:AI261" si="317">H252</f>
        <v>43.478260869565219</v>
      </c>
      <c r="AJ252" s="73"/>
      <c r="AK252" s="76">
        <f t="shared" ref="AK252:AK261" si="318">Q252</f>
        <v>57.142857142857139</v>
      </c>
      <c r="AL252" s="76">
        <f t="shared" ref="AL252:AL261" si="319">S252</f>
        <v>23.076923076923077</v>
      </c>
      <c r="AM252" s="76">
        <f t="shared" ref="AM252:AM261" si="320">O252</f>
        <v>35</v>
      </c>
      <c r="AN252" s="76"/>
      <c r="AO252" s="81">
        <f t="shared" ref="AO252:AO261" si="321">X252</f>
        <v>20</v>
      </c>
      <c r="AP252" s="81">
        <f t="shared" ref="AP252:AP261" si="322">Z252</f>
        <v>0</v>
      </c>
      <c r="AQ252" s="81">
        <f t="shared" ref="AQ252:AQ261" si="323">V252</f>
        <v>5</v>
      </c>
      <c r="AR252" s="3"/>
      <c r="AS252" s="76">
        <f t="shared" si="227"/>
        <v>28.571428571428573</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x14ac:dyDescent="0.3">
      <c r="A253" s="8" t="s">
        <v>18</v>
      </c>
      <c r="B253" s="9" t="s">
        <v>183</v>
      </c>
      <c r="C253" s="7"/>
      <c r="D253" s="7"/>
      <c r="E253" s="7"/>
      <c r="F253" s="71"/>
      <c r="G253" s="51">
        <f t="shared" si="300"/>
        <v>7</v>
      </c>
      <c r="H253" s="52">
        <f t="shared" si="301"/>
        <v>30.434782608695656</v>
      </c>
      <c r="I253" s="53">
        <f>COUNTIFS('00 Encuesta'!$B$2:$B$511,"*d)*",'00 Encuesta'!$C$2:$C$511,"*a)*",'00 Encuesta'!$E$2:$E$511,"*a)*",'00 Encuesta'!$AG$2:$AG$511,"*b)*")</f>
        <v>5</v>
      </c>
      <c r="J253" s="52">
        <f t="shared" si="302"/>
        <v>35.714285714285715</v>
      </c>
      <c r="K253" s="53">
        <f>COUNTIFS('00 Encuesta'!$B$2:$B$511,"*d)*",'00 Encuesta'!$C$2:$C$511,"*a)*",'00 Encuesta'!$E$2:$E$511,"*b)*",'00 Encuesta'!$AG$2:$AG$511,"*b)*")</f>
        <v>2</v>
      </c>
      <c r="L253" s="52">
        <f t="shared" si="303"/>
        <v>22.222222222222221</v>
      </c>
      <c r="M253" s="23"/>
      <c r="N253" s="51">
        <f t="shared" si="304"/>
        <v>0</v>
      </c>
      <c r="O253" s="52">
        <f t="shared" si="305"/>
        <v>0</v>
      </c>
      <c r="P253" s="53">
        <f>COUNTIFS('00 Encuesta'!$B$2:$B$511,"*d)*",'00 Encuesta'!$C$2:$C$511,"*b)*",'00 Encuesta'!$E$2:$E$511,"*a)*",'00 Encuesta'!$AG$2:$AG$511,"*b)*")</f>
        <v>0</v>
      </c>
      <c r="Q253" s="52">
        <f t="shared" si="306"/>
        <v>0</v>
      </c>
      <c r="R253" s="53">
        <f>COUNTIFS('00 Encuesta'!$B$2:$B$511,"*d)*",'00 Encuesta'!$C$2:$C$511,"*b)*",'00 Encuesta'!$E$2:$E$511,"*b)*",'00 Encuesta'!$AG$2:$AG$511,"*b)*")</f>
        <v>0</v>
      </c>
      <c r="S253" s="52">
        <f t="shared" si="307"/>
        <v>0</v>
      </c>
      <c r="T253" s="3"/>
      <c r="U253" s="51">
        <f t="shared" si="308"/>
        <v>2</v>
      </c>
      <c r="V253" s="52">
        <f t="shared" si="309"/>
        <v>10</v>
      </c>
      <c r="W253" s="53">
        <f>COUNTIFS('00 Encuesta'!$B$2:$B$511,"*d)*",'00 Encuesta'!$C$2:$C$511,"*c)*",'00 Encuesta'!$E$2:$E$511,"*a)*",'00 Encuesta'!$AG$2:$AG$511,"*b)*")</f>
        <v>1</v>
      </c>
      <c r="X253" s="52">
        <f t="shared" si="310"/>
        <v>20</v>
      </c>
      <c r="Y253" s="53">
        <f>COUNTIFS('00 Encuesta'!$B$2:$B$511,"*d)*",'00 Encuesta'!$C$2:$C$511,"*c)*",'00 Encuesta'!$E$2:$E$511,"*b)*",'00 Encuesta'!$AG$2:$AG$511,"*b)*")</f>
        <v>1</v>
      </c>
      <c r="Z253" s="52">
        <f t="shared" si="311"/>
        <v>6.666666666666667</v>
      </c>
      <c r="AA253" s="3"/>
      <c r="AB253" s="62">
        <f t="shared" si="312"/>
        <v>9</v>
      </c>
      <c r="AC253" s="52">
        <f t="shared" si="313"/>
        <v>14.285714285714286</v>
      </c>
      <c r="AD253" s="3"/>
      <c r="AE253" s="3"/>
      <c r="AF253" s="9" t="str">
        <f t="shared" si="314"/>
        <v>b) El ambiente de estudio y de trabajo</v>
      </c>
      <c r="AG253" s="72">
        <f t="shared" si="315"/>
        <v>35.714285714285715</v>
      </c>
      <c r="AH253" s="72">
        <f t="shared" si="316"/>
        <v>22.222222222222221</v>
      </c>
      <c r="AI253" s="73">
        <f t="shared" si="317"/>
        <v>30.434782608695656</v>
      </c>
      <c r="AJ253" s="73"/>
      <c r="AK253" s="76">
        <f t="shared" si="318"/>
        <v>0</v>
      </c>
      <c r="AL253" s="76">
        <f t="shared" si="319"/>
        <v>0</v>
      </c>
      <c r="AM253" s="76">
        <f t="shared" si="320"/>
        <v>0</v>
      </c>
      <c r="AN253" s="76"/>
      <c r="AO253" s="81">
        <f t="shared" si="321"/>
        <v>20</v>
      </c>
      <c r="AP253" s="81">
        <f t="shared" si="322"/>
        <v>6.666666666666667</v>
      </c>
      <c r="AQ253" s="81">
        <f t="shared" si="323"/>
        <v>10</v>
      </c>
      <c r="AR253" s="3"/>
      <c r="AS253" s="76">
        <f t="shared" si="227"/>
        <v>14.285714285714286</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x14ac:dyDescent="0.3">
      <c r="A254" s="8" t="s">
        <v>20</v>
      </c>
      <c r="B254" s="9" t="s">
        <v>184</v>
      </c>
      <c r="C254" s="7"/>
      <c r="D254" s="7"/>
      <c r="E254" s="7"/>
      <c r="F254" s="71"/>
      <c r="G254" s="51">
        <f t="shared" si="300"/>
        <v>6</v>
      </c>
      <c r="H254" s="52">
        <f t="shared" si="301"/>
        <v>26.086956521739129</v>
      </c>
      <c r="I254" s="53">
        <f>COUNTIFS('00 Encuesta'!$B$2:$B$511,"*d)*",'00 Encuesta'!$C$2:$C$511,"*a)*",'00 Encuesta'!$E$2:$E$511,"*a)*",'00 Encuesta'!$AG$2:$AG$511,"*c)*")</f>
        <v>4</v>
      </c>
      <c r="J254" s="52">
        <f t="shared" si="302"/>
        <v>28.571428571428569</v>
      </c>
      <c r="K254" s="53">
        <f>COUNTIFS('00 Encuesta'!$B$2:$B$511,"*d)*",'00 Encuesta'!$C$2:$C$511,"*a)*",'00 Encuesta'!$E$2:$E$511,"*b)*",'00 Encuesta'!$AG$2:$AG$511,"*c)*")</f>
        <v>2</v>
      </c>
      <c r="L254" s="52">
        <f t="shared" si="303"/>
        <v>22.222222222222221</v>
      </c>
      <c r="M254" s="23"/>
      <c r="N254" s="51">
        <f t="shared" si="304"/>
        <v>3</v>
      </c>
      <c r="O254" s="52">
        <f t="shared" si="305"/>
        <v>15</v>
      </c>
      <c r="P254" s="53">
        <f>COUNTIFS('00 Encuesta'!$B$2:$B$511,"*d)*",'00 Encuesta'!$C$2:$C$511,"*b)*",'00 Encuesta'!$E$2:$E$511,"*a)*",'00 Encuesta'!$AG$2:$AG$511,"*c)*")</f>
        <v>1</v>
      </c>
      <c r="Q254" s="52">
        <f t="shared" si="306"/>
        <v>14.285714285714285</v>
      </c>
      <c r="R254" s="53">
        <f>COUNTIFS('00 Encuesta'!$B$2:$B$511,"*d)*",'00 Encuesta'!$C$2:$C$511,"*b)*",'00 Encuesta'!$E$2:$E$511,"*b)*",'00 Encuesta'!$AG$2:$AG$511,"*c)*")</f>
        <v>2</v>
      </c>
      <c r="S254" s="52">
        <f t="shared" si="307"/>
        <v>15.384615384615385</v>
      </c>
      <c r="T254" s="3"/>
      <c r="U254" s="51">
        <f t="shared" si="308"/>
        <v>4</v>
      </c>
      <c r="V254" s="52">
        <f t="shared" si="309"/>
        <v>20</v>
      </c>
      <c r="W254" s="53">
        <f>COUNTIFS('00 Encuesta'!$B$2:$B$511,"*d)*",'00 Encuesta'!$C$2:$C$511,"*c)*",'00 Encuesta'!$E$2:$E$511,"*a)*",'00 Encuesta'!$AG$2:$AG$511,"*c)*")</f>
        <v>0</v>
      </c>
      <c r="X254" s="52">
        <f t="shared" si="310"/>
        <v>0</v>
      </c>
      <c r="Y254" s="53">
        <f>COUNTIFS('00 Encuesta'!$B$2:$B$511,"*d)*",'00 Encuesta'!$C$2:$C$511,"*c)*",'00 Encuesta'!$E$2:$E$511,"*b)*",'00 Encuesta'!$AG$2:$AG$511,"*c)*")</f>
        <v>4</v>
      </c>
      <c r="Z254" s="52">
        <f t="shared" si="311"/>
        <v>26.666666666666668</v>
      </c>
      <c r="AA254" s="3"/>
      <c r="AB254" s="62">
        <f t="shared" si="312"/>
        <v>13</v>
      </c>
      <c r="AC254" s="52">
        <f t="shared" si="313"/>
        <v>20.634920634920636</v>
      </c>
      <c r="AD254" s="3"/>
      <c r="AE254" s="3"/>
      <c r="AF254" s="9" t="str">
        <f t="shared" si="314"/>
        <v>c) Las instalaciones del colegio</v>
      </c>
      <c r="AG254" s="72">
        <f t="shared" si="315"/>
        <v>28.571428571428569</v>
      </c>
      <c r="AH254" s="72">
        <f t="shared" si="316"/>
        <v>22.222222222222221</v>
      </c>
      <c r="AI254" s="73">
        <f t="shared" si="317"/>
        <v>26.086956521739129</v>
      </c>
      <c r="AJ254" s="73"/>
      <c r="AK254" s="76">
        <f t="shared" si="318"/>
        <v>14.285714285714285</v>
      </c>
      <c r="AL254" s="76">
        <f t="shared" si="319"/>
        <v>15.384615384615385</v>
      </c>
      <c r="AM254" s="76">
        <f t="shared" si="320"/>
        <v>15</v>
      </c>
      <c r="AN254" s="76"/>
      <c r="AO254" s="81">
        <f t="shared" si="321"/>
        <v>0</v>
      </c>
      <c r="AP254" s="81">
        <f t="shared" si="322"/>
        <v>26.666666666666668</v>
      </c>
      <c r="AQ254" s="81">
        <f t="shared" si="323"/>
        <v>20</v>
      </c>
      <c r="AR254" s="3"/>
      <c r="AS254" s="76">
        <f t="shared" si="227"/>
        <v>20.634920634920636</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x14ac:dyDescent="0.3">
      <c r="A255" s="8" t="s">
        <v>21</v>
      </c>
      <c r="B255" s="9" t="s">
        <v>185</v>
      </c>
      <c r="C255" s="7"/>
      <c r="D255" s="7"/>
      <c r="E255" s="7"/>
      <c r="F255" s="71"/>
      <c r="G255" s="51">
        <f t="shared" si="300"/>
        <v>1</v>
      </c>
      <c r="H255" s="52">
        <f t="shared" si="301"/>
        <v>4.3478260869565215</v>
      </c>
      <c r="I255" s="53">
        <f>COUNTIFS('00 Encuesta'!$B$2:$B$511,"*d)*",'00 Encuesta'!$C$2:$C$511,"*a)*",'00 Encuesta'!$E$2:$E$511,"*a)*",'00 Encuesta'!$AG$2:$AG$511,"*d)*")</f>
        <v>0</v>
      </c>
      <c r="J255" s="52">
        <f t="shared" si="302"/>
        <v>0</v>
      </c>
      <c r="K255" s="53">
        <f>COUNTIFS('00 Encuesta'!$B$2:$B$511,"*d)*",'00 Encuesta'!$C$2:$C$511,"*a)*",'00 Encuesta'!$E$2:$E$511,"*b)*",'00 Encuesta'!$AG$2:$AG$511,"*d)*")</f>
        <v>1</v>
      </c>
      <c r="L255" s="52">
        <f t="shared" si="303"/>
        <v>11.111111111111111</v>
      </c>
      <c r="M255" s="23"/>
      <c r="N255" s="51">
        <f t="shared" si="304"/>
        <v>1</v>
      </c>
      <c r="O255" s="52">
        <f t="shared" si="305"/>
        <v>5</v>
      </c>
      <c r="P255" s="53">
        <f>COUNTIFS('00 Encuesta'!$B$2:$B$511,"*d)*",'00 Encuesta'!$C$2:$C$511,"*b)*",'00 Encuesta'!$E$2:$E$511,"*a)*",'00 Encuesta'!$AG$2:$AG$511,"*d)*")</f>
        <v>0</v>
      </c>
      <c r="Q255" s="52">
        <f t="shared" si="306"/>
        <v>0</v>
      </c>
      <c r="R255" s="53">
        <f>COUNTIFS('00 Encuesta'!$B$2:$B$511,"*d)*",'00 Encuesta'!$C$2:$C$511,"*b)*",'00 Encuesta'!$E$2:$E$511,"*b)*",'00 Encuesta'!$AG$2:$AG$511,"*d)*")</f>
        <v>1</v>
      </c>
      <c r="S255" s="52">
        <f t="shared" si="307"/>
        <v>7.6923076923076925</v>
      </c>
      <c r="T255" s="3"/>
      <c r="U255" s="51">
        <f t="shared" si="308"/>
        <v>6</v>
      </c>
      <c r="V255" s="52">
        <f t="shared" si="309"/>
        <v>30</v>
      </c>
      <c r="W255" s="53">
        <f>COUNTIFS('00 Encuesta'!$B$2:$B$511,"*d)*",'00 Encuesta'!$C$2:$C$511,"*c)*",'00 Encuesta'!$E$2:$E$511,"*a)*",'00 Encuesta'!$AG$2:$AG$511,"*d)*")</f>
        <v>0</v>
      </c>
      <c r="X255" s="52">
        <f t="shared" si="310"/>
        <v>0</v>
      </c>
      <c r="Y255" s="53">
        <f>COUNTIFS('00 Encuesta'!$B$2:$B$511,"*d)*",'00 Encuesta'!$C$2:$C$511,"*c)*",'00 Encuesta'!$E$2:$E$511,"*b)*",'00 Encuesta'!$AG$2:$AG$511,"*d)*")</f>
        <v>6</v>
      </c>
      <c r="Z255" s="52">
        <f t="shared" si="311"/>
        <v>40</v>
      </c>
      <c r="AA255" s="3"/>
      <c r="AB255" s="62">
        <f t="shared" si="312"/>
        <v>8</v>
      </c>
      <c r="AC255" s="52">
        <f t="shared" si="313"/>
        <v>12.698412698412698</v>
      </c>
      <c r="AD255" s="3"/>
      <c r="AE255" s="3"/>
      <c r="AF255" s="9" t="str">
        <f t="shared" si="314"/>
        <v>d) Los grupos juveniles cristianos</v>
      </c>
      <c r="AG255" s="72">
        <f t="shared" si="315"/>
        <v>0</v>
      </c>
      <c r="AH255" s="72">
        <f t="shared" si="316"/>
        <v>11.111111111111111</v>
      </c>
      <c r="AI255" s="73">
        <f t="shared" si="317"/>
        <v>4.3478260869565215</v>
      </c>
      <c r="AJ255" s="73"/>
      <c r="AK255" s="76">
        <f t="shared" si="318"/>
        <v>0</v>
      </c>
      <c r="AL255" s="76">
        <f t="shared" si="319"/>
        <v>7.6923076923076925</v>
      </c>
      <c r="AM255" s="76">
        <f t="shared" si="320"/>
        <v>5</v>
      </c>
      <c r="AN255" s="76"/>
      <c r="AO255" s="81">
        <f t="shared" si="321"/>
        <v>0</v>
      </c>
      <c r="AP255" s="81">
        <f t="shared" si="322"/>
        <v>40</v>
      </c>
      <c r="AQ255" s="81">
        <f t="shared" si="323"/>
        <v>30</v>
      </c>
      <c r="AR255" s="3"/>
      <c r="AS255" s="76">
        <f t="shared" si="227"/>
        <v>12.698412698412698</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x14ac:dyDescent="0.3">
      <c r="A256" s="8" t="s">
        <v>22</v>
      </c>
      <c r="B256" s="9" t="s">
        <v>186</v>
      </c>
      <c r="C256" s="7"/>
      <c r="D256" s="7"/>
      <c r="E256" s="7"/>
      <c r="F256" s="71"/>
      <c r="G256" s="51">
        <f t="shared" si="300"/>
        <v>5</v>
      </c>
      <c r="H256" s="52">
        <f t="shared" si="301"/>
        <v>21.739130434782609</v>
      </c>
      <c r="I256" s="53">
        <f>COUNTIFS('00 Encuesta'!$B$2:$B$511,"*d)*",'00 Encuesta'!$C$2:$C$511,"*a)*",'00 Encuesta'!$E$2:$E$511,"*a)*",'00 Encuesta'!$AG$2:$AG$511,"*e)*")</f>
        <v>3</v>
      </c>
      <c r="J256" s="52">
        <f t="shared" si="302"/>
        <v>21.428571428571427</v>
      </c>
      <c r="K256" s="53">
        <f>COUNTIFS('00 Encuesta'!$B$2:$B$511,"*d)*",'00 Encuesta'!$C$2:$C$511,"*a)*",'00 Encuesta'!$E$2:$E$511,"*b)*",'00 Encuesta'!$AG$2:$AG$511,"*e)*")</f>
        <v>2</v>
      </c>
      <c r="L256" s="52">
        <f t="shared" si="303"/>
        <v>22.222222222222221</v>
      </c>
      <c r="M256" s="23"/>
      <c r="N256" s="51">
        <f t="shared" si="304"/>
        <v>0</v>
      </c>
      <c r="O256" s="52">
        <f t="shared" si="305"/>
        <v>0</v>
      </c>
      <c r="P256" s="53">
        <f>COUNTIFS('00 Encuesta'!$B$2:$B$511,"*d)*",'00 Encuesta'!$C$2:$C$511,"*b)*",'00 Encuesta'!$E$2:$E$511,"*a)*",'00 Encuesta'!$AG$2:$AG$511,"*e)*")</f>
        <v>0</v>
      </c>
      <c r="Q256" s="52">
        <f t="shared" si="306"/>
        <v>0</v>
      </c>
      <c r="R256" s="53">
        <f>COUNTIFS('00 Encuesta'!$B$2:$B$511,"*d)*",'00 Encuesta'!$C$2:$C$511,"*b)*",'00 Encuesta'!$E$2:$E$511,"*b)*",'00 Encuesta'!$AG$2:$AG$511,"*e)*")</f>
        <v>0</v>
      </c>
      <c r="S256" s="52">
        <f t="shared" si="307"/>
        <v>0</v>
      </c>
      <c r="T256" s="3"/>
      <c r="U256" s="51">
        <f t="shared" si="308"/>
        <v>7</v>
      </c>
      <c r="V256" s="52">
        <f t="shared" si="309"/>
        <v>35</v>
      </c>
      <c r="W256" s="53">
        <f>COUNTIFS('00 Encuesta'!$B$2:$B$511,"*d)*",'00 Encuesta'!$C$2:$C$511,"*c)*",'00 Encuesta'!$E$2:$E$511,"*a)*",'00 Encuesta'!$AG$2:$AG$511,"*e)*")</f>
        <v>0</v>
      </c>
      <c r="X256" s="52">
        <f t="shared" si="310"/>
        <v>0</v>
      </c>
      <c r="Y256" s="53">
        <f>COUNTIFS('00 Encuesta'!$B$2:$B$511,"*d)*",'00 Encuesta'!$C$2:$C$511,"*c)*",'00 Encuesta'!$E$2:$E$511,"*b)*",'00 Encuesta'!$AG$2:$AG$511,"*e)*")</f>
        <v>7</v>
      </c>
      <c r="Z256" s="52">
        <f t="shared" si="311"/>
        <v>46.666666666666664</v>
      </c>
      <c r="AA256" s="3"/>
      <c r="AB256" s="62">
        <f t="shared" si="312"/>
        <v>12</v>
      </c>
      <c r="AC256" s="52">
        <f t="shared" si="313"/>
        <v>19.047619047619047</v>
      </c>
      <c r="AD256" s="3"/>
      <c r="AE256" s="3"/>
      <c r="AF256" s="9" t="str">
        <f t="shared" si="314"/>
        <v>e) La mayor posibilidad de vivir mi fe</v>
      </c>
      <c r="AG256" s="72">
        <f t="shared" si="315"/>
        <v>21.428571428571427</v>
      </c>
      <c r="AH256" s="72">
        <f t="shared" si="316"/>
        <v>22.222222222222221</v>
      </c>
      <c r="AI256" s="73">
        <f t="shared" si="317"/>
        <v>21.739130434782609</v>
      </c>
      <c r="AJ256" s="73"/>
      <c r="AK256" s="76">
        <f t="shared" si="318"/>
        <v>0</v>
      </c>
      <c r="AL256" s="76">
        <f t="shared" si="319"/>
        <v>0</v>
      </c>
      <c r="AM256" s="76">
        <f t="shared" si="320"/>
        <v>0</v>
      </c>
      <c r="AN256" s="76"/>
      <c r="AO256" s="81">
        <f t="shared" si="321"/>
        <v>0</v>
      </c>
      <c r="AP256" s="81">
        <f t="shared" si="322"/>
        <v>46.666666666666664</v>
      </c>
      <c r="AQ256" s="81">
        <f t="shared" si="323"/>
        <v>35</v>
      </c>
      <c r="AR256" s="3"/>
      <c r="AS256" s="76">
        <f t="shared" si="227"/>
        <v>19.047619047619047</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x14ac:dyDescent="0.3">
      <c r="A257" s="8" t="s">
        <v>45</v>
      </c>
      <c r="B257" s="9" t="s">
        <v>187</v>
      </c>
      <c r="C257" s="7"/>
      <c r="D257" s="7"/>
      <c r="E257" s="7"/>
      <c r="F257" s="71"/>
      <c r="G257" s="51">
        <f t="shared" si="300"/>
        <v>2</v>
      </c>
      <c r="H257" s="52">
        <f t="shared" si="301"/>
        <v>8.695652173913043</v>
      </c>
      <c r="I257" s="53">
        <f>COUNTIFS('00 Encuesta'!$B$2:$B$511,"*d)*",'00 Encuesta'!$C$2:$C$511,"*a)*",'00 Encuesta'!$E$2:$E$511,"*a)*",'00 Encuesta'!$AG$2:$AG$511,"*f)*")</f>
        <v>1</v>
      </c>
      <c r="J257" s="52">
        <f t="shared" si="302"/>
        <v>7.1428571428571423</v>
      </c>
      <c r="K257" s="53">
        <f>COUNTIFS('00 Encuesta'!$B$2:$B$511,"*d)*",'00 Encuesta'!$C$2:$C$511,"*a)*",'00 Encuesta'!$E$2:$E$511,"*b)*",'00 Encuesta'!$AG$2:$AG$511,"*f)*")</f>
        <v>1</v>
      </c>
      <c r="L257" s="52">
        <f t="shared" si="303"/>
        <v>11.111111111111111</v>
      </c>
      <c r="M257" s="23"/>
      <c r="N257" s="51">
        <f t="shared" si="304"/>
        <v>4</v>
      </c>
      <c r="O257" s="52">
        <f t="shared" si="305"/>
        <v>20</v>
      </c>
      <c r="P257" s="53">
        <f>COUNTIFS('00 Encuesta'!$B$2:$B$511,"*d)*",'00 Encuesta'!$C$2:$C$511,"*b)*",'00 Encuesta'!$E$2:$E$511,"*a)*",'00 Encuesta'!$AG$2:$AG$511,"*f)*")</f>
        <v>1</v>
      </c>
      <c r="Q257" s="52">
        <f t="shared" si="306"/>
        <v>14.285714285714285</v>
      </c>
      <c r="R257" s="53">
        <f>COUNTIFS('00 Encuesta'!$B$2:$B$511,"*d)*",'00 Encuesta'!$C$2:$C$511,"*b)*",'00 Encuesta'!$E$2:$E$511,"*b)*",'00 Encuesta'!$AG$2:$AG$511,"*f)*")</f>
        <v>3</v>
      </c>
      <c r="S257" s="52">
        <f t="shared" si="307"/>
        <v>23.076923076923077</v>
      </c>
      <c r="T257" s="3"/>
      <c r="U257" s="51">
        <f t="shared" si="308"/>
        <v>2</v>
      </c>
      <c r="V257" s="52">
        <f t="shared" si="309"/>
        <v>10</v>
      </c>
      <c r="W257" s="53">
        <f>COUNTIFS('00 Encuesta'!$B$2:$B$511,"*d)*",'00 Encuesta'!$C$2:$C$511,"*c)*",'00 Encuesta'!$E$2:$E$511,"*a)*",'00 Encuesta'!$AG$2:$AG$511,"*f)*")</f>
        <v>1</v>
      </c>
      <c r="X257" s="52">
        <f t="shared" si="310"/>
        <v>20</v>
      </c>
      <c r="Y257" s="53">
        <f>COUNTIFS('00 Encuesta'!$B$2:$B$511,"*d)*",'00 Encuesta'!$C$2:$C$511,"*c)*",'00 Encuesta'!$E$2:$E$511,"*b)*",'00 Encuesta'!$AG$2:$AG$511,"*f)*")</f>
        <v>1</v>
      </c>
      <c r="Z257" s="52">
        <f t="shared" si="311"/>
        <v>6.666666666666667</v>
      </c>
      <c r="AA257" s="3"/>
      <c r="AB257" s="62">
        <f t="shared" si="312"/>
        <v>8</v>
      </c>
      <c r="AC257" s="52">
        <f t="shared" si="313"/>
        <v>12.698412698412698</v>
      </c>
      <c r="AD257" s="3"/>
      <c r="AE257" s="3"/>
      <c r="AF257" s="9" t="str">
        <f t="shared" si="314"/>
        <v>f) La igualdad de trato que se da a todos</v>
      </c>
      <c r="AG257" s="72">
        <f t="shared" si="315"/>
        <v>7.1428571428571423</v>
      </c>
      <c r="AH257" s="72">
        <f t="shared" si="316"/>
        <v>11.111111111111111</v>
      </c>
      <c r="AI257" s="73">
        <f t="shared" si="317"/>
        <v>8.695652173913043</v>
      </c>
      <c r="AJ257" s="73"/>
      <c r="AK257" s="76">
        <f t="shared" si="318"/>
        <v>14.285714285714285</v>
      </c>
      <c r="AL257" s="76">
        <f t="shared" si="319"/>
        <v>23.076923076923077</v>
      </c>
      <c r="AM257" s="76">
        <f t="shared" si="320"/>
        <v>20</v>
      </c>
      <c r="AN257" s="76"/>
      <c r="AO257" s="81">
        <f t="shared" si="321"/>
        <v>20</v>
      </c>
      <c r="AP257" s="81">
        <f t="shared" si="322"/>
        <v>6.666666666666667</v>
      </c>
      <c r="AQ257" s="81">
        <f t="shared" si="323"/>
        <v>10</v>
      </c>
      <c r="AR257" s="3"/>
      <c r="AS257" s="76">
        <f t="shared" si="227"/>
        <v>12.698412698412698</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0</v>
      </c>
      <c r="H258" s="52">
        <f t="shared" si="301"/>
        <v>0</v>
      </c>
      <c r="I258" s="53">
        <f>COUNTIFS('00 Encuesta'!$B$2:$B$511,"*d)*",'00 Encuesta'!$C$2:$C$511,"*a)*",'00 Encuesta'!$E$2:$E$511,"*a)*",'00 Encuesta'!$AG$2:$AG$511,"*g)*")</f>
        <v>0</v>
      </c>
      <c r="J258" s="52">
        <f t="shared" si="302"/>
        <v>0</v>
      </c>
      <c r="K258" s="53">
        <f>COUNTIFS('00 Encuesta'!$B$2:$B$511,"*d)*",'00 Encuesta'!$C$2:$C$511,"*a)*",'00 Encuesta'!$E$2:$E$511,"*b)*",'00 Encuesta'!$AG$2:$AG$511,"*g)*")</f>
        <v>0</v>
      </c>
      <c r="L258" s="52">
        <f t="shared" si="303"/>
        <v>0</v>
      </c>
      <c r="M258" s="23"/>
      <c r="N258" s="51">
        <f t="shared" si="304"/>
        <v>1</v>
      </c>
      <c r="O258" s="52">
        <f t="shared" si="305"/>
        <v>5</v>
      </c>
      <c r="P258" s="53">
        <f>COUNTIFS('00 Encuesta'!$B$2:$B$511,"*d)*",'00 Encuesta'!$C$2:$C$511,"*b)*",'00 Encuesta'!$E$2:$E$511,"*a)*",'00 Encuesta'!$AG$2:$AG$511,"*g)*")</f>
        <v>1</v>
      </c>
      <c r="Q258" s="52">
        <f t="shared" si="306"/>
        <v>14.285714285714285</v>
      </c>
      <c r="R258" s="53">
        <f>COUNTIFS('00 Encuesta'!$B$2:$B$511,"*d)*",'00 Encuesta'!$C$2:$C$511,"*b)*",'00 Encuesta'!$E$2:$E$511,"*b)*",'00 Encuesta'!$AG$2:$AG$511,"*g)*")</f>
        <v>0</v>
      </c>
      <c r="S258" s="52">
        <f t="shared" si="307"/>
        <v>0</v>
      </c>
      <c r="T258" s="3"/>
      <c r="U258" s="51">
        <f t="shared" si="308"/>
        <v>0</v>
      </c>
      <c r="V258" s="52">
        <f t="shared" si="309"/>
        <v>0</v>
      </c>
      <c r="W258" s="53">
        <f>COUNTIFS('00 Encuesta'!$B$2:$B$511,"*d)*",'00 Encuesta'!$C$2:$C$511,"*c)*",'00 Encuesta'!$E$2:$E$511,"*a)*",'00 Encuesta'!$AG$2:$AG$511,"*g)*")</f>
        <v>0</v>
      </c>
      <c r="X258" s="52">
        <f t="shared" si="310"/>
        <v>0</v>
      </c>
      <c r="Y258" s="53">
        <f>COUNTIFS('00 Encuesta'!$B$2:$B$511,"*d)*",'00 Encuesta'!$C$2:$C$511,"*c)*",'00 Encuesta'!$E$2:$E$511,"*b)*",'00 Encuesta'!$AG$2:$AG$511,"*g)*")</f>
        <v>0</v>
      </c>
      <c r="Z258" s="52">
        <f t="shared" si="311"/>
        <v>0</v>
      </c>
      <c r="AA258" s="3"/>
      <c r="AB258" s="62">
        <f t="shared" si="312"/>
        <v>1</v>
      </c>
      <c r="AC258" s="52">
        <f t="shared" si="313"/>
        <v>1.5873015873015872</v>
      </c>
      <c r="AD258" s="3"/>
      <c r="AE258" s="3"/>
      <c r="AF258" s="9" t="str">
        <f t="shared" si="314"/>
        <v>g) La relación con los docentes</v>
      </c>
      <c r="AG258" s="72">
        <f t="shared" si="315"/>
        <v>0</v>
      </c>
      <c r="AH258" s="72">
        <f t="shared" si="316"/>
        <v>0</v>
      </c>
      <c r="AI258" s="73">
        <f t="shared" si="317"/>
        <v>0</v>
      </c>
      <c r="AJ258" s="73"/>
      <c r="AK258" s="76">
        <f t="shared" si="318"/>
        <v>14.285714285714285</v>
      </c>
      <c r="AL258" s="76">
        <f t="shared" si="319"/>
        <v>0</v>
      </c>
      <c r="AM258" s="76">
        <f t="shared" si="320"/>
        <v>5</v>
      </c>
      <c r="AN258" s="76"/>
      <c r="AO258" s="81">
        <f t="shared" si="321"/>
        <v>0</v>
      </c>
      <c r="AP258" s="81">
        <f t="shared" si="322"/>
        <v>0</v>
      </c>
      <c r="AQ258" s="81">
        <f t="shared" si="323"/>
        <v>0</v>
      </c>
      <c r="AR258" s="3"/>
      <c r="AS258" s="76">
        <f t="shared" si="227"/>
        <v>1.5873015873015872</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x14ac:dyDescent="0.3">
      <c r="A259" s="8" t="s">
        <v>63</v>
      </c>
      <c r="B259" s="9" t="s">
        <v>189</v>
      </c>
      <c r="C259" s="7"/>
      <c r="D259" s="7"/>
      <c r="E259" s="7"/>
      <c r="F259" s="71"/>
      <c r="G259" s="51">
        <f t="shared" si="300"/>
        <v>2</v>
      </c>
      <c r="H259" s="52">
        <f t="shared" si="301"/>
        <v>8.695652173913043</v>
      </c>
      <c r="I259" s="53">
        <f>COUNTIFS('00 Encuesta'!$B$2:$B$511,"*d)*",'00 Encuesta'!$C$2:$C$511,"*a)*",'00 Encuesta'!$E$2:$E$511,"*a)*",'00 Encuesta'!$AG$2:$AG$511,"*h)*")</f>
        <v>0</v>
      </c>
      <c r="J259" s="52">
        <f t="shared" si="302"/>
        <v>0</v>
      </c>
      <c r="K259" s="53">
        <f>COUNTIFS('00 Encuesta'!$B$2:$B$511,"*d)*",'00 Encuesta'!$C$2:$C$511,"*a)*",'00 Encuesta'!$E$2:$E$511,"*b)*",'00 Encuesta'!$AG$2:$AG$511,"*h)*")</f>
        <v>2</v>
      </c>
      <c r="L259" s="52">
        <f t="shared" si="303"/>
        <v>22.222222222222221</v>
      </c>
      <c r="M259" s="23"/>
      <c r="N259" s="51">
        <f t="shared" si="304"/>
        <v>9</v>
      </c>
      <c r="O259" s="52">
        <f t="shared" si="305"/>
        <v>45</v>
      </c>
      <c r="P259" s="53">
        <f>COUNTIFS('00 Encuesta'!$B$2:$B$511,"*d)*",'00 Encuesta'!$C$2:$C$511,"*b)*",'00 Encuesta'!$E$2:$E$511,"*a)*",'00 Encuesta'!$AG$2:$AG$511,"*h)*")</f>
        <v>3</v>
      </c>
      <c r="Q259" s="52">
        <f t="shared" si="306"/>
        <v>42.857142857142854</v>
      </c>
      <c r="R259" s="53">
        <f>COUNTIFS('00 Encuesta'!$B$2:$B$511,"*d)*",'00 Encuesta'!$C$2:$C$511,"*b)*",'00 Encuesta'!$E$2:$E$511,"*b)*",'00 Encuesta'!$AG$2:$AG$511,"*h)*")</f>
        <v>6</v>
      </c>
      <c r="S259" s="52">
        <f t="shared" si="307"/>
        <v>46.153846153846153</v>
      </c>
      <c r="T259" s="3"/>
      <c r="U259" s="51">
        <f t="shared" si="308"/>
        <v>2</v>
      </c>
      <c r="V259" s="52">
        <f t="shared" si="309"/>
        <v>10</v>
      </c>
      <c r="W259" s="53">
        <f>COUNTIFS('00 Encuesta'!$B$2:$B$511,"*d)*",'00 Encuesta'!$C$2:$C$511,"*c)*",'00 Encuesta'!$E$2:$E$511,"*a)*",'00 Encuesta'!$AG$2:$AG$511,"*h)*")</f>
        <v>0</v>
      </c>
      <c r="X259" s="52">
        <f t="shared" si="310"/>
        <v>0</v>
      </c>
      <c r="Y259" s="53">
        <f>COUNTIFS('00 Encuesta'!$B$2:$B$511,"*d)*",'00 Encuesta'!$C$2:$C$511,"*c)*",'00 Encuesta'!$E$2:$E$511,"*b)*",'00 Encuesta'!$AG$2:$AG$511,"*h)*")</f>
        <v>2</v>
      </c>
      <c r="Z259" s="52">
        <f t="shared" si="311"/>
        <v>13.333333333333334</v>
      </c>
      <c r="AA259" s="3"/>
      <c r="AB259" s="62">
        <f t="shared" si="312"/>
        <v>13</v>
      </c>
      <c r="AC259" s="52">
        <f t="shared" si="313"/>
        <v>20.634920634920636</v>
      </c>
      <c r="AD259" s="3"/>
      <c r="AE259" s="3"/>
      <c r="AF259" s="9" t="str">
        <f t="shared" si="314"/>
        <v>h) Las actividades extraescolares</v>
      </c>
      <c r="AG259" s="72">
        <f t="shared" si="315"/>
        <v>0</v>
      </c>
      <c r="AH259" s="72">
        <f t="shared" si="316"/>
        <v>22.222222222222221</v>
      </c>
      <c r="AI259" s="73">
        <f t="shared" si="317"/>
        <v>8.695652173913043</v>
      </c>
      <c r="AJ259" s="73"/>
      <c r="AK259" s="76">
        <f t="shared" si="318"/>
        <v>42.857142857142854</v>
      </c>
      <c r="AL259" s="76">
        <f t="shared" si="319"/>
        <v>46.153846153846153</v>
      </c>
      <c r="AM259" s="76">
        <f t="shared" si="320"/>
        <v>45</v>
      </c>
      <c r="AN259" s="76"/>
      <c r="AO259" s="81">
        <f t="shared" si="321"/>
        <v>0</v>
      </c>
      <c r="AP259" s="81">
        <f t="shared" si="322"/>
        <v>13.333333333333334</v>
      </c>
      <c r="AQ259" s="81">
        <f t="shared" si="323"/>
        <v>10</v>
      </c>
      <c r="AR259" s="3"/>
      <c r="AS259" s="76">
        <f t="shared" si="227"/>
        <v>20.634920634920636</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x14ac:dyDescent="0.3">
      <c r="A260" s="8" t="s">
        <v>65</v>
      </c>
      <c r="B260" s="9" t="s">
        <v>190</v>
      </c>
      <c r="C260" s="7"/>
      <c r="D260" s="7"/>
      <c r="E260" s="7"/>
      <c r="F260" s="71"/>
      <c r="G260" s="51">
        <f t="shared" si="300"/>
        <v>1</v>
      </c>
      <c r="H260" s="52">
        <f t="shared" si="301"/>
        <v>4.3478260869565215</v>
      </c>
      <c r="I260" s="53">
        <f>COUNTIFS('00 Encuesta'!$B$2:$B$511,"*d)*",'00 Encuesta'!$C$2:$C$511,"*a)*",'00 Encuesta'!$E$2:$E$511,"*a)*",'00 Encuesta'!$AG$2:$AG$511,"*i)*")</f>
        <v>1</v>
      </c>
      <c r="J260" s="52">
        <f t="shared" si="302"/>
        <v>7.1428571428571423</v>
      </c>
      <c r="K260" s="53">
        <f>COUNTIFS('00 Encuesta'!$B$2:$B$511,"*d)*",'00 Encuesta'!$C$2:$C$511,"*a)*",'00 Encuesta'!$E$2:$E$511,"*b)*",'00 Encuesta'!$AG$2:$AG$511,"*i)*")</f>
        <v>0</v>
      </c>
      <c r="L260" s="52">
        <f t="shared" si="303"/>
        <v>0</v>
      </c>
      <c r="M260" s="23"/>
      <c r="N260" s="51">
        <f t="shared" si="304"/>
        <v>3</v>
      </c>
      <c r="O260" s="52">
        <f t="shared" si="305"/>
        <v>15</v>
      </c>
      <c r="P260" s="53">
        <f>COUNTIFS('00 Encuesta'!$B$2:$B$511,"*d)*",'00 Encuesta'!$C$2:$C$511,"*b)*",'00 Encuesta'!$E$2:$E$511,"*a)*",'00 Encuesta'!$AG$2:$AG$511,"*i)*")</f>
        <v>1</v>
      </c>
      <c r="Q260" s="52">
        <f t="shared" si="306"/>
        <v>14.285714285714285</v>
      </c>
      <c r="R260" s="53">
        <f>COUNTIFS('00 Encuesta'!$B$2:$B$511,"*d)*",'00 Encuesta'!$C$2:$C$511,"*b)*",'00 Encuesta'!$E$2:$E$511,"*b)*",'00 Encuesta'!$AG$2:$AG$511,"*i)*")</f>
        <v>2</v>
      </c>
      <c r="S260" s="52">
        <f t="shared" si="307"/>
        <v>15.384615384615385</v>
      </c>
      <c r="T260" s="3"/>
      <c r="U260" s="51">
        <f t="shared" si="308"/>
        <v>5</v>
      </c>
      <c r="V260" s="52">
        <f t="shared" si="309"/>
        <v>25</v>
      </c>
      <c r="W260" s="53">
        <f>COUNTIFS('00 Encuesta'!$B$2:$B$511,"*d)*",'00 Encuesta'!$C$2:$C$511,"*c)*",'00 Encuesta'!$E$2:$E$511,"*a)*",'00 Encuesta'!$AG$2:$AG$511,"*i)*")</f>
        <v>3</v>
      </c>
      <c r="X260" s="52">
        <f t="shared" si="310"/>
        <v>60</v>
      </c>
      <c r="Y260" s="53">
        <f>COUNTIFS('00 Encuesta'!$B$2:$B$511,"*d)*",'00 Encuesta'!$C$2:$C$511,"*c)*",'00 Encuesta'!$E$2:$E$511,"*b)*",'00 Encuesta'!$AG$2:$AG$511,"*i)*")</f>
        <v>2</v>
      </c>
      <c r="Z260" s="52">
        <f t="shared" si="311"/>
        <v>13.333333333333334</v>
      </c>
      <c r="AA260" s="3"/>
      <c r="AB260" s="62">
        <f t="shared" si="312"/>
        <v>9</v>
      </c>
      <c r="AC260" s="52">
        <f t="shared" si="313"/>
        <v>14.285714285714286</v>
      </c>
      <c r="AD260" s="3"/>
      <c r="AE260" s="3"/>
      <c r="AF260" s="9" t="str">
        <f t="shared" si="314"/>
        <v>i) No me gusta nada</v>
      </c>
      <c r="AG260" s="72">
        <f t="shared" si="315"/>
        <v>7.1428571428571423</v>
      </c>
      <c r="AH260" s="72">
        <f t="shared" si="316"/>
        <v>0</v>
      </c>
      <c r="AI260" s="73">
        <f t="shared" si="317"/>
        <v>4.3478260869565215</v>
      </c>
      <c r="AJ260" s="73"/>
      <c r="AK260" s="76">
        <f t="shared" si="318"/>
        <v>14.285714285714285</v>
      </c>
      <c r="AL260" s="76">
        <f t="shared" si="319"/>
        <v>15.384615384615385</v>
      </c>
      <c r="AM260" s="76">
        <f t="shared" si="320"/>
        <v>15</v>
      </c>
      <c r="AN260" s="76"/>
      <c r="AO260" s="81">
        <f t="shared" si="321"/>
        <v>60</v>
      </c>
      <c r="AP260" s="81">
        <f t="shared" si="322"/>
        <v>13.333333333333334</v>
      </c>
      <c r="AQ260" s="81">
        <f t="shared" si="323"/>
        <v>25</v>
      </c>
      <c r="AR260" s="3"/>
      <c r="AS260" s="76">
        <f t="shared" si="227"/>
        <v>14.285714285714286</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x14ac:dyDescent="0.3">
      <c r="A261" s="8" t="s">
        <v>23</v>
      </c>
      <c r="B261" s="9" t="s">
        <v>24</v>
      </c>
      <c r="C261" s="7"/>
      <c r="D261" s="7"/>
      <c r="E261" s="7"/>
      <c r="F261" s="71"/>
      <c r="G261" s="51">
        <f t="shared" si="300"/>
        <v>0</v>
      </c>
      <c r="H261" s="52">
        <f t="shared" si="301"/>
        <v>0</v>
      </c>
      <c r="I261" s="53"/>
      <c r="J261" s="52">
        <f t="shared" si="302"/>
        <v>0</v>
      </c>
      <c r="K261" s="53"/>
      <c r="L261" s="52">
        <f t="shared" si="303"/>
        <v>0</v>
      </c>
      <c r="M261" s="23"/>
      <c r="N261" s="51">
        <f t="shared" si="304"/>
        <v>0</v>
      </c>
      <c r="O261" s="52">
        <f t="shared" si="305"/>
        <v>0</v>
      </c>
      <c r="P261" s="53"/>
      <c r="Q261" s="52">
        <f t="shared" si="306"/>
        <v>0</v>
      </c>
      <c r="R261" s="53"/>
      <c r="S261" s="52">
        <f t="shared" si="307"/>
        <v>0</v>
      </c>
      <c r="T261" s="3"/>
      <c r="U261" s="51">
        <f t="shared" si="308"/>
        <v>0</v>
      </c>
      <c r="V261" s="52">
        <f t="shared" si="309"/>
        <v>0</v>
      </c>
      <c r="W261" s="53"/>
      <c r="X261" s="52">
        <f t="shared" si="310"/>
        <v>0</v>
      </c>
      <c r="Y261" s="53"/>
      <c r="Z261" s="52">
        <f t="shared" si="311"/>
        <v>0</v>
      </c>
      <c r="AA261" s="3"/>
      <c r="AB261" s="62">
        <f t="shared" si="312"/>
        <v>0</v>
      </c>
      <c r="AC261" s="52">
        <f t="shared" si="313"/>
        <v>0</v>
      </c>
      <c r="AD261" s="3"/>
      <c r="AE261" s="3"/>
      <c r="AF261" s="9" t="str">
        <f t="shared" si="314"/>
        <v>S/R Sin Respuesta</v>
      </c>
      <c r="AG261" s="72">
        <f t="shared" si="315"/>
        <v>0</v>
      </c>
      <c r="AH261" s="72">
        <f t="shared" si="316"/>
        <v>0</v>
      </c>
      <c r="AI261" s="73">
        <f t="shared" si="317"/>
        <v>0</v>
      </c>
      <c r="AJ261" s="73"/>
      <c r="AK261" s="76">
        <f t="shared" si="318"/>
        <v>0</v>
      </c>
      <c r="AL261" s="76">
        <f t="shared" si="319"/>
        <v>0</v>
      </c>
      <c r="AM261" s="76">
        <f t="shared" si="320"/>
        <v>0</v>
      </c>
      <c r="AN261" s="76"/>
      <c r="AO261" s="81">
        <f t="shared" si="321"/>
        <v>0</v>
      </c>
      <c r="AP261" s="81">
        <f t="shared" si="322"/>
        <v>0</v>
      </c>
      <c r="AQ261" s="81">
        <f t="shared" si="323"/>
        <v>0</v>
      </c>
      <c r="AR261" s="3"/>
      <c r="AS261" s="76">
        <f t="shared" si="227"/>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x14ac:dyDescent="0.3">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x14ac:dyDescent="0.3">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x14ac:dyDescent="0.3">
      <c r="A264" s="8" t="s">
        <v>17</v>
      </c>
      <c r="B264" s="9" t="s">
        <v>192</v>
      </c>
      <c r="C264" s="7"/>
      <c r="D264" s="7"/>
      <c r="E264" s="7"/>
      <c r="F264" s="71"/>
      <c r="G264" s="51">
        <f t="shared" ref="G264:G270" si="324">I264+K264</f>
        <v>11</v>
      </c>
      <c r="H264" s="52">
        <f t="shared" ref="H264:H270" si="325">G264/$J$5*100</f>
        <v>47.826086956521742</v>
      </c>
      <c r="I264" s="53">
        <f>COUNTIFS('00 Encuesta'!$B$2:$B$511,"*d)*",'00 Encuesta'!$C$2:$C$511,"*a)*",'00 Encuesta'!$E$2:$E$511,"*a)*",'00 Encuesta'!$AI$2:$AI$511,"*a)*")</f>
        <v>7</v>
      </c>
      <c r="J264" s="52">
        <f t="shared" ref="J264:J270" si="326">I264/$J$6*100</f>
        <v>50</v>
      </c>
      <c r="K264" s="53">
        <f>COUNTIFS('00 Encuesta'!$B$2:$B$511,"*d)*",'00 Encuesta'!$C$2:$C$511,"*a)*",'00 Encuesta'!$E$2:$E$511,"*b)*",'00 Encuesta'!$AI$2:$AI$511,"*a)*")</f>
        <v>4</v>
      </c>
      <c r="L264" s="52">
        <f t="shared" ref="L264:L270" si="327">K264/$J$7*100</f>
        <v>44.444444444444443</v>
      </c>
      <c r="M264" s="23"/>
      <c r="N264" s="51">
        <f t="shared" ref="N264:N270" si="328">P264+R264</f>
        <v>6</v>
      </c>
      <c r="O264" s="52">
        <f t="shared" ref="O264:O270" si="329">N264/$Q$5*100</f>
        <v>30</v>
      </c>
      <c r="P264" s="53">
        <f>COUNTIFS('00 Encuesta'!$B$2:$B$511,"*d)*",'00 Encuesta'!$C$2:$C$511,"*b)*",'00 Encuesta'!$E$2:$E$511,"*a)*",'00 Encuesta'!$AI$2:$AI$511,"*a)*")</f>
        <v>5</v>
      </c>
      <c r="Q264" s="52">
        <f t="shared" ref="Q264:Q270" si="330">P264/$Q$6*100</f>
        <v>71.428571428571431</v>
      </c>
      <c r="R264" s="53">
        <f>COUNTIFS('00 Encuesta'!$B$2:$B$511,"*d)*",'00 Encuesta'!$C$2:$C$511,"*b)*",'00 Encuesta'!$E$2:$E$511,"*b)*",'00 Encuesta'!$AI$2:$AI$511,"*a)*")</f>
        <v>1</v>
      </c>
      <c r="S264" s="52">
        <f t="shared" ref="S264:S270" si="331">R264/$Q$7*100</f>
        <v>7.6923076923076925</v>
      </c>
      <c r="T264" s="3"/>
      <c r="U264" s="51">
        <f t="shared" ref="U264:U270" si="332">W264+Y264</f>
        <v>4</v>
      </c>
      <c r="V264" s="52">
        <f t="shared" ref="V264:V270" si="333">U264/$X$5*100</f>
        <v>20</v>
      </c>
      <c r="W264" s="53">
        <f>COUNTIFS('00 Encuesta'!$B$2:$B$511,"*d)*",'00 Encuesta'!$C$2:$C$511,"*c)*",'00 Encuesta'!$E$2:$E$511,"*a)*",'00 Encuesta'!$AI$2:$AI$511,"*a)*")</f>
        <v>3</v>
      </c>
      <c r="X264" s="52">
        <f t="shared" ref="X264:X270" si="334">W264/$X$6*100</f>
        <v>60</v>
      </c>
      <c r="Y264" s="53">
        <f>COUNTIFS('00 Encuesta'!$B$2:$B$511,"*d)*",'00 Encuesta'!$C$2:$C$511,"*c)*",'00 Encuesta'!$E$2:$E$511,"*b)*",'00 Encuesta'!$AI$2:$AI$511,"*a)*")</f>
        <v>1</v>
      </c>
      <c r="Z264" s="52">
        <f t="shared" ref="Z264:Z270" si="335">Y264/$X$7*100</f>
        <v>6.666666666666667</v>
      </c>
      <c r="AA264" s="3"/>
      <c r="AB264" s="62">
        <f t="shared" ref="AB264:AB270" si="336">G264+N264+U264</f>
        <v>21</v>
      </c>
      <c r="AC264" s="52">
        <f t="shared" ref="AC264:AC270" si="337">AB264*100/$AC$5</f>
        <v>33.333333333333336</v>
      </c>
      <c r="AD264" s="3"/>
      <c r="AE264" s="3"/>
      <c r="AF264" s="9" t="str">
        <f t="shared" ref="AF264:AF270" si="338">A264&amp;" "&amp;B264</f>
        <v>a) De 0 a 2 horas</v>
      </c>
      <c r="AG264" s="72">
        <f t="shared" ref="AG264:AG270" si="339">J264</f>
        <v>50</v>
      </c>
      <c r="AH264" s="72">
        <f t="shared" ref="AH264:AH270" si="340">L264</f>
        <v>44.444444444444443</v>
      </c>
      <c r="AI264" s="73">
        <f t="shared" ref="AI264:AI270" si="341">H264</f>
        <v>47.826086956521742</v>
      </c>
      <c r="AJ264" s="73"/>
      <c r="AK264" s="76">
        <f t="shared" ref="AK264:AK270" si="342">Q264</f>
        <v>71.428571428571431</v>
      </c>
      <c r="AL264" s="76">
        <f t="shared" ref="AL264:AL270" si="343">S264</f>
        <v>7.6923076923076925</v>
      </c>
      <c r="AM264" s="76">
        <f t="shared" ref="AM264:AM270" si="344">O264</f>
        <v>30</v>
      </c>
      <c r="AN264" s="76"/>
      <c r="AO264" s="81">
        <f t="shared" ref="AO264:AO270" si="345">X264</f>
        <v>60</v>
      </c>
      <c r="AP264" s="81">
        <f t="shared" ref="AP264:AP270" si="346">Z264</f>
        <v>6.666666666666667</v>
      </c>
      <c r="AQ264" s="81">
        <f t="shared" ref="AQ264:AQ270" si="347">V264</f>
        <v>20</v>
      </c>
      <c r="AR264" s="3"/>
      <c r="AS264" s="76">
        <f t="shared" si="227"/>
        <v>33.333333333333336</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x14ac:dyDescent="0.3">
      <c r="A265" s="8" t="s">
        <v>18</v>
      </c>
      <c r="B265" s="9" t="s">
        <v>193</v>
      </c>
      <c r="C265" s="7"/>
      <c r="D265" s="7"/>
      <c r="E265" s="7"/>
      <c r="F265" s="71"/>
      <c r="G265" s="51">
        <f t="shared" si="324"/>
        <v>5</v>
      </c>
      <c r="H265" s="52">
        <f t="shared" si="325"/>
        <v>21.739130434782609</v>
      </c>
      <c r="I265" s="53">
        <f>COUNTIFS('00 Encuesta'!$B$2:$B$511,"*d)*",'00 Encuesta'!$C$2:$C$511,"*a)*",'00 Encuesta'!$E$2:$E$511,"*a)*",'00 Encuesta'!$AI$2:$AI$511,"*b)*")</f>
        <v>2</v>
      </c>
      <c r="J265" s="52">
        <f t="shared" si="326"/>
        <v>14.285714285714285</v>
      </c>
      <c r="K265" s="53">
        <f>COUNTIFS('00 Encuesta'!$B$2:$B$511,"*d)*",'00 Encuesta'!$C$2:$C$511,"*a)*",'00 Encuesta'!$E$2:$E$511,"*b)*",'00 Encuesta'!$AI$2:$AI$511,"*b)*")</f>
        <v>3</v>
      </c>
      <c r="L265" s="52">
        <f t="shared" si="327"/>
        <v>33.333333333333329</v>
      </c>
      <c r="M265" s="23"/>
      <c r="N265" s="51">
        <f t="shared" si="328"/>
        <v>5</v>
      </c>
      <c r="O265" s="52">
        <f t="shared" si="329"/>
        <v>25</v>
      </c>
      <c r="P265" s="53">
        <f>COUNTIFS('00 Encuesta'!$B$2:$B$511,"*d)*",'00 Encuesta'!$C$2:$C$511,"*b)*",'00 Encuesta'!$E$2:$E$511,"*a)*",'00 Encuesta'!$AI$2:$AI$511,"*b)*")</f>
        <v>1</v>
      </c>
      <c r="Q265" s="52">
        <f t="shared" si="330"/>
        <v>14.285714285714285</v>
      </c>
      <c r="R265" s="53">
        <f>COUNTIFS('00 Encuesta'!$B$2:$B$511,"*d)*",'00 Encuesta'!$C$2:$C$511,"*b)*",'00 Encuesta'!$E$2:$E$511,"*b)*",'00 Encuesta'!$AI$2:$AI$511,"*b)*")</f>
        <v>4</v>
      </c>
      <c r="S265" s="52">
        <f t="shared" si="331"/>
        <v>30.76923076923077</v>
      </c>
      <c r="T265" s="3"/>
      <c r="U265" s="51">
        <f t="shared" si="332"/>
        <v>4</v>
      </c>
      <c r="V265" s="52">
        <f t="shared" si="333"/>
        <v>20</v>
      </c>
      <c r="W265" s="53">
        <f>COUNTIFS('00 Encuesta'!$B$2:$B$511,"*d)*",'00 Encuesta'!$C$2:$C$511,"*c)*",'00 Encuesta'!$E$2:$E$511,"*a)*",'00 Encuesta'!$AI$2:$AI$511,"*b)*")</f>
        <v>2</v>
      </c>
      <c r="X265" s="52">
        <f t="shared" si="334"/>
        <v>40</v>
      </c>
      <c r="Y265" s="53">
        <f>COUNTIFS('00 Encuesta'!$B$2:$B$511,"*d)*",'00 Encuesta'!$C$2:$C$511,"*c)*",'00 Encuesta'!$E$2:$E$511,"*b)*",'00 Encuesta'!$AI$2:$AI$511,"*b)*")</f>
        <v>2</v>
      </c>
      <c r="Z265" s="52">
        <f t="shared" si="335"/>
        <v>13.333333333333334</v>
      </c>
      <c r="AA265" s="3"/>
      <c r="AB265" s="62">
        <f t="shared" si="336"/>
        <v>14</v>
      </c>
      <c r="AC265" s="52">
        <f t="shared" si="337"/>
        <v>22.222222222222221</v>
      </c>
      <c r="AD265" s="3"/>
      <c r="AE265" s="3"/>
      <c r="AF265" s="9" t="str">
        <f t="shared" si="338"/>
        <v>b) De 3 a 4 horas</v>
      </c>
      <c r="AG265" s="72">
        <f t="shared" si="339"/>
        <v>14.285714285714285</v>
      </c>
      <c r="AH265" s="72">
        <f t="shared" si="340"/>
        <v>33.333333333333329</v>
      </c>
      <c r="AI265" s="73">
        <f t="shared" si="341"/>
        <v>21.739130434782609</v>
      </c>
      <c r="AJ265" s="73"/>
      <c r="AK265" s="76">
        <f t="shared" si="342"/>
        <v>14.285714285714285</v>
      </c>
      <c r="AL265" s="76">
        <f t="shared" si="343"/>
        <v>30.76923076923077</v>
      </c>
      <c r="AM265" s="76">
        <f t="shared" si="344"/>
        <v>25</v>
      </c>
      <c r="AN265" s="76"/>
      <c r="AO265" s="81">
        <f t="shared" si="345"/>
        <v>40</v>
      </c>
      <c r="AP265" s="81">
        <f t="shared" si="346"/>
        <v>13.333333333333334</v>
      </c>
      <c r="AQ265" s="81">
        <f t="shared" si="347"/>
        <v>20</v>
      </c>
      <c r="AR265" s="3"/>
      <c r="AS265" s="76">
        <f t="shared" si="227"/>
        <v>22.222222222222221</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x14ac:dyDescent="0.3">
      <c r="A266" s="8" t="s">
        <v>20</v>
      </c>
      <c r="B266" s="9" t="s">
        <v>194</v>
      </c>
      <c r="C266" s="7"/>
      <c r="D266" s="7"/>
      <c r="E266" s="7"/>
      <c r="F266" s="71"/>
      <c r="G266" s="51">
        <f t="shared" si="324"/>
        <v>0</v>
      </c>
      <c r="H266" s="52">
        <f t="shared" si="325"/>
        <v>0</v>
      </c>
      <c r="I266" s="53">
        <f>COUNTIFS('00 Encuesta'!$B$2:$B$511,"*d)*",'00 Encuesta'!$C$2:$C$511,"*a)*",'00 Encuesta'!$E$2:$E$511,"*a)*",'00 Encuesta'!$AI$2:$AI$511,"*c)*")</f>
        <v>0</v>
      </c>
      <c r="J266" s="52">
        <f t="shared" si="326"/>
        <v>0</v>
      </c>
      <c r="K266" s="53">
        <f>COUNTIFS('00 Encuesta'!$B$2:$B$511,"*d)*",'00 Encuesta'!$C$2:$C$511,"*a)*",'00 Encuesta'!$E$2:$E$511,"*b)*",'00 Encuesta'!$AI$2:$AI$511,"*c)*")</f>
        <v>0</v>
      </c>
      <c r="L266" s="52">
        <f t="shared" si="327"/>
        <v>0</v>
      </c>
      <c r="M266" s="23"/>
      <c r="N266" s="51">
        <f t="shared" si="328"/>
        <v>1</v>
      </c>
      <c r="O266" s="52">
        <f t="shared" si="329"/>
        <v>5</v>
      </c>
      <c r="P266" s="53">
        <f>COUNTIFS('00 Encuesta'!$B$2:$B$511,"*d)*",'00 Encuesta'!$C$2:$C$511,"*b)*",'00 Encuesta'!$E$2:$E$511,"*a)*",'00 Encuesta'!$AI$2:$AI$511,"*c)*")</f>
        <v>0</v>
      </c>
      <c r="Q266" s="52">
        <f t="shared" si="330"/>
        <v>0</v>
      </c>
      <c r="R266" s="53">
        <f>COUNTIFS('00 Encuesta'!$B$2:$B$511,"*d)*",'00 Encuesta'!$C$2:$C$511,"*b)*",'00 Encuesta'!$E$2:$E$511,"*b)*",'00 Encuesta'!$AI$2:$AI$511,"*c)*")</f>
        <v>1</v>
      </c>
      <c r="S266" s="52">
        <f t="shared" si="331"/>
        <v>7.6923076923076925</v>
      </c>
      <c r="T266" s="3"/>
      <c r="U266" s="51">
        <f t="shared" si="332"/>
        <v>1</v>
      </c>
      <c r="V266" s="52">
        <f t="shared" si="333"/>
        <v>5</v>
      </c>
      <c r="W266" s="53">
        <f>COUNTIFS('00 Encuesta'!$B$2:$B$511,"*d)*",'00 Encuesta'!$C$2:$C$511,"*c)*",'00 Encuesta'!$E$2:$E$511,"*a)*",'00 Encuesta'!$AI$2:$AI$511,"*c)*")</f>
        <v>0</v>
      </c>
      <c r="X266" s="52">
        <f t="shared" si="334"/>
        <v>0</v>
      </c>
      <c r="Y266" s="53">
        <f>COUNTIFS('00 Encuesta'!$B$2:$B$511,"*d)*",'00 Encuesta'!$C$2:$C$511,"*c)*",'00 Encuesta'!$E$2:$E$511,"*b)*",'00 Encuesta'!$AI$2:$AI$511,"*c)*")</f>
        <v>1</v>
      </c>
      <c r="Z266" s="52">
        <f t="shared" si="335"/>
        <v>6.666666666666667</v>
      </c>
      <c r="AA266" s="3"/>
      <c r="AB266" s="62">
        <f t="shared" si="336"/>
        <v>2</v>
      </c>
      <c r="AC266" s="52">
        <f t="shared" si="337"/>
        <v>3.1746031746031744</v>
      </c>
      <c r="AD266" s="3"/>
      <c r="AE266" s="3"/>
      <c r="AF266" s="9" t="str">
        <f t="shared" si="338"/>
        <v>c) De 5 a 6 horas</v>
      </c>
      <c r="AG266" s="72">
        <f t="shared" si="339"/>
        <v>0</v>
      </c>
      <c r="AH266" s="72">
        <f t="shared" si="340"/>
        <v>0</v>
      </c>
      <c r="AI266" s="73">
        <f t="shared" si="341"/>
        <v>0</v>
      </c>
      <c r="AJ266" s="73"/>
      <c r="AK266" s="76">
        <f t="shared" si="342"/>
        <v>0</v>
      </c>
      <c r="AL266" s="76">
        <f t="shared" si="343"/>
        <v>7.6923076923076925</v>
      </c>
      <c r="AM266" s="76">
        <f t="shared" si="344"/>
        <v>5</v>
      </c>
      <c r="AN266" s="76"/>
      <c r="AO266" s="81">
        <f t="shared" si="345"/>
        <v>0</v>
      </c>
      <c r="AP266" s="81">
        <f t="shared" si="346"/>
        <v>6.666666666666667</v>
      </c>
      <c r="AQ266" s="81">
        <f t="shared" si="347"/>
        <v>5</v>
      </c>
      <c r="AR266" s="3"/>
      <c r="AS266" s="76">
        <f t="shared" si="227"/>
        <v>3.1746031746031744</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x14ac:dyDescent="0.3">
      <c r="A267" s="8" t="s">
        <v>21</v>
      </c>
      <c r="B267" s="9" t="s">
        <v>195</v>
      </c>
      <c r="C267" s="7"/>
      <c r="D267" s="7"/>
      <c r="E267" s="7"/>
      <c r="F267" s="71"/>
      <c r="G267" s="51">
        <f t="shared" si="324"/>
        <v>4</v>
      </c>
      <c r="H267" s="52">
        <f t="shared" si="325"/>
        <v>17.391304347826086</v>
      </c>
      <c r="I267" s="53">
        <f>COUNTIFS('00 Encuesta'!$B$2:$B$511,"*d)*",'00 Encuesta'!$C$2:$C$511,"*a)*",'00 Encuesta'!$E$2:$E$511,"*a)*",'00 Encuesta'!$AI$2:$AI$511,"*d)*")</f>
        <v>3</v>
      </c>
      <c r="J267" s="52">
        <f t="shared" si="326"/>
        <v>21.428571428571427</v>
      </c>
      <c r="K267" s="53">
        <f>COUNTIFS('00 Encuesta'!$B$2:$B$511,"*d)*",'00 Encuesta'!$C$2:$C$511,"*a)*",'00 Encuesta'!$E$2:$E$511,"*b)*",'00 Encuesta'!$AI$2:$AI$511,"*d)*")</f>
        <v>1</v>
      </c>
      <c r="L267" s="52">
        <f t="shared" si="327"/>
        <v>11.111111111111111</v>
      </c>
      <c r="M267" s="23"/>
      <c r="N267" s="51">
        <f t="shared" si="328"/>
        <v>2</v>
      </c>
      <c r="O267" s="52">
        <f t="shared" si="329"/>
        <v>10</v>
      </c>
      <c r="P267" s="53">
        <f>COUNTIFS('00 Encuesta'!$B$2:$B$511,"*d)*",'00 Encuesta'!$C$2:$C$511,"*b)*",'00 Encuesta'!$E$2:$E$511,"*a)*",'00 Encuesta'!$AI$2:$AI$511,"*d)*")</f>
        <v>0</v>
      </c>
      <c r="Q267" s="52">
        <f t="shared" si="330"/>
        <v>0</v>
      </c>
      <c r="R267" s="53">
        <f>COUNTIFS('00 Encuesta'!$B$2:$B$511,"*d)*",'00 Encuesta'!$C$2:$C$511,"*b)*",'00 Encuesta'!$E$2:$E$511,"*b)*",'00 Encuesta'!$AI$2:$AI$511,"*d)*")</f>
        <v>2</v>
      </c>
      <c r="S267" s="52">
        <f t="shared" si="331"/>
        <v>15.384615384615385</v>
      </c>
      <c r="T267" s="3"/>
      <c r="U267" s="51">
        <f t="shared" si="332"/>
        <v>4</v>
      </c>
      <c r="V267" s="52">
        <f t="shared" si="333"/>
        <v>20</v>
      </c>
      <c r="W267" s="53">
        <f>COUNTIFS('00 Encuesta'!$B$2:$B$511,"*d)*",'00 Encuesta'!$C$2:$C$511,"*c)*",'00 Encuesta'!$E$2:$E$511,"*a)*",'00 Encuesta'!$AI$2:$AI$511,"*d)*")</f>
        <v>0</v>
      </c>
      <c r="X267" s="52">
        <f t="shared" si="334"/>
        <v>0</v>
      </c>
      <c r="Y267" s="53">
        <f>COUNTIFS('00 Encuesta'!$B$2:$B$511,"*d)*",'00 Encuesta'!$C$2:$C$511,"*c)*",'00 Encuesta'!$E$2:$E$511,"*b)*",'00 Encuesta'!$AI$2:$AI$511,"*d)*")</f>
        <v>4</v>
      </c>
      <c r="Z267" s="52">
        <f t="shared" si="335"/>
        <v>26.666666666666668</v>
      </c>
      <c r="AA267" s="3"/>
      <c r="AB267" s="62">
        <f t="shared" si="336"/>
        <v>10</v>
      </c>
      <c r="AC267" s="52">
        <f t="shared" si="337"/>
        <v>15.873015873015873</v>
      </c>
      <c r="AD267" s="3"/>
      <c r="AE267" s="3"/>
      <c r="AF267" s="9" t="str">
        <f t="shared" si="338"/>
        <v>d) De 7 a 8 horas</v>
      </c>
      <c r="AG267" s="72">
        <f t="shared" si="339"/>
        <v>21.428571428571427</v>
      </c>
      <c r="AH267" s="72">
        <f t="shared" si="340"/>
        <v>11.111111111111111</v>
      </c>
      <c r="AI267" s="73">
        <f t="shared" si="341"/>
        <v>17.391304347826086</v>
      </c>
      <c r="AJ267" s="73"/>
      <c r="AK267" s="76">
        <f t="shared" si="342"/>
        <v>0</v>
      </c>
      <c r="AL267" s="76">
        <f t="shared" si="343"/>
        <v>15.384615384615385</v>
      </c>
      <c r="AM267" s="76">
        <f t="shared" si="344"/>
        <v>10</v>
      </c>
      <c r="AN267" s="76"/>
      <c r="AO267" s="81">
        <f t="shared" si="345"/>
        <v>0</v>
      </c>
      <c r="AP267" s="81">
        <f t="shared" si="346"/>
        <v>26.666666666666668</v>
      </c>
      <c r="AQ267" s="81">
        <f t="shared" si="347"/>
        <v>20</v>
      </c>
      <c r="AR267" s="3"/>
      <c r="AS267" s="76">
        <f t="shared" si="227"/>
        <v>15.873015873015873</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x14ac:dyDescent="0.3">
      <c r="A268" s="8" t="s">
        <v>22</v>
      </c>
      <c r="B268" s="9" t="s">
        <v>196</v>
      </c>
      <c r="C268" s="7"/>
      <c r="D268" s="7"/>
      <c r="E268" s="7"/>
      <c r="F268" s="71"/>
      <c r="G268" s="51">
        <f t="shared" si="324"/>
        <v>3</v>
      </c>
      <c r="H268" s="52">
        <f t="shared" si="325"/>
        <v>13.043478260869565</v>
      </c>
      <c r="I268" s="53">
        <f>COUNTIFS('00 Encuesta'!$B$2:$B$511,"*d)*",'00 Encuesta'!$C$2:$C$511,"*a)*",'00 Encuesta'!$E$2:$E$511,"*a)*",'00 Encuesta'!$AI$2:$AI$511,"*e)*")</f>
        <v>2</v>
      </c>
      <c r="J268" s="52">
        <f t="shared" si="326"/>
        <v>14.285714285714285</v>
      </c>
      <c r="K268" s="53">
        <f>COUNTIFS('00 Encuesta'!$B$2:$B$511,"*d)*",'00 Encuesta'!$C$2:$C$511,"*a)*",'00 Encuesta'!$E$2:$E$511,"*b)*",'00 Encuesta'!$AI$2:$AI$511,"*e)*")</f>
        <v>1</v>
      </c>
      <c r="L268" s="52">
        <f t="shared" si="327"/>
        <v>11.111111111111111</v>
      </c>
      <c r="M268" s="23"/>
      <c r="N268" s="51">
        <f t="shared" si="328"/>
        <v>2</v>
      </c>
      <c r="O268" s="52">
        <f t="shared" si="329"/>
        <v>10</v>
      </c>
      <c r="P268" s="53">
        <f>COUNTIFS('00 Encuesta'!$B$2:$B$511,"*d)*",'00 Encuesta'!$C$2:$C$511,"*b)*",'00 Encuesta'!$E$2:$E$511,"*a)*",'00 Encuesta'!$AI$2:$AI$511,"*e)*")</f>
        <v>1</v>
      </c>
      <c r="Q268" s="52">
        <f t="shared" si="330"/>
        <v>14.285714285714285</v>
      </c>
      <c r="R268" s="53">
        <f>COUNTIFS('00 Encuesta'!$B$2:$B$511,"*d)*",'00 Encuesta'!$C$2:$C$511,"*b)*",'00 Encuesta'!$E$2:$E$511,"*b)*",'00 Encuesta'!$AI$2:$AI$511,"*e)*")</f>
        <v>1</v>
      </c>
      <c r="S268" s="52">
        <f t="shared" si="331"/>
        <v>7.6923076923076925</v>
      </c>
      <c r="T268" s="3"/>
      <c r="U268" s="51">
        <f t="shared" si="332"/>
        <v>2</v>
      </c>
      <c r="V268" s="52">
        <f t="shared" si="333"/>
        <v>10</v>
      </c>
      <c r="W268" s="53">
        <f>COUNTIFS('00 Encuesta'!$B$2:$B$511,"*d)*",'00 Encuesta'!$C$2:$C$511,"*c)*",'00 Encuesta'!$E$2:$E$511,"*a)*",'00 Encuesta'!$AI$2:$AI$511,"*e)*")</f>
        <v>0</v>
      </c>
      <c r="X268" s="52">
        <f t="shared" si="334"/>
        <v>0</v>
      </c>
      <c r="Y268" s="53">
        <f>COUNTIFS('00 Encuesta'!$B$2:$B$511,"*d)*",'00 Encuesta'!$C$2:$C$511,"*c)*",'00 Encuesta'!$E$2:$E$511,"*b)*",'00 Encuesta'!$AI$2:$AI$511,"*e)*")</f>
        <v>2</v>
      </c>
      <c r="Z268" s="52">
        <f t="shared" si="335"/>
        <v>13.333333333333334</v>
      </c>
      <c r="AA268" s="3"/>
      <c r="AB268" s="62">
        <f t="shared" si="336"/>
        <v>7</v>
      </c>
      <c r="AC268" s="52">
        <f t="shared" si="337"/>
        <v>11.111111111111111</v>
      </c>
      <c r="AD268" s="3"/>
      <c r="AE268" s="3"/>
      <c r="AF268" s="9" t="str">
        <f t="shared" si="338"/>
        <v>e) De 9 a 10 horas</v>
      </c>
      <c r="AG268" s="72">
        <f t="shared" si="339"/>
        <v>14.285714285714285</v>
      </c>
      <c r="AH268" s="72">
        <f t="shared" si="340"/>
        <v>11.111111111111111</v>
      </c>
      <c r="AI268" s="73">
        <f t="shared" si="341"/>
        <v>13.043478260869565</v>
      </c>
      <c r="AJ268" s="73"/>
      <c r="AK268" s="76">
        <f t="shared" si="342"/>
        <v>14.285714285714285</v>
      </c>
      <c r="AL268" s="76">
        <f t="shared" si="343"/>
        <v>7.6923076923076925</v>
      </c>
      <c r="AM268" s="76">
        <f t="shared" si="344"/>
        <v>10</v>
      </c>
      <c r="AN268" s="76"/>
      <c r="AO268" s="81">
        <f t="shared" si="345"/>
        <v>0</v>
      </c>
      <c r="AP268" s="81">
        <f t="shared" si="346"/>
        <v>13.333333333333334</v>
      </c>
      <c r="AQ268" s="81">
        <f t="shared" si="347"/>
        <v>10</v>
      </c>
      <c r="AR268" s="3"/>
      <c r="AS268" s="76">
        <f t="shared" si="227"/>
        <v>11.111111111111111</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x14ac:dyDescent="0.3">
      <c r="A269" s="8" t="s">
        <v>45</v>
      </c>
      <c r="B269" s="9" t="s">
        <v>197</v>
      </c>
      <c r="C269" s="7"/>
      <c r="D269" s="7"/>
      <c r="E269" s="7"/>
      <c r="F269" s="71"/>
      <c r="G269" s="51">
        <f t="shared" si="324"/>
        <v>0</v>
      </c>
      <c r="H269" s="52">
        <f t="shared" si="325"/>
        <v>0</v>
      </c>
      <c r="I269" s="53">
        <f>COUNTIFS('00 Encuesta'!$B$2:$B$511,"*d)*",'00 Encuesta'!$C$2:$C$511,"*a)*",'00 Encuesta'!$E$2:$E$511,"*a)*",'00 Encuesta'!$AI$2:$AI$511,"*f)*")</f>
        <v>0</v>
      </c>
      <c r="J269" s="52">
        <f t="shared" si="326"/>
        <v>0</v>
      </c>
      <c r="K269" s="53">
        <f>COUNTIFS('00 Encuesta'!$B$2:$B$511,"*d)*",'00 Encuesta'!$C$2:$C$511,"*a)*",'00 Encuesta'!$E$2:$E$511,"*b)*",'00 Encuesta'!$AI$2:$AI$511,"*f)*")</f>
        <v>0</v>
      </c>
      <c r="L269" s="52">
        <f t="shared" si="327"/>
        <v>0</v>
      </c>
      <c r="M269" s="23"/>
      <c r="N269" s="51">
        <f t="shared" si="328"/>
        <v>4</v>
      </c>
      <c r="O269" s="52">
        <f t="shared" si="329"/>
        <v>20</v>
      </c>
      <c r="P269" s="53">
        <f>COUNTIFS('00 Encuesta'!$B$2:$B$511,"*d)*",'00 Encuesta'!$C$2:$C$511,"*b)*",'00 Encuesta'!$E$2:$E$511,"*a)*",'00 Encuesta'!$AI$2:$AI$511,"*f)*")</f>
        <v>0</v>
      </c>
      <c r="Q269" s="52">
        <f t="shared" si="330"/>
        <v>0</v>
      </c>
      <c r="R269" s="53">
        <f>COUNTIFS('00 Encuesta'!$B$2:$B$511,"*d)*",'00 Encuesta'!$C$2:$C$511,"*b)*",'00 Encuesta'!$E$2:$E$511,"*b)*",'00 Encuesta'!$AI$2:$AI$511,"*f)*")</f>
        <v>4</v>
      </c>
      <c r="S269" s="52">
        <f t="shared" si="331"/>
        <v>30.76923076923077</v>
      </c>
      <c r="T269" s="3"/>
      <c r="U269" s="51">
        <f t="shared" si="332"/>
        <v>5</v>
      </c>
      <c r="V269" s="52">
        <f t="shared" si="333"/>
        <v>25</v>
      </c>
      <c r="W269" s="53">
        <f>COUNTIFS('00 Encuesta'!$B$2:$B$511,"*d)*",'00 Encuesta'!$C$2:$C$511,"*c)*",'00 Encuesta'!$E$2:$E$511,"*a)*",'00 Encuesta'!$AI$2:$AI$511,"*f)*")</f>
        <v>0</v>
      </c>
      <c r="X269" s="52">
        <f t="shared" si="334"/>
        <v>0</v>
      </c>
      <c r="Y269" s="53">
        <f>COUNTIFS('00 Encuesta'!$B$2:$B$511,"*d)*",'00 Encuesta'!$C$2:$C$511,"*c)*",'00 Encuesta'!$E$2:$E$511,"*b)*",'00 Encuesta'!$AI$2:$AI$511,"*f)*")</f>
        <v>5</v>
      </c>
      <c r="Z269" s="52">
        <f t="shared" si="335"/>
        <v>33.333333333333329</v>
      </c>
      <c r="AA269" s="3"/>
      <c r="AB269" s="62">
        <f t="shared" si="336"/>
        <v>9</v>
      </c>
      <c r="AC269" s="52">
        <f t="shared" si="337"/>
        <v>14.285714285714286</v>
      </c>
      <c r="AD269" s="3"/>
      <c r="AE269" s="3"/>
      <c r="AF269" s="9" t="str">
        <f t="shared" si="338"/>
        <v>f) Mas de 11 horas</v>
      </c>
      <c r="AG269" s="72">
        <f t="shared" si="339"/>
        <v>0</v>
      </c>
      <c r="AH269" s="72">
        <f t="shared" si="340"/>
        <v>0</v>
      </c>
      <c r="AI269" s="73">
        <f t="shared" si="341"/>
        <v>0</v>
      </c>
      <c r="AJ269" s="73"/>
      <c r="AK269" s="76">
        <f t="shared" si="342"/>
        <v>0</v>
      </c>
      <c r="AL269" s="76">
        <f t="shared" si="343"/>
        <v>30.76923076923077</v>
      </c>
      <c r="AM269" s="76">
        <f t="shared" si="344"/>
        <v>20</v>
      </c>
      <c r="AN269" s="76"/>
      <c r="AO269" s="81">
        <f t="shared" si="345"/>
        <v>0</v>
      </c>
      <c r="AP269" s="81">
        <f t="shared" si="346"/>
        <v>33.333333333333329</v>
      </c>
      <c r="AQ269" s="81">
        <f t="shared" si="347"/>
        <v>25</v>
      </c>
      <c r="AR269" s="3"/>
      <c r="AS269" s="76">
        <f t="shared" si="227"/>
        <v>14.285714285714286</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x14ac:dyDescent="0.3">
      <c r="A270" s="8" t="s">
        <v>23</v>
      </c>
      <c r="B270" s="9" t="s">
        <v>24</v>
      </c>
      <c r="C270" s="7"/>
      <c r="D270" s="7"/>
      <c r="E270" s="7"/>
      <c r="F270" s="71"/>
      <c r="G270" s="51">
        <f t="shared" si="324"/>
        <v>0</v>
      </c>
      <c r="H270" s="52">
        <f t="shared" si="325"/>
        <v>0</v>
      </c>
      <c r="I270" s="53"/>
      <c r="J270" s="52">
        <f t="shared" si="326"/>
        <v>0</v>
      </c>
      <c r="K270" s="53"/>
      <c r="L270" s="52">
        <f t="shared" si="327"/>
        <v>0</v>
      </c>
      <c r="M270" s="23"/>
      <c r="N270" s="51">
        <f t="shared" si="328"/>
        <v>0</v>
      </c>
      <c r="O270" s="52">
        <f t="shared" si="329"/>
        <v>0</v>
      </c>
      <c r="P270" s="53"/>
      <c r="Q270" s="52">
        <f t="shared" si="330"/>
        <v>0</v>
      </c>
      <c r="R270" s="53"/>
      <c r="S270" s="52">
        <f t="shared" si="331"/>
        <v>0</v>
      </c>
      <c r="T270" s="3"/>
      <c r="U270" s="51">
        <f t="shared" si="332"/>
        <v>0</v>
      </c>
      <c r="V270" s="52">
        <f t="shared" si="333"/>
        <v>0</v>
      </c>
      <c r="W270" s="53"/>
      <c r="X270" s="52">
        <f t="shared" si="334"/>
        <v>0</v>
      </c>
      <c r="Y270" s="53"/>
      <c r="Z270" s="52">
        <f t="shared" si="335"/>
        <v>0</v>
      </c>
      <c r="AA270" s="3"/>
      <c r="AB270" s="62">
        <f t="shared" si="336"/>
        <v>0</v>
      </c>
      <c r="AC270" s="52">
        <f t="shared" si="337"/>
        <v>0</v>
      </c>
      <c r="AD270" s="3"/>
      <c r="AE270" s="3"/>
      <c r="AF270" s="9" t="str">
        <f t="shared" si="338"/>
        <v>S/R Sin Respuesta</v>
      </c>
      <c r="AG270" s="72">
        <f t="shared" si="339"/>
        <v>0</v>
      </c>
      <c r="AH270" s="72">
        <f t="shared" si="340"/>
        <v>0</v>
      </c>
      <c r="AI270" s="73">
        <f t="shared" si="341"/>
        <v>0</v>
      </c>
      <c r="AJ270" s="73"/>
      <c r="AK270" s="76">
        <f t="shared" si="342"/>
        <v>0</v>
      </c>
      <c r="AL270" s="76">
        <f t="shared" si="343"/>
        <v>0</v>
      </c>
      <c r="AM270" s="76">
        <f t="shared" si="344"/>
        <v>0</v>
      </c>
      <c r="AN270" s="76"/>
      <c r="AO270" s="81">
        <f t="shared" si="345"/>
        <v>0</v>
      </c>
      <c r="AP270" s="81">
        <f t="shared" si="346"/>
        <v>0</v>
      </c>
      <c r="AQ270" s="81">
        <f t="shared" si="347"/>
        <v>0</v>
      </c>
      <c r="AR270" s="3"/>
      <c r="AS270" s="76">
        <f t="shared" si="227"/>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x14ac:dyDescent="0.3">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x14ac:dyDescent="0.3">
      <c r="A273" s="8" t="s">
        <v>17</v>
      </c>
      <c r="B273" s="85" t="s">
        <v>199</v>
      </c>
      <c r="C273" s="7"/>
      <c r="D273" s="7"/>
      <c r="E273" s="7"/>
      <c r="F273" s="71"/>
      <c r="G273" s="51">
        <f t="shared" ref="G273:G286" si="348">I273+K273</f>
        <v>12</v>
      </c>
      <c r="H273" s="52">
        <f t="shared" ref="H273:H286" si="349">G273/$J$5*100</f>
        <v>52.173913043478258</v>
      </c>
      <c r="I273" s="53">
        <f>COUNTIFS('00 Encuesta'!$B$2:$B$511,"*d)*",'00 Encuesta'!$C$2:$C$511,"*a)*",'00 Encuesta'!$E$2:$E$511,"*a)*",'00 Encuesta'!$AJ$2:$AJ$511,"*a)*")</f>
        <v>9</v>
      </c>
      <c r="J273" s="52">
        <f t="shared" ref="J273:J286" si="350">I273/$J$6*100</f>
        <v>64.285714285714292</v>
      </c>
      <c r="K273" s="53">
        <f>COUNTIFS('00 Encuesta'!$B$2:$B$511,"*d)*",'00 Encuesta'!$C$2:$C$511,"*a)*",'00 Encuesta'!$E$2:$E$511,"*b)*",'00 Encuesta'!$AJ$2:$AJ$511,"*a)*")</f>
        <v>3</v>
      </c>
      <c r="L273" s="52">
        <f t="shared" ref="L273:L286" si="351">K273/$J$7*100</f>
        <v>33.333333333333329</v>
      </c>
      <c r="M273" s="23"/>
      <c r="N273" s="51">
        <f t="shared" ref="N273:N286" si="352">P273+R273</f>
        <v>4</v>
      </c>
      <c r="O273" s="52">
        <f t="shared" ref="O273:O286" si="353">N273/$Q$5*100</f>
        <v>20</v>
      </c>
      <c r="P273" s="53">
        <f>COUNTIFS('00 Encuesta'!$B$2:$B$511,"*d)*",'00 Encuesta'!$C$2:$C$511,"*b)*",'00 Encuesta'!$E$2:$E$511,"*a)*",'00 Encuesta'!$AJ$2:$AJ$511,"*a)*")</f>
        <v>4</v>
      </c>
      <c r="Q273" s="52">
        <f t="shared" ref="Q273:Q286" si="354">P273/$Q$6*100</f>
        <v>57.142857142857139</v>
      </c>
      <c r="R273" s="53">
        <f>COUNTIFS('00 Encuesta'!$B$2:$B$511,"*d)*",'00 Encuesta'!$C$2:$C$511,"*b)*",'00 Encuesta'!$E$2:$E$511,"*b)*",'00 Encuesta'!$AJ$2:$AJ$511,"*a)*")</f>
        <v>0</v>
      </c>
      <c r="S273" s="52">
        <f t="shared" ref="S273:S286" si="355">R273/$Q$7*100</f>
        <v>0</v>
      </c>
      <c r="T273" s="3"/>
      <c r="U273" s="51">
        <f t="shared" ref="U273:U286" si="356">W273+Y273</f>
        <v>0</v>
      </c>
      <c r="V273" s="52">
        <f t="shared" ref="V273:V286" si="357">U273/$X$5*100</f>
        <v>0</v>
      </c>
      <c r="W273" s="53">
        <f>COUNTIFS('00 Encuesta'!$B$2:$B$511,"*d)*",'00 Encuesta'!$C$2:$C$511,"*c)*",'00 Encuesta'!$E$2:$E$511,"*a)*",'00 Encuesta'!$AJ$2:$AJ$511,"*a)*")</f>
        <v>0</v>
      </c>
      <c r="X273" s="52">
        <f t="shared" ref="X273:X286" si="358">W273/$X$6*100</f>
        <v>0</v>
      </c>
      <c r="Y273" s="53">
        <f>COUNTIFS('00 Encuesta'!$B$2:$B$511,"*d)*",'00 Encuesta'!$C$2:$C$511,"*c)*",'00 Encuesta'!$E$2:$E$511,"*b)*",'00 Encuesta'!$AJ$2:$AJ$511,"*a)*")</f>
        <v>0</v>
      </c>
      <c r="Z273" s="52">
        <f t="shared" ref="Z273:Z286" si="359">Y273/$X$7*100</f>
        <v>0</v>
      </c>
      <c r="AA273" s="3"/>
      <c r="AB273" s="62">
        <f t="shared" ref="AB273:AB286" si="360">G273+N273+U273</f>
        <v>16</v>
      </c>
      <c r="AC273" s="52">
        <f t="shared" ref="AC273:AC286" si="361">AB273*100/$AC$5</f>
        <v>25.396825396825395</v>
      </c>
      <c r="AD273" s="3"/>
      <c r="AE273" s="3"/>
      <c r="AF273" s="9" t="str">
        <f t="shared" ref="AF273:AF287" si="362">A273&amp;" "&amp;B273</f>
        <v>a) Me divierto con juegos para computadoras</v>
      </c>
      <c r="AG273" s="72">
        <f>J273</f>
        <v>64.285714285714292</v>
      </c>
      <c r="AH273" s="72">
        <f>L273</f>
        <v>33.333333333333329</v>
      </c>
      <c r="AI273" s="73">
        <f>H273</f>
        <v>52.173913043478258</v>
      </c>
      <c r="AJ273" s="73"/>
      <c r="AK273" s="76">
        <f t="shared" ref="AK273:AK287" si="363">Q273</f>
        <v>57.142857142857139</v>
      </c>
      <c r="AL273" s="76">
        <f t="shared" ref="AL273:AL287" si="364">S273</f>
        <v>0</v>
      </c>
      <c r="AM273" s="76">
        <f t="shared" ref="AM273:AM287" si="365">O273</f>
        <v>20</v>
      </c>
      <c r="AN273" s="76"/>
      <c r="AO273" s="81">
        <f t="shared" ref="AO273:AO287" si="366">X273</f>
        <v>0</v>
      </c>
      <c r="AP273" s="81">
        <f t="shared" ref="AP273:AP287" si="367">Z273</f>
        <v>0</v>
      </c>
      <c r="AQ273" s="81">
        <f t="shared" ref="AQ273:AQ287" si="368">V273</f>
        <v>0</v>
      </c>
      <c r="AR273" s="3"/>
      <c r="AS273" s="76">
        <f t="shared" ref="AS273:AS342" si="369">AC273</f>
        <v>25.396825396825395</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x14ac:dyDescent="0.3">
      <c r="A274" s="8" t="s">
        <v>18</v>
      </c>
      <c r="B274" s="85" t="s">
        <v>200</v>
      </c>
      <c r="C274" s="7"/>
      <c r="D274" s="7"/>
      <c r="E274" s="7"/>
      <c r="F274" s="71"/>
      <c r="G274" s="51">
        <f t="shared" si="348"/>
        <v>11</v>
      </c>
      <c r="H274" s="52">
        <f t="shared" si="349"/>
        <v>47.826086956521742</v>
      </c>
      <c r="I274" s="53">
        <f>COUNTIFS('00 Encuesta'!$B$2:$B$511,"*d)*",'00 Encuesta'!$C$2:$C$511,"*a)*",'00 Encuesta'!$E$2:$E$511,"*a)*",'00 Encuesta'!$AJ$2:$AJ$511,"*b)*")</f>
        <v>4</v>
      </c>
      <c r="J274" s="52">
        <f t="shared" si="350"/>
        <v>28.571428571428569</v>
      </c>
      <c r="K274" s="53">
        <f>COUNTIFS('00 Encuesta'!$B$2:$B$511,"*d)*",'00 Encuesta'!$C$2:$C$511,"*a)*",'00 Encuesta'!$E$2:$E$511,"*b)*",'00 Encuesta'!$AJ$2:$AJ$511,"*b)*")</f>
        <v>7</v>
      </c>
      <c r="L274" s="52">
        <f t="shared" si="351"/>
        <v>77.777777777777786</v>
      </c>
      <c r="M274" s="23"/>
      <c r="N274" s="51">
        <f t="shared" si="352"/>
        <v>9</v>
      </c>
      <c r="O274" s="52">
        <f t="shared" si="353"/>
        <v>45</v>
      </c>
      <c r="P274" s="53">
        <f>COUNTIFS('00 Encuesta'!$B$2:$B$511,"*d)*",'00 Encuesta'!$C$2:$C$511,"*b)*",'00 Encuesta'!$E$2:$E$511,"*a)*",'00 Encuesta'!$AJ$2:$AJ$511,"*b)*")</f>
        <v>4</v>
      </c>
      <c r="Q274" s="52">
        <f t="shared" si="354"/>
        <v>57.142857142857139</v>
      </c>
      <c r="R274" s="53">
        <f>COUNTIFS('00 Encuesta'!$B$2:$B$511,"*d)*",'00 Encuesta'!$C$2:$C$511,"*b)*",'00 Encuesta'!$E$2:$E$511,"*b)*",'00 Encuesta'!$AJ$2:$AJ$511,"*b)*")</f>
        <v>5</v>
      </c>
      <c r="S274" s="52">
        <f t="shared" si="355"/>
        <v>38.461538461538467</v>
      </c>
      <c r="T274" s="3"/>
      <c r="U274" s="51">
        <f t="shared" si="356"/>
        <v>6</v>
      </c>
      <c r="V274" s="52">
        <f t="shared" si="357"/>
        <v>30</v>
      </c>
      <c r="W274" s="53">
        <f>COUNTIFS('00 Encuesta'!$B$2:$B$511,"*d)*",'00 Encuesta'!$C$2:$C$511,"*c)*",'00 Encuesta'!$E$2:$E$511,"*a)*",'00 Encuesta'!$AJ$2:$AJ$511,"*b)*")</f>
        <v>1</v>
      </c>
      <c r="X274" s="52">
        <f t="shared" si="358"/>
        <v>20</v>
      </c>
      <c r="Y274" s="53">
        <f>COUNTIFS('00 Encuesta'!$B$2:$B$511,"*d)*",'00 Encuesta'!$C$2:$C$511,"*c)*",'00 Encuesta'!$E$2:$E$511,"*b)*",'00 Encuesta'!$AJ$2:$AJ$511,"*b)*")</f>
        <v>5</v>
      </c>
      <c r="Z274" s="52">
        <f t="shared" si="359"/>
        <v>33.333333333333329</v>
      </c>
      <c r="AA274" s="3"/>
      <c r="AB274" s="62">
        <f t="shared" si="360"/>
        <v>26</v>
      </c>
      <c r="AC274" s="52">
        <f t="shared" si="361"/>
        <v>41.269841269841272</v>
      </c>
      <c r="AD274" s="3"/>
      <c r="AE274" s="3"/>
      <c r="AF274" s="9" t="str">
        <f t="shared" si="362"/>
        <v>b) Navego en Internet</v>
      </c>
      <c r="AG274" s="72">
        <f t="shared" ref="AG274:AG287" si="370">J274</f>
        <v>28.571428571428569</v>
      </c>
      <c r="AH274" s="72">
        <f t="shared" ref="AH274:AH287" si="371">L274</f>
        <v>77.777777777777786</v>
      </c>
      <c r="AI274" s="73">
        <f t="shared" ref="AI274:AI287" si="372">H274</f>
        <v>47.826086956521742</v>
      </c>
      <c r="AJ274" s="73"/>
      <c r="AK274" s="76">
        <f t="shared" si="363"/>
        <v>57.142857142857139</v>
      </c>
      <c r="AL274" s="76">
        <f t="shared" si="364"/>
        <v>38.461538461538467</v>
      </c>
      <c r="AM274" s="76">
        <f t="shared" si="365"/>
        <v>45</v>
      </c>
      <c r="AN274" s="76"/>
      <c r="AO274" s="81">
        <f t="shared" si="366"/>
        <v>20</v>
      </c>
      <c r="AP274" s="81">
        <f t="shared" si="367"/>
        <v>33.333333333333329</v>
      </c>
      <c r="AQ274" s="81">
        <f t="shared" si="368"/>
        <v>30</v>
      </c>
      <c r="AR274" s="3"/>
      <c r="AS274" s="76">
        <f t="shared" si="369"/>
        <v>41.269841269841272</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1</v>
      </c>
      <c r="H275" s="52">
        <f t="shared" si="349"/>
        <v>4.3478260869565215</v>
      </c>
      <c r="I275" s="53">
        <f>COUNTIFS('00 Encuesta'!$B$2:$B$511,"*d)*",'00 Encuesta'!$C$2:$C$511,"*a)*",'00 Encuesta'!$E$2:$E$511,"*a)*",'00 Encuesta'!$AJ$2:$AJ$511,"*c)*")</f>
        <v>1</v>
      </c>
      <c r="J275" s="52">
        <f t="shared" si="350"/>
        <v>7.1428571428571423</v>
      </c>
      <c r="K275" s="53">
        <f>COUNTIFS('00 Encuesta'!$B$2:$B$511,"*d)*",'00 Encuesta'!$C$2:$C$511,"*a)*",'00 Encuesta'!$E$2:$E$511,"*b)*",'00 Encuesta'!$AJ$2:$AJ$511,"*c)*")</f>
        <v>0</v>
      </c>
      <c r="L275" s="52">
        <f t="shared" si="351"/>
        <v>0</v>
      </c>
      <c r="M275" s="23"/>
      <c r="N275" s="51">
        <f t="shared" si="352"/>
        <v>0</v>
      </c>
      <c r="O275" s="52">
        <f t="shared" si="353"/>
        <v>0</v>
      </c>
      <c r="P275" s="53">
        <f>COUNTIFS('00 Encuesta'!$B$2:$B$511,"*d)*",'00 Encuesta'!$C$2:$C$511,"*b)*",'00 Encuesta'!$E$2:$E$511,"*a)*",'00 Encuesta'!$AJ$2:$AJ$511,"*c)*")</f>
        <v>0</v>
      </c>
      <c r="Q275" s="52">
        <f t="shared" si="354"/>
        <v>0</v>
      </c>
      <c r="R275" s="53">
        <f>COUNTIFS('00 Encuesta'!$B$2:$B$511,"*d)*",'00 Encuesta'!$C$2:$C$511,"*b)*",'00 Encuesta'!$E$2:$E$511,"*b)*",'00 Encuesta'!$AJ$2:$AJ$511,"*c)*")</f>
        <v>0</v>
      </c>
      <c r="S275" s="52">
        <f t="shared" si="355"/>
        <v>0</v>
      </c>
      <c r="T275" s="3"/>
      <c r="U275" s="51">
        <f t="shared" si="356"/>
        <v>0</v>
      </c>
      <c r="V275" s="52">
        <f t="shared" si="357"/>
        <v>0</v>
      </c>
      <c r="W275" s="53">
        <f>COUNTIFS('00 Encuesta'!$B$2:$B$511,"*d)*",'00 Encuesta'!$C$2:$C$511,"*c)*",'00 Encuesta'!$E$2:$E$511,"*a)*",'00 Encuesta'!$AJ$2:$AJ$511,"*c)*")</f>
        <v>0</v>
      </c>
      <c r="X275" s="52">
        <f t="shared" si="358"/>
        <v>0</v>
      </c>
      <c r="Y275" s="53">
        <f>COUNTIFS('00 Encuesta'!$B$2:$B$511,"*d)*",'00 Encuesta'!$C$2:$C$511,"*c)*",'00 Encuesta'!$E$2:$E$511,"*b)*",'00 Encuesta'!$AJ$2:$AJ$511,"*c)*")</f>
        <v>0</v>
      </c>
      <c r="Z275" s="52">
        <f t="shared" si="359"/>
        <v>0</v>
      </c>
      <c r="AA275" s="3"/>
      <c r="AB275" s="62">
        <f t="shared" si="360"/>
        <v>1</v>
      </c>
      <c r="AC275" s="52">
        <f t="shared" si="361"/>
        <v>1.5873015873015872</v>
      </c>
      <c r="AD275" s="3"/>
      <c r="AE275" s="3"/>
      <c r="AF275" s="9" t="str">
        <f t="shared" si="362"/>
        <v>c) Suelo ir a centros de video (máquinas de juegos)</v>
      </c>
      <c r="AG275" s="72">
        <f t="shared" si="370"/>
        <v>7.1428571428571423</v>
      </c>
      <c r="AH275" s="72">
        <f t="shared" si="371"/>
        <v>0</v>
      </c>
      <c r="AI275" s="73">
        <f t="shared" si="372"/>
        <v>4.3478260869565215</v>
      </c>
      <c r="AJ275" s="73"/>
      <c r="AK275" s="76">
        <f t="shared" si="363"/>
        <v>0</v>
      </c>
      <c r="AL275" s="76">
        <f t="shared" si="364"/>
        <v>0</v>
      </c>
      <c r="AM275" s="76">
        <f t="shared" si="365"/>
        <v>0</v>
      </c>
      <c r="AN275" s="76"/>
      <c r="AO275" s="81">
        <f t="shared" si="366"/>
        <v>0</v>
      </c>
      <c r="AP275" s="81">
        <f t="shared" si="367"/>
        <v>0</v>
      </c>
      <c r="AQ275" s="81">
        <f t="shared" si="368"/>
        <v>0</v>
      </c>
      <c r="AR275" s="3"/>
      <c r="AS275" s="76">
        <f t="shared" si="369"/>
        <v>1.5873015873015872</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x14ac:dyDescent="0.3">
      <c r="A276" s="8" t="s">
        <v>21</v>
      </c>
      <c r="B276" s="85" t="s">
        <v>202</v>
      </c>
      <c r="C276" s="7"/>
      <c r="D276" s="7"/>
      <c r="E276" s="7"/>
      <c r="F276" s="71"/>
      <c r="G276" s="51">
        <f t="shared" si="348"/>
        <v>8</v>
      </c>
      <c r="H276" s="52">
        <f t="shared" si="349"/>
        <v>34.782608695652172</v>
      </c>
      <c r="I276" s="53">
        <f>COUNTIFS('00 Encuesta'!$B$2:$B$511,"*d)*",'00 Encuesta'!$C$2:$C$511,"*a)*",'00 Encuesta'!$E$2:$E$511,"*a)*",'00 Encuesta'!$AJ$2:$AJ$511,"*d)*")</f>
        <v>3</v>
      </c>
      <c r="J276" s="52">
        <f t="shared" si="350"/>
        <v>21.428571428571427</v>
      </c>
      <c r="K276" s="53">
        <f>COUNTIFS('00 Encuesta'!$B$2:$B$511,"*d)*",'00 Encuesta'!$C$2:$C$511,"*a)*",'00 Encuesta'!$E$2:$E$511,"*b)*",'00 Encuesta'!$AJ$2:$AJ$511,"*d)*")</f>
        <v>5</v>
      </c>
      <c r="L276" s="52">
        <f t="shared" si="351"/>
        <v>55.555555555555557</v>
      </c>
      <c r="M276" s="23"/>
      <c r="N276" s="51">
        <f t="shared" si="352"/>
        <v>3</v>
      </c>
      <c r="O276" s="52">
        <f t="shared" si="353"/>
        <v>15</v>
      </c>
      <c r="P276" s="53">
        <f>COUNTIFS('00 Encuesta'!$B$2:$B$511,"*d)*",'00 Encuesta'!$C$2:$C$511,"*b)*",'00 Encuesta'!$E$2:$E$511,"*a)*",'00 Encuesta'!$AJ$2:$AJ$511,"*d)*")</f>
        <v>1</v>
      </c>
      <c r="Q276" s="52">
        <f t="shared" si="354"/>
        <v>14.285714285714285</v>
      </c>
      <c r="R276" s="53">
        <f>COUNTIFS('00 Encuesta'!$B$2:$B$511,"*d)*",'00 Encuesta'!$C$2:$C$511,"*b)*",'00 Encuesta'!$E$2:$E$511,"*b)*",'00 Encuesta'!$AJ$2:$AJ$511,"*d)*")</f>
        <v>2</v>
      </c>
      <c r="S276" s="52">
        <f t="shared" si="355"/>
        <v>15.384615384615385</v>
      </c>
      <c r="T276" s="3"/>
      <c r="U276" s="51">
        <f t="shared" si="356"/>
        <v>6</v>
      </c>
      <c r="V276" s="52">
        <f t="shared" si="357"/>
        <v>30</v>
      </c>
      <c r="W276" s="53">
        <f>COUNTIFS('00 Encuesta'!$B$2:$B$511,"*d)*",'00 Encuesta'!$C$2:$C$511,"*c)*",'00 Encuesta'!$E$2:$E$511,"*a)*",'00 Encuesta'!$AJ$2:$AJ$511,"*d)*")</f>
        <v>0</v>
      </c>
      <c r="X276" s="52">
        <f t="shared" si="358"/>
        <v>0</v>
      </c>
      <c r="Y276" s="53">
        <f>COUNTIFS('00 Encuesta'!$B$2:$B$511,"*d)*",'00 Encuesta'!$C$2:$C$511,"*c)*",'00 Encuesta'!$E$2:$E$511,"*b)*",'00 Encuesta'!$AJ$2:$AJ$511,"*d)*")</f>
        <v>6</v>
      </c>
      <c r="Z276" s="52">
        <f t="shared" si="359"/>
        <v>40</v>
      </c>
      <c r="AA276" s="3"/>
      <c r="AB276" s="62">
        <f t="shared" si="360"/>
        <v>17</v>
      </c>
      <c r="AC276" s="52">
        <f t="shared" si="361"/>
        <v>26.984126984126984</v>
      </c>
      <c r="AD276" s="3"/>
      <c r="AE276" s="3"/>
      <c r="AF276" s="9" t="str">
        <f t="shared" si="362"/>
        <v>d) Estoy la mayor parte del tiempo en la casa sin hacer nada</v>
      </c>
      <c r="AG276" s="72">
        <f t="shared" si="370"/>
        <v>21.428571428571427</v>
      </c>
      <c r="AH276" s="72">
        <f t="shared" si="371"/>
        <v>55.555555555555557</v>
      </c>
      <c r="AI276" s="73">
        <f t="shared" si="372"/>
        <v>34.782608695652172</v>
      </c>
      <c r="AJ276" s="73"/>
      <c r="AK276" s="76">
        <f t="shared" si="363"/>
        <v>14.285714285714285</v>
      </c>
      <c r="AL276" s="76">
        <f t="shared" si="364"/>
        <v>15.384615384615385</v>
      </c>
      <c r="AM276" s="76">
        <f t="shared" si="365"/>
        <v>15</v>
      </c>
      <c r="AN276" s="76"/>
      <c r="AO276" s="81">
        <f t="shared" si="366"/>
        <v>0</v>
      </c>
      <c r="AP276" s="81">
        <f t="shared" si="367"/>
        <v>40</v>
      </c>
      <c r="AQ276" s="81">
        <f t="shared" si="368"/>
        <v>30</v>
      </c>
      <c r="AR276" s="3"/>
      <c r="AS276" s="76">
        <f t="shared" si="369"/>
        <v>26.984126984126984</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2</v>
      </c>
      <c r="H277" s="52">
        <f t="shared" si="349"/>
        <v>8.695652173913043</v>
      </c>
      <c r="I277" s="53">
        <f>COUNTIFS('00 Encuesta'!$B$2:$B$511,"*d)*",'00 Encuesta'!$C$2:$C$511,"*a)*",'00 Encuesta'!$E$2:$E$511,"*a)*",'00 Encuesta'!$AJ$2:$AJ$511,"*e)*")</f>
        <v>0</v>
      </c>
      <c r="J277" s="52">
        <f t="shared" si="350"/>
        <v>0</v>
      </c>
      <c r="K277" s="53">
        <f>COUNTIFS('00 Encuesta'!$B$2:$B$511,"*d)*",'00 Encuesta'!$C$2:$C$511,"*a)*",'00 Encuesta'!$E$2:$E$511,"*b)*",'00 Encuesta'!$AJ$2:$AJ$511,"*e)*")</f>
        <v>2</v>
      </c>
      <c r="L277" s="52">
        <f t="shared" si="351"/>
        <v>22.222222222222221</v>
      </c>
      <c r="M277" s="23"/>
      <c r="N277" s="51">
        <f t="shared" si="352"/>
        <v>0</v>
      </c>
      <c r="O277" s="52">
        <f t="shared" si="353"/>
        <v>0</v>
      </c>
      <c r="P277" s="53">
        <f>COUNTIFS('00 Encuesta'!$B$2:$B$511,"*d)*",'00 Encuesta'!$C$2:$C$511,"*b)*",'00 Encuesta'!$E$2:$E$511,"*a)*",'00 Encuesta'!$AJ$2:$AJ$511,"*e)*")</f>
        <v>0</v>
      </c>
      <c r="Q277" s="52">
        <f t="shared" si="354"/>
        <v>0</v>
      </c>
      <c r="R277" s="53">
        <f>COUNTIFS('00 Encuesta'!$B$2:$B$511,"*d)*",'00 Encuesta'!$C$2:$C$511,"*b)*",'00 Encuesta'!$E$2:$E$511,"*b)*",'00 Encuesta'!$AJ$2:$AJ$511,"*e)*")</f>
        <v>0</v>
      </c>
      <c r="S277" s="52">
        <f t="shared" si="355"/>
        <v>0</v>
      </c>
      <c r="T277" s="3"/>
      <c r="U277" s="51">
        <f t="shared" si="356"/>
        <v>0</v>
      </c>
      <c r="V277" s="52">
        <f t="shared" si="357"/>
        <v>0</v>
      </c>
      <c r="W277" s="53">
        <f>COUNTIFS('00 Encuesta'!$B$2:$B$511,"*d)*",'00 Encuesta'!$C$2:$C$511,"*c)*",'00 Encuesta'!$E$2:$E$511,"*a)*",'00 Encuesta'!$AJ$2:$AJ$511,"*e)*")</f>
        <v>0</v>
      </c>
      <c r="X277" s="52">
        <f t="shared" si="358"/>
        <v>0</v>
      </c>
      <c r="Y277" s="53">
        <f>COUNTIFS('00 Encuesta'!$B$2:$B$511,"*d)*",'00 Encuesta'!$C$2:$C$511,"*c)*",'00 Encuesta'!$E$2:$E$511,"*b)*",'00 Encuesta'!$AJ$2:$AJ$511,"*e)*")</f>
        <v>0</v>
      </c>
      <c r="Z277" s="52">
        <f t="shared" si="359"/>
        <v>0</v>
      </c>
      <c r="AA277" s="3"/>
      <c r="AB277" s="62">
        <f t="shared" si="360"/>
        <v>2</v>
      </c>
      <c r="AC277" s="52">
        <f t="shared" si="361"/>
        <v>3.1746031746031744</v>
      </c>
      <c r="AD277" s="3"/>
      <c r="AE277" s="3"/>
      <c r="AF277" s="9" t="str">
        <f t="shared" si="362"/>
        <v>e) Suelo ir a algún parque</v>
      </c>
      <c r="AG277" s="72">
        <f t="shared" si="370"/>
        <v>0</v>
      </c>
      <c r="AH277" s="72">
        <f t="shared" si="371"/>
        <v>22.222222222222221</v>
      </c>
      <c r="AI277" s="73">
        <f t="shared" si="372"/>
        <v>8.695652173913043</v>
      </c>
      <c r="AJ277" s="73"/>
      <c r="AK277" s="76">
        <f t="shared" si="363"/>
        <v>0</v>
      </c>
      <c r="AL277" s="76">
        <f t="shared" si="364"/>
        <v>0</v>
      </c>
      <c r="AM277" s="76">
        <f t="shared" si="365"/>
        <v>0</v>
      </c>
      <c r="AN277" s="76"/>
      <c r="AO277" s="81">
        <f t="shared" si="366"/>
        <v>0</v>
      </c>
      <c r="AP277" s="81">
        <f t="shared" si="367"/>
        <v>0</v>
      </c>
      <c r="AQ277" s="81">
        <f t="shared" si="368"/>
        <v>0</v>
      </c>
      <c r="AR277" s="3"/>
      <c r="AS277" s="76">
        <f t="shared" si="369"/>
        <v>3.1746031746031744</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x14ac:dyDescent="0.3">
      <c r="A278" s="8" t="s">
        <v>45</v>
      </c>
      <c r="B278" s="85" t="s">
        <v>204</v>
      </c>
      <c r="C278" s="7"/>
      <c r="D278" s="7"/>
      <c r="E278" s="7"/>
      <c r="F278" s="71"/>
      <c r="G278" s="51">
        <f t="shared" si="348"/>
        <v>0</v>
      </c>
      <c r="H278" s="52">
        <f t="shared" si="349"/>
        <v>0</v>
      </c>
      <c r="I278" s="53">
        <f>COUNTIFS('00 Encuesta'!$B$2:$B$511,"*d)*",'00 Encuesta'!$C$2:$C$511,"*a)*",'00 Encuesta'!$E$2:$E$511,"*a)*",'00 Encuesta'!$AJ$2:$AJ$511,"*f)*")</f>
        <v>0</v>
      </c>
      <c r="J278" s="52">
        <f t="shared" si="350"/>
        <v>0</v>
      </c>
      <c r="K278" s="53">
        <f>COUNTIFS('00 Encuesta'!$B$2:$B$511,"*d)*",'00 Encuesta'!$C$2:$C$511,"*a)*",'00 Encuesta'!$E$2:$E$511,"*b)*",'00 Encuesta'!$AJ$2:$AJ$511,"*f)*")</f>
        <v>0</v>
      </c>
      <c r="L278" s="52">
        <f t="shared" si="351"/>
        <v>0</v>
      </c>
      <c r="M278" s="23"/>
      <c r="N278" s="51">
        <f t="shared" si="352"/>
        <v>1</v>
      </c>
      <c r="O278" s="52">
        <f t="shared" si="353"/>
        <v>5</v>
      </c>
      <c r="P278" s="53">
        <f>COUNTIFS('00 Encuesta'!$B$2:$B$511,"*d)*",'00 Encuesta'!$C$2:$C$511,"*b)*",'00 Encuesta'!$E$2:$E$511,"*a)*",'00 Encuesta'!$AJ$2:$AJ$511,"*f)*")</f>
        <v>1</v>
      </c>
      <c r="Q278" s="52">
        <f t="shared" si="354"/>
        <v>14.285714285714285</v>
      </c>
      <c r="R278" s="53">
        <f>COUNTIFS('00 Encuesta'!$B$2:$B$511,"*d)*",'00 Encuesta'!$C$2:$C$511,"*b)*",'00 Encuesta'!$E$2:$E$511,"*b)*",'00 Encuesta'!$AJ$2:$AJ$511,"*f)*")</f>
        <v>0</v>
      </c>
      <c r="S278" s="52">
        <f t="shared" si="355"/>
        <v>0</v>
      </c>
      <c r="T278" s="3"/>
      <c r="U278" s="51">
        <f t="shared" si="356"/>
        <v>2</v>
      </c>
      <c r="V278" s="52">
        <f t="shared" si="357"/>
        <v>10</v>
      </c>
      <c r="W278" s="53">
        <f>COUNTIFS('00 Encuesta'!$B$2:$B$511,"*d)*",'00 Encuesta'!$C$2:$C$511,"*c)*",'00 Encuesta'!$E$2:$E$511,"*a)*",'00 Encuesta'!$AJ$2:$AJ$511,"*f)*")</f>
        <v>2</v>
      </c>
      <c r="X278" s="52">
        <f t="shared" si="358"/>
        <v>40</v>
      </c>
      <c r="Y278" s="53">
        <f>COUNTIFS('00 Encuesta'!$B$2:$B$511,"*d)*",'00 Encuesta'!$C$2:$C$511,"*c)*",'00 Encuesta'!$E$2:$E$511,"*b)*",'00 Encuesta'!$AJ$2:$AJ$511,"*f)*")</f>
        <v>0</v>
      </c>
      <c r="Z278" s="52">
        <f t="shared" si="359"/>
        <v>0</v>
      </c>
      <c r="AA278" s="3"/>
      <c r="AB278" s="62">
        <f t="shared" si="360"/>
        <v>3</v>
      </c>
      <c r="AC278" s="52">
        <f t="shared" si="361"/>
        <v>4.7619047619047619</v>
      </c>
      <c r="AD278" s="3"/>
      <c r="AE278" s="3"/>
      <c r="AF278" s="9" t="str">
        <f t="shared" si="362"/>
        <v>f) Toco un instrumento musical</v>
      </c>
      <c r="AG278" s="72">
        <f t="shared" si="370"/>
        <v>0</v>
      </c>
      <c r="AH278" s="72">
        <f t="shared" si="371"/>
        <v>0</v>
      </c>
      <c r="AI278" s="73">
        <f t="shared" si="372"/>
        <v>0</v>
      </c>
      <c r="AJ278" s="73"/>
      <c r="AK278" s="76">
        <f t="shared" si="363"/>
        <v>14.285714285714285</v>
      </c>
      <c r="AL278" s="76">
        <f t="shared" si="364"/>
        <v>0</v>
      </c>
      <c r="AM278" s="76">
        <f t="shared" si="365"/>
        <v>5</v>
      </c>
      <c r="AN278" s="76"/>
      <c r="AO278" s="81">
        <f t="shared" si="366"/>
        <v>40</v>
      </c>
      <c r="AP278" s="81">
        <f t="shared" si="367"/>
        <v>0</v>
      </c>
      <c r="AQ278" s="81">
        <f t="shared" si="368"/>
        <v>10</v>
      </c>
      <c r="AR278" s="3"/>
      <c r="AS278" s="76">
        <f t="shared" si="369"/>
        <v>4.7619047619047619</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x14ac:dyDescent="0.3">
      <c r="A279" s="1" t="s">
        <v>61</v>
      </c>
      <c r="B279" s="2" t="s">
        <v>205</v>
      </c>
      <c r="C279" s="3"/>
      <c r="D279" s="7"/>
      <c r="E279" s="7"/>
      <c r="F279" s="71"/>
      <c r="G279" s="51">
        <f t="shared" si="348"/>
        <v>2</v>
      </c>
      <c r="H279" s="52">
        <f t="shared" si="349"/>
        <v>8.695652173913043</v>
      </c>
      <c r="I279" s="53">
        <f>COUNTIFS('00 Encuesta'!$B$2:$B$511,"*d)*",'00 Encuesta'!$C$2:$C$511,"*a)*",'00 Encuesta'!$E$2:$E$511,"*a)*",'00 Encuesta'!$AJ$2:$AJ$511,"*g)*")</f>
        <v>2</v>
      </c>
      <c r="J279" s="52">
        <f t="shared" si="350"/>
        <v>14.285714285714285</v>
      </c>
      <c r="K279" s="53">
        <f>COUNTIFS('00 Encuesta'!$B$2:$B$511,"*d)*",'00 Encuesta'!$C$2:$C$511,"*a)*",'00 Encuesta'!$E$2:$E$511,"*b)*",'00 Encuesta'!$AJ$2:$AJ$511,"*g)*")</f>
        <v>0</v>
      </c>
      <c r="L279" s="52">
        <f t="shared" si="351"/>
        <v>0</v>
      </c>
      <c r="M279" s="23"/>
      <c r="N279" s="51">
        <f t="shared" si="352"/>
        <v>1</v>
      </c>
      <c r="O279" s="52">
        <f t="shared" si="353"/>
        <v>5</v>
      </c>
      <c r="P279" s="53">
        <f>COUNTIFS('00 Encuesta'!$B$2:$B$511,"*d)*",'00 Encuesta'!$C$2:$C$511,"*b)*",'00 Encuesta'!$E$2:$E$511,"*a)*",'00 Encuesta'!$AJ$2:$AJ$511,"*g)*")</f>
        <v>0</v>
      </c>
      <c r="Q279" s="52">
        <f t="shared" si="354"/>
        <v>0</v>
      </c>
      <c r="R279" s="53">
        <f>COUNTIFS('00 Encuesta'!$B$2:$B$511,"*d)*",'00 Encuesta'!$C$2:$C$511,"*b)*",'00 Encuesta'!$E$2:$E$511,"*b)*",'00 Encuesta'!$AJ$2:$AJ$511,"*g)*")</f>
        <v>1</v>
      </c>
      <c r="S279" s="52">
        <f t="shared" si="355"/>
        <v>7.6923076923076925</v>
      </c>
      <c r="T279" s="3"/>
      <c r="U279" s="51">
        <f t="shared" si="356"/>
        <v>2</v>
      </c>
      <c r="V279" s="52">
        <f t="shared" si="357"/>
        <v>10</v>
      </c>
      <c r="W279" s="53">
        <f>COUNTIFS('00 Encuesta'!$B$2:$B$511,"*d)*",'00 Encuesta'!$C$2:$C$511,"*c)*",'00 Encuesta'!$E$2:$E$511,"*a)*",'00 Encuesta'!$AJ$2:$AJ$511,"*g)*")</f>
        <v>0</v>
      </c>
      <c r="X279" s="52">
        <f t="shared" si="358"/>
        <v>0</v>
      </c>
      <c r="Y279" s="53">
        <f>COUNTIFS('00 Encuesta'!$B$2:$B$511,"*d)*",'00 Encuesta'!$C$2:$C$511,"*c)*",'00 Encuesta'!$E$2:$E$511,"*b)*",'00 Encuesta'!$AJ$2:$AJ$511,"*g)*")</f>
        <v>2</v>
      </c>
      <c r="Z279" s="52">
        <f t="shared" si="359"/>
        <v>13.333333333333334</v>
      </c>
      <c r="AA279" s="3"/>
      <c r="AB279" s="62">
        <f t="shared" si="360"/>
        <v>5</v>
      </c>
      <c r="AC279" s="52">
        <f t="shared" si="361"/>
        <v>7.9365079365079367</v>
      </c>
      <c r="AD279" s="3"/>
      <c r="AE279" s="3"/>
      <c r="AF279" s="9" t="str">
        <f t="shared" si="362"/>
        <v>g) Suelo ir a discotecas o fiestas</v>
      </c>
      <c r="AG279" s="72">
        <f t="shared" si="370"/>
        <v>14.285714285714285</v>
      </c>
      <c r="AH279" s="72">
        <f t="shared" si="371"/>
        <v>0</v>
      </c>
      <c r="AI279" s="73">
        <f t="shared" si="372"/>
        <v>8.695652173913043</v>
      </c>
      <c r="AJ279" s="73"/>
      <c r="AK279" s="76">
        <f t="shared" si="363"/>
        <v>0</v>
      </c>
      <c r="AL279" s="76">
        <f t="shared" si="364"/>
        <v>7.6923076923076925</v>
      </c>
      <c r="AM279" s="76">
        <f t="shared" si="365"/>
        <v>5</v>
      </c>
      <c r="AN279" s="76"/>
      <c r="AO279" s="81">
        <f t="shared" si="366"/>
        <v>0</v>
      </c>
      <c r="AP279" s="81">
        <f t="shared" si="367"/>
        <v>13.333333333333334</v>
      </c>
      <c r="AQ279" s="81">
        <f t="shared" si="368"/>
        <v>10</v>
      </c>
      <c r="AR279" s="3"/>
      <c r="AS279" s="76">
        <f t="shared" si="369"/>
        <v>7.9365079365079367</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x14ac:dyDescent="0.3">
      <c r="A280" s="1" t="s">
        <v>63</v>
      </c>
      <c r="B280" s="2" t="s">
        <v>206</v>
      </c>
      <c r="C280" s="3"/>
      <c r="D280" s="7"/>
      <c r="E280" s="7"/>
      <c r="F280" s="71"/>
      <c r="G280" s="51">
        <f t="shared" si="348"/>
        <v>1</v>
      </c>
      <c r="H280" s="52">
        <f t="shared" si="349"/>
        <v>4.3478260869565215</v>
      </c>
      <c r="I280" s="53">
        <f>COUNTIFS('00 Encuesta'!$B$2:$B$511,"*d)*",'00 Encuesta'!$C$2:$C$511,"*a)*",'00 Encuesta'!$E$2:$E$511,"*a)*",'00 Encuesta'!$AJ$2:$AJ$511,"*h)*")</f>
        <v>1</v>
      </c>
      <c r="J280" s="52">
        <f t="shared" si="350"/>
        <v>7.1428571428571423</v>
      </c>
      <c r="K280" s="53">
        <f>COUNTIFS('00 Encuesta'!$B$2:$B$511,"*d)*",'00 Encuesta'!$C$2:$C$511,"*a)*",'00 Encuesta'!$E$2:$E$511,"*b)*",'00 Encuesta'!$AJ$2:$AJ$511,"*h)*")</f>
        <v>0</v>
      </c>
      <c r="L280" s="52">
        <f t="shared" si="351"/>
        <v>0</v>
      </c>
      <c r="M280" s="23"/>
      <c r="N280" s="51">
        <f t="shared" si="352"/>
        <v>0</v>
      </c>
      <c r="O280" s="52">
        <f t="shared" si="353"/>
        <v>0</v>
      </c>
      <c r="P280" s="53">
        <f>COUNTIFS('00 Encuesta'!$B$2:$B$511,"*d)*",'00 Encuesta'!$C$2:$C$511,"*b)*",'00 Encuesta'!$E$2:$E$511,"*a)*",'00 Encuesta'!$AJ$2:$AJ$511,"*h)*")</f>
        <v>0</v>
      </c>
      <c r="Q280" s="52">
        <f t="shared" si="354"/>
        <v>0</v>
      </c>
      <c r="R280" s="53">
        <f>COUNTIFS('00 Encuesta'!$B$2:$B$511,"*d)*",'00 Encuesta'!$C$2:$C$511,"*b)*",'00 Encuesta'!$E$2:$E$511,"*b)*",'00 Encuesta'!$AJ$2:$AJ$511,"*h)*")</f>
        <v>0</v>
      </c>
      <c r="S280" s="52">
        <f t="shared" si="355"/>
        <v>0</v>
      </c>
      <c r="T280" s="3"/>
      <c r="U280" s="51">
        <f t="shared" si="356"/>
        <v>0</v>
      </c>
      <c r="V280" s="52">
        <f t="shared" si="357"/>
        <v>0</v>
      </c>
      <c r="W280" s="53">
        <f>COUNTIFS('00 Encuesta'!$B$2:$B$511,"*d)*",'00 Encuesta'!$C$2:$C$511,"*c)*",'00 Encuesta'!$E$2:$E$511,"*a)*",'00 Encuesta'!$AJ$2:$AJ$511,"*h)*")</f>
        <v>0</v>
      </c>
      <c r="X280" s="52">
        <f t="shared" si="358"/>
        <v>0</v>
      </c>
      <c r="Y280" s="53">
        <f>COUNTIFS('00 Encuesta'!$B$2:$B$511,"*d)*",'00 Encuesta'!$C$2:$C$511,"*c)*",'00 Encuesta'!$E$2:$E$511,"*b)*",'00 Encuesta'!$AJ$2:$AJ$511,"*h)*")</f>
        <v>0</v>
      </c>
      <c r="Z280" s="52">
        <f t="shared" si="359"/>
        <v>0</v>
      </c>
      <c r="AA280" s="3"/>
      <c r="AB280" s="62">
        <f t="shared" si="360"/>
        <v>1</v>
      </c>
      <c r="AC280" s="52">
        <f t="shared" si="361"/>
        <v>1.5873015873015872</v>
      </c>
      <c r="AD280" s="3"/>
      <c r="AE280" s="3"/>
      <c r="AF280" s="9" t="str">
        <f t="shared" si="362"/>
        <v>h) Suelo ir al cine</v>
      </c>
      <c r="AG280" s="72">
        <f t="shared" si="370"/>
        <v>7.1428571428571423</v>
      </c>
      <c r="AH280" s="72">
        <f t="shared" si="371"/>
        <v>0</v>
      </c>
      <c r="AI280" s="73">
        <f t="shared" si="372"/>
        <v>4.3478260869565215</v>
      </c>
      <c r="AJ280" s="73"/>
      <c r="AK280" s="76">
        <f t="shared" si="363"/>
        <v>0</v>
      </c>
      <c r="AL280" s="76">
        <f t="shared" si="364"/>
        <v>0</v>
      </c>
      <c r="AM280" s="76">
        <f t="shared" si="365"/>
        <v>0</v>
      </c>
      <c r="AN280" s="76"/>
      <c r="AO280" s="81">
        <f t="shared" si="366"/>
        <v>0</v>
      </c>
      <c r="AP280" s="81">
        <f t="shared" si="367"/>
        <v>0</v>
      </c>
      <c r="AQ280" s="81">
        <f t="shared" si="368"/>
        <v>0</v>
      </c>
      <c r="AR280" s="3"/>
      <c r="AS280" s="76">
        <f t="shared" si="369"/>
        <v>1.5873015873015872</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x14ac:dyDescent="0.3">
      <c r="A281" s="8" t="s">
        <v>65</v>
      </c>
      <c r="B281" s="9" t="s">
        <v>207</v>
      </c>
      <c r="C281" s="7"/>
      <c r="D281" s="7"/>
      <c r="E281" s="7"/>
      <c r="F281" s="71"/>
      <c r="G281" s="51">
        <f t="shared" si="348"/>
        <v>3</v>
      </c>
      <c r="H281" s="52">
        <f t="shared" si="349"/>
        <v>13.043478260869565</v>
      </c>
      <c r="I281" s="53">
        <f>COUNTIFS('00 Encuesta'!$B$2:$B$511,"*d)*",'00 Encuesta'!$C$2:$C$511,"*a)*",'00 Encuesta'!$E$2:$E$511,"*a)*",'00 Encuesta'!$AJ$2:$AJ$511,"*i)*")</f>
        <v>2</v>
      </c>
      <c r="J281" s="52">
        <f t="shared" si="350"/>
        <v>14.285714285714285</v>
      </c>
      <c r="K281" s="53">
        <f>COUNTIFS('00 Encuesta'!$B$2:$B$511,"*d)*",'00 Encuesta'!$C$2:$C$511,"*a)*",'00 Encuesta'!$E$2:$E$511,"*b)*",'00 Encuesta'!$AJ$2:$AJ$511,"*i)*")</f>
        <v>1</v>
      </c>
      <c r="L281" s="52">
        <f t="shared" si="351"/>
        <v>11.111111111111111</v>
      </c>
      <c r="M281" s="23"/>
      <c r="N281" s="51">
        <f t="shared" si="352"/>
        <v>2</v>
      </c>
      <c r="O281" s="52">
        <f t="shared" si="353"/>
        <v>10</v>
      </c>
      <c r="P281" s="53">
        <f>COUNTIFS('00 Encuesta'!$B$2:$B$511,"*d)*",'00 Encuesta'!$C$2:$C$511,"*b)*",'00 Encuesta'!$E$2:$E$511,"*a)*",'00 Encuesta'!$AJ$2:$AJ$511,"*i)*")</f>
        <v>0</v>
      </c>
      <c r="Q281" s="52">
        <f t="shared" si="354"/>
        <v>0</v>
      </c>
      <c r="R281" s="53">
        <f>COUNTIFS('00 Encuesta'!$B$2:$B$511,"*d)*",'00 Encuesta'!$C$2:$C$511,"*b)*",'00 Encuesta'!$E$2:$E$511,"*b)*",'00 Encuesta'!$AJ$2:$AJ$511,"*i)*")</f>
        <v>2</v>
      </c>
      <c r="S281" s="52">
        <f t="shared" si="355"/>
        <v>15.384615384615385</v>
      </c>
      <c r="T281" s="3"/>
      <c r="U281" s="51">
        <f t="shared" si="356"/>
        <v>5</v>
      </c>
      <c r="V281" s="52">
        <f t="shared" si="357"/>
        <v>25</v>
      </c>
      <c r="W281" s="53">
        <f>COUNTIFS('00 Encuesta'!$B$2:$B$511,"*d)*",'00 Encuesta'!$C$2:$C$511,"*c)*",'00 Encuesta'!$E$2:$E$511,"*a)*",'00 Encuesta'!$AJ$2:$AJ$511,"*i)*")</f>
        <v>0</v>
      </c>
      <c r="X281" s="52">
        <f t="shared" si="358"/>
        <v>0</v>
      </c>
      <c r="Y281" s="53">
        <f>COUNTIFS('00 Encuesta'!$B$2:$B$511,"*d)*",'00 Encuesta'!$C$2:$C$511,"*c)*",'00 Encuesta'!$E$2:$E$511,"*b)*",'00 Encuesta'!$AJ$2:$AJ$511,"*i)*")</f>
        <v>5</v>
      </c>
      <c r="Z281" s="52">
        <f t="shared" si="359"/>
        <v>33.333333333333329</v>
      </c>
      <c r="AA281" s="3"/>
      <c r="AB281" s="62">
        <f t="shared" si="360"/>
        <v>10</v>
      </c>
      <c r="AC281" s="52">
        <f t="shared" si="361"/>
        <v>15.873015873015873</v>
      </c>
      <c r="AD281" s="3"/>
      <c r="AE281" s="3"/>
      <c r="AF281" s="9" t="str">
        <f t="shared" si="362"/>
        <v>i) Leo revistas o libros</v>
      </c>
      <c r="AG281" s="72">
        <f t="shared" si="370"/>
        <v>14.285714285714285</v>
      </c>
      <c r="AH281" s="72">
        <f t="shared" si="371"/>
        <v>11.111111111111111</v>
      </c>
      <c r="AI281" s="73">
        <f t="shared" si="372"/>
        <v>13.043478260869565</v>
      </c>
      <c r="AJ281" s="73"/>
      <c r="AK281" s="76">
        <f t="shared" si="363"/>
        <v>0</v>
      </c>
      <c r="AL281" s="76">
        <f t="shared" si="364"/>
        <v>15.384615384615385</v>
      </c>
      <c r="AM281" s="76">
        <f t="shared" si="365"/>
        <v>10</v>
      </c>
      <c r="AN281" s="76"/>
      <c r="AO281" s="81">
        <f t="shared" si="366"/>
        <v>0</v>
      </c>
      <c r="AP281" s="81">
        <f t="shared" si="367"/>
        <v>33.333333333333329</v>
      </c>
      <c r="AQ281" s="81">
        <f t="shared" si="368"/>
        <v>25</v>
      </c>
      <c r="AR281" s="3"/>
      <c r="AS281" s="76">
        <f t="shared" si="369"/>
        <v>15.873015873015873</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4</v>
      </c>
      <c r="H282" s="52">
        <f t="shared" si="349"/>
        <v>17.391304347826086</v>
      </c>
      <c r="I282" s="53">
        <f>COUNTIFS('00 Encuesta'!$B$2:$B$511,"*d)*",'00 Encuesta'!$C$2:$C$511,"*a)*",'00 Encuesta'!$E$2:$E$511,"*a)*",'00 Encuesta'!$AJ$2:$AJ$511,"*j)*")</f>
        <v>2</v>
      </c>
      <c r="J282" s="52">
        <f t="shared" si="350"/>
        <v>14.285714285714285</v>
      </c>
      <c r="K282" s="53">
        <f>COUNTIFS('00 Encuesta'!$B$2:$B$511,"*d)*",'00 Encuesta'!$C$2:$C$511,"*a)*",'00 Encuesta'!$E$2:$E$511,"*b)*",'00 Encuesta'!$AJ$2:$AJ$511,"*j)*")</f>
        <v>2</v>
      </c>
      <c r="L282" s="52">
        <f t="shared" si="351"/>
        <v>22.222222222222221</v>
      </c>
      <c r="M282" s="23"/>
      <c r="N282" s="51">
        <f t="shared" si="352"/>
        <v>1</v>
      </c>
      <c r="O282" s="52">
        <f t="shared" si="353"/>
        <v>5</v>
      </c>
      <c r="P282" s="53">
        <f>COUNTIFS('00 Encuesta'!$B$2:$B$511,"*d)*",'00 Encuesta'!$C$2:$C$511,"*b)*",'00 Encuesta'!$E$2:$E$511,"*a)*",'00 Encuesta'!$AJ$2:$AJ$511,"*j)*")</f>
        <v>0</v>
      </c>
      <c r="Q282" s="52">
        <f t="shared" si="354"/>
        <v>0</v>
      </c>
      <c r="R282" s="53">
        <f>COUNTIFS('00 Encuesta'!$B$2:$B$511,"*d)*",'00 Encuesta'!$C$2:$C$511,"*b)*",'00 Encuesta'!$E$2:$E$511,"*b)*",'00 Encuesta'!$AJ$2:$AJ$511,"*j)*")</f>
        <v>1</v>
      </c>
      <c r="S282" s="52">
        <f t="shared" si="355"/>
        <v>7.6923076923076925</v>
      </c>
      <c r="T282" s="3"/>
      <c r="U282" s="51">
        <f t="shared" si="356"/>
        <v>4</v>
      </c>
      <c r="V282" s="52">
        <f t="shared" si="357"/>
        <v>20</v>
      </c>
      <c r="W282" s="53">
        <f>COUNTIFS('00 Encuesta'!$B$2:$B$511,"*d)*",'00 Encuesta'!$C$2:$C$511,"*c)*",'00 Encuesta'!$E$2:$E$511,"*a)*",'00 Encuesta'!$AJ$2:$AJ$511,"*j)*")</f>
        <v>0</v>
      </c>
      <c r="X282" s="52">
        <f t="shared" si="358"/>
        <v>0</v>
      </c>
      <c r="Y282" s="53">
        <f>COUNTIFS('00 Encuesta'!$B$2:$B$511,"*d)*",'00 Encuesta'!$C$2:$C$511,"*c)*",'00 Encuesta'!$E$2:$E$511,"*b)*",'00 Encuesta'!$AJ$2:$AJ$511,"*j)*")</f>
        <v>4</v>
      </c>
      <c r="Z282" s="52">
        <f t="shared" si="359"/>
        <v>26.666666666666668</v>
      </c>
      <c r="AA282" s="3"/>
      <c r="AB282" s="62">
        <f t="shared" si="360"/>
        <v>9</v>
      </c>
      <c r="AC282" s="52">
        <f t="shared" si="361"/>
        <v>14.285714285714286</v>
      </c>
      <c r="AD282" s="3"/>
      <c r="AE282" s="3"/>
      <c r="AF282" s="9" t="str">
        <f t="shared" si="362"/>
        <v>j) Estoy en algún grupo juvenil</v>
      </c>
      <c r="AG282" s="72">
        <f t="shared" si="370"/>
        <v>14.285714285714285</v>
      </c>
      <c r="AH282" s="72">
        <f t="shared" si="371"/>
        <v>22.222222222222221</v>
      </c>
      <c r="AI282" s="73">
        <f t="shared" si="372"/>
        <v>17.391304347826086</v>
      </c>
      <c r="AJ282" s="73"/>
      <c r="AK282" s="76">
        <f t="shared" si="363"/>
        <v>0</v>
      </c>
      <c r="AL282" s="76">
        <f t="shared" si="364"/>
        <v>7.6923076923076925</v>
      </c>
      <c r="AM282" s="76">
        <f t="shared" si="365"/>
        <v>5</v>
      </c>
      <c r="AN282" s="76"/>
      <c r="AO282" s="81">
        <f t="shared" si="366"/>
        <v>0</v>
      </c>
      <c r="AP282" s="81">
        <f t="shared" si="367"/>
        <v>26.666666666666668</v>
      </c>
      <c r="AQ282" s="81">
        <f t="shared" si="368"/>
        <v>20</v>
      </c>
      <c r="AR282" s="3"/>
      <c r="AS282" s="76">
        <f t="shared" si="369"/>
        <v>14.285714285714286</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4</v>
      </c>
      <c r="H283" s="52">
        <f t="shared" si="349"/>
        <v>17.391304347826086</v>
      </c>
      <c r="I283" s="53">
        <f>COUNTIFS('00 Encuesta'!$B$2:$B$511,"*d)*",'00 Encuesta'!$C$2:$C$511,"*a)*",'00 Encuesta'!$E$2:$E$511,"*a)*",'00 Encuesta'!$AJ$2:$AJ$511,"*k)*")</f>
        <v>4</v>
      </c>
      <c r="J283" s="52">
        <f t="shared" si="350"/>
        <v>28.571428571428569</v>
      </c>
      <c r="K283" s="53">
        <f>COUNTIFS('00 Encuesta'!$B$2:$B$511,"*d)*",'00 Encuesta'!$C$2:$C$511,"*a)*",'00 Encuesta'!$E$2:$E$511,"*b)*",'00 Encuesta'!$AJ$2:$AJ$511,"*k)*")</f>
        <v>0</v>
      </c>
      <c r="L283" s="52">
        <f t="shared" si="351"/>
        <v>0</v>
      </c>
      <c r="M283" s="23"/>
      <c r="N283" s="51">
        <f t="shared" si="352"/>
        <v>2</v>
      </c>
      <c r="O283" s="52">
        <f t="shared" si="353"/>
        <v>10</v>
      </c>
      <c r="P283" s="53">
        <f>COUNTIFS('00 Encuesta'!$B$2:$B$511,"*d)*",'00 Encuesta'!$C$2:$C$511,"*b)*",'00 Encuesta'!$E$2:$E$511,"*a)*",'00 Encuesta'!$AJ$2:$AJ$511,"*k)*")</f>
        <v>0</v>
      </c>
      <c r="Q283" s="52">
        <f t="shared" si="354"/>
        <v>0</v>
      </c>
      <c r="R283" s="53">
        <f>COUNTIFS('00 Encuesta'!$B$2:$B$511,"*d)*",'00 Encuesta'!$C$2:$C$511,"*b)*",'00 Encuesta'!$E$2:$E$511,"*b)*",'00 Encuesta'!$AJ$2:$AJ$511,"*k)*")</f>
        <v>2</v>
      </c>
      <c r="S283" s="52">
        <f t="shared" si="355"/>
        <v>15.384615384615385</v>
      </c>
      <c r="T283" s="3"/>
      <c r="U283" s="51">
        <f t="shared" si="356"/>
        <v>4</v>
      </c>
      <c r="V283" s="52">
        <f t="shared" si="357"/>
        <v>20</v>
      </c>
      <c r="W283" s="53">
        <f>COUNTIFS('00 Encuesta'!$B$2:$B$511,"*d)*",'00 Encuesta'!$C$2:$C$511,"*c)*",'00 Encuesta'!$E$2:$E$511,"*a)*",'00 Encuesta'!$AJ$2:$AJ$511,"*k)*")</f>
        <v>2</v>
      </c>
      <c r="X283" s="52">
        <f t="shared" si="358"/>
        <v>40</v>
      </c>
      <c r="Y283" s="53">
        <f>COUNTIFS('00 Encuesta'!$B$2:$B$511,"*d)*",'00 Encuesta'!$C$2:$C$511,"*c)*",'00 Encuesta'!$E$2:$E$511,"*b)*",'00 Encuesta'!$AJ$2:$AJ$511,"*k)*")</f>
        <v>2</v>
      </c>
      <c r="Z283" s="52">
        <f t="shared" si="359"/>
        <v>13.333333333333334</v>
      </c>
      <c r="AA283" s="3"/>
      <c r="AB283" s="62">
        <f t="shared" si="360"/>
        <v>10</v>
      </c>
      <c r="AC283" s="52">
        <f t="shared" si="361"/>
        <v>15.873015873015873</v>
      </c>
      <c r="AD283" s="3"/>
      <c r="AE283" s="3"/>
      <c r="AF283" s="9" t="str">
        <f t="shared" si="362"/>
        <v>k) Practico algún deporte</v>
      </c>
      <c r="AG283" s="72">
        <f t="shared" si="370"/>
        <v>28.571428571428569</v>
      </c>
      <c r="AH283" s="72">
        <f t="shared" si="371"/>
        <v>0</v>
      </c>
      <c r="AI283" s="73">
        <f t="shared" si="372"/>
        <v>17.391304347826086</v>
      </c>
      <c r="AJ283" s="73"/>
      <c r="AK283" s="76">
        <f t="shared" si="363"/>
        <v>0</v>
      </c>
      <c r="AL283" s="76">
        <f t="shared" si="364"/>
        <v>15.384615384615385</v>
      </c>
      <c r="AM283" s="76">
        <f t="shared" si="365"/>
        <v>10</v>
      </c>
      <c r="AN283" s="76"/>
      <c r="AO283" s="81">
        <f t="shared" si="366"/>
        <v>40</v>
      </c>
      <c r="AP283" s="81">
        <f t="shared" si="367"/>
        <v>13.333333333333334</v>
      </c>
      <c r="AQ283" s="81">
        <f t="shared" si="368"/>
        <v>20</v>
      </c>
      <c r="AR283" s="3"/>
      <c r="AS283" s="76">
        <f t="shared" si="369"/>
        <v>15.873015873015873</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3</v>
      </c>
      <c r="H284" s="52">
        <f t="shared" si="349"/>
        <v>13.043478260869565</v>
      </c>
      <c r="I284" s="53">
        <f>COUNTIFS('00 Encuesta'!$B$2:$B$511,"*d)*",'00 Encuesta'!$C$2:$C$511,"*a)*",'00 Encuesta'!$E$2:$E$511,"*a)*",'00 Encuesta'!$AJ$2:$AJ$511,"*l)*")</f>
        <v>2</v>
      </c>
      <c r="J284" s="52">
        <f t="shared" si="350"/>
        <v>14.285714285714285</v>
      </c>
      <c r="K284" s="53">
        <f>COUNTIFS('00 Encuesta'!$B$2:$B$511,"*d)*",'00 Encuesta'!$C$2:$C$511,"*a)*",'00 Encuesta'!$E$2:$E$511,"*b)*",'00 Encuesta'!$AJ$2:$AJ$511,"*l)*")</f>
        <v>1</v>
      </c>
      <c r="L284" s="52">
        <f t="shared" si="351"/>
        <v>11.111111111111111</v>
      </c>
      <c r="M284" s="23"/>
      <c r="N284" s="51">
        <f t="shared" si="352"/>
        <v>5</v>
      </c>
      <c r="O284" s="52">
        <f t="shared" si="353"/>
        <v>25</v>
      </c>
      <c r="P284" s="53">
        <f>COUNTIFS('00 Encuesta'!$B$2:$B$511,"*d)*",'00 Encuesta'!$C$2:$C$511,"*b)*",'00 Encuesta'!$E$2:$E$511,"*a)*",'00 Encuesta'!$AJ$2:$AJ$511,"*l)*")</f>
        <v>1</v>
      </c>
      <c r="Q284" s="52">
        <f t="shared" si="354"/>
        <v>14.285714285714285</v>
      </c>
      <c r="R284" s="53">
        <f>COUNTIFS('00 Encuesta'!$B$2:$B$511,"*d)*",'00 Encuesta'!$C$2:$C$511,"*b)*",'00 Encuesta'!$E$2:$E$511,"*b)*",'00 Encuesta'!$AJ$2:$AJ$511,"*l)*")</f>
        <v>4</v>
      </c>
      <c r="S284" s="52">
        <f t="shared" si="355"/>
        <v>30.76923076923077</v>
      </c>
      <c r="T284" s="3"/>
      <c r="U284" s="51">
        <f t="shared" si="356"/>
        <v>3</v>
      </c>
      <c r="V284" s="52">
        <f t="shared" si="357"/>
        <v>15</v>
      </c>
      <c r="W284" s="53">
        <f>COUNTIFS('00 Encuesta'!$B$2:$B$511,"*d)*",'00 Encuesta'!$C$2:$C$511,"*c)*",'00 Encuesta'!$E$2:$E$511,"*a)*",'00 Encuesta'!$AJ$2:$AJ$511,"*l)*")</f>
        <v>1</v>
      </c>
      <c r="X284" s="52">
        <f t="shared" si="358"/>
        <v>20</v>
      </c>
      <c r="Y284" s="53">
        <f>COUNTIFS('00 Encuesta'!$B$2:$B$511,"*d)*",'00 Encuesta'!$C$2:$C$511,"*c)*",'00 Encuesta'!$E$2:$E$511,"*b)*",'00 Encuesta'!$AJ$2:$AJ$511,"*l)*")</f>
        <v>2</v>
      </c>
      <c r="Z284" s="52">
        <f t="shared" si="359"/>
        <v>13.333333333333334</v>
      </c>
      <c r="AA284" s="3"/>
      <c r="AB284" s="62">
        <f t="shared" si="360"/>
        <v>11</v>
      </c>
      <c r="AC284" s="52">
        <f t="shared" si="361"/>
        <v>17.460317460317459</v>
      </c>
      <c r="AD284" s="3"/>
      <c r="AE284" s="3"/>
      <c r="AF284" s="9" t="str">
        <f t="shared" si="362"/>
        <v>l) Escuho música y/o veo videos musicales</v>
      </c>
      <c r="AG284" s="72">
        <f t="shared" si="370"/>
        <v>14.285714285714285</v>
      </c>
      <c r="AH284" s="72">
        <f t="shared" si="371"/>
        <v>11.111111111111111</v>
      </c>
      <c r="AI284" s="73">
        <f t="shared" si="372"/>
        <v>13.043478260869565</v>
      </c>
      <c r="AJ284" s="73"/>
      <c r="AK284" s="76">
        <f t="shared" si="363"/>
        <v>14.285714285714285</v>
      </c>
      <c r="AL284" s="76">
        <f t="shared" si="364"/>
        <v>30.76923076923077</v>
      </c>
      <c r="AM284" s="76">
        <f t="shared" si="365"/>
        <v>25</v>
      </c>
      <c r="AN284" s="76"/>
      <c r="AO284" s="81">
        <f t="shared" si="366"/>
        <v>20</v>
      </c>
      <c r="AP284" s="81">
        <f t="shared" si="367"/>
        <v>13.333333333333334</v>
      </c>
      <c r="AQ284" s="81">
        <f t="shared" si="368"/>
        <v>15</v>
      </c>
      <c r="AR284" s="3"/>
      <c r="AS284" s="76">
        <f t="shared" si="369"/>
        <v>17.460317460317459</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2</v>
      </c>
      <c r="H285" s="52">
        <f t="shared" si="349"/>
        <v>8.695652173913043</v>
      </c>
      <c r="I285" s="53">
        <f>COUNTIFS('00 Encuesta'!$B$2:$B$511,"*d)*",'00 Encuesta'!$C$2:$C$511,"*a)*",'00 Encuesta'!$E$2:$E$511,"*a)*",'00 Encuesta'!$AJ$2:$AJ$511,"*m)*")</f>
        <v>1</v>
      </c>
      <c r="J285" s="52">
        <f t="shared" si="350"/>
        <v>7.1428571428571423</v>
      </c>
      <c r="K285" s="53">
        <f>COUNTIFS('00 Encuesta'!$B$2:$B$511,"*d)*",'00 Encuesta'!$C$2:$C$511,"*a)*",'00 Encuesta'!$E$2:$E$511,"*b)*",'00 Encuesta'!$AJ$2:$AJ$511,"*m)*")</f>
        <v>1</v>
      </c>
      <c r="L285" s="52">
        <f t="shared" si="351"/>
        <v>11.111111111111111</v>
      </c>
      <c r="M285" s="23"/>
      <c r="N285" s="51">
        <f t="shared" si="352"/>
        <v>6</v>
      </c>
      <c r="O285" s="52">
        <f t="shared" si="353"/>
        <v>30</v>
      </c>
      <c r="P285" s="53">
        <f>COUNTIFS('00 Encuesta'!$B$2:$B$511,"*d)*",'00 Encuesta'!$C$2:$C$511,"*b)*",'00 Encuesta'!$E$2:$E$511,"*a)*",'00 Encuesta'!$AJ$2:$AJ$511,"*m)*")</f>
        <v>2</v>
      </c>
      <c r="Q285" s="52">
        <f t="shared" si="354"/>
        <v>28.571428571428569</v>
      </c>
      <c r="R285" s="53">
        <f>COUNTIFS('00 Encuesta'!$B$2:$B$511,"*d)*",'00 Encuesta'!$C$2:$C$511,"*b)*",'00 Encuesta'!$E$2:$E$511,"*b)*",'00 Encuesta'!$AJ$2:$AJ$511,"*m)*")</f>
        <v>4</v>
      </c>
      <c r="S285" s="52">
        <f t="shared" si="355"/>
        <v>30.76923076923077</v>
      </c>
      <c r="T285" s="3"/>
      <c r="U285" s="51">
        <f t="shared" si="356"/>
        <v>3</v>
      </c>
      <c r="V285" s="52">
        <f t="shared" si="357"/>
        <v>15</v>
      </c>
      <c r="W285" s="53">
        <f>COUNTIFS('00 Encuesta'!$B$2:$B$511,"*d)*",'00 Encuesta'!$C$2:$C$511,"*c)*",'00 Encuesta'!$E$2:$E$511,"*a)*",'00 Encuesta'!$AJ$2:$AJ$511,"*m)*")</f>
        <v>0</v>
      </c>
      <c r="X285" s="52">
        <f t="shared" si="358"/>
        <v>0</v>
      </c>
      <c r="Y285" s="53">
        <f>COUNTIFS('00 Encuesta'!$B$2:$B$511,"*d)*",'00 Encuesta'!$C$2:$C$511,"*c)*",'00 Encuesta'!$E$2:$E$511,"*b)*",'00 Encuesta'!$AJ$2:$AJ$511,"*m)*")</f>
        <v>3</v>
      </c>
      <c r="Z285" s="52">
        <f t="shared" si="359"/>
        <v>20</v>
      </c>
      <c r="AA285" s="3"/>
      <c r="AB285" s="62">
        <f t="shared" si="360"/>
        <v>11</v>
      </c>
      <c r="AC285" s="52">
        <f t="shared" si="361"/>
        <v>17.460317460317459</v>
      </c>
      <c r="AD285" s="3"/>
      <c r="AE285" s="3"/>
      <c r="AF285" s="9" t="str">
        <f t="shared" si="362"/>
        <v>m) Veo televisión y/o películas</v>
      </c>
      <c r="AG285" s="72">
        <f t="shared" si="370"/>
        <v>7.1428571428571423</v>
      </c>
      <c r="AH285" s="72">
        <f t="shared" si="371"/>
        <v>11.111111111111111</v>
      </c>
      <c r="AI285" s="73">
        <f t="shared" si="372"/>
        <v>8.695652173913043</v>
      </c>
      <c r="AJ285" s="73"/>
      <c r="AK285" s="76">
        <f t="shared" si="363"/>
        <v>28.571428571428569</v>
      </c>
      <c r="AL285" s="76">
        <f t="shared" si="364"/>
        <v>30.76923076923077</v>
      </c>
      <c r="AM285" s="76">
        <f t="shared" si="365"/>
        <v>30</v>
      </c>
      <c r="AN285" s="76"/>
      <c r="AO285" s="81">
        <f t="shared" si="366"/>
        <v>0</v>
      </c>
      <c r="AP285" s="81">
        <f t="shared" si="367"/>
        <v>20</v>
      </c>
      <c r="AQ285" s="81">
        <f t="shared" si="368"/>
        <v>15</v>
      </c>
      <c r="AR285" s="3"/>
      <c r="AS285" s="76">
        <f t="shared" si="369"/>
        <v>17.460317460317459</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x14ac:dyDescent="0.3">
      <c r="A286" s="8" t="s">
        <v>213</v>
      </c>
      <c r="B286" s="9" t="s">
        <v>214</v>
      </c>
      <c r="C286" s="7"/>
      <c r="D286" s="7"/>
      <c r="E286" s="7"/>
      <c r="F286" s="71"/>
      <c r="G286" s="51">
        <f t="shared" si="348"/>
        <v>3</v>
      </c>
      <c r="H286" s="52">
        <f t="shared" si="349"/>
        <v>13.043478260869565</v>
      </c>
      <c r="I286" s="53">
        <f>COUNTIFS('00 Encuesta'!$B$2:$B$511,"*d)*",'00 Encuesta'!$C$2:$C$511,"*a)*",'00 Encuesta'!$E$2:$E$511,"*a)*",'00 Encuesta'!$AJ$2:$AJ$511,"*n)*")</f>
        <v>1</v>
      </c>
      <c r="J286" s="52">
        <f t="shared" si="350"/>
        <v>7.1428571428571423</v>
      </c>
      <c r="K286" s="53">
        <f>COUNTIFS('00 Encuesta'!$B$2:$B$511,"*d)*",'00 Encuesta'!$C$2:$C$511,"*a)*",'00 Encuesta'!$E$2:$E$511,"*b)*",'00 Encuesta'!$AJ$2:$AJ$511,"*n)*")</f>
        <v>2</v>
      </c>
      <c r="L286" s="52">
        <f t="shared" si="351"/>
        <v>22.222222222222221</v>
      </c>
      <c r="M286" s="23"/>
      <c r="N286" s="51">
        <f t="shared" si="352"/>
        <v>7</v>
      </c>
      <c r="O286" s="52">
        <f t="shared" si="353"/>
        <v>35</v>
      </c>
      <c r="P286" s="53">
        <f>COUNTIFS('00 Encuesta'!$B$2:$B$511,"*d)*",'00 Encuesta'!$C$2:$C$511,"*b)*",'00 Encuesta'!$E$2:$E$511,"*a)*",'00 Encuesta'!$AJ$2:$AJ$511,"*n)*")</f>
        <v>2</v>
      </c>
      <c r="Q286" s="52">
        <f t="shared" si="354"/>
        <v>28.571428571428569</v>
      </c>
      <c r="R286" s="53">
        <f>COUNTIFS('00 Encuesta'!$B$2:$B$511,"*d)*",'00 Encuesta'!$C$2:$C$511,"*b)*",'00 Encuesta'!$E$2:$E$511,"*b)*",'00 Encuesta'!$AJ$2:$AJ$511,"*n)*")</f>
        <v>5</v>
      </c>
      <c r="S286" s="52">
        <f t="shared" si="355"/>
        <v>38.461538461538467</v>
      </c>
      <c r="T286" s="3"/>
      <c r="U286" s="51">
        <f t="shared" si="356"/>
        <v>8</v>
      </c>
      <c r="V286" s="52">
        <f t="shared" si="357"/>
        <v>40</v>
      </c>
      <c r="W286" s="53">
        <f>COUNTIFS('00 Encuesta'!$B$2:$B$511,"*d)*",'00 Encuesta'!$C$2:$C$511,"*c)*",'00 Encuesta'!$E$2:$E$511,"*a)*",'00 Encuesta'!$AJ$2:$AJ$511,"*n)*")</f>
        <v>1</v>
      </c>
      <c r="X286" s="52">
        <f t="shared" si="358"/>
        <v>20</v>
      </c>
      <c r="Y286" s="53">
        <f>COUNTIFS('00 Encuesta'!$B$2:$B$511,"*d)*",'00 Encuesta'!$C$2:$C$511,"*c)*",'00 Encuesta'!$E$2:$E$511,"*b)*",'00 Encuesta'!$AJ$2:$AJ$511,"*n)*")</f>
        <v>7</v>
      </c>
      <c r="Z286" s="52">
        <f t="shared" si="359"/>
        <v>46.666666666666664</v>
      </c>
      <c r="AA286" s="3"/>
      <c r="AB286" s="62">
        <f t="shared" si="360"/>
        <v>18</v>
      </c>
      <c r="AC286" s="52">
        <f t="shared" si="361"/>
        <v>28.571428571428573</v>
      </c>
      <c r="AD286" s="3"/>
      <c r="AE286" s="3"/>
      <c r="AF286" s="9" t="str">
        <f t="shared" si="362"/>
        <v>n) Estoy conversando con los amigos/as</v>
      </c>
      <c r="AG286" s="72">
        <f t="shared" si="370"/>
        <v>7.1428571428571423</v>
      </c>
      <c r="AH286" s="72">
        <f t="shared" si="371"/>
        <v>22.222222222222221</v>
      </c>
      <c r="AI286" s="73">
        <f t="shared" si="372"/>
        <v>13.043478260869565</v>
      </c>
      <c r="AJ286" s="73"/>
      <c r="AK286" s="76">
        <f t="shared" si="363"/>
        <v>28.571428571428569</v>
      </c>
      <c r="AL286" s="76">
        <f t="shared" si="364"/>
        <v>38.461538461538467</v>
      </c>
      <c r="AM286" s="76">
        <f t="shared" si="365"/>
        <v>35</v>
      </c>
      <c r="AN286" s="76"/>
      <c r="AO286" s="81">
        <f t="shared" si="366"/>
        <v>20</v>
      </c>
      <c r="AP286" s="81">
        <f t="shared" si="367"/>
        <v>46.666666666666664</v>
      </c>
      <c r="AQ286" s="81">
        <f t="shared" si="368"/>
        <v>40</v>
      </c>
      <c r="AR286" s="3"/>
      <c r="AS286" s="76">
        <f t="shared" si="369"/>
        <v>28.571428571428573</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x14ac:dyDescent="0.3">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x14ac:dyDescent="0.3">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x14ac:dyDescent="0.3">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x14ac:dyDescent="0.3">
      <c r="A290" s="8" t="s">
        <v>17</v>
      </c>
      <c r="B290" s="9" t="s">
        <v>216</v>
      </c>
      <c r="C290" s="7"/>
      <c r="D290" s="7"/>
      <c r="E290" s="7"/>
      <c r="F290" s="71">
        <v>100</v>
      </c>
      <c r="G290" s="51">
        <f t="shared" ref="G290:G295" si="373">I290+K290</f>
        <v>4</v>
      </c>
      <c r="H290" s="52">
        <f t="shared" ref="H290:H295" si="374">G290/$J$5*100</f>
        <v>17.391304347826086</v>
      </c>
      <c r="I290" s="53">
        <f>COUNTIFS('00 Encuesta'!$B$2:$B$511,"*d)*",'00 Encuesta'!$C$2:$C$511,"*a)*",'00 Encuesta'!$E$2:$E$511,"*a)*",'00 Encuesta'!$AL$2:$AL$511,"*a)*")</f>
        <v>3</v>
      </c>
      <c r="J290" s="52">
        <f t="shared" ref="J290:J295" si="375">I290/$J$6*100</f>
        <v>21.428571428571427</v>
      </c>
      <c r="K290" s="53">
        <f>COUNTIFS('00 Encuesta'!$B$2:$B$511,"*d)*",'00 Encuesta'!$C$2:$C$511,"*a)*",'00 Encuesta'!$E$2:$E$511,"*b)*",'00 Encuesta'!$AL$2:$AL$511,"*a)*")</f>
        <v>1</v>
      </c>
      <c r="L290" s="52">
        <f>K290/$J$7*100</f>
        <v>11.111111111111111</v>
      </c>
      <c r="M290" s="23"/>
      <c r="N290" s="51">
        <f>P290+R290</f>
        <v>2</v>
      </c>
      <c r="O290" s="52">
        <f>N290/$Q$5*100</f>
        <v>10</v>
      </c>
      <c r="P290" s="53">
        <f>COUNTIFS('00 Encuesta'!$B$2:$B$511,"*d)*",'00 Encuesta'!$C$2:$C$511,"*b)*",'00 Encuesta'!$E$2:$E$511,"*a)*",'00 Encuesta'!$AL$2:$AL$511,"*a)*")</f>
        <v>0</v>
      </c>
      <c r="Q290" s="52">
        <f>P290/$Q$6*100</f>
        <v>0</v>
      </c>
      <c r="R290" s="53">
        <f>COUNTIFS('00 Encuesta'!$B$2:$B$511,"*d)*",'00 Encuesta'!$C$2:$C$511,"*b)*",'00 Encuesta'!$E$2:$E$511,"*b)*",'00 Encuesta'!$AL$2:$AL$511,"*a)*")</f>
        <v>2</v>
      </c>
      <c r="S290" s="52">
        <f>R290/$Q$7*100</f>
        <v>15.384615384615385</v>
      </c>
      <c r="T290" s="3"/>
      <c r="U290" s="51">
        <f>W290+Y290</f>
        <v>0</v>
      </c>
      <c r="V290" s="52">
        <f>U290/$X$5*100</f>
        <v>0</v>
      </c>
      <c r="W290" s="53">
        <f>COUNTIFS('00 Encuesta'!$B$2:$B$511,"*d)*",'00 Encuesta'!$C$2:$C$511,"*c)*",'00 Encuesta'!$E$2:$E$511,"*a)*",'00 Encuesta'!$AL$2:$AL$511,"*a)*")</f>
        <v>0</v>
      </c>
      <c r="X290" s="52">
        <f>W290/$X$6*100</f>
        <v>0</v>
      </c>
      <c r="Y290" s="53">
        <f>COUNTIFS('00 Encuesta'!$B$2:$B$511,"*d)*",'00 Encuesta'!$C$2:$C$511,"*c)*",'00 Encuesta'!$E$2:$E$511,"*b)*",'00 Encuesta'!$AL$2:$AL$511,"*a)*")</f>
        <v>0</v>
      </c>
      <c r="Z290" s="52">
        <f t="shared" ref="Z290:Z295" si="376">Y290/$X$7*100</f>
        <v>0</v>
      </c>
      <c r="AA290" s="3"/>
      <c r="AB290" s="62">
        <f t="shared" ref="AB290:AB295" si="377">G290+N290+U290</f>
        <v>6</v>
      </c>
      <c r="AC290" s="52">
        <f t="shared" ref="AC290:AC295" si="378">AB290*100/$AC$5</f>
        <v>9.5238095238095237</v>
      </c>
      <c r="AD290" s="3"/>
      <c r="AE290" s="3"/>
      <c r="AF290" s="9" t="str">
        <f t="shared" ref="AF290:AF295" si="379">A290&amp;" "&amp;B290</f>
        <v>a) Muy bueno</v>
      </c>
      <c r="AG290" s="72">
        <f t="shared" ref="AG290:AG295" si="380">J290</f>
        <v>21.428571428571427</v>
      </c>
      <c r="AH290" s="72">
        <f t="shared" ref="AH290:AH295" si="381">L290</f>
        <v>11.111111111111111</v>
      </c>
      <c r="AI290" s="73">
        <f t="shared" ref="AI290:AI295" si="382">H290</f>
        <v>17.391304347826086</v>
      </c>
      <c r="AJ290" s="73"/>
      <c r="AK290" s="76">
        <f t="shared" ref="AK290:AK295" si="383">Q290</f>
        <v>0</v>
      </c>
      <c r="AL290" s="76">
        <f t="shared" ref="AL290:AL295" si="384">S290</f>
        <v>15.384615384615385</v>
      </c>
      <c r="AM290" s="76">
        <f t="shared" ref="AM290:AM295" si="385">O290</f>
        <v>10</v>
      </c>
      <c r="AN290" s="76"/>
      <c r="AO290" s="81">
        <f t="shared" ref="AO290:AO295" si="386">X290</f>
        <v>0</v>
      </c>
      <c r="AP290" s="81">
        <f t="shared" ref="AP290:AP295" si="387">Z290</f>
        <v>0</v>
      </c>
      <c r="AQ290" s="81">
        <f t="shared" ref="AQ290:AQ295" si="388">V290</f>
        <v>0</v>
      </c>
      <c r="AR290" s="3"/>
      <c r="AS290" s="76">
        <f t="shared" si="369"/>
        <v>9.5238095238095237</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x14ac:dyDescent="0.3">
      <c r="A291" s="8" t="s">
        <v>18</v>
      </c>
      <c r="B291" s="9" t="s">
        <v>217</v>
      </c>
      <c r="C291" s="7"/>
      <c r="D291" s="7"/>
      <c r="E291" s="7"/>
      <c r="F291" s="71">
        <v>75</v>
      </c>
      <c r="G291" s="51">
        <f t="shared" si="373"/>
        <v>9</v>
      </c>
      <c r="H291" s="52">
        <f t="shared" si="374"/>
        <v>39.130434782608695</v>
      </c>
      <c r="I291" s="53">
        <f>COUNTIFS('00 Encuesta'!$B$2:$B$511,"*d)*",'00 Encuesta'!$C$2:$C$511,"*a)*",'00 Encuesta'!$E$2:$E$511,"*a)*",'00 Encuesta'!$AL$2:$AL$511,"*b)*")</f>
        <v>5</v>
      </c>
      <c r="J291" s="52">
        <f t="shared" si="375"/>
        <v>35.714285714285715</v>
      </c>
      <c r="K291" s="53">
        <f>COUNTIFS('00 Encuesta'!$B$2:$B$511,"*d)*",'00 Encuesta'!$C$2:$C$511,"*a)*",'00 Encuesta'!$E$2:$E$511,"*b)*",'00 Encuesta'!$AL$2:$AL$511,"*b)*")</f>
        <v>4</v>
      </c>
      <c r="L291" s="52">
        <f>K291/$J$7*100</f>
        <v>44.444444444444443</v>
      </c>
      <c r="M291" s="23"/>
      <c r="N291" s="51">
        <f>P291+R291</f>
        <v>11</v>
      </c>
      <c r="O291" s="52">
        <f>N291/$Q$5*100</f>
        <v>55.000000000000007</v>
      </c>
      <c r="P291" s="53">
        <f>COUNTIFS('00 Encuesta'!$B$2:$B$511,"*d)*",'00 Encuesta'!$C$2:$C$511,"*b)*",'00 Encuesta'!$E$2:$E$511,"*a)*",'00 Encuesta'!$AL$2:$AL$511,"*b)*")</f>
        <v>3</v>
      </c>
      <c r="Q291" s="52">
        <f>P291/$Q$6*100</f>
        <v>42.857142857142854</v>
      </c>
      <c r="R291" s="53">
        <f>COUNTIFS('00 Encuesta'!$B$2:$B$511,"*d)*",'00 Encuesta'!$C$2:$C$511,"*b)*",'00 Encuesta'!$E$2:$E$511,"*b)*",'00 Encuesta'!$AL$2:$AL$511,"*b)*")</f>
        <v>8</v>
      </c>
      <c r="S291" s="52">
        <f>R291/$Q$7*100</f>
        <v>61.53846153846154</v>
      </c>
      <c r="T291" s="3"/>
      <c r="U291" s="51">
        <f>W291+Y291</f>
        <v>6</v>
      </c>
      <c r="V291" s="52">
        <f>U291/$X$5*100</f>
        <v>30</v>
      </c>
      <c r="W291" s="53">
        <f>COUNTIFS('00 Encuesta'!$B$2:$B$511,"*d)*",'00 Encuesta'!$C$2:$C$511,"*c)*",'00 Encuesta'!$E$2:$E$511,"*a)*",'00 Encuesta'!$AL$2:$AL$511,"*b)*")</f>
        <v>1</v>
      </c>
      <c r="X291" s="52">
        <f>W291/$X$6*100</f>
        <v>20</v>
      </c>
      <c r="Y291" s="53">
        <f>COUNTIFS('00 Encuesta'!$B$2:$B$511,"*d)*",'00 Encuesta'!$C$2:$C$511,"*c)*",'00 Encuesta'!$E$2:$E$511,"*b)*",'00 Encuesta'!$AL$2:$AL$511,"*b)*")</f>
        <v>5</v>
      </c>
      <c r="Z291" s="52">
        <f t="shared" si="376"/>
        <v>33.333333333333329</v>
      </c>
      <c r="AA291" s="3"/>
      <c r="AB291" s="62">
        <f t="shared" si="377"/>
        <v>26</v>
      </c>
      <c r="AC291" s="52">
        <f t="shared" si="378"/>
        <v>41.269841269841272</v>
      </c>
      <c r="AD291" s="3"/>
      <c r="AE291" s="3"/>
      <c r="AF291" s="9" t="str">
        <f t="shared" si="379"/>
        <v>b) Bueno</v>
      </c>
      <c r="AG291" s="72">
        <f t="shared" si="380"/>
        <v>35.714285714285715</v>
      </c>
      <c r="AH291" s="72">
        <f t="shared" si="381"/>
        <v>44.444444444444443</v>
      </c>
      <c r="AI291" s="73">
        <f t="shared" si="382"/>
        <v>39.130434782608695</v>
      </c>
      <c r="AJ291" s="73"/>
      <c r="AK291" s="76">
        <f t="shared" si="383"/>
        <v>42.857142857142854</v>
      </c>
      <c r="AL291" s="76">
        <f t="shared" si="384"/>
        <v>61.53846153846154</v>
      </c>
      <c r="AM291" s="76">
        <f t="shared" si="385"/>
        <v>55.000000000000007</v>
      </c>
      <c r="AN291" s="76"/>
      <c r="AO291" s="81">
        <f t="shared" si="386"/>
        <v>20</v>
      </c>
      <c r="AP291" s="81">
        <f t="shared" si="387"/>
        <v>33.333333333333329</v>
      </c>
      <c r="AQ291" s="81">
        <f t="shared" si="388"/>
        <v>30</v>
      </c>
      <c r="AR291" s="3"/>
      <c r="AS291" s="76">
        <f t="shared" si="369"/>
        <v>41.269841269841272</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x14ac:dyDescent="0.3">
      <c r="A292" s="8" t="s">
        <v>20</v>
      </c>
      <c r="B292" s="9" t="s">
        <v>218</v>
      </c>
      <c r="C292" s="7"/>
      <c r="D292" s="7"/>
      <c r="E292" s="7"/>
      <c r="F292" s="71">
        <v>50</v>
      </c>
      <c r="G292" s="51">
        <f t="shared" si="373"/>
        <v>7</v>
      </c>
      <c r="H292" s="52">
        <f t="shared" si="374"/>
        <v>30.434782608695656</v>
      </c>
      <c r="I292" s="53">
        <f>COUNTIFS('00 Encuesta'!$B$2:$B$511,"*d)*",'00 Encuesta'!$C$2:$C$511,"*a)*",'00 Encuesta'!$E$2:$E$511,"*a)*",'00 Encuesta'!$AL$2:$AL$511,"*c)*")</f>
        <v>4</v>
      </c>
      <c r="J292" s="52">
        <f t="shared" si="375"/>
        <v>28.571428571428569</v>
      </c>
      <c r="K292" s="53">
        <f>COUNTIFS('00 Encuesta'!$B$2:$B$511,"*d)*",'00 Encuesta'!$C$2:$C$511,"*a)*",'00 Encuesta'!$E$2:$E$511,"*b)*",'00 Encuesta'!$AL$2:$AL$511,"*c)*")</f>
        <v>3</v>
      </c>
      <c r="L292" s="52">
        <f>K292/$J$7*100</f>
        <v>33.333333333333329</v>
      </c>
      <c r="M292" s="23"/>
      <c r="N292" s="51">
        <f>P292+R292</f>
        <v>5</v>
      </c>
      <c r="O292" s="52">
        <f>N292/$Q$5*100</f>
        <v>25</v>
      </c>
      <c r="P292" s="53">
        <f>COUNTIFS('00 Encuesta'!$B$2:$B$511,"*d)*",'00 Encuesta'!$C$2:$C$511,"*b)*",'00 Encuesta'!$E$2:$E$511,"*a)*",'00 Encuesta'!$AL$2:$AL$511,"*c)*")</f>
        <v>3</v>
      </c>
      <c r="Q292" s="52">
        <f>P292/$Q$6*100</f>
        <v>42.857142857142854</v>
      </c>
      <c r="R292" s="53">
        <f>COUNTIFS('00 Encuesta'!$B$2:$B$511,"*d)*",'00 Encuesta'!$C$2:$C$511,"*b)*",'00 Encuesta'!$E$2:$E$511,"*b)*",'00 Encuesta'!$AL$2:$AL$511,"*c)*")</f>
        <v>2</v>
      </c>
      <c r="S292" s="52">
        <f>R292/$Q$7*100</f>
        <v>15.384615384615385</v>
      </c>
      <c r="T292" s="3"/>
      <c r="U292" s="51">
        <f>W292+Y292</f>
        <v>10</v>
      </c>
      <c r="V292" s="52">
        <f>U292/$X$5*100</f>
        <v>50</v>
      </c>
      <c r="W292" s="53">
        <f>COUNTIFS('00 Encuesta'!$B$2:$B$511,"*d)*",'00 Encuesta'!$C$2:$C$511,"*c)*",'00 Encuesta'!$E$2:$E$511,"*a)*",'00 Encuesta'!$AL$2:$AL$511,"*c)*")</f>
        <v>3</v>
      </c>
      <c r="X292" s="52">
        <f>W292/$X$6*100</f>
        <v>60</v>
      </c>
      <c r="Y292" s="53">
        <f>COUNTIFS('00 Encuesta'!$B$2:$B$511,"*d)*",'00 Encuesta'!$C$2:$C$511,"*c)*",'00 Encuesta'!$E$2:$E$511,"*b)*",'00 Encuesta'!$AL$2:$AL$511,"*c)*")</f>
        <v>7</v>
      </c>
      <c r="Z292" s="52">
        <f t="shared" si="376"/>
        <v>46.666666666666664</v>
      </c>
      <c r="AA292" s="3"/>
      <c r="AB292" s="62">
        <f t="shared" si="377"/>
        <v>22</v>
      </c>
      <c r="AC292" s="52">
        <f t="shared" si="378"/>
        <v>34.920634920634917</v>
      </c>
      <c r="AD292" s="3"/>
      <c r="AE292" s="3"/>
      <c r="AF292" s="9" t="str">
        <f t="shared" si="379"/>
        <v>c) Regular</v>
      </c>
      <c r="AG292" s="72">
        <f t="shared" si="380"/>
        <v>28.571428571428569</v>
      </c>
      <c r="AH292" s="72">
        <f t="shared" si="381"/>
        <v>33.333333333333329</v>
      </c>
      <c r="AI292" s="73">
        <f t="shared" si="382"/>
        <v>30.434782608695656</v>
      </c>
      <c r="AJ292" s="73"/>
      <c r="AK292" s="76">
        <f t="shared" si="383"/>
        <v>42.857142857142854</v>
      </c>
      <c r="AL292" s="76">
        <f t="shared" si="384"/>
        <v>15.384615384615385</v>
      </c>
      <c r="AM292" s="76">
        <f t="shared" si="385"/>
        <v>25</v>
      </c>
      <c r="AN292" s="76"/>
      <c r="AO292" s="81">
        <f t="shared" si="386"/>
        <v>60</v>
      </c>
      <c r="AP292" s="81">
        <f t="shared" si="387"/>
        <v>46.666666666666664</v>
      </c>
      <c r="AQ292" s="81">
        <f t="shared" si="388"/>
        <v>50</v>
      </c>
      <c r="AR292" s="3"/>
      <c r="AS292" s="76">
        <f t="shared" si="369"/>
        <v>34.920634920634917</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x14ac:dyDescent="0.3">
      <c r="A293" s="8" t="s">
        <v>21</v>
      </c>
      <c r="B293" s="9" t="s">
        <v>219</v>
      </c>
      <c r="C293" s="7"/>
      <c r="D293" s="7"/>
      <c r="E293" s="7"/>
      <c r="F293" s="71">
        <v>25</v>
      </c>
      <c r="G293" s="51">
        <f t="shared" si="373"/>
        <v>1</v>
      </c>
      <c r="H293" s="52">
        <f t="shared" si="374"/>
        <v>4.3478260869565215</v>
      </c>
      <c r="I293" s="53">
        <f>COUNTIFS('00 Encuesta'!$B$2:$B$511,"*d)*",'00 Encuesta'!$C$2:$C$511,"*a)*",'00 Encuesta'!$E$2:$E$511,"*a)*",'00 Encuesta'!$AL$2:$AL$511,"*d)*")</f>
        <v>1</v>
      </c>
      <c r="J293" s="52">
        <f t="shared" si="375"/>
        <v>7.1428571428571423</v>
      </c>
      <c r="K293" s="53">
        <f>COUNTIFS('00 Encuesta'!$B$2:$B$511,"*d)*",'00 Encuesta'!$C$2:$C$511,"*a)*",'00 Encuesta'!$E$2:$E$511,"*b)*",'00 Encuesta'!$AL$2:$AL$511,"*d)*")</f>
        <v>0</v>
      </c>
      <c r="L293" s="52">
        <f>K293/$J$7*100</f>
        <v>0</v>
      </c>
      <c r="M293" s="23"/>
      <c r="N293" s="51">
        <f>P293+R293</f>
        <v>0</v>
      </c>
      <c r="O293" s="52">
        <f>N293/$Q$5*100</f>
        <v>0</v>
      </c>
      <c r="P293" s="53">
        <f>COUNTIFS('00 Encuesta'!$B$2:$B$511,"*d)*",'00 Encuesta'!$C$2:$C$511,"*b)*",'00 Encuesta'!$E$2:$E$511,"*a)*",'00 Encuesta'!$AL$2:$AL$511,"*d)*")</f>
        <v>0</v>
      </c>
      <c r="Q293" s="52">
        <f>P293/$Q$6*100</f>
        <v>0</v>
      </c>
      <c r="R293" s="53">
        <f>COUNTIFS('00 Encuesta'!$B$2:$B$511,"*d)*",'00 Encuesta'!$C$2:$C$511,"*b)*",'00 Encuesta'!$E$2:$E$511,"*b)*",'00 Encuesta'!$AL$2:$AL$511,"*d)*")</f>
        <v>0</v>
      </c>
      <c r="S293" s="52">
        <f>R293/$Q$7*100</f>
        <v>0</v>
      </c>
      <c r="T293" s="3"/>
      <c r="U293" s="51">
        <f>W293+Y293</f>
        <v>1</v>
      </c>
      <c r="V293" s="52">
        <f>U293/$X$5*100</f>
        <v>5</v>
      </c>
      <c r="W293" s="53">
        <f>COUNTIFS('00 Encuesta'!$B$2:$B$511,"*d)*",'00 Encuesta'!$C$2:$C$511,"*c)*",'00 Encuesta'!$E$2:$E$511,"*a)*",'00 Encuesta'!$AL$2:$AL$511,"*d)*")</f>
        <v>0</v>
      </c>
      <c r="X293" s="52">
        <f>W293/$X$6*100</f>
        <v>0</v>
      </c>
      <c r="Y293" s="53">
        <f>COUNTIFS('00 Encuesta'!$B$2:$B$511,"*d)*",'00 Encuesta'!$C$2:$C$511,"*c)*",'00 Encuesta'!$E$2:$E$511,"*b)*",'00 Encuesta'!$AL$2:$AL$511,"*d)*")</f>
        <v>1</v>
      </c>
      <c r="Z293" s="52">
        <f t="shared" si="376"/>
        <v>6.666666666666667</v>
      </c>
      <c r="AA293" s="3"/>
      <c r="AB293" s="62">
        <f t="shared" si="377"/>
        <v>2</v>
      </c>
      <c r="AC293" s="52">
        <f t="shared" si="378"/>
        <v>3.1746031746031744</v>
      </c>
      <c r="AD293" s="3"/>
      <c r="AE293" s="3"/>
      <c r="AF293" s="9" t="str">
        <f t="shared" si="379"/>
        <v>d) Deficiente</v>
      </c>
      <c r="AG293" s="72">
        <f t="shared" si="380"/>
        <v>7.1428571428571423</v>
      </c>
      <c r="AH293" s="72">
        <f t="shared" si="381"/>
        <v>0</v>
      </c>
      <c r="AI293" s="73">
        <f t="shared" si="382"/>
        <v>4.3478260869565215</v>
      </c>
      <c r="AJ293" s="73"/>
      <c r="AK293" s="76">
        <f t="shared" si="383"/>
        <v>0</v>
      </c>
      <c r="AL293" s="76">
        <f t="shared" si="384"/>
        <v>0</v>
      </c>
      <c r="AM293" s="76">
        <f t="shared" si="385"/>
        <v>0</v>
      </c>
      <c r="AN293" s="76"/>
      <c r="AO293" s="81">
        <f t="shared" si="386"/>
        <v>0</v>
      </c>
      <c r="AP293" s="81">
        <f t="shared" si="387"/>
        <v>6.666666666666667</v>
      </c>
      <c r="AQ293" s="81">
        <f t="shared" si="388"/>
        <v>5</v>
      </c>
      <c r="AR293" s="3"/>
      <c r="AS293" s="76">
        <f t="shared" si="369"/>
        <v>3.1746031746031744</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x14ac:dyDescent="0.3">
      <c r="A294" s="8" t="s">
        <v>22</v>
      </c>
      <c r="B294" s="9" t="s">
        <v>220</v>
      </c>
      <c r="C294" s="7"/>
      <c r="D294" s="7"/>
      <c r="E294" s="7"/>
      <c r="F294" s="71">
        <v>0</v>
      </c>
      <c r="G294" s="51">
        <f t="shared" si="373"/>
        <v>1</v>
      </c>
      <c r="H294" s="52">
        <f t="shared" si="374"/>
        <v>4.3478260869565215</v>
      </c>
      <c r="I294" s="53">
        <f>COUNTIFS('00 Encuesta'!$B$2:$B$511,"*d)*",'00 Encuesta'!$C$2:$C$511,"*a)*",'00 Encuesta'!$E$2:$E$511,"*a)*",'00 Encuesta'!$AL$2:$AL$511,"*e)*")</f>
        <v>1</v>
      </c>
      <c r="J294" s="52">
        <f t="shared" si="375"/>
        <v>7.1428571428571423</v>
      </c>
      <c r="K294" s="53">
        <f>COUNTIFS('00 Encuesta'!$B$2:$B$511,"*d)*",'00 Encuesta'!$C$2:$C$511,"*a)*",'00 Encuesta'!$E$2:$E$511,"*b)*",'00 Encuesta'!$AL$2:$AL$511,"*e)*")</f>
        <v>0</v>
      </c>
      <c r="L294" s="52">
        <f>K294/$J$7*100</f>
        <v>0</v>
      </c>
      <c r="M294" s="23"/>
      <c r="N294" s="51">
        <f>P294+R294</f>
        <v>2</v>
      </c>
      <c r="O294" s="52">
        <f>N294/$Q$5*100</f>
        <v>10</v>
      </c>
      <c r="P294" s="53">
        <f>COUNTIFS('00 Encuesta'!$B$2:$B$511,"*d)*",'00 Encuesta'!$C$2:$C$511,"*b)*",'00 Encuesta'!$E$2:$E$511,"*a)*",'00 Encuesta'!$AL$2:$AL$511,"*e)*")</f>
        <v>1</v>
      </c>
      <c r="Q294" s="52">
        <f>P294/$Q$6*100</f>
        <v>14.285714285714285</v>
      </c>
      <c r="R294" s="53">
        <f>COUNTIFS('00 Encuesta'!$B$2:$B$511,"*d)*",'00 Encuesta'!$C$2:$C$511,"*b)*",'00 Encuesta'!$E$2:$E$511,"*b)*",'00 Encuesta'!$AL$2:$AL$511,"*e)*")</f>
        <v>1</v>
      </c>
      <c r="S294" s="52">
        <f>R294/$Q$7*100</f>
        <v>7.6923076923076925</v>
      </c>
      <c r="T294" s="3"/>
      <c r="U294" s="51">
        <f>W294+Y294</f>
        <v>2</v>
      </c>
      <c r="V294" s="52">
        <f>U294/$X$5*100</f>
        <v>10</v>
      </c>
      <c r="W294" s="53">
        <f>COUNTIFS('00 Encuesta'!$B$2:$B$511,"*d)*",'00 Encuesta'!$C$2:$C$511,"*c)*",'00 Encuesta'!$E$2:$E$511,"*a)*",'00 Encuesta'!$AL$2:$AL$511,"*e)*")</f>
        <v>1</v>
      </c>
      <c r="X294" s="52">
        <f>W294/$X$6*100</f>
        <v>20</v>
      </c>
      <c r="Y294" s="53">
        <f>COUNTIFS('00 Encuesta'!$B$2:$B$511,"*d)*",'00 Encuesta'!$C$2:$C$511,"*c)*",'00 Encuesta'!$E$2:$E$511,"*b)*",'00 Encuesta'!$AL$2:$AL$511,"*e)*")</f>
        <v>1</v>
      </c>
      <c r="Z294" s="52">
        <f t="shared" si="376"/>
        <v>6.666666666666667</v>
      </c>
      <c r="AA294" s="3"/>
      <c r="AB294" s="62">
        <f t="shared" si="377"/>
        <v>5</v>
      </c>
      <c r="AC294" s="52">
        <f t="shared" si="378"/>
        <v>7.9365079365079367</v>
      </c>
      <c r="AD294" s="3"/>
      <c r="AE294" s="3"/>
      <c r="AF294" s="9" t="str">
        <f t="shared" si="379"/>
        <v>e) Muy deficiente</v>
      </c>
      <c r="AG294" s="72">
        <f t="shared" si="380"/>
        <v>7.1428571428571423</v>
      </c>
      <c r="AH294" s="72">
        <f t="shared" si="381"/>
        <v>0</v>
      </c>
      <c r="AI294" s="73">
        <f t="shared" si="382"/>
        <v>4.3478260869565215</v>
      </c>
      <c r="AJ294" s="73"/>
      <c r="AK294" s="76">
        <f t="shared" si="383"/>
        <v>14.285714285714285</v>
      </c>
      <c r="AL294" s="76">
        <f t="shared" si="384"/>
        <v>7.6923076923076925</v>
      </c>
      <c r="AM294" s="76">
        <f t="shared" si="385"/>
        <v>10</v>
      </c>
      <c r="AN294" s="76"/>
      <c r="AO294" s="81">
        <f t="shared" si="386"/>
        <v>20</v>
      </c>
      <c r="AP294" s="81">
        <f t="shared" si="387"/>
        <v>6.666666666666667</v>
      </c>
      <c r="AQ294" s="81">
        <f t="shared" si="388"/>
        <v>10</v>
      </c>
      <c r="AR294" s="3"/>
      <c r="AS294" s="76">
        <f t="shared" si="369"/>
        <v>7.9365079365079367</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x14ac:dyDescent="0.3">
      <c r="A295" s="8" t="s">
        <v>23</v>
      </c>
      <c r="B295" s="9" t="s">
        <v>24</v>
      </c>
      <c r="C295" s="7"/>
      <c r="D295" s="7"/>
      <c r="E295" s="7"/>
      <c r="F295" s="71"/>
      <c r="G295" s="51">
        <f t="shared" si="373"/>
        <v>0</v>
      </c>
      <c r="H295" s="52">
        <f t="shared" si="374"/>
        <v>0</v>
      </c>
      <c r="I295" s="53"/>
      <c r="J295" s="52">
        <f t="shared" si="375"/>
        <v>0</v>
      </c>
      <c r="K295" s="53"/>
      <c r="L295" s="52">
        <f t="shared" ref="L295" si="389">K295/$J$7*100</f>
        <v>0</v>
      </c>
      <c r="M295" s="23"/>
      <c r="N295" s="51">
        <f t="shared" ref="N295" si="390">P295+R295</f>
        <v>0</v>
      </c>
      <c r="O295" s="52">
        <f t="shared" ref="O295" si="391">N295/$Q$5*100</f>
        <v>0</v>
      </c>
      <c r="P295" s="53"/>
      <c r="Q295" s="52">
        <f t="shared" ref="Q295" si="392">P295/$Q$6*100</f>
        <v>0</v>
      </c>
      <c r="R295" s="53"/>
      <c r="S295" s="52">
        <f t="shared" ref="S295" si="393">R295/$Q$7*100</f>
        <v>0</v>
      </c>
      <c r="T295" s="3"/>
      <c r="U295" s="51">
        <f t="shared" ref="U295" si="394">W295+Y295</f>
        <v>0</v>
      </c>
      <c r="V295" s="52">
        <f t="shared" ref="V295" si="395">U295/$X$5*100</f>
        <v>0</v>
      </c>
      <c r="W295" s="53"/>
      <c r="X295" s="52">
        <f t="shared" ref="X295" si="396">W295/$X$6*100</f>
        <v>0</v>
      </c>
      <c r="Y295" s="53"/>
      <c r="Z295" s="52">
        <f t="shared" si="376"/>
        <v>0</v>
      </c>
      <c r="AA295" s="3"/>
      <c r="AB295" s="62">
        <f t="shared" si="377"/>
        <v>0</v>
      </c>
      <c r="AC295" s="52">
        <f t="shared" si="378"/>
        <v>0</v>
      </c>
      <c r="AD295" s="3"/>
      <c r="AE295" s="3"/>
      <c r="AF295" s="9" t="str">
        <f t="shared" si="379"/>
        <v>S/R Sin Respuesta</v>
      </c>
      <c r="AG295" s="72">
        <f t="shared" si="380"/>
        <v>0</v>
      </c>
      <c r="AH295" s="72">
        <f t="shared" si="381"/>
        <v>0</v>
      </c>
      <c r="AI295" s="73">
        <f t="shared" si="382"/>
        <v>0</v>
      </c>
      <c r="AJ295" s="73"/>
      <c r="AK295" s="76">
        <f t="shared" si="383"/>
        <v>0</v>
      </c>
      <c r="AL295" s="76">
        <f t="shared" si="384"/>
        <v>0</v>
      </c>
      <c r="AM295" s="76">
        <f t="shared" si="385"/>
        <v>0</v>
      </c>
      <c r="AN295" s="76"/>
      <c r="AO295" s="81">
        <f t="shared" si="386"/>
        <v>0</v>
      </c>
      <c r="AP295" s="81">
        <f t="shared" si="387"/>
        <v>0</v>
      </c>
      <c r="AQ295" s="81">
        <f t="shared" si="388"/>
        <v>0</v>
      </c>
      <c r="AR295" s="3"/>
      <c r="AS295" s="76">
        <f t="shared" si="369"/>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x14ac:dyDescent="0.3">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64.285714285714292</v>
      </c>
      <c r="AH296" s="82">
        <f>($F290*K290+$F291*K291+$F292*K292+$F293*K293+$F294*K294)/(K290+K291+K292+K293+K294)</f>
        <v>68.75</v>
      </c>
      <c r="AI296" s="82">
        <f>($F290*G290+$F291*G291+$F292*G292+$F293*G293+$F294*G294)/(G290+G291+G292+G293+G294)</f>
        <v>65.909090909090907</v>
      </c>
      <c r="AJ296" s="82"/>
      <c r="AK296" s="82">
        <f>($F290*Q290+$F291*Q291+$F292*Q292+$F293*Q293+$F294*Q294)/(Q290+Q291+Q292+Q293+Q294)</f>
        <v>53.571428571428569</v>
      </c>
      <c r="AL296" s="82">
        <f>($F290*S290+$F291*S291+$F292*S292+$F293*S293+$F294*S294)/(S290+S291+S292+S293+S294)</f>
        <v>69.230769230769241</v>
      </c>
      <c r="AM296" s="82">
        <f>($F290*O290+$F291*O291+$F292*O292+$F293*O293+$F294*O294)/(O290+O291+O292+O293+O294)</f>
        <v>63.750000000000007</v>
      </c>
      <c r="AN296" s="82"/>
      <c r="AO296" s="82">
        <f>($F290*W290+$F291*W291+$F292*W292+$F293*W293+$F294*W294)/(W290+W291+W292+W293+W294)</f>
        <v>45</v>
      </c>
      <c r="AP296" s="82">
        <f>($F290*Y290+$F291*Y291+$F292*Y292+$F293*Y293+$F294*Y294)/(Y290+Y291+Y292+Y293+Y294)</f>
        <v>53.571428571428569</v>
      </c>
      <c r="AQ296" s="82">
        <f>($F290*U290+$F291*U291+$F292*U292+$F293*U293+$F294*U294)/(U290+U291+U292+U293+U294)</f>
        <v>51.315789473684212</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x14ac:dyDescent="0.3">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x14ac:dyDescent="0.3">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x14ac:dyDescent="0.3">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x14ac:dyDescent="0.3">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x14ac:dyDescent="0.3">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x14ac:dyDescent="0.3">
      <c r="A305" s="8" t="s">
        <v>17</v>
      </c>
      <c r="B305" s="9" t="s">
        <v>229</v>
      </c>
      <c r="C305" s="7"/>
      <c r="D305" s="7"/>
      <c r="E305" s="7"/>
      <c r="F305" s="71">
        <v>100</v>
      </c>
      <c r="G305" s="51">
        <f t="shared" ref="G305:G310" si="397">I305+K305</f>
        <v>9</v>
      </c>
      <c r="H305" s="52">
        <f t="shared" ref="H305:H310" si="398">G305/$J$5*100</f>
        <v>39.130434782608695</v>
      </c>
      <c r="I305" s="53">
        <f>COUNTIFS('00 Encuesta'!$B$2:$B$511,"*d)*",'00 Encuesta'!$C$2:$C$511,"*a)*",'00 Encuesta'!$E$2:$E$511,"*a)*",'00 Encuesta'!$AM$2:$AM$511,"*a)*")</f>
        <v>5</v>
      </c>
      <c r="J305" s="52">
        <f t="shared" ref="J305:J310" si="399">I305/$J$6*100</f>
        <v>35.714285714285715</v>
      </c>
      <c r="K305" s="53">
        <f>COUNTIFS('00 Encuesta'!$B$2:$B$511,"*d)*",'00 Encuesta'!$C$2:$C$511,"*a)*",'00 Encuesta'!$E$2:$E$511,"*b)*",'00 Encuesta'!$AM$2:$AM$511,"*a)*")</f>
        <v>4</v>
      </c>
      <c r="L305" s="52">
        <f t="shared" ref="L305:L310" si="400">K305/$J$7*100</f>
        <v>44.444444444444443</v>
      </c>
      <c r="M305" s="23"/>
      <c r="N305" s="51">
        <f t="shared" ref="N305:N310" si="401">P305+R305</f>
        <v>3</v>
      </c>
      <c r="O305" s="52">
        <f t="shared" ref="O305:O310" si="402">N305/$Q$5*100</f>
        <v>15</v>
      </c>
      <c r="P305" s="53">
        <f>COUNTIFS('00 Encuesta'!$B$2:$B$511,"*d)*",'00 Encuesta'!$C$2:$C$511,"*b)*",'00 Encuesta'!$E$2:$E$511,"*a)*",'00 Encuesta'!$AM$2:$AM$511,"*a)*")</f>
        <v>0</v>
      </c>
      <c r="Q305" s="52">
        <f t="shared" ref="Q305:Q310" si="403">P305/$Q$6*100</f>
        <v>0</v>
      </c>
      <c r="R305" s="53">
        <f>COUNTIFS('00 Encuesta'!$B$2:$B$511,"*d)*",'00 Encuesta'!$C$2:$C$511,"*b)*",'00 Encuesta'!$E$2:$E$511,"*b)*",'00 Encuesta'!$AM$2:$AM$511,"*a)*")</f>
        <v>3</v>
      </c>
      <c r="S305" s="52">
        <f t="shared" ref="S305:S310" si="404">R305/$Q$7*100</f>
        <v>23.076923076923077</v>
      </c>
      <c r="T305" s="3"/>
      <c r="U305" s="51">
        <f t="shared" ref="U305:U310" si="405">W305+Y305</f>
        <v>2</v>
      </c>
      <c r="V305" s="52">
        <f t="shared" ref="V305:V310" si="406">U305/$X$5*100</f>
        <v>10</v>
      </c>
      <c r="W305" s="53">
        <f>COUNTIFS('00 Encuesta'!$B$2:$B$511,"*d)*",'00 Encuesta'!$C$2:$C$511,"*c)*",'00 Encuesta'!$E$2:$E$511,"*a)*",'00 Encuesta'!$AM$2:$AM$511,"*a)*")</f>
        <v>0</v>
      </c>
      <c r="X305" s="52">
        <f t="shared" ref="X305:X310" si="407">W305/$X$6*100</f>
        <v>0</v>
      </c>
      <c r="Y305" s="53">
        <f>COUNTIFS('00 Encuesta'!$B$2:$B$511,"*d)*",'00 Encuesta'!$C$2:$C$511,"*c)*",'00 Encuesta'!$E$2:$E$511,"*b)*",'00 Encuesta'!$AM$2:$AM$511,"*a)*")</f>
        <v>2</v>
      </c>
      <c r="Z305" s="52">
        <f t="shared" ref="Z305:Z310" si="408">Y305/$X$7*100</f>
        <v>13.333333333333334</v>
      </c>
      <c r="AA305" s="3"/>
      <c r="AB305" s="62">
        <f t="shared" ref="AB305:AB310" si="409">G305+N305+U305</f>
        <v>14</v>
      </c>
      <c r="AC305" s="52">
        <f t="shared" ref="AC305:AC310" si="410">AB305*100/$AC$5</f>
        <v>22.222222222222221</v>
      </c>
      <c r="AD305" s="3"/>
      <c r="AE305" s="3"/>
      <c r="AF305" s="9" t="str">
        <f t="shared" ref="AF305:AF310" si="411">A305&amp;" "&amp;B305</f>
        <v>a) Muy buena</v>
      </c>
      <c r="AG305" s="72">
        <f t="shared" ref="AG305:AG310" si="412">J305</f>
        <v>35.714285714285715</v>
      </c>
      <c r="AH305" s="72">
        <f t="shared" ref="AH305:AH310" si="413">L305</f>
        <v>44.444444444444443</v>
      </c>
      <c r="AI305" s="73">
        <f t="shared" ref="AI305:AI310" si="414">H305</f>
        <v>39.130434782608695</v>
      </c>
      <c r="AJ305" s="73"/>
      <c r="AK305" s="76">
        <f t="shared" ref="AK305:AK310" si="415">Q305</f>
        <v>0</v>
      </c>
      <c r="AL305" s="76">
        <f t="shared" ref="AL305:AL310" si="416">S305</f>
        <v>23.076923076923077</v>
      </c>
      <c r="AM305" s="76">
        <f t="shared" ref="AM305:AM310" si="417">O305</f>
        <v>15</v>
      </c>
      <c r="AN305" s="76"/>
      <c r="AO305" s="81">
        <f t="shared" ref="AO305:AO310" si="418">X305</f>
        <v>0</v>
      </c>
      <c r="AP305" s="81">
        <f t="shared" ref="AP305:AP310" si="419">Z305</f>
        <v>13.333333333333334</v>
      </c>
      <c r="AQ305" s="81">
        <f t="shared" ref="AQ305:AQ310" si="420">V305</f>
        <v>10</v>
      </c>
      <c r="AR305" s="3"/>
      <c r="AS305" s="76">
        <f t="shared" si="369"/>
        <v>22.222222222222221</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x14ac:dyDescent="0.3">
      <c r="A306" s="8" t="s">
        <v>18</v>
      </c>
      <c r="B306" s="9" t="s">
        <v>230</v>
      </c>
      <c r="C306" s="7"/>
      <c r="D306" s="7"/>
      <c r="E306" s="7"/>
      <c r="F306" s="71">
        <v>75</v>
      </c>
      <c r="G306" s="51">
        <f t="shared" si="397"/>
        <v>7</v>
      </c>
      <c r="H306" s="52">
        <f t="shared" si="398"/>
        <v>30.434782608695656</v>
      </c>
      <c r="I306" s="53">
        <f>COUNTIFS('00 Encuesta'!$B$2:$B$511,"*d)*",'00 Encuesta'!$C$2:$C$511,"*a)*",'00 Encuesta'!$E$2:$E$511,"*a)*",'00 Encuesta'!$AM$2:$AM$511,"*b)*")</f>
        <v>3</v>
      </c>
      <c r="J306" s="52">
        <f t="shared" si="399"/>
        <v>21.428571428571427</v>
      </c>
      <c r="K306" s="53">
        <f>COUNTIFS('00 Encuesta'!$B$2:$B$511,"*d)*",'00 Encuesta'!$C$2:$C$511,"*a)*",'00 Encuesta'!$E$2:$E$511,"*b)*",'00 Encuesta'!$AM$2:$AM$511,"*b)*")</f>
        <v>4</v>
      </c>
      <c r="L306" s="52">
        <f t="shared" si="400"/>
        <v>44.444444444444443</v>
      </c>
      <c r="M306" s="23"/>
      <c r="N306" s="51">
        <f t="shared" si="401"/>
        <v>6</v>
      </c>
      <c r="O306" s="52">
        <f t="shared" si="402"/>
        <v>30</v>
      </c>
      <c r="P306" s="53">
        <f>COUNTIFS('00 Encuesta'!$B$2:$B$511,"*d)*",'00 Encuesta'!$C$2:$C$511,"*b)*",'00 Encuesta'!$E$2:$E$511,"*a)*",'00 Encuesta'!$AM$2:$AM$511,"*b)*")</f>
        <v>2</v>
      </c>
      <c r="Q306" s="52">
        <f t="shared" si="403"/>
        <v>28.571428571428569</v>
      </c>
      <c r="R306" s="53">
        <f>COUNTIFS('00 Encuesta'!$B$2:$B$511,"*d)*",'00 Encuesta'!$C$2:$C$511,"*b)*",'00 Encuesta'!$E$2:$E$511,"*b)*",'00 Encuesta'!$AM$2:$AM$511,"*b)*")</f>
        <v>4</v>
      </c>
      <c r="S306" s="52">
        <f t="shared" si="404"/>
        <v>30.76923076923077</v>
      </c>
      <c r="T306" s="3"/>
      <c r="U306" s="51">
        <f t="shared" si="405"/>
        <v>8</v>
      </c>
      <c r="V306" s="52">
        <f t="shared" si="406"/>
        <v>40</v>
      </c>
      <c r="W306" s="53">
        <f>COUNTIFS('00 Encuesta'!$B$2:$B$511,"*d)*",'00 Encuesta'!$C$2:$C$511,"*c)*",'00 Encuesta'!$E$2:$E$511,"*a)*",'00 Encuesta'!$AM$2:$AM$511,"*b)*")</f>
        <v>2</v>
      </c>
      <c r="X306" s="52">
        <f t="shared" si="407"/>
        <v>40</v>
      </c>
      <c r="Y306" s="53">
        <f>COUNTIFS('00 Encuesta'!$B$2:$B$511,"*d)*",'00 Encuesta'!$C$2:$C$511,"*c)*",'00 Encuesta'!$E$2:$E$511,"*b)*",'00 Encuesta'!$AM$2:$AM$511,"*b)*")</f>
        <v>6</v>
      </c>
      <c r="Z306" s="52">
        <f t="shared" si="408"/>
        <v>40</v>
      </c>
      <c r="AA306" s="3"/>
      <c r="AB306" s="62">
        <f t="shared" si="409"/>
        <v>21</v>
      </c>
      <c r="AC306" s="52">
        <f t="shared" si="410"/>
        <v>33.333333333333336</v>
      </c>
      <c r="AD306" s="3"/>
      <c r="AE306" s="3"/>
      <c r="AF306" s="9" t="str">
        <f t="shared" si="411"/>
        <v>b) Buena</v>
      </c>
      <c r="AG306" s="72">
        <f t="shared" si="412"/>
        <v>21.428571428571427</v>
      </c>
      <c r="AH306" s="72">
        <f t="shared" si="413"/>
        <v>44.444444444444443</v>
      </c>
      <c r="AI306" s="73">
        <f t="shared" si="414"/>
        <v>30.434782608695656</v>
      </c>
      <c r="AJ306" s="73"/>
      <c r="AK306" s="76">
        <f t="shared" si="415"/>
        <v>28.571428571428569</v>
      </c>
      <c r="AL306" s="76">
        <f t="shared" si="416"/>
        <v>30.76923076923077</v>
      </c>
      <c r="AM306" s="76">
        <f t="shared" si="417"/>
        <v>30</v>
      </c>
      <c r="AN306" s="76"/>
      <c r="AO306" s="81">
        <f t="shared" si="418"/>
        <v>40</v>
      </c>
      <c r="AP306" s="81">
        <f t="shared" si="419"/>
        <v>40</v>
      </c>
      <c r="AQ306" s="81">
        <f t="shared" si="420"/>
        <v>40</v>
      </c>
      <c r="AR306" s="3"/>
      <c r="AS306" s="76">
        <f t="shared" si="369"/>
        <v>33.333333333333336</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x14ac:dyDescent="0.3">
      <c r="A307" s="8" t="s">
        <v>20</v>
      </c>
      <c r="B307" s="9" t="s">
        <v>218</v>
      </c>
      <c r="C307" s="7"/>
      <c r="D307" s="7"/>
      <c r="E307" s="7"/>
      <c r="F307" s="71">
        <v>50</v>
      </c>
      <c r="G307" s="51">
        <f t="shared" si="397"/>
        <v>5</v>
      </c>
      <c r="H307" s="52">
        <f t="shared" si="398"/>
        <v>21.739130434782609</v>
      </c>
      <c r="I307" s="53">
        <f>COUNTIFS('00 Encuesta'!$B$2:$B$511,"*d)*",'00 Encuesta'!$C$2:$C$511,"*a)*",'00 Encuesta'!$E$2:$E$511,"*a)*",'00 Encuesta'!$AM$2:$AM$511,"*c)*")</f>
        <v>4</v>
      </c>
      <c r="J307" s="52">
        <f t="shared" si="399"/>
        <v>28.571428571428569</v>
      </c>
      <c r="K307" s="53">
        <f>COUNTIFS('00 Encuesta'!$B$2:$B$511,"*d)*",'00 Encuesta'!$C$2:$C$511,"*a)*",'00 Encuesta'!$E$2:$E$511,"*b)*",'00 Encuesta'!$AM$2:$AM$511,"*c)*")</f>
        <v>1</v>
      </c>
      <c r="L307" s="52">
        <f t="shared" si="400"/>
        <v>11.111111111111111</v>
      </c>
      <c r="M307" s="23"/>
      <c r="N307" s="51">
        <f t="shared" si="401"/>
        <v>7</v>
      </c>
      <c r="O307" s="52">
        <f t="shared" si="402"/>
        <v>35</v>
      </c>
      <c r="P307" s="53">
        <f>COUNTIFS('00 Encuesta'!$B$2:$B$511,"*d)*",'00 Encuesta'!$C$2:$C$511,"*b)*",'00 Encuesta'!$E$2:$E$511,"*a)*",'00 Encuesta'!$AM$2:$AM$511,"*c)*")</f>
        <v>2</v>
      </c>
      <c r="Q307" s="52">
        <f t="shared" si="403"/>
        <v>28.571428571428569</v>
      </c>
      <c r="R307" s="53">
        <f>COUNTIFS('00 Encuesta'!$B$2:$B$511,"*d)*",'00 Encuesta'!$C$2:$C$511,"*b)*",'00 Encuesta'!$E$2:$E$511,"*b)*",'00 Encuesta'!$AM$2:$AM$511,"*c)*")</f>
        <v>5</v>
      </c>
      <c r="S307" s="52">
        <f t="shared" si="404"/>
        <v>38.461538461538467</v>
      </c>
      <c r="T307" s="3"/>
      <c r="U307" s="51">
        <f t="shared" si="405"/>
        <v>6</v>
      </c>
      <c r="V307" s="52">
        <f t="shared" si="406"/>
        <v>30</v>
      </c>
      <c r="W307" s="53">
        <f>COUNTIFS('00 Encuesta'!$B$2:$B$511,"*d)*",'00 Encuesta'!$C$2:$C$511,"*c)*",'00 Encuesta'!$E$2:$E$511,"*a)*",'00 Encuesta'!$AM$2:$AM$511,"*c)*")</f>
        <v>2</v>
      </c>
      <c r="X307" s="52">
        <f t="shared" si="407"/>
        <v>40</v>
      </c>
      <c r="Y307" s="53">
        <f>COUNTIFS('00 Encuesta'!$B$2:$B$511,"*d)*",'00 Encuesta'!$C$2:$C$511,"*c)*",'00 Encuesta'!$E$2:$E$511,"*b)*",'00 Encuesta'!$AM$2:$AM$511,"*c)*")</f>
        <v>4</v>
      </c>
      <c r="Z307" s="52">
        <f t="shared" si="408"/>
        <v>26.666666666666668</v>
      </c>
      <c r="AA307" s="3"/>
      <c r="AB307" s="62">
        <f t="shared" si="409"/>
        <v>18</v>
      </c>
      <c r="AC307" s="52">
        <f t="shared" si="410"/>
        <v>28.571428571428573</v>
      </c>
      <c r="AD307" s="3"/>
      <c r="AE307" s="3"/>
      <c r="AF307" s="9" t="str">
        <f t="shared" si="411"/>
        <v>c) Regular</v>
      </c>
      <c r="AG307" s="72">
        <f t="shared" si="412"/>
        <v>28.571428571428569</v>
      </c>
      <c r="AH307" s="72">
        <f t="shared" si="413"/>
        <v>11.111111111111111</v>
      </c>
      <c r="AI307" s="73">
        <f t="shared" si="414"/>
        <v>21.739130434782609</v>
      </c>
      <c r="AJ307" s="73"/>
      <c r="AK307" s="76">
        <f t="shared" si="415"/>
        <v>28.571428571428569</v>
      </c>
      <c r="AL307" s="76">
        <f t="shared" si="416"/>
        <v>38.461538461538467</v>
      </c>
      <c r="AM307" s="76">
        <f t="shared" si="417"/>
        <v>35</v>
      </c>
      <c r="AN307" s="76"/>
      <c r="AO307" s="81">
        <f t="shared" si="418"/>
        <v>40</v>
      </c>
      <c r="AP307" s="81">
        <f t="shared" si="419"/>
        <v>26.666666666666668</v>
      </c>
      <c r="AQ307" s="81">
        <f t="shared" si="420"/>
        <v>30</v>
      </c>
      <c r="AR307" s="3"/>
      <c r="AS307" s="76">
        <f t="shared" si="369"/>
        <v>28.571428571428573</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x14ac:dyDescent="0.3">
      <c r="A308" s="8" t="s">
        <v>21</v>
      </c>
      <c r="B308" s="9" t="s">
        <v>231</v>
      </c>
      <c r="C308" s="7"/>
      <c r="D308" s="7"/>
      <c r="E308" s="7"/>
      <c r="F308" s="71">
        <v>25</v>
      </c>
      <c r="G308" s="51">
        <f t="shared" si="397"/>
        <v>0</v>
      </c>
      <c r="H308" s="52">
        <f t="shared" si="398"/>
        <v>0</v>
      </c>
      <c r="I308" s="53">
        <f>COUNTIFS('00 Encuesta'!$B$2:$B$511,"*d)*",'00 Encuesta'!$C$2:$C$511,"*a)*",'00 Encuesta'!$E$2:$E$511,"*a)*",'00 Encuesta'!$AM$2:$AM$511,"*d)*")</f>
        <v>0</v>
      </c>
      <c r="J308" s="52">
        <f t="shared" si="399"/>
        <v>0</v>
      </c>
      <c r="K308" s="53">
        <f>COUNTIFS('00 Encuesta'!$B$2:$B$511,"*d)*",'00 Encuesta'!$C$2:$C$511,"*a)*",'00 Encuesta'!$E$2:$E$511,"*b)*",'00 Encuesta'!$AM$2:$AM$511,"*d)*")</f>
        <v>0</v>
      </c>
      <c r="L308" s="52">
        <f t="shared" si="400"/>
        <v>0</v>
      </c>
      <c r="M308" s="23"/>
      <c r="N308" s="51">
        <f t="shared" si="401"/>
        <v>1</v>
      </c>
      <c r="O308" s="52">
        <f t="shared" si="402"/>
        <v>5</v>
      </c>
      <c r="P308" s="53">
        <f>COUNTIFS('00 Encuesta'!$B$2:$B$511,"*d)*",'00 Encuesta'!$C$2:$C$511,"*b)*",'00 Encuesta'!$E$2:$E$511,"*a)*",'00 Encuesta'!$AM$2:$AM$511,"*d)*")</f>
        <v>1</v>
      </c>
      <c r="Q308" s="52">
        <f t="shared" si="403"/>
        <v>14.285714285714285</v>
      </c>
      <c r="R308" s="53">
        <f>COUNTIFS('00 Encuesta'!$B$2:$B$511,"*d)*",'00 Encuesta'!$C$2:$C$511,"*b)*",'00 Encuesta'!$E$2:$E$511,"*b)*",'00 Encuesta'!$AM$2:$AM$511,"*d)*")</f>
        <v>0</v>
      </c>
      <c r="S308" s="52">
        <f t="shared" si="404"/>
        <v>0</v>
      </c>
      <c r="T308" s="3"/>
      <c r="U308" s="51">
        <f t="shared" si="405"/>
        <v>1</v>
      </c>
      <c r="V308" s="52">
        <f t="shared" si="406"/>
        <v>5</v>
      </c>
      <c r="W308" s="53">
        <f>COUNTIFS('00 Encuesta'!$B$2:$B$511,"*d)*",'00 Encuesta'!$C$2:$C$511,"*c)*",'00 Encuesta'!$E$2:$E$511,"*a)*",'00 Encuesta'!$AM$2:$AM$511,"*d)*")</f>
        <v>0</v>
      </c>
      <c r="X308" s="52">
        <f t="shared" si="407"/>
        <v>0</v>
      </c>
      <c r="Y308" s="53">
        <f>COUNTIFS('00 Encuesta'!$B$2:$B$511,"*d)*",'00 Encuesta'!$C$2:$C$511,"*c)*",'00 Encuesta'!$E$2:$E$511,"*b)*",'00 Encuesta'!$AM$2:$AM$511,"*d)*")</f>
        <v>1</v>
      </c>
      <c r="Z308" s="52">
        <f t="shared" si="408"/>
        <v>6.666666666666667</v>
      </c>
      <c r="AA308" s="3"/>
      <c r="AB308" s="62">
        <f t="shared" si="409"/>
        <v>2</v>
      </c>
      <c r="AC308" s="52">
        <f t="shared" si="410"/>
        <v>3.1746031746031744</v>
      </c>
      <c r="AD308" s="3"/>
      <c r="AE308" s="3"/>
      <c r="AF308" s="9" t="str">
        <f t="shared" si="411"/>
        <v>d) Mala</v>
      </c>
      <c r="AG308" s="72">
        <f t="shared" si="412"/>
        <v>0</v>
      </c>
      <c r="AH308" s="72">
        <f t="shared" si="413"/>
        <v>0</v>
      </c>
      <c r="AI308" s="73">
        <f t="shared" si="414"/>
        <v>0</v>
      </c>
      <c r="AJ308" s="73"/>
      <c r="AK308" s="76">
        <f t="shared" si="415"/>
        <v>14.285714285714285</v>
      </c>
      <c r="AL308" s="76">
        <f t="shared" si="416"/>
        <v>0</v>
      </c>
      <c r="AM308" s="76">
        <f t="shared" si="417"/>
        <v>5</v>
      </c>
      <c r="AN308" s="76"/>
      <c r="AO308" s="81">
        <f t="shared" si="418"/>
        <v>0</v>
      </c>
      <c r="AP308" s="81">
        <f t="shared" si="419"/>
        <v>6.666666666666667</v>
      </c>
      <c r="AQ308" s="81">
        <f t="shared" si="420"/>
        <v>5</v>
      </c>
      <c r="AR308" s="3"/>
      <c r="AS308" s="76">
        <f t="shared" si="369"/>
        <v>3.1746031746031744</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x14ac:dyDescent="0.3">
      <c r="A309" s="8" t="s">
        <v>22</v>
      </c>
      <c r="B309" s="9" t="s">
        <v>232</v>
      </c>
      <c r="C309" s="7"/>
      <c r="D309" s="7"/>
      <c r="E309" s="7"/>
      <c r="F309" s="71">
        <v>0</v>
      </c>
      <c r="G309" s="51">
        <f t="shared" si="397"/>
        <v>2</v>
      </c>
      <c r="H309" s="52">
        <f t="shared" si="398"/>
        <v>8.695652173913043</v>
      </c>
      <c r="I309" s="53">
        <f>COUNTIFS('00 Encuesta'!$B$2:$B$511,"*d)*",'00 Encuesta'!$C$2:$C$511,"*a)*",'00 Encuesta'!$E$2:$E$511,"*a)*",'00 Encuesta'!$AM$2:$AM$511,"*e)*")</f>
        <v>2</v>
      </c>
      <c r="J309" s="52">
        <f t="shared" si="399"/>
        <v>14.285714285714285</v>
      </c>
      <c r="K309" s="53">
        <f>COUNTIFS('00 Encuesta'!$B$2:$B$511,"*d)*",'00 Encuesta'!$C$2:$C$511,"*a)*",'00 Encuesta'!$E$2:$E$511,"*b)*",'00 Encuesta'!$AM$2:$AM$511,"*e)*")</f>
        <v>0</v>
      </c>
      <c r="L309" s="52">
        <f t="shared" si="400"/>
        <v>0</v>
      </c>
      <c r="M309" s="23"/>
      <c r="N309" s="51">
        <f t="shared" si="401"/>
        <v>2</v>
      </c>
      <c r="O309" s="52">
        <f t="shared" si="402"/>
        <v>10</v>
      </c>
      <c r="P309" s="53">
        <f>COUNTIFS('00 Encuesta'!$B$2:$B$511,"*d)*",'00 Encuesta'!$C$2:$C$511,"*b)*",'00 Encuesta'!$E$2:$E$511,"*a)*",'00 Encuesta'!$AM$2:$AM$511,"*e)*")</f>
        <v>1</v>
      </c>
      <c r="Q309" s="52">
        <f t="shared" si="403"/>
        <v>14.285714285714285</v>
      </c>
      <c r="R309" s="53">
        <f>COUNTIFS('00 Encuesta'!$B$2:$B$511,"*d)*",'00 Encuesta'!$C$2:$C$511,"*b)*",'00 Encuesta'!$E$2:$E$511,"*b)*",'00 Encuesta'!$AM$2:$AM$511,"*e)*")</f>
        <v>1</v>
      </c>
      <c r="S309" s="52">
        <f t="shared" si="404"/>
        <v>7.6923076923076925</v>
      </c>
      <c r="T309" s="3"/>
      <c r="U309" s="51">
        <f t="shared" si="405"/>
        <v>2</v>
      </c>
      <c r="V309" s="52">
        <f t="shared" si="406"/>
        <v>10</v>
      </c>
      <c r="W309" s="53">
        <f>COUNTIFS('00 Encuesta'!$B$2:$B$511,"*d)*",'00 Encuesta'!$C$2:$C$511,"*c)*",'00 Encuesta'!$E$2:$E$511,"*a)*",'00 Encuesta'!$AM$2:$AM$511,"*e)*")</f>
        <v>0</v>
      </c>
      <c r="X309" s="52">
        <f t="shared" si="407"/>
        <v>0</v>
      </c>
      <c r="Y309" s="53">
        <f>COUNTIFS('00 Encuesta'!$B$2:$B$511,"*d)*",'00 Encuesta'!$C$2:$C$511,"*c)*",'00 Encuesta'!$E$2:$E$511,"*b)*",'00 Encuesta'!$AM$2:$AM$511,"*e)*")</f>
        <v>2</v>
      </c>
      <c r="Z309" s="52">
        <f t="shared" si="408"/>
        <v>13.333333333333334</v>
      </c>
      <c r="AA309" s="3"/>
      <c r="AB309" s="62">
        <f t="shared" si="409"/>
        <v>6</v>
      </c>
      <c r="AC309" s="52">
        <f t="shared" si="410"/>
        <v>9.5238095238095237</v>
      </c>
      <c r="AD309" s="3"/>
      <c r="AE309" s="3"/>
      <c r="AF309" s="9" t="str">
        <f t="shared" si="411"/>
        <v>e) Muy mala</v>
      </c>
      <c r="AG309" s="72">
        <f t="shared" si="412"/>
        <v>14.285714285714285</v>
      </c>
      <c r="AH309" s="72">
        <f t="shared" si="413"/>
        <v>0</v>
      </c>
      <c r="AI309" s="73">
        <f t="shared" si="414"/>
        <v>8.695652173913043</v>
      </c>
      <c r="AJ309" s="73"/>
      <c r="AK309" s="76">
        <f t="shared" si="415"/>
        <v>14.285714285714285</v>
      </c>
      <c r="AL309" s="76">
        <f t="shared" si="416"/>
        <v>7.6923076923076925</v>
      </c>
      <c r="AM309" s="76">
        <f t="shared" si="417"/>
        <v>10</v>
      </c>
      <c r="AN309" s="76"/>
      <c r="AO309" s="81">
        <f t="shared" si="418"/>
        <v>0</v>
      </c>
      <c r="AP309" s="81">
        <f t="shared" si="419"/>
        <v>13.333333333333334</v>
      </c>
      <c r="AQ309" s="81">
        <f t="shared" si="420"/>
        <v>10</v>
      </c>
      <c r="AR309" s="3"/>
      <c r="AS309" s="76">
        <f t="shared" si="369"/>
        <v>9.5238095238095237</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x14ac:dyDescent="0.3">
      <c r="A310" s="8" t="s">
        <v>45</v>
      </c>
      <c r="B310" s="9" t="s">
        <v>233</v>
      </c>
      <c r="C310" s="7"/>
      <c r="D310" s="7"/>
      <c r="E310" s="7"/>
      <c r="F310" s="71"/>
      <c r="G310" s="51">
        <f t="shared" si="397"/>
        <v>0</v>
      </c>
      <c r="H310" s="52">
        <f t="shared" si="398"/>
        <v>0</v>
      </c>
      <c r="I310" s="53">
        <f>COUNTIFS('00 Encuesta'!$B$2:$B$511,"*d)*",'00 Encuesta'!$C$2:$C$511,"*a)*",'00 Encuesta'!$E$2:$E$511,"*a)*",'00 Encuesta'!$AM$2:$AM$511,"*f)*")</f>
        <v>0</v>
      </c>
      <c r="J310" s="52">
        <f t="shared" si="399"/>
        <v>0</v>
      </c>
      <c r="K310" s="53">
        <f>COUNTIFS('00 Encuesta'!$B$2:$B$511,"*d)*",'00 Encuesta'!$C$2:$C$511,"*a)*",'00 Encuesta'!$E$2:$E$511,"*b)*",'00 Encuesta'!$AM$2:$AM$511,"*f)*")</f>
        <v>0</v>
      </c>
      <c r="L310" s="52">
        <f t="shared" si="400"/>
        <v>0</v>
      </c>
      <c r="M310" s="23"/>
      <c r="N310" s="51">
        <f t="shared" si="401"/>
        <v>1</v>
      </c>
      <c r="O310" s="52">
        <f t="shared" si="402"/>
        <v>5</v>
      </c>
      <c r="P310" s="53">
        <f>COUNTIFS('00 Encuesta'!$B$2:$B$511,"*d)*",'00 Encuesta'!$C$2:$C$511,"*b)*",'00 Encuesta'!$E$2:$E$511,"*a)*",'00 Encuesta'!$AM$2:$AM$511,"*f)*")</f>
        <v>1</v>
      </c>
      <c r="Q310" s="52">
        <f t="shared" si="403"/>
        <v>14.285714285714285</v>
      </c>
      <c r="R310" s="53">
        <f>COUNTIFS('00 Encuesta'!$B$2:$B$511,"*d)*",'00 Encuesta'!$C$2:$C$511,"*b)*",'00 Encuesta'!$E$2:$E$511,"*b)*",'00 Encuesta'!$AM$2:$AM$511,"*f)*")</f>
        <v>0</v>
      </c>
      <c r="S310" s="52">
        <f t="shared" si="404"/>
        <v>0</v>
      </c>
      <c r="T310" s="3"/>
      <c r="U310" s="51">
        <f t="shared" si="405"/>
        <v>1</v>
      </c>
      <c r="V310" s="52">
        <f t="shared" si="406"/>
        <v>5</v>
      </c>
      <c r="W310" s="53">
        <f>COUNTIFS('00 Encuesta'!$B$2:$B$511,"*d)*",'00 Encuesta'!$C$2:$C$511,"*c)*",'00 Encuesta'!$E$2:$E$511,"*a)*",'00 Encuesta'!$AM$2:$AM$511,"*f)*")</f>
        <v>1</v>
      </c>
      <c r="X310" s="52">
        <f t="shared" si="407"/>
        <v>20</v>
      </c>
      <c r="Y310" s="53">
        <f>COUNTIFS('00 Encuesta'!$B$2:$B$511,"*d)*",'00 Encuesta'!$C$2:$C$511,"*c)*",'00 Encuesta'!$E$2:$E$511,"*b)*",'00 Encuesta'!$AM$2:$AM$511,"*f)*")</f>
        <v>0</v>
      </c>
      <c r="Z310" s="52">
        <f t="shared" si="408"/>
        <v>0</v>
      </c>
      <c r="AA310" s="3"/>
      <c r="AB310" s="62">
        <f t="shared" si="409"/>
        <v>2</v>
      </c>
      <c r="AC310" s="52">
        <f t="shared" si="410"/>
        <v>3.1746031746031744</v>
      </c>
      <c r="AD310" s="3"/>
      <c r="AE310" s="3"/>
      <c r="AF310" s="9" t="str">
        <f t="shared" si="411"/>
        <v>f) No aplica</v>
      </c>
      <c r="AG310" s="72">
        <f t="shared" si="412"/>
        <v>0</v>
      </c>
      <c r="AH310" s="72">
        <f t="shared" si="413"/>
        <v>0</v>
      </c>
      <c r="AI310" s="73">
        <f t="shared" si="414"/>
        <v>0</v>
      </c>
      <c r="AJ310" s="73"/>
      <c r="AK310" s="76">
        <f t="shared" si="415"/>
        <v>14.285714285714285</v>
      </c>
      <c r="AL310" s="76">
        <f t="shared" si="416"/>
        <v>0</v>
      </c>
      <c r="AM310" s="76">
        <f t="shared" si="417"/>
        <v>5</v>
      </c>
      <c r="AN310" s="76"/>
      <c r="AO310" s="81">
        <f t="shared" si="418"/>
        <v>20</v>
      </c>
      <c r="AP310" s="81">
        <f t="shared" si="419"/>
        <v>0</v>
      </c>
      <c r="AQ310" s="81">
        <f t="shared" si="420"/>
        <v>5</v>
      </c>
      <c r="AR310" s="3"/>
      <c r="AS310" s="76">
        <f t="shared" si="369"/>
        <v>3.1746031746031744</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x14ac:dyDescent="0.3">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66.071428571428569</v>
      </c>
      <c r="AH311" s="82">
        <f>($F305*K305+$F306*K306+$F307*K307+$F308*K308+$F309*K309)/(K305+K306+K307+K308+K309)</f>
        <v>83.333333333333329</v>
      </c>
      <c r="AI311" s="82">
        <f>($F305*G305+$F306*G306+$F307*G307+$F308*G308+$F309*G309)/(G305+G306+G307+G308+G309)</f>
        <v>72.826086956521735</v>
      </c>
      <c r="AJ311" s="82"/>
      <c r="AK311" s="82">
        <f>($F305*Q305+$F306*Q306+$F307*Q307+$F308*Q308+$F309*Q309)/(Q305+Q306+Q307+Q308+Q309)</f>
        <v>45.833333333333343</v>
      </c>
      <c r="AL311" s="82">
        <f>($F305*S305+$F306*S306+$F307*S307+$F308*S308+$F309*S309)/(S305+S306+S307+S308+S309)</f>
        <v>65.384615384615387</v>
      </c>
      <c r="AM311" s="82">
        <f>($F305*O305+$F306*O306+$F307*O307+$F308*O308+$F309*O309)/(O305+O306+O307+O308+O309)</f>
        <v>59.210526315789473</v>
      </c>
      <c r="AN311" s="82"/>
      <c r="AO311" s="82">
        <f>($F305*W305+$F306*W306+$F307*W307+$F308*W308+$F309*W309)/(W305+W306+W307+W308+W309)</f>
        <v>62.5</v>
      </c>
      <c r="AP311" s="82">
        <f>($F305*Y305+$F306*Y306+$F307*Y307+$F308*Y308+$F309*Y309)/(Y305+Y306+Y307+Y308+Y309)</f>
        <v>58.333333333333336</v>
      </c>
      <c r="AQ311" s="82">
        <f>($F305*U305+$F306*U306+$F307*U307+$F308*U308+$F309*U309)/(U305+U306+U307+U308+U309)</f>
        <v>59.210526315789473</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x14ac:dyDescent="0.3">
      <c r="A313" s="8" t="s">
        <v>17</v>
      </c>
      <c r="B313" s="9" t="s">
        <v>229</v>
      </c>
      <c r="C313" s="7"/>
      <c r="D313" s="7"/>
      <c r="E313" s="7"/>
      <c r="F313" s="71">
        <v>100</v>
      </c>
      <c r="G313" s="51">
        <f t="shared" ref="G313:G318" si="421">I313+K313</f>
        <v>6</v>
      </c>
      <c r="H313" s="52">
        <f t="shared" ref="H313:H318" si="422">G313/$J$5*100</f>
        <v>26.086956521739129</v>
      </c>
      <c r="I313" s="53">
        <f>COUNTIFS('00 Encuesta'!$B$2:$B$511,"*d)*",'00 Encuesta'!$C$2:$C$511,"*a)*",'00 Encuesta'!$E$2:$E$511,"*a)*",'00 Encuesta'!$AN$2:$AN$511,"*a)*")</f>
        <v>4</v>
      </c>
      <c r="J313" s="52">
        <f t="shared" ref="J313:J318" si="423">I313/$J$6*100</f>
        <v>28.571428571428569</v>
      </c>
      <c r="K313" s="53">
        <f>COUNTIFS('00 Encuesta'!$B$2:$B$511,"*d)*",'00 Encuesta'!$C$2:$C$511,"*a)*",'00 Encuesta'!$E$2:$E$511,"*b)*",'00 Encuesta'!$AN$2:$AN$511,"*a)*")</f>
        <v>2</v>
      </c>
      <c r="L313" s="52">
        <f t="shared" ref="L313:L318" si="424">K313/$J$7*100</f>
        <v>22.222222222222221</v>
      </c>
      <c r="M313" s="23"/>
      <c r="N313" s="51">
        <f t="shared" ref="N313:N318" si="425">P313+R313</f>
        <v>3</v>
      </c>
      <c r="O313" s="52">
        <f t="shared" ref="O313:O318" si="426">N313/$Q$5*100</f>
        <v>15</v>
      </c>
      <c r="P313" s="53">
        <f>COUNTIFS('00 Encuesta'!$B$2:$B$511,"*d)*",'00 Encuesta'!$C$2:$C$511,"*b)*",'00 Encuesta'!$E$2:$E$511,"*a)*",'00 Encuesta'!$AN$2:$AN$511,"*a)*")</f>
        <v>0</v>
      </c>
      <c r="Q313" s="52">
        <f t="shared" ref="Q313:Q318" si="427">P313/$Q$6*100</f>
        <v>0</v>
      </c>
      <c r="R313" s="53">
        <f>COUNTIFS('00 Encuesta'!$B$2:$B$511,"*d)*",'00 Encuesta'!$C$2:$C$511,"*b)*",'00 Encuesta'!$E$2:$E$511,"*b)*",'00 Encuesta'!$AN$2:$AN$511,"*a)*")</f>
        <v>3</v>
      </c>
      <c r="S313" s="52">
        <f t="shared" ref="S313:S318" si="428">R313/$Q$7*100</f>
        <v>23.076923076923077</v>
      </c>
      <c r="T313" s="3"/>
      <c r="U313" s="51">
        <f t="shared" ref="U313:U318" si="429">W313+Y313</f>
        <v>2</v>
      </c>
      <c r="V313" s="52">
        <f t="shared" ref="V313:V318" si="430">U313/$X$5*100</f>
        <v>10</v>
      </c>
      <c r="W313" s="53">
        <f>COUNTIFS('00 Encuesta'!$B$2:$B$511,"*d)*",'00 Encuesta'!$C$2:$C$511,"*c)*",'00 Encuesta'!$E$2:$E$511,"*a)*",'00 Encuesta'!$AN$2:$AN$511,"*a)*")</f>
        <v>0</v>
      </c>
      <c r="X313" s="52">
        <f t="shared" ref="X313:X318" si="431">W313/$X$6*100</f>
        <v>0</v>
      </c>
      <c r="Y313" s="53">
        <f>COUNTIFS('00 Encuesta'!$B$2:$B$511,"*d)*",'00 Encuesta'!$C$2:$C$511,"*c)*",'00 Encuesta'!$E$2:$E$511,"*b)*",'00 Encuesta'!$AN$2:$AN$511,"*a)*")</f>
        <v>2</v>
      </c>
      <c r="Z313" s="52">
        <f t="shared" ref="Z313:Z318" si="432">Y313/$X$7*100</f>
        <v>13.333333333333334</v>
      </c>
      <c r="AA313" s="3"/>
      <c r="AB313" s="62">
        <f t="shared" ref="AB313:AB318" si="433">G313+N313+U313</f>
        <v>11</v>
      </c>
      <c r="AC313" s="52">
        <f t="shared" ref="AC313:AC318" si="434">AB313*100/$AC$5</f>
        <v>17.460317460317459</v>
      </c>
      <c r="AD313" s="3"/>
      <c r="AE313" s="3"/>
      <c r="AF313" s="9" t="str">
        <f t="shared" ref="AF313:AF318" si="435">A313&amp;" "&amp;B313</f>
        <v>a) Muy buena</v>
      </c>
      <c r="AG313" s="72">
        <f t="shared" ref="AG313:AG318" si="436">J313</f>
        <v>28.571428571428569</v>
      </c>
      <c r="AH313" s="72">
        <f t="shared" ref="AH313:AH318" si="437">L313</f>
        <v>22.222222222222221</v>
      </c>
      <c r="AI313" s="73">
        <f t="shared" ref="AI313:AI318" si="438">H313</f>
        <v>26.086956521739129</v>
      </c>
      <c r="AJ313" s="73"/>
      <c r="AK313" s="76">
        <f t="shared" ref="AK313:AK318" si="439">Q313</f>
        <v>0</v>
      </c>
      <c r="AL313" s="76">
        <f t="shared" ref="AL313:AL318" si="440">S313</f>
        <v>23.076923076923077</v>
      </c>
      <c r="AM313" s="76">
        <f t="shared" ref="AM313:AM318" si="441">O313</f>
        <v>15</v>
      </c>
      <c r="AN313" s="76"/>
      <c r="AO313" s="81">
        <f t="shared" ref="AO313:AO318" si="442">X313</f>
        <v>0</v>
      </c>
      <c r="AP313" s="81">
        <f t="shared" ref="AP313:AP318" si="443">Z313</f>
        <v>13.333333333333334</v>
      </c>
      <c r="AQ313" s="81">
        <f t="shared" ref="AQ313:AQ318" si="444">V313</f>
        <v>10</v>
      </c>
      <c r="AR313" s="3"/>
      <c r="AS313" s="76">
        <f t="shared" ref="AS313:AS318" si="445">AC313</f>
        <v>17.460317460317459</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x14ac:dyDescent="0.3">
      <c r="A314" s="8" t="s">
        <v>18</v>
      </c>
      <c r="B314" s="9" t="s">
        <v>230</v>
      </c>
      <c r="C314" s="7"/>
      <c r="D314" s="7"/>
      <c r="E314" s="7"/>
      <c r="F314" s="71">
        <v>75</v>
      </c>
      <c r="G314" s="51">
        <f t="shared" si="421"/>
        <v>9</v>
      </c>
      <c r="H314" s="52">
        <f t="shared" si="422"/>
        <v>39.130434782608695</v>
      </c>
      <c r="I314" s="53">
        <f>COUNTIFS('00 Encuesta'!$B$2:$B$511,"*d)*",'00 Encuesta'!$C$2:$C$511,"*a)*",'00 Encuesta'!$E$2:$E$511,"*a)*",'00 Encuesta'!$AN$2:$AN$511,"*b)*")</f>
        <v>5</v>
      </c>
      <c r="J314" s="52">
        <f t="shared" si="423"/>
        <v>35.714285714285715</v>
      </c>
      <c r="K314" s="53">
        <f>COUNTIFS('00 Encuesta'!$B$2:$B$511,"*d)*",'00 Encuesta'!$C$2:$C$511,"*a)*",'00 Encuesta'!$E$2:$E$511,"*b)*",'00 Encuesta'!$AN$2:$AN$511,"*b)*")</f>
        <v>4</v>
      </c>
      <c r="L314" s="52">
        <f t="shared" si="424"/>
        <v>44.444444444444443</v>
      </c>
      <c r="M314" s="23"/>
      <c r="N314" s="51">
        <f t="shared" si="425"/>
        <v>9</v>
      </c>
      <c r="O314" s="52">
        <f t="shared" si="426"/>
        <v>45</v>
      </c>
      <c r="P314" s="53">
        <f>COUNTIFS('00 Encuesta'!$B$2:$B$511,"*d)*",'00 Encuesta'!$C$2:$C$511,"*b)*",'00 Encuesta'!$E$2:$E$511,"*a)*",'00 Encuesta'!$AN$2:$AN$511,"*b)*")</f>
        <v>4</v>
      </c>
      <c r="Q314" s="52">
        <f t="shared" si="427"/>
        <v>57.142857142857139</v>
      </c>
      <c r="R314" s="53">
        <f>COUNTIFS('00 Encuesta'!$B$2:$B$511,"*d)*",'00 Encuesta'!$C$2:$C$511,"*b)*",'00 Encuesta'!$E$2:$E$511,"*b)*",'00 Encuesta'!$AN$2:$AN$511,"*b)*")</f>
        <v>5</v>
      </c>
      <c r="S314" s="52">
        <f t="shared" si="428"/>
        <v>38.461538461538467</v>
      </c>
      <c r="T314" s="3"/>
      <c r="U314" s="51">
        <f t="shared" si="429"/>
        <v>8</v>
      </c>
      <c r="V314" s="52">
        <f t="shared" si="430"/>
        <v>40</v>
      </c>
      <c r="W314" s="53">
        <f>COUNTIFS('00 Encuesta'!$B$2:$B$511,"*d)*",'00 Encuesta'!$C$2:$C$511,"*c)*",'00 Encuesta'!$E$2:$E$511,"*a)*",'00 Encuesta'!$AN$2:$AN$511,"*b)*")</f>
        <v>1</v>
      </c>
      <c r="X314" s="52">
        <f t="shared" si="431"/>
        <v>20</v>
      </c>
      <c r="Y314" s="53">
        <f>COUNTIFS('00 Encuesta'!$B$2:$B$511,"*d)*",'00 Encuesta'!$C$2:$C$511,"*c)*",'00 Encuesta'!$E$2:$E$511,"*b)*",'00 Encuesta'!$AN$2:$AN$511,"*b)*")</f>
        <v>7</v>
      </c>
      <c r="Z314" s="52">
        <f t="shared" si="432"/>
        <v>46.666666666666664</v>
      </c>
      <c r="AA314" s="3"/>
      <c r="AB314" s="62">
        <f t="shared" si="433"/>
        <v>26</v>
      </c>
      <c r="AC314" s="52">
        <f t="shared" si="434"/>
        <v>41.269841269841272</v>
      </c>
      <c r="AD314" s="3"/>
      <c r="AE314" s="3"/>
      <c r="AF314" s="9" t="str">
        <f t="shared" si="435"/>
        <v>b) Buena</v>
      </c>
      <c r="AG314" s="72">
        <f t="shared" si="436"/>
        <v>35.714285714285715</v>
      </c>
      <c r="AH314" s="72">
        <f t="shared" si="437"/>
        <v>44.444444444444443</v>
      </c>
      <c r="AI314" s="73">
        <f t="shared" si="438"/>
        <v>39.130434782608695</v>
      </c>
      <c r="AJ314" s="73"/>
      <c r="AK314" s="76">
        <f t="shared" si="439"/>
        <v>57.142857142857139</v>
      </c>
      <c r="AL314" s="76">
        <f t="shared" si="440"/>
        <v>38.461538461538467</v>
      </c>
      <c r="AM314" s="76">
        <f t="shared" si="441"/>
        <v>45</v>
      </c>
      <c r="AN314" s="76"/>
      <c r="AO314" s="81">
        <f t="shared" si="442"/>
        <v>20</v>
      </c>
      <c r="AP314" s="81">
        <f t="shared" si="443"/>
        <v>46.666666666666664</v>
      </c>
      <c r="AQ314" s="81">
        <f t="shared" si="444"/>
        <v>40</v>
      </c>
      <c r="AR314" s="3"/>
      <c r="AS314" s="76">
        <f t="shared" si="445"/>
        <v>41.269841269841272</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x14ac:dyDescent="0.3">
      <c r="A315" s="8" t="s">
        <v>20</v>
      </c>
      <c r="B315" s="9" t="s">
        <v>218</v>
      </c>
      <c r="C315" s="7"/>
      <c r="D315" s="7"/>
      <c r="E315" s="7"/>
      <c r="F315" s="71">
        <v>50</v>
      </c>
      <c r="G315" s="51">
        <f t="shared" si="421"/>
        <v>5</v>
      </c>
      <c r="H315" s="52">
        <f t="shared" si="422"/>
        <v>21.739130434782609</v>
      </c>
      <c r="I315" s="53">
        <f>COUNTIFS('00 Encuesta'!$B$2:$B$511,"*d)*",'00 Encuesta'!$C$2:$C$511,"*a)*",'00 Encuesta'!$E$2:$E$511,"*a)*",'00 Encuesta'!$AN$2:$AN$511,"*c)*")</f>
        <v>3</v>
      </c>
      <c r="J315" s="52">
        <f t="shared" si="423"/>
        <v>21.428571428571427</v>
      </c>
      <c r="K315" s="53">
        <f>COUNTIFS('00 Encuesta'!$B$2:$B$511,"*d)*",'00 Encuesta'!$C$2:$C$511,"*a)*",'00 Encuesta'!$E$2:$E$511,"*b)*",'00 Encuesta'!$AN$2:$AN$511,"*c)*")</f>
        <v>2</v>
      </c>
      <c r="L315" s="52">
        <f t="shared" si="424"/>
        <v>22.222222222222221</v>
      </c>
      <c r="M315" s="23"/>
      <c r="N315" s="51">
        <f t="shared" si="425"/>
        <v>4</v>
      </c>
      <c r="O315" s="52">
        <f t="shared" si="426"/>
        <v>20</v>
      </c>
      <c r="P315" s="53">
        <f>COUNTIFS('00 Encuesta'!$B$2:$B$511,"*d)*",'00 Encuesta'!$C$2:$C$511,"*b)*",'00 Encuesta'!$E$2:$E$511,"*a)*",'00 Encuesta'!$AN$2:$AN$511,"*c)*")</f>
        <v>1</v>
      </c>
      <c r="Q315" s="52">
        <f t="shared" si="427"/>
        <v>14.285714285714285</v>
      </c>
      <c r="R315" s="53">
        <f>COUNTIFS('00 Encuesta'!$B$2:$B$511,"*d)*",'00 Encuesta'!$C$2:$C$511,"*b)*",'00 Encuesta'!$E$2:$E$511,"*b)*",'00 Encuesta'!$AN$2:$AN$511,"*c)*")</f>
        <v>3</v>
      </c>
      <c r="S315" s="52">
        <f t="shared" si="428"/>
        <v>23.076923076923077</v>
      </c>
      <c r="T315" s="3"/>
      <c r="U315" s="51">
        <f t="shared" si="429"/>
        <v>5</v>
      </c>
      <c r="V315" s="52">
        <f t="shared" si="430"/>
        <v>25</v>
      </c>
      <c r="W315" s="53">
        <f>COUNTIFS('00 Encuesta'!$B$2:$B$511,"*d)*",'00 Encuesta'!$C$2:$C$511,"*c)*",'00 Encuesta'!$E$2:$E$511,"*a)*",'00 Encuesta'!$AN$2:$AN$511,"*c)*")</f>
        <v>2</v>
      </c>
      <c r="X315" s="52">
        <f t="shared" si="431"/>
        <v>40</v>
      </c>
      <c r="Y315" s="53">
        <f>COUNTIFS('00 Encuesta'!$B$2:$B$511,"*d)*",'00 Encuesta'!$C$2:$C$511,"*c)*",'00 Encuesta'!$E$2:$E$511,"*b)*",'00 Encuesta'!$AN$2:$AN$511,"*c)*")</f>
        <v>3</v>
      </c>
      <c r="Z315" s="52">
        <f t="shared" si="432"/>
        <v>20</v>
      </c>
      <c r="AA315" s="3"/>
      <c r="AB315" s="62">
        <f t="shared" si="433"/>
        <v>14</v>
      </c>
      <c r="AC315" s="52">
        <f t="shared" si="434"/>
        <v>22.222222222222221</v>
      </c>
      <c r="AD315" s="3"/>
      <c r="AE315" s="3"/>
      <c r="AF315" s="9" t="str">
        <f t="shared" si="435"/>
        <v>c) Regular</v>
      </c>
      <c r="AG315" s="72">
        <f t="shared" si="436"/>
        <v>21.428571428571427</v>
      </c>
      <c r="AH315" s="72">
        <f t="shared" si="437"/>
        <v>22.222222222222221</v>
      </c>
      <c r="AI315" s="73">
        <f t="shared" si="438"/>
        <v>21.739130434782609</v>
      </c>
      <c r="AJ315" s="73"/>
      <c r="AK315" s="76">
        <f t="shared" si="439"/>
        <v>14.285714285714285</v>
      </c>
      <c r="AL315" s="76">
        <f t="shared" si="440"/>
        <v>23.076923076923077</v>
      </c>
      <c r="AM315" s="76">
        <f t="shared" si="441"/>
        <v>20</v>
      </c>
      <c r="AN315" s="76"/>
      <c r="AO315" s="81">
        <f t="shared" si="442"/>
        <v>40</v>
      </c>
      <c r="AP315" s="81">
        <f t="shared" si="443"/>
        <v>20</v>
      </c>
      <c r="AQ315" s="81">
        <f t="shared" si="444"/>
        <v>25</v>
      </c>
      <c r="AR315" s="3"/>
      <c r="AS315" s="76">
        <f t="shared" si="445"/>
        <v>22.222222222222221</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x14ac:dyDescent="0.3">
      <c r="A316" s="8" t="s">
        <v>21</v>
      </c>
      <c r="B316" s="9" t="s">
        <v>231</v>
      </c>
      <c r="C316" s="7"/>
      <c r="D316" s="7"/>
      <c r="E316" s="7"/>
      <c r="F316" s="71">
        <v>25</v>
      </c>
      <c r="G316" s="51">
        <f t="shared" si="421"/>
        <v>0</v>
      </c>
      <c r="H316" s="52">
        <f t="shared" si="422"/>
        <v>0</v>
      </c>
      <c r="I316" s="53">
        <f>COUNTIFS('00 Encuesta'!$B$2:$B$511,"*d)*",'00 Encuesta'!$C$2:$C$511,"*a)*",'00 Encuesta'!$E$2:$E$511,"*a)*",'00 Encuesta'!$AN$2:$AN$511,"*d)*")</f>
        <v>0</v>
      </c>
      <c r="J316" s="52">
        <f t="shared" si="423"/>
        <v>0</v>
      </c>
      <c r="K316" s="53">
        <f>COUNTIFS('00 Encuesta'!$B$2:$B$511,"*d)*",'00 Encuesta'!$C$2:$C$511,"*a)*",'00 Encuesta'!$E$2:$E$511,"*b)*",'00 Encuesta'!$AN$2:$AN$511,"*d)*")</f>
        <v>0</v>
      </c>
      <c r="L316" s="52">
        <f t="shared" si="424"/>
        <v>0</v>
      </c>
      <c r="M316" s="23"/>
      <c r="N316" s="51">
        <f t="shared" si="425"/>
        <v>1</v>
      </c>
      <c r="O316" s="52">
        <f t="shared" si="426"/>
        <v>5</v>
      </c>
      <c r="P316" s="53">
        <f>COUNTIFS('00 Encuesta'!$B$2:$B$511,"*d)*",'00 Encuesta'!$C$2:$C$511,"*b)*",'00 Encuesta'!$E$2:$E$511,"*a)*",'00 Encuesta'!$AN$2:$AN$511,"*d)*")</f>
        <v>1</v>
      </c>
      <c r="Q316" s="52">
        <f t="shared" si="427"/>
        <v>14.285714285714285</v>
      </c>
      <c r="R316" s="53">
        <f>COUNTIFS('00 Encuesta'!$B$2:$B$511,"*d)*",'00 Encuesta'!$C$2:$C$511,"*b)*",'00 Encuesta'!$E$2:$E$511,"*b)*",'00 Encuesta'!$AN$2:$AN$511,"*d)*")</f>
        <v>0</v>
      </c>
      <c r="S316" s="52">
        <f t="shared" si="428"/>
        <v>0</v>
      </c>
      <c r="T316" s="3"/>
      <c r="U316" s="51">
        <f t="shared" si="429"/>
        <v>1</v>
      </c>
      <c r="V316" s="52">
        <f t="shared" si="430"/>
        <v>5</v>
      </c>
      <c r="W316" s="53">
        <f>COUNTIFS('00 Encuesta'!$B$2:$B$511,"*d)*",'00 Encuesta'!$C$2:$C$511,"*c)*",'00 Encuesta'!$E$2:$E$511,"*a)*",'00 Encuesta'!$AN$2:$AN$511,"*d)*")</f>
        <v>0</v>
      </c>
      <c r="X316" s="52">
        <f t="shared" si="431"/>
        <v>0</v>
      </c>
      <c r="Y316" s="53">
        <f>COUNTIFS('00 Encuesta'!$B$2:$B$511,"*d)*",'00 Encuesta'!$C$2:$C$511,"*c)*",'00 Encuesta'!$E$2:$E$511,"*b)*",'00 Encuesta'!$AN$2:$AN$511,"*d)*")</f>
        <v>1</v>
      </c>
      <c r="Z316" s="52">
        <f t="shared" si="432"/>
        <v>6.666666666666667</v>
      </c>
      <c r="AA316" s="3"/>
      <c r="AB316" s="62">
        <f t="shared" si="433"/>
        <v>2</v>
      </c>
      <c r="AC316" s="52">
        <f t="shared" si="434"/>
        <v>3.1746031746031744</v>
      </c>
      <c r="AD316" s="3"/>
      <c r="AE316" s="3"/>
      <c r="AF316" s="9" t="str">
        <f t="shared" si="435"/>
        <v>d) Mala</v>
      </c>
      <c r="AG316" s="72">
        <f t="shared" si="436"/>
        <v>0</v>
      </c>
      <c r="AH316" s="72">
        <f t="shared" si="437"/>
        <v>0</v>
      </c>
      <c r="AI316" s="73">
        <f t="shared" si="438"/>
        <v>0</v>
      </c>
      <c r="AJ316" s="73"/>
      <c r="AK316" s="76">
        <f t="shared" si="439"/>
        <v>14.285714285714285</v>
      </c>
      <c r="AL316" s="76">
        <f t="shared" si="440"/>
        <v>0</v>
      </c>
      <c r="AM316" s="76">
        <f t="shared" si="441"/>
        <v>5</v>
      </c>
      <c r="AN316" s="76"/>
      <c r="AO316" s="81">
        <f t="shared" si="442"/>
        <v>0</v>
      </c>
      <c r="AP316" s="81">
        <f t="shared" si="443"/>
        <v>6.666666666666667</v>
      </c>
      <c r="AQ316" s="81">
        <f t="shared" si="444"/>
        <v>5</v>
      </c>
      <c r="AR316" s="3"/>
      <c r="AS316" s="76">
        <f t="shared" si="445"/>
        <v>3.1746031746031744</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x14ac:dyDescent="0.3">
      <c r="A317" s="8" t="s">
        <v>22</v>
      </c>
      <c r="B317" s="9" t="s">
        <v>232</v>
      </c>
      <c r="C317" s="7"/>
      <c r="D317" s="7"/>
      <c r="E317" s="7"/>
      <c r="F317" s="71">
        <v>0</v>
      </c>
      <c r="G317" s="51">
        <f t="shared" si="421"/>
        <v>1</v>
      </c>
      <c r="H317" s="52">
        <f t="shared" si="422"/>
        <v>4.3478260869565215</v>
      </c>
      <c r="I317" s="53">
        <f>COUNTIFS('00 Encuesta'!$B$2:$B$511,"*d)*",'00 Encuesta'!$C$2:$C$511,"*a)*",'00 Encuesta'!$E$2:$E$511,"*a)*",'00 Encuesta'!$AN$2:$AN$511,"*e)*")</f>
        <v>1</v>
      </c>
      <c r="J317" s="52">
        <f t="shared" si="423"/>
        <v>7.1428571428571423</v>
      </c>
      <c r="K317" s="53">
        <f>COUNTIFS('00 Encuesta'!$B$2:$B$511,"*d)*",'00 Encuesta'!$C$2:$C$511,"*a)*",'00 Encuesta'!$E$2:$E$511,"*b)*",'00 Encuesta'!$AN$2:$AN$511,"*e)*")</f>
        <v>0</v>
      </c>
      <c r="L317" s="52">
        <f t="shared" si="424"/>
        <v>0</v>
      </c>
      <c r="M317" s="23"/>
      <c r="N317" s="51">
        <f t="shared" si="425"/>
        <v>1</v>
      </c>
      <c r="O317" s="52">
        <f t="shared" si="426"/>
        <v>5</v>
      </c>
      <c r="P317" s="53">
        <f>COUNTIFS('00 Encuesta'!$B$2:$B$511,"*d)*",'00 Encuesta'!$C$2:$C$511,"*b)*",'00 Encuesta'!$E$2:$E$511,"*a)*",'00 Encuesta'!$AN$2:$AN$511,"*e)*")</f>
        <v>0</v>
      </c>
      <c r="Q317" s="52">
        <f t="shared" si="427"/>
        <v>0</v>
      </c>
      <c r="R317" s="53">
        <f>COUNTIFS('00 Encuesta'!$B$2:$B$511,"*d)*",'00 Encuesta'!$C$2:$C$511,"*b)*",'00 Encuesta'!$E$2:$E$511,"*b)*",'00 Encuesta'!$AN$2:$AN$511,"*e)*")</f>
        <v>1</v>
      </c>
      <c r="S317" s="52">
        <f t="shared" si="428"/>
        <v>7.6923076923076925</v>
      </c>
      <c r="T317" s="3"/>
      <c r="U317" s="51">
        <f t="shared" si="429"/>
        <v>2</v>
      </c>
      <c r="V317" s="52">
        <f t="shared" si="430"/>
        <v>10</v>
      </c>
      <c r="W317" s="53">
        <f>COUNTIFS('00 Encuesta'!$B$2:$B$511,"*d)*",'00 Encuesta'!$C$2:$C$511,"*c)*",'00 Encuesta'!$E$2:$E$511,"*a)*",'00 Encuesta'!$AN$2:$AN$511,"*e)*")</f>
        <v>0</v>
      </c>
      <c r="X317" s="52">
        <f t="shared" si="431"/>
        <v>0</v>
      </c>
      <c r="Y317" s="53">
        <f>COUNTIFS('00 Encuesta'!$B$2:$B$511,"*d)*",'00 Encuesta'!$C$2:$C$511,"*c)*",'00 Encuesta'!$E$2:$E$511,"*b)*",'00 Encuesta'!$AN$2:$AN$511,"*e)*")</f>
        <v>2</v>
      </c>
      <c r="Z317" s="52">
        <f t="shared" si="432"/>
        <v>13.333333333333334</v>
      </c>
      <c r="AA317" s="3"/>
      <c r="AB317" s="62">
        <f t="shared" si="433"/>
        <v>4</v>
      </c>
      <c r="AC317" s="52">
        <f t="shared" si="434"/>
        <v>6.3492063492063489</v>
      </c>
      <c r="AD317" s="3"/>
      <c r="AE317" s="3"/>
      <c r="AF317" s="9" t="str">
        <f t="shared" si="435"/>
        <v>e) Muy mala</v>
      </c>
      <c r="AG317" s="72">
        <f t="shared" si="436"/>
        <v>7.1428571428571423</v>
      </c>
      <c r="AH317" s="72">
        <f t="shared" si="437"/>
        <v>0</v>
      </c>
      <c r="AI317" s="73">
        <f t="shared" si="438"/>
        <v>4.3478260869565215</v>
      </c>
      <c r="AJ317" s="73"/>
      <c r="AK317" s="76">
        <f t="shared" si="439"/>
        <v>0</v>
      </c>
      <c r="AL317" s="76">
        <f t="shared" si="440"/>
        <v>7.6923076923076925</v>
      </c>
      <c r="AM317" s="76">
        <f t="shared" si="441"/>
        <v>5</v>
      </c>
      <c r="AN317" s="76"/>
      <c r="AO317" s="81">
        <f t="shared" si="442"/>
        <v>0</v>
      </c>
      <c r="AP317" s="81">
        <f t="shared" si="443"/>
        <v>13.333333333333334</v>
      </c>
      <c r="AQ317" s="81">
        <f t="shared" si="444"/>
        <v>10</v>
      </c>
      <c r="AR317" s="3"/>
      <c r="AS317" s="76">
        <f t="shared" si="445"/>
        <v>6.3492063492063489</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x14ac:dyDescent="0.3">
      <c r="A318" s="8" t="s">
        <v>45</v>
      </c>
      <c r="B318" s="9" t="s">
        <v>233</v>
      </c>
      <c r="C318" s="7"/>
      <c r="D318" s="7"/>
      <c r="E318" s="7"/>
      <c r="F318" s="71"/>
      <c r="G318" s="51">
        <f t="shared" si="421"/>
        <v>1</v>
      </c>
      <c r="H318" s="52">
        <f t="shared" si="422"/>
        <v>4.3478260869565215</v>
      </c>
      <c r="I318" s="53">
        <f>COUNTIFS('00 Encuesta'!$B$2:$B$511,"*d)*",'00 Encuesta'!$C$2:$C$511,"*a)*",'00 Encuesta'!$E$2:$E$511,"*a)*",'00 Encuesta'!$AN$2:$AN$511,"*f)*")</f>
        <v>1</v>
      </c>
      <c r="J318" s="52">
        <f t="shared" si="423"/>
        <v>7.1428571428571423</v>
      </c>
      <c r="K318" s="53">
        <f>COUNTIFS('00 Encuesta'!$B$2:$B$511,"*d)*",'00 Encuesta'!$C$2:$C$511,"*a)*",'00 Encuesta'!$E$2:$E$511,"*b)*",'00 Encuesta'!$AN$2:$AN$511,"*f)*")</f>
        <v>0</v>
      </c>
      <c r="L318" s="52">
        <f t="shared" si="424"/>
        <v>0</v>
      </c>
      <c r="M318" s="23"/>
      <c r="N318" s="51">
        <f t="shared" si="425"/>
        <v>2</v>
      </c>
      <c r="O318" s="52">
        <f t="shared" si="426"/>
        <v>10</v>
      </c>
      <c r="P318" s="53">
        <f>COUNTIFS('00 Encuesta'!$B$2:$B$511,"*d)*",'00 Encuesta'!$C$2:$C$511,"*b)*",'00 Encuesta'!$E$2:$E$511,"*a)*",'00 Encuesta'!$AN$2:$AN$511,"*f)*")</f>
        <v>1</v>
      </c>
      <c r="Q318" s="52">
        <f t="shared" si="427"/>
        <v>14.285714285714285</v>
      </c>
      <c r="R318" s="53">
        <f>COUNTIFS('00 Encuesta'!$B$2:$B$511,"*d)*",'00 Encuesta'!$C$2:$C$511,"*b)*",'00 Encuesta'!$E$2:$E$511,"*b)*",'00 Encuesta'!$AN$2:$AN$511,"*f)*")</f>
        <v>1</v>
      </c>
      <c r="S318" s="52">
        <f t="shared" si="428"/>
        <v>7.6923076923076925</v>
      </c>
      <c r="T318" s="3"/>
      <c r="U318" s="51">
        <f t="shared" si="429"/>
        <v>1</v>
      </c>
      <c r="V318" s="52">
        <f t="shared" si="430"/>
        <v>5</v>
      </c>
      <c r="W318" s="53">
        <f>COUNTIFS('00 Encuesta'!$B$2:$B$511,"*d)*",'00 Encuesta'!$C$2:$C$511,"*c)*",'00 Encuesta'!$E$2:$E$511,"*a)*",'00 Encuesta'!$AN$2:$AN$511,"*f)*")</f>
        <v>1</v>
      </c>
      <c r="X318" s="52">
        <f t="shared" si="431"/>
        <v>20</v>
      </c>
      <c r="Y318" s="53">
        <f>COUNTIFS('00 Encuesta'!$B$2:$B$511,"*d)*",'00 Encuesta'!$C$2:$C$511,"*c)*",'00 Encuesta'!$E$2:$E$511,"*b)*",'00 Encuesta'!$AN$2:$AN$511,"*f)*")</f>
        <v>0</v>
      </c>
      <c r="Z318" s="52">
        <f t="shared" si="432"/>
        <v>0</v>
      </c>
      <c r="AA318" s="3"/>
      <c r="AB318" s="62">
        <f t="shared" si="433"/>
        <v>4</v>
      </c>
      <c r="AC318" s="52">
        <f t="shared" si="434"/>
        <v>6.3492063492063489</v>
      </c>
      <c r="AD318" s="3"/>
      <c r="AE318" s="3"/>
      <c r="AF318" s="9" t="str">
        <f t="shared" si="435"/>
        <v>f) No aplica</v>
      </c>
      <c r="AG318" s="72">
        <f t="shared" si="436"/>
        <v>7.1428571428571423</v>
      </c>
      <c r="AH318" s="72">
        <f t="shared" si="437"/>
        <v>0</v>
      </c>
      <c r="AI318" s="73">
        <f t="shared" si="438"/>
        <v>4.3478260869565215</v>
      </c>
      <c r="AJ318" s="73"/>
      <c r="AK318" s="76">
        <f t="shared" si="439"/>
        <v>14.285714285714285</v>
      </c>
      <c r="AL318" s="76">
        <f t="shared" si="440"/>
        <v>7.6923076923076925</v>
      </c>
      <c r="AM318" s="76">
        <f t="shared" si="441"/>
        <v>10</v>
      </c>
      <c r="AN318" s="76"/>
      <c r="AO318" s="81">
        <f t="shared" si="442"/>
        <v>20</v>
      </c>
      <c r="AP318" s="81">
        <f t="shared" si="443"/>
        <v>0</v>
      </c>
      <c r="AQ318" s="81">
        <f t="shared" si="444"/>
        <v>5</v>
      </c>
      <c r="AR318" s="3"/>
      <c r="AS318" s="76">
        <f t="shared" si="445"/>
        <v>6.3492063492063489</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x14ac:dyDescent="0.3">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71.15384615384616</v>
      </c>
      <c r="AH319" s="82">
        <f>($F313*K313+$F314*K314+$F315*K315+$F316*K316+$F317*K317)/(K313+K314+K315+K316+K317)</f>
        <v>75</v>
      </c>
      <c r="AI319" s="82">
        <f>($F313*G313+$F314*G314+$F315*G315+$F316*G316+$F317*G317)/(G313+G314+G315+G316+G317)</f>
        <v>72.61904761904762</v>
      </c>
      <c r="AJ319" s="82"/>
      <c r="AK319" s="82">
        <f>($F313*Q313+$F314*Q314+$F315*Q315+$F316*Q316+$F317*Q317)/(Q313+Q314+Q315+Q316+Q317)</f>
        <v>62.500000000000014</v>
      </c>
      <c r="AL319" s="82">
        <f>($F313*S313+$F314*S314+$F315*S315+$F316*S316+$F317*S317)/(S313+S314+S315+S316+S317)</f>
        <v>68.75</v>
      </c>
      <c r="AM319" s="82">
        <f>($F313*O313+$F314*O314+$F315*O315+$F316*O316+$F317*O317)/(O313+O314+O315+O316+O317)</f>
        <v>66.666666666666671</v>
      </c>
      <c r="AN319" s="82"/>
      <c r="AO319" s="82">
        <f>($F313*W313+$F314*W314+$F315*W315+$F316*W316+$F317*W317)/(W313+W314+W315+W316+W317)</f>
        <v>58.333333333333336</v>
      </c>
      <c r="AP319" s="82">
        <f>($F313*Y313+$F314*Y314+$F315*Y315+$F316*Y316+$F317*Y317)/(Y313+Y314+Y315+Y316+Y317)</f>
        <v>60</v>
      </c>
      <c r="AQ319" s="82">
        <f>($F313*U313+$F314*U314+$F315*U315+$F316*U316+$F317*U317)/(U313+U314+U315+U316+U317)</f>
        <v>59.722222222222221</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x14ac:dyDescent="0.3">
      <c r="A321" s="8" t="s">
        <v>17</v>
      </c>
      <c r="B321" s="9" t="s">
        <v>229</v>
      </c>
      <c r="C321" s="7"/>
      <c r="D321" s="7"/>
      <c r="E321" s="7"/>
      <c r="F321" s="71">
        <v>100</v>
      </c>
      <c r="G321" s="51">
        <f t="shared" ref="G321:G326" si="446">I321+K321</f>
        <v>5</v>
      </c>
      <c r="H321" s="52">
        <f t="shared" ref="H321:H326" si="447">G321/$J$5*100</f>
        <v>21.739130434782609</v>
      </c>
      <c r="I321" s="53">
        <f>COUNTIFS('00 Encuesta'!$B$2:$B$511,"*d)*",'00 Encuesta'!$C$2:$C$511,"*a)*",'00 Encuesta'!$E$2:$E$511,"*a)*",'00 Encuesta'!$AO$2:$AO$511,"*a)*")</f>
        <v>3</v>
      </c>
      <c r="J321" s="52">
        <f t="shared" ref="J321:J326" si="448">I321/$J$6*100</f>
        <v>21.428571428571427</v>
      </c>
      <c r="K321" s="53">
        <f>COUNTIFS('00 Encuesta'!$B$2:$B$511,"*d)*",'00 Encuesta'!$C$2:$C$511,"*a)*",'00 Encuesta'!$E$2:$E$511,"*b)*",'00 Encuesta'!$AO$2:$AO$511,"*a)*")</f>
        <v>2</v>
      </c>
      <c r="L321" s="52">
        <f t="shared" ref="L321:L326" si="449">K321/$J$7*100</f>
        <v>22.222222222222221</v>
      </c>
      <c r="M321" s="23"/>
      <c r="N321" s="51">
        <f t="shared" ref="N321:N326" si="450">P321+R321</f>
        <v>1</v>
      </c>
      <c r="O321" s="52">
        <f t="shared" ref="O321:O326" si="451">N321/$Q$5*100</f>
        <v>5</v>
      </c>
      <c r="P321" s="53">
        <f>COUNTIFS('00 Encuesta'!$B$2:$B$511,"*d)*",'00 Encuesta'!$C$2:$C$511,"*b)*",'00 Encuesta'!$E$2:$E$511,"*a)*",'00 Encuesta'!$AO$2:$AO$511,"*a)*")</f>
        <v>0</v>
      </c>
      <c r="Q321" s="52">
        <f t="shared" ref="Q321:Q326" si="452">P321/$Q$6*100</f>
        <v>0</v>
      </c>
      <c r="R321" s="53">
        <f>COUNTIFS('00 Encuesta'!$B$2:$B$511,"*d)*",'00 Encuesta'!$C$2:$C$511,"*b)*",'00 Encuesta'!$E$2:$E$511,"*b)*",'00 Encuesta'!$AO$2:$AO$511,"*a)*")</f>
        <v>1</v>
      </c>
      <c r="S321" s="52">
        <f t="shared" ref="S321:S326" si="453">R321/$Q$7*100</f>
        <v>7.6923076923076925</v>
      </c>
      <c r="T321" s="3"/>
      <c r="U321" s="51">
        <f t="shared" ref="U321:U326" si="454">W321+Y321</f>
        <v>1</v>
      </c>
      <c r="V321" s="52">
        <f t="shared" ref="V321:V326" si="455">U321/$X$5*100</f>
        <v>5</v>
      </c>
      <c r="W321" s="53">
        <f>COUNTIFS('00 Encuesta'!$B$2:$B$511,"*d)*",'00 Encuesta'!$C$2:$C$511,"*c)*",'00 Encuesta'!$E$2:$E$511,"*a)*",'00 Encuesta'!$AO$2:$AO$511,"*a)*")</f>
        <v>1</v>
      </c>
      <c r="X321" s="52">
        <f t="shared" ref="X321:X326" si="456">W321/$X$6*100</f>
        <v>20</v>
      </c>
      <c r="Y321" s="53">
        <f>COUNTIFS('00 Encuesta'!$B$2:$B$511,"*d)*",'00 Encuesta'!$C$2:$C$511,"*c)*",'00 Encuesta'!$E$2:$E$511,"*b)*",'00 Encuesta'!$AO$2:$AO$511,"*a)*")</f>
        <v>0</v>
      </c>
      <c r="Z321" s="52">
        <f t="shared" ref="Z321:Z326" si="457">Y321/$X$7*100</f>
        <v>0</v>
      </c>
      <c r="AA321" s="3"/>
      <c r="AB321" s="62">
        <f t="shared" ref="AB321:AB326" si="458">G321+N321+U321</f>
        <v>7</v>
      </c>
      <c r="AC321" s="52">
        <f t="shared" ref="AC321:AC326" si="459">AB321*100/$AC$5</f>
        <v>11.111111111111111</v>
      </c>
      <c r="AD321" s="3"/>
      <c r="AE321" s="3"/>
      <c r="AF321" s="9" t="str">
        <f t="shared" ref="AF321:AF326" si="460">A321&amp;" "&amp;B321</f>
        <v>a) Muy buena</v>
      </c>
      <c r="AG321" s="72">
        <f t="shared" ref="AG321:AG326" si="461">J321</f>
        <v>21.428571428571427</v>
      </c>
      <c r="AH321" s="72">
        <f t="shared" ref="AH321:AH326" si="462">L321</f>
        <v>22.222222222222221</v>
      </c>
      <c r="AI321" s="73">
        <f t="shared" ref="AI321:AI326" si="463">H321</f>
        <v>21.739130434782609</v>
      </c>
      <c r="AJ321" s="73"/>
      <c r="AK321" s="76">
        <f t="shared" ref="AK321:AK326" si="464">Q321</f>
        <v>0</v>
      </c>
      <c r="AL321" s="76">
        <f t="shared" ref="AL321:AL326" si="465">S321</f>
        <v>7.6923076923076925</v>
      </c>
      <c r="AM321" s="76">
        <f t="shared" ref="AM321:AM326" si="466">O321</f>
        <v>5</v>
      </c>
      <c r="AN321" s="76"/>
      <c r="AO321" s="81">
        <f t="shared" ref="AO321:AO326" si="467">X321</f>
        <v>20</v>
      </c>
      <c r="AP321" s="81">
        <f t="shared" ref="AP321:AP326" si="468">Z321</f>
        <v>0</v>
      </c>
      <c r="AQ321" s="81">
        <f t="shared" ref="AQ321:AQ326" si="469">V321</f>
        <v>5</v>
      </c>
      <c r="AR321" s="3"/>
      <c r="AS321" s="76">
        <f t="shared" si="369"/>
        <v>11.111111111111111</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x14ac:dyDescent="0.3">
      <c r="A322" s="8" t="s">
        <v>18</v>
      </c>
      <c r="B322" s="9" t="s">
        <v>230</v>
      </c>
      <c r="C322" s="7"/>
      <c r="D322" s="7"/>
      <c r="E322" s="7"/>
      <c r="F322" s="71">
        <v>75</v>
      </c>
      <c r="G322" s="51">
        <f t="shared" si="446"/>
        <v>10</v>
      </c>
      <c r="H322" s="52">
        <f t="shared" si="447"/>
        <v>43.478260869565219</v>
      </c>
      <c r="I322" s="53">
        <f>COUNTIFS('00 Encuesta'!$B$2:$B$511,"*d)*",'00 Encuesta'!$C$2:$C$511,"*a)*",'00 Encuesta'!$E$2:$E$511,"*a)*",'00 Encuesta'!$AO$2:$AO$511,"*b)*")</f>
        <v>5</v>
      </c>
      <c r="J322" s="52">
        <f t="shared" si="448"/>
        <v>35.714285714285715</v>
      </c>
      <c r="K322" s="53">
        <f>COUNTIFS('00 Encuesta'!$B$2:$B$511,"*d)*",'00 Encuesta'!$C$2:$C$511,"*a)*",'00 Encuesta'!$E$2:$E$511,"*b)*",'00 Encuesta'!$AO$2:$AO$511,"*b)*")</f>
        <v>5</v>
      </c>
      <c r="L322" s="52">
        <f t="shared" si="449"/>
        <v>55.555555555555557</v>
      </c>
      <c r="M322" s="23"/>
      <c r="N322" s="51">
        <f t="shared" si="450"/>
        <v>10</v>
      </c>
      <c r="O322" s="52">
        <f t="shared" si="451"/>
        <v>50</v>
      </c>
      <c r="P322" s="53">
        <f>COUNTIFS('00 Encuesta'!$B$2:$B$511,"*d)*",'00 Encuesta'!$C$2:$C$511,"*b)*",'00 Encuesta'!$E$2:$E$511,"*a)*",'00 Encuesta'!$AO$2:$AO$511,"*b)*")</f>
        <v>5</v>
      </c>
      <c r="Q322" s="52">
        <f t="shared" si="452"/>
        <v>71.428571428571431</v>
      </c>
      <c r="R322" s="53">
        <f>COUNTIFS('00 Encuesta'!$B$2:$B$511,"*d)*",'00 Encuesta'!$C$2:$C$511,"*b)*",'00 Encuesta'!$E$2:$E$511,"*b)*",'00 Encuesta'!$AO$2:$AO$511,"*b)*")</f>
        <v>5</v>
      </c>
      <c r="S322" s="52">
        <f t="shared" si="453"/>
        <v>38.461538461538467</v>
      </c>
      <c r="T322" s="3"/>
      <c r="U322" s="51">
        <f t="shared" si="454"/>
        <v>3</v>
      </c>
      <c r="V322" s="52">
        <f t="shared" si="455"/>
        <v>15</v>
      </c>
      <c r="W322" s="53">
        <f>COUNTIFS('00 Encuesta'!$B$2:$B$511,"*d)*",'00 Encuesta'!$C$2:$C$511,"*c)*",'00 Encuesta'!$E$2:$E$511,"*a)*",'00 Encuesta'!$AO$2:$AO$511,"*b)*")</f>
        <v>0</v>
      </c>
      <c r="X322" s="52">
        <f t="shared" si="456"/>
        <v>0</v>
      </c>
      <c r="Y322" s="53">
        <f>COUNTIFS('00 Encuesta'!$B$2:$B$511,"*d)*",'00 Encuesta'!$C$2:$C$511,"*c)*",'00 Encuesta'!$E$2:$E$511,"*b)*",'00 Encuesta'!$AO$2:$AO$511,"*b)*")</f>
        <v>3</v>
      </c>
      <c r="Z322" s="52">
        <f t="shared" si="457"/>
        <v>20</v>
      </c>
      <c r="AA322" s="3"/>
      <c r="AB322" s="62">
        <f t="shared" si="458"/>
        <v>23</v>
      </c>
      <c r="AC322" s="52">
        <f t="shared" si="459"/>
        <v>36.507936507936506</v>
      </c>
      <c r="AD322" s="3"/>
      <c r="AE322" s="3"/>
      <c r="AF322" s="9" t="str">
        <f t="shared" si="460"/>
        <v>b) Buena</v>
      </c>
      <c r="AG322" s="72">
        <f t="shared" si="461"/>
        <v>35.714285714285715</v>
      </c>
      <c r="AH322" s="72">
        <f t="shared" si="462"/>
        <v>55.555555555555557</v>
      </c>
      <c r="AI322" s="73">
        <f t="shared" si="463"/>
        <v>43.478260869565219</v>
      </c>
      <c r="AJ322" s="73"/>
      <c r="AK322" s="76">
        <f t="shared" si="464"/>
        <v>71.428571428571431</v>
      </c>
      <c r="AL322" s="76">
        <f t="shared" si="465"/>
        <v>38.461538461538467</v>
      </c>
      <c r="AM322" s="76">
        <f t="shared" si="466"/>
        <v>50</v>
      </c>
      <c r="AN322" s="76"/>
      <c r="AO322" s="81">
        <f t="shared" si="467"/>
        <v>0</v>
      </c>
      <c r="AP322" s="81">
        <f t="shared" si="468"/>
        <v>20</v>
      </c>
      <c r="AQ322" s="81">
        <f t="shared" si="469"/>
        <v>15</v>
      </c>
      <c r="AR322" s="3"/>
      <c r="AS322" s="76">
        <f t="shared" si="369"/>
        <v>36.507936507936506</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x14ac:dyDescent="0.3">
      <c r="A323" s="8" t="s">
        <v>20</v>
      </c>
      <c r="B323" s="9" t="s">
        <v>218</v>
      </c>
      <c r="C323" s="7"/>
      <c r="D323" s="7"/>
      <c r="E323" s="7"/>
      <c r="F323" s="71">
        <v>50</v>
      </c>
      <c r="G323" s="51">
        <f t="shared" si="446"/>
        <v>5</v>
      </c>
      <c r="H323" s="52">
        <f t="shared" si="447"/>
        <v>21.739130434782609</v>
      </c>
      <c r="I323" s="53">
        <f>COUNTIFS('00 Encuesta'!$B$2:$B$511,"*d)*",'00 Encuesta'!$C$2:$C$511,"*a)*",'00 Encuesta'!$E$2:$E$511,"*a)*",'00 Encuesta'!$AO$2:$AO$511,"*c)*")</f>
        <v>4</v>
      </c>
      <c r="J323" s="52">
        <f t="shared" si="448"/>
        <v>28.571428571428569</v>
      </c>
      <c r="K323" s="53">
        <f>COUNTIFS('00 Encuesta'!$B$2:$B$511,"*d)*",'00 Encuesta'!$C$2:$C$511,"*a)*",'00 Encuesta'!$E$2:$E$511,"*b)*",'00 Encuesta'!$AO$2:$AO$511,"*c)*")</f>
        <v>1</v>
      </c>
      <c r="L323" s="52">
        <f t="shared" si="449"/>
        <v>11.111111111111111</v>
      </c>
      <c r="M323" s="23"/>
      <c r="N323" s="51">
        <f t="shared" si="450"/>
        <v>6</v>
      </c>
      <c r="O323" s="52">
        <f t="shared" si="451"/>
        <v>30</v>
      </c>
      <c r="P323" s="53">
        <f>COUNTIFS('00 Encuesta'!$B$2:$B$511,"*d)*",'00 Encuesta'!$C$2:$C$511,"*b)*",'00 Encuesta'!$E$2:$E$511,"*a)*",'00 Encuesta'!$AO$2:$AO$511,"*c)*")</f>
        <v>0</v>
      </c>
      <c r="Q323" s="52">
        <f t="shared" si="452"/>
        <v>0</v>
      </c>
      <c r="R323" s="53">
        <f>COUNTIFS('00 Encuesta'!$B$2:$B$511,"*d)*",'00 Encuesta'!$C$2:$C$511,"*b)*",'00 Encuesta'!$E$2:$E$511,"*b)*",'00 Encuesta'!$AO$2:$AO$511,"*c)*")</f>
        <v>6</v>
      </c>
      <c r="S323" s="52">
        <f t="shared" si="453"/>
        <v>46.153846153846153</v>
      </c>
      <c r="T323" s="3"/>
      <c r="U323" s="51">
        <f t="shared" si="454"/>
        <v>11</v>
      </c>
      <c r="V323" s="52">
        <f t="shared" si="455"/>
        <v>55.000000000000007</v>
      </c>
      <c r="W323" s="53">
        <f>COUNTIFS('00 Encuesta'!$B$2:$B$511,"*d)*",'00 Encuesta'!$C$2:$C$511,"*c)*",'00 Encuesta'!$E$2:$E$511,"*a)*",'00 Encuesta'!$AO$2:$AO$511,"*c)*")</f>
        <v>3</v>
      </c>
      <c r="X323" s="52">
        <f t="shared" si="456"/>
        <v>60</v>
      </c>
      <c r="Y323" s="53">
        <f>COUNTIFS('00 Encuesta'!$B$2:$B$511,"*d)*",'00 Encuesta'!$C$2:$C$511,"*c)*",'00 Encuesta'!$E$2:$E$511,"*b)*",'00 Encuesta'!$AO$2:$AO$511,"*c)*")</f>
        <v>8</v>
      </c>
      <c r="Z323" s="52">
        <f t="shared" si="457"/>
        <v>53.333333333333336</v>
      </c>
      <c r="AA323" s="3"/>
      <c r="AB323" s="62">
        <f t="shared" si="458"/>
        <v>22</v>
      </c>
      <c r="AC323" s="52">
        <f t="shared" si="459"/>
        <v>34.920634920634917</v>
      </c>
      <c r="AD323" s="3"/>
      <c r="AE323" s="3"/>
      <c r="AF323" s="9" t="str">
        <f t="shared" si="460"/>
        <v>c) Regular</v>
      </c>
      <c r="AG323" s="72">
        <f t="shared" si="461"/>
        <v>28.571428571428569</v>
      </c>
      <c r="AH323" s="72">
        <f t="shared" si="462"/>
        <v>11.111111111111111</v>
      </c>
      <c r="AI323" s="73">
        <f t="shared" si="463"/>
        <v>21.739130434782609</v>
      </c>
      <c r="AJ323" s="73"/>
      <c r="AK323" s="76">
        <f t="shared" si="464"/>
        <v>0</v>
      </c>
      <c r="AL323" s="76">
        <f t="shared" si="465"/>
        <v>46.153846153846153</v>
      </c>
      <c r="AM323" s="76">
        <f t="shared" si="466"/>
        <v>30</v>
      </c>
      <c r="AN323" s="76"/>
      <c r="AO323" s="81">
        <f t="shared" si="467"/>
        <v>60</v>
      </c>
      <c r="AP323" s="81">
        <f t="shared" si="468"/>
        <v>53.333333333333336</v>
      </c>
      <c r="AQ323" s="81">
        <f t="shared" si="469"/>
        <v>55.000000000000007</v>
      </c>
      <c r="AR323" s="3"/>
      <c r="AS323" s="76">
        <f t="shared" si="369"/>
        <v>34.920634920634917</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x14ac:dyDescent="0.3">
      <c r="A324" s="8" t="s">
        <v>21</v>
      </c>
      <c r="B324" s="9" t="s">
        <v>231</v>
      </c>
      <c r="C324" s="7"/>
      <c r="D324" s="7"/>
      <c r="E324" s="7"/>
      <c r="F324" s="71">
        <v>25</v>
      </c>
      <c r="G324" s="51">
        <f t="shared" si="446"/>
        <v>1</v>
      </c>
      <c r="H324" s="52">
        <f t="shared" si="447"/>
        <v>4.3478260869565215</v>
      </c>
      <c r="I324" s="53">
        <f>COUNTIFS('00 Encuesta'!$B$2:$B$511,"*d)*",'00 Encuesta'!$C$2:$C$511,"*a)*",'00 Encuesta'!$E$2:$E$511,"*a)*",'00 Encuesta'!$AO$2:$AO$511,"*d)*")</f>
        <v>1</v>
      </c>
      <c r="J324" s="52">
        <f t="shared" si="448"/>
        <v>7.1428571428571423</v>
      </c>
      <c r="K324" s="53">
        <f>COUNTIFS('00 Encuesta'!$B$2:$B$511,"*d)*",'00 Encuesta'!$C$2:$C$511,"*a)*",'00 Encuesta'!$E$2:$E$511,"*b)*",'00 Encuesta'!$AO$2:$AO$511,"*d)*")</f>
        <v>0</v>
      </c>
      <c r="L324" s="52">
        <f t="shared" si="449"/>
        <v>0</v>
      </c>
      <c r="M324" s="23"/>
      <c r="N324" s="51">
        <f t="shared" si="450"/>
        <v>1</v>
      </c>
      <c r="O324" s="52">
        <f t="shared" si="451"/>
        <v>5</v>
      </c>
      <c r="P324" s="53">
        <f>COUNTIFS('00 Encuesta'!$B$2:$B$511,"*d)*",'00 Encuesta'!$C$2:$C$511,"*b)*",'00 Encuesta'!$E$2:$E$511,"*a)*",'00 Encuesta'!$AO$2:$AO$511,"*d)*")</f>
        <v>0</v>
      </c>
      <c r="Q324" s="52">
        <f t="shared" si="452"/>
        <v>0</v>
      </c>
      <c r="R324" s="53">
        <f>COUNTIFS('00 Encuesta'!$B$2:$B$511,"*d)*",'00 Encuesta'!$C$2:$C$511,"*b)*",'00 Encuesta'!$E$2:$E$511,"*b)*",'00 Encuesta'!$AO$2:$AO$511,"*d)*")</f>
        <v>1</v>
      </c>
      <c r="S324" s="52">
        <f t="shared" si="453"/>
        <v>7.6923076923076925</v>
      </c>
      <c r="T324" s="3"/>
      <c r="U324" s="51">
        <f t="shared" si="454"/>
        <v>3</v>
      </c>
      <c r="V324" s="52">
        <f t="shared" si="455"/>
        <v>15</v>
      </c>
      <c r="W324" s="53">
        <f>COUNTIFS('00 Encuesta'!$B$2:$B$511,"*d)*",'00 Encuesta'!$C$2:$C$511,"*c)*",'00 Encuesta'!$E$2:$E$511,"*a)*",'00 Encuesta'!$AO$2:$AO$511,"*d)*")</f>
        <v>0</v>
      </c>
      <c r="X324" s="52">
        <f t="shared" si="456"/>
        <v>0</v>
      </c>
      <c r="Y324" s="53">
        <f>COUNTIFS('00 Encuesta'!$B$2:$B$511,"*d)*",'00 Encuesta'!$C$2:$C$511,"*c)*",'00 Encuesta'!$E$2:$E$511,"*b)*",'00 Encuesta'!$AO$2:$AO$511,"*d)*")</f>
        <v>3</v>
      </c>
      <c r="Z324" s="52">
        <f t="shared" si="457"/>
        <v>20</v>
      </c>
      <c r="AA324" s="3"/>
      <c r="AB324" s="62">
        <f t="shared" si="458"/>
        <v>5</v>
      </c>
      <c r="AC324" s="52">
        <f t="shared" si="459"/>
        <v>7.9365079365079367</v>
      </c>
      <c r="AD324" s="3"/>
      <c r="AE324" s="3"/>
      <c r="AF324" s="9" t="str">
        <f t="shared" si="460"/>
        <v>d) Mala</v>
      </c>
      <c r="AG324" s="72">
        <f t="shared" si="461"/>
        <v>7.1428571428571423</v>
      </c>
      <c r="AH324" s="72">
        <f t="shared" si="462"/>
        <v>0</v>
      </c>
      <c r="AI324" s="73">
        <f t="shared" si="463"/>
        <v>4.3478260869565215</v>
      </c>
      <c r="AJ324" s="73"/>
      <c r="AK324" s="76">
        <f t="shared" si="464"/>
        <v>0</v>
      </c>
      <c r="AL324" s="76">
        <f t="shared" si="465"/>
        <v>7.6923076923076925</v>
      </c>
      <c r="AM324" s="76">
        <f t="shared" si="466"/>
        <v>5</v>
      </c>
      <c r="AN324" s="76"/>
      <c r="AO324" s="81">
        <f t="shared" si="467"/>
        <v>0</v>
      </c>
      <c r="AP324" s="81">
        <f t="shared" si="468"/>
        <v>20</v>
      </c>
      <c r="AQ324" s="81">
        <f t="shared" si="469"/>
        <v>15</v>
      </c>
      <c r="AR324" s="3"/>
      <c r="AS324" s="76">
        <f t="shared" si="369"/>
        <v>7.9365079365079367</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x14ac:dyDescent="0.3">
      <c r="A325" s="8" t="s">
        <v>22</v>
      </c>
      <c r="B325" s="9" t="s">
        <v>232</v>
      </c>
      <c r="C325" s="7"/>
      <c r="D325" s="7"/>
      <c r="E325" s="7"/>
      <c r="F325" s="71">
        <v>0</v>
      </c>
      <c r="G325" s="51">
        <f t="shared" si="446"/>
        <v>0</v>
      </c>
      <c r="H325" s="52">
        <f t="shared" si="447"/>
        <v>0</v>
      </c>
      <c r="I325" s="53">
        <f>COUNTIFS('00 Encuesta'!$B$2:$B$511,"*d)*",'00 Encuesta'!$C$2:$C$511,"*a)*",'00 Encuesta'!$E$2:$E$511,"*a)*",'00 Encuesta'!$AO$2:$AO$511,"*e)*")</f>
        <v>0</v>
      </c>
      <c r="J325" s="52">
        <f t="shared" si="448"/>
        <v>0</v>
      </c>
      <c r="K325" s="53">
        <f>COUNTIFS('00 Encuesta'!$B$2:$B$511,"*d)*",'00 Encuesta'!$C$2:$C$511,"*a)*",'00 Encuesta'!$E$2:$E$511,"*b)*",'00 Encuesta'!$AO$2:$AO$511,"*e)*")</f>
        <v>0</v>
      </c>
      <c r="L325" s="52">
        <f t="shared" si="449"/>
        <v>0</v>
      </c>
      <c r="M325" s="23"/>
      <c r="N325" s="51">
        <f t="shared" si="450"/>
        <v>0</v>
      </c>
      <c r="O325" s="52">
        <f t="shared" si="451"/>
        <v>0</v>
      </c>
      <c r="P325" s="53">
        <f>COUNTIFS('00 Encuesta'!$B$2:$B$511,"*d)*",'00 Encuesta'!$C$2:$C$511,"*b)*",'00 Encuesta'!$E$2:$E$511,"*a)*",'00 Encuesta'!$AO$2:$AO$511,"*e)*")</f>
        <v>0</v>
      </c>
      <c r="Q325" s="52">
        <f t="shared" si="452"/>
        <v>0</v>
      </c>
      <c r="R325" s="53">
        <f>COUNTIFS('00 Encuesta'!$B$2:$B$511,"*d)*",'00 Encuesta'!$C$2:$C$511,"*b)*",'00 Encuesta'!$E$2:$E$511,"*b)*",'00 Encuesta'!$AO$2:$AO$511,"*e)*")</f>
        <v>0</v>
      </c>
      <c r="S325" s="52">
        <f t="shared" si="453"/>
        <v>0</v>
      </c>
      <c r="T325" s="3"/>
      <c r="U325" s="51">
        <f t="shared" si="454"/>
        <v>2</v>
      </c>
      <c r="V325" s="52">
        <f t="shared" si="455"/>
        <v>10</v>
      </c>
      <c r="W325" s="53">
        <f>COUNTIFS('00 Encuesta'!$B$2:$B$511,"*d)*",'00 Encuesta'!$C$2:$C$511,"*c)*",'00 Encuesta'!$E$2:$E$511,"*a)*",'00 Encuesta'!$AO$2:$AO$511,"*e)*")</f>
        <v>1</v>
      </c>
      <c r="X325" s="52">
        <f t="shared" si="456"/>
        <v>20</v>
      </c>
      <c r="Y325" s="53">
        <f>COUNTIFS('00 Encuesta'!$B$2:$B$511,"*d)*",'00 Encuesta'!$C$2:$C$511,"*c)*",'00 Encuesta'!$E$2:$E$511,"*b)*",'00 Encuesta'!$AO$2:$AO$511,"*e)*")</f>
        <v>1</v>
      </c>
      <c r="Z325" s="52">
        <f t="shared" si="457"/>
        <v>6.666666666666667</v>
      </c>
      <c r="AA325" s="3"/>
      <c r="AB325" s="62">
        <f t="shared" si="458"/>
        <v>2</v>
      </c>
      <c r="AC325" s="52">
        <f t="shared" si="459"/>
        <v>3.1746031746031744</v>
      </c>
      <c r="AD325" s="3"/>
      <c r="AE325" s="3"/>
      <c r="AF325" s="9" t="str">
        <f t="shared" si="460"/>
        <v>e) Muy mala</v>
      </c>
      <c r="AG325" s="72">
        <f t="shared" si="461"/>
        <v>0</v>
      </c>
      <c r="AH325" s="72">
        <f t="shared" si="462"/>
        <v>0</v>
      </c>
      <c r="AI325" s="73">
        <f t="shared" si="463"/>
        <v>0</v>
      </c>
      <c r="AJ325" s="73"/>
      <c r="AK325" s="76">
        <f t="shared" si="464"/>
        <v>0</v>
      </c>
      <c r="AL325" s="76">
        <f t="shared" si="465"/>
        <v>0</v>
      </c>
      <c r="AM325" s="76">
        <f t="shared" si="466"/>
        <v>0</v>
      </c>
      <c r="AN325" s="76"/>
      <c r="AO325" s="81">
        <f t="shared" si="467"/>
        <v>20</v>
      </c>
      <c r="AP325" s="81">
        <f t="shared" si="468"/>
        <v>6.666666666666667</v>
      </c>
      <c r="AQ325" s="81">
        <f t="shared" si="469"/>
        <v>10</v>
      </c>
      <c r="AR325" s="3"/>
      <c r="AS325" s="76">
        <f t="shared" si="369"/>
        <v>3.1746031746031744</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x14ac:dyDescent="0.3">
      <c r="A326" s="8" t="s">
        <v>45</v>
      </c>
      <c r="B326" s="9" t="s">
        <v>233</v>
      </c>
      <c r="C326" s="7"/>
      <c r="D326" s="7"/>
      <c r="E326" s="7"/>
      <c r="F326" s="71"/>
      <c r="G326" s="51">
        <f t="shared" si="446"/>
        <v>1</v>
      </c>
      <c r="H326" s="52">
        <f t="shared" si="447"/>
        <v>4.3478260869565215</v>
      </c>
      <c r="I326" s="53">
        <f>COUNTIFS('00 Encuesta'!$B$2:$B$511,"*d)*",'00 Encuesta'!$C$2:$C$511,"*a)*",'00 Encuesta'!$E$2:$E$511,"*a)*",'00 Encuesta'!$AO$2:$AO$511,"*f)*")</f>
        <v>1</v>
      </c>
      <c r="J326" s="52">
        <f t="shared" si="448"/>
        <v>7.1428571428571423</v>
      </c>
      <c r="K326" s="53">
        <f>COUNTIFS('00 Encuesta'!$B$2:$B$511,"*d)*",'00 Encuesta'!$C$2:$C$511,"*a)*",'00 Encuesta'!$E$2:$E$511,"*b)*",'00 Encuesta'!$AO$2:$AO$511,"*f)*")</f>
        <v>0</v>
      </c>
      <c r="L326" s="52">
        <f t="shared" si="449"/>
        <v>0</v>
      </c>
      <c r="M326" s="23"/>
      <c r="N326" s="51">
        <f t="shared" si="450"/>
        <v>1</v>
      </c>
      <c r="O326" s="52">
        <f t="shared" si="451"/>
        <v>5</v>
      </c>
      <c r="P326" s="53">
        <f>COUNTIFS('00 Encuesta'!$B$2:$B$511,"*d)*",'00 Encuesta'!$C$2:$C$511,"*b)*",'00 Encuesta'!$E$2:$E$511,"*a)*",'00 Encuesta'!$AO$2:$AO$511,"*f)*")</f>
        <v>1</v>
      </c>
      <c r="Q326" s="52">
        <f t="shared" si="452"/>
        <v>14.285714285714285</v>
      </c>
      <c r="R326" s="53">
        <f>COUNTIFS('00 Encuesta'!$B$2:$B$511,"*d)*",'00 Encuesta'!$C$2:$C$511,"*b)*",'00 Encuesta'!$E$2:$E$511,"*b)*",'00 Encuesta'!$AO$2:$AO$511,"*f)*")</f>
        <v>0</v>
      </c>
      <c r="S326" s="52">
        <f t="shared" si="453"/>
        <v>0</v>
      </c>
      <c r="T326" s="3"/>
      <c r="U326" s="51">
        <f t="shared" si="454"/>
        <v>0</v>
      </c>
      <c r="V326" s="52">
        <f t="shared" si="455"/>
        <v>0</v>
      </c>
      <c r="W326" s="53">
        <f>COUNTIFS('00 Encuesta'!$B$2:$B$511,"*d)*",'00 Encuesta'!$C$2:$C$511,"*c)*",'00 Encuesta'!$E$2:$E$511,"*a)*",'00 Encuesta'!$AO$2:$AO$511,"*f)*")</f>
        <v>0</v>
      </c>
      <c r="X326" s="52">
        <f t="shared" si="456"/>
        <v>0</v>
      </c>
      <c r="Y326" s="53">
        <f>COUNTIFS('00 Encuesta'!$B$2:$B$511,"*d)*",'00 Encuesta'!$C$2:$C$511,"*c)*",'00 Encuesta'!$E$2:$E$511,"*b)*",'00 Encuesta'!$AO$2:$AO$511,"*f)*")</f>
        <v>0</v>
      </c>
      <c r="Z326" s="52">
        <f t="shared" si="457"/>
        <v>0</v>
      </c>
      <c r="AA326" s="3"/>
      <c r="AB326" s="62">
        <f t="shared" si="458"/>
        <v>2</v>
      </c>
      <c r="AC326" s="52">
        <f t="shared" si="459"/>
        <v>3.1746031746031744</v>
      </c>
      <c r="AD326" s="3"/>
      <c r="AE326" s="3"/>
      <c r="AF326" s="9" t="str">
        <f t="shared" si="460"/>
        <v>f) No aplica</v>
      </c>
      <c r="AG326" s="72">
        <f t="shared" si="461"/>
        <v>7.1428571428571423</v>
      </c>
      <c r="AH326" s="72">
        <f t="shared" si="462"/>
        <v>0</v>
      </c>
      <c r="AI326" s="73">
        <f t="shared" si="463"/>
        <v>4.3478260869565215</v>
      </c>
      <c r="AJ326" s="73"/>
      <c r="AK326" s="76">
        <f t="shared" si="464"/>
        <v>14.285714285714285</v>
      </c>
      <c r="AL326" s="76">
        <f t="shared" si="465"/>
        <v>0</v>
      </c>
      <c r="AM326" s="76">
        <f t="shared" si="466"/>
        <v>5</v>
      </c>
      <c r="AN326" s="76"/>
      <c r="AO326" s="81">
        <f t="shared" si="467"/>
        <v>0</v>
      </c>
      <c r="AP326" s="81">
        <f t="shared" si="468"/>
        <v>0</v>
      </c>
      <c r="AQ326" s="81">
        <f t="shared" si="469"/>
        <v>0</v>
      </c>
      <c r="AR326" s="3"/>
      <c r="AS326" s="76">
        <f t="shared" si="369"/>
        <v>3.1746031746031744</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x14ac:dyDescent="0.3">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69.230769230769226</v>
      </c>
      <c r="AH327" s="82">
        <f>($F321*K321+$F322*K322+$F323*K323+$F324*K324+$F325*K325)/(K321+K322+K323+K324+K325)</f>
        <v>78.125</v>
      </c>
      <c r="AI327" s="82">
        <f>($F321*G321+$F322*G322+$F323*G323+$F324*G324+$F325*G325)/(G321+G322+G323+G324+G325)</f>
        <v>72.61904761904762</v>
      </c>
      <c r="AJ327" s="82"/>
      <c r="AK327" s="82">
        <f>($F321*Q321+$F322*Q322+$F323*Q323+$F324*Q324+$F325*Q325)/(Q321+Q322+Q323+Q324+Q325)</f>
        <v>75</v>
      </c>
      <c r="AL327" s="82">
        <f>($F321*S321+$F322*S322+$F323*S323+$F324*S324+$F325*S325)/(S321+S322+S323+S324+S325)</f>
        <v>61.538461538461533</v>
      </c>
      <c r="AM327" s="82">
        <f>($F321*O321+$F322*O322+$F323*O323+$F324*O324+$F325*O325)/(O321+O322+O323+O324+O325)</f>
        <v>65.277777777777771</v>
      </c>
      <c r="AN327" s="82"/>
      <c r="AO327" s="82">
        <f>($F321*W321+$F322*W322+$F323*W323+$F324*W324+$F325*W325)/(W321+W322+W323+W324+W325)</f>
        <v>50</v>
      </c>
      <c r="AP327" s="82">
        <f>($F321*Y321+$F322*Y322+$F323*Y323+$F324*Y324+$F325*Y325)/(Y321+Y322+Y323+Y324+Y325)</f>
        <v>46.666666666666664</v>
      </c>
      <c r="AQ327" s="82">
        <f>($F321*U321+$F322*U322+$F323*U323+$F324*U324+$F325*U325)/(U321+U322+U323+U324+U325)</f>
        <v>47.5</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x14ac:dyDescent="0.3">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x14ac:dyDescent="0.3">
      <c r="A329" s="8" t="s">
        <v>17</v>
      </c>
      <c r="B329" s="9" t="s">
        <v>229</v>
      </c>
      <c r="C329" s="7"/>
      <c r="D329" s="7"/>
      <c r="E329" s="7"/>
      <c r="F329" s="71">
        <v>100</v>
      </c>
      <c r="G329" s="51">
        <f t="shared" ref="G329:G334" si="470">I329+K329</f>
        <v>8</v>
      </c>
      <c r="H329" s="52">
        <f t="shared" ref="H329:H334" si="471">G329/$J$5*100</f>
        <v>34.782608695652172</v>
      </c>
      <c r="I329" s="53">
        <f>COUNTIFS('00 Encuesta'!$B$2:$B$511,"*d)*",'00 Encuesta'!$C$2:$C$511,"*a)*",'00 Encuesta'!$E$2:$E$511,"*a)*",'00 Encuesta'!$AP$2:$AP$511,"*a)*")</f>
        <v>6</v>
      </c>
      <c r="J329" s="52">
        <f t="shared" ref="J329:J334" si="472">I329/$J$6*100</f>
        <v>42.857142857142854</v>
      </c>
      <c r="K329" s="53">
        <f>COUNTIFS('00 Encuesta'!$B$2:$B$511,"*d)*",'00 Encuesta'!$C$2:$C$511,"*a)*",'00 Encuesta'!$E$2:$E$511,"*b)*",'00 Encuesta'!$AP$2:$AP$511,"*a)*")</f>
        <v>2</v>
      </c>
      <c r="L329" s="52">
        <f t="shared" ref="L329:L334" si="473">K329/$J$7*100</f>
        <v>22.222222222222221</v>
      </c>
      <c r="M329" s="23"/>
      <c r="N329" s="51">
        <f t="shared" ref="N329:N334" si="474">P329+R329</f>
        <v>0</v>
      </c>
      <c r="O329" s="52">
        <f t="shared" ref="O329:O334" si="475">N329/$Q$5*100</f>
        <v>0</v>
      </c>
      <c r="P329" s="53">
        <f>COUNTIFS('00 Encuesta'!$B$2:$B$511,"*d)*",'00 Encuesta'!$C$2:$C$511,"*b)*",'00 Encuesta'!$E$2:$E$511,"*a)*",'00 Encuesta'!$AP$2:$AP$511,"*a)*")</f>
        <v>0</v>
      </c>
      <c r="Q329" s="52">
        <f t="shared" ref="Q329:Q334" si="476">P329/$Q$6*100</f>
        <v>0</v>
      </c>
      <c r="R329" s="53">
        <f>COUNTIFS('00 Encuesta'!$B$2:$B$511,"*d)*",'00 Encuesta'!$C$2:$C$511,"*b)*",'00 Encuesta'!$E$2:$E$511,"*b)*",'00 Encuesta'!$AP$2:$AP$511,"*a)*")</f>
        <v>0</v>
      </c>
      <c r="S329" s="52">
        <f t="shared" ref="S329:S334" si="477">R329/$Q$7*100</f>
        <v>0</v>
      </c>
      <c r="T329" s="3"/>
      <c r="U329" s="51">
        <f t="shared" ref="U329:U334" si="478">W329+Y329</f>
        <v>0</v>
      </c>
      <c r="V329" s="52">
        <f t="shared" ref="V329:V334" si="479">U329/$X$5*100</f>
        <v>0</v>
      </c>
      <c r="W329" s="53">
        <f>COUNTIFS('00 Encuesta'!$B$2:$B$511,"*d)*",'00 Encuesta'!$C$2:$C$511,"*c)*",'00 Encuesta'!$E$2:$E$511,"*a)*",'00 Encuesta'!$AP$2:$AP$511,"*a)*")</f>
        <v>0</v>
      </c>
      <c r="X329" s="52">
        <f t="shared" ref="X329:X334" si="480">W329/$X$6*100</f>
        <v>0</v>
      </c>
      <c r="Y329" s="53">
        <f>COUNTIFS('00 Encuesta'!$B$2:$B$511,"*d)*",'00 Encuesta'!$C$2:$C$511,"*c)*",'00 Encuesta'!$E$2:$E$511,"*b)*",'00 Encuesta'!$AP$2:$AP$511,"*a)*")</f>
        <v>0</v>
      </c>
      <c r="Z329" s="52">
        <f t="shared" ref="Z329:Z334" si="481">Y329/$X$7*100</f>
        <v>0</v>
      </c>
      <c r="AA329" s="3"/>
      <c r="AB329" s="62">
        <f t="shared" ref="AB329:AB334" si="482">G329+N329+U329</f>
        <v>8</v>
      </c>
      <c r="AC329" s="52">
        <f t="shared" ref="AC329:AC334" si="483">AB329*100/$AC$5</f>
        <v>12.698412698412698</v>
      </c>
      <c r="AD329" s="3"/>
      <c r="AE329" s="3"/>
      <c r="AF329" s="9" t="str">
        <f t="shared" ref="AF329:AF334" si="484">A329&amp;" "&amp;B329</f>
        <v>a) Muy buena</v>
      </c>
      <c r="AG329" s="72">
        <f t="shared" ref="AG329:AG334" si="485">J329</f>
        <v>42.857142857142854</v>
      </c>
      <c r="AH329" s="72">
        <f t="shared" ref="AH329:AH334" si="486">L329</f>
        <v>22.222222222222221</v>
      </c>
      <c r="AI329" s="73">
        <f t="shared" ref="AI329:AI334" si="487">H329</f>
        <v>34.782608695652172</v>
      </c>
      <c r="AJ329" s="73"/>
      <c r="AK329" s="76">
        <f t="shared" ref="AK329:AK334" si="488">Q329</f>
        <v>0</v>
      </c>
      <c r="AL329" s="76">
        <f t="shared" ref="AL329:AL334" si="489">S329</f>
        <v>0</v>
      </c>
      <c r="AM329" s="76">
        <f t="shared" ref="AM329:AM334" si="490">O329</f>
        <v>0</v>
      </c>
      <c r="AN329" s="76"/>
      <c r="AO329" s="81">
        <f t="shared" ref="AO329:AO334" si="491">X329</f>
        <v>0</v>
      </c>
      <c r="AP329" s="81">
        <f t="shared" ref="AP329:AP334" si="492">Z329</f>
        <v>0</v>
      </c>
      <c r="AQ329" s="81">
        <f t="shared" ref="AQ329:AQ334" si="493">V329</f>
        <v>0</v>
      </c>
      <c r="AR329" s="3"/>
      <c r="AS329" s="76">
        <f t="shared" si="369"/>
        <v>12.698412698412698</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x14ac:dyDescent="0.3">
      <c r="A330" s="8" t="s">
        <v>18</v>
      </c>
      <c r="B330" s="9" t="s">
        <v>230</v>
      </c>
      <c r="C330" s="7"/>
      <c r="D330" s="7"/>
      <c r="E330" s="7"/>
      <c r="F330" s="71">
        <v>75</v>
      </c>
      <c r="G330" s="51">
        <f t="shared" si="470"/>
        <v>8</v>
      </c>
      <c r="H330" s="52">
        <f t="shared" si="471"/>
        <v>34.782608695652172</v>
      </c>
      <c r="I330" s="53">
        <f>COUNTIFS('00 Encuesta'!$B$2:$B$511,"*d)*",'00 Encuesta'!$C$2:$C$511,"*a)*",'00 Encuesta'!$E$2:$E$511,"*a)*",'00 Encuesta'!$AP$2:$AP$511,"*b)*")</f>
        <v>3</v>
      </c>
      <c r="J330" s="52">
        <f t="shared" si="472"/>
        <v>21.428571428571427</v>
      </c>
      <c r="K330" s="53">
        <f>COUNTIFS('00 Encuesta'!$B$2:$B$511,"*d)*",'00 Encuesta'!$C$2:$C$511,"*a)*",'00 Encuesta'!$E$2:$E$511,"*b)*",'00 Encuesta'!$AP$2:$AP$511,"*b)*")</f>
        <v>5</v>
      </c>
      <c r="L330" s="52">
        <f t="shared" si="473"/>
        <v>55.555555555555557</v>
      </c>
      <c r="M330" s="23"/>
      <c r="N330" s="51">
        <f t="shared" si="474"/>
        <v>2</v>
      </c>
      <c r="O330" s="52">
        <f t="shared" si="475"/>
        <v>10</v>
      </c>
      <c r="P330" s="53">
        <f>COUNTIFS('00 Encuesta'!$B$2:$B$511,"*d)*",'00 Encuesta'!$C$2:$C$511,"*b)*",'00 Encuesta'!$E$2:$E$511,"*a)*",'00 Encuesta'!$AP$2:$AP$511,"*b)*")</f>
        <v>0</v>
      </c>
      <c r="Q330" s="52">
        <f t="shared" si="476"/>
        <v>0</v>
      </c>
      <c r="R330" s="53">
        <f>COUNTIFS('00 Encuesta'!$B$2:$B$511,"*d)*",'00 Encuesta'!$C$2:$C$511,"*b)*",'00 Encuesta'!$E$2:$E$511,"*b)*",'00 Encuesta'!$AP$2:$AP$511,"*b)*")</f>
        <v>2</v>
      </c>
      <c r="S330" s="52">
        <f t="shared" si="477"/>
        <v>15.384615384615385</v>
      </c>
      <c r="T330" s="3"/>
      <c r="U330" s="51">
        <f t="shared" si="478"/>
        <v>3</v>
      </c>
      <c r="V330" s="52">
        <f t="shared" si="479"/>
        <v>15</v>
      </c>
      <c r="W330" s="53">
        <f>COUNTIFS('00 Encuesta'!$B$2:$B$511,"*d)*",'00 Encuesta'!$C$2:$C$511,"*c)*",'00 Encuesta'!$E$2:$E$511,"*a)*",'00 Encuesta'!$AP$2:$AP$511,"*b)*")</f>
        <v>0</v>
      </c>
      <c r="X330" s="52">
        <f t="shared" si="480"/>
        <v>0</v>
      </c>
      <c r="Y330" s="53">
        <f>COUNTIFS('00 Encuesta'!$B$2:$B$511,"*d)*",'00 Encuesta'!$C$2:$C$511,"*c)*",'00 Encuesta'!$E$2:$E$511,"*b)*",'00 Encuesta'!$AP$2:$AP$511,"*b)*")</f>
        <v>3</v>
      </c>
      <c r="Z330" s="52">
        <f t="shared" si="481"/>
        <v>20</v>
      </c>
      <c r="AA330" s="3"/>
      <c r="AB330" s="62">
        <f t="shared" si="482"/>
        <v>13</v>
      </c>
      <c r="AC330" s="52">
        <f t="shared" si="483"/>
        <v>20.634920634920636</v>
      </c>
      <c r="AD330" s="3"/>
      <c r="AE330" s="3"/>
      <c r="AF330" s="9" t="str">
        <f t="shared" si="484"/>
        <v>b) Buena</v>
      </c>
      <c r="AG330" s="72">
        <f t="shared" si="485"/>
        <v>21.428571428571427</v>
      </c>
      <c r="AH330" s="72">
        <f t="shared" si="486"/>
        <v>55.555555555555557</v>
      </c>
      <c r="AI330" s="73">
        <f t="shared" si="487"/>
        <v>34.782608695652172</v>
      </c>
      <c r="AJ330" s="73"/>
      <c r="AK330" s="76">
        <f t="shared" si="488"/>
        <v>0</v>
      </c>
      <c r="AL330" s="76">
        <f t="shared" si="489"/>
        <v>15.384615384615385</v>
      </c>
      <c r="AM330" s="76">
        <f t="shared" si="490"/>
        <v>10</v>
      </c>
      <c r="AN330" s="76"/>
      <c r="AO330" s="81">
        <f t="shared" si="491"/>
        <v>0</v>
      </c>
      <c r="AP330" s="81">
        <f t="shared" si="492"/>
        <v>20</v>
      </c>
      <c r="AQ330" s="81">
        <f t="shared" si="493"/>
        <v>15</v>
      </c>
      <c r="AR330" s="3"/>
      <c r="AS330" s="76">
        <f t="shared" si="369"/>
        <v>20.634920634920636</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x14ac:dyDescent="0.3">
      <c r="A331" s="8" t="s">
        <v>20</v>
      </c>
      <c r="B331" s="9" t="s">
        <v>218</v>
      </c>
      <c r="C331" s="7"/>
      <c r="D331" s="7"/>
      <c r="E331" s="7"/>
      <c r="F331" s="71">
        <v>50</v>
      </c>
      <c r="G331" s="51">
        <f t="shared" si="470"/>
        <v>3</v>
      </c>
      <c r="H331" s="52">
        <f t="shared" si="471"/>
        <v>13.043478260869565</v>
      </c>
      <c r="I331" s="53">
        <f>COUNTIFS('00 Encuesta'!$B$2:$B$511,"*d)*",'00 Encuesta'!$C$2:$C$511,"*a)*",'00 Encuesta'!$E$2:$E$511,"*a)*",'00 Encuesta'!$AP$2:$AP$511,"*c)*")</f>
        <v>2</v>
      </c>
      <c r="J331" s="52">
        <f t="shared" si="472"/>
        <v>14.285714285714285</v>
      </c>
      <c r="K331" s="53">
        <f>COUNTIFS('00 Encuesta'!$B$2:$B$511,"*d)*",'00 Encuesta'!$C$2:$C$511,"*a)*",'00 Encuesta'!$E$2:$E$511,"*b)*",'00 Encuesta'!$AP$2:$AP$511,"*c)*")</f>
        <v>1</v>
      </c>
      <c r="L331" s="52">
        <f t="shared" si="473"/>
        <v>11.111111111111111</v>
      </c>
      <c r="M331" s="23"/>
      <c r="N331" s="51">
        <f t="shared" si="474"/>
        <v>7</v>
      </c>
      <c r="O331" s="52">
        <f t="shared" si="475"/>
        <v>35</v>
      </c>
      <c r="P331" s="53">
        <f>COUNTIFS('00 Encuesta'!$B$2:$B$511,"*d)*",'00 Encuesta'!$C$2:$C$511,"*b)*",'00 Encuesta'!$E$2:$E$511,"*a)*",'00 Encuesta'!$AP$2:$AP$511,"*c)*")</f>
        <v>2</v>
      </c>
      <c r="Q331" s="52">
        <f t="shared" si="476"/>
        <v>28.571428571428569</v>
      </c>
      <c r="R331" s="53">
        <f>COUNTIFS('00 Encuesta'!$B$2:$B$511,"*d)*",'00 Encuesta'!$C$2:$C$511,"*b)*",'00 Encuesta'!$E$2:$E$511,"*b)*",'00 Encuesta'!$AP$2:$AP$511,"*c)*")</f>
        <v>5</v>
      </c>
      <c r="S331" s="52">
        <f t="shared" si="477"/>
        <v>38.461538461538467</v>
      </c>
      <c r="T331" s="3"/>
      <c r="U331" s="51">
        <f t="shared" si="478"/>
        <v>5</v>
      </c>
      <c r="V331" s="52">
        <f t="shared" si="479"/>
        <v>25</v>
      </c>
      <c r="W331" s="53">
        <f>COUNTIFS('00 Encuesta'!$B$2:$B$511,"*d)*",'00 Encuesta'!$C$2:$C$511,"*c)*",'00 Encuesta'!$E$2:$E$511,"*a)*",'00 Encuesta'!$AP$2:$AP$511,"*c)*")</f>
        <v>2</v>
      </c>
      <c r="X331" s="52">
        <f t="shared" si="480"/>
        <v>40</v>
      </c>
      <c r="Y331" s="53">
        <f>COUNTIFS('00 Encuesta'!$B$2:$B$511,"*d)*",'00 Encuesta'!$C$2:$C$511,"*c)*",'00 Encuesta'!$E$2:$E$511,"*b)*",'00 Encuesta'!$AP$2:$AP$511,"*c)*")</f>
        <v>3</v>
      </c>
      <c r="Z331" s="52">
        <f t="shared" si="481"/>
        <v>20</v>
      </c>
      <c r="AA331" s="3"/>
      <c r="AB331" s="62">
        <f t="shared" si="482"/>
        <v>15</v>
      </c>
      <c r="AC331" s="52">
        <f t="shared" si="483"/>
        <v>23.80952380952381</v>
      </c>
      <c r="AD331" s="3"/>
      <c r="AE331" s="3"/>
      <c r="AF331" s="9" t="str">
        <f t="shared" si="484"/>
        <v>c) Regular</v>
      </c>
      <c r="AG331" s="72">
        <f t="shared" si="485"/>
        <v>14.285714285714285</v>
      </c>
      <c r="AH331" s="72">
        <f t="shared" si="486"/>
        <v>11.111111111111111</v>
      </c>
      <c r="AI331" s="73">
        <f t="shared" si="487"/>
        <v>13.043478260869565</v>
      </c>
      <c r="AJ331" s="73"/>
      <c r="AK331" s="76">
        <f t="shared" si="488"/>
        <v>28.571428571428569</v>
      </c>
      <c r="AL331" s="76">
        <f t="shared" si="489"/>
        <v>38.461538461538467</v>
      </c>
      <c r="AM331" s="76">
        <f t="shared" si="490"/>
        <v>35</v>
      </c>
      <c r="AN331" s="76"/>
      <c r="AO331" s="81">
        <f t="shared" si="491"/>
        <v>40</v>
      </c>
      <c r="AP331" s="81">
        <f t="shared" si="492"/>
        <v>20</v>
      </c>
      <c r="AQ331" s="81">
        <f t="shared" si="493"/>
        <v>25</v>
      </c>
      <c r="AR331" s="3"/>
      <c r="AS331" s="76">
        <f t="shared" si="369"/>
        <v>23.80952380952381</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x14ac:dyDescent="0.3">
      <c r="A332" s="8" t="s">
        <v>21</v>
      </c>
      <c r="B332" s="9" t="s">
        <v>231</v>
      </c>
      <c r="C332" s="7"/>
      <c r="D332" s="7"/>
      <c r="E332" s="7"/>
      <c r="F332" s="71">
        <v>25</v>
      </c>
      <c r="G332" s="51">
        <f t="shared" si="470"/>
        <v>1</v>
      </c>
      <c r="H332" s="52">
        <f t="shared" si="471"/>
        <v>4.3478260869565215</v>
      </c>
      <c r="I332" s="53">
        <f>COUNTIFS('00 Encuesta'!$B$2:$B$511,"*d)*",'00 Encuesta'!$C$2:$C$511,"*a)*",'00 Encuesta'!$E$2:$E$511,"*a)*",'00 Encuesta'!$AP$2:$AP$511,"*d)*")</f>
        <v>1</v>
      </c>
      <c r="J332" s="52">
        <f t="shared" si="472"/>
        <v>7.1428571428571423</v>
      </c>
      <c r="K332" s="53">
        <f>COUNTIFS('00 Encuesta'!$B$2:$B$511,"*d)*",'00 Encuesta'!$C$2:$C$511,"*a)*",'00 Encuesta'!$E$2:$E$511,"*b)*",'00 Encuesta'!$AP$2:$AP$511,"*d)*")</f>
        <v>0</v>
      </c>
      <c r="L332" s="52">
        <f t="shared" si="473"/>
        <v>0</v>
      </c>
      <c r="M332" s="23"/>
      <c r="N332" s="51">
        <f t="shared" si="474"/>
        <v>6</v>
      </c>
      <c r="O332" s="52">
        <f t="shared" si="475"/>
        <v>30</v>
      </c>
      <c r="P332" s="53">
        <f>COUNTIFS('00 Encuesta'!$B$2:$B$511,"*d)*",'00 Encuesta'!$C$2:$C$511,"*b)*",'00 Encuesta'!$E$2:$E$511,"*a)*",'00 Encuesta'!$AP$2:$AP$511,"*d)*")</f>
        <v>3</v>
      </c>
      <c r="Q332" s="52">
        <f t="shared" si="476"/>
        <v>42.857142857142854</v>
      </c>
      <c r="R332" s="53">
        <f>COUNTIFS('00 Encuesta'!$B$2:$B$511,"*d)*",'00 Encuesta'!$C$2:$C$511,"*b)*",'00 Encuesta'!$E$2:$E$511,"*b)*",'00 Encuesta'!$AP$2:$AP$511,"*d)*")</f>
        <v>3</v>
      </c>
      <c r="S332" s="52">
        <f t="shared" si="477"/>
        <v>23.076923076923077</v>
      </c>
      <c r="T332" s="3"/>
      <c r="U332" s="51">
        <f t="shared" si="478"/>
        <v>5</v>
      </c>
      <c r="V332" s="52">
        <f t="shared" si="479"/>
        <v>25</v>
      </c>
      <c r="W332" s="53">
        <f>COUNTIFS('00 Encuesta'!$B$2:$B$511,"*d)*",'00 Encuesta'!$C$2:$C$511,"*c)*",'00 Encuesta'!$E$2:$E$511,"*a)*",'00 Encuesta'!$AP$2:$AP$511,"*d)*")</f>
        <v>3</v>
      </c>
      <c r="X332" s="52">
        <f t="shared" si="480"/>
        <v>60</v>
      </c>
      <c r="Y332" s="53">
        <f>COUNTIFS('00 Encuesta'!$B$2:$B$511,"*d)*",'00 Encuesta'!$C$2:$C$511,"*c)*",'00 Encuesta'!$E$2:$E$511,"*b)*",'00 Encuesta'!$AP$2:$AP$511,"*d)*")</f>
        <v>2</v>
      </c>
      <c r="Z332" s="52">
        <f t="shared" si="481"/>
        <v>13.333333333333334</v>
      </c>
      <c r="AA332" s="3"/>
      <c r="AB332" s="62">
        <f t="shared" si="482"/>
        <v>12</v>
      </c>
      <c r="AC332" s="52">
        <f t="shared" si="483"/>
        <v>19.047619047619047</v>
      </c>
      <c r="AD332" s="3"/>
      <c r="AE332" s="3"/>
      <c r="AF332" s="9" t="str">
        <f t="shared" si="484"/>
        <v>d) Mala</v>
      </c>
      <c r="AG332" s="72">
        <f t="shared" si="485"/>
        <v>7.1428571428571423</v>
      </c>
      <c r="AH332" s="72">
        <f t="shared" si="486"/>
        <v>0</v>
      </c>
      <c r="AI332" s="73">
        <f t="shared" si="487"/>
        <v>4.3478260869565215</v>
      </c>
      <c r="AJ332" s="73"/>
      <c r="AK332" s="76">
        <f t="shared" si="488"/>
        <v>42.857142857142854</v>
      </c>
      <c r="AL332" s="76">
        <f t="shared" si="489"/>
        <v>23.076923076923077</v>
      </c>
      <c r="AM332" s="76">
        <f t="shared" si="490"/>
        <v>30</v>
      </c>
      <c r="AN332" s="76"/>
      <c r="AO332" s="81">
        <f t="shared" si="491"/>
        <v>60</v>
      </c>
      <c r="AP332" s="81">
        <f t="shared" si="492"/>
        <v>13.333333333333334</v>
      </c>
      <c r="AQ332" s="81">
        <f t="shared" si="493"/>
        <v>25</v>
      </c>
      <c r="AR332" s="3"/>
      <c r="AS332" s="76">
        <f t="shared" si="369"/>
        <v>19.047619047619047</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x14ac:dyDescent="0.3">
      <c r="A333" s="8" t="s">
        <v>22</v>
      </c>
      <c r="B333" s="9" t="s">
        <v>232</v>
      </c>
      <c r="C333" s="7"/>
      <c r="D333" s="7"/>
      <c r="E333" s="7"/>
      <c r="F333" s="71">
        <v>0</v>
      </c>
      <c r="G333" s="51">
        <f t="shared" si="470"/>
        <v>0</v>
      </c>
      <c r="H333" s="52">
        <f t="shared" si="471"/>
        <v>0</v>
      </c>
      <c r="I333" s="53">
        <f>COUNTIFS('00 Encuesta'!$B$2:$B$511,"*d)*",'00 Encuesta'!$C$2:$C$511,"*a)*",'00 Encuesta'!$E$2:$E$511,"*a)*",'00 Encuesta'!$AP$2:$AP$511,"*e)*")</f>
        <v>0</v>
      </c>
      <c r="J333" s="52">
        <f t="shared" si="472"/>
        <v>0</v>
      </c>
      <c r="K333" s="53">
        <f>COUNTIFS('00 Encuesta'!$B$2:$B$511,"*d)*",'00 Encuesta'!$C$2:$C$511,"*a)*",'00 Encuesta'!$E$2:$E$511,"*b)*",'00 Encuesta'!$AP$2:$AP$511,"*e)*")</f>
        <v>0</v>
      </c>
      <c r="L333" s="52">
        <f t="shared" si="473"/>
        <v>0</v>
      </c>
      <c r="M333" s="23"/>
      <c r="N333" s="51">
        <f t="shared" si="474"/>
        <v>4</v>
      </c>
      <c r="O333" s="52">
        <f t="shared" si="475"/>
        <v>20</v>
      </c>
      <c r="P333" s="53">
        <f>COUNTIFS('00 Encuesta'!$B$2:$B$511,"*d)*",'00 Encuesta'!$C$2:$C$511,"*b)*",'00 Encuesta'!$E$2:$E$511,"*a)*",'00 Encuesta'!$AP$2:$AP$511,"*e)*")</f>
        <v>1</v>
      </c>
      <c r="Q333" s="52">
        <f t="shared" si="476"/>
        <v>14.285714285714285</v>
      </c>
      <c r="R333" s="53">
        <f>COUNTIFS('00 Encuesta'!$B$2:$B$511,"*d)*",'00 Encuesta'!$C$2:$C$511,"*b)*",'00 Encuesta'!$E$2:$E$511,"*b)*",'00 Encuesta'!$AP$2:$AP$511,"*e)*")</f>
        <v>3</v>
      </c>
      <c r="S333" s="52">
        <f t="shared" si="477"/>
        <v>23.076923076923077</v>
      </c>
      <c r="T333" s="3"/>
      <c r="U333" s="51">
        <f t="shared" si="478"/>
        <v>4</v>
      </c>
      <c r="V333" s="52">
        <f t="shared" si="479"/>
        <v>20</v>
      </c>
      <c r="W333" s="53">
        <f>COUNTIFS('00 Encuesta'!$B$2:$B$511,"*d)*",'00 Encuesta'!$C$2:$C$511,"*c)*",'00 Encuesta'!$E$2:$E$511,"*a)*",'00 Encuesta'!$AP$2:$AP$511,"*e)*")</f>
        <v>0</v>
      </c>
      <c r="X333" s="52">
        <f t="shared" si="480"/>
        <v>0</v>
      </c>
      <c r="Y333" s="53">
        <f>COUNTIFS('00 Encuesta'!$B$2:$B$511,"*d)*",'00 Encuesta'!$C$2:$C$511,"*c)*",'00 Encuesta'!$E$2:$E$511,"*b)*",'00 Encuesta'!$AP$2:$AP$511,"*e)*")</f>
        <v>4</v>
      </c>
      <c r="Z333" s="52">
        <f t="shared" si="481"/>
        <v>26.666666666666668</v>
      </c>
      <c r="AA333" s="3"/>
      <c r="AB333" s="62">
        <f t="shared" si="482"/>
        <v>8</v>
      </c>
      <c r="AC333" s="52">
        <f t="shared" si="483"/>
        <v>12.698412698412698</v>
      </c>
      <c r="AD333" s="3"/>
      <c r="AE333" s="3"/>
      <c r="AF333" s="9" t="str">
        <f t="shared" si="484"/>
        <v>e) Muy mala</v>
      </c>
      <c r="AG333" s="72">
        <f t="shared" si="485"/>
        <v>0</v>
      </c>
      <c r="AH333" s="72">
        <f t="shared" si="486"/>
        <v>0</v>
      </c>
      <c r="AI333" s="73">
        <f t="shared" si="487"/>
        <v>0</v>
      </c>
      <c r="AJ333" s="73"/>
      <c r="AK333" s="76">
        <f t="shared" si="488"/>
        <v>14.285714285714285</v>
      </c>
      <c r="AL333" s="76">
        <f t="shared" si="489"/>
        <v>23.076923076923077</v>
      </c>
      <c r="AM333" s="76">
        <f t="shared" si="490"/>
        <v>20</v>
      </c>
      <c r="AN333" s="76"/>
      <c r="AO333" s="81">
        <f t="shared" si="491"/>
        <v>0</v>
      </c>
      <c r="AP333" s="81">
        <f t="shared" si="492"/>
        <v>26.666666666666668</v>
      </c>
      <c r="AQ333" s="81">
        <f t="shared" si="493"/>
        <v>20</v>
      </c>
      <c r="AR333" s="3"/>
      <c r="AS333" s="76">
        <f t="shared" si="369"/>
        <v>12.698412698412698</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x14ac:dyDescent="0.3">
      <c r="A334" s="8" t="s">
        <v>45</v>
      </c>
      <c r="B334" s="9" t="s">
        <v>233</v>
      </c>
      <c r="C334" s="7"/>
      <c r="D334" s="7"/>
      <c r="E334" s="7"/>
      <c r="F334" s="71"/>
      <c r="G334" s="51">
        <f t="shared" si="470"/>
        <v>1</v>
      </c>
      <c r="H334" s="52">
        <f t="shared" si="471"/>
        <v>4.3478260869565215</v>
      </c>
      <c r="I334" s="53">
        <f>COUNTIFS('00 Encuesta'!$B$2:$B$511,"*d)*",'00 Encuesta'!$C$2:$C$511,"*a)*",'00 Encuesta'!$E$2:$E$511,"*a)*",'00 Encuesta'!$AP$2:$AP$511,"*f)*")</f>
        <v>1</v>
      </c>
      <c r="J334" s="52">
        <f t="shared" si="472"/>
        <v>7.1428571428571423</v>
      </c>
      <c r="K334" s="53">
        <f>COUNTIFS('00 Encuesta'!$B$2:$B$511,"*d)*",'00 Encuesta'!$C$2:$C$511,"*a)*",'00 Encuesta'!$E$2:$E$511,"*b)*",'00 Encuesta'!$AP$2:$AP$511,"*f)*")</f>
        <v>0</v>
      </c>
      <c r="L334" s="52">
        <f t="shared" si="473"/>
        <v>0</v>
      </c>
      <c r="M334" s="23"/>
      <c r="N334" s="51">
        <f t="shared" si="474"/>
        <v>0</v>
      </c>
      <c r="O334" s="52">
        <f t="shared" si="475"/>
        <v>0</v>
      </c>
      <c r="P334" s="53">
        <f>COUNTIFS('00 Encuesta'!$B$2:$B$511,"*d)*",'00 Encuesta'!$C$2:$C$511,"*b)*",'00 Encuesta'!$E$2:$E$511,"*a)*",'00 Encuesta'!$AP$2:$AP$511,"*f)*")</f>
        <v>0</v>
      </c>
      <c r="Q334" s="52">
        <f t="shared" si="476"/>
        <v>0</v>
      </c>
      <c r="R334" s="53">
        <f>COUNTIFS('00 Encuesta'!$B$2:$B$511,"*d)*",'00 Encuesta'!$C$2:$C$511,"*b)*",'00 Encuesta'!$E$2:$E$511,"*b)*",'00 Encuesta'!$AP$2:$AP$511,"*f)*")</f>
        <v>0</v>
      </c>
      <c r="S334" s="52">
        <f t="shared" si="477"/>
        <v>0</v>
      </c>
      <c r="T334" s="3"/>
      <c r="U334" s="51">
        <f t="shared" si="478"/>
        <v>3</v>
      </c>
      <c r="V334" s="52">
        <f t="shared" si="479"/>
        <v>15</v>
      </c>
      <c r="W334" s="53">
        <f>COUNTIFS('00 Encuesta'!$B$2:$B$511,"*d)*",'00 Encuesta'!$C$2:$C$511,"*c)*",'00 Encuesta'!$E$2:$E$511,"*a)*",'00 Encuesta'!$AP$2:$AP$511,"*f)*")</f>
        <v>0</v>
      </c>
      <c r="X334" s="52">
        <f t="shared" si="480"/>
        <v>0</v>
      </c>
      <c r="Y334" s="53">
        <f>COUNTIFS('00 Encuesta'!$B$2:$B$511,"*d)*",'00 Encuesta'!$C$2:$C$511,"*c)*",'00 Encuesta'!$E$2:$E$511,"*b)*",'00 Encuesta'!$AP$2:$AP$511,"*f)*")</f>
        <v>3</v>
      </c>
      <c r="Z334" s="52">
        <f t="shared" si="481"/>
        <v>20</v>
      </c>
      <c r="AA334" s="3"/>
      <c r="AB334" s="62">
        <f t="shared" si="482"/>
        <v>4</v>
      </c>
      <c r="AC334" s="52">
        <f t="shared" si="483"/>
        <v>6.3492063492063489</v>
      </c>
      <c r="AD334" s="3"/>
      <c r="AE334" s="3"/>
      <c r="AF334" s="9" t="str">
        <f t="shared" si="484"/>
        <v>f) No aplica</v>
      </c>
      <c r="AG334" s="72">
        <f t="shared" si="485"/>
        <v>7.1428571428571423</v>
      </c>
      <c r="AH334" s="72">
        <f t="shared" si="486"/>
        <v>0</v>
      </c>
      <c r="AI334" s="73">
        <f t="shared" si="487"/>
        <v>4.3478260869565215</v>
      </c>
      <c r="AJ334" s="73"/>
      <c r="AK334" s="76">
        <f t="shared" si="488"/>
        <v>0</v>
      </c>
      <c r="AL334" s="76">
        <f t="shared" si="489"/>
        <v>0</v>
      </c>
      <c r="AM334" s="76">
        <f t="shared" si="490"/>
        <v>0</v>
      </c>
      <c r="AN334" s="76"/>
      <c r="AO334" s="81">
        <f t="shared" si="491"/>
        <v>0</v>
      </c>
      <c r="AP334" s="81">
        <f t="shared" si="492"/>
        <v>20</v>
      </c>
      <c r="AQ334" s="81">
        <f t="shared" si="493"/>
        <v>15</v>
      </c>
      <c r="AR334" s="3"/>
      <c r="AS334" s="76">
        <f t="shared" si="369"/>
        <v>6.3492063492063489</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x14ac:dyDescent="0.3">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79.166666666666671</v>
      </c>
      <c r="AH335" s="82">
        <f>($F329*K329+$F330*K330+$F331*K331+$F332*K332+$F333*K333)/(K329+K330+K331+K332+K333)</f>
        <v>78.125</v>
      </c>
      <c r="AI335" s="82">
        <f>($F329*G329+$F330*G330+$F331*G331+$F332*G332+$F333*G333)/(G329+G330+G331+G332+G333)</f>
        <v>78.75</v>
      </c>
      <c r="AJ335" s="82"/>
      <c r="AK335" s="82">
        <f>($F329*Q329+$F330*Q330+$F331*Q331+$F332*Q332+$F333*Q333)/(Q329+Q330+Q331+Q332+Q333)</f>
        <v>29.166666666666675</v>
      </c>
      <c r="AL335" s="82">
        <f>($F329*S329+$F330*S330+$F331*S331+$F332*S332+$F333*S333)/(S329+S330+S331+S332+S333)</f>
        <v>36.53846153846154</v>
      </c>
      <c r="AM335" s="82">
        <f>($F329*O329+$F330*O330+$F331*O331+$F332*O332+$F333*O333)/(O329+O330+O331+O332+O333)</f>
        <v>34.210526315789473</v>
      </c>
      <c r="AN335" s="82"/>
      <c r="AO335" s="82">
        <f>($F329*W329+$F330*W330+$F331*W331+$F332*W332+$F333*W333)/(W329+W330+W331+W332+W333)</f>
        <v>35</v>
      </c>
      <c r="AP335" s="82">
        <f>($F329*Y329+$F330*Y330+$F331*Y331+$F332*Y332+$F333*Y333)/(Y329+Y330+Y331+Y332+Y333)</f>
        <v>35.416666666666664</v>
      </c>
      <c r="AQ335" s="82">
        <f>($F329*U329+$F330*U330+$F331*U331+$F332*U332+$F333*U333)/(U329+U330+U331+U332+U333)</f>
        <v>35.294117647058826</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x14ac:dyDescent="0.3">
      <c r="A337" s="8" t="s">
        <v>17</v>
      </c>
      <c r="B337" s="9" t="s">
        <v>229</v>
      </c>
      <c r="C337" s="7"/>
      <c r="D337" s="7"/>
      <c r="E337" s="7"/>
      <c r="F337" s="71">
        <v>100</v>
      </c>
      <c r="G337" s="51">
        <f t="shared" ref="G337:G342" si="494">I337+K337</f>
        <v>8</v>
      </c>
      <c r="H337" s="52">
        <f t="shared" ref="H337:H342" si="495">G337/$J$5*100</f>
        <v>34.782608695652172</v>
      </c>
      <c r="I337" s="53">
        <f>COUNTIFS('00 Encuesta'!$B$2:$B$511,"*d)*",'00 Encuesta'!$C$2:$C$511,"*a)*",'00 Encuesta'!$E$2:$E$511,"*a)*",'00 Encuesta'!$AQ$2:$AQ$511,"*a)*")</f>
        <v>3</v>
      </c>
      <c r="J337" s="52">
        <f t="shared" ref="J337:J342" si="496">I337/$J$6*100</f>
        <v>21.428571428571427</v>
      </c>
      <c r="K337" s="53">
        <f>COUNTIFS('00 Encuesta'!$B$2:$B$511,"*d)*",'00 Encuesta'!$C$2:$C$511,"*a)*",'00 Encuesta'!$E$2:$E$511,"*b)*",'00 Encuesta'!$AQ$2:$AQ$511,"*a)*")</f>
        <v>5</v>
      </c>
      <c r="L337" s="52">
        <f t="shared" ref="L337:L342" si="497">K337/$J$7*100</f>
        <v>55.555555555555557</v>
      </c>
      <c r="M337" s="23"/>
      <c r="N337" s="51">
        <f t="shared" ref="N337:N342" si="498">P337+R337</f>
        <v>3</v>
      </c>
      <c r="O337" s="52">
        <f t="shared" ref="O337:O342" si="499">N337/$Q$5*100</f>
        <v>15</v>
      </c>
      <c r="P337" s="53">
        <f>COUNTIFS('00 Encuesta'!$B$2:$B$511,"*d)*",'00 Encuesta'!$C$2:$C$511,"*b)*",'00 Encuesta'!$E$2:$E$511,"*a)*",'00 Encuesta'!$AQ$2:$AQ$511,"*a)*")</f>
        <v>0</v>
      </c>
      <c r="Q337" s="52">
        <f t="shared" ref="Q337:Q342" si="500">P337/$Q$6*100</f>
        <v>0</v>
      </c>
      <c r="R337" s="53">
        <f>COUNTIFS('00 Encuesta'!$B$2:$B$511,"*d)*",'00 Encuesta'!$C$2:$C$511,"*b)*",'00 Encuesta'!$E$2:$E$511,"*b)*",'00 Encuesta'!$AQ$2:$AQ$511,"*a)*")</f>
        <v>3</v>
      </c>
      <c r="S337" s="52">
        <f t="shared" ref="S337:S342" si="501">R337/$Q$7*100</f>
        <v>23.076923076923077</v>
      </c>
      <c r="T337" s="3"/>
      <c r="U337" s="51">
        <f t="shared" ref="U337:U342" si="502">W337+Y337</f>
        <v>0</v>
      </c>
      <c r="V337" s="52">
        <f t="shared" ref="V337:V342" si="503">U337/$X$5*100</f>
        <v>0</v>
      </c>
      <c r="W337" s="53">
        <f>COUNTIFS('00 Encuesta'!$B$2:$B$511,"*d)*",'00 Encuesta'!$C$2:$C$511,"*c)*",'00 Encuesta'!$E$2:$E$511,"*a)*",'00 Encuesta'!$AQ$2:$AQ$511,"*a)*")</f>
        <v>0</v>
      </c>
      <c r="X337" s="52">
        <f t="shared" ref="X337:X342" si="504">W337/$X$6*100</f>
        <v>0</v>
      </c>
      <c r="Y337" s="53">
        <f>COUNTIFS('00 Encuesta'!$B$2:$B$511,"*d)*",'00 Encuesta'!$C$2:$C$511,"*c)*",'00 Encuesta'!$E$2:$E$511,"*b)*",'00 Encuesta'!$AQ$2:$AQ$511,"*a)*")</f>
        <v>0</v>
      </c>
      <c r="Z337" s="52">
        <f t="shared" ref="Z337:Z342" si="505">Y337/$X$7*100</f>
        <v>0</v>
      </c>
      <c r="AA337" s="3"/>
      <c r="AB337" s="62">
        <f t="shared" ref="AB337:AB342" si="506">G337+N337+U337</f>
        <v>11</v>
      </c>
      <c r="AC337" s="52">
        <f t="shared" ref="AC337:AC342" si="507">AB337*100/$AC$5</f>
        <v>17.460317460317459</v>
      </c>
      <c r="AD337" s="3"/>
      <c r="AE337" s="3"/>
      <c r="AF337" s="9" t="str">
        <f t="shared" ref="AF337:AF342" si="508">A337&amp;" "&amp;B337</f>
        <v>a) Muy buena</v>
      </c>
      <c r="AG337" s="72">
        <f t="shared" ref="AG337:AG342" si="509">J337</f>
        <v>21.428571428571427</v>
      </c>
      <c r="AH337" s="72">
        <f t="shared" ref="AH337:AH342" si="510">L337</f>
        <v>55.555555555555557</v>
      </c>
      <c r="AI337" s="73">
        <f t="shared" ref="AI337:AI342" si="511">H337</f>
        <v>34.782608695652172</v>
      </c>
      <c r="AJ337" s="73"/>
      <c r="AK337" s="76">
        <f t="shared" ref="AK337:AK342" si="512">Q337</f>
        <v>0</v>
      </c>
      <c r="AL337" s="76">
        <f t="shared" ref="AL337:AL342" si="513">S337</f>
        <v>23.076923076923077</v>
      </c>
      <c r="AM337" s="76">
        <f t="shared" ref="AM337:AM342" si="514">O337</f>
        <v>15</v>
      </c>
      <c r="AN337" s="76"/>
      <c r="AO337" s="81">
        <f t="shared" ref="AO337:AO342" si="515">X337</f>
        <v>0</v>
      </c>
      <c r="AP337" s="81">
        <f t="shared" ref="AP337:AP342" si="516">Z337</f>
        <v>0</v>
      </c>
      <c r="AQ337" s="81">
        <f t="shared" ref="AQ337:AQ342" si="517">V337</f>
        <v>0</v>
      </c>
      <c r="AR337" s="3"/>
      <c r="AS337" s="76">
        <f t="shared" si="369"/>
        <v>17.460317460317459</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x14ac:dyDescent="0.3">
      <c r="A338" s="8" t="s">
        <v>18</v>
      </c>
      <c r="B338" s="9" t="s">
        <v>230</v>
      </c>
      <c r="C338" s="7"/>
      <c r="D338" s="7"/>
      <c r="E338" s="7"/>
      <c r="F338" s="71">
        <v>75</v>
      </c>
      <c r="G338" s="51">
        <f t="shared" si="494"/>
        <v>11</v>
      </c>
      <c r="H338" s="52">
        <f t="shared" si="495"/>
        <v>47.826086956521742</v>
      </c>
      <c r="I338" s="53">
        <f>COUNTIFS('00 Encuesta'!$B$2:$B$511,"*d)*",'00 Encuesta'!$C$2:$C$511,"*a)*",'00 Encuesta'!$E$2:$E$511,"*a)*",'00 Encuesta'!$AQ$2:$AQ$511,"*b)*")</f>
        <v>7</v>
      </c>
      <c r="J338" s="52">
        <f t="shared" si="496"/>
        <v>50</v>
      </c>
      <c r="K338" s="53">
        <f>COUNTIFS('00 Encuesta'!$B$2:$B$511,"*d)*",'00 Encuesta'!$C$2:$C$511,"*a)*",'00 Encuesta'!$E$2:$E$511,"*b)*",'00 Encuesta'!$AQ$2:$AQ$511,"*b)*")</f>
        <v>4</v>
      </c>
      <c r="L338" s="52">
        <f t="shared" si="497"/>
        <v>44.444444444444443</v>
      </c>
      <c r="M338" s="23"/>
      <c r="N338" s="51">
        <f t="shared" si="498"/>
        <v>6</v>
      </c>
      <c r="O338" s="52">
        <f t="shared" si="499"/>
        <v>30</v>
      </c>
      <c r="P338" s="53">
        <f>COUNTIFS('00 Encuesta'!$B$2:$B$511,"*d)*",'00 Encuesta'!$C$2:$C$511,"*b)*",'00 Encuesta'!$E$2:$E$511,"*a)*",'00 Encuesta'!$AQ$2:$AQ$511,"*b)*")</f>
        <v>1</v>
      </c>
      <c r="Q338" s="52">
        <f t="shared" si="500"/>
        <v>14.285714285714285</v>
      </c>
      <c r="R338" s="53">
        <f>COUNTIFS('00 Encuesta'!$B$2:$B$511,"*d)*",'00 Encuesta'!$C$2:$C$511,"*b)*",'00 Encuesta'!$E$2:$E$511,"*b)*",'00 Encuesta'!$AQ$2:$AQ$511,"*b)*")</f>
        <v>5</v>
      </c>
      <c r="S338" s="52">
        <f t="shared" si="501"/>
        <v>38.461538461538467</v>
      </c>
      <c r="T338" s="3"/>
      <c r="U338" s="51">
        <f t="shared" si="502"/>
        <v>7</v>
      </c>
      <c r="V338" s="52">
        <f t="shared" si="503"/>
        <v>35</v>
      </c>
      <c r="W338" s="53">
        <f>COUNTIFS('00 Encuesta'!$B$2:$B$511,"*d)*",'00 Encuesta'!$C$2:$C$511,"*c)*",'00 Encuesta'!$E$2:$E$511,"*a)*",'00 Encuesta'!$AQ$2:$AQ$511,"*b)*")</f>
        <v>1</v>
      </c>
      <c r="X338" s="52">
        <f t="shared" si="504"/>
        <v>20</v>
      </c>
      <c r="Y338" s="53">
        <f>COUNTIFS('00 Encuesta'!$B$2:$B$511,"*d)*",'00 Encuesta'!$C$2:$C$511,"*c)*",'00 Encuesta'!$E$2:$E$511,"*b)*",'00 Encuesta'!$AQ$2:$AQ$511,"*b)*")</f>
        <v>6</v>
      </c>
      <c r="Z338" s="52">
        <f t="shared" si="505"/>
        <v>40</v>
      </c>
      <c r="AA338" s="3"/>
      <c r="AB338" s="62">
        <f t="shared" si="506"/>
        <v>24</v>
      </c>
      <c r="AC338" s="52">
        <f t="shared" si="507"/>
        <v>38.095238095238095</v>
      </c>
      <c r="AD338" s="3"/>
      <c r="AE338" s="3"/>
      <c r="AF338" s="9" t="str">
        <f t="shared" si="508"/>
        <v>b) Buena</v>
      </c>
      <c r="AG338" s="72">
        <f t="shared" si="509"/>
        <v>50</v>
      </c>
      <c r="AH338" s="72">
        <f t="shared" si="510"/>
        <v>44.444444444444443</v>
      </c>
      <c r="AI338" s="73">
        <f t="shared" si="511"/>
        <v>47.826086956521742</v>
      </c>
      <c r="AJ338" s="73"/>
      <c r="AK338" s="76">
        <f t="shared" si="512"/>
        <v>14.285714285714285</v>
      </c>
      <c r="AL338" s="76">
        <f t="shared" si="513"/>
        <v>38.461538461538467</v>
      </c>
      <c r="AM338" s="76">
        <f t="shared" si="514"/>
        <v>30</v>
      </c>
      <c r="AN338" s="76"/>
      <c r="AO338" s="81">
        <f t="shared" si="515"/>
        <v>20</v>
      </c>
      <c r="AP338" s="81">
        <f t="shared" si="516"/>
        <v>40</v>
      </c>
      <c r="AQ338" s="81">
        <f t="shared" si="517"/>
        <v>35</v>
      </c>
      <c r="AR338" s="3"/>
      <c r="AS338" s="76">
        <f t="shared" si="369"/>
        <v>38.095238095238095</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x14ac:dyDescent="0.3">
      <c r="A339" s="8" t="s">
        <v>20</v>
      </c>
      <c r="B339" s="9" t="s">
        <v>218</v>
      </c>
      <c r="C339" s="7"/>
      <c r="D339" s="7"/>
      <c r="E339" s="7"/>
      <c r="F339" s="71">
        <v>50</v>
      </c>
      <c r="G339" s="51">
        <f t="shared" si="494"/>
        <v>3</v>
      </c>
      <c r="H339" s="52">
        <f t="shared" si="495"/>
        <v>13.043478260869565</v>
      </c>
      <c r="I339" s="53">
        <f>COUNTIFS('00 Encuesta'!$B$2:$B$511,"*d)*",'00 Encuesta'!$C$2:$C$511,"*a)*",'00 Encuesta'!$E$2:$E$511,"*a)*",'00 Encuesta'!$AQ$2:$AQ$511,"*c)*")</f>
        <v>3</v>
      </c>
      <c r="J339" s="52">
        <f t="shared" si="496"/>
        <v>21.428571428571427</v>
      </c>
      <c r="K339" s="53">
        <f>COUNTIFS('00 Encuesta'!$B$2:$B$511,"*d)*",'00 Encuesta'!$C$2:$C$511,"*a)*",'00 Encuesta'!$E$2:$E$511,"*b)*",'00 Encuesta'!$AQ$2:$AQ$511,"*c)*")</f>
        <v>0</v>
      </c>
      <c r="L339" s="52">
        <f t="shared" si="497"/>
        <v>0</v>
      </c>
      <c r="M339" s="23"/>
      <c r="N339" s="51">
        <f t="shared" si="498"/>
        <v>7</v>
      </c>
      <c r="O339" s="52">
        <f t="shared" si="499"/>
        <v>35</v>
      </c>
      <c r="P339" s="53">
        <f>COUNTIFS('00 Encuesta'!$B$2:$B$511,"*d)*",'00 Encuesta'!$C$2:$C$511,"*b)*",'00 Encuesta'!$E$2:$E$511,"*a)*",'00 Encuesta'!$AQ$2:$AQ$511,"*c)*")</f>
        <v>3</v>
      </c>
      <c r="Q339" s="52">
        <f t="shared" si="500"/>
        <v>42.857142857142854</v>
      </c>
      <c r="R339" s="53">
        <f>COUNTIFS('00 Encuesta'!$B$2:$B$511,"*d)*",'00 Encuesta'!$C$2:$C$511,"*b)*",'00 Encuesta'!$E$2:$E$511,"*b)*",'00 Encuesta'!$AQ$2:$AQ$511,"*c)*")</f>
        <v>4</v>
      </c>
      <c r="S339" s="52">
        <f t="shared" si="501"/>
        <v>30.76923076923077</v>
      </c>
      <c r="T339" s="3"/>
      <c r="U339" s="51">
        <f t="shared" si="502"/>
        <v>10</v>
      </c>
      <c r="V339" s="52">
        <f t="shared" si="503"/>
        <v>50</v>
      </c>
      <c r="W339" s="53">
        <f>COUNTIFS('00 Encuesta'!$B$2:$B$511,"*d)*",'00 Encuesta'!$C$2:$C$511,"*c)*",'00 Encuesta'!$E$2:$E$511,"*a)*",'00 Encuesta'!$AQ$2:$AQ$511,"*c)*")</f>
        <v>3</v>
      </c>
      <c r="X339" s="52">
        <f t="shared" si="504"/>
        <v>60</v>
      </c>
      <c r="Y339" s="53">
        <f>COUNTIFS('00 Encuesta'!$B$2:$B$511,"*d)*",'00 Encuesta'!$C$2:$C$511,"*c)*",'00 Encuesta'!$E$2:$E$511,"*b)*",'00 Encuesta'!$AQ$2:$AQ$511,"*c)*")</f>
        <v>7</v>
      </c>
      <c r="Z339" s="52">
        <f t="shared" si="505"/>
        <v>46.666666666666664</v>
      </c>
      <c r="AA339" s="3"/>
      <c r="AB339" s="62">
        <f t="shared" si="506"/>
        <v>20</v>
      </c>
      <c r="AC339" s="52">
        <f t="shared" si="507"/>
        <v>31.746031746031747</v>
      </c>
      <c r="AD339" s="3"/>
      <c r="AE339" s="3"/>
      <c r="AF339" s="9" t="str">
        <f t="shared" si="508"/>
        <v>c) Regular</v>
      </c>
      <c r="AG339" s="72">
        <f t="shared" si="509"/>
        <v>21.428571428571427</v>
      </c>
      <c r="AH339" s="72">
        <f t="shared" si="510"/>
        <v>0</v>
      </c>
      <c r="AI339" s="73">
        <f t="shared" si="511"/>
        <v>13.043478260869565</v>
      </c>
      <c r="AJ339" s="73"/>
      <c r="AK339" s="76">
        <f t="shared" si="512"/>
        <v>42.857142857142854</v>
      </c>
      <c r="AL339" s="76">
        <f t="shared" si="513"/>
        <v>30.76923076923077</v>
      </c>
      <c r="AM339" s="76">
        <f t="shared" si="514"/>
        <v>35</v>
      </c>
      <c r="AN339" s="76"/>
      <c r="AO339" s="81">
        <f t="shared" si="515"/>
        <v>60</v>
      </c>
      <c r="AP339" s="81">
        <f t="shared" si="516"/>
        <v>46.666666666666664</v>
      </c>
      <c r="AQ339" s="81">
        <f t="shared" si="517"/>
        <v>50</v>
      </c>
      <c r="AR339" s="3"/>
      <c r="AS339" s="76">
        <f t="shared" si="369"/>
        <v>31.746031746031747</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x14ac:dyDescent="0.3">
      <c r="A340" s="8" t="s">
        <v>21</v>
      </c>
      <c r="B340" s="9" t="s">
        <v>231</v>
      </c>
      <c r="C340" s="7"/>
      <c r="D340" s="7"/>
      <c r="E340" s="7"/>
      <c r="F340" s="71">
        <v>25</v>
      </c>
      <c r="G340" s="51">
        <f t="shared" si="494"/>
        <v>1</v>
      </c>
      <c r="H340" s="52">
        <f t="shared" si="495"/>
        <v>4.3478260869565215</v>
      </c>
      <c r="I340" s="53">
        <f>COUNTIFS('00 Encuesta'!$B$2:$B$511,"*d)*",'00 Encuesta'!$C$2:$C$511,"*a)*",'00 Encuesta'!$E$2:$E$511,"*a)*",'00 Encuesta'!$AQ$2:$AQ$511,"*d)*")</f>
        <v>1</v>
      </c>
      <c r="J340" s="52">
        <f t="shared" si="496"/>
        <v>7.1428571428571423</v>
      </c>
      <c r="K340" s="53">
        <f>COUNTIFS('00 Encuesta'!$B$2:$B$511,"*d)*",'00 Encuesta'!$C$2:$C$511,"*a)*",'00 Encuesta'!$E$2:$E$511,"*b)*",'00 Encuesta'!$AQ$2:$AQ$511,"*d)*")</f>
        <v>0</v>
      </c>
      <c r="L340" s="52">
        <f t="shared" si="497"/>
        <v>0</v>
      </c>
      <c r="M340" s="23"/>
      <c r="N340" s="51">
        <f t="shared" si="498"/>
        <v>2</v>
      </c>
      <c r="O340" s="52">
        <f t="shared" si="499"/>
        <v>10</v>
      </c>
      <c r="P340" s="53">
        <f>COUNTIFS('00 Encuesta'!$B$2:$B$511,"*d)*",'00 Encuesta'!$C$2:$C$511,"*b)*",'00 Encuesta'!$E$2:$E$511,"*a)*",'00 Encuesta'!$AQ$2:$AQ$511,"*d)*")</f>
        <v>2</v>
      </c>
      <c r="Q340" s="52">
        <f t="shared" si="500"/>
        <v>28.571428571428569</v>
      </c>
      <c r="R340" s="53">
        <f>COUNTIFS('00 Encuesta'!$B$2:$B$511,"*d)*",'00 Encuesta'!$C$2:$C$511,"*b)*",'00 Encuesta'!$E$2:$E$511,"*b)*",'00 Encuesta'!$AQ$2:$AQ$511,"*d)*")</f>
        <v>0</v>
      </c>
      <c r="S340" s="52">
        <f t="shared" si="501"/>
        <v>0</v>
      </c>
      <c r="T340" s="3"/>
      <c r="U340" s="51">
        <f t="shared" si="502"/>
        <v>1</v>
      </c>
      <c r="V340" s="52">
        <f t="shared" si="503"/>
        <v>5</v>
      </c>
      <c r="W340" s="53">
        <f>COUNTIFS('00 Encuesta'!$B$2:$B$511,"*d)*",'00 Encuesta'!$C$2:$C$511,"*c)*",'00 Encuesta'!$E$2:$E$511,"*a)*",'00 Encuesta'!$AQ$2:$AQ$511,"*d)*")</f>
        <v>1</v>
      </c>
      <c r="X340" s="52">
        <f t="shared" si="504"/>
        <v>20</v>
      </c>
      <c r="Y340" s="53">
        <f>COUNTIFS('00 Encuesta'!$B$2:$B$511,"*d)*",'00 Encuesta'!$C$2:$C$511,"*c)*",'00 Encuesta'!$E$2:$E$511,"*b)*",'00 Encuesta'!$AQ$2:$AQ$511,"*d)*")</f>
        <v>0</v>
      </c>
      <c r="Z340" s="52">
        <f t="shared" si="505"/>
        <v>0</v>
      </c>
      <c r="AA340" s="3"/>
      <c r="AB340" s="62">
        <f t="shared" si="506"/>
        <v>4</v>
      </c>
      <c r="AC340" s="52">
        <f t="shared" si="507"/>
        <v>6.3492063492063489</v>
      </c>
      <c r="AD340" s="3"/>
      <c r="AE340" s="3"/>
      <c r="AF340" s="9" t="str">
        <f t="shared" si="508"/>
        <v>d) Mala</v>
      </c>
      <c r="AG340" s="72">
        <f t="shared" si="509"/>
        <v>7.1428571428571423</v>
      </c>
      <c r="AH340" s="72">
        <f t="shared" si="510"/>
        <v>0</v>
      </c>
      <c r="AI340" s="73">
        <f t="shared" si="511"/>
        <v>4.3478260869565215</v>
      </c>
      <c r="AJ340" s="73"/>
      <c r="AK340" s="76">
        <f t="shared" si="512"/>
        <v>28.571428571428569</v>
      </c>
      <c r="AL340" s="76">
        <f t="shared" si="513"/>
        <v>0</v>
      </c>
      <c r="AM340" s="76">
        <f t="shared" si="514"/>
        <v>10</v>
      </c>
      <c r="AN340" s="76"/>
      <c r="AO340" s="81">
        <f t="shared" si="515"/>
        <v>20</v>
      </c>
      <c r="AP340" s="81">
        <f t="shared" si="516"/>
        <v>0</v>
      </c>
      <c r="AQ340" s="81">
        <f t="shared" si="517"/>
        <v>5</v>
      </c>
      <c r="AR340" s="3"/>
      <c r="AS340" s="76">
        <f t="shared" si="369"/>
        <v>6.3492063492063489</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x14ac:dyDescent="0.3">
      <c r="A341" s="8" t="s">
        <v>22</v>
      </c>
      <c r="B341" s="9" t="s">
        <v>232</v>
      </c>
      <c r="C341" s="7"/>
      <c r="D341" s="7"/>
      <c r="E341" s="7"/>
      <c r="F341" s="71">
        <v>0</v>
      </c>
      <c r="G341" s="51">
        <f t="shared" si="494"/>
        <v>0</v>
      </c>
      <c r="H341" s="52">
        <f t="shared" si="495"/>
        <v>0</v>
      </c>
      <c r="I341" s="53">
        <f>COUNTIFS('00 Encuesta'!$B$2:$B$511,"*d)*",'00 Encuesta'!$C$2:$C$511,"*a)*",'00 Encuesta'!$E$2:$E$511,"*a)*",'00 Encuesta'!$AQ$2:$AQ$511,"*e)*")</f>
        <v>0</v>
      </c>
      <c r="J341" s="52">
        <f t="shared" si="496"/>
        <v>0</v>
      </c>
      <c r="K341" s="53">
        <f>COUNTIFS('00 Encuesta'!$B$2:$B$511,"*d)*",'00 Encuesta'!$C$2:$C$511,"*a)*",'00 Encuesta'!$E$2:$E$511,"*b)*",'00 Encuesta'!$AQ$2:$AQ$511,"*e)*")</f>
        <v>0</v>
      </c>
      <c r="L341" s="52">
        <f t="shared" si="497"/>
        <v>0</v>
      </c>
      <c r="M341" s="23"/>
      <c r="N341" s="51">
        <f t="shared" si="498"/>
        <v>1</v>
      </c>
      <c r="O341" s="52">
        <f t="shared" si="499"/>
        <v>5</v>
      </c>
      <c r="P341" s="53">
        <f>COUNTIFS('00 Encuesta'!$B$2:$B$511,"*d)*",'00 Encuesta'!$C$2:$C$511,"*b)*",'00 Encuesta'!$E$2:$E$511,"*a)*",'00 Encuesta'!$AQ$2:$AQ$511,"*e)*")</f>
        <v>0</v>
      </c>
      <c r="Q341" s="52">
        <f t="shared" si="500"/>
        <v>0</v>
      </c>
      <c r="R341" s="53">
        <f>COUNTIFS('00 Encuesta'!$B$2:$B$511,"*d)*",'00 Encuesta'!$C$2:$C$511,"*b)*",'00 Encuesta'!$E$2:$E$511,"*b)*",'00 Encuesta'!$AQ$2:$AQ$511,"*e)*")</f>
        <v>1</v>
      </c>
      <c r="S341" s="52">
        <f t="shared" si="501"/>
        <v>7.6923076923076925</v>
      </c>
      <c r="T341" s="3"/>
      <c r="U341" s="51">
        <f t="shared" si="502"/>
        <v>2</v>
      </c>
      <c r="V341" s="52">
        <f t="shared" si="503"/>
        <v>10</v>
      </c>
      <c r="W341" s="53">
        <f>COUNTIFS('00 Encuesta'!$B$2:$B$511,"*d)*",'00 Encuesta'!$C$2:$C$511,"*c)*",'00 Encuesta'!$E$2:$E$511,"*a)*",'00 Encuesta'!$AQ$2:$AQ$511,"*e)*")</f>
        <v>0</v>
      </c>
      <c r="X341" s="52">
        <f t="shared" si="504"/>
        <v>0</v>
      </c>
      <c r="Y341" s="53">
        <f>COUNTIFS('00 Encuesta'!$B$2:$B$511,"*d)*",'00 Encuesta'!$C$2:$C$511,"*c)*",'00 Encuesta'!$E$2:$E$511,"*b)*",'00 Encuesta'!$AQ$2:$AQ$511,"*e)*")</f>
        <v>2</v>
      </c>
      <c r="Z341" s="52">
        <f t="shared" si="505"/>
        <v>13.333333333333334</v>
      </c>
      <c r="AA341" s="3"/>
      <c r="AB341" s="62">
        <f t="shared" si="506"/>
        <v>3</v>
      </c>
      <c r="AC341" s="52">
        <f t="shared" si="507"/>
        <v>4.7619047619047619</v>
      </c>
      <c r="AD341" s="3"/>
      <c r="AE341" s="3"/>
      <c r="AF341" s="9" t="str">
        <f t="shared" si="508"/>
        <v>e) Muy mala</v>
      </c>
      <c r="AG341" s="72">
        <f t="shared" si="509"/>
        <v>0</v>
      </c>
      <c r="AH341" s="72">
        <f t="shared" si="510"/>
        <v>0</v>
      </c>
      <c r="AI341" s="73">
        <f t="shared" si="511"/>
        <v>0</v>
      </c>
      <c r="AJ341" s="73"/>
      <c r="AK341" s="76">
        <f t="shared" si="512"/>
        <v>0</v>
      </c>
      <c r="AL341" s="76">
        <f t="shared" si="513"/>
        <v>7.6923076923076925</v>
      </c>
      <c r="AM341" s="76">
        <f t="shared" si="514"/>
        <v>5</v>
      </c>
      <c r="AN341" s="76"/>
      <c r="AO341" s="81">
        <f t="shared" si="515"/>
        <v>0</v>
      </c>
      <c r="AP341" s="81">
        <f t="shared" si="516"/>
        <v>13.333333333333334</v>
      </c>
      <c r="AQ341" s="81">
        <f t="shared" si="517"/>
        <v>10</v>
      </c>
      <c r="AR341" s="3"/>
      <c r="AS341" s="76">
        <f t="shared" si="369"/>
        <v>4.7619047619047619</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x14ac:dyDescent="0.3">
      <c r="A342" s="8" t="s">
        <v>45</v>
      </c>
      <c r="B342" s="9" t="s">
        <v>233</v>
      </c>
      <c r="C342" s="7"/>
      <c r="D342" s="7"/>
      <c r="E342" s="7"/>
      <c r="F342" s="71"/>
      <c r="G342" s="51">
        <f t="shared" si="494"/>
        <v>0</v>
      </c>
      <c r="H342" s="52">
        <f t="shared" si="495"/>
        <v>0</v>
      </c>
      <c r="I342" s="53">
        <f>COUNTIFS('00 Encuesta'!$B$2:$B$511,"*d)*",'00 Encuesta'!$C$2:$C$511,"*a)*",'00 Encuesta'!$E$2:$E$511,"*a)*",'00 Encuesta'!$AQ$2:$AQ$511,"*f)*")</f>
        <v>0</v>
      </c>
      <c r="J342" s="52">
        <f t="shared" si="496"/>
        <v>0</v>
      </c>
      <c r="K342" s="53">
        <f>COUNTIFS('00 Encuesta'!$B$2:$B$511,"*d)*",'00 Encuesta'!$C$2:$C$511,"*a)*",'00 Encuesta'!$E$2:$E$511,"*b)*",'00 Encuesta'!$AQ$2:$AQ$511,"*f)*")</f>
        <v>0</v>
      </c>
      <c r="L342" s="52">
        <f t="shared" si="497"/>
        <v>0</v>
      </c>
      <c r="M342" s="23"/>
      <c r="N342" s="51">
        <f t="shared" si="498"/>
        <v>1</v>
      </c>
      <c r="O342" s="52">
        <f t="shared" si="499"/>
        <v>5</v>
      </c>
      <c r="P342" s="53">
        <f>COUNTIFS('00 Encuesta'!$B$2:$B$511,"*d)*",'00 Encuesta'!$C$2:$C$511,"*b)*",'00 Encuesta'!$E$2:$E$511,"*a)*",'00 Encuesta'!$AQ$2:$AQ$511,"*f)*")</f>
        <v>1</v>
      </c>
      <c r="Q342" s="52">
        <f t="shared" si="500"/>
        <v>14.285714285714285</v>
      </c>
      <c r="R342" s="53">
        <f>COUNTIFS('00 Encuesta'!$B$2:$B$511,"*d)*",'00 Encuesta'!$C$2:$C$511,"*b)*",'00 Encuesta'!$E$2:$E$511,"*b)*",'00 Encuesta'!$AQ$2:$AQ$511,"*f)*")</f>
        <v>0</v>
      </c>
      <c r="S342" s="52">
        <f t="shared" si="501"/>
        <v>0</v>
      </c>
      <c r="T342" s="3"/>
      <c r="U342" s="51">
        <f t="shared" si="502"/>
        <v>0</v>
      </c>
      <c r="V342" s="52">
        <f t="shared" si="503"/>
        <v>0</v>
      </c>
      <c r="W342" s="53">
        <f>COUNTIFS('00 Encuesta'!$B$2:$B$511,"*d)*",'00 Encuesta'!$C$2:$C$511,"*c)*",'00 Encuesta'!$E$2:$E$511,"*a)*",'00 Encuesta'!$AQ$2:$AQ$511,"*f)*")</f>
        <v>0</v>
      </c>
      <c r="X342" s="52">
        <f t="shared" si="504"/>
        <v>0</v>
      </c>
      <c r="Y342" s="53">
        <f>COUNTIFS('00 Encuesta'!$B$2:$B$511,"*d)*",'00 Encuesta'!$C$2:$C$511,"*c)*",'00 Encuesta'!$E$2:$E$511,"*b)*",'00 Encuesta'!$AQ$2:$AQ$511,"*f)*")</f>
        <v>0</v>
      </c>
      <c r="Z342" s="52">
        <f t="shared" si="505"/>
        <v>0</v>
      </c>
      <c r="AA342" s="3"/>
      <c r="AB342" s="62">
        <f t="shared" si="506"/>
        <v>1</v>
      </c>
      <c r="AC342" s="52">
        <f t="shared" si="507"/>
        <v>1.5873015873015872</v>
      </c>
      <c r="AD342" s="3"/>
      <c r="AE342" s="3"/>
      <c r="AF342" s="9" t="str">
        <f t="shared" si="508"/>
        <v>f) No aplica</v>
      </c>
      <c r="AG342" s="72">
        <f t="shared" si="509"/>
        <v>0</v>
      </c>
      <c r="AH342" s="72">
        <f t="shared" si="510"/>
        <v>0</v>
      </c>
      <c r="AI342" s="73">
        <f t="shared" si="511"/>
        <v>0</v>
      </c>
      <c r="AJ342" s="73"/>
      <c r="AK342" s="76">
        <f t="shared" si="512"/>
        <v>14.285714285714285</v>
      </c>
      <c r="AL342" s="76">
        <f t="shared" si="513"/>
        <v>0</v>
      </c>
      <c r="AM342" s="76">
        <f t="shared" si="514"/>
        <v>5</v>
      </c>
      <c r="AN342" s="76"/>
      <c r="AO342" s="81">
        <f t="shared" si="515"/>
        <v>0</v>
      </c>
      <c r="AP342" s="81">
        <f t="shared" si="516"/>
        <v>0</v>
      </c>
      <c r="AQ342" s="81">
        <f t="shared" si="517"/>
        <v>0</v>
      </c>
      <c r="AR342" s="3"/>
      <c r="AS342" s="76">
        <f t="shared" si="369"/>
        <v>1.5873015873015872</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x14ac:dyDescent="0.3">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71.428571428571431</v>
      </c>
      <c r="AH343" s="82">
        <f>($F337*K337+$F338*K338+$F339*K339+$F340*K340+$F341*K341)/(K337+K338+K339+K340+K341)</f>
        <v>88.888888888888886</v>
      </c>
      <c r="AI343" s="82">
        <f>($F337*G337+$F338*G338+$F339*G339+$F340*G340+$F341*G341)/(G337+G338+G339+G340+G341)</f>
        <v>78.260869565217391</v>
      </c>
      <c r="AJ343" s="82"/>
      <c r="AK343" s="82">
        <f>($F337*Q337+$F338*Q338+$F339*Q339+$F340*Q340+$F341*Q341)/(Q337+Q338+Q339+Q340+Q341)</f>
        <v>45.833333333333329</v>
      </c>
      <c r="AL343" s="82">
        <f>($F337*S337+$F338*S338+$F339*S339+$F340*S340+$F341*S341)/(S337+S338+S339+S340+S341)</f>
        <v>67.307692307692307</v>
      </c>
      <c r="AM343" s="82">
        <f>($F337*O337+$F338*O338+$F339*O339+$F340*O340+$F341*O341)/(O337+O338+O339+O340+O341)</f>
        <v>60.526315789473685</v>
      </c>
      <c r="AN343" s="82"/>
      <c r="AO343" s="82">
        <f>($F337*W337+$F338*W338+$F339*W339+$F340*W340+$F341*W341)/(W337+W338+W339+W340+W341)</f>
        <v>50</v>
      </c>
      <c r="AP343" s="82">
        <f>($F337*Y337+$F338*Y338+$F339*Y339+$F340*Y340+$F341*Y341)/(Y337+Y338+Y339+Y340+Y341)</f>
        <v>53.333333333333336</v>
      </c>
      <c r="AQ343" s="82">
        <f>($F337*U337+$F338*U338+$F339*U339+$F340*U340+$F341*U341)/(U337+U338+U339+U340+U341)</f>
        <v>52.5</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x14ac:dyDescent="0.3">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x14ac:dyDescent="0.3">
      <c r="A345" s="8" t="s">
        <v>17</v>
      </c>
      <c r="B345" s="9" t="s">
        <v>229</v>
      </c>
      <c r="C345" s="7"/>
      <c r="D345" s="7"/>
      <c r="E345" s="7"/>
      <c r="F345" s="71">
        <v>100</v>
      </c>
      <c r="G345" s="51">
        <f t="shared" ref="G345:G350" si="518">I345+K345</f>
        <v>15</v>
      </c>
      <c r="H345" s="52">
        <f t="shared" ref="H345:H350" si="519">G345/$J$5*100</f>
        <v>65.217391304347828</v>
      </c>
      <c r="I345" s="53">
        <f>COUNTIFS('00 Encuesta'!$B$2:$B$511,"*d)*",'00 Encuesta'!$C$2:$C$511,"*a)*",'00 Encuesta'!$E$2:$E$511,"*a)*",'00 Encuesta'!$AR$2:$AR$511,"*a)*")</f>
        <v>9</v>
      </c>
      <c r="J345" s="52">
        <f t="shared" ref="J345:J350" si="520">I345/$J$6*100</f>
        <v>64.285714285714292</v>
      </c>
      <c r="K345" s="53">
        <f>COUNTIFS('00 Encuesta'!$B$2:$B$511,"*d)*",'00 Encuesta'!$C$2:$C$511,"*a)*",'00 Encuesta'!$E$2:$E$511,"*b)*",'00 Encuesta'!$AR$2:$AR$511,"*a)*")</f>
        <v>6</v>
      </c>
      <c r="L345" s="52">
        <f t="shared" ref="L345:L350" si="521">K345/$J$7*100</f>
        <v>66.666666666666657</v>
      </c>
      <c r="M345" s="23"/>
      <c r="N345" s="51">
        <f t="shared" ref="N345:N350" si="522">P345+R345</f>
        <v>5</v>
      </c>
      <c r="O345" s="52">
        <f t="shared" ref="O345:O350" si="523">N345/$Q$5*100</f>
        <v>25</v>
      </c>
      <c r="P345" s="53">
        <f>COUNTIFS('00 Encuesta'!$B$2:$B$511,"*d)*",'00 Encuesta'!$C$2:$C$511,"*b)*",'00 Encuesta'!$E$2:$E$511,"*a)*",'00 Encuesta'!$AR$2:$AR$511,"*a)*")</f>
        <v>2</v>
      </c>
      <c r="Q345" s="52">
        <f t="shared" ref="Q345:Q350" si="524">P345/$Q$6*100</f>
        <v>28.571428571428569</v>
      </c>
      <c r="R345" s="53">
        <f>COUNTIFS('00 Encuesta'!$B$2:$B$511,"*d)*",'00 Encuesta'!$C$2:$C$511,"*b)*",'00 Encuesta'!$E$2:$E$511,"*b)*",'00 Encuesta'!$AR$2:$AR$511,"*a)*")</f>
        <v>3</v>
      </c>
      <c r="S345" s="52">
        <f t="shared" ref="S345:S350" si="525">R345/$Q$7*100</f>
        <v>23.076923076923077</v>
      </c>
      <c r="T345" s="3"/>
      <c r="U345" s="51">
        <f t="shared" ref="U345:U350" si="526">W345+Y345</f>
        <v>1</v>
      </c>
      <c r="V345" s="52">
        <f t="shared" ref="V345:V350" si="527">U345/$X$5*100</f>
        <v>5</v>
      </c>
      <c r="W345" s="53">
        <f>COUNTIFS('00 Encuesta'!$B$2:$B$511,"*d)*",'00 Encuesta'!$C$2:$C$511,"*c)*",'00 Encuesta'!$E$2:$E$511,"*a)*",'00 Encuesta'!$AR$2:$AR$511,"*a)*")</f>
        <v>1</v>
      </c>
      <c r="X345" s="52">
        <f t="shared" ref="X345:X350" si="528">W345/$X$6*100</f>
        <v>20</v>
      </c>
      <c r="Y345" s="53">
        <f>COUNTIFS('00 Encuesta'!$B$2:$B$511,"*d)*",'00 Encuesta'!$C$2:$C$511,"*c)*",'00 Encuesta'!$E$2:$E$511,"*b)*",'00 Encuesta'!$AR$2:$AR$511,"*a)*")</f>
        <v>0</v>
      </c>
      <c r="Z345" s="52">
        <f t="shared" ref="Z345:Z350" si="529">Y345/$X$7*100</f>
        <v>0</v>
      </c>
      <c r="AA345" s="3"/>
      <c r="AB345" s="62">
        <f t="shared" ref="AB345:AB350" si="530">G345+N345+U345</f>
        <v>21</v>
      </c>
      <c r="AC345" s="52">
        <f t="shared" ref="AC345:AC350" si="531">AB345*100/$AC$5</f>
        <v>33.333333333333336</v>
      </c>
      <c r="AD345" s="3"/>
      <c r="AE345" s="3"/>
      <c r="AF345" s="9" t="str">
        <f t="shared" ref="AF345:AF351" si="532">A345&amp;" "&amp;B345</f>
        <v>a) Muy buena</v>
      </c>
      <c r="AG345" s="72">
        <f t="shared" ref="AG345:AG350" si="533">J345</f>
        <v>64.285714285714292</v>
      </c>
      <c r="AH345" s="72">
        <f t="shared" ref="AH345:AH350" si="534">L345</f>
        <v>66.666666666666657</v>
      </c>
      <c r="AI345" s="73">
        <f t="shared" ref="AI345:AI350" si="535">H345</f>
        <v>65.217391304347828</v>
      </c>
      <c r="AJ345" s="73"/>
      <c r="AK345" s="76">
        <f t="shared" ref="AK345:AK350" si="536">Q345</f>
        <v>28.571428571428569</v>
      </c>
      <c r="AL345" s="76">
        <f t="shared" ref="AL345:AL350" si="537">S345</f>
        <v>23.076923076923077</v>
      </c>
      <c r="AM345" s="76">
        <f t="shared" ref="AM345:AM350" si="538">O345</f>
        <v>25</v>
      </c>
      <c r="AN345" s="76"/>
      <c r="AO345" s="81">
        <f t="shared" ref="AO345:AO350" si="539">X345</f>
        <v>20</v>
      </c>
      <c r="AP345" s="81">
        <f t="shared" ref="AP345:AP350" si="540">Z345</f>
        <v>0</v>
      </c>
      <c r="AQ345" s="81">
        <f t="shared" ref="AQ345:AQ350" si="541">V345</f>
        <v>5</v>
      </c>
      <c r="AR345" s="3"/>
      <c r="AS345" s="76">
        <f t="shared" ref="AS345:AS408" si="542">AC345</f>
        <v>33.333333333333336</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x14ac:dyDescent="0.3">
      <c r="A346" s="8" t="s">
        <v>18</v>
      </c>
      <c r="B346" s="9" t="s">
        <v>230</v>
      </c>
      <c r="C346" s="7"/>
      <c r="D346" s="7"/>
      <c r="E346" s="7"/>
      <c r="F346" s="71">
        <v>75</v>
      </c>
      <c r="G346" s="51">
        <f t="shared" si="518"/>
        <v>4</v>
      </c>
      <c r="H346" s="52">
        <f t="shared" si="519"/>
        <v>17.391304347826086</v>
      </c>
      <c r="I346" s="53">
        <f>COUNTIFS('00 Encuesta'!$B$2:$B$511,"*d)*",'00 Encuesta'!$C$2:$C$511,"*a)*",'00 Encuesta'!$E$2:$E$511,"*a)*",'00 Encuesta'!$AR$2:$AR$511,"*b)*")</f>
        <v>2</v>
      </c>
      <c r="J346" s="52">
        <f t="shared" si="520"/>
        <v>14.285714285714285</v>
      </c>
      <c r="K346" s="53">
        <f>COUNTIFS('00 Encuesta'!$B$2:$B$511,"*d)*",'00 Encuesta'!$C$2:$C$511,"*a)*",'00 Encuesta'!$E$2:$E$511,"*b)*",'00 Encuesta'!$AR$2:$AR$511,"*b)*")</f>
        <v>2</v>
      </c>
      <c r="L346" s="52">
        <f t="shared" si="521"/>
        <v>22.222222222222221</v>
      </c>
      <c r="M346" s="23"/>
      <c r="N346" s="51">
        <f t="shared" si="522"/>
        <v>7</v>
      </c>
      <c r="O346" s="52">
        <f t="shared" si="523"/>
        <v>35</v>
      </c>
      <c r="P346" s="53">
        <f>COUNTIFS('00 Encuesta'!$B$2:$B$511,"*d)*",'00 Encuesta'!$C$2:$C$511,"*b)*",'00 Encuesta'!$E$2:$E$511,"*a)*",'00 Encuesta'!$AR$2:$AR$511,"*b)*")</f>
        <v>1</v>
      </c>
      <c r="Q346" s="52">
        <f t="shared" si="524"/>
        <v>14.285714285714285</v>
      </c>
      <c r="R346" s="53">
        <f>COUNTIFS('00 Encuesta'!$B$2:$B$511,"*d)*",'00 Encuesta'!$C$2:$C$511,"*b)*",'00 Encuesta'!$E$2:$E$511,"*b)*",'00 Encuesta'!$AR$2:$AR$511,"*b)*")</f>
        <v>6</v>
      </c>
      <c r="S346" s="52">
        <f t="shared" si="525"/>
        <v>46.153846153846153</v>
      </c>
      <c r="T346" s="3"/>
      <c r="U346" s="51">
        <f t="shared" si="526"/>
        <v>6</v>
      </c>
      <c r="V346" s="52">
        <f t="shared" si="527"/>
        <v>30</v>
      </c>
      <c r="W346" s="53">
        <f>COUNTIFS('00 Encuesta'!$B$2:$B$511,"*d)*",'00 Encuesta'!$C$2:$C$511,"*c)*",'00 Encuesta'!$E$2:$E$511,"*a)*",'00 Encuesta'!$AR$2:$AR$511,"*b)*")</f>
        <v>0</v>
      </c>
      <c r="X346" s="52">
        <f t="shared" si="528"/>
        <v>0</v>
      </c>
      <c r="Y346" s="53">
        <f>COUNTIFS('00 Encuesta'!$B$2:$B$511,"*d)*",'00 Encuesta'!$C$2:$C$511,"*c)*",'00 Encuesta'!$E$2:$E$511,"*b)*",'00 Encuesta'!$AR$2:$AR$511,"*b)*")</f>
        <v>6</v>
      </c>
      <c r="Z346" s="52">
        <f t="shared" si="529"/>
        <v>40</v>
      </c>
      <c r="AA346" s="3"/>
      <c r="AB346" s="62">
        <f t="shared" si="530"/>
        <v>17</v>
      </c>
      <c r="AC346" s="52">
        <f t="shared" si="531"/>
        <v>26.984126984126984</v>
      </c>
      <c r="AD346" s="3"/>
      <c r="AE346" s="3"/>
      <c r="AF346" s="9" t="str">
        <f t="shared" si="532"/>
        <v>b) Buena</v>
      </c>
      <c r="AG346" s="72">
        <f t="shared" si="533"/>
        <v>14.285714285714285</v>
      </c>
      <c r="AH346" s="72">
        <f t="shared" si="534"/>
        <v>22.222222222222221</v>
      </c>
      <c r="AI346" s="73">
        <f t="shared" si="535"/>
        <v>17.391304347826086</v>
      </c>
      <c r="AJ346" s="73"/>
      <c r="AK346" s="76">
        <f t="shared" si="536"/>
        <v>14.285714285714285</v>
      </c>
      <c r="AL346" s="76">
        <f t="shared" si="537"/>
        <v>46.153846153846153</v>
      </c>
      <c r="AM346" s="76">
        <f t="shared" si="538"/>
        <v>35</v>
      </c>
      <c r="AN346" s="76"/>
      <c r="AO346" s="81">
        <f t="shared" si="539"/>
        <v>0</v>
      </c>
      <c r="AP346" s="81">
        <f t="shared" si="540"/>
        <v>40</v>
      </c>
      <c r="AQ346" s="81">
        <f t="shared" si="541"/>
        <v>30</v>
      </c>
      <c r="AR346" s="3"/>
      <c r="AS346" s="76">
        <f t="shared" si="542"/>
        <v>26.984126984126984</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x14ac:dyDescent="0.3">
      <c r="A347" s="8" t="s">
        <v>20</v>
      </c>
      <c r="B347" s="9" t="s">
        <v>218</v>
      </c>
      <c r="C347" s="7"/>
      <c r="D347" s="7"/>
      <c r="E347" s="7"/>
      <c r="F347" s="71">
        <v>50</v>
      </c>
      <c r="G347" s="51">
        <f t="shared" si="518"/>
        <v>2</v>
      </c>
      <c r="H347" s="52">
        <f t="shared" si="519"/>
        <v>8.695652173913043</v>
      </c>
      <c r="I347" s="53">
        <f>COUNTIFS('00 Encuesta'!$B$2:$B$511,"*d)*",'00 Encuesta'!$C$2:$C$511,"*a)*",'00 Encuesta'!$E$2:$E$511,"*a)*",'00 Encuesta'!$AR$2:$AR$511,"*c)*")</f>
        <v>2</v>
      </c>
      <c r="J347" s="52">
        <f t="shared" si="520"/>
        <v>14.285714285714285</v>
      </c>
      <c r="K347" s="53">
        <f>COUNTIFS('00 Encuesta'!$B$2:$B$511,"*d)*",'00 Encuesta'!$C$2:$C$511,"*a)*",'00 Encuesta'!$E$2:$E$511,"*b)*",'00 Encuesta'!$AR$2:$AR$511,"*c)*")</f>
        <v>0</v>
      </c>
      <c r="L347" s="52">
        <f t="shared" si="521"/>
        <v>0</v>
      </c>
      <c r="M347" s="23"/>
      <c r="N347" s="51">
        <f t="shared" si="522"/>
        <v>6</v>
      </c>
      <c r="O347" s="52">
        <f t="shared" si="523"/>
        <v>30</v>
      </c>
      <c r="P347" s="53">
        <f>COUNTIFS('00 Encuesta'!$B$2:$B$511,"*d)*",'00 Encuesta'!$C$2:$C$511,"*b)*",'00 Encuesta'!$E$2:$E$511,"*a)*",'00 Encuesta'!$AR$2:$AR$511,"*c)*")</f>
        <v>3</v>
      </c>
      <c r="Q347" s="52">
        <f t="shared" si="524"/>
        <v>42.857142857142854</v>
      </c>
      <c r="R347" s="53">
        <f>COUNTIFS('00 Encuesta'!$B$2:$B$511,"*d)*",'00 Encuesta'!$C$2:$C$511,"*b)*",'00 Encuesta'!$E$2:$E$511,"*b)*",'00 Encuesta'!$AR$2:$AR$511,"*c)*")</f>
        <v>3</v>
      </c>
      <c r="S347" s="52">
        <f t="shared" si="525"/>
        <v>23.076923076923077</v>
      </c>
      <c r="T347" s="3"/>
      <c r="U347" s="51">
        <f t="shared" si="526"/>
        <v>5</v>
      </c>
      <c r="V347" s="52">
        <f t="shared" si="527"/>
        <v>25</v>
      </c>
      <c r="W347" s="53">
        <f>COUNTIFS('00 Encuesta'!$B$2:$B$511,"*d)*",'00 Encuesta'!$C$2:$C$511,"*c)*",'00 Encuesta'!$E$2:$E$511,"*a)*",'00 Encuesta'!$AR$2:$AR$511,"*c)*")</f>
        <v>1</v>
      </c>
      <c r="X347" s="52">
        <f t="shared" si="528"/>
        <v>20</v>
      </c>
      <c r="Y347" s="53">
        <f>COUNTIFS('00 Encuesta'!$B$2:$B$511,"*d)*",'00 Encuesta'!$C$2:$C$511,"*c)*",'00 Encuesta'!$E$2:$E$511,"*b)*",'00 Encuesta'!$AR$2:$AR$511,"*c)*")</f>
        <v>4</v>
      </c>
      <c r="Z347" s="52">
        <f t="shared" si="529"/>
        <v>26.666666666666668</v>
      </c>
      <c r="AA347" s="3"/>
      <c r="AB347" s="62">
        <f t="shared" si="530"/>
        <v>13</v>
      </c>
      <c r="AC347" s="52">
        <f t="shared" si="531"/>
        <v>20.634920634920636</v>
      </c>
      <c r="AD347" s="3"/>
      <c r="AE347" s="3"/>
      <c r="AF347" s="9" t="str">
        <f t="shared" si="532"/>
        <v>c) Regular</v>
      </c>
      <c r="AG347" s="72">
        <f t="shared" si="533"/>
        <v>14.285714285714285</v>
      </c>
      <c r="AH347" s="72">
        <f t="shared" si="534"/>
        <v>0</v>
      </c>
      <c r="AI347" s="73">
        <f t="shared" si="535"/>
        <v>8.695652173913043</v>
      </c>
      <c r="AJ347" s="73"/>
      <c r="AK347" s="76">
        <f t="shared" si="536"/>
        <v>42.857142857142854</v>
      </c>
      <c r="AL347" s="76">
        <f t="shared" si="537"/>
        <v>23.076923076923077</v>
      </c>
      <c r="AM347" s="76">
        <f t="shared" si="538"/>
        <v>30</v>
      </c>
      <c r="AN347" s="76"/>
      <c r="AO347" s="81">
        <f t="shared" si="539"/>
        <v>20</v>
      </c>
      <c r="AP347" s="81">
        <f t="shared" si="540"/>
        <v>26.666666666666668</v>
      </c>
      <c r="AQ347" s="81">
        <f t="shared" si="541"/>
        <v>25</v>
      </c>
      <c r="AR347" s="3"/>
      <c r="AS347" s="76">
        <f t="shared" si="542"/>
        <v>20.634920634920636</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x14ac:dyDescent="0.3">
      <c r="A348" s="8" t="s">
        <v>21</v>
      </c>
      <c r="B348" s="9" t="s">
        <v>231</v>
      </c>
      <c r="C348" s="7"/>
      <c r="D348" s="7"/>
      <c r="E348" s="7"/>
      <c r="F348" s="71">
        <v>25</v>
      </c>
      <c r="G348" s="51">
        <f t="shared" si="518"/>
        <v>0</v>
      </c>
      <c r="H348" s="52">
        <f t="shared" si="519"/>
        <v>0</v>
      </c>
      <c r="I348" s="53">
        <f>COUNTIFS('00 Encuesta'!$B$2:$B$511,"*d)*",'00 Encuesta'!$C$2:$C$511,"*a)*",'00 Encuesta'!$E$2:$E$511,"*a)*",'00 Encuesta'!$AR$2:$AR$511,"*d)*")</f>
        <v>0</v>
      </c>
      <c r="J348" s="52">
        <f t="shared" si="520"/>
        <v>0</v>
      </c>
      <c r="K348" s="53">
        <f>COUNTIFS('00 Encuesta'!$B$2:$B$511,"*d)*",'00 Encuesta'!$C$2:$C$511,"*a)*",'00 Encuesta'!$E$2:$E$511,"*b)*",'00 Encuesta'!$AR$2:$AR$511,"*d)*")</f>
        <v>0</v>
      </c>
      <c r="L348" s="52">
        <f t="shared" si="521"/>
        <v>0</v>
      </c>
      <c r="M348" s="23"/>
      <c r="N348" s="51">
        <f t="shared" si="522"/>
        <v>2</v>
      </c>
      <c r="O348" s="52">
        <f t="shared" si="523"/>
        <v>10</v>
      </c>
      <c r="P348" s="53">
        <f>COUNTIFS('00 Encuesta'!$B$2:$B$511,"*d)*",'00 Encuesta'!$C$2:$C$511,"*b)*",'00 Encuesta'!$E$2:$E$511,"*a)*",'00 Encuesta'!$AR$2:$AR$511,"*d)*")</f>
        <v>1</v>
      </c>
      <c r="Q348" s="52">
        <f t="shared" si="524"/>
        <v>14.285714285714285</v>
      </c>
      <c r="R348" s="53">
        <f>COUNTIFS('00 Encuesta'!$B$2:$B$511,"*d)*",'00 Encuesta'!$C$2:$C$511,"*b)*",'00 Encuesta'!$E$2:$E$511,"*b)*",'00 Encuesta'!$AR$2:$AR$511,"*d)*")</f>
        <v>1</v>
      </c>
      <c r="S348" s="52">
        <f t="shared" si="525"/>
        <v>7.6923076923076925</v>
      </c>
      <c r="T348" s="3"/>
      <c r="U348" s="51">
        <f t="shared" si="526"/>
        <v>5</v>
      </c>
      <c r="V348" s="52">
        <f t="shared" si="527"/>
        <v>25</v>
      </c>
      <c r="W348" s="53">
        <f>COUNTIFS('00 Encuesta'!$B$2:$B$511,"*d)*",'00 Encuesta'!$C$2:$C$511,"*c)*",'00 Encuesta'!$E$2:$E$511,"*a)*",'00 Encuesta'!$AR$2:$AR$511,"*d)*")</f>
        <v>2</v>
      </c>
      <c r="X348" s="52">
        <f t="shared" si="528"/>
        <v>40</v>
      </c>
      <c r="Y348" s="53">
        <f>COUNTIFS('00 Encuesta'!$B$2:$B$511,"*d)*",'00 Encuesta'!$C$2:$C$511,"*c)*",'00 Encuesta'!$E$2:$E$511,"*b)*",'00 Encuesta'!$AR$2:$AR$511,"*d)*")</f>
        <v>3</v>
      </c>
      <c r="Z348" s="52">
        <f t="shared" si="529"/>
        <v>20</v>
      </c>
      <c r="AA348" s="3"/>
      <c r="AB348" s="62">
        <f t="shared" si="530"/>
        <v>7</v>
      </c>
      <c r="AC348" s="52">
        <f t="shared" si="531"/>
        <v>11.111111111111111</v>
      </c>
      <c r="AD348" s="3"/>
      <c r="AE348" s="3"/>
      <c r="AF348" s="9" t="str">
        <f t="shared" si="532"/>
        <v>d) Mala</v>
      </c>
      <c r="AG348" s="72">
        <f t="shared" si="533"/>
        <v>0</v>
      </c>
      <c r="AH348" s="72">
        <f t="shared" si="534"/>
        <v>0</v>
      </c>
      <c r="AI348" s="73">
        <f t="shared" si="535"/>
        <v>0</v>
      </c>
      <c r="AJ348" s="73"/>
      <c r="AK348" s="76">
        <f t="shared" si="536"/>
        <v>14.285714285714285</v>
      </c>
      <c r="AL348" s="76">
        <f t="shared" si="537"/>
        <v>7.6923076923076925</v>
      </c>
      <c r="AM348" s="76">
        <f t="shared" si="538"/>
        <v>10</v>
      </c>
      <c r="AN348" s="76"/>
      <c r="AO348" s="81">
        <f t="shared" si="539"/>
        <v>40</v>
      </c>
      <c r="AP348" s="81">
        <f t="shared" si="540"/>
        <v>20</v>
      </c>
      <c r="AQ348" s="81">
        <f t="shared" si="541"/>
        <v>25</v>
      </c>
      <c r="AR348" s="3"/>
      <c r="AS348" s="76">
        <f t="shared" si="542"/>
        <v>11.111111111111111</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x14ac:dyDescent="0.3">
      <c r="A349" s="8" t="s">
        <v>22</v>
      </c>
      <c r="B349" s="9" t="s">
        <v>232</v>
      </c>
      <c r="C349" s="7"/>
      <c r="D349" s="7"/>
      <c r="E349" s="7"/>
      <c r="F349" s="71">
        <v>0</v>
      </c>
      <c r="G349" s="51">
        <f t="shared" si="518"/>
        <v>1</v>
      </c>
      <c r="H349" s="52">
        <f t="shared" si="519"/>
        <v>4.3478260869565215</v>
      </c>
      <c r="I349" s="53">
        <f>COUNTIFS('00 Encuesta'!$B$2:$B$511,"*d)*",'00 Encuesta'!$C$2:$C$511,"*a)*",'00 Encuesta'!$E$2:$E$511,"*a)*",'00 Encuesta'!$AR$2:$AR$511,"*e)*")</f>
        <v>1</v>
      </c>
      <c r="J349" s="52">
        <f t="shared" si="520"/>
        <v>7.1428571428571423</v>
      </c>
      <c r="K349" s="53">
        <f>COUNTIFS('00 Encuesta'!$B$2:$B$511,"*d)*",'00 Encuesta'!$C$2:$C$511,"*a)*",'00 Encuesta'!$E$2:$E$511,"*b)*",'00 Encuesta'!$AR$2:$AR$511,"*e)*")</f>
        <v>0</v>
      </c>
      <c r="L349" s="52">
        <f t="shared" si="521"/>
        <v>0</v>
      </c>
      <c r="M349" s="23"/>
      <c r="N349" s="51">
        <f t="shared" si="522"/>
        <v>0</v>
      </c>
      <c r="O349" s="52">
        <f t="shared" si="523"/>
        <v>0</v>
      </c>
      <c r="P349" s="53">
        <f>COUNTIFS('00 Encuesta'!$B$2:$B$511,"*d)*",'00 Encuesta'!$C$2:$C$511,"*b)*",'00 Encuesta'!$E$2:$E$511,"*a)*",'00 Encuesta'!$AR$2:$AR$511,"*e)*")</f>
        <v>0</v>
      </c>
      <c r="Q349" s="52">
        <f t="shared" si="524"/>
        <v>0</v>
      </c>
      <c r="R349" s="53">
        <f>COUNTIFS('00 Encuesta'!$B$2:$B$511,"*d)*",'00 Encuesta'!$C$2:$C$511,"*b)*",'00 Encuesta'!$E$2:$E$511,"*b)*",'00 Encuesta'!$AR$2:$AR$511,"*e)*")</f>
        <v>0</v>
      </c>
      <c r="S349" s="52">
        <f t="shared" si="525"/>
        <v>0</v>
      </c>
      <c r="T349" s="3"/>
      <c r="U349" s="51">
        <f t="shared" si="526"/>
        <v>1</v>
      </c>
      <c r="V349" s="52">
        <f t="shared" si="527"/>
        <v>5</v>
      </c>
      <c r="W349" s="53">
        <f>COUNTIFS('00 Encuesta'!$B$2:$B$511,"*d)*",'00 Encuesta'!$C$2:$C$511,"*c)*",'00 Encuesta'!$E$2:$E$511,"*a)*",'00 Encuesta'!$AR$2:$AR$511,"*e)*")</f>
        <v>0</v>
      </c>
      <c r="X349" s="52">
        <f t="shared" si="528"/>
        <v>0</v>
      </c>
      <c r="Y349" s="53">
        <f>COUNTIFS('00 Encuesta'!$B$2:$B$511,"*d)*",'00 Encuesta'!$C$2:$C$511,"*c)*",'00 Encuesta'!$E$2:$E$511,"*b)*",'00 Encuesta'!$AR$2:$AR$511,"*e)*")</f>
        <v>1</v>
      </c>
      <c r="Z349" s="52">
        <f t="shared" si="529"/>
        <v>6.666666666666667</v>
      </c>
      <c r="AA349" s="3"/>
      <c r="AB349" s="62">
        <f t="shared" si="530"/>
        <v>2</v>
      </c>
      <c r="AC349" s="52">
        <f t="shared" si="531"/>
        <v>3.1746031746031744</v>
      </c>
      <c r="AD349" s="3"/>
      <c r="AE349" s="3"/>
      <c r="AF349" s="9" t="str">
        <f t="shared" si="532"/>
        <v>e) Muy mala</v>
      </c>
      <c r="AG349" s="72">
        <f t="shared" si="533"/>
        <v>7.1428571428571423</v>
      </c>
      <c r="AH349" s="72">
        <f t="shared" si="534"/>
        <v>0</v>
      </c>
      <c r="AI349" s="73">
        <f t="shared" si="535"/>
        <v>4.3478260869565215</v>
      </c>
      <c r="AJ349" s="73"/>
      <c r="AK349" s="76">
        <f t="shared" si="536"/>
        <v>0</v>
      </c>
      <c r="AL349" s="76">
        <f t="shared" si="537"/>
        <v>0</v>
      </c>
      <c r="AM349" s="76">
        <f t="shared" si="538"/>
        <v>0</v>
      </c>
      <c r="AN349" s="76"/>
      <c r="AO349" s="81">
        <f t="shared" si="539"/>
        <v>0</v>
      </c>
      <c r="AP349" s="81">
        <f t="shared" si="540"/>
        <v>6.666666666666667</v>
      </c>
      <c r="AQ349" s="81">
        <f t="shared" si="541"/>
        <v>5</v>
      </c>
      <c r="AR349" s="3"/>
      <c r="AS349" s="76">
        <f t="shared" si="542"/>
        <v>3.1746031746031744</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x14ac:dyDescent="0.3">
      <c r="A350" s="8" t="s">
        <v>45</v>
      </c>
      <c r="B350" s="9" t="s">
        <v>233</v>
      </c>
      <c r="C350" s="7"/>
      <c r="D350" s="7"/>
      <c r="E350" s="7"/>
      <c r="F350" s="71"/>
      <c r="G350" s="51">
        <f t="shared" si="518"/>
        <v>0</v>
      </c>
      <c r="H350" s="52">
        <f t="shared" si="519"/>
        <v>0</v>
      </c>
      <c r="I350" s="53">
        <f>COUNTIFS('00 Encuesta'!$B$2:$B$511,"*d)*",'00 Encuesta'!$C$2:$C$511,"*a)*",'00 Encuesta'!$E$2:$E$511,"*a)*",'00 Encuesta'!$AR$2:$AR$511,"*f)*")</f>
        <v>0</v>
      </c>
      <c r="J350" s="52">
        <f t="shared" si="520"/>
        <v>0</v>
      </c>
      <c r="K350" s="53">
        <f>COUNTIFS('00 Encuesta'!$B$2:$B$511,"*d)*",'00 Encuesta'!$C$2:$C$511,"*a)*",'00 Encuesta'!$E$2:$E$511,"*b)*",'00 Encuesta'!$AR$2:$AR$511,"*f)*")</f>
        <v>0</v>
      </c>
      <c r="L350" s="52">
        <f t="shared" si="521"/>
        <v>0</v>
      </c>
      <c r="M350" s="23"/>
      <c r="N350" s="51">
        <f t="shared" si="522"/>
        <v>0</v>
      </c>
      <c r="O350" s="52">
        <f t="shared" si="523"/>
        <v>0</v>
      </c>
      <c r="P350" s="53">
        <f>COUNTIFS('00 Encuesta'!$B$2:$B$511,"*d)*",'00 Encuesta'!$C$2:$C$511,"*b)*",'00 Encuesta'!$E$2:$E$511,"*a)*",'00 Encuesta'!$AR$2:$AR$511,"*f)*")</f>
        <v>0</v>
      </c>
      <c r="Q350" s="52">
        <f t="shared" si="524"/>
        <v>0</v>
      </c>
      <c r="R350" s="53">
        <f>COUNTIFS('00 Encuesta'!$B$2:$B$511,"*d)*",'00 Encuesta'!$C$2:$C$511,"*b)*",'00 Encuesta'!$E$2:$E$511,"*b)*",'00 Encuesta'!$AR$2:$AR$511,"*f)*")</f>
        <v>0</v>
      </c>
      <c r="S350" s="52">
        <f t="shared" si="525"/>
        <v>0</v>
      </c>
      <c r="T350" s="3"/>
      <c r="U350" s="51">
        <f t="shared" si="526"/>
        <v>0</v>
      </c>
      <c r="V350" s="52">
        <f t="shared" si="527"/>
        <v>0</v>
      </c>
      <c r="W350" s="53">
        <f>COUNTIFS('00 Encuesta'!$B$2:$B$511,"*d)*",'00 Encuesta'!$C$2:$C$511,"*c)*",'00 Encuesta'!$E$2:$E$511,"*a)*",'00 Encuesta'!$AR$2:$AR$511,"*f)*")</f>
        <v>0</v>
      </c>
      <c r="X350" s="52">
        <f t="shared" si="528"/>
        <v>0</v>
      </c>
      <c r="Y350" s="53">
        <f>COUNTIFS('00 Encuesta'!$B$2:$B$511,"*d)*",'00 Encuesta'!$C$2:$C$511,"*c)*",'00 Encuesta'!$E$2:$E$511,"*b)*",'00 Encuesta'!$AR$2:$AR$511,"*f)*")</f>
        <v>0</v>
      </c>
      <c r="Z350" s="52">
        <f t="shared" si="529"/>
        <v>0</v>
      </c>
      <c r="AA350" s="3"/>
      <c r="AB350" s="62">
        <f t="shared" si="530"/>
        <v>0</v>
      </c>
      <c r="AC350" s="52">
        <f t="shared" si="531"/>
        <v>0</v>
      </c>
      <c r="AD350" s="3"/>
      <c r="AE350" s="3"/>
      <c r="AF350" s="9" t="str">
        <f t="shared" si="532"/>
        <v>f) No aplica</v>
      </c>
      <c r="AG350" s="72">
        <f t="shared" si="533"/>
        <v>0</v>
      </c>
      <c r="AH350" s="72">
        <f t="shared" si="534"/>
        <v>0</v>
      </c>
      <c r="AI350" s="73">
        <f t="shared" si="535"/>
        <v>0</v>
      </c>
      <c r="AJ350" s="73"/>
      <c r="AK350" s="76">
        <f t="shared" si="536"/>
        <v>0</v>
      </c>
      <c r="AL350" s="76">
        <f t="shared" si="537"/>
        <v>0</v>
      </c>
      <c r="AM350" s="76">
        <f t="shared" si="538"/>
        <v>0</v>
      </c>
      <c r="AN350" s="76"/>
      <c r="AO350" s="81">
        <f t="shared" si="539"/>
        <v>0</v>
      </c>
      <c r="AP350" s="81">
        <f t="shared" si="540"/>
        <v>0</v>
      </c>
      <c r="AQ350" s="81">
        <f t="shared" si="541"/>
        <v>0</v>
      </c>
      <c r="AR350" s="3"/>
      <c r="AS350" s="76">
        <f t="shared" si="542"/>
        <v>0</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x14ac:dyDescent="0.3">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f>($F345*I345+$F346*I346+$F347*I347+$F348*I348+$F349*I349)/(I345+I346+I347+I348+I349)</f>
        <v>82.142857142857139</v>
      </c>
      <c r="AH351" s="82">
        <f>($F345*K345+$F346*K346+$F347*K347+$F348*K348+$F349*K349)/(K345+K346+K347+K348+K349)</f>
        <v>93.75</v>
      </c>
      <c r="AI351" s="82">
        <f>($F345*G345+$F346*G346+$F347*G347+$F348*G348+$F349*G349)/(G345+G346+G347+G348+G349)</f>
        <v>86.36363636363636</v>
      </c>
      <c r="AJ351" s="82"/>
      <c r="AK351" s="82">
        <f>($F345*Q345+$F346*Q346+$F347*Q347+$F348*Q348+$F349*Q349)/(Q345+Q346+Q347+Q348+Q349)</f>
        <v>64.285714285714278</v>
      </c>
      <c r="AL351" s="82">
        <f>($F345*S345+$F346*S346+$F347*S347+$F348*S348+$F349*S349)/(S345+S346+S347+S348+S349)</f>
        <v>71.15384615384616</v>
      </c>
      <c r="AM351" s="82">
        <f>($F345*O345+$F346*O346+$F347*O347+$F348*O348+$F349*O349)/(O345+O346+O347+O348+O349)</f>
        <v>68.75</v>
      </c>
      <c r="AN351" s="82"/>
      <c r="AO351" s="82">
        <f>($F345*W345+$F346*W346+$F347*W347+$F348*W348+$F349*W349)/(W345+W346+W347+W348+W349)</f>
        <v>50</v>
      </c>
      <c r="AP351" s="82">
        <f>($F345*Y345+$F346*Y346+$F347*Y347+$F348*Y348+$F349*Y349)/(Y345+Y346+Y347+Y348+Y349)</f>
        <v>51.785714285714285</v>
      </c>
      <c r="AQ351" s="82">
        <f>($F345*U345+$F346*U346+$F347*U347+$F348*U348+$F349*U349)/(U345+U346+U347+U348+U349)</f>
        <v>51.388888888888886</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x14ac:dyDescent="0.3">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x14ac:dyDescent="0.3">
      <c r="A353" s="8" t="s">
        <v>17</v>
      </c>
      <c r="B353" s="9" t="s">
        <v>229</v>
      </c>
      <c r="C353" s="7"/>
      <c r="D353" s="7"/>
      <c r="E353" s="7"/>
      <c r="F353" s="71">
        <v>100</v>
      </c>
      <c r="G353" s="51">
        <f t="shared" ref="G353:G358" si="543">I353+K353</f>
        <v>9</v>
      </c>
      <c r="H353" s="52">
        <f t="shared" ref="H353:H358" si="544">G353/$J$5*100</f>
        <v>39.130434782608695</v>
      </c>
      <c r="I353" s="53">
        <f>COUNTIFS('00 Encuesta'!$B$2:$B$511,"*d)*",'00 Encuesta'!$C$2:$C$511,"*a)*",'00 Encuesta'!$E$2:$E$511,"*a)*",'00 Encuesta'!$AS$2:$AS$511,"*a)*")</f>
        <v>4</v>
      </c>
      <c r="J353" s="52">
        <f t="shared" ref="J353:J358" si="545">I353/$J$6*100</f>
        <v>28.571428571428569</v>
      </c>
      <c r="K353" s="53">
        <f>COUNTIFS('00 Encuesta'!$B$2:$B$511,"*d)*",'00 Encuesta'!$C$2:$C$511,"*a)*",'00 Encuesta'!$E$2:$E$511,"*b)*",'00 Encuesta'!$AS$2:$AS$511,"*a)*")</f>
        <v>5</v>
      </c>
      <c r="L353" s="52">
        <f t="shared" ref="L353:L358" si="546">K353/$J$7*100</f>
        <v>55.555555555555557</v>
      </c>
      <c r="M353" s="23"/>
      <c r="N353" s="51">
        <f t="shared" ref="N353:N358" si="547">P353+R353</f>
        <v>6</v>
      </c>
      <c r="O353" s="52">
        <f t="shared" ref="O353:O358" si="548">N353/$Q$5*100</f>
        <v>30</v>
      </c>
      <c r="P353" s="53">
        <f>COUNTIFS('00 Encuesta'!$B$2:$B$511,"*d)*",'00 Encuesta'!$C$2:$C$511,"*b)*",'00 Encuesta'!$E$2:$E$511,"*a)*",'00 Encuesta'!$AS$2:$AS$511,"*a)*")</f>
        <v>0</v>
      </c>
      <c r="Q353" s="52">
        <f>P353/$Q$6*100</f>
        <v>0</v>
      </c>
      <c r="R353" s="53">
        <f>COUNTIFS('00 Encuesta'!$B$2:$B$511,"*d)*",'00 Encuesta'!$C$2:$C$511,"*b)*",'00 Encuesta'!$E$2:$E$511,"*b)*",'00 Encuesta'!$AS$2:$AS$511,"*a)*")</f>
        <v>6</v>
      </c>
      <c r="S353" s="52">
        <f t="shared" ref="S353:S358" si="549">R353/$Q$7*100</f>
        <v>46.153846153846153</v>
      </c>
      <c r="T353" s="3"/>
      <c r="U353" s="51">
        <f t="shared" ref="U353:U358" si="550">W353+Y353</f>
        <v>6</v>
      </c>
      <c r="V353" s="52">
        <f t="shared" ref="V353:V358" si="551">U353/$X$5*100</f>
        <v>30</v>
      </c>
      <c r="W353" s="53">
        <f>COUNTIFS('00 Encuesta'!$B$2:$B$511,"*d)*",'00 Encuesta'!$C$2:$C$511,"*c)*",'00 Encuesta'!$E$2:$E$511,"*a)*",'00 Encuesta'!$AS$2:$AS$511,"*a)*")</f>
        <v>1</v>
      </c>
      <c r="X353" s="52">
        <f t="shared" ref="X353:X358" si="552">W353/$X$6*100</f>
        <v>20</v>
      </c>
      <c r="Y353" s="53">
        <f>COUNTIFS('00 Encuesta'!$B$2:$B$511,"*d)*",'00 Encuesta'!$C$2:$C$511,"*c)*",'00 Encuesta'!$E$2:$E$511,"*b)*",'00 Encuesta'!$AS$2:$AS$511,"*a)*")</f>
        <v>5</v>
      </c>
      <c r="Z353" s="52">
        <f t="shared" ref="Z353:Z358" si="553">Y353/$X$7*100</f>
        <v>33.333333333333329</v>
      </c>
      <c r="AA353" s="3"/>
      <c r="AB353" s="62">
        <f t="shared" ref="AB353:AB358" si="554">G353+N353+U353</f>
        <v>21</v>
      </c>
      <c r="AC353" s="52">
        <f t="shared" ref="AC353:AC358" si="555">AB353*100/$AC$5</f>
        <v>33.333333333333336</v>
      </c>
      <c r="AD353" s="3"/>
      <c r="AE353" s="3"/>
      <c r="AF353" s="9" t="str">
        <f t="shared" ref="AF353:AF358" si="556">A353&amp;" "&amp;B353</f>
        <v>a) Muy buena</v>
      </c>
      <c r="AG353" s="72">
        <f t="shared" ref="AG353:AG358" si="557">J353</f>
        <v>28.571428571428569</v>
      </c>
      <c r="AH353" s="72">
        <f t="shared" ref="AH353:AH358" si="558">L353</f>
        <v>55.555555555555557</v>
      </c>
      <c r="AI353" s="73">
        <f t="shared" ref="AI353:AI358" si="559">H353</f>
        <v>39.130434782608695</v>
      </c>
      <c r="AJ353" s="73"/>
      <c r="AK353" s="76">
        <f>Q353</f>
        <v>0</v>
      </c>
      <c r="AL353" s="76">
        <f t="shared" ref="AL353:AL358" si="560">S353</f>
        <v>46.153846153846153</v>
      </c>
      <c r="AM353" s="76">
        <f t="shared" ref="AM353:AM358" si="561">O353</f>
        <v>30</v>
      </c>
      <c r="AN353" s="76"/>
      <c r="AO353" s="81">
        <f t="shared" ref="AO353:AO358" si="562">X353</f>
        <v>20</v>
      </c>
      <c r="AP353" s="81">
        <f t="shared" ref="AP353:AP358" si="563">Z353</f>
        <v>33.333333333333329</v>
      </c>
      <c r="AQ353" s="81">
        <f t="shared" ref="AQ353:AQ358" si="564">V353</f>
        <v>30</v>
      </c>
      <c r="AR353" s="3"/>
      <c r="AS353" s="76">
        <f t="shared" si="542"/>
        <v>33.333333333333336</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x14ac:dyDescent="0.3">
      <c r="A354" s="8" t="s">
        <v>18</v>
      </c>
      <c r="B354" s="9" t="s">
        <v>230</v>
      </c>
      <c r="C354" s="7"/>
      <c r="D354" s="7"/>
      <c r="E354" s="7"/>
      <c r="F354" s="71">
        <v>75</v>
      </c>
      <c r="G354" s="51">
        <f t="shared" si="543"/>
        <v>9</v>
      </c>
      <c r="H354" s="52">
        <f t="shared" si="544"/>
        <v>39.130434782608695</v>
      </c>
      <c r="I354" s="53">
        <f>COUNTIFS('00 Encuesta'!$B$2:$B$511,"*d)*",'00 Encuesta'!$C$2:$C$511,"*a)*",'00 Encuesta'!$E$2:$E$511,"*a)*",'00 Encuesta'!$AS$2:$AS$511,"*b)*")</f>
        <v>5</v>
      </c>
      <c r="J354" s="52">
        <f t="shared" si="545"/>
        <v>35.714285714285715</v>
      </c>
      <c r="K354" s="53">
        <f>COUNTIFS('00 Encuesta'!$B$2:$B$511,"*d)*",'00 Encuesta'!$C$2:$C$511,"*a)*",'00 Encuesta'!$E$2:$E$511,"*b)*",'00 Encuesta'!$AS$2:$AS$511,"*b)*")</f>
        <v>4</v>
      </c>
      <c r="L354" s="52">
        <f t="shared" si="546"/>
        <v>44.444444444444443</v>
      </c>
      <c r="M354" s="23"/>
      <c r="N354" s="51">
        <f t="shared" si="547"/>
        <v>6</v>
      </c>
      <c r="O354" s="52">
        <f t="shared" si="548"/>
        <v>30</v>
      </c>
      <c r="P354" s="53">
        <f>COUNTIFS('00 Encuesta'!$B$2:$B$511,"*d)*",'00 Encuesta'!$C$2:$C$511,"*b)*",'00 Encuesta'!$E$2:$E$511,"*a)*",'00 Encuesta'!$AS$2:$AS$511,"*b)*")</f>
        <v>2</v>
      </c>
      <c r="Q354" s="52">
        <f t="shared" ref="Q354:Q358" si="565">P354/$Q$6*100</f>
        <v>28.571428571428569</v>
      </c>
      <c r="R354" s="53">
        <f>COUNTIFS('00 Encuesta'!$B$2:$B$511,"*d)*",'00 Encuesta'!$C$2:$C$511,"*b)*",'00 Encuesta'!$E$2:$E$511,"*b)*",'00 Encuesta'!$AS$2:$AS$511,"*b)*")</f>
        <v>4</v>
      </c>
      <c r="S354" s="52">
        <f t="shared" si="549"/>
        <v>30.76923076923077</v>
      </c>
      <c r="T354" s="3"/>
      <c r="U354" s="51">
        <f t="shared" si="550"/>
        <v>7</v>
      </c>
      <c r="V354" s="52">
        <f t="shared" si="551"/>
        <v>35</v>
      </c>
      <c r="W354" s="53">
        <f>COUNTIFS('00 Encuesta'!$B$2:$B$511,"*d)*",'00 Encuesta'!$C$2:$C$511,"*c)*",'00 Encuesta'!$E$2:$E$511,"*a)*",'00 Encuesta'!$AS$2:$AS$511,"*b)*")</f>
        <v>0</v>
      </c>
      <c r="X354" s="52">
        <f t="shared" si="552"/>
        <v>0</v>
      </c>
      <c r="Y354" s="53">
        <f>COUNTIFS('00 Encuesta'!$B$2:$B$511,"*d)*",'00 Encuesta'!$C$2:$C$511,"*c)*",'00 Encuesta'!$E$2:$E$511,"*b)*",'00 Encuesta'!$AS$2:$AS$511,"*b)*")</f>
        <v>7</v>
      </c>
      <c r="Z354" s="52">
        <f t="shared" si="553"/>
        <v>46.666666666666664</v>
      </c>
      <c r="AA354" s="3"/>
      <c r="AB354" s="62">
        <f t="shared" si="554"/>
        <v>22</v>
      </c>
      <c r="AC354" s="52">
        <f t="shared" si="555"/>
        <v>34.920634920634917</v>
      </c>
      <c r="AD354" s="3"/>
      <c r="AE354" s="3"/>
      <c r="AF354" s="9" t="str">
        <f t="shared" si="556"/>
        <v>b) Buena</v>
      </c>
      <c r="AG354" s="72">
        <f t="shared" si="557"/>
        <v>35.714285714285715</v>
      </c>
      <c r="AH354" s="72">
        <f t="shared" si="558"/>
        <v>44.444444444444443</v>
      </c>
      <c r="AI354" s="73">
        <f t="shared" si="559"/>
        <v>39.130434782608695</v>
      </c>
      <c r="AJ354" s="73"/>
      <c r="AK354" s="76">
        <f t="shared" ref="AK354:AK358" si="566">Q354</f>
        <v>28.571428571428569</v>
      </c>
      <c r="AL354" s="76">
        <f t="shared" si="560"/>
        <v>30.76923076923077</v>
      </c>
      <c r="AM354" s="76">
        <f t="shared" si="561"/>
        <v>30</v>
      </c>
      <c r="AN354" s="76"/>
      <c r="AO354" s="81">
        <f t="shared" si="562"/>
        <v>0</v>
      </c>
      <c r="AP354" s="81">
        <f t="shared" si="563"/>
        <v>46.666666666666664</v>
      </c>
      <c r="AQ354" s="81">
        <f t="shared" si="564"/>
        <v>35</v>
      </c>
      <c r="AR354" s="3"/>
      <c r="AS354" s="76">
        <f t="shared" si="542"/>
        <v>34.920634920634917</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x14ac:dyDescent="0.3">
      <c r="A355" s="8" t="s">
        <v>20</v>
      </c>
      <c r="B355" s="9" t="s">
        <v>218</v>
      </c>
      <c r="C355" s="7"/>
      <c r="D355" s="7"/>
      <c r="E355" s="7"/>
      <c r="F355" s="71">
        <v>50</v>
      </c>
      <c r="G355" s="51">
        <f t="shared" si="543"/>
        <v>5</v>
      </c>
      <c r="H355" s="52">
        <f t="shared" si="544"/>
        <v>21.739130434782609</v>
      </c>
      <c r="I355" s="53">
        <f>COUNTIFS('00 Encuesta'!$B$2:$B$511,"*d)*",'00 Encuesta'!$C$2:$C$511,"*a)*",'00 Encuesta'!$E$2:$E$511,"*a)*",'00 Encuesta'!$AS$2:$AS$511,"*c)*")</f>
        <v>5</v>
      </c>
      <c r="J355" s="52">
        <f t="shared" si="545"/>
        <v>35.714285714285715</v>
      </c>
      <c r="K355" s="53">
        <f>COUNTIFS('00 Encuesta'!$B$2:$B$511,"*d)*",'00 Encuesta'!$C$2:$C$511,"*a)*",'00 Encuesta'!$E$2:$E$511,"*b)*",'00 Encuesta'!$AS$2:$AS$511,"*c)*")</f>
        <v>0</v>
      </c>
      <c r="L355" s="52">
        <f t="shared" si="546"/>
        <v>0</v>
      </c>
      <c r="M355" s="23"/>
      <c r="N355" s="51">
        <f t="shared" si="547"/>
        <v>4</v>
      </c>
      <c r="O355" s="52">
        <f t="shared" si="548"/>
        <v>20</v>
      </c>
      <c r="P355" s="53">
        <f>COUNTIFS('00 Encuesta'!$B$2:$B$511,"*d)*",'00 Encuesta'!$C$2:$C$511,"*b)*",'00 Encuesta'!$E$2:$E$511,"*a)*",'00 Encuesta'!$AS$2:$AS$511,"*c)*")</f>
        <v>2</v>
      </c>
      <c r="Q355" s="52">
        <f t="shared" si="565"/>
        <v>28.571428571428569</v>
      </c>
      <c r="R355" s="53">
        <f>COUNTIFS('00 Encuesta'!$B$2:$B$511,"*d)*",'00 Encuesta'!$C$2:$C$511,"*b)*",'00 Encuesta'!$E$2:$E$511,"*b)*",'00 Encuesta'!$AS$2:$AS$511,"*c)*")</f>
        <v>2</v>
      </c>
      <c r="S355" s="52">
        <f t="shared" si="549"/>
        <v>15.384615384615385</v>
      </c>
      <c r="T355" s="3"/>
      <c r="U355" s="51">
        <f t="shared" si="550"/>
        <v>4</v>
      </c>
      <c r="V355" s="52">
        <f t="shared" si="551"/>
        <v>20</v>
      </c>
      <c r="W355" s="53">
        <f>COUNTIFS('00 Encuesta'!$B$2:$B$511,"*d)*",'00 Encuesta'!$C$2:$C$511,"*c)*",'00 Encuesta'!$E$2:$E$511,"*a)*",'00 Encuesta'!$AS$2:$AS$511,"*c)*")</f>
        <v>2</v>
      </c>
      <c r="X355" s="52">
        <f t="shared" si="552"/>
        <v>40</v>
      </c>
      <c r="Y355" s="53">
        <f>COUNTIFS('00 Encuesta'!$B$2:$B$511,"*d)*",'00 Encuesta'!$C$2:$C$511,"*c)*",'00 Encuesta'!$E$2:$E$511,"*b)*",'00 Encuesta'!$AS$2:$AS$511,"*c)*")</f>
        <v>2</v>
      </c>
      <c r="Z355" s="52">
        <f t="shared" si="553"/>
        <v>13.333333333333334</v>
      </c>
      <c r="AA355" s="3"/>
      <c r="AB355" s="62">
        <f t="shared" si="554"/>
        <v>13</v>
      </c>
      <c r="AC355" s="52">
        <f t="shared" si="555"/>
        <v>20.634920634920636</v>
      </c>
      <c r="AD355" s="3"/>
      <c r="AE355" s="3"/>
      <c r="AF355" s="9" t="str">
        <f t="shared" si="556"/>
        <v>c) Regular</v>
      </c>
      <c r="AG355" s="72">
        <f t="shared" si="557"/>
        <v>35.714285714285715</v>
      </c>
      <c r="AH355" s="72">
        <f t="shared" si="558"/>
        <v>0</v>
      </c>
      <c r="AI355" s="73">
        <f t="shared" si="559"/>
        <v>21.739130434782609</v>
      </c>
      <c r="AJ355" s="73"/>
      <c r="AK355" s="76">
        <f t="shared" si="566"/>
        <v>28.571428571428569</v>
      </c>
      <c r="AL355" s="76">
        <f t="shared" si="560"/>
        <v>15.384615384615385</v>
      </c>
      <c r="AM355" s="76">
        <f t="shared" si="561"/>
        <v>20</v>
      </c>
      <c r="AN355" s="76"/>
      <c r="AO355" s="81">
        <f t="shared" si="562"/>
        <v>40</v>
      </c>
      <c r="AP355" s="81">
        <f t="shared" si="563"/>
        <v>13.333333333333334</v>
      </c>
      <c r="AQ355" s="81">
        <f t="shared" si="564"/>
        <v>20</v>
      </c>
      <c r="AR355" s="3"/>
      <c r="AS355" s="76">
        <f t="shared" si="542"/>
        <v>20.634920634920636</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x14ac:dyDescent="0.3">
      <c r="A356" s="8" t="s">
        <v>21</v>
      </c>
      <c r="B356" s="9" t="s">
        <v>231</v>
      </c>
      <c r="C356" s="7"/>
      <c r="D356" s="7"/>
      <c r="E356" s="7"/>
      <c r="F356" s="71">
        <v>25</v>
      </c>
      <c r="G356" s="51">
        <f t="shared" si="543"/>
        <v>0</v>
      </c>
      <c r="H356" s="52">
        <f t="shared" si="544"/>
        <v>0</v>
      </c>
      <c r="I356" s="53">
        <f>COUNTIFS('00 Encuesta'!$B$2:$B$511,"*d)*",'00 Encuesta'!$C$2:$C$511,"*a)*",'00 Encuesta'!$E$2:$E$511,"*a)*",'00 Encuesta'!$AS$2:$AS$511,"*d)*")</f>
        <v>0</v>
      </c>
      <c r="J356" s="52">
        <f t="shared" si="545"/>
        <v>0</v>
      </c>
      <c r="K356" s="53">
        <f>COUNTIFS('00 Encuesta'!$B$2:$B$511,"*d)*",'00 Encuesta'!$C$2:$C$511,"*a)*",'00 Encuesta'!$E$2:$E$511,"*b)*",'00 Encuesta'!$AS$2:$AS$511,"*d)*")</f>
        <v>0</v>
      </c>
      <c r="L356" s="52">
        <f t="shared" si="546"/>
        <v>0</v>
      </c>
      <c r="M356" s="23"/>
      <c r="N356" s="51">
        <f t="shared" si="547"/>
        <v>2</v>
      </c>
      <c r="O356" s="52">
        <f t="shared" si="548"/>
        <v>10</v>
      </c>
      <c r="P356" s="53">
        <f>COUNTIFS('00 Encuesta'!$B$2:$B$511,"*d)*",'00 Encuesta'!$C$2:$C$511,"*b)*",'00 Encuesta'!$E$2:$E$511,"*a)*",'00 Encuesta'!$AS$2:$AS$511,"*d)*")</f>
        <v>1</v>
      </c>
      <c r="Q356" s="52">
        <f t="shared" si="565"/>
        <v>14.285714285714285</v>
      </c>
      <c r="R356" s="53">
        <f>COUNTIFS('00 Encuesta'!$B$2:$B$511,"*d)*",'00 Encuesta'!$C$2:$C$511,"*b)*",'00 Encuesta'!$E$2:$E$511,"*b)*",'00 Encuesta'!$AS$2:$AS$511,"*d)*")</f>
        <v>1</v>
      </c>
      <c r="S356" s="52">
        <f t="shared" si="549"/>
        <v>7.6923076923076925</v>
      </c>
      <c r="T356" s="3"/>
      <c r="U356" s="51">
        <f t="shared" si="550"/>
        <v>2</v>
      </c>
      <c r="V356" s="52">
        <f t="shared" si="551"/>
        <v>10</v>
      </c>
      <c r="W356" s="53">
        <f>COUNTIFS('00 Encuesta'!$B$2:$B$511,"*d)*",'00 Encuesta'!$C$2:$C$511,"*c)*",'00 Encuesta'!$E$2:$E$511,"*a)*",'00 Encuesta'!$AS$2:$AS$511,"*d)*")</f>
        <v>1</v>
      </c>
      <c r="X356" s="52">
        <f t="shared" si="552"/>
        <v>20</v>
      </c>
      <c r="Y356" s="53">
        <f>COUNTIFS('00 Encuesta'!$B$2:$B$511,"*d)*",'00 Encuesta'!$C$2:$C$511,"*c)*",'00 Encuesta'!$E$2:$E$511,"*b)*",'00 Encuesta'!$AS$2:$AS$511,"*d)*")</f>
        <v>1</v>
      </c>
      <c r="Z356" s="52">
        <f t="shared" si="553"/>
        <v>6.666666666666667</v>
      </c>
      <c r="AA356" s="3"/>
      <c r="AB356" s="62">
        <f t="shared" si="554"/>
        <v>4</v>
      </c>
      <c r="AC356" s="52">
        <f t="shared" si="555"/>
        <v>6.3492063492063489</v>
      </c>
      <c r="AD356" s="3"/>
      <c r="AE356" s="3"/>
      <c r="AF356" s="9" t="str">
        <f t="shared" si="556"/>
        <v>d) Mala</v>
      </c>
      <c r="AG356" s="72">
        <f t="shared" si="557"/>
        <v>0</v>
      </c>
      <c r="AH356" s="72">
        <f t="shared" si="558"/>
        <v>0</v>
      </c>
      <c r="AI356" s="73">
        <f t="shared" si="559"/>
        <v>0</v>
      </c>
      <c r="AJ356" s="73"/>
      <c r="AK356" s="76">
        <f t="shared" si="566"/>
        <v>14.285714285714285</v>
      </c>
      <c r="AL356" s="76">
        <f t="shared" si="560"/>
        <v>7.6923076923076925</v>
      </c>
      <c r="AM356" s="76">
        <f t="shared" si="561"/>
        <v>10</v>
      </c>
      <c r="AN356" s="76"/>
      <c r="AO356" s="81">
        <f t="shared" si="562"/>
        <v>20</v>
      </c>
      <c r="AP356" s="81">
        <f t="shared" si="563"/>
        <v>6.666666666666667</v>
      </c>
      <c r="AQ356" s="81">
        <f t="shared" si="564"/>
        <v>10</v>
      </c>
      <c r="AR356" s="3"/>
      <c r="AS356" s="76">
        <f t="shared" si="542"/>
        <v>6.3492063492063489</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x14ac:dyDescent="0.3">
      <c r="A357" s="8" t="s">
        <v>22</v>
      </c>
      <c r="B357" s="9" t="s">
        <v>232</v>
      </c>
      <c r="C357" s="7"/>
      <c r="D357" s="7"/>
      <c r="E357" s="7"/>
      <c r="F357" s="71">
        <v>0</v>
      </c>
      <c r="G357" s="51">
        <f t="shared" si="543"/>
        <v>0</v>
      </c>
      <c r="H357" s="52">
        <f t="shared" si="544"/>
        <v>0</v>
      </c>
      <c r="I357" s="53">
        <f>COUNTIFS('00 Encuesta'!$B$2:$B$511,"*d)*",'00 Encuesta'!$C$2:$C$511,"*a)*",'00 Encuesta'!$E$2:$E$511,"*a)*",'00 Encuesta'!$AS$2:$AS$511,"*e)*")</f>
        <v>0</v>
      </c>
      <c r="J357" s="52">
        <f t="shared" si="545"/>
        <v>0</v>
      </c>
      <c r="K357" s="53">
        <f>COUNTIFS('00 Encuesta'!$B$2:$B$511,"*d)*",'00 Encuesta'!$C$2:$C$511,"*a)*",'00 Encuesta'!$E$2:$E$511,"*b)*",'00 Encuesta'!$AS$2:$AS$511,"*e)*")</f>
        <v>0</v>
      </c>
      <c r="L357" s="52">
        <f t="shared" si="546"/>
        <v>0</v>
      </c>
      <c r="M357" s="23"/>
      <c r="N357" s="51">
        <f t="shared" si="547"/>
        <v>1</v>
      </c>
      <c r="O357" s="52">
        <f t="shared" si="548"/>
        <v>5</v>
      </c>
      <c r="P357" s="53">
        <f>COUNTIFS('00 Encuesta'!$B$2:$B$511,"*d)*",'00 Encuesta'!$C$2:$C$511,"*b)*",'00 Encuesta'!$E$2:$E$511,"*a)*",'00 Encuesta'!$AS$2:$AS$511,"*e)*")</f>
        <v>1</v>
      </c>
      <c r="Q357" s="52">
        <f t="shared" si="565"/>
        <v>14.285714285714285</v>
      </c>
      <c r="R357" s="53">
        <f>COUNTIFS('00 Encuesta'!$B$2:$B$511,"*d)*",'00 Encuesta'!$C$2:$C$511,"*b)*",'00 Encuesta'!$E$2:$E$511,"*b)*",'00 Encuesta'!$AS$2:$AS$511,"*e)*")</f>
        <v>0</v>
      </c>
      <c r="S357" s="52">
        <f t="shared" si="549"/>
        <v>0</v>
      </c>
      <c r="T357" s="3"/>
      <c r="U357" s="51">
        <f t="shared" si="550"/>
        <v>0</v>
      </c>
      <c r="V357" s="52">
        <f t="shared" si="551"/>
        <v>0</v>
      </c>
      <c r="W357" s="53">
        <f>COUNTIFS('00 Encuesta'!$B$2:$B$511,"*d)*",'00 Encuesta'!$C$2:$C$511,"*c)*",'00 Encuesta'!$E$2:$E$511,"*a)*",'00 Encuesta'!$AS$2:$AS$511,"*e)*")</f>
        <v>0</v>
      </c>
      <c r="X357" s="52">
        <f t="shared" si="552"/>
        <v>0</v>
      </c>
      <c r="Y357" s="53">
        <f>COUNTIFS('00 Encuesta'!$B$2:$B$511,"*d)*",'00 Encuesta'!$C$2:$C$511,"*c)*",'00 Encuesta'!$E$2:$E$511,"*b)*",'00 Encuesta'!$AS$2:$AS$511,"*e)*")</f>
        <v>0</v>
      </c>
      <c r="Z357" s="52">
        <f t="shared" si="553"/>
        <v>0</v>
      </c>
      <c r="AA357" s="3"/>
      <c r="AB357" s="62">
        <f t="shared" si="554"/>
        <v>1</v>
      </c>
      <c r="AC357" s="52">
        <f t="shared" si="555"/>
        <v>1.5873015873015872</v>
      </c>
      <c r="AD357" s="3"/>
      <c r="AE357" s="3"/>
      <c r="AF357" s="9" t="str">
        <f t="shared" si="556"/>
        <v>e) Muy mala</v>
      </c>
      <c r="AG357" s="72">
        <f t="shared" si="557"/>
        <v>0</v>
      </c>
      <c r="AH357" s="72">
        <f t="shared" si="558"/>
        <v>0</v>
      </c>
      <c r="AI357" s="73">
        <f t="shared" si="559"/>
        <v>0</v>
      </c>
      <c r="AJ357" s="73"/>
      <c r="AK357" s="76">
        <f t="shared" si="566"/>
        <v>14.285714285714285</v>
      </c>
      <c r="AL357" s="76">
        <f t="shared" si="560"/>
        <v>0</v>
      </c>
      <c r="AM357" s="76">
        <f t="shared" si="561"/>
        <v>5</v>
      </c>
      <c r="AN357" s="76"/>
      <c r="AO357" s="81">
        <f t="shared" si="562"/>
        <v>0</v>
      </c>
      <c r="AP357" s="81">
        <f t="shared" si="563"/>
        <v>0</v>
      </c>
      <c r="AQ357" s="81">
        <f t="shared" si="564"/>
        <v>0</v>
      </c>
      <c r="AR357" s="3"/>
      <c r="AS357" s="76">
        <f t="shared" si="542"/>
        <v>1.5873015873015872</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x14ac:dyDescent="0.3">
      <c r="A358" s="8" t="s">
        <v>45</v>
      </c>
      <c r="B358" s="9" t="s">
        <v>233</v>
      </c>
      <c r="C358" s="7"/>
      <c r="D358" s="7"/>
      <c r="E358" s="7"/>
      <c r="F358" s="71"/>
      <c r="G358" s="51">
        <f t="shared" si="543"/>
        <v>0</v>
      </c>
      <c r="H358" s="52">
        <f t="shared" si="544"/>
        <v>0</v>
      </c>
      <c r="I358" s="53">
        <f>COUNTIFS('00 Encuesta'!$B$2:$B$511,"*d)*",'00 Encuesta'!$C$2:$C$511,"*a)*",'00 Encuesta'!$E$2:$E$511,"*a)*",'00 Encuesta'!$AS$2:$AS$511,"*f)*")</f>
        <v>0</v>
      </c>
      <c r="J358" s="52">
        <f t="shared" si="545"/>
        <v>0</v>
      </c>
      <c r="K358" s="53">
        <f>COUNTIFS('00 Encuesta'!$B$2:$B$511,"*d)*",'00 Encuesta'!$C$2:$C$511,"*a)*",'00 Encuesta'!$E$2:$E$511,"*b)*",'00 Encuesta'!$AS$2:$AS$511,"*f)*")</f>
        <v>0</v>
      </c>
      <c r="L358" s="52">
        <f t="shared" si="546"/>
        <v>0</v>
      </c>
      <c r="M358" s="23"/>
      <c r="N358" s="51">
        <f t="shared" si="547"/>
        <v>1</v>
      </c>
      <c r="O358" s="52">
        <f t="shared" si="548"/>
        <v>5</v>
      </c>
      <c r="P358" s="53">
        <f>COUNTIFS('00 Encuesta'!$B$2:$B$511,"*d)*",'00 Encuesta'!$C$2:$C$511,"*b)*",'00 Encuesta'!$E$2:$E$511,"*a)*",'00 Encuesta'!$AS$2:$AS$511,"*f)*")</f>
        <v>1</v>
      </c>
      <c r="Q358" s="52">
        <f t="shared" si="565"/>
        <v>14.285714285714285</v>
      </c>
      <c r="R358" s="53">
        <f>COUNTIFS('00 Encuesta'!$B$2:$B$511,"*d)*",'00 Encuesta'!$C$2:$C$511,"*b)*",'00 Encuesta'!$E$2:$E$511,"*b)*",'00 Encuesta'!$AS$2:$AS$511,"*f)*")</f>
        <v>0</v>
      </c>
      <c r="S358" s="52">
        <f t="shared" si="549"/>
        <v>0</v>
      </c>
      <c r="T358" s="3"/>
      <c r="U358" s="51">
        <f t="shared" si="550"/>
        <v>1</v>
      </c>
      <c r="V358" s="52">
        <f t="shared" si="551"/>
        <v>5</v>
      </c>
      <c r="W358" s="53">
        <f>COUNTIFS('00 Encuesta'!$B$2:$B$511,"*d)*",'00 Encuesta'!$C$2:$C$511,"*c)*",'00 Encuesta'!$E$2:$E$511,"*a)*",'00 Encuesta'!$AS$2:$AS$511,"*f)*")</f>
        <v>1</v>
      </c>
      <c r="X358" s="52">
        <f t="shared" si="552"/>
        <v>20</v>
      </c>
      <c r="Y358" s="53">
        <f>COUNTIFS('00 Encuesta'!$B$2:$B$511,"*d)*",'00 Encuesta'!$C$2:$C$511,"*c)*",'00 Encuesta'!$E$2:$E$511,"*b)*",'00 Encuesta'!$AS$2:$AS$511,"*f)*")</f>
        <v>0</v>
      </c>
      <c r="Z358" s="52">
        <f t="shared" si="553"/>
        <v>0</v>
      </c>
      <c r="AA358" s="3"/>
      <c r="AB358" s="62">
        <f t="shared" si="554"/>
        <v>2</v>
      </c>
      <c r="AC358" s="52">
        <f t="shared" si="555"/>
        <v>3.1746031746031744</v>
      </c>
      <c r="AD358" s="3"/>
      <c r="AE358" s="3"/>
      <c r="AF358" s="9" t="str">
        <f t="shared" si="556"/>
        <v>f) No aplica</v>
      </c>
      <c r="AG358" s="72">
        <f t="shared" si="557"/>
        <v>0</v>
      </c>
      <c r="AH358" s="72">
        <f t="shared" si="558"/>
        <v>0</v>
      </c>
      <c r="AI358" s="73">
        <f t="shared" si="559"/>
        <v>0</v>
      </c>
      <c r="AJ358" s="73"/>
      <c r="AK358" s="76">
        <f t="shared" si="566"/>
        <v>14.285714285714285</v>
      </c>
      <c r="AL358" s="76">
        <f t="shared" si="560"/>
        <v>0</v>
      </c>
      <c r="AM358" s="76">
        <f t="shared" si="561"/>
        <v>5</v>
      </c>
      <c r="AN358" s="76"/>
      <c r="AO358" s="81">
        <f t="shared" si="562"/>
        <v>20</v>
      </c>
      <c r="AP358" s="81">
        <f t="shared" si="563"/>
        <v>0</v>
      </c>
      <c r="AQ358" s="81">
        <f t="shared" si="564"/>
        <v>5</v>
      </c>
      <c r="AR358" s="3"/>
      <c r="AS358" s="76">
        <f t="shared" si="542"/>
        <v>3.1746031746031744</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x14ac:dyDescent="0.3">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73.214285714285708</v>
      </c>
      <c r="AH359" s="82">
        <f>($F353*K353+$F354*K354+$F355*K355+$F356*K356+$F357*K357)/(K353+K354+K355+K356+K357)</f>
        <v>88.888888888888886</v>
      </c>
      <c r="AI359" s="82">
        <f>($F353*G353+$F354*G354+$F355*G355+$F356*G356+$F357*G357)/(G353+G354+G355+G356+G357)</f>
        <v>79.347826086956516</v>
      </c>
      <c r="AJ359" s="82"/>
      <c r="AK359" s="82">
        <f>($F353*Q353+$F354*Q354+$F355*Q355+$F356*Q356+$F357*Q357)/(Q353+Q354+Q355+Q356+Q357)</f>
        <v>45.833333333333343</v>
      </c>
      <c r="AL359" s="82">
        <f>($F353*S353+$F354*S354+$F355*S355+$F356*S356+$F357*S357)/(S353+S354+S355+S356+S357)</f>
        <v>78.846153846153854</v>
      </c>
      <c r="AM359" s="82">
        <f>($F353*O353+$F354*O354+$F355*O355+$F356*O356+$F357*O357)/(O353+O354+O355+O356+O357)</f>
        <v>68.421052631578945</v>
      </c>
      <c r="AN359" s="82"/>
      <c r="AO359" s="82">
        <f>($F353*W353+$F354*W354+$F355*W355+$F356*W356+$F357*W357)/(W353+W354+W355+W356+W357)</f>
        <v>56.25</v>
      </c>
      <c r="AP359" s="82">
        <f>($F353*Y353+$F354*Y354+$F355*Y355+$F356*Y356+$F357*Y357)/(Y353+Y354+Y355+Y356+Y357)</f>
        <v>76.666666666666671</v>
      </c>
      <c r="AQ359" s="82">
        <f>($F353*U353+$F354*U354+$F355*U355+$F356*U356+$F357*U357)/(U353+U354+U355+U356+U357)</f>
        <v>72.368421052631575</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 x14ac:dyDescent="0.35">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x14ac:dyDescent="0.3">
      <c r="A361" s="8" t="s">
        <v>17</v>
      </c>
      <c r="B361" s="9" t="s">
        <v>229</v>
      </c>
      <c r="C361" s="3"/>
      <c r="D361" s="3"/>
      <c r="E361" s="3"/>
      <c r="F361" s="71">
        <v>100</v>
      </c>
      <c r="G361" s="51">
        <f t="shared" ref="G361:G366" si="567">I361+K361</f>
        <v>14</v>
      </c>
      <c r="H361" s="52">
        <f t="shared" ref="H361:H366" si="568">G361/$J$5*100</f>
        <v>60.869565217391312</v>
      </c>
      <c r="I361" s="53">
        <f>COUNTIFS('00 Encuesta'!$B$2:$B$511,"*d)*",'00 Encuesta'!$C$2:$C$511,"*a)*",'00 Encuesta'!$E$2:$E$511,"*a)*",'00 Encuesta'!$AT$2:$AT$511,"*a)*")</f>
        <v>8</v>
      </c>
      <c r="J361" s="52">
        <f t="shared" ref="J361:J366" si="569">I361/$J$6*100</f>
        <v>57.142857142857139</v>
      </c>
      <c r="K361" s="53">
        <f>COUNTIFS('00 Encuesta'!$B$2:$B$511,"*d)*",'00 Encuesta'!$C$2:$C$511,"*a)*",'00 Encuesta'!$E$2:$E$511,"*b)*",'00 Encuesta'!$AT$2:$AT$511,"*a)*")</f>
        <v>6</v>
      </c>
      <c r="L361" s="52">
        <f t="shared" ref="L361:L366" si="570">K361/$J$7*100</f>
        <v>66.666666666666657</v>
      </c>
      <c r="M361" s="23"/>
      <c r="N361" s="51">
        <f t="shared" ref="N361:N366" si="571">P361+R361</f>
        <v>15</v>
      </c>
      <c r="O361" s="52">
        <f t="shared" ref="O361:O366" si="572">N361/$Q$5*100</f>
        <v>75</v>
      </c>
      <c r="P361" s="53">
        <f>COUNTIFS('00 Encuesta'!$B$2:$B$511,"*d)*",'00 Encuesta'!$C$2:$C$511,"*b)*",'00 Encuesta'!$E$2:$E$511,"*a)*",'00 Encuesta'!$AT$2:$AT$511,"*a)*")</f>
        <v>4</v>
      </c>
      <c r="Q361" s="52">
        <f t="shared" ref="Q361:Q366" si="573">P361/$Q$6*100</f>
        <v>57.142857142857139</v>
      </c>
      <c r="R361" s="53">
        <f>COUNTIFS('00 Encuesta'!$B$2:$B$511,"*d)*",'00 Encuesta'!$C$2:$C$511,"*b)*",'00 Encuesta'!$E$2:$E$511,"*b)*",'00 Encuesta'!$AT$2:$AT$511,"*a)*")</f>
        <v>11</v>
      </c>
      <c r="S361" s="52">
        <f t="shared" ref="S361:S366" si="574">R361/$Q$7*100</f>
        <v>84.615384615384613</v>
      </c>
      <c r="T361" s="3"/>
      <c r="U361" s="51">
        <f t="shared" ref="U361:U366" si="575">W361+Y361</f>
        <v>13</v>
      </c>
      <c r="V361" s="52">
        <f t="shared" ref="V361:V366" si="576">U361/$X$5*100</f>
        <v>65</v>
      </c>
      <c r="W361" s="53">
        <f>COUNTIFS('00 Encuesta'!$B$2:$B$511,"*d)*",'00 Encuesta'!$C$2:$C$511,"*c)*",'00 Encuesta'!$E$2:$E$511,"*a)*",'00 Encuesta'!$AT$2:$AT$511,"*a)*")</f>
        <v>0</v>
      </c>
      <c r="X361" s="52">
        <f t="shared" ref="X361:X366" si="577">W361/$X$6*100</f>
        <v>0</v>
      </c>
      <c r="Y361" s="53">
        <f>COUNTIFS('00 Encuesta'!$B$2:$B$511,"*d)*",'00 Encuesta'!$C$2:$C$511,"*c)*",'00 Encuesta'!$E$2:$E$511,"*b)*",'00 Encuesta'!$AT$2:$AT$511,"*a)*")</f>
        <v>13</v>
      </c>
      <c r="Z361" s="52">
        <f t="shared" ref="Z361:Z366" si="578">Y361/$X$7*100</f>
        <v>86.666666666666671</v>
      </c>
      <c r="AA361" s="3"/>
      <c r="AB361" s="62">
        <f t="shared" ref="AB361:AB366" si="579">G361+N361+U361</f>
        <v>42</v>
      </c>
      <c r="AC361" s="52">
        <f t="shared" ref="AC361:AC366" si="580">AB361*100/$AC$5</f>
        <v>66.666666666666671</v>
      </c>
      <c r="AD361" s="3"/>
      <c r="AE361" s="3"/>
      <c r="AF361" s="9" t="str">
        <f t="shared" ref="AF361:AF366" si="581">A361&amp;" "&amp;B361</f>
        <v>a) Muy buena</v>
      </c>
      <c r="AG361" s="72">
        <f t="shared" ref="AG361:AG366" si="582">J361</f>
        <v>57.142857142857139</v>
      </c>
      <c r="AH361" s="72">
        <f t="shared" ref="AH361:AH366" si="583">L361</f>
        <v>66.666666666666657</v>
      </c>
      <c r="AI361" s="73">
        <f t="shared" ref="AI361:AI366" si="584">H361</f>
        <v>60.869565217391312</v>
      </c>
      <c r="AJ361" s="73"/>
      <c r="AK361" s="76">
        <f t="shared" ref="AK361:AK366" si="585">Q361</f>
        <v>57.142857142857139</v>
      </c>
      <c r="AL361" s="76">
        <f t="shared" ref="AL361:AL366" si="586">S361</f>
        <v>84.615384615384613</v>
      </c>
      <c r="AM361" s="76">
        <f t="shared" ref="AM361:AM366" si="587">O361</f>
        <v>75</v>
      </c>
      <c r="AN361" s="76"/>
      <c r="AO361" s="81">
        <f t="shared" ref="AO361:AO366" si="588">X361</f>
        <v>0</v>
      </c>
      <c r="AP361" s="81">
        <f t="shared" ref="AP361:AP366" si="589">Z361</f>
        <v>86.666666666666671</v>
      </c>
      <c r="AQ361" s="81">
        <f t="shared" ref="AQ361:AQ366" si="590">V361</f>
        <v>65</v>
      </c>
      <c r="AR361" s="3"/>
      <c r="AS361" s="76">
        <f t="shared" si="542"/>
        <v>66.666666666666671</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x14ac:dyDescent="0.3">
      <c r="A362" s="8" t="s">
        <v>18</v>
      </c>
      <c r="B362" s="9" t="s">
        <v>230</v>
      </c>
      <c r="C362" s="3"/>
      <c r="D362" s="3"/>
      <c r="E362" s="3"/>
      <c r="F362" s="71">
        <v>75</v>
      </c>
      <c r="G362" s="51">
        <f t="shared" si="567"/>
        <v>5</v>
      </c>
      <c r="H362" s="52">
        <f t="shared" si="568"/>
        <v>21.739130434782609</v>
      </c>
      <c r="I362" s="53">
        <f>COUNTIFS('00 Encuesta'!$B$2:$B$511,"*d)*",'00 Encuesta'!$C$2:$C$511,"*a)*",'00 Encuesta'!$E$2:$E$511,"*a)*",'00 Encuesta'!$AT$2:$AT$511,"*b)*")</f>
        <v>3</v>
      </c>
      <c r="J362" s="52">
        <f t="shared" si="569"/>
        <v>21.428571428571427</v>
      </c>
      <c r="K362" s="53">
        <f>COUNTIFS('00 Encuesta'!$B$2:$B$511,"*d)*",'00 Encuesta'!$C$2:$C$511,"*a)*",'00 Encuesta'!$E$2:$E$511,"*b)*",'00 Encuesta'!$AT$2:$AT$511,"*b)*")</f>
        <v>2</v>
      </c>
      <c r="L362" s="52">
        <f t="shared" si="570"/>
        <v>22.222222222222221</v>
      </c>
      <c r="M362" s="23"/>
      <c r="N362" s="51">
        <f t="shared" si="571"/>
        <v>2</v>
      </c>
      <c r="O362" s="52">
        <f t="shared" si="572"/>
        <v>10</v>
      </c>
      <c r="P362" s="53">
        <f>COUNTIFS('00 Encuesta'!$B$2:$B$511,"*d)*",'00 Encuesta'!$C$2:$C$511,"*b)*",'00 Encuesta'!$E$2:$E$511,"*a)*",'00 Encuesta'!$AT$2:$AT$511,"*b)*")</f>
        <v>1</v>
      </c>
      <c r="Q362" s="52">
        <f t="shared" si="573"/>
        <v>14.285714285714285</v>
      </c>
      <c r="R362" s="53">
        <f>COUNTIFS('00 Encuesta'!$B$2:$B$511,"*d)*",'00 Encuesta'!$C$2:$C$511,"*b)*",'00 Encuesta'!$E$2:$E$511,"*b)*",'00 Encuesta'!$AT$2:$AT$511,"*b)*")</f>
        <v>1</v>
      </c>
      <c r="S362" s="52">
        <f t="shared" si="574"/>
        <v>7.6923076923076925</v>
      </c>
      <c r="T362" s="3"/>
      <c r="U362" s="51">
        <f t="shared" si="575"/>
        <v>2</v>
      </c>
      <c r="V362" s="52">
        <f t="shared" si="576"/>
        <v>10</v>
      </c>
      <c r="W362" s="53">
        <f>COUNTIFS('00 Encuesta'!$B$2:$B$511,"*d)*",'00 Encuesta'!$C$2:$C$511,"*c)*",'00 Encuesta'!$E$2:$E$511,"*a)*",'00 Encuesta'!$AT$2:$AT$511,"*b)*")</f>
        <v>2</v>
      </c>
      <c r="X362" s="52">
        <f t="shared" si="577"/>
        <v>40</v>
      </c>
      <c r="Y362" s="53">
        <f>COUNTIFS('00 Encuesta'!$B$2:$B$511,"*d)*",'00 Encuesta'!$C$2:$C$511,"*c)*",'00 Encuesta'!$E$2:$E$511,"*b)*",'00 Encuesta'!$AT$2:$AT$511,"*b)*")</f>
        <v>0</v>
      </c>
      <c r="Z362" s="52">
        <f t="shared" si="578"/>
        <v>0</v>
      </c>
      <c r="AA362" s="3"/>
      <c r="AB362" s="62">
        <f t="shared" si="579"/>
        <v>9</v>
      </c>
      <c r="AC362" s="52">
        <f t="shared" si="580"/>
        <v>14.285714285714286</v>
      </c>
      <c r="AD362" s="3"/>
      <c r="AE362" s="3"/>
      <c r="AF362" s="9" t="str">
        <f t="shared" si="581"/>
        <v>b) Buena</v>
      </c>
      <c r="AG362" s="72">
        <f t="shared" si="582"/>
        <v>21.428571428571427</v>
      </c>
      <c r="AH362" s="72">
        <f t="shared" si="583"/>
        <v>22.222222222222221</v>
      </c>
      <c r="AI362" s="73">
        <f t="shared" si="584"/>
        <v>21.739130434782609</v>
      </c>
      <c r="AJ362" s="73"/>
      <c r="AK362" s="76">
        <f t="shared" si="585"/>
        <v>14.285714285714285</v>
      </c>
      <c r="AL362" s="76">
        <f t="shared" si="586"/>
        <v>7.6923076923076925</v>
      </c>
      <c r="AM362" s="76">
        <f t="shared" si="587"/>
        <v>10</v>
      </c>
      <c r="AN362" s="76"/>
      <c r="AO362" s="81">
        <f t="shared" si="588"/>
        <v>40</v>
      </c>
      <c r="AP362" s="81">
        <f t="shared" si="589"/>
        <v>0</v>
      </c>
      <c r="AQ362" s="81">
        <f t="shared" si="590"/>
        <v>10</v>
      </c>
      <c r="AR362" s="3"/>
      <c r="AS362" s="76">
        <f t="shared" si="542"/>
        <v>14.285714285714286</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x14ac:dyDescent="0.3">
      <c r="A363" s="8" t="s">
        <v>20</v>
      </c>
      <c r="B363" s="9" t="s">
        <v>218</v>
      </c>
      <c r="C363" s="3"/>
      <c r="D363" s="3"/>
      <c r="E363" s="3"/>
      <c r="F363" s="71">
        <v>50</v>
      </c>
      <c r="G363" s="51">
        <f t="shared" si="567"/>
        <v>2</v>
      </c>
      <c r="H363" s="52">
        <f t="shared" si="568"/>
        <v>8.695652173913043</v>
      </c>
      <c r="I363" s="53">
        <f>COUNTIFS('00 Encuesta'!$B$2:$B$511,"*d)*",'00 Encuesta'!$C$2:$C$511,"*a)*",'00 Encuesta'!$E$2:$E$511,"*a)*",'00 Encuesta'!$AT$2:$AT$511,"*c)*")</f>
        <v>2</v>
      </c>
      <c r="J363" s="52">
        <f t="shared" si="569"/>
        <v>14.285714285714285</v>
      </c>
      <c r="K363" s="53">
        <f>COUNTIFS('00 Encuesta'!$B$2:$B$511,"*d)*",'00 Encuesta'!$C$2:$C$511,"*a)*",'00 Encuesta'!$E$2:$E$511,"*b)*",'00 Encuesta'!$AT$2:$AT$511,"*c)*")</f>
        <v>0</v>
      </c>
      <c r="L363" s="52">
        <f t="shared" si="570"/>
        <v>0</v>
      </c>
      <c r="M363" s="23"/>
      <c r="N363" s="51">
        <f t="shared" si="571"/>
        <v>2</v>
      </c>
      <c r="O363" s="52">
        <f t="shared" si="572"/>
        <v>10</v>
      </c>
      <c r="P363" s="53">
        <f>COUNTIFS('00 Encuesta'!$B$2:$B$511,"*d)*",'00 Encuesta'!$C$2:$C$511,"*b)*",'00 Encuesta'!$E$2:$E$511,"*a)*",'00 Encuesta'!$AT$2:$AT$511,"*c)*")</f>
        <v>1</v>
      </c>
      <c r="Q363" s="52">
        <f t="shared" si="573"/>
        <v>14.285714285714285</v>
      </c>
      <c r="R363" s="53">
        <f>COUNTIFS('00 Encuesta'!$B$2:$B$511,"*d)*",'00 Encuesta'!$C$2:$C$511,"*b)*",'00 Encuesta'!$E$2:$E$511,"*b)*",'00 Encuesta'!$AT$2:$AT$511,"*c)*")</f>
        <v>1</v>
      </c>
      <c r="S363" s="52">
        <f t="shared" si="574"/>
        <v>7.6923076923076925</v>
      </c>
      <c r="T363" s="3"/>
      <c r="U363" s="51">
        <f t="shared" si="575"/>
        <v>2</v>
      </c>
      <c r="V363" s="52">
        <f t="shared" si="576"/>
        <v>10</v>
      </c>
      <c r="W363" s="53">
        <f>COUNTIFS('00 Encuesta'!$B$2:$B$511,"*d)*",'00 Encuesta'!$C$2:$C$511,"*c)*",'00 Encuesta'!$E$2:$E$511,"*a)*",'00 Encuesta'!$AT$2:$AT$511,"*c)*")</f>
        <v>1</v>
      </c>
      <c r="X363" s="52">
        <f t="shared" si="577"/>
        <v>20</v>
      </c>
      <c r="Y363" s="53">
        <f>COUNTIFS('00 Encuesta'!$B$2:$B$511,"*d)*",'00 Encuesta'!$C$2:$C$511,"*c)*",'00 Encuesta'!$E$2:$E$511,"*b)*",'00 Encuesta'!$AT$2:$AT$511,"*c)*")</f>
        <v>1</v>
      </c>
      <c r="Z363" s="52">
        <f t="shared" si="578"/>
        <v>6.666666666666667</v>
      </c>
      <c r="AA363" s="3"/>
      <c r="AB363" s="62">
        <f t="shared" si="579"/>
        <v>6</v>
      </c>
      <c r="AC363" s="52">
        <f t="shared" si="580"/>
        <v>9.5238095238095237</v>
      </c>
      <c r="AD363" s="3"/>
      <c r="AE363" s="3"/>
      <c r="AF363" s="9" t="str">
        <f t="shared" si="581"/>
        <v>c) Regular</v>
      </c>
      <c r="AG363" s="72">
        <f t="shared" si="582"/>
        <v>14.285714285714285</v>
      </c>
      <c r="AH363" s="72">
        <f t="shared" si="583"/>
        <v>0</v>
      </c>
      <c r="AI363" s="73">
        <f t="shared" si="584"/>
        <v>8.695652173913043</v>
      </c>
      <c r="AJ363" s="73"/>
      <c r="AK363" s="76">
        <f t="shared" si="585"/>
        <v>14.285714285714285</v>
      </c>
      <c r="AL363" s="76">
        <f t="shared" si="586"/>
        <v>7.6923076923076925</v>
      </c>
      <c r="AM363" s="76">
        <f t="shared" si="587"/>
        <v>10</v>
      </c>
      <c r="AN363" s="76"/>
      <c r="AO363" s="81">
        <f t="shared" si="588"/>
        <v>20</v>
      </c>
      <c r="AP363" s="81">
        <f t="shared" si="589"/>
        <v>6.666666666666667</v>
      </c>
      <c r="AQ363" s="81">
        <f t="shared" si="590"/>
        <v>10</v>
      </c>
      <c r="AR363" s="3"/>
      <c r="AS363" s="76">
        <f t="shared" si="542"/>
        <v>9.5238095238095237</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x14ac:dyDescent="0.3">
      <c r="A364" s="8" t="s">
        <v>21</v>
      </c>
      <c r="B364" s="9" t="s">
        <v>231</v>
      </c>
      <c r="C364" s="3"/>
      <c r="D364" s="3"/>
      <c r="E364" s="3"/>
      <c r="F364" s="71">
        <v>25</v>
      </c>
      <c r="G364" s="51">
        <f t="shared" si="567"/>
        <v>0</v>
      </c>
      <c r="H364" s="52">
        <f t="shared" si="568"/>
        <v>0</v>
      </c>
      <c r="I364" s="53">
        <f>COUNTIFS('00 Encuesta'!$B$2:$B$511,"*d)*",'00 Encuesta'!$C$2:$C$511,"*a)*",'00 Encuesta'!$E$2:$E$511,"*a)*",'00 Encuesta'!$AT$2:$AT$511,"*d)*")</f>
        <v>0</v>
      </c>
      <c r="J364" s="52">
        <f t="shared" si="569"/>
        <v>0</v>
      </c>
      <c r="K364" s="53">
        <f>COUNTIFS('00 Encuesta'!$B$2:$B$511,"*d)*",'00 Encuesta'!$C$2:$C$511,"*a)*",'00 Encuesta'!$E$2:$E$511,"*b)*",'00 Encuesta'!$AT$2:$AT$511,"*d)*")</f>
        <v>0</v>
      </c>
      <c r="L364" s="52">
        <f t="shared" si="570"/>
        <v>0</v>
      </c>
      <c r="M364" s="23"/>
      <c r="N364" s="51">
        <f t="shared" si="571"/>
        <v>0</v>
      </c>
      <c r="O364" s="52">
        <f t="shared" si="572"/>
        <v>0</v>
      </c>
      <c r="P364" s="53">
        <f>COUNTIFS('00 Encuesta'!$B$2:$B$511,"*d)*",'00 Encuesta'!$C$2:$C$511,"*b)*",'00 Encuesta'!$E$2:$E$511,"*a)*",'00 Encuesta'!$AT$2:$AT$511,"*d)*")</f>
        <v>0</v>
      </c>
      <c r="Q364" s="52">
        <f t="shared" si="573"/>
        <v>0</v>
      </c>
      <c r="R364" s="53">
        <f>COUNTIFS('00 Encuesta'!$B$2:$B$511,"*d)*",'00 Encuesta'!$C$2:$C$511,"*b)*",'00 Encuesta'!$E$2:$E$511,"*b)*",'00 Encuesta'!$AT$2:$AT$511,"*d)*")</f>
        <v>0</v>
      </c>
      <c r="S364" s="52">
        <f t="shared" si="574"/>
        <v>0</v>
      </c>
      <c r="T364" s="3"/>
      <c r="U364" s="51">
        <f t="shared" si="575"/>
        <v>1</v>
      </c>
      <c r="V364" s="52">
        <f t="shared" si="576"/>
        <v>5</v>
      </c>
      <c r="W364" s="53">
        <f>COUNTIFS('00 Encuesta'!$B$2:$B$511,"*d)*",'00 Encuesta'!$C$2:$C$511,"*c)*",'00 Encuesta'!$E$2:$E$511,"*a)*",'00 Encuesta'!$AT$2:$AT$511,"*d)*")</f>
        <v>1</v>
      </c>
      <c r="X364" s="52">
        <f t="shared" si="577"/>
        <v>20</v>
      </c>
      <c r="Y364" s="53">
        <f>COUNTIFS('00 Encuesta'!$B$2:$B$511,"*d)*",'00 Encuesta'!$C$2:$C$511,"*c)*",'00 Encuesta'!$E$2:$E$511,"*b)*",'00 Encuesta'!$AT$2:$AT$511,"*d)*")</f>
        <v>0</v>
      </c>
      <c r="Z364" s="52">
        <f t="shared" si="578"/>
        <v>0</v>
      </c>
      <c r="AA364" s="3"/>
      <c r="AB364" s="62">
        <f t="shared" si="579"/>
        <v>1</v>
      </c>
      <c r="AC364" s="52">
        <f t="shared" si="580"/>
        <v>1.5873015873015872</v>
      </c>
      <c r="AD364" s="3"/>
      <c r="AE364" s="3"/>
      <c r="AF364" s="9" t="str">
        <f t="shared" si="581"/>
        <v>d) Mala</v>
      </c>
      <c r="AG364" s="72">
        <f t="shared" si="582"/>
        <v>0</v>
      </c>
      <c r="AH364" s="72">
        <f t="shared" si="583"/>
        <v>0</v>
      </c>
      <c r="AI364" s="73">
        <f t="shared" si="584"/>
        <v>0</v>
      </c>
      <c r="AJ364" s="73"/>
      <c r="AK364" s="76">
        <f t="shared" si="585"/>
        <v>0</v>
      </c>
      <c r="AL364" s="76">
        <f t="shared" si="586"/>
        <v>0</v>
      </c>
      <c r="AM364" s="76">
        <f t="shared" si="587"/>
        <v>0</v>
      </c>
      <c r="AN364" s="76"/>
      <c r="AO364" s="81">
        <f t="shared" si="588"/>
        <v>20</v>
      </c>
      <c r="AP364" s="81">
        <f t="shared" si="589"/>
        <v>0</v>
      </c>
      <c r="AQ364" s="81">
        <f t="shared" si="590"/>
        <v>5</v>
      </c>
      <c r="AR364" s="3"/>
      <c r="AS364" s="76">
        <f t="shared" si="542"/>
        <v>1.5873015873015872</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x14ac:dyDescent="0.3">
      <c r="A365" s="8" t="s">
        <v>22</v>
      </c>
      <c r="B365" s="9" t="s">
        <v>232</v>
      </c>
      <c r="C365" s="3"/>
      <c r="D365" s="3"/>
      <c r="E365" s="3"/>
      <c r="F365" s="71">
        <v>0</v>
      </c>
      <c r="G365" s="51">
        <f t="shared" si="567"/>
        <v>1</v>
      </c>
      <c r="H365" s="52">
        <f t="shared" si="568"/>
        <v>4.3478260869565215</v>
      </c>
      <c r="I365" s="53">
        <f>COUNTIFS('00 Encuesta'!$B$2:$B$511,"*d)*",'00 Encuesta'!$C$2:$C$511,"*a)*",'00 Encuesta'!$E$2:$E$511,"*a)*",'00 Encuesta'!$AT$2:$AT$511,"*e)*")</f>
        <v>1</v>
      </c>
      <c r="J365" s="52">
        <f t="shared" si="569"/>
        <v>7.1428571428571423</v>
      </c>
      <c r="K365" s="53">
        <f>COUNTIFS('00 Encuesta'!$B$2:$B$511,"*d)*",'00 Encuesta'!$C$2:$C$511,"*a)*",'00 Encuesta'!$E$2:$E$511,"*b)*",'00 Encuesta'!$AT$2:$AT$511,"*e)*")</f>
        <v>0</v>
      </c>
      <c r="L365" s="52">
        <f t="shared" si="570"/>
        <v>0</v>
      </c>
      <c r="M365" s="23"/>
      <c r="N365" s="51">
        <f t="shared" si="571"/>
        <v>0</v>
      </c>
      <c r="O365" s="52">
        <f t="shared" si="572"/>
        <v>0</v>
      </c>
      <c r="P365" s="53">
        <f>COUNTIFS('00 Encuesta'!$B$2:$B$511,"*d)*",'00 Encuesta'!$C$2:$C$511,"*b)*",'00 Encuesta'!$E$2:$E$511,"*a)*",'00 Encuesta'!$AT$2:$AT$511,"*e)*")</f>
        <v>0</v>
      </c>
      <c r="Q365" s="52">
        <f t="shared" si="573"/>
        <v>0</v>
      </c>
      <c r="R365" s="53">
        <f>COUNTIFS('00 Encuesta'!$B$2:$B$511,"*d)*",'00 Encuesta'!$C$2:$C$511,"*b)*",'00 Encuesta'!$E$2:$E$511,"*b)*",'00 Encuesta'!$AT$2:$AT$511,"*e)*")</f>
        <v>0</v>
      </c>
      <c r="S365" s="52">
        <f t="shared" si="574"/>
        <v>0</v>
      </c>
      <c r="T365" s="3"/>
      <c r="U365" s="51">
        <f t="shared" si="575"/>
        <v>1</v>
      </c>
      <c r="V365" s="52">
        <f t="shared" si="576"/>
        <v>5</v>
      </c>
      <c r="W365" s="53">
        <f>COUNTIFS('00 Encuesta'!$B$2:$B$511,"*d)*",'00 Encuesta'!$C$2:$C$511,"*c)*",'00 Encuesta'!$E$2:$E$511,"*a)*",'00 Encuesta'!$AT$2:$AT$511,"*e)*")</f>
        <v>1</v>
      </c>
      <c r="X365" s="52">
        <f t="shared" si="577"/>
        <v>20</v>
      </c>
      <c r="Y365" s="53">
        <f>COUNTIFS('00 Encuesta'!$B$2:$B$511,"*d)*",'00 Encuesta'!$C$2:$C$511,"*c)*",'00 Encuesta'!$E$2:$E$511,"*b)*",'00 Encuesta'!$AT$2:$AT$511,"*e)*")</f>
        <v>0</v>
      </c>
      <c r="Z365" s="52">
        <f t="shared" si="578"/>
        <v>0</v>
      </c>
      <c r="AA365" s="3"/>
      <c r="AB365" s="62">
        <f t="shared" si="579"/>
        <v>2</v>
      </c>
      <c r="AC365" s="52">
        <f t="shared" si="580"/>
        <v>3.1746031746031744</v>
      </c>
      <c r="AD365" s="3"/>
      <c r="AE365" s="3"/>
      <c r="AF365" s="9" t="str">
        <f t="shared" si="581"/>
        <v>e) Muy mala</v>
      </c>
      <c r="AG365" s="72">
        <f t="shared" si="582"/>
        <v>7.1428571428571423</v>
      </c>
      <c r="AH365" s="72">
        <f t="shared" si="583"/>
        <v>0</v>
      </c>
      <c r="AI365" s="73">
        <f t="shared" si="584"/>
        <v>4.3478260869565215</v>
      </c>
      <c r="AJ365" s="73"/>
      <c r="AK365" s="76">
        <f t="shared" si="585"/>
        <v>0</v>
      </c>
      <c r="AL365" s="76">
        <f t="shared" si="586"/>
        <v>0</v>
      </c>
      <c r="AM365" s="76">
        <f t="shared" si="587"/>
        <v>0</v>
      </c>
      <c r="AN365" s="76"/>
      <c r="AO365" s="81">
        <f t="shared" si="588"/>
        <v>20</v>
      </c>
      <c r="AP365" s="81">
        <f t="shared" si="589"/>
        <v>0</v>
      </c>
      <c r="AQ365" s="81">
        <f t="shared" si="590"/>
        <v>5</v>
      </c>
      <c r="AR365" s="3"/>
      <c r="AS365" s="76">
        <f t="shared" si="542"/>
        <v>3.1746031746031744</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x14ac:dyDescent="0.3">
      <c r="A366" s="8" t="s">
        <v>45</v>
      </c>
      <c r="B366" s="9" t="s">
        <v>233</v>
      </c>
      <c r="C366" s="7"/>
      <c r="D366" s="7"/>
      <c r="E366" s="7"/>
      <c r="F366" s="71"/>
      <c r="G366" s="51">
        <f t="shared" si="567"/>
        <v>0</v>
      </c>
      <c r="H366" s="52">
        <f t="shared" si="568"/>
        <v>0</v>
      </c>
      <c r="I366" s="53">
        <f>COUNTIFS('00 Encuesta'!$B$2:$B$511,"*d)*",'00 Encuesta'!$C$2:$C$511,"*a)*",'00 Encuesta'!$E$2:$E$511,"*a)*",'00 Encuesta'!$AT$2:$AT$511,"*f)*")</f>
        <v>0</v>
      </c>
      <c r="J366" s="52">
        <f t="shared" si="569"/>
        <v>0</v>
      </c>
      <c r="K366" s="53">
        <f>COUNTIFS('00 Encuesta'!$B$2:$B$511,"*d)*",'00 Encuesta'!$C$2:$C$511,"*a)*",'00 Encuesta'!$E$2:$E$511,"*b)*",'00 Encuesta'!$AT$2:$AT$511,"*f)*")</f>
        <v>0</v>
      </c>
      <c r="L366" s="52">
        <f t="shared" si="570"/>
        <v>0</v>
      </c>
      <c r="M366" s="23"/>
      <c r="N366" s="51">
        <f t="shared" si="571"/>
        <v>1</v>
      </c>
      <c r="O366" s="52">
        <f t="shared" si="572"/>
        <v>5</v>
      </c>
      <c r="P366" s="53">
        <f>COUNTIFS('00 Encuesta'!$B$2:$B$511,"*d)*",'00 Encuesta'!$C$2:$C$511,"*b)*",'00 Encuesta'!$E$2:$E$511,"*a)*",'00 Encuesta'!$AT$2:$AT$511,"*f)*")</f>
        <v>1</v>
      </c>
      <c r="Q366" s="52">
        <f t="shared" si="573"/>
        <v>14.285714285714285</v>
      </c>
      <c r="R366" s="53">
        <f>COUNTIFS('00 Encuesta'!$B$2:$B$511,"*d)*",'00 Encuesta'!$C$2:$C$511,"*b)*",'00 Encuesta'!$E$2:$E$511,"*b)*",'00 Encuesta'!$AT$2:$AT$511,"*f)*")</f>
        <v>0</v>
      </c>
      <c r="S366" s="52">
        <f t="shared" si="574"/>
        <v>0</v>
      </c>
      <c r="T366" s="3"/>
      <c r="U366" s="51">
        <f t="shared" si="575"/>
        <v>0</v>
      </c>
      <c r="V366" s="52">
        <f t="shared" si="576"/>
        <v>0</v>
      </c>
      <c r="W366" s="53">
        <f>COUNTIFS('00 Encuesta'!$B$2:$B$511,"*d)*",'00 Encuesta'!$C$2:$C$511,"*c)*",'00 Encuesta'!$E$2:$E$511,"*a)*",'00 Encuesta'!$AT$2:$AT$511,"*f)*")</f>
        <v>0</v>
      </c>
      <c r="X366" s="52">
        <f t="shared" si="577"/>
        <v>0</v>
      </c>
      <c r="Y366" s="53">
        <f>COUNTIFS('00 Encuesta'!$B$2:$B$511,"*d)*",'00 Encuesta'!$C$2:$C$511,"*c)*",'00 Encuesta'!$E$2:$E$511,"*b)*",'00 Encuesta'!$AT$2:$AT$511,"*f)*")</f>
        <v>0</v>
      </c>
      <c r="Z366" s="52">
        <f t="shared" si="578"/>
        <v>0</v>
      </c>
      <c r="AA366" s="3"/>
      <c r="AB366" s="62">
        <f t="shared" si="579"/>
        <v>1</v>
      </c>
      <c r="AC366" s="52">
        <f t="shared" si="580"/>
        <v>1.5873015873015872</v>
      </c>
      <c r="AD366" s="3"/>
      <c r="AE366" s="3"/>
      <c r="AF366" s="9" t="str">
        <f t="shared" si="581"/>
        <v>f) No aplica</v>
      </c>
      <c r="AG366" s="72">
        <f t="shared" si="582"/>
        <v>0</v>
      </c>
      <c r="AH366" s="72">
        <f t="shared" si="583"/>
        <v>0</v>
      </c>
      <c r="AI366" s="73">
        <f t="shared" si="584"/>
        <v>0</v>
      </c>
      <c r="AJ366" s="73"/>
      <c r="AK366" s="76">
        <f t="shared" si="585"/>
        <v>14.285714285714285</v>
      </c>
      <c r="AL366" s="76">
        <f t="shared" si="586"/>
        <v>0</v>
      </c>
      <c r="AM366" s="76">
        <f t="shared" si="587"/>
        <v>5</v>
      </c>
      <c r="AN366" s="76"/>
      <c r="AO366" s="81">
        <f t="shared" si="588"/>
        <v>0</v>
      </c>
      <c r="AP366" s="81">
        <f t="shared" si="589"/>
        <v>0</v>
      </c>
      <c r="AQ366" s="81">
        <f t="shared" si="590"/>
        <v>0</v>
      </c>
      <c r="AR366" s="3"/>
      <c r="AS366" s="76">
        <f t="shared" si="542"/>
        <v>1.5873015873015872</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80.357142857142861</v>
      </c>
      <c r="AH367" s="82">
        <f>($F361*K361+$F362*K362+$F363*K363+$F364*K364+$F365*K365)/(K361+K362+K363+K364+K365)</f>
        <v>93.75</v>
      </c>
      <c r="AI367" s="82">
        <f>($F361*G361+$F362*G362+$F363*G363+$F364*G364+$F365*G365)/(G361+G362+G363+G364+G365)</f>
        <v>85.227272727272734</v>
      </c>
      <c r="AJ367" s="82"/>
      <c r="AK367" s="82">
        <f>($F361*Q361+$F362*Q362+$F363*Q363+$F364*Q364+$F365*Q365)/(Q361+Q362+Q363+Q364+Q365)</f>
        <v>87.500000000000014</v>
      </c>
      <c r="AL367" s="82">
        <f>($F361*S361+$F362*S362+$F363*S363+$F364*S364+$F365*S365)/(S361+S362+S363+S364+S365)</f>
        <v>94.230769230769226</v>
      </c>
      <c r="AM367" s="82">
        <f>($F361*O361+$F362*O362+$F363*O363+$F364*O364+$F365*O365)/(O361+O362+O363+O364+O365)</f>
        <v>92.10526315789474</v>
      </c>
      <c r="AN367" s="82"/>
      <c r="AO367" s="82">
        <f>($F361*W361+$F362*W362+$F363*W363+$F364*W364+$F365*W365)/(W361+W362+W363+W364+W365)</f>
        <v>45</v>
      </c>
      <c r="AP367" s="82">
        <f>($F361*Y361+$F362*Y362+$F363*Y363+$F364*Y364+$F365*Y365)/(Y361+Y362+Y363+Y364+Y365)</f>
        <v>96.428571428571431</v>
      </c>
      <c r="AQ367" s="82">
        <f>($F361*U361+$F362*U362+$F363*U363+$F364*U364+$F365*U365)/(U361+U362+U363+U364+U365)</f>
        <v>82.89473684210526</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 x14ac:dyDescent="0.35">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x14ac:dyDescent="0.3">
      <c r="A369" s="8" t="s">
        <v>17</v>
      </c>
      <c r="B369" s="9" t="s">
        <v>229</v>
      </c>
      <c r="C369" s="3"/>
      <c r="D369" s="3"/>
      <c r="E369" s="3"/>
      <c r="F369" s="71">
        <v>100</v>
      </c>
      <c r="G369" s="51">
        <f t="shared" ref="G369:G374" si="591">I369+K369</f>
        <v>10</v>
      </c>
      <c r="H369" s="52">
        <f t="shared" ref="H369:H374" si="592">G369/$J$5*100</f>
        <v>43.478260869565219</v>
      </c>
      <c r="I369" s="53">
        <f>COUNTIFS('00 Encuesta'!$B$2:$B$511,"*d)*",'00 Encuesta'!$C$2:$C$511,"*a)*",'00 Encuesta'!$E$2:$E$511,"*a)*",'00 Encuesta'!$AU$2:$AU$511,"*a)*")</f>
        <v>5</v>
      </c>
      <c r="J369" s="52">
        <f t="shared" ref="J369:J374" si="593">I369/$J$6*100</f>
        <v>35.714285714285715</v>
      </c>
      <c r="K369" s="53">
        <f>COUNTIFS('00 Encuesta'!$B$2:$B$511,"*d)*",'00 Encuesta'!$C$2:$C$511,"*a)*",'00 Encuesta'!$E$2:$E$511,"*b)*",'00 Encuesta'!$AU$2:$AU$511,"*a)*")</f>
        <v>5</v>
      </c>
      <c r="L369" s="52">
        <f t="shared" ref="L369:L374" si="594">K369/$J$7*100</f>
        <v>55.555555555555557</v>
      </c>
      <c r="M369" s="23"/>
      <c r="N369" s="51">
        <f t="shared" ref="N369:N374" si="595">P369+R369</f>
        <v>10</v>
      </c>
      <c r="O369" s="52">
        <f t="shared" ref="O369:O374" si="596">N369/$Q$5*100</f>
        <v>50</v>
      </c>
      <c r="P369" s="53">
        <f>COUNTIFS('00 Encuesta'!$B$2:$B$511,"*d)*",'00 Encuesta'!$C$2:$C$511,"*b)*",'00 Encuesta'!$E$2:$E$511,"*a)*",'00 Encuesta'!$AU$2:$AU$511,"*a)*")</f>
        <v>1</v>
      </c>
      <c r="Q369" s="52">
        <f t="shared" ref="Q369:Q374" si="597">P369/$Q$6*100</f>
        <v>14.285714285714285</v>
      </c>
      <c r="R369" s="53">
        <f>COUNTIFS('00 Encuesta'!$B$2:$B$511,"*d)*",'00 Encuesta'!$C$2:$C$511,"*b)*",'00 Encuesta'!$E$2:$E$511,"*b)*",'00 Encuesta'!$AU$2:$AU$511,"*a)*")</f>
        <v>9</v>
      </c>
      <c r="S369" s="52">
        <f t="shared" ref="S369:S374" si="598">R369/$Q$7*100</f>
        <v>69.230769230769226</v>
      </c>
      <c r="T369" s="3"/>
      <c r="U369" s="51">
        <f t="shared" ref="U369:U374" si="599">W369+Y369</f>
        <v>7</v>
      </c>
      <c r="V369" s="52">
        <f t="shared" ref="V369:V374" si="600">U369/$X$5*100</f>
        <v>35</v>
      </c>
      <c r="W369" s="53">
        <f>COUNTIFS('00 Encuesta'!$B$2:$B$511,"*d)*",'00 Encuesta'!$C$2:$C$511,"*c)*",'00 Encuesta'!$E$2:$E$511,"*a)*",'00 Encuesta'!$AU$2:$AU$511,"*a)*")</f>
        <v>0</v>
      </c>
      <c r="X369" s="52">
        <f t="shared" ref="X369:X374" si="601">W369/$X$6*100</f>
        <v>0</v>
      </c>
      <c r="Y369" s="53">
        <f>COUNTIFS('00 Encuesta'!$B$2:$B$511,"*d)*",'00 Encuesta'!$C$2:$C$511,"*c)*",'00 Encuesta'!$E$2:$E$511,"*b)*",'00 Encuesta'!$AU$2:$AU$511,"*a)*")</f>
        <v>7</v>
      </c>
      <c r="Z369" s="52">
        <f t="shared" ref="Z369:Z374" si="602">Y369/$X$7*100</f>
        <v>46.666666666666664</v>
      </c>
      <c r="AA369" s="3"/>
      <c r="AB369" s="62">
        <f t="shared" ref="AB369:AB374" si="603">G369+N369+U369</f>
        <v>27</v>
      </c>
      <c r="AC369" s="52">
        <f t="shared" ref="AC369:AC374" si="604">AB369*100/$AC$5</f>
        <v>42.857142857142854</v>
      </c>
      <c r="AD369" s="3"/>
      <c r="AE369" s="3"/>
      <c r="AF369" s="9" t="str">
        <f t="shared" ref="AF369:AF374" si="605">A369&amp;" "&amp;B369</f>
        <v>a) Muy buena</v>
      </c>
      <c r="AG369" s="72">
        <f t="shared" ref="AG369:AG374" si="606">J369</f>
        <v>35.714285714285715</v>
      </c>
      <c r="AH369" s="72">
        <f t="shared" ref="AH369:AH374" si="607">L369</f>
        <v>55.555555555555557</v>
      </c>
      <c r="AI369" s="73">
        <f t="shared" ref="AI369:AI374" si="608">H369</f>
        <v>43.478260869565219</v>
      </c>
      <c r="AJ369" s="73"/>
      <c r="AK369" s="76">
        <f t="shared" ref="AK369:AK374" si="609">Q369</f>
        <v>14.285714285714285</v>
      </c>
      <c r="AL369" s="76">
        <f t="shared" ref="AL369:AL374" si="610">S369</f>
        <v>69.230769230769226</v>
      </c>
      <c r="AM369" s="76">
        <f t="shared" ref="AM369:AM374" si="611">O369</f>
        <v>50</v>
      </c>
      <c r="AN369" s="76"/>
      <c r="AO369" s="81">
        <f t="shared" ref="AO369:AO374" si="612">X369</f>
        <v>0</v>
      </c>
      <c r="AP369" s="81">
        <f t="shared" ref="AP369:AP374" si="613">Z369</f>
        <v>46.666666666666664</v>
      </c>
      <c r="AQ369" s="81">
        <f t="shared" ref="AQ369:AQ374" si="614">V369</f>
        <v>35</v>
      </c>
      <c r="AR369" s="3"/>
      <c r="AS369" s="76">
        <f t="shared" si="542"/>
        <v>42.857142857142854</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x14ac:dyDescent="0.3">
      <c r="A370" s="8" t="s">
        <v>18</v>
      </c>
      <c r="B370" s="9" t="s">
        <v>230</v>
      </c>
      <c r="C370" s="3"/>
      <c r="D370" s="3"/>
      <c r="E370" s="3"/>
      <c r="F370" s="71">
        <v>75</v>
      </c>
      <c r="G370" s="51">
        <f t="shared" si="591"/>
        <v>10</v>
      </c>
      <c r="H370" s="52">
        <f t="shared" si="592"/>
        <v>43.478260869565219</v>
      </c>
      <c r="I370" s="53">
        <f>COUNTIFS('00 Encuesta'!$B$2:$B$511,"*d)*",'00 Encuesta'!$C$2:$C$511,"*a)*",'00 Encuesta'!$E$2:$E$511,"*a)*",'00 Encuesta'!$AU$2:$AU$511,"*b)*")</f>
        <v>6</v>
      </c>
      <c r="J370" s="52">
        <f t="shared" si="593"/>
        <v>42.857142857142854</v>
      </c>
      <c r="K370" s="53">
        <f>COUNTIFS('00 Encuesta'!$B$2:$B$511,"*d)*",'00 Encuesta'!$C$2:$C$511,"*a)*",'00 Encuesta'!$E$2:$E$511,"*b)*",'00 Encuesta'!$AU$2:$AU$511,"*b)*")</f>
        <v>4</v>
      </c>
      <c r="L370" s="52">
        <f t="shared" si="594"/>
        <v>44.444444444444443</v>
      </c>
      <c r="M370" s="23"/>
      <c r="N370" s="51">
        <f t="shared" si="595"/>
        <v>7</v>
      </c>
      <c r="O370" s="52">
        <f t="shared" si="596"/>
        <v>35</v>
      </c>
      <c r="P370" s="53">
        <f>COUNTIFS('00 Encuesta'!$B$2:$B$511,"*d)*",'00 Encuesta'!$C$2:$C$511,"*b)*",'00 Encuesta'!$E$2:$E$511,"*a)*",'00 Encuesta'!$AU$2:$AU$511,"*b)*")</f>
        <v>3</v>
      </c>
      <c r="Q370" s="52">
        <f t="shared" si="597"/>
        <v>42.857142857142854</v>
      </c>
      <c r="R370" s="53">
        <f>COUNTIFS('00 Encuesta'!$B$2:$B$511,"*d)*",'00 Encuesta'!$C$2:$C$511,"*b)*",'00 Encuesta'!$E$2:$E$511,"*b)*",'00 Encuesta'!$AU$2:$AU$511,"*b)*")</f>
        <v>4</v>
      </c>
      <c r="S370" s="52">
        <f t="shared" si="598"/>
        <v>30.76923076923077</v>
      </c>
      <c r="T370" s="3"/>
      <c r="U370" s="51">
        <f t="shared" si="599"/>
        <v>9</v>
      </c>
      <c r="V370" s="52">
        <f t="shared" si="600"/>
        <v>45</v>
      </c>
      <c r="W370" s="53">
        <f>COUNTIFS('00 Encuesta'!$B$2:$B$511,"*d)*",'00 Encuesta'!$C$2:$C$511,"*c)*",'00 Encuesta'!$E$2:$E$511,"*a)*",'00 Encuesta'!$AU$2:$AU$511,"*b)*")</f>
        <v>1</v>
      </c>
      <c r="X370" s="52">
        <f t="shared" si="601"/>
        <v>20</v>
      </c>
      <c r="Y370" s="53">
        <f>COUNTIFS('00 Encuesta'!$B$2:$B$511,"*d)*",'00 Encuesta'!$C$2:$C$511,"*c)*",'00 Encuesta'!$E$2:$E$511,"*b)*",'00 Encuesta'!$AU$2:$AU$511,"*b)*")</f>
        <v>8</v>
      </c>
      <c r="Z370" s="52">
        <f t="shared" si="602"/>
        <v>53.333333333333336</v>
      </c>
      <c r="AA370" s="3"/>
      <c r="AB370" s="62">
        <f t="shared" si="603"/>
        <v>26</v>
      </c>
      <c r="AC370" s="52">
        <f t="shared" si="604"/>
        <v>41.269841269841272</v>
      </c>
      <c r="AD370" s="3"/>
      <c r="AE370" s="3"/>
      <c r="AF370" s="9" t="str">
        <f t="shared" si="605"/>
        <v>b) Buena</v>
      </c>
      <c r="AG370" s="72">
        <f t="shared" si="606"/>
        <v>42.857142857142854</v>
      </c>
      <c r="AH370" s="72">
        <f t="shared" si="607"/>
        <v>44.444444444444443</v>
      </c>
      <c r="AI370" s="73">
        <f t="shared" si="608"/>
        <v>43.478260869565219</v>
      </c>
      <c r="AJ370" s="73"/>
      <c r="AK370" s="76">
        <f t="shared" si="609"/>
        <v>42.857142857142854</v>
      </c>
      <c r="AL370" s="76">
        <f t="shared" si="610"/>
        <v>30.76923076923077</v>
      </c>
      <c r="AM370" s="76">
        <f t="shared" si="611"/>
        <v>35</v>
      </c>
      <c r="AN370" s="76"/>
      <c r="AO370" s="81">
        <f t="shared" si="612"/>
        <v>20</v>
      </c>
      <c r="AP370" s="81">
        <f t="shared" si="613"/>
        <v>53.333333333333336</v>
      </c>
      <c r="AQ370" s="81">
        <f t="shared" si="614"/>
        <v>45</v>
      </c>
      <c r="AR370" s="3"/>
      <c r="AS370" s="76">
        <f t="shared" si="542"/>
        <v>41.269841269841272</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x14ac:dyDescent="0.3">
      <c r="A371" s="8" t="s">
        <v>20</v>
      </c>
      <c r="B371" s="9" t="s">
        <v>218</v>
      </c>
      <c r="C371" s="3"/>
      <c r="D371" s="3"/>
      <c r="E371" s="3"/>
      <c r="F371" s="71">
        <v>50</v>
      </c>
      <c r="G371" s="51">
        <f t="shared" si="591"/>
        <v>1</v>
      </c>
      <c r="H371" s="52">
        <f t="shared" si="592"/>
        <v>4.3478260869565215</v>
      </c>
      <c r="I371" s="53">
        <f>COUNTIFS('00 Encuesta'!$B$2:$B$511,"*d)*",'00 Encuesta'!$C$2:$C$511,"*a)*",'00 Encuesta'!$E$2:$E$511,"*a)*",'00 Encuesta'!$AU$2:$AU$511,"*c)*")</f>
        <v>1</v>
      </c>
      <c r="J371" s="52">
        <f t="shared" si="593"/>
        <v>7.1428571428571423</v>
      </c>
      <c r="K371" s="53">
        <f>COUNTIFS('00 Encuesta'!$B$2:$B$511,"*d)*",'00 Encuesta'!$C$2:$C$511,"*a)*",'00 Encuesta'!$E$2:$E$511,"*b)*",'00 Encuesta'!$AU$2:$AU$511,"*c)*")</f>
        <v>0</v>
      </c>
      <c r="L371" s="52">
        <f t="shared" si="594"/>
        <v>0</v>
      </c>
      <c r="M371" s="23"/>
      <c r="N371" s="51">
        <f t="shared" si="595"/>
        <v>3</v>
      </c>
      <c r="O371" s="52">
        <f t="shared" si="596"/>
        <v>15</v>
      </c>
      <c r="P371" s="53">
        <f>COUNTIFS('00 Encuesta'!$B$2:$B$511,"*d)*",'00 Encuesta'!$C$2:$C$511,"*b)*",'00 Encuesta'!$E$2:$E$511,"*a)*",'00 Encuesta'!$AU$2:$AU$511,"*c)*")</f>
        <v>3</v>
      </c>
      <c r="Q371" s="52">
        <f t="shared" si="597"/>
        <v>42.857142857142854</v>
      </c>
      <c r="R371" s="53">
        <f>COUNTIFS('00 Encuesta'!$B$2:$B$511,"*d)*",'00 Encuesta'!$C$2:$C$511,"*b)*",'00 Encuesta'!$E$2:$E$511,"*b)*",'00 Encuesta'!$AU$2:$AU$511,"*c)*")</f>
        <v>0</v>
      </c>
      <c r="S371" s="52">
        <f t="shared" si="598"/>
        <v>0</v>
      </c>
      <c r="T371" s="3"/>
      <c r="U371" s="51">
        <f t="shared" si="599"/>
        <v>3</v>
      </c>
      <c r="V371" s="52">
        <f t="shared" si="600"/>
        <v>15</v>
      </c>
      <c r="W371" s="53">
        <f>COUNTIFS('00 Encuesta'!$B$2:$B$511,"*d)*",'00 Encuesta'!$C$2:$C$511,"*c)*",'00 Encuesta'!$E$2:$E$511,"*a)*",'00 Encuesta'!$AU$2:$AU$511,"*c)*")</f>
        <v>3</v>
      </c>
      <c r="X371" s="52">
        <f t="shared" si="601"/>
        <v>60</v>
      </c>
      <c r="Y371" s="53">
        <f>COUNTIFS('00 Encuesta'!$B$2:$B$511,"*d)*",'00 Encuesta'!$C$2:$C$511,"*c)*",'00 Encuesta'!$E$2:$E$511,"*b)*",'00 Encuesta'!$AU$2:$AU$511,"*c)*")</f>
        <v>0</v>
      </c>
      <c r="Z371" s="52">
        <f t="shared" si="602"/>
        <v>0</v>
      </c>
      <c r="AA371" s="3"/>
      <c r="AB371" s="62">
        <f t="shared" si="603"/>
        <v>7</v>
      </c>
      <c r="AC371" s="52">
        <f t="shared" si="604"/>
        <v>11.111111111111111</v>
      </c>
      <c r="AD371" s="3"/>
      <c r="AE371" s="3"/>
      <c r="AF371" s="9" t="str">
        <f t="shared" si="605"/>
        <v>c) Regular</v>
      </c>
      <c r="AG371" s="72">
        <f t="shared" si="606"/>
        <v>7.1428571428571423</v>
      </c>
      <c r="AH371" s="72">
        <f t="shared" si="607"/>
        <v>0</v>
      </c>
      <c r="AI371" s="73">
        <f t="shared" si="608"/>
        <v>4.3478260869565215</v>
      </c>
      <c r="AJ371" s="73"/>
      <c r="AK371" s="76">
        <f t="shared" si="609"/>
        <v>42.857142857142854</v>
      </c>
      <c r="AL371" s="76">
        <f t="shared" si="610"/>
        <v>0</v>
      </c>
      <c r="AM371" s="76">
        <f t="shared" si="611"/>
        <v>15</v>
      </c>
      <c r="AN371" s="76"/>
      <c r="AO371" s="81">
        <f t="shared" si="612"/>
        <v>60</v>
      </c>
      <c r="AP371" s="81">
        <f t="shared" si="613"/>
        <v>0</v>
      </c>
      <c r="AQ371" s="81">
        <f t="shared" si="614"/>
        <v>15</v>
      </c>
      <c r="AR371" s="3"/>
      <c r="AS371" s="76">
        <f t="shared" si="542"/>
        <v>11.111111111111111</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x14ac:dyDescent="0.3">
      <c r="A372" s="8" t="s">
        <v>21</v>
      </c>
      <c r="B372" s="9" t="s">
        <v>231</v>
      </c>
      <c r="C372" s="3"/>
      <c r="D372" s="3"/>
      <c r="E372" s="3"/>
      <c r="F372" s="71">
        <v>25</v>
      </c>
      <c r="G372" s="51">
        <f t="shared" si="591"/>
        <v>1</v>
      </c>
      <c r="H372" s="52">
        <f t="shared" si="592"/>
        <v>4.3478260869565215</v>
      </c>
      <c r="I372" s="53">
        <f>COUNTIFS('00 Encuesta'!$B$2:$B$511,"*d)*",'00 Encuesta'!$C$2:$C$511,"*a)*",'00 Encuesta'!$E$2:$E$511,"*a)*",'00 Encuesta'!$AU$2:$AU$511,"*d)*")</f>
        <v>1</v>
      </c>
      <c r="J372" s="52">
        <f t="shared" si="593"/>
        <v>7.1428571428571423</v>
      </c>
      <c r="K372" s="53">
        <f>COUNTIFS('00 Encuesta'!$B$2:$B$511,"*d)*",'00 Encuesta'!$C$2:$C$511,"*a)*",'00 Encuesta'!$E$2:$E$511,"*b)*",'00 Encuesta'!$AU$2:$AU$511,"*d)*")</f>
        <v>0</v>
      </c>
      <c r="L372" s="52">
        <f t="shared" si="594"/>
        <v>0</v>
      </c>
      <c r="M372" s="23"/>
      <c r="N372" s="51">
        <f t="shared" si="595"/>
        <v>0</v>
      </c>
      <c r="O372" s="52">
        <f t="shared" si="596"/>
        <v>0</v>
      </c>
      <c r="P372" s="53">
        <f>COUNTIFS('00 Encuesta'!$B$2:$B$511,"*d)*",'00 Encuesta'!$C$2:$C$511,"*b)*",'00 Encuesta'!$E$2:$E$511,"*a)*",'00 Encuesta'!$AU$2:$AU$511,"*d)*")</f>
        <v>0</v>
      </c>
      <c r="Q372" s="52">
        <f t="shared" si="597"/>
        <v>0</v>
      </c>
      <c r="R372" s="53">
        <f>COUNTIFS('00 Encuesta'!$B$2:$B$511,"*d)*",'00 Encuesta'!$C$2:$C$511,"*b)*",'00 Encuesta'!$E$2:$E$511,"*b)*",'00 Encuesta'!$AU$2:$AU$511,"*d)*")</f>
        <v>0</v>
      </c>
      <c r="S372" s="52">
        <f t="shared" si="598"/>
        <v>0</v>
      </c>
      <c r="T372" s="3"/>
      <c r="U372" s="51">
        <f t="shared" si="599"/>
        <v>1</v>
      </c>
      <c r="V372" s="52">
        <f t="shared" si="600"/>
        <v>5</v>
      </c>
      <c r="W372" s="53">
        <f>COUNTIFS('00 Encuesta'!$B$2:$B$511,"*d)*",'00 Encuesta'!$C$2:$C$511,"*c)*",'00 Encuesta'!$E$2:$E$511,"*a)*",'00 Encuesta'!$AU$2:$AU$511,"*d)*")</f>
        <v>1</v>
      </c>
      <c r="X372" s="52">
        <f t="shared" si="601"/>
        <v>20</v>
      </c>
      <c r="Y372" s="53">
        <f>COUNTIFS('00 Encuesta'!$B$2:$B$511,"*d)*",'00 Encuesta'!$C$2:$C$511,"*c)*",'00 Encuesta'!$E$2:$E$511,"*b)*",'00 Encuesta'!$AU$2:$AU$511,"*d)*")</f>
        <v>0</v>
      </c>
      <c r="Z372" s="52">
        <f t="shared" si="602"/>
        <v>0</v>
      </c>
      <c r="AA372" s="3"/>
      <c r="AB372" s="62">
        <f t="shared" si="603"/>
        <v>2</v>
      </c>
      <c r="AC372" s="52">
        <f t="shared" si="604"/>
        <v>3.1746031746031744</v>
      </c>
      <c r="AD372" s="3"/>
      <c r="AE372" s="3"/>
      <c r="AF372" s="9" t="str">
        <f t="shared" si="605"/>
        <v>d) Mala</v>
      </c>
      <c r="AG372" s="72">
        <f t="shared" si="606"/>
        <v>7.1428571428571423</v>
      </c>
      <c r="AH372" s="72">
        <f t="shared" si="607"/>
        <v>0</v>
      </c>
      <c r="AI372" s="73">
        <f t="shared" si="608"/>
        <v>4.3478260869565215</v>
      </c>
      <c r="AJ372" s="73"/>
      <c r="AK372" s="76">
        <f t="shared" si="609"/>
        <v>0</v>
      </c>
      <c r="AL372" s="76">
        <f t="shared" si="610"/>
        <v>0</v>
      </c>
      <c r="AM372" s="76">
        <f t="shared" si="611"/>
        <v>0</v>
      </c>
      <c r="AN372" s="76"/>
      <c r="AO372" s="81">
        <f t="shared" si="612"/>
        <v>20</v>
      </c>
      <c r="AP372" s="81">
        <f t="shared" si="613"/>
        <v>0</v>
      </c>
      <c r="AQ372" s="81">
        <f t="shared" si="614"/>
        <v>5</v>
      </c>
      <c r="AR372" s="3"/>
      <c r="AS372" s="76">
        <f t="shared" si="542"/>
        <v>3.1746031746031744</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x14ac:dyDescent="0.3">
      <c r="A373" s="8" t="s">
        <v>22</v>
      </c>
      <c r="B373" s="9" t="s">
        <v>232</v>
      </c>
      <c r="C373" s="3"/>
      <c r="D373" s="3"/>
      <c r="E373" s="3"/>
      <c r="F373" s="71">
        <v>0</v>
      </c>
      <c r="G373" s="51">
        <f t="shared" si="591"/>
        <v>0</v>
      </c>
      <c r="H373" s="52">
        <f t="shared" si="592"/>
        <v>0</v>
      </c>
      <c r="I373" s="53">
        <f>COUNTIFS('00 Encuesta'!$B$2:$B$511,"*d)*",'00 Encuesta'!$C$2:$C$511,"*a)*",'00 Encuesta'!$E$2:$E$511,"*a)*",'00 Encuesta'!$AU$2:$AU$511,"*e)*")</f>
        <v>0</v>
      </c>
      <c r="J373" s="52">
        <f t="shared" si="593"/>
        <v>0</v>
      </c>
      <c r="K373" s="53">
        <f>COUNTIFS('00 Encuesta'!$B$2:$B$511,"*d)*",'00 Encuesta'!$C$2:$C$511,"*a)*",'00 Encuesta'!$E$2:$E$511,"*b)*",'00 Encuesta'!$AU$2:$AU$511,"*e)*")</f>
        <v>0</v>
      </c>
      <c r="L373" s="52">
        <f t="shared" si="594"/>
        <v>0</v>
      </c>
      <c r="M373" s="23"/>
      <c r="N373" s="51">
        <f t="shared" si="595"/>
        <v>0</v>
      </c>
      <c r="O373" s="52">
        <f t="shared" si="596"/>
        <v>0</v>
      </c>
      <c r="P373" s="53">
        <f>COUNTIFS('00 Encuesta'!$B$2:$B$511,"*d)*",'00 Encuesta'!$C$2:$C$511,"*b)*",'00 Encuesta'!$E$2:$E$511,"*a)*",'00 Encuesta'!$AU$2:$AU$511,"*e)*")</f>
        <v>0</v>
      </c>
      <c r="Q373" s="52">
        <f t="shared" si="597"/>
        <v>0</v>
      </c>
      <c r="R373" s="53">
        <f>COUNTIFS('00 Encuesta'!$B$2:$B$511,"*d)*",'00 Encuesta'!$C$2:$C$511,"*b)*",'00 Encuesta'!$E$2:$E$511,"*b)*",'00 Encuesta'!$AU$2:$AU$511,"*e)*")</f>
        <v>0</v>
      </c>
      <c r="S373" s="52">
        <f t="shared" si="598"/>
        <v>0</v>
      </c>
      <c r="T373" s="3"/>
      <c r="U373" s="51">
        <f t="shared" si="599"/>
        <v>0</v>
      </c>
      <c r="V373" s="52">
        <f t="shared" si="600"/>
        <v>0</v>
      </c>
      <c r="W373" s="53">
        <f>COUNTIFS('00 Encuesta'!$B$2:$B$511,"*d)*",'00 Encuesta'!$C$2:$C$511,"*c)*",'00 Encuesta'!$E$2:$E$511,"*a)*",'00 Encuesta'!$AU$2:$AU$511,"*e)*")</f>
        <v>0</v>
      </c>
      <c r="X373" s="52">
        <f t="shared" si="601"/>
        <v>0</v>
      </c>
      <c r="Y373" s="53">
        <f>COUNTIFS('00 Encuesta'!$B$2:$B$511,"*d)*",'00 Encuesta'!$C$2:$C$511,"*c)*",'00 Encuesta'!$E$2:$E$511,"*b)*",'00 Encuesta'!$AU$2:$AU$511,"*e)*")</f>
        <v>0</v>
      </c>
      <c r="Z373" s="52">
        <f t="shared" si="602"/>
        <v>0</v>
      </c>
      <c r="AA373" s="3"/>
      <c r="AB373" s="62">
        <f t="shared" si="603"/>
        <v>0</v>
      </c>
      <c r="AC373" s="52">
        <f t="shared" si="604"/>
        <v>0</v>
      </c>
      <c r="AD373" s="3"/>
      <c r="AE373" s="3"/>
      <c r="AF373" s="9" t="str">
        <f t="shared" si="605"/>
        <v>e) Muy mala</v>
      </c>
      <c r="AG373" s="72">
        <f t="shared" si="606"/>
        <v>0</v>
      </c>
      <c r="AH373" s="72">
        <f t="shared" si="607"/>
        <v>0</v>
      </c>
      <c r="AI373" s="73">
        <f t="shared" si="608"/>
        <v>0</v>
      </c>
      <c r="AJ373" s="73"/>
      <c r="AK373" s="76">
        <f t="shared" si="609"/>
        <v>0</v>
      </c>
      <c r="AL373" s="76">
        <f t="shared" si="610"/>
        <v>0</v>
      </c>
      <c r="AM373" s="76">
        <f t="shared" si="611"/>
        <v>0</v>
      </c>
      <c r="AN373" s="76"/>
      <c r="AO373" s="81">
        <f t="shared" si="612"/>
        <v>0</v>
      </c>
      <c r="AP373" s="81">
        <f t="shared" si="613"/>
        <v>0</v>
      </c>
      <c r="AQ373" s="81">
        <f t="shared" si="614"/>
        <v>0</v>
      </c>
      <c r="AR373" s="3"/>
      <c r="AS373" s="76">
        <f t="shared" si="542"/>
        <v>0</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x14ac:dyDescent="0.3">
      <c r="A374" s="8" t="s">
        <v>45</v>
      </c>
      <c r="B374" s="9" t="s">
        <v>233</v>
      </c>
      <c r="C374" s="7"/>
      <c r="D374" s="7"/>
      <c r="E374" s="7"/>
      <c r="F374" s="71"/>
      <c r="G374" s="51">
        <f t="shared" si="591"/>
        <v>1</v>
      </c>
      <c r="H374" s="52">
        <f t="shared" si="592"/>
        <v>4.3478260869565215</v>
      </c>
      <c r="I374" s="53">
        <f>COUNTIFS('00 Encuesta'!$B$2:$B$511,"*d)*",'00 Encuesta'!$C$2:$C$511,"*a)*",'00 Encuesta'!$E$2:$E$511,"*a)*",'00 Encuesta'!$AU$2:$AU$511,"*f)*")</f>
        <v>1</v>
      </c>
      <c r="J374" s="52">
        <f t="shared" si="593"/>
        <v>7.1428571428571423</v>
      </c>
      <c r="K374" s="53">
        <f>COUNTIFS('00 Encuesta'!$B$2:$B$511,"*d)*",'00 Encuesta'!$C$2:$C$511,"*a)*",'00 Encuesta'!$E$2:$E$511,"*b)*",'00 Encuesta'!$AU$2:$AU$511,"*f)*")</f>
        <v>0</v>
      </c>
      <c r="L374" s="52">
        <f t="shared" si="594"/>
        <v>0</v>
      </c>
      <c r="M374" s="23"/>
      <c r="N374" s="51">
        <f t="shared" si="595"/>
        <v>0</v>
      </c>
      <c r="O374" s="52">
        <f t="shared" si="596"/>
        <v>0</v>
      </c>
      <c r="P374" s="53">
        <f>COUNTIFS('00 Encuesta'!$B$2:$B$511,"*d)*",'00 Encuesta'!$C$2:$C$511,"*b)*",'00 Encuesta'!$E$2:$E$511,"*a)*",'00 Encuesta'!$AU$2:$AU$511,"*f)*")</f>
        <v>0</v>
      </c>
      <c r="Q374" s="52">
        <f t="shared" si="597"/>
        <v>0</v>
      </c>
      <c r="R374" s="53">
        <f>COUNTIFS('00 Encuesta'!$B$2:$B$511,"*d)*",'00 Encuesta'!$C$2:$C$511,"*b)*",'00 Encuesta'!$E$2:$E$511,"*b)*",'00 Encuesta'!$AU$2:$AU$511,"*f)*")</f>
        <v>0</v>
      </c>
      <c r="S374" s="52">
        <f t="shared" si="598"/>
        <v>0</v>
      </c>
      <c r="T374" s="3"/>
      <c r="U374" s="51">
        <f t="shared" si="599"/>
        <v>0</v>
      </c>
      <c r="V374" s="52">
        <f t="shared" si="600"/>
        <v>0</v>
      </c>
      <c r="W374" s="53">
        <f>COUNTIFS('00 Encuesta'!$B$2:$B$511,"*d)*",'00 Encuesta'!$C$2:$C$511,"*c)*",'00 Encuesta'!$E$2:$E$511,"*a)*",'00 Encuesta'!$AU$2:$AU$511,"*f)*")</f>
        <v>0</v>
      </c>
      <c r="X374" s="52">
        <f t="shared" si="601"/>
        <v>0</v>
      </c>
      <c r="Y374" s="53">
        <f>COUNTIFS('00 Encuesta'!$B$2:$B$511,"*d)*",'00 Encuesta'!$C$2:$C$511,"*c)*",'00 Encuesta'!$E$2:$E$511,"*b)*",'00 Encuesta'!$AU$2:$AU$511,"*f)*")</f>
        <v>0</v>
      </c>
      <c r="Z374" s="52">
        <f t="shared" si="602"/>
        <v>0</v>
      </c>
      <c r="AA374" s="3"/>
      <c r="AB374" s="62">
        <f t="shared" si="603"/>
        <v>1</v>
      </c>
      <c r="AC374" s="52">
        <f t="shared" si="604"/>
        <v>1.5873015873015872</v>
      </c>
      <c r="AD374" s="3"/>
      <c r="AE374" s="3"/>
      <c r="AF374" s="9" t="str">
        <f t="shared" si="605"/>
        <v>f) No aplica</v>
      </c>
      <c r="AG374" s="72">
        <f t="shared" si="606"/>
        <v>7.1428571428571423</v>
      </c>
      <c r="AH374" s="72">
        <f t="shared" si="607"/>
        <v>0</v>
      </c>
      <c r="AI374" s="73">
        <f t="shared" si="608"/>
        <v>4.3478260869565215</v>
      </c>
      <c r="AJ374" s="73"/>
      <c r="AK374" s="76">
        <f t="shared" si="609"/>
        <v>0</v>
      </c>
      <c r="AL374" s="76">
        <f t="shared" si="610"/>
        <v>0</v>
      </c>
      <c r="AM374" s="76">
        <f t="shared" si="611"/>
        <v>0</v>
      </c>
      <c r="AN374" s="76"/>
      <c r="AO374" s="81">
        <f t="shared" si="612"/>
        <v>0</v>
      </c>
      <c r="AP374" s="81">
        <f t="shared" si="613"/>
        <v>0</v>
      </c>
      <c r="AQ374" s="81">
        <f t="shared" si="614"/>
        <v>0</v>
      </c>
      <c r="AR374" s="3"/>
      <c r="AS374" s="76">
        <f t="shared" si="542"/>
        <v>1.5873015873015872</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x14ac:dyDescent="0.3">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78.84615384615384</v>
      </c>
      <c r="AH375" s="82">
        <f>($F369*K369+$F370*K370+$F371*K371+$F372*K372+$F373*K373)/(K369+K370+K371+K372+K373)</f>
        <v>88.888888888888886</v>
      </c>
      <c r="AI375" s="82">
        <f>($F369*G369+$F370*G370+$F371*G371+$F372*G372+$F373*G373)/(G369+G370+G371+G372+G373)</f>
        <v>82.954545454545453</v>
      </c>
      <c r="AJ375" s="82"/>
      <c r="AK375" s="82">
        <f>($F369*Q369+$F370*Q370+$F371*Q371+$F372*Q372+$F373*Q373)/(Q369+Q370+Q371+Q372+Q373)</f>
        <v>67.857142857142861</v>
      </c>
      <c r="AL375" s="82">
        <f>($F369*S369+$F370*S370+$F371*S371+$F372*S372+$F373*S373)/(S369+S370+S371+S372+S373)</f>
        <v>92.307692307692307</v>
      </c>
      <c r="AM375" s="82">
        <f>($F369*O369+$F370*O370+$F371*O371+$F372*O372+$F373*O373)/(O369+O370+O371+O372+O373)</f>
        <v>83.75</v>
      </c>
      <c r="AN375" s="82"/>
      <c r="AO375" s="82">
        <f>($F369*W369+$F370*W370+$F371*W371+$F372*W372+$F373*W373)/(W369+W370+W371+W372+W373)</f>
        <v>50</v>
      </c>
      <c r="AP375" s="82">
        <f>($F369*Y369+$F370*Y370+$F371*Y371+$F372*Y372+$F373*Y373)/(Y369+Y370+Y371+Y372+Y373)</f>
        <v>86.666666666666671</v>
      </c>
      <c r="AQ375" s="82">
        <f>($F369*U369+$F370*U370+$F371*U371+$F372*U372+$F373*U373)/(U369+U370+U371+U372+U373)</f>
        <v>77.5</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x14ac:dyDescent="0.3">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x14ac:dyDescent="0.3">
      <c r="A377" s="8" t="s">
        <v>17</v>
      </c>
      <c r="B377" s="9" t="s">
        <v>229</v>
      </c>
      <c r="C377" s="3"/>
      <c r="D377" s="3"/>
      <c r="E377" s="3"/>
      <c r="F377" s="71">
        <v>100</v>
      </c>
      <c r="G377" s="51">
        <f t="shared" ref="G377:G382" si="615">I377+K377</f>
        <v>6</v>
      </c>
      <c r="H377" s="52">
        <f t="shared" ref="H377:H382" si="616">G377/$J$5*100</f>
        <v>26.086956521739129</v>
      </c>
      <c r="I377" s="53">
        <f>COUNTIFS('00 Encuesta'!$B$2:$B$511,"*d)*",'00 Encuesta'!$C$2:$C$511,"*a)*",'00 Encuesta'!$E$2:$E$511,"*a)*",'00 Encuesta'!$AV$2:$AV$511,"*a)*")</f>
        <v>2</v>
      </c>
      <c r="J377" s="52">
        <f t="shared" ref="J377:J382" si="617">I377/$J$6*100</f>
        <v>14.285714285714285</v>
      </c>
      <c r="K377" s="53">
        <f>COUNTIFS('00 Encuesta'!$B$2:$B$511,"*d)*",'00 Encuesta'!$C$2:$C$511,"*a)*",'00 Encuesta'!$E$2:$E$511,"*b)*",'00 Encuesta'!$AV$2:$AV$511,"*a)*")</f>
        <v>4</v>
      </c>
      <c r="L377" s="52">
        <f t="shared" ref="L377:L382" si="618">K377/$J$7*100</f>
        <v>44.444444444444443</v>
      </c>
      <c r="M377" s="23"/>
      <c r="N377" s="51">
        <f t="shared" ref="N377:N382" si="619">P377+R377</f>
        <v>3</v>
      </c>
      <c r="O377" s="52">
        <f t="shared" ref="O377:O382" si="620">N377/$Q$5*100</f>
        <v>15</v>
      </c>
      <c r="P377" s="53">
        <f>COUNTIFS('00 Encuesta'!$B$2:$B$511,"*d)*",'00 Encuesta'!$C$2:$C$511,"*b)*",'00 Encuesta'!$E$2:$E$511,"*a)*",'00 Encuesta'!$AV$2:$AV$511,"*a)*")</f>
        <v>0</v>
      </c>
      <c r="Q377" s="52">
        <f t="shared" ref="Q377:Q382" si="621">P377/$Q$6*100</f>
        <v>0</v>
      </c>
      <c r="R377" s="53">
        <f>COUNTIFS('00 Encuesta'!$B$2:$B$511,"*d)*",'00 Encuesta'!$C$2:$C$511,"*b)*",'00 Encuesta'!$E$2:$E$511,"*b)*",'00 Encuesta'!$AV$2:$AV$511,"*a)*")</f>
        <v>3</v>
      </c>
      <c r="S377" s="52">
        <f t="shared" ref="S377:S382" si="622">R377/$Q$7*100</f>
        <v>23.076923076923077</v>
      </c>
      <c r="T377" s="3"/>
      <c r="U377" s="51">
        <f t="shared" ref="U377:U382" si="623">W377+Y377</f>
        <v>6</v>
      </c>
      <c r="V377" s="52">
        <f t="shared" ref="V377:V382" si="624">U377/$X$5*100</f>
        <v>30</v>
      </c>
      <c r="W377" s="53">
        <f>COUNTIFS('00 Encuesta'!$B$2:$B$511,"*d)*",'00 Encuesta'!$C$2:$C$511,"*c)*",'00 Encuesta'!$E$2:$E$511,"*a)*",'00 Encuesta'!$AV$2:$AV$511,"*a)*")</f>
        <v>1</v>
      </c>
      <c r="X377" s="52">
        <f t="shared" ref="X377:X382" si="625">W377/$X$6*100</f>
        <v>20</v>
      </c>
      <c r="Y377" s="53">
        <f>COUNTIFS('00 Encuesta'!$B$2:$B$511,"*d)*",'00 Encuesta'!$C$2:$C$511,"*c)*",'00 Encuesta'!$E$2:$E$511,"*b)*",'00 Encuesta'!$AV$2:$AV$511,"*a)*")</f>
        <v>5</v>
      </c>
      <c r="Z377" s="52">
        <f t="shared" ref="Z377:Z382" si="626">Y377/$X$7*100</f>
        <v>33.333333333333329</v>
      </c>
      <c r="AA377" s="3"/>
      <c r="AB377" s="62">
        <f t="shared" ref="AB377:AB383" si="627">G377+N377+U377</f>
        <v>15</v>
      </c>
      <c r="AC377" s="52">
        <f t="shared" ref="AC377:AC383" si="628">AB377*100/$AC$5</f>
        <v>23.80952380952381</v>
      </c>
      <c r="AD377" s="3"/>
      <c r="AE377" s="3"/>
      <c r="AF377" s="9" t="str">
        <f t="shared" ref="AF377:AF382" si="629">A377&amp;" "&amp;B377</f>
        <v>a) Muy buena</v>
      </c>
      <c r="AG377" s="72">
        <f t="shared" ref="AG377:AG382" si="630">J377</f>
        <v>14.285714285714285</v>
      </c>
      <c r="AH377" s="72">
        <f t="shared" ref="AH377:AH382" si="631">L377</f>
        <v>44.444444444444443</v>
      </c>
      <c r="AI377" s="73">
        <f t="shared" ref="AI377:AI382" si="632">H377</f>
        <v>26.086956521739129</v>
      </c>
      <c r="AJ377" s="73"/>
      <c r="AK377" s="76">
        <f t="shared" ref="AK377:AK382" si="633">Q377</f>
        <v>0</v>
      </c>
      <c r="AL377" s="76">
        <f t="shared" ref="AL377:AL382" si="634">S377</f>
        <v>23.076923076923077</v>
      </c>
      <c r="AM377" s="76">
        <f t="shared" ref="AM377:AM382" si="635">O377</f>
        <v>15</v>
      </c>
      <c r="AN377" s="76"/>
      <c r="AO377" s="81">
        <f t="shared" ref="AO377:AO382" si="636">X377</f>
        <v>20</v>
      </c>
      <c r="AP377" s="81">
        <f t="shared" ref="AP377:AP382" si="637">Z377</f>
        <v>33.333333333333329</v>
      </c>
      <c r="AQ377" s="81">
        <f t="shared" ref="AQ377:AQ382" si="638">V377</f>
        <v>30</v>
      </c>
      <c r="AR377" s="3"/>
      <c r="AS377" s="76">
        <f t="shared" si="542"/>
        <v>23.80952380952381</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x14ac:dyDescent="0.3">
      <c r="A378" s="8" t="s">
        <v>18</v>
      </c>
      <c r="B378" s="9" t="s">
        <v>230</v>
      </c>
      <c r="C378" s="3"/>
      <c r="D378" s="3"/>
      <c r="E378" s="3"/>
      <c r="F378" s="71">
        <v>75</v>
      </c>
      <c r="G378" s="51">
        <f t="shared" si="615"/>
        <v>11</v>
      </c>
      <c r="H378" s="52">
        <f t="shared" si="616"/>
        <v>47.826086956521742</v>
      </c>
      <c r="I378" s="53">
        <f>COUNTIFS('00 Encuesta'!$B$2:$B$511,"*d)*",'00 Encuesta'!$C$2:$C$511,"*a)*",'00 Encuesta'!$E$2:$E$511,"*a)*",'00 Encuesta'!$AV$2:$AV$511,"*b)*")</f>
        <v>7</v>
      </c>
      <c r="J378" s="52">
        <f t="shared" si="617"/>
        <v>50</v>
      </c>
      <c r="K378" s="53">
        <f>COUNTIFS('00 Encuesta'!$B$2:$B$511,"*d)*",'00 Encuesta'!$C$2:$C$511,"*a)*",'00 Encuesta'!$E$2:$E$511,"*b)*",'00 Encuesta'!$AV$2:$AV$511,"*b)*")</f>
        <v>4</v>
      </c>
      <c r="L378" s="52">
        <f t="shared" si="618"/>
        <v>44.444444444444443</v>
      </c>
      <c r="M378" s="23"/>
      <c r="N378" s="51">
        <f t="shared" si="619"/>
        <v>11</v>
      </c>
      <c r="O378" s="52">
        <f t="shared" si="620"/>
        <v>55.000000000000007</v>
      </c>
      <c r="P378" s="53">
        <f>COUNTIFS('00 Encuesta'!$B$2:$B$511,"*d)*",'00 Encuesta'!$C$2:$C$511,"*b)*",'00 Encuesta'!$E$2:$E$511,"*a)*",'00 Encuesta'!$AV$2:$AV$511,"*b)*")</f>
        <v>4</v>
      </c>
      <c r="Q378" s="52">
        <f t="shared" si="621"/>
        <v>57.142857142857139</v>
      </c>
      <c r="R378" s="53">
        <f>COUNTIFS('00 Encuesta'!$B$2:$B$511,"*d)*",'00 Encuesta'!$C$2:$C$511,"*b)*",'00 Encuesta'!$E$2:$E$511,"*b)*",'00 Encuesta'!$AV$2:$AV$511,"*b)*")</f>
        <v>7</v>
      </c>
      <c r="S378" s="52">
        <f t="shared" si="622"/>
        <v>53.846153846153847</v>
      </c>
      <c r="T378" s="3"/>
      <c r="U378" s="51">
        <f t="shared" si="623"/>
        <v>9</v>
      </c>
      <c r="V378" s="52">
        <f t="shared" si="624"/>
        <v>45</v>
      </c>
      <c r="W378" s="53">
        <f>COUNTIFS('00 Encuesta'!$B$2:$B$511,"*d)*",'00 Encuesta'!$C$2:$C$511,"*c)*",'00 Encuesta'!$E$2:$E$511,"*a)*",'00 Encuesta'!$AV$2:$AV$511,"*b)*")</f>
        <v>2</v>
      </c>
      <c r="X378" s="52">
        <f t="shared" si="625"/>
        <v>40</v>
      </c>
      <c r="Y378" s="53">
        <f>COUNTIFS('00 Encuesta'!$B$2:$B$511,"*d)*",'00 Encuesta'!$C$2:$C$511,"*c)*",'00 Encuesta'!$E$2:$E$511,"*b)*",'00 Encuesta'!$AV$2:$AV$511,"*b)*")</f>
        <v>7</v>
      </c>
      <c r="Z378" s="52">
        <f t="shared" si="626"/>
        <v>46.666666666666664</v>
      </c>
      <c r="AA378" s="3"/>
      <c r="AB378" s="62">
        <f t="shared" si="627"/>
        <v>31</v>
      </c>
      <c r="AC378" s="52">
        <f t="shared" si="628"/>
        <v>49.206349206349209</v>
      </c>
      <c r="AD378" s="3"/>
      <c r="AE378" s="3"/>
      <c r="AF378" s="9" t="str">
        <f t="shared" si="629"/>
        <v>b) Buena</v>
      </c>
      <c r="AG378" s="72">
        <f t="shared" si="630"/>
        <v>50</v>
      </c>
      <c r="AH378" s="72">
        <f t="shared" si="631"/>
        <v>44.444444444444443</v>
      </c>
      <c r="AI378" s="73">
        <f t="shared" si="632"/>
        <v>47.826086956521742</v>
      </c>
      <c r="AJ378" s="73"/>
      <c r="AK378" s="76">
        <f t="shared" si="633"/>
        <v>57.142857142857139</v>
      </c>
      <c r="AL378" s="76">
        <f t="shared" si="634"/>
        <v>53.846153846153847</v>
      </c>
      <c r="AM378" s="76">
        <f t="shared" si="635"/>
        <v>55.000000000000007</v>
      </c>
      <c r="AN378" s="76"/>
      <c r="AO378" s="81">
        <f t="shared" si="636"/>
        <v>40</v>
      </c>
      <c r="AP378" s="81">
        <f t="shared" si="637"/>
        <v>46.666666666666664</v>
      </c>
      <c r="AQ378" s="81">
        <f t="shared" si="638"/>
        <v>45</v>
      </c>
      <c r="AR378" s="3"/>
      <c r="AS378" s="76">
        <f t="shared" si="542"/>
        <v>49.206349206349209</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x14ac:dyDescent="0.3">
      <c r="A379" s="8" t="s">
        <v>20</v>
      </c>
      <c r="B379" s="9" t="s">
        <v>218</v>
      </c>
      <c r="C379" s="3"/>
      <c r="D379" s="3"/>
      <c r="E379" s="3"/>
      <c r="F379" s="71">
        <v>50</v>
      </c>
      <c r="G379" s="51">
        <f t="shared" si="615"/>
        <v>4</v>
      </c>
      <c r="H379" s="52">
        <f t="shared" si="616"/>
        <v>17.391304347826086</v>
      </c>
      <c r="I379" s="53">
        <f>COUNTIFS('00 Encuesta'!$B$2:$B$511,"*d)*",'00 Encuesta'!$C$2:$C$511,"*a)*",'00 Encuesta'!$E$2:$E$511,"*a)*",'00 Encuesta'!$AV$2:$AV$511,"*c)*")</f>
        <v>4</v>
      </c>
      <c r="J379" s="52">
        <f t="shared" si="617"/>
        <v>28.571428571428569</v>
      </c>
      <c r="K379" s="53">
        <f>COUNTIFS('00 Encuesta'!$B$2:$B$511,"*d)*",'00 Encuesta'!$C$2:$C$511,"*a)*",'00 Encuesta'!$E$2:$E$511,"*b)*",'00 Encuesta'!$AV$2:$AV$511,"*c)*")</f>
        <v>0</v>
      </c>
      <c r="L379" s="52">
        <f t="shared" si="618"/>
        <v>0</v>
      </c>
      <c r="M379" s="23"/>
      <c r="N379" s="51">
        <f t="shared" si="619"/>
        <v>5</v>
      </c>
      <c r="O379" s="52">
        <f t="shared" si="620"/>
        <v>25</v>
      </c>
      <c r="P379" s="53">
        <f>COUNTIFS('00 Encuesta'!$B$2:$B$511,"*d)*",'00 Encuesta'!$C$2:$C$511,"*b)*",'00 Encuesta'!$E$2:$E$511,"*a)*",'00 Encuesta'!$AV$2:$AV$511,"*c)*")</f>
        <v>2</v>
      </c>
      <c r="Q379" s="52">
        <f t="shared" si="621"/>
        <v>28.571428571428569</v>
      </c>
      <c r="R379" s="53">
        <f>COUNTIFS('00 Encuesta'!$B$2:$B$511,"*d)*",'00 Encuesta'!$C$2:$C$511,"*b)*",'00 Encuesta'!$E$2:$E$511,"*b)*",'00 Encuesta'!$AV$2:$AV$511,"*c)*")</f>
        <v>3</v>
      </c>
      <c r="S379" s="52">
        <f t="shared" si="622"/>
        <v>23.076923076923077</v>
      </c>
      <c r="T379" s="3"/>
      <c r="U379" s="51">
        <f t="shared" si="623"/>
        <v>4</v>
      </c>
      <c r="V379" s="52">
        <f t="shared" si="624"/>
        <v>20</v>
      </c>
      <c r="W379" s="53">
        <f>COUNTIFS('00 Encuesta'!$B$2:$B$511,"*d)*",'00 Encuesta'!$C$2:$C$511,"*c)*",'00 Encuesta'!$E$2:$E$511,"*a)*",'00 Encuesta'!$AV$2:$AV$511,"*c)*")</f>
        <v>1</v>
      </c>
      <c r="X379" s="52">
        <f t="shared" si="625"/>
        <v>20</v>
      </c>
      <c r="Y379" s="53">
        <f>COUNTIFS('00 Encuesta'!$B$2:$B$511,"*d)*",'00 Encuesta'!$C$2:$C$511,"*c)*",'00 Encuesta'!$E$2:$E$511,"*b)*",'00 Encuesta'!$AV$2:$AV$511,"*c)*")</f>
        <v>3</v>
      </c>
      <c r="Z379" s="52">
        <f t="shared" si="626"/>
        <v>20</v>
      </c>
      <c r="AA379" s="3"/>
      <c r="AB379" s="62">
        <f t="shared" si="627"/>
        <v>13</v>
      </c>
      <c r="AC379" s="52">
        <f t="shared" si="628"/>
        <v>20.634920634920636</v>
      </c>
      <c r="AD379" s="3"/>
      <c r="AE379" s="3"/>
      <c r="AF379" s="9" t="str">
        <f t="shared" si="629"/>
        <v>c) Regular</v>
      </c>
      <c r="AG379" s="72">
        <f t="shared" si="630"/>
        <v>28.571428571428569</v>
      </c>
      <c r="AH379" s="72">
        <f t="shared" si="631"/>
        <v>0</v>
      </c>
      <c r="AI379" s="73">
        <f t="shared" si="632"/>
        <v>17.391304347826086</v>
      </c>
      <c r="AJ379" s="73"/>
      <c r="AK379" s="76">
        <f t="shared" si="633"/>
        <v>28.571428571428569</v>
      </c>
      <c r="AL379" s="76">
        <f t="shared" si="634"/>
        <v>23.076923076923077</v>
      </c>
      <c r="AM379" s="76">
        <f t="shared" si="635"/>
        <v>25</v>
      </c>
      <c r="AN379" s="76"/>
      <c r="AO379" s="81">
        <f t="shared" si="636"/>
        <v>20</v>
      </c>
      <c r="AP379" s="81">
        <f t="shared" si="637"/>
        <v>20</v>
      </c>
      <c r="AQ379" s="81">
        <f t="shared" si="638"/>
        <v>20</v>
      </c>
      <c r="AR379" s="3"/>
      <c r="AS379" s="76">
        <f t="shared" si="542"/>
        <v>20.634920634920636</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x14ac:dyDescent="0.3">
      <c r="A380" s="8" t="s">
        <v>21</v>
      </c>
      <c r="B380" s="9" t="s">
        <v>231</v>
      </c>
      <c r="C380" s="3"/>
      <c r="D380" s="3"/>
      <c r="E380" s="3"/>
      <c r="F380" s="71">
        <v>25</v>
      </c>
      <c r="G380" s="51">
        <f t="shared" si="615"/>
        <v>0</v>
      </c>
      <c r="H380" s="52">
        <f t="shared" si="616"/>
        <v>0</v>
      </c>
      <c r="I380" s="53">
        <f>COUNTIFS('00 Encuesta'!$B$2:$B$511,"*d)*",'00 Encuesta'!$C$2:$C$511,"*a)*",'00 Encuesta'!$E$2:$E$511,"*a)*",'00 Encuesta'!$AV$2:$AV$511,"*d)*")</f>
        <v>0</v>
      </c>
      <c r="J380" s="52">
        <f t="shared" si="617"/>
        <v>0</v>
      </c>
      <c r="K380" s="53">
        <f>COUNTIFS('00 Encuesta'!$B$2:$B$511,"*d)*",'00 Encuesta'!$C$2:$C$511,"*a)*",'00 Encuesta'!$E$2:$E$511,"*b)*",'00 Encuesta'!$AV$2:$AV$511,"*d)*")</f>
        <v>0</v>
      </c>
      <c r="L380" s="52">
        <f t="shared" si="618"/>
        <v>0</v>
      </c>
      <c r="M380" s="23"/>
      <c r="N380" s="51">
        <f t="shared" si="619"/>
        <v>0</v>
      </c>
      <c r="O380" s="52">
        <f t="shared" si="620"/>
        <v>0</v>
      </c>
      <c r="P380" s="53">
        <f>COUNTIFS('00 Encuesta'!$B$2:$B$511,"*d)*",'00 Encuesta'!$C$2:$C$511,"*b)*",'00 Encuesta'!$E$2:$E$511,"*a)*",'00 Encuesta'!$AV$2:$AV$511,"*d)*")</f>
        <v>0</v>
      </c>
      <c r="Q380" s="52">
        <f t="shared" si="621"/>
        <v>0</v>
      </c>
      <c r="R380" s="53">
        <f>COUNTIFS('00 Encuesta'!$B$2:$B$511,"*d)*",'00 Encuesta'!$C$2:$C$511,"*b)*",'00 Encuesta'!$E$2:$E$511,"*b)*",'00 Encuesta'!$AV$2:$AV$511,"*d)*")</f>
        <v>0</v>
      </c>
      <c r="S380" s="52">
        <f t="shared" si="622"/>
        <v>0</v>
      </c>
      <c r="T380" s="3"/>
      <c r="U380" s="51">
        <f t="shared" si="623"/>
        <v>0</v>
      </c>
      <c r="V380" s="52">
        <f t="shared" si="624"/>
        <v>0</v>
      </c>
      <c r="W380" s="53">
        <f>COUNTIFS('00 Encuesta'!$B$2:$B$511,"*d)*",'00 Encuesta'!$C$2:$C$511,"*c)*",'00 Encuesta'!$E$2:$E$511,"*a)*",'00 Encuesta'!$AV$2:$AV$511,"*d)*")</f>
        <v>0</v>
      </c>
      <c r="X380" s="52">
        <f t="shared" si="625"/>
        <v>0</v>
      </c>
      <c r="Y380" s="53">
        <f>COUNTIFS('00 Encuesta'!$B$2:$B$511,"*d)*",'00 Encuesta'!$C$2:$C$511,"*c)*",'00 Encuesta'!$E$2:$E$511,"*b)*",'00 Encuesta'!$AV$2:$AV$511,"*d)*")</f>
        <v>0</v>
      </c>
      <c r="Z380" s="52">
        <f t="shared" si="626"/>
        <v>0</v>
      </c>
      <c r="AA380" s="3"/>
      <c r="AB380" s="62">
        <f t="shared" si="627"/>
        <v>0</v>
      </c>
      <c r="AC380" s="52">
        <f t="shared" si="628"/>
        <v>0</v>
      </c>
      <c r="AD380" s="3"/>
      <c r="AE380" s="3"/>
      <c r="AF380" s="9" t="str">
        <f t="shared" si="629"/>
        <v>d) Mala</v>
      </c>
      <c r="AG380" s="72">
        <f t="shared" si="630"/>
        <v>0</v>
      </c>
      <c r="AH380" s="72">
        <f t="shared" si="631"/>
        <v>0</v>
      </c>
      <c r="AI380" s="73">
        <f t="shared" si="632"/>
        <v>0</v>
      </c>
      <c r="AJ380" s="73"/>
      <c r="AK380" s="76">
        <f t="shared" si="633"/>
        <v>0</v>
      </c>
      <c r="AL380" s="76">
        <f t="shared" si="634"/>
        <v>0</v>
      </c>
      <c r="AM380" s="76">
        <f t="shared" si="635"/>
        <v>0</v>
      </c>
      <c r="AN380" s="76"/>
      <c r="AO380" s="81">
        <f t="shared" si="636"/>
        <v>0</v>
      </c>
      <c r="AP380" s="81">
        <f t="shared" si="637"/>
        <v>0</v>
      </c>
      <c r="AQ380" s="81">
        <f t="shared" si="638"/>
        <v>0</v>
      </c>
      <c r="AR380" s="3"/>
      <c r="AS380" s="76">
        <f t="shared" si="542"/>
        <v>0</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x14ac:dyDescent="0.3">
      <c r="A381" s="8" t="s">
        <v>22</v>
      </c>
      <c r="B381" s="9" t="s">
        <v>232</v>
      </c>
      <c r="C381" s="3"/>
      <c r="D381" s="3"/>
      <c r="E381" s="3"/>
      <c r="F381" s="71">
        <v>0</v>
      </c>
      <c r="G381" s="51">
        <f t="shared" si="615"/>
        <v>1</v>
      </c>
      <c r="H381" s="52">
        <f t="shared" si="616"/>
        <v>4.3478260869565215</v>
      </c>
      <c r="I381" s="53">
        <f>COUNTIFS('00 Encuesta'!$B$2:$B$511,"*d)*",'00 Encuesta'!$C$2:$C$511,"*a)*",'00 Encuesta'!$E$2:$E$511,"*a)*",'00 Encuesta'!$AV$2:$AV$511,"*e)*")</f>
        <v>1</v>
      </c>
      <c r="J381" s="52">
        <f t="shared" si="617"/>
        <v>7.1428571428571423</v>
      </c>
      <c r="K381" s="53">
        <f>COUNTIFS('00 Encuesta'!$B$2:$B$511,"*d)*",'00 Encuesta'!$C$2:$C$511,"*a)*",'00 Encuesta'!$E$2:$E$511,"*b)*",'00 Encuesta'!$AV$2:$AV$511,"*e)*")</f>
        <v>0</v>
      </c>
      <c r="L381" s="52">
        <f t="shared" si="618"/>
        <v>0</v>
      </c>
      <c r="M381" s="23"/>
      <c r="N381" s="51">
        <f t="shared" si="619"/>
        <v>1</v>
      </c>
      <c r="O381" s="52">
        <f t="shared" si="620"/>
        <v>5</v>
      </c>
      <c r="P381" s="53">
        <f>COUNTIFS('00 Encuesta'!$B$2:$B$511,"*d)*",'00 Encuesta'!$C$2:$C$511,"*b)*",'00 Encuesta'!$E$2:$E$511,"*a)*",'00 Encuesta'!$AV$2:$AV$511,"*e)*")</f>
        <v>1</v>
      </c>
      <c r="Q381" s="52">
        <f t="shared" si="621"/>
        <v>14.285714285714285</v>
      </c>
      <c r="R381" s="53">
        <f>COUNTIFS('00 Encuesta'!$B$2:$B$511,"*d)*",'00 Encuesta'!$C$2:$C$511,"*b)*",'00 Encuesta'!$E$2:$E$511,"*b)*",'00 Encuesta'!$AV$2:$AV$511,"*e)*")</f>
        <v>0</v>
      </c>
      <c r="S381" s="52">
        <f t="shared" si="622"/>
        <v>0</v>
      </c>
      <c r="T381" s="3"/>
      <c r="U381" s="51">
        <f t="shared" si="623"/>
        <v>1</v>
      </c>
      <c r="V381" s="52">
        <f t="shared" si="624"/>
        <v>5</v>
      </c>
      <c r="W381" s="53">
        <f>COUNTIFS('00 Encuesta'!$B$2:$B$511,"*d)*",'00 Encuesta'!$C$2:$C$511,"*c)*",'00 Encuesta'!$E$2:$E$511,"*a)*",'00 Encuesta'!$AV$2:$AV$511,"*e)*")</f>
        <v>1</v>
      </c>
      <c r="X381" s="52">
        <f t="shared" si="625"/>
        <v>20</v>
      </c>
      <c r="Y381" s="53">
        <f>COUNTIFS('00 Encuesta'!$B$2:$B$511,"*d)*",'00 Encuesta'!$C$2:$C$511,"*c)*",'00 Encuesta'!$E$2:$E$511,"*b)*",'00 Encuesta'!$AV$2:$AV$511,"*e)*")</f>
        <v>0</v>
      </c>
      <c r="Z381" s="52">
        <f t="shared" si="626"/>
        <v>0</v>
      </c>
      <c r="AA381" s="3"/>
      <c r="AB381" s="62">
        <f t="shared" si="627"/>
        <v>3</v>
      </c>
      <c r="AC381" s="52">
        <f t="shared" si="628"/>
        <v>4.7619047619047619</v>
      </c>
      <c r="AD381" s="3"/>
      <c r="AE381" s="3"/>
      <c r="AF381" s="9" t="str">
        <f t="shared" si="629"/>
        <v>e) Muy mala</v>
      </c>
      <c r="AG381" s="72">
        <f t="shared" si="630"/>
        <v>7.1428571428571423</v>
      </c>
      <c r="AH381" s="72">
        <f t="shared" si="631"/>
        <v>0</v>
      </c>
      <c r="AI381" s="73">
        <f t="shared" si="632"/>
        <v>4.3478260869565215</v>
      </c>
      <c r="AJ381" s="73"/>
      <c r="AK381" s="76">
        <f t="shared" si="633"/>
        <v>14.285714285714285</v>
      </c>
      <c r="AL381" s="76">
        <f t="shared" si="634"/>
        <v>0</v>
      </c>
      <c r="AM381" s="76">
        <f t="shared" si="635"/>
        <v>5</v>
      </c>
      <c r="AN381" s="76"/>
      <c r="AO381" s="81">
        <f t="shared" si="636"/>
        <v>20</v>
      </c>
      <c r="AP381" s="81">
        <f t="shared" si="637"/>
        <v>0</v>
      </c>
      <c r="AQ381" s="81">
        <f t="shared" si="638"/>
        <v>5</v>
      </c>
      <c r="AR381" s="3"/>
      <c r="AS381" s="76">
        <f t="shared" si="542"/>
        <v>4.7619047619047619</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x14ac:dyDescent="0.3">
      <c r="A382" s="8" t="s">
        <v>45</v>
      </c>
      <c r="B382" s="9" t="s">
        <v>233</v>
      </c>
      <c r="C382" s="7"/>
      <c r="D382" s="7"/>
      <c r="E382" s="7"/>
      <c r="F382" s="71"/>
      <c r="G382" s="51">
        <f t="shared" si="615"/>
        <v>0</v>
      </c>
      <c r="H382" s="52">
        <f t="shared" si="616"/>
        <v>0</v>
      </c>
      <c r="I382" s="53">
        <f>COUNTIFS('00 Encuesta'!$B$2:$B$511,"*d)*",'00 Encuesta'!$C$2:$C$511,"*a)*",'00 Encuesta'!$E$2:$E$511,"*a)*",'00 Encuesta'!$AV$2:$AV$511,"*f)*")</f>
        <v>0</v>
      </c>
      <c r="J382" s="52">
        <f t="shared" si="617"/>
        <v>0</v>
      </c>
      <c r="K382" s="53">
        <f>COUNTIFS('00 Encuesta'!$B$2:$B$511,"*d)*",'00 Encuesta'!$C$2:$C$511,"*a)*",'00 Encuesta'!$E$2:$E$511,"*b)*",'00 Encuesta'!$AV$2:$AV$511,"*f)*")</f>
        <v>0</v>
      </c>
      <c r="L382" s="52">
        <f t="shared" si="618"/>
        <v>0</v>
      </c>
      <c r="M382" s="23"/>
      <c r="N382" s="51">
        <f t="shared" si="619"/>
        <v>0</v>
      </c>
      <c r="O382" s="52">
        <f t="shared" si="620"/>
        <v>0</v>
      </c>
      <c r="P382" s="53">
        <f>COUNTIFS('00 Encuesta'!$B$2:$B$511,"*d)*",'00 Encuesta'!$C$2:$C$511,"*b)*",'00 Encuesta'!$E$2:$E$511,"*a)*",'00 Encuesta'!$AV$2:$AV$511,"*f)*")</f>
        <v>0</v>
      </c>
      <c r="Q382" s="52">
        <f t="shared" si="621"/>
        <v>0</v>
      </c>
      <c r="R382" s="53">
        <f>COUNTIFS('00 Encuesta'!$B$2:$B$511,"*d)*",'00 Encuesta'!$C$2:$C$511,"*b)*",'00 Encuesta'!$E$2:$E$511,"*b)*",'00 Encuesta'!$AV$2:$AV$511,"*f)*")</f>
        <v>0</v>
      </c>
      <c r="S382" s="52">
        <f t="shared" si="622"/>
        <v>0</v>
      </c>
      <c r="T382" s="3"/>
      <c r="U382" s="51">
        <f t="shared" si="623"/>
        <v>0</v>
      </c>
      <c r="V382" s="52">
        <f t="shared" si="624"/>
        <v>0</v>
      </c>
      <c r="W382" s="53">
        <f>COUNTIFS('00 Encuesta'!$B$2:$B$511,"*d)*",'00 Encuesta'!$C$2:$C$511,"*c)*",'00 Encuesta'!$E$2:$E$511,"*a)*",'00 Encuesta'!$AV$2:$AV$511,"*f)*")</f>
        <v>0</v>
      </c>
      <c r="X382" s="52">
        <f t="shared" si="625"/>
        <v>0</v>
      </c>
      <c r="Y382" s="53">
        <f>COUNTIFS('00 Encuesta'!$B$2:$B$511,"*d)*",'00 Encuesta'!$C$2:$C$511,"*c)*",'00 Encuesta'!$E$2:$E$511,"*b)*",'00 Encuesta'!$AV$2:$AV$511,"*f)*")</f>
        <v>0</v>
      </c>
      <c r="Z382" s="52">
        <f t="shared" si="626"/>
        <v>0</v>
      </c>
      <c r="AA382" s="3"/>
      <c r="AB382" s="62">
        <f t="shared" si="627"/>
        <v>0</v>
      </c>
      <c r="AC382" s="52">
        <f t="shared" si="628"/>
        <v>0</v>
      </c>
      <c r="AD382" s="3"/>
      <c r="AE382" s="3"/>
      <c r="AF382" s="9" t="str">
        <f t="shared" si="629"/>
        <v>f) No aplica</v>
      </c>
      <c r="AG382" s="72">
        <f t="shared" si="630"/>
        <v>0</v>
      </c>
      <c r="AH382" s="72">
        <f t="shared" si="631"/>
        <v>0</v>
      </c>
      <c r="AI382" s="73">
        <f t="shared" si="632"/>
        <v>0</v>
      </c>
      <c r="AJ382" s="73"/>
      <c r="AK382" s="76">
        <f t="shared" si="633"/>
        <v>0</v>
      </c>
      <c r="AL382" s="76">
        <f t="shared" si="634"/>
        <v>0</v>
      </c>
      <c r="AM382" s="76">
        <f t="shared" si="635"/>
        <v>0</v>
      </c>
      <c r="AN382" s="76"/>
      <c r="AO382" s="81">
        <f t="shared" si="636"/>
        <v>0</v>
      </c>
      <c r="AP382" s="81">
        <f t="shared" si="637"/>
        <v>0</v>
      </c>
      <c r="AQ382" s="81">
        <f t="shared" si="638"/>
        <v>0</v>
      </c>
      <c r="AR382" s="3"/>
      <c r="AS382" s="76">
        <f t="shared" si="542"/>
        <v>0</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x14ac:dyDescent="0.3">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f t="shared" si="628"/>
        <v>0</v>
      </c>
      <c r="AD383" s="3"/>
      <c r="AE383" s="3"/>
      <c r="AF383" s="3"/>
      <c r="AG383" s="82">
        <f>($F377*I377+$F378*I378+$F379*I379+$F380*I380+$F381*I381)/(I377+I378+I379+I380+I381)</f>
        <v>66.071428571428569</v>
      </c>
      <c r="AH383" s="82">
        <f>($F377*K377+$F378*K378+$F379*K379+$F380*K380+$F381*K381)/(K377+K378+K379+K380+K381)</f>
        <v>87.5</v>
      </c>
      <c r="AI383" s="82">
        <f>($F377*G377+$F378*G378+$F379*G379+$F380*G380+$F381*G381)/(G377+G378+G379+G380+G381)</f>
        <v>73.86363636363636</v>
      </c>
      <c r="AJ383" s="82"/>
      <c r="AK383" s="82">
        <f>($F377*Q377+$F378*Q378+$F379*Q379+$F380*Q380+$F381*Q381)/(Q377+Q378+Q379+Q380+Q381)</f>
        <v>57.142857142857139</v>
      </c>
      <c r="AL383" s="82">
        <f>($F377*S377+$F378*S378+$F379*S379+$F380*S380+$F381*S381)/(S377+S378+S379+S380+S381)</f>
        <v>75</v>
      </c>
      <c r="AM383" s="82">
        <f>($F377*O377+$F378*O378+$F379*O379+$F380*O380+$F381*O381)/(O377+O378+O379+O380+O381)</f>
        <v>68.750000000000014</v>
      </c>
      <c r="AN383" s="82"/>
      <c r="AO383" s="82">
        <f>($F377*W377+$F378*W378+$F379*W379+$F380*W380+$F381*W381)/(W377+W378+W379+W380+W381)</f>
        <v>60</v>
      </c>
      <c r="AP383" s="82">
        <f>($F377*Y377+$F378*Y378+$F379*Y379+$F380*Y380+$F381*Y381)/(Y377+Y378+Y379+Y380+Y381)</f>
        <v>78.333333333333329</v>
      </c>
      <c r="AQ383" s="82">
        <f>($F377*U377+$F378*U378+$F379*U379+$F380*U380+$F381*U381)/(U377+U378+U379+U380+U381)</f>
        <v>73.75</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8</v>
      </c>
      <c r="H386" s="52">
        <f t="shared" ref="H386:H394" si="640">G386/$J$5*100</f>
        <v>34.782608695652172</v>
      </c>
      <c r="I386" s="53">
        <f>COUNTIFS('00 Encuesta'!$B$2:$B$511,"*d)*",'00 Encuesta'!$C$2:$C$511,"*a)*",'00 Encuesta'!$E$2:$E$511,"*a)*",'00 Encuesta'!$AW$2:$AW$511,"*a)*")</f>
        <v>4</v>
      </c>
      <c r="J386" s="52">
        <f t="shared" ref="J386:J394" si="641">I386/$J$6*100</f>
        <v>28.571428571428569</v>
      </c>
      <c r="K386" s="53">
        <f>COUNTIFS('00 Encuesta'!$B$2:$B$511,"*d)*",'00 Encuesta'!$C$2:$C$511,"*a)*",'00 Encuesta'!$E$2:$E$511,"*b)*",'00 Encuesta'!$AW$2:$AW$511,"*a)*")</f>
        <v>4</v>
      </c>
      <c r="L386" s="52">
        <f t="shared" ref="L386:L394" si="642">K386/$J$7*100</f>
        <v>44.444444444444443</v>
      </c>
      <c r="M386" s="23"/>
      <c r="N386" s="51">
        <f t="shared" ref="N386:N394" si="643">P386+R386</f>
        <v>6</v>
      </c>
      <c r="O386" s="52">
        <f t="shared" ref="O386:O394" si="644">N386/$Q$5*100</f>
        <v>30</v>
      </c>
      <c r="P386" s="53">
        <f>COUNTIFS('00 Encuesta'!$B$2:$B$511,"*d)*",'00 Encuesta'!$C$2:$C$511,"*b)*",'00 Encuesta'!$E$2:$E$511,"*a)*",'00 Encuesta'!$AW$2:$AW$511,"*a)*")</f>
        <v>0</v>
      </c>
      <c r="Q386" s="52">
        <f t="shared" ref="Q386:Q394" si="645">P386/$Q$6*100</f>
        <v>0</v>
      </c>
      <c r="R386" s="53">
        <f>COUNTIFS('00 Encuesta'!$B$2:$B$511,"*d)*",'00 Encuesta'!$C$2:$C$511,"*b)*",'00 Encuesta'!$E$2:$E$511,"*b)*",'00 Encuesta'!$AW$2:$AW$511,"*a)*")</f>
        <v>6</v>
      </c>
      <c r="S386" s="52">
        <f t="shared" ref="S386:S394" si="646">R386/$Q$7*100</f>
        <v>46.153846153846153</v>
      </c>
      <c r="T386" s="3"/>
      <c r="U386" s="51">
        <f t="shared" ref="U386:U394" si="647">W386+Y386</f>
        <v>3</v>
      </c>
      <c r="V386" s="52">
        <f t="shared" ref="V386:V394" si="648">U386/$X$5*100</f>
        <v>15</v>
      </c>
      <c r="W386" s="53">
        <f>COUNTIFS('00 Encuesta'!$B$2:$B$511,"*d)*",'00 Encuesta'!$C$2:$C$511,"*c)*",'00 Encuesta'!$E$2:$E$511,"*a)*",'00 Encuesta'!$AW$2:$AW$511,"*a)*")</f>
        <v>1</v>
      </c>
      <c r="X386" s="52">
        <f t="shared" ref="X386:X394" si="649">W386/$X$6*100</f>
        <v>20</v>
      </c>
      <c r="Y386" s="53">
        <f>COUNTIFS('00 Encuesta'!$B$2:$B$511,"*d)*",'00 Encuesta'!$C$2:$C$511,"*c)*",'00 Encuesta'!$E$2:$E$511,"*b)*",'00 Encuesta'!$AW$2:$AW$511,"*a)*")</f>
        <v>2</v>
      </c>
      <c r="Z386" s="52">
        <f t="shared" ref="Z386:Z394" si="650">Y386/$X$7*100</f>
        <v>13.333333333333334</v>
      </c>
      <c r="AA386" s="3"/>
      <c r="AB386" s="62">
        <f t="shared" ref="AB386:AB394" si="651">G386+N386+U386</f>
        <v>17</v>
      </c>
      <c r="AC386" s="52">
        <f t="shared" ref="AC386:AC394" si="652">AB386*100/$AC$5</f>
        <v>26.984126984126984</v>
      </c>
      <c r="AD386" s="3"/>
      <c r="AE386" s="3"/>
      <c r="AF386" s="9" t="str">
        <f t="shared" ref="AF386:AF394" si="653">A386&amp;" "&amp;B386</f>
        <v>a) El compañerismo</v>
      </c>
      <c r="AG386" s="72">
        <f>J386</f>
        <v>28.571428571428569</v>
      </c>
      <c r="AH386" s="72">
        <f>L386</f>
        <v>44.444444444444443</v>
      </c>
      <c r="AI386" s="73">
        <f>H386</f>
        <v>34.782608695652172</v>
      </c>
      <c r="AJ386" s="73"/>
      <c r="AK386" s="76">
        <f t="shared" ref="AK386:AK394" si="654">Q386</f>
        <v>0</v>
      </c>
      <c r="AL386" s="76">
        <f t="shared" ref="AL386:AL394" si="655">S386</f>
        <v>46.153846153846153</v>
      </c>
      <c r="AM386" s="76">
        <f t="shared" ref="AM386:AM394" si="656">O386</f>
        <v>30</v>
      </c>
      <c r="AN386" s="76"/>
      <c r="AO386" s="81">
        <f t="shared" ref="AO386:AO394" si="657">X386</f>
        <v>20</v>
      </c>
      <c r="AP386" s="81">
        <f t="shared" ref="AP386:AP394" si="658">Z386</f>
        <v>13.333333333333334</v>
      </c>
      <c r="AQ386" s="81">
        <f t="shared" ref="AQ386:AQ394" si="659">V386</f>
        <v>15</v>
      </c>
      <c r="AR386" s="3"/>
      <c r="AS386" s="76">
        <f t="shared" si="542"/>
        <v>26.984126984126984</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4</v>
      </c>
      <c r="H387" s="52">
        <f t="shared" si="640"/>
        <v>17.391304347826086</v>
      </c>
      <c r="I387" s="53">
        <f>COUNTIFS('00 Encuesta'!$B$2:$B$511,"*d)*",'00 Encuesta'!$C$2:$C$511,"*a)*",'00 Encuesta'!$E$2:$E$511,"*a)*",'00 Encuesta'!$AW$2:$AW$511,"*b)*")</f>
        <v>3</v>
      </c>
      <c r="J387" s="52">
        <f t="shared" si="641"/>
        <v>21.428571428571427</v>
      </c>
      <c r="K387" s="53">
        <f>COUNTIFS('00 Encuesta'!$B$2:$B$511,"*d)*",'00 Encuesta'!$C$2:$C$511,"*a)*",'00 Encuesta'!$E$2:$E$511,"*b)*",'00 Encuesta'!$AW$2:$AW$511,"*b)*")</f>
        <v>1</v>
      </c>
      <c r="L387" s="52">
        <f t="shared" si="642"/>
        <v>11.111111111111111</v>
      </c>
      <c r="M387" s="23"/>
      <c r="N387" s="51">
        <f t="shared" si="643"/>
        <v>6</v>
      </c>
      <c r="O387" s="52">
        <f t="shared" si="644"/>
        <v>30</v>
      </c>
      <c r="P387" s="53">
        <f>COUNTIFS('00 Encuesta'!$B$2:$B$511,"*d)*",'00 Encuesta'!$C$2:$C$511,"*b)*",'00 Encuesta'!$E$2:$E$511,"*a)*",'00 Encuesta'!$AW$2:$AW$511,"*b)*")</f>
        <v>3</v>
      </c>
      <c r="Q387" s="52">
        <f t="shared" si="645"/>
        <v>42.857142857142854</v>
      </c>
      <c r="R387" s="53">
        <f>COUNTIFS('00 Encuesta'!$B$2:$B$511,"*d)*",'00 Encuesta'!$C$2:$C$511,"*b)*",'00 Encuesta'!$E$2:$E$511,"*b)*",'00 Encuesta'!$AW$2:$AW$511,"*b)*")</f>
        <v>3</v>
      </c>
      <c r="S387" s="52">
        <f t="shared" si="646"/>
        <v>23.076923076923077</v>
      </c>
      <c r="T387" s="3"/>
      <c r="U387" s="51">
        <f t="shared" si="647"/>
        <v>1</v>
      </c>
      <c r="V387" s="52">
        <f t="shared" si="648"/>
        <v>5</v>
      </c>
      <c r="W387" s="53">
        <f>COUNTIFS('00 Encuesta'!$B$2:$B$511,"*d)*",'00 Encuesta'!$C$2:$C$511,"*c)*",'00 Encuesta'!$E$2:$E$511,"*a)*",'00 Encuesta'!$AW$2:$AW$511,"*b)*")</f>
        <v>0</v>
      </c>
      <c r="X387" s="52">
        <f t="shared" si="649"/>
        <v>0</v>
      </c>
      <c r="Y387" s="53">
        <f>COUNTIFS('00 Encuesta'!$B$2:$B$511,"*d)*",'00 Encuesta'!$C$2:$C$511,"*c)*",'00 Encuesta'!$E$2:$E$511,"*b)*",'00 Encuesta'!$AW$2:$AW$511,"*b)*")</f>
        <v>1</v>
      </c>
      <c r="Z387" s="52">
        <f t="shared" si="650"/>
        <v>6.666666666666667</v>
      </c>
      <c r="AA387" s="3"/>
      <c r="AB387" s="62">
        <f t="shared" si="651"/>
        <v>11</v>
      </c>
      <c r="AC387" s="52">
        <f t="shared" si="652"/>
        <v>17.460317460317459</v>
      </c>
      <c r="AD387" s="3"/>
      <c r="AE387" s="3"/>
      <c r="AF387" s="9" t="str">
        <f t="shared" si="653"/>
        <v>b) La orientación cristiana</v>
      </c>
      <c r="AG387" s="72">
        <f t="shared" ref="AG387:AG394" si="660">J387</f>
        <v>21.428571428571427</v>
      </c>
      <c r="AH387" s="72">
        <f t="shared" ref="AH387:AH394" si="661">L387</f>
        <v>11.111111111111111</v>
      </c>
      <c r="AI387" s="73">
        <f t="shared" ref="AI387:AI394" si="662">H387</f>
        <v>17.391304347826086</v>
      </c>
      <c r="AJ387" s="73"/>
      <c r="AK387" s="76">
        <f t="shared" si="654"/>
        <v>42.857142857142854</v>
      </c>
      <c r="AL387" s="76">
        <f t="shared" si="655"/>
        <v>23.076923076923077</v>
      </c>
      <c r="AM387" s="76">
        <f t="shared" si="656"/>
        <v>30</v>
      </c>
      <c r="AN387" s="76"/>
      <c r="AO387" s="81">
        <f t="shared" si="657"/>
        <v>0</v>
      </c>
      <c r="AP387" s="81">
        <f t="shared" si="658"/>
        <v>6.666666666666667</v>
      </c>
      <c r="AQ387" s="81">
        <f t="shared" si="659"/>
        <v>5</v>
      </c>
      <c r="AR387" s="3"/>
      <c r="AS387" s="76">
        <f t="shared" si="542"/>
        <v>17.460317460317459</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x14ac:dyDescent="0.3">
      <c r="A388" s="1" t="s">
        <v>20</v>
      </c>
      <c r="B388" s="2" t="s">
        <v>243</v>
      </c>
      <c r="C388" s="3"/>
      <c r="D388" s="3"/>
      <c r="E388" s="3"/>
      <c r="F388" s="4"/>
      <c r="G388" s="51">
        <f t="shared" si="639"/>
        <v>4</v>
      </c>
      <c r="H388" s="52">
        <f t="shared" si="640"/>
        <v>17.391304347826086</v>
      </c>
      <c r="I388" s="53">
        <f>COUNTIFS('00 Encuesta'!$B$2:$B$511,"*d)*",'00 Encuesta'!$C$2:$C$511,"*a)*",'00 Encuesta'!$E$2:$E$511,"*a)*",'00 Encuesta'!$AW$2:$AW$511,"*c)*")</f>
        <v>2</v>
      </c>
      <c r="J388" s="52">
        <f t="shared" si="641"/>
        <v>14.285714285714285</v>
      </c>
      <c r="K388" s="53">
        <f>COUNTIFS('00 Encuesta'!$B$2:$B$511,"*d)*",'00 Encuesta'!$C$2:$C$511,"*a)*",'00 Encuesta'!$E$2:$E$511,"*b)*",'00 Encuesta'!$AW$2:$AW$511,"*c)*")</f>
        <v>2</v>
      </c>
      <c r="L388" s="52">
        <f t="shared" si="642"/>
        <v>22.222222222222221</v>
      </c>
      <c r="M388" s="23"/>
      <c r="N388" s="51">
        <f t="shared" si="643"/>
        <v>0</v>
      </c>
      <c r="O388" s="52">
        <f t="shared" si="644"/>
        <v>0</v>
      </c>
      <c r="P388" s="53">
        <f>COUNTIFS('00 Encuesta'!$B$2:$B$511,"*d)*",'00 Encuesta'!$C$2:$C$511,"*b)*",'00 Encuesta'!$E$2:$E$511,"*a)*",'00 Encuesta'!$AW$2:$AW$511,"*c)*")</f>
        <v>0</v>
      </c>
      <c r="Q388" s="52">
        <f t="shared" si="645"/>
        <v>0</v>
      </c>
      <c r="R388" s="53">
        <f>COUNTIFS('00 Encuesta'!$B$2:$B$511,"*d)*",'00 Encuesta'!$C$2:$C$511,"*b)*",'00 Encuesta'!$E$2:$E$511,"*b)*",'00 Encuesta'!$AW$2:$AW$511,"*c)*")</f>
        <v>0</v>
      </c>
      <c r="S388" s="52">
        <f t="shared" si="646"/>
        <v>0</v>
      </c>
      <c r="T388" s="3"/>
      <c r="U388" s="51">
        <f t="shared" si="647"/>
        <v>2</v>
      </c>
      <c r="V388" s="52">
        <f t="shared" si="648"/>
        <v>10</v>
      </c>
      <c r="W388" s="53">
        <f>COUNTIFS('00 Encuesta'!$B$2:$B$511,"*d)*",'00 Encuesta'!$C$2:$C$511,"*c)*",'00 Encuesta'!$E$2:$E$511,"*a)*",'00 Encuesta'!$AW$2:$AW$511,"*c)*")</f>
        <v>2</v>
      </c>
      <c r="X388" s="52">
        <f t="shared" si="649"/>
        <v>40</v>
      </c>
      <c r="Y388" s="53">
        <f>COUNTIFS('00 Encuesta'!$B$2:$B$511,"*d)*",'00 Encuesta'!$C$2:$C$511,"*c)*",'00 Encuesta'!$E$2:$E$511,"*b)*",'00 Encuesta'!$AW$2:$AW$511,"*c)*")</f>
        <v>0</v>
      </c>
      <c r="Z388" s="52">
        <f t="shared" si="650"/>
        <v>0</v>
      </c>
      <c r="AA388" s="3"/>
      <c r="AB388" s="62">
        <f t="shared" si="651"/>
        <v>6</v>
      </c>
      <c r="AC388" s="52">
        <f t="shared" si="652"/>
        <v>9.5238095238095237</v>
      </c>
      <c r="AD388" s="3"/>
      <c r="AE388" s="3"/>
      <c r="AF388" s="9" t="str">
        <f t="shared" si="653"/>
        <v>c) El estudio</v>
      </c>
      <c r="AG388" s="72">
        <f t="shared" si="660"/>
        <v>14.285714285714285</v>
      </c>
      <c r="AH388" s="72">
        <f t="shared" si="661"/>
        <v>22.222222222222221</v>
      </c>
      <c r="AI388" s="73">
        <f t="shared" si="662"/>
        <v>17.391304347826086</v>
      </c>
      <c r="AJ388" s="73"/>
      <c r="AK388" s="76">
        <f t="shared" si="654"/>
        <v>0</v>
      </c>
      <c r="AL388" s="76">
        <f t="shared" si="655"/>
        <v>0</v>
      </c>
      <c r="AM388" s="76">
        <f t="shared" si="656"/>
        <v>0</v>
      </c>
      <c r="AN388" s="76"/>
      <c r="AO388" s="81">
        <f t="shared" si="657"/>
        <v>40</v>
      </c>
      <c r="AP388" s="81">
        <f t="shared" si="658"/>
        <v>0</v>
      </c>
      <c r="AQ388" s="81">
        <f t="shared" si="659"/>
        <v>10</v>
      </c>
      <c r="AR388" s="3"/>
      <c r="AS388" s="76">
        <f t="shared" si="542"/>
        <v>9.5238095238095237</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0</v>
      </c>
      <c r="H389" s="52">
        <f t="shared" si="640"/>
        <v>0</v>
      </c>
      <c r="I389" s="53">
        <f>COUNTIFS('00 Encuesta'!$B$2:$B$511,"*d)*",'00 Encuesta'!$C$2:$C$511,"*a)*",'00 Encuesta'!$E$2:$E$511,"*a)*",'00 Encuesta'!$AW$2:$AW$511,"*d)*")</f>
        <v>0</v>
      </c>
      <c r="J389" s="52">
        <f t="shared" si="641"/>
        <v>0</v>
      </c>
      <c r="K389" s="53">
        <f>COUNTIFS('00 Encuesta'!$B$2:$B$511,"*d)*",'00 Encuesta'!$C$2:$C$511,"*a)*",'00 Encuesta'!$E$2:$E$511,"*b)*",'00 Encuesta'!$AW$2:$AW$511,"*d)*")</f>
        <v>0</v>
      </c>
      <c r="L389" s="52">
        <f t="shared" si="642"/>
        <v>0</v>
      </c>
      <c r="M389" s="23"/>
      <c r="N389" s="51">
        <f t="shared" si="643"/>
        <v>0</v>
      </c>
      <c r="O389" s="52">
        <f t="shared" si="644"/>
        <v>0</v>
      </c>
      <c r="P389" s="53">
        <f>COUNTIFS('00 Encuesta'!$B$2:$B$511,"*d)*",'00 Encuesta'!$C$2:$C$511,"*b)*",'00 Encuesta'!$E$2:$E$511,"*a)*",'00 Encuesta'!$AW$2:$AW$511,"*d)*")</f>
        <v>0</v>
      </c>
      <c r="Q389" s="52">
        <f t="shared" si="645"/>
        <v>0</v>
      </c>
      <c r="R389" s="53">
        <f>COUNTIFS('00 Encuesta'!$B$2:$B$511,"*d)*",'00 Encuesta'!$C$2:$C$511,"*b)*",'00 Encuesta'!$E$2:$E$511,"*b)*",'00 Encuesta'!$AW$2:$AW$511,"*d)*")</f>
        <v>0</v>
      </c>
      <c r="S389" s="52">
        <f t="shared" si="646"/>
        <v>0</v>
      </c>
      <c r="T389" s="3"/>
      <c r="U389" s="51">
        <f t="shared" si="647"/>
        <v>2</v>
      </c>
      <c r="V389" s="52">
        <f t="shared" si="648"/>
        <v>10</v>
      </c>
      <c r="W389" s="53">
        <f>COUNTIFS('00 Encuesta'!$B$2:$B$511,"*d)*",'00 Encuesta'!$C$2:$C$511,"*c)*",'00 Encuesta'!$E$2:$E$511,"*a)*",'00 Encuesta'!$AW$2:$AW$511,"*d)*")</f>
        <v>1</v>
      </c>
      <c r="X389" s="52">
        <f t="shared" si="649"/>
        <v>20</v>
      </c>
      <c r="Y389" s="53">
        <f>COUNTIFS('00 Encuesta'!$B$2:$B$511,"*d)*",'00 Encuesta'!$C$2:$C$511,"*c)*",'00 Encuesta'!$E$2:$E$511,"*b)*",'00 Encuesta'!$AW$2:$AW$511,"*d)*")</f>
        <v>1</v>
      </c>
      <c r="Z389" s="52">
        <f t="shared" si="650"/>
        <v>6.666666666666667</v>
      </c>
      <c r="AA389" s="3"/>
      <c r="AB389" s="62">
        <f t="shared" si="651"/>
        <v>2</v>
      </c>
      <c r="AC389" s="52">
        <f t="shared" si="652"/>
        <v>3.1746031746031744</v>
      </c>
      <c r="AD389" s="3"/>
      <c r="AE389" s="3"/>
      <c r="AF389" s="9" t="str">
        <f t="shared" si="653"/>
        <v>d) La formacion del carácter</v>
      </c>
      <c r="AG389" s="72">
        <f t="shared" si="660"/>
        <v>0</v>
      </c>
      <c r="AH389" s="72">
        <f t="shared" si="661"/>
        <v>0</v>
      </c>
      <c r="AI389" s="73">
        <f t="shared" si="662"/>
        <v>0</v>
      </c>
      <c r="AJ389" s="73"/>
      <c r="AK389" s="76">
        <f t="shared" si="654"/>
        <v>0</v>
      </c>
      <c r="AL389" s="76">
        <f t="shared" si="655"/>
        <v>0</v>
      </c>
      <c r="AM389" s="76">
        <f t="shared" si="656"/>
        <v>0</v>
      </c>
      <c r="AN389" s="76"/>
      <c r="AO389" s="81">
        <f t="shared" si="657"/>
        <v>20</v>
      </c>
      <c r="AP389" s="81">
        <f t="shared" si="658"/>
        <v>6.666666666666667</v>
      </c>
      <c r="AQ389" s="81">
        <f t="shared" si="659"/>
        <v>10</v>
      </c>
      <c r="AR389" s="3"/>
      <c r="AS389" s="76">
        <f t="shared" si="542"/>
        <v>3.1746031746031744</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x14ac:dyDescent="0.3">
      <c r="A390" s="1" t="s">
        <v>22</v>
      </c>
      <c r="B390" s="2" t="s">
        <v>245</v>
      </c>
      <c r="C390" s="3"/>
      <c r="D390" s="3"/>
      <c r="E390" s="3"/>
      <c r="F390" s="4"/>
      <c r="G390" s="51">
        <f t="shared" si="639"/>
        <v>2</v>
      </c>
      <c r="H390" s="52">
        <f t="shared" si="640"/>
        <v>8.695652173913043</v>
      </c>
      <c r="I390" s="53">
        <f>COUNTIFS('00 Encuesta'!$B$2:$B$511,"*d)*",'00 Encuesta'!$C$2:$C$511,"*a)*",'00 Encuesta'!$E$2:$E$511,"*a)*",'00 Encuesta'!$AW$2:$AW$511,"*e)*")</f>
        <v>1</v>
      </c>
      <c r="J390" s="52">
        <f t="shared" si="641"/>
        <v>7.1428571428571423</v>
      </c>
      <c r="K390" s="53">
        <f>COUNTIFS('00 Encuesta'!$B$2:$B$511,"*d)*",'00 Encuesta'!$C$2:$C$511,"*a)*",'00 Encuesta'!$E$2:$E$511,"*b)*",'00 Encuesta'!$AW$2:$AW$511,"*e)*")</f>
        <v>1</v>
      </c>
      <c r="L390" s="52">
        <f t="shared" si="642"/>
        <v>11.111111111111111</v>
      </c>
      <c r="M390" s="23"/>
      <c r="N390" s="51">
        <f t="shared" si="643"/>
        <v>1</v>
      </c>
      <c r="O390" s="52">
        <f t="shared" si="644"/>
        <v>5</v>
      </c>
      <c r="P390" s="53">
        <f>COUNTIFS('00 Encuesta'!$B$2:$B$511,"*d)*",'00 Encuesta'!$C$2:$C$511,"*b)*",'00 Encuesta'!$E$2:$E$511,"*a)*",'00 Encuesta'!$AW$2:$AW$511,"*e)*")</f>
        <v>0</v>
      </c>
      <c r="Q390" s="52">
        <f t="shared" si="645"/>
        <v>0</v>
      </c>
      <c r="R390" s="53">
        <f>COUNTIFS('00 Encuesta'!$B$2:$B$511,"*d)*",'00 Encuesta'!$C$2:$C$511,"*b)*",'00 Encuesta'!$E$2:$E$511,"*b)*",'00 Encuesta'!$AW$2:$AW$511,"*e)*")</f>
        <v>1</v>
      </c>
      <c r="S390" s="52">
        <f t="shared" si="646"/>
        <v>7.6923076923076925</v>
      </c>
      <c r="T390" s="3"/>
      <c r="U390" s="51">
        <f t="shared" si="647"/>
        <v>4</v>
      </c>
      <c r="V390" s="52">
        <f t="shared" si="648"/>
        <v>20</v>
      </c>
      <c r="W390" s="53">
        <f>COUNTIFS('00 Encuesta'!$B$2:$B$511,"*d)*",'00 Encuesta'!$C$2:$C$511,"*c)*",'00 Encuesta'!$E$2:$E$511,"*a)*",'00 Encuesta'!$AW$2:$AW$511,"*e)*")</f>
        <v>0</v>
      </c>
      <c r="X390" s="52">
        <f t="shared" si="649"/>
        <v>0</v>
      </c>
      <c r="Y390" s="53">
        <f>COUNTIFS('00 Encuesta'!$B$2:$B$511,"*d)*",'00 Encuesta'!$C$2:$C$511,"*c)*",'00 Encuesta'!$E$2:$E$511,"*b)*",'00 Encuesta'!$AW$2:$AW$511,"*e)*")</f>
        <v>4</v>
      </c>
      <c r="Z390" s="52">
        <f t="shared" si="650"/>
        <v>26.666666666666668</v>
      </c>
      <c r="AA390" s="3"/>
      <c r="AB390" s="62">
        <f t="shared" si="651"/>
        <v>7</v>
      </c>
      <c r="AC390" s="52">
        <f t="shared" si="652"/>
        <v>11.111111111111111</v>
      </c>
      <c r="AD390" s="3"/>
      <c r="AE390" s="3"/>
      <c r="AF390" s="9" t="str">
        <f t="shared" si="653"/>
        <v>e) La disciplina y el orden</v>
      </c>
      <c r="AG390" s="72">
        <f t="shared" si="660"/>
        <v>7.1428571428571423</v>
      </c>
      <c r="AH390" s="72">
        <f t="shared" si="661"/>
        <v>11.111111111111111</v>
      </c>
      <c r="AI390" s="73">
        <f t="shared" si="662"/>
        <v>8.695652173913043</v>
      </c>
      <c r="AJ390" s="73"/>
      <c r="AK390" s="76">
        <f t="shared" si="654"/>
        <v>0</v>
      </c>
      <c r="AL390" s="76">
        <f t="shared" si="655"/>
        <v>7.6923076923076925</v>
      </c>
      <c r="AM390" s="76">
        <f t="shared" si="656"/>
        <v>5</v>
      </c>
      <c r="AN390" s="76"/>
      <c r="AO390" s="81">
        <f t="shared" si="657"/>
        <v>0</v>
      </c>
      <c r="AP390" s="81">
        <f t="shared" si="658"/>
        <v>26.666666666666668</v>
      </c>
      <c r="AQ390" s="81">
        <f t="shared" si="659"/>
        <v>20</v>
      </c>
      <c r="AR390" s="3"/>
      <c r="AS390" s="76">
        <f t="shared" si="542"/>
        <v>11.111111111111111</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2</v>
      </c>
      <c r="H391" s="52">
        <f t="shared" si="640"/>
        <v>8.695652173913043</v>
      </c>
      <c r="I391" s="53">
        <f>COUNTIFS('00 Encuesta'!$B$2:$B$511,"*d)*",'00 Encuesta'!$C$2:$C$511,"*a)*",'00 Encuesta'!$E$2:$E$511,"*a)*",'00 Encuesta'!$AW$2:$AW$511,"*f)*")</f>
        <v>2</v>
      </c>
      <c r="J391" s="52">
        <f t="shared" si="641"/>
        <v>14.285714285714285</v>
      </c>
      <c r="K391" s="53">
        <f>COUNTIFS('00 Encuesta'!$B$2:$B$511,"*d)*",'00 Encuesta'!$C$2:$C$511,"*a)*",'00 Encuesta'!$E$2:$E$511,"*b)*",'00 Encuesta'!$AW$2:$AW$511,"*f)*")</f>
        <v>0</v>
      </c>
      <c r="L391" s="52">
        <f t="shared" si="642"/>
        <v>0</v>
      </c>
      <c r="M391" s="23"/>
      <c r="N391" s="51">
        <f t="shared" si="643"/>
        <v>3</v>
      </c>
      <c r="O391" s="52">
        <f t="shared" si="644"/>
        <v>15</v>
      </c>
      <c r="P391" s="53">
        <f>COUNTIFS('00 Encuesta'!$B$2:$B$511,"*d)*",'00 Encuesta'!$C$2:$C$511,"*b)*",'00 Encuesta'!$E$2:$E$511,"*a)*",'00 Encuesta'!$AW$2:$AW$511,"*f)*")</f>
        <v>1</v>
      </c>
      <c r="Q391" s="52">
        <f t="shared" si="645"/>
        <v>14.285714285714285</v>
      </c>
      <c r="R391" s="53">
        <f>COUNTIFS('00 Encuesta'!$B$2:$B$511,"*d)*",'00 Encuesta'!$C$2:$C$511,"*b)*",'00 Encuesta'!$E$2:$E$511,"*b)*",'00 Encuesta'!$AW$2:$AW$511,"*f)*")</f>
        <v>2</v>
      </c>
      <c r="S391" s="52">
        <f t="shared" si="646"/>
        <v>15.384615384615385</v>
      </c>
      <c r="T391" s="3"/>
      <c r="U391" s="51">
        <f t="shared" si="647"/>
        <v>3</v>
      </c>
      <c r="V391" s="52">
        <f t="shared" si="648"/>
        <v>15</v>
      </c>
      <c r="W391" s="53">
        <f>COUNTIFS('00 Encuesta'!$B$2:$B$511,"*d)*",'00 Encuesta'!$C$2:$C$511,"*c)*",'00 Encuesta'!$E$2:$E$511,"*a)*",'00 Encuesta'!$AW$2:$AW$511,"*f)*")</f>
        <v>0</v>
      </c>
      <c r="X391" s="52">
        <f t="shared" si="649"/>
        <v>0</v>
      </c>
      <c r="Y391" s="53">
        <f>COUNTIFS('00 Encuesta'!$B$2:$B$511,"*d)*",'00 Encuesta'!$C$2:$C$511,"*c)*",'00 Encuesta'!$E$2:$E$511,"*b)*",'00 Encuesta'!$AW$2:$AW$511,"*f)*")</f>
        <v>3</v>
      </c>
      <c r="Z391" s="52">
        <f t="shared" si="650"/>
        <v>20</v>
      </c>
      <c r="AA391" s="3"/>
      <c r="AB391" s="62">
        <f t="shared" si="651"/>
        <v>8</v>
      </c>
      <c r="AC391" s="52">
        <f t="shared" si="652"/>
        <v>12.698412698412698</v>
      </c>
      <c r="AD391" s="3"/>
      <c r="AE391" s="3"/>
      <c r="AF391" s="9" t="str">
        <f t="shared" si="653"/>
        <v>f) La pràctica religiosa</v>
      </c>
      <c r="AG391" s="72">
        <f t="shared" si="660"/>
        <v>14.285714285714285</v>
      </c>
      <c r="AH391" s="72">
        <f t="shared" si="661"/>
        <v>0</v>
      </c>
      <c r="AI391" s="73">
        <f t="shared" si="662"/>
        <v>8.695652173913043</v>
      </c>
      <c r="AJ391" s="73"/>
      <c r="AK391" s="76">
        <f t="shared" si="654"/>
        <v>14.285714285714285</v>
      </c>
      <c r="AL391" s="76">
        <f t="shared" si="655"/>
        <v>15.384615384615385</v>
      </c>
      <c r="AM391" s="76">
        <f t="shared" si="656"/>
        <v>15</v>
      </c>
      <c r="AN391" s="76"/>
      <c r="AO391" s="81">
        <f t="shared" si="657"/>
        <v>0</v>
      </c>
      <c r="AP391" s="81">
        <f t="shared" si="658"/>
        <v>20</v>
      </c>
      <c r="AQ391" s="81">
        <f t="shared" si="659"/>
        <v>15</v>
      </c>
      <c r="AR391" s="3"/>
      <c r="AS391" s="76">
        <f t="shared" si="542"/>
        <v>12.698412698412698</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0</v>
      </c>
      <c r="H392" s="52">
        <f t="shared" si="640"/>
        <v>0</v>
      </c>
      <c r="I392" s="53">
        <f>COUNTIFS('00 Encuesta'!$B$2:$B$511,"*d)*",'00 Encuesta'!$C$2:$C$511,"*a)*",'00 Encuesta'!$E$2:$E$511,"*a)*",'00 Encuesta'!$AW$2:$AW$511,"*g)*")</f>
        <v>0</v>
      </c>
      <c r="J392" s="52">
        <f t="shared" si="641"/>
        <v>0</v>
      </c>
      <c r="K392" s="53">
        <f>COUNTIFS('00 Encuesta'!$B$2:$B$511,"*d)*",'00 Encuesta'!$C$2:$C$511,"*a)*",'00 Encuesta'!$E$2:$E$511,"*b)*",'00 Encuesta'!$AW$2:$AW$511,"*g)*")</f>
        <v>0</v>
      </c>
      <c r="L392" s="52">
        <f t="shared" si="642"/>
        <v>0</v>
      </c>
      <c r="M392" s="23"/>
      <c r="N392" s="51">
        <f t="shared" si="643"/>
        <v>1</v>
      </c>
      <c r="O392" s="52">
        <f t="shared" si="644"/>
        <v>5</v>
      </c>
      <c r="P392" s="53">
        <f>COUNTIFS('00 Encuesta'!$B$2:$B$511,"*d)*",'00 Encuesta'!$C$2:$C$511,"*b)*",'00 Encuesta'!$E$2:$E$511,"*a)*",'00 Encuesta'!$AW$2:$AW$511,"*g)*")</f>
        <v>0</v>
      </c>
      <c r="Q392" s="52">
        <f t="shared" si="645"/>
        <v>0</v>
      </c>
      <c r="R392" s="53">
        <f>COUNTIFS('00 Encuesta'!$B$2:$B$511,"*d)*",'00 Encuesta'!$C$2:$C$511,"*b)*",'00 Encuesta'!$E$2:$E$511,"*b)*",'00 Encuesta'!$AW$2:$AW$511,"*g)*")</f>
        <v>1</v>
      </c>
      <c r="S392" s="52">
        <f t="shared" si="646"/>
        <v>7.6923076923076925</v>
      </c>
      <c r="T392" s="3"/>
      <c r="U392" s="51">
        <f t="shared" si="647"/>
        <v>3</v>
      </c>
      <c r="V392" s="52">
        <f t="shared" si="648"/>
        <v>15</v>
      </c>
      <c r="W392" s="53">
        <f>COUNTIFS('00 Encuesta'!$B$2:$B$511,"*d)*",'00 Encuesta'!$C$2:$C$511,"*c)*",'00 Encuesta'!$E$2:$E$511,"*a)*",'00 Encuesta'!$AW$2:$AW$511,"*g)*")</f>
        <v>0</v>
      </c>
      <c r="X392" s="52">
        <f t="shared" si="649"/>
        <v>0</v>
      </c>
      <c r="Y392" s="53">
        <f>COUNTIFS('00 Encuesta'!$B$2:$B$511,"*d)*",'00 Encuesta'!$C$2:$C$511,"*c)*",'00 Encuesta'!$E$2:$E$511,"*b)*",'00 Encuesta'!$AW$2:$AW$511,"*g)*")</f>
        <v>3</v>
      </c>
      <c r="Z392" s="52">
        <f t="shared" si="650"/>
        <v>20</v>
      </c>
      <c r="AA392" s="3"/>
      <c r="AB392" s="62">
        <f t="shared" si="651"/>
        <v>4</v>
      </c>
      <c r="AC392" s="52">
        <f t="shared" si="652"/>
        <v>6.3492063492063489</v>
      </c>
      <c r="AD392" s="3"/>
      <c r="AE392" s="3"/>
      <c r="AF392" s="9" t="str">
        <f t="shared" si="653"/>
        <v>g) La Orientación profesional futura</v>
      </c>
      <c r="AG392" s="72">
        <f t="shared" si="660"/>
        <v>0</v>
      </c>
      <c r="AH392" s="72">
        <f t="shared" si="661"/>
        <v>0</v>
      </c>
      <c r="AI392" s="73">
        <f t="shared" si="662"/>
        <v>0</v>
      </c>
      <c r="AJ392" s="73"/>
      <c r="AK392" s="76">
        <f t="shared" si="654"/>
        <v>0</v>
      </c>
      <c r="AL392" s="76">
        <f t="shared" si="655"/>
        <v>7.6923076923076925</v>
      </c>
      <c r="AM392" s="76">
        <f t="shared" si="656"/>
        <v>5</v>
      </c>
      <c r="AN392" s="76"/>
      <c r="AO392" s="81">
        <f t="shared" si="657"/>
        <v>0</v>
      </c>
      <c r="AP392" s="81">
        <f t="shared" si="658"/>
        <v>20</v>
      </c>
      <c r="AQ392" s="81">
        <f t="shared" si="659"/>
        <v>15</v>
      </c>
      <c r="AR392" s="3"/>
      <c r="AS392" s="76">
        <f t="shared" si="542"/>
        <v>6.3492063492063489</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2</v>
      </c>
      <c r="H393" s="52">
        <f t="shared" si="640"/>
        <v>8.695652173913043</v>
      </c>
      <c r="I393" s="53">
        <f>COUNTIFS('00 Encuesta'!$B$2:$B$511,"*d)*",'00 Encuesta'!$C$2:$C$511,"*a)*",'00 Encuesta'!$E$2:$E$511,"*a)*",'00 Encuesta'!$AW$2:$AW$511,"*h)*")</f>
        <v>1</v>
      </c>
      <c r="J393" s="52">
        <f t="shared" si="641"/>
        <v>7.1428571428571423</v>
      </c>
      <c r="K393" s="53">
        <f>COUNTIFS('00 Encuesta'!$B$2:$B$511,"*d)*",'00 Encuesta'!$C$2:$C$511,"*a)*",'00 Encuesta'!$E$2:$E$511,"*b)*",'00 Encuesta'!$AW$2:$AW$511,"*h)*")</f>
        <v>1</v>
      </c>
      <c r="L393" s="52">
        <f t="shared" si="642"/>
        <v>11.111111111111111</v>
      </c>
      <c r="M393" s="23"/>
      <c r="N393" s="51">
        <f t="shared" si="643"/>
        <v>2</v>
      </c>
      <c r="O393" s="52">
        <f t="shared" si="644"/>
        <v>10</v>
      </c>
      <c r="P393" s="53">
        <f>COUNTIFS('00 Encuesta'!$B$2:$B$511,"*d)*",'00 Encuesta'!$C$2:$C$511,"*b)*",'00 Encuesta'!$E$2:$E$511,"*a)*",'00 Encuesta'!$AW$2:$AW$511,"*h)*")</f>
        <v>2</v>
      </c>
      <c r="Q393" s="52">
        <f t="shared" si="645"/>
        <v>28.571428571428569</v>
      </c>
      <c r="R393" s="53">
        <f>COUNTIFS('00 Encuesta'!$B$2:$B$511,"*d)*",'00 Encuesta'!$C$2:$C$511,"*b)*",'00 Encuesta'!$E$2:$E$511,"*b)*",'00 Encuesta'!$AW$2:$AW$511,"*h)*")</f>
        <v>0</v>
      </c>
      <c r="S393" s="52">
        <f t="shared" si="646"/>
        <v>0</v>
      </c>
      <c r="T393" s="3"/>
      <c r="U393" s="51">
        <f t="shared" si="647"/>
        <v>1</v>
      </c>
      <c r="V393" s="52">
        <f t="shared" si="648"/>
        <v>5</v>
      </c>
      <c r="W393" s="53">
        <f>COUNTIFS('00 Encuesta'!$B$2:$B$511,"*d)*",'00 Encuesta'!$C$2:$C$511,"*c)*",'00 Encuesta'!$E$2:$E$511,"*a)*",'00 Encuesta'!$AW$2:$AW$511,"*h)*")</f>
        <v>0</v>
      </c>
      <c r="X393" s="52">
        <f t="shared" si="649"/>
        <v>0</v>
      </c>
      <c r="Y393" s="53">
        <f>COUNTIFS('00 Encuesta'!$B$2:$B$511,"*d)*",'00 Encuesta'!$C$2:$C$511,"*c)*",'00 Encuesta'!$E$2:$E$511,"*b)*",'00 Encuesta'!$AW$2:$AW$511,"*h)*")</f>
        <v>1</v>
      </c>
      <c r="Z393" s="52">
        <f t="shared" si="650"/>
        <v>6.666666666666667</v>
      </c>
      <c r="AA393" s="3"/>
      <c r="AB393" s="62">
        <f t="shared" si="651"/>
        <v>5</v>
      </c>
      <c r="AC393" s="52">
        <f t="shared" si="652"/>
        <v>7.9365079365079367</v>
      </c>
      <c r="AD393" s="3"/>
      <c r="AE393" s="3"/>
      <c r="AF393" s="9" t="str">
        <f t="shared" si="653"/>
        <v>h) La responsabilidad social y servicio a los demás</v>
      </c>
      <c r="AG393" s="72">
        <f t="shared" si="660"/>
        <v>7.1428571428571423</v>
      </c>
      <c r="AH393" s="72">
        <f t="shared" si="661"/>
        <v>11.111111111111111</v>
      </c>
      <c r="AI393" s="73">
        <f t="shared" si="662"/>
        <v>8.695652173913043</v>
      </c>
      <c r="AJ393" s="73"/>
      <c r="AK393" s="76">
        <f t="shared" si="654"/>
        <v>28.571428571428569</v>
      </c>
      <c r="AL393" s="76">
        <f t="shared" si="655"/>
        <v>0</v>
      </c>
      <c r="AM393" s="76">
        <f t="shared" si="656"/>
        <v>10</v>
      </c>
      <c r="AN393" s="76"/>
      <c r="AO393" s="81">
        <f t="shared" si="657"/>
        <v>0</v>
      </c>
      <c r="AP393" s="81">
        <f t="shared" si="658"/>
        <v>6.666666666666667</v>
      </c>
      <c r="AQ393" s="81">
        <f t="shared" si="659"/>
        <v>5</v>
      </c>
      <c r="AR393" s="3"/>
      <c r="AS393" s="76">
        <f t="shared" si="542"/>
        <v>7.9365079365079367</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x14ac:dyDescent="0.3">
      <c r="A394" s="1" t="s">
        <v>65</v>
      </c>
      <c r="B394" s="2" t="s">
        <v>247</v>
      </c>
      <c r="C394" s="3"/>
      <c r="D394" s="3"/>
      <c r="E394" s="3"/>
      <c r="F394" s="4"/>
      <c r="G394" s="51">
        <f t="shared" si="639"/>
        <v>1</v>
      </c>
      <c r="H394" s="52">
        <f t="shared" si="640"/>
        <v>4.3478260869565215</v>
      </c>
      <c r="I394" s="53">
        <f>COUNTIFS('00 Encuesta'!$B$2:$B$511,"*d)*",'00 Encuesta'!$C$2:$C$511,"*a)*",'00 Encuesta'!$E$2:$E$511,"*a)*",'00 Encuesta'!$AW$2:$AW$511,"*i)*")</f>
        <v>1</v>
      </c>
      <c r="J394" s="52">
        <f t="shared" si="641"/>
        <v>7.1428571428571423</v>
      </c>
      <c r="K394" s="53">
        <f>COUNTIFS('00 Encuesta'!$B$2:$B$511,"*d)*",'00 Encuesta'!$C$2:$C$511,"*a)*",'00 Encuesta'!$E$2:$E$511,"*b)*",'00 Encuesta'!$AW$2:$AW$511,"*i)*")</f>
        <v>0</v>
      </c>
      <c r="L394" s="52">
        <f t="shared" si="642"/>
        <v>0</v>
      </c>
      <c r="M394" s="23"/>
      <c r="N394" s="51">
        <f t="shared" si="643"/>
        <v>1</v>
      </c>
      <c r="O394" s="52">
        <f t="shared" si="644"/>
        <v>5</v>
      </c>
      <c r="P394" s="53">
        <f>COUNTIFS('00 Encuesta'!$B$2:$B$511,"*d)*",'00 Encuesta'!$C$2:$C$511,"*b)*",'00 Encuesta'!$E$2:$E$511,"*a)*",'00 Encuesta'!$AW$2:$AW$511,"*i)*")</f>
        <v>1</v>
      </c>
      <c r="Q394" s="52">
        <f t="shared" si="645"/>
        <v>14.285714285714285</v>
      </c>
      <c r="R394" s="53">
        <f>COUNTIFS('00 Encuesta'!$B$2:$B$511,"*d)*",'00 Encuesta'!$C$2:$C$511,"*b)*",'00 Encuesta'!$E$2:$E$511,"*b)*",'00 Encuesta'!$AW$2:$AW$511,"*i)*")</f>
        <v>0</v>
      </c>
      <c r="S394" s="52">
        <f t="shared" si="646"/>
        <v>0</v>
      </c>
      <c r="T394" s="3"/>
      <c r="U394" s="51">
        <f t="shared" si="647"/>
        <v>1</v>
      </c>
      <c r="V394" s="52">
        <f t="shared" si="648"/>
        <v>5</v>
      </c>
      <c r="W394" s="53">
        <f>COUNTIFS('00 Encuesta'!$B$2:$B$511,"*d)*",'00 Encuesta'!$C$2:$C$511,"*c)*",'00 Encuesta'!$E$2:$E$511,"*a)*",'00 Encuesta'!$AW$2:$AW$511,"*i)*")</f>
        <v>1</v>
      </c>
      <c r="X394" s="52">
        <f t="shared" si="649"/>
        <v>20</v>
      </c>
      <c r="Y394" s="53">
        <f>COUNTIFS('00 Encuesta'!$B$2:$B$511,"*d)*",'00 Encuesta'!$C$2:$C$511,"*c)*",'00 Encuesta'!$E$2:$E$511,"*b)*",'00 Encuesta'!$AW$2:$AW$511,"*i)*")</f>
        <v>0</v>
      </c>
      <c r="Z394" s="52">
        <f t="shared" si="650"/>
        <v>0</v>
      </c>
      <c r="AA394" s="3"/>
      <c r="AB394" s="62">
        <f t="shared" si="651"/>
        <v>3</v>
      </c>
      <c r="AC394" s="52">
        <f t="shared" si="652"/>
        <v>4.7619047619047619</v>
      </c>
      <c r="AD394" s="3"/>
      <c r="AE394" s="3"/>
      <c r="AF394" s="9" t="str">
        <f t="shared" si="653"/>
        <v>i) En nada</v>
      </c>
      <c r="AG394" s="72">
        <f t="shared" si="660"/>
        <v>7.1428571428571423</v>
      </c>
      <c r="AH394" s="72">
        <f t="shared" si="661"/>
        <v>0</v>
      </c>
      <c r="AI394" s="73">
        <f t="shared" si="662"/>
        <v>4.3478260869565215</v>
      </c>
      <c r="AJ394" s="73"/>
      <c r="AK394" s="76">
        <f t="shared" si="654"/>
        <v>14.285714285714285</v>
      </c>
      <c r="AL394" s="76">
        <f t="shared" si="655"/>
        <v>0</v>
      </c>
      <c r="AM394" s="76">
        <f t="shared" si="656"/>
        <v>5</v>
      </c>
      <c r="AN394" s="76"/>
      <c r="AO394" s="81">
        <f t="shared" si="657"/>
        <v>20</v>
      </c>
      <c r="AP394" s="81">
        <f t="shared" si="658"/>
        <v>0</v>
      </c>
      <c r="AQ394" s="81">
        <f t="shared" si="659"/>
        <v>5</v>
      </c>
      <c r="AR394" s="3"/>
      <c r="AS394" s="76">
        <f t="shared" si="542"/>
        <v>4.7619047619047619</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x14ac:dyDescent="0.3">
      <c r="A397" s="1" t="s">
        <v>17</v>
      </c>
      <c r="B397" s="2" t="s">
        <v>249</v>
      </c>
      <c r="C397" s="3"/>
      <c r="D397" s="3"/>
      <c r="E397" s="3"/>
      <c r="F397" s="4"/>
      <c r="G397" s="51">
        <f t="shared" ref="G397:G404" si="663">I397+K397</f>
        <v>8</v>
      </c>
      <c r="H397" s="52">
        <f t="shared" ref="H397:H404" si="664">G397/$J$5*100</f>
        <v>34.782608695652172</v>
      </c>
      <c r="I397" s="53">
        <f>COUNTIFS('00 Encuesta'!$B$2:$B$511,"*d)*",'00 Encuesta'!$C$2:$C$511,"*a)*",'00 Encuesta'!$E$2:$E$511,"*a)*",'00 Encuesta'!$AX$2:$AX$511,"*a)*")</f>
        <v>5</v>
      </c>
      <c r="J397" s="52">
        <f t="shared" ref="J397:J404" si="665">I397/$J$6*100</f>
        <v>35.714285714285715</v>
      </c>
      <c r="K397" s="53">
        <f>COUNTIFS('00 Encuesta'!$B$2:$B$511,"*d)*",'00 Encuesta'!$C$2:$C$511,"*a)*",'00 Encuesta'!$E$2:$E$511,"*b)*",'00 Encuesta'!$AX$2:$AX$511,"*a)*")</f>
        <v>3</v>
      </c>
      <c r="L397" s="52">
        <f t="shared" ref="L397:L404" si="666">K397/$J$7*100</f>
        <v>33.333333333333329</v>
      </c>
      <c r="M397" s="23"/>
      <c r="N397" s="51">
        <f t="shared" ref="N397:N404" si="667">P397+R397</f>
        <v>4</v>
      </c>
      <c r="O397" s="52">
        <f t="shared" ref="O397:O404" si="668">N397/$Q$5*100</f>
        <v>20</v>
      </c>
      <c r="P397" s="53">
        <f>COUNTIFS('00 Encuesta'!$B$2:$B$511,"*d)*",'00 Encuesta'!$C$2:$C$511,"*b)*",'00 Encuesta'!$E$2:$E$511,"*a)*",'00 Encuesta'!$AX$2:$AX$511,"*a)*")</f>
        <v>2</v>
      </c>
      <c r="Q397" s="52">
        <f t="shared" ref="Q397:Q404" si="669">P397/$Q$6*100</f>
        <v>28.571428571428569</v>
      </c>
      <c r="R397" s="53">
        <f>COUNTIFS('00 Encuesta'!$B$2:$B$511,"*d)*",'00 Encuesta'!$C$2:$C$511,"*b)*",'00 Encuesta'!$E$2:$E$511,"*b)*",'00 Encuesta'!$AX$2:$AX$511,"*a)*")</f>
        <v>2</v>
      </c>
      <c r="S397" s="52">
        <f t="shared" ref="S397:S404" si="670">R397/$Q$7*100</f>
        <v>15.384615384615385</v>
      </c>
      <c r="T397" s="3"/>
      <c r="U397" s="51">
        <f t="shared" ref="U397:U404" si="671">W397+Y397</f>
        <v>3</v>
      </c>
      <c r="V397" s="52">
        <f t="shared" ref="V397:V404" si="672">U397/$X$5*100</f>
        <v>15</v>
      </c>
      <c r="W397" s="53">
        <f>COUNTIFS('00 Encuesta'!$B$2:$B$511,"*d)*",'00 Encuesta'!$C$2:$C$511,"*c)*",'00 Encuesta'!$E$2:$E$511,"*a)*",'00 Encuesta'!$AX$2:$AX$511,"*a)*")</f>
        <v>0</v>
      </c>
      <c r="X397" s="52">
        <f t="shared" ref="X397:X404" si="673">W397/$X$6*100</f>
        <v>0</v>
      </c>
      <c r="Y397" s="53">
        <f>COUNTIFS('00 Encuesta'!$B$2:$B$511,"*d)*",'00 Encuesta'!$C$2:$C$511,"*c)*",'00 Encuesta'!$E$2:$E$511,"*b)*",'00 Encuesta'!$AX$2:$AX$511,"*a)*")</f>
        <v>3</v>
      </c>
      <c r="Z397" s="52">
        <f t="shared" ref="Z397:Z404" si="674">Y397/$X$7*100</f>
        <v>20</v>
      </c>
      <c r="AA397" s="3"/>
      <c r="AB397" s="62">
        <f t="shared" ref="AB397:AB404" si="675">G397+N397+U397</f>
        <v>15</v>
      </c>
      <c r="AC397" s="52">
        <f t="shared" ref="AC397:AC404" si="676">AB397*100/$AC$5</f>
        <v>23.80952380952381</v>
      </c>
      <c r="AD397" s="3"/>
      <c r="AE397" s="3"/>
      <c r="AF397" s="9" t="str">
        <f t="shared" ref="AF397:AF404" si="677">A397&amp;" "&amp;B397</f>
        <v>a) Que sea un buen profesional</v>
      </c>
      <c r="AG397" s="72">
        <f t="shared" ref="AG397:AG404" si="678">J397</f>
        <v>35.714285714285715</v>
      </c>
      <c r="AH397" s="72">
        <f t="shared" ref="AH397:AH404" si="679">L397</f>
        <v>33.333333333333329</v>
      </c>
      <c r="AI397" s="73">
        <f t="shared" ref="AI397:AI404" si="680">H397</f>
        <v>34.782608695652172</v>
      </c>
      <c r="AJ397" s="73"/>
      <c r="AK397" s="76">
        <f t="shared" ref="AK397:AK404" si="681">Q397</f>
        <v>28.571428571428569</v>
      </c>
      <c r="AL397" s="76">
        <f t="shared" ref="AL397:AL404" si="682">S397</f>
        <v>15.384615384615385</v>
      </c>
      <c r="AM397" s="76">
        <f t="shared" ref="AM397:AM404" si="683">O397</f>
        <v>20</v>
      </c>
      <c r="AN397" s="76"/>
      <c r="AO397" s="81">
        <f t="shared" ref="AO397:AO404" si="684">X397</f>
        <v>0</v>
      </c>
      <c r="AP397" s="81">
        <f t="shared" ref="AP397:AP404" si="685">Z397</f>
        <v>20</v>
      </c>
      <c r="AQ397" s="81">
        <f t="shared" ref="AQ397:AQ404" si="686">V397</f>
        <v>15</v>
      </c>
      <c r="AR397" s="3"/>
      <c r="AS397" s="76">
        <f t="shared" si="542"/>
        <v>23.80952380952381</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5</v>
      </c>
      <c r="H398" s="52">
        <f t="shared" si="664"/>
        <v>21.739130434782609</v>
      </c>
      <c r="I398" s="53">
        <f>COUNTIFS('00 Encuesta'!$B$2:$B$511,"*d)*",'00 Encuesta'!$C$2:$C$511,"*a)*",'00 Encuesta'!$E$2:$E$511,"*a)*",'00 Encuesta'!$AX$2:$AX$511,"*b)*")</f>
        <v>2</v>
      </c>
      <c r="J398" s="52">
        <f t="shared" si="665"/>
        <v>14.285714285714285</v>
      </c>
      <c r="K398" s="53">
        <f>COUNTIFS('00 Encuesta'!$B$2:$B$511,"*d)*",'00 Encuesta'!$C$2:$C$511,"*a)*",'00 Encuesta'!$E$2:$E$511,"*b)*",'00 Encuesta'!$AX$2:$AX$511,"*b)*")</f>
        <v>3</v>
      </c>
      <c r="L398" s="52">
        <f t="shared" si="666"/>
        <v>33.333333333333329</v>
      </c>
      <c r="M398" s="23"/>
      <c r="N398" s="51">
        <f t="shared" si="667"/>
        <v>9</v>
      </c>
      <c r="O398" s="52">
        <f t="shared" si="668"/>
        <v>45</v>
      </c>
      <c r="P398" s="53">
        <f>COUNTIFS('00 Encuesta'!$B$2:$B$511,"*d)*",'00 Encuesta'!$C$2:$C$511,"*b)*",'00 Encuesta'!$E$2:$E$511,"*a)*",'00 Encuesta'!$AX$2:$AX$511,"*b)*")</f>
        <v>2</v>
      </c>
      <c r="Q398" s="52">
        <f t="shared" si="669"/>
        <v>28.571428571428569</v>
      </c>
      <c r="R398" s="53">
        <f>COUNTIFS('00 Encuesta'!$B$2:$B$511,"*d)*",'00 Encuesta'!$C$2:$C$511,"*b)*",'00 Encuesta'!$E$2:$E$511,"*b)*",'00 Encuesta'!$AX$2:$AX$511,"*b)*")</f>
        <v>7</v>
      </c>
      <c r="S398" s="52">
        <f t="shared" si="670"/>
        <v>53.846153846153847</v>
      </c>
      <c r="T398" s="3"/>
      <c r="U398" s="51">
        <f t="shared" si="671"/>
        <v>5</v>
      </c>
      <c r="V398" s="52">
        <f t="shared" si="672"/>
        <v>25</v>
      </c>
      <c r="W398" s="53">
        <f>COUNTIFS('00 Encuesta'!$B$2:$B$511,"*d)*",'00 Encuesta'!$C$2:$C$511,"*c)*",'00 Encuesta'!$E$2:$E$511,"*a)*",'00 Encuesta'!$AX$2:$AX$511,"*b)*")</f>
        <v>2</v>
      </c>
      <c r="X398" s="52">
        <f t="shared" si="673"/>
        <v>40</v>
      </c>
      <c r="Y398" s="53">
        <f>COUNTIFS('00 Encuesta'!$B$2:$B$511,"*d)*",'00 Encuesta'!$C$2:$C$511,"*c)*",'00 Encuesta'!$E$2:$E$511,"*b)*",'00 Encuesta'!$AX$2:$AX$511,"*b)*")</f>
        <v>3</v>
      </c>
      <c r="Z398" s="52">
        <f t="shared" si="674"/>
        <v>20</v>
      </c>
      <c r="AA398" s="3"/>
      <c r="AB398" s="62">
        <f t="shared" si="675"/>
        <v>19</v>
      </c>
      <c r="AC398" s="52">
        <f t="shared" si="676"/>
        <v>30.158730158730158</v>
      </c>
      <c r="AD398" s="3"/>
      <c r="AE398" s="3"/>
      <c r="AF398" s="9" t="str">
        <f t="shared" si="677"/>
        <v>b) Darme una buena ocupaciòn</v>
      </c>
      <c r="AG398" s="72">
        <f t="shared" si="678"/>
        <v>14.285714285714285</v>
      </c>
      <c r="AH398" s="72">
        <f t="shared" si="679"/>
        <v>33.333333333333329</v>
      </c>
      <c r="AI398" s="73">
        <f t="shared" si="680"/>
        <v>21.739130434782609</v>
      </c>
      <c r="AJ398" s="73"/>
      <c r="AK398" s="76">
        <f t="shared" si="681"/>
        <v>28.571428571428569</v>
      </c>
      <c r="AL398" s="76">
        <f t="shared" si="682"/>
        <v>53.846153846153847</v>
      </c>
      <c r="AM398" s="76">
        <f t="shared" si="683"/>
        <v>45</v>
      </c>
      <c r="AN398" s="76"/>
      <c r="AO398" s="81">
        <f t="shared" si="684"/>
        <v>40</v>
      </c>
      <c r="AP398" s="81">
        <f t="shared" si="685"/>
        <v>20</v>
      </c>
      <c r="AQ398" s="81">
        <f t="shared" si="686"/>
        <v>25</v>
      </c>
      <c r="AR398" s="3"/>
      <c r="AS398" s="76">
        <f t="shared" si="542"/>
        <v>30.158730158730158</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2</v>
      </c>
      <c r="H399" s="52">
        <f t="shared" si="664"/>
        <v>8.695652173913043</v>
      </c>
      <c r="I399" s="53">
        <f>COUNTIFS('00 Encuesta'!$B$2:$B$511,"*d)*",'00 Encuesta'!$C$2:$C$511,"*a)*",'00 Encuesta'!$E$2:$E$511,"*a)*",'00 Encuesta'!$AX$2:$AX$511,"*c)*")</f>
        <v>2</v>
      </c>
      <c r="J399" s="52">
        <f t="shared" si="665"/>
        <v>14.285714285714285</v>
      </c>
      <c r="K399" s="53">
        <f>COUNTIFS('00 Encuesta'!$B$2:$B$511,"*d)*",'00 Encuesta'!$C$2:$C$511,"*a)*",'00 Encuesta'!$E$2:$E$511,"*b)*",'00 Encuesta'!$AX$2:$AX$511,"*c)*")</f>
        <v>0</v>
      </c>
      <c r="L399" s="52">
        <f t="shared" si="666"/>
        <v>0</v>
      </c>
      <c r="M399" s="23"/>
      <c r="N399" s="51">
        <f t="shared" si="667"/>
        <v>1</v>
      </c>
      <c r="O399" s="52">
        <f t="shared" si="668"/>
        <v>5</v>
      </c>
      <c r="P399" s="53">
        <f>COUNTIFS('00 Encuesta'!$B$2:$B$511,"*d)*",'00 Encuesta'!$C$2:$C$511,"*b)*",'00 Encuesta'!$E$2:$E$511,"*a)*",'00 Encuesta'!$AX$2:$AX$511,"*c)*")</f>
        <v>1</v>
      </c>
      <c r="Q399" s="52">
        <f t="shared" si="669"/>
        <v>14.285714285714285</v>
      </c>
      <c r="R399" s="53">
        <f>COUNTIFS('00 Encuesta'!$B$2:$B$511,"*d)*",'00 Encuesta'!$C$2:$C$511,"*b)*",'00 Encuesta'!$E$2:$E$511,"*b)*",'00 Encuesta'!$AX$2:$AX$511,"*c)*")</f>
        <v>0</v>
      </c>
      <c r="S399" s="52">
        <f t="shared" si="670"/>
        <v>0</v>
      </c>
      <c r="T399" s="3"/>
      <c r="U399" s="51">
        <f t="shared" si="671"/>
        <v>4</v>
      </c>
      <c r="V399" s="52">
        <f t="shared" si="672"/>
        <v>20</v>
      </c>
      <c r="W399" s="53">
        <f>COUNTIFS('00 Encuesta'!$B$2:$B$511,"*d)*",'00 Encuesta'!$C$2:$C$511,"*c)*",'00 Encuesta'!$E$2:$E$511,"*a)*",'00 Encuesta'!$AX$2:$AX$511,"*c)*")</f>
        <v>1</v>
      </c>
      <c r="X399" s="52">
        <f t="shared" si="673"/>
        <v>20</v>
      </c>
      <c r="Y399" s="53">
        <f>COUNTIFS('00 Encuesta'!$B$2:$B$511,"*d)*",'00 Encuesta'!$C$2:$C$511,"*c)*",'00 Encuesta'!$E$2:$E$511,"*b)*",'00 Encuesta'!$AX$2:$AX$511,"*c)*")</f>
        <v>3</v>
      </c>
      <c r="Z399" s="52">
        <f t="shared" si="674"/>
        <v>20</v>
      </c>
      <c r="AA399" s="3"/>
      <c r="AB399" s="62">
        <f>G399+N399+U399</f>
        <v>7</v>
      </c>
      <c r="AC399" s="52">
        <f t="shared" si="676"/>
        <v>11.111111111111111</v>
      </c>
      <c r="AD399" s="3"/>
      <c r="AE399" s="3"/>
      <c r="AF399" s="9" t="str">
        <f t="shared" si="677"/>
        <v>c) Que me preocupe de los demàs</v>
      </c>
      <c r="AG399" s="72">
        <f t="shared" si="678"/>
        <v>14.285714285714285</v>
      </c>
      <c r="AH399" s="72">
        <f t="shared" si="679"/>
        <v>0</v>
      </c>
      <c r="AI399" s="73">
        <f t="shared" si="680"/>
        <v>8.695652173913043</v>
      </c>
      <c r="AJ399" s="73"/>
      <c r="AK399" s="76">
        <f t="shared" si="681"/>
        <v>14.285714285714285</v>
      </c>
      <c r="AL399" s="76">
        <f t="shared" si="682"/>
        <v>0</v>
      </c>
      <c r="AM399" s="76">
        <f t="shared" si="683"/>
        <v>5</v>
      </c>
      <c r="AN399" s="76"/>
      <c r="AO399" s="81">
        <f t="shared" si="684"/>
        <v>20</v>
      </c>
      <c r="AP399" s="81">
        <f t="shared" si="685"/>
        <v>20</v>
      </c>
      <c r="AQ399" s="81">
        <f t="shared" si="686"/>
        <v>20</v>
      </c>
      <c r="AR399" s="3"/>
      <c r="AS399" s="76">
        <f t="shared" si="542"/>
        <v>11.111111111111111</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1</v>
      </c>
      <c r="H400" s="52">
        <f t="shared" si="664"/>
        <v>4.3478260869565215</v>
      </c>
      <c r="I400" s="53">
        <f>COUNTIFS('00 Encuesta'!$B$2:$B$511,"*d)*",'00 Encuesta'!$C$2:$C$511,"*a)*",'00 Encuesta'!$E$2:$E$511,"*a)*",'00 Encuesta'!$AX$2:$AX$511,"*d)*")</f>
        <v>1</v>
      </c>
      <c r="J400" s="52">
        <f t="shared" si="665"/>
        <v>7.1428571428571423</v>
      </c>
      <c r="K400" s="53">
        <f>COUNTIFS('00 Encuesta'!$B$2:$B$511,"*d)*",'00 Encuesta'!$C$2:$C$511,"*a)*",'00 Encuesta'!$E$2:$E$511,"*b)*",'00 Encuesta'!$AX$2:$AX$511,"*d)*")</f>
        <v>0</v>
      </c>
      <c r="L400" s="52">
        <f t="shared" si="666"/>
        <v>0</v>
      </c>
      <c r="M400" s="23"/>
      <c r="N400" s="51">
        <f t="shared" si="667"/>
        <v>0</v>
      </c>
      <c r="O400" s="52">
        <f t="shared" si="668"/>
        <v>0</v>
      </c>
      <c r="P400" s="53">
        <f>COUNTIFS('00 Encuesta'!$B$2:$B$511,"*d)*",'00 Encuesta'!$C$2:$C$511,"*b)*",'00 Encuesta'!$E$2:$E$511,"*a)*",'00 Encuesta'!$AX$2:$AX$511,"*d)*")</f>
        <v>0</v>
      </c>
      <c r="Q400" s="52">
        <f t="shared" si="669"/>
        <v>0</v>
      </c>
      <c r="R400" s="53">
        <f>COUNTIFS('00 Encuesta'!$B$2:$B$511,"*d)*",'00 Encuesta'!$C$2:$C$511,"*b)*",'00 Encuesta'!$E$2:$E$511,"*b)*",'00 Encuesta'!$AX$2:$AX$511,"*d)*")</f>
        <v>0</v>
      </c>
      <c r="S400" s="52">
        <f t="shared" si="670"/>
        <v>0</v>
      </c>
      <c r="T400" s="3"/>
      <c r="U400" s="51">
        <f t="shared" si="671"/>
        <v>1</v>
      </c>
      <c r="V400" s="52">
        <f t="shared" si="672"/>
        <v>5</v>
      </c>
      <c r="W400" s="53">
        <f>COUNTIFS('00 Encuesta'!$B$2:$B$511,"*d)*",'00 Encuesta'!$C$2:$C$511,"*c)*",'00 Encuesta'!$E$2:$E$511,"*a)*",'00 Encuesta'!$AX$2:$AX$511,"*d)*")</f>
        <v>1</v>
      </c>
      <c r="X400" s="52">
        <f t="shared" si="673"/>
        <v>20</v>
      </c>
      <c r="Y400" s="53">
        <f>COUNTIFS('00 Encuesta'!$B$2:$B$511,"*d)*",'00 Encuesta'!$C$2:$C$511,"*c)*",'00 Encuesta'!$E$2:$E$511,"*b)*",'00 Encuesta'!$AX$2:$AX$511,"*d)*")</f>
        <v>0</v>
      </c>
      <c r="Z400" s="52">
        <f t="shared" si="674"/>
        <v>0</v>
      </c>
      <c r="AA400" s="3"/>
      <c r="AB400" s="62">
        <f t="shared" si="675"/>
        <v>2</v>
      </c>
      <c r="AC400" s="52">
        <f t="shared" si="676"/>
        <v>3.1746031746031744</v>
      </c>
      <c r="AD400" s="3"/>
      <c r="AE400" s="3"/>
      <c r="AF400" s="9" t="str">
        <f t="shared" si="677"/>
        <v>d) Que ayude econòmicamente a la familia</v>
      </c>
      <c r="AG400" s="72">
        <f t="shared" si="678"/>
        <v>7.1428571428571423</v>
      </c>
      <c r="AH400" s="72">
        <f t="shared" si="679"/>
        <v>0</v>
      </c>
      <c r="AI400" s="73">
        <f t="shared" si="680"/>
        <v>4.3478260869565215</v>
      </c>
      <c r="AJ400" s="73"/>
      <c r="AK400" s="76">
        <f t="shared" si="681"/>
        <v>0</v>
      </c>
      <c r="AL400" s="76">
        <f t="shared" si="682"/>
        <v>0</v>
      </c>
      <c r="AM400" s="76">
        <f t="shared" si="683"/>
        <v>0</v>
      </c>
      <c r="AN400" s="76"/>
      <c r="AO400" s="81">
        <f t="shared" si="684"/>
        <v>20</v>
      </c>
      <c r="AP400" s="81">
        <f t="shared" si="685"/>
        <v>0</v>
      </c>
      <c r="AQ400" s="81">
        <f t="shared" si="686"/>
        <v>5</v>
      </c>
      <c r="AR400" s="3"/>
      <c r="AS400" s="76">
        <f t="shared" si="542"/>
        <v>3.1746031746031744</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x14ac:dyDescent="0.3">
      <c r="A401" s="1" t="s">
        <v>22</v>
      </c>
      <c r="B401" s="2" t="s">
        <v>253</v>
      </c>
      <c r="C401" s="3"/>
      <c r="D401" s="3"/>
      <c r="E401" s="3"/>
      <c r="F401" s="4"/>
      <c r="G401" s="51">
        <f t="shared" si="663"/>
        <v>3</v>
      </c>
      <c r="H401" s="52">
        <f t="shared" si="664"/>
        <v>13.043478260869565</v>
      </c>
      <c r="I401" s="53">
        <f>COUNTIFS('00 Encuesta'!$B$2:$B$511,"*d)*",'00 Encuesta'!$C$2:$C$511,"*a)*",'00 Encuesta'!$E$2:$E$511,"*a)*",'00 Encuesta'!$AX$2:$AX$511,"*e)*")</f>
        <v>2</v>
      </c>
      <c r="J401" s="52">
        <f t="shared" si="665"/>
        <v>14.285714285714285</v>
      </c>
      <c r="K401" s="53">
        <f>COUNTIFS('00 Encuesta'!$B$2:$B$511,"*d)*",'00 Encuesta'!$C$2:$C$511,"*a)*",'00 Encuesta'!$E$2:$E$511,"*b)*",'00 Encuesta'!$AX$2:$AX$511,"*e)*")</f>
        <v>1</v>
      </c>
      <c r="L401" s="52">
        <f t="shared" si="666"/>
        <v>11.111111111111111</v>
      </c>
      <c r="M401" s="23"/>
      <c r="N401" s="51">
        <f t="shared" si="667"/>
        <v>3</v>
      </c>
      <c r="O401" s="52">
        <f t="shared" si="668"/>
        <v>15</v>
      </c>
      <c r="P401" s="53">
        <f>COUNTIFS('00 Encuesta'!$B$2:$B$511,"*d)*",'00 Encuesta'!$C$2:$C$511,"*b)*",'00 Encuesta'!$E$2:$E$511,"*a)*",'00 Encuesta'!$AX$2:$AX$511,"*e)*")</f>
        <v>1</v>
      </c>
      <c r="Q401" s="52">
        <f t="shared" si="669"/>
        <v>14.285714285714285</v>
      </c>
      <c r="R401" s="53">
        <f>COUNTIFS('00 Encuesta'!$B$2:$B$511,"*d)*",'00 Encuesta'!$C$2:$C$511,"*b)*",'00 Encuesta'!$E$2:$E$511,"*b)*",'00 Encuesta'!$AX$2:$AX$511,"*e)*")</f>
        <v>2</v>
      </c>
      <c r="S401" s="52">
        <f t="shared" si="670"/>
        <v>15.384615384615385</v>
      </c>
      <c r="T401" s="3"/>
      <c r="U401" s="51">
        <f t="shared" si="671"/>
        <v>4</v>
      </c>
      <c r="V401" s="52">
        <f t="shared" si="672"/>
        <v>20</v>
      </c>
      <c r="W401" s="53">
        <f>COUNTIFS('00 Encuesta'!$B$2:$B$511,"*d)*",'00 Encuesta'!$C$2:$C$511,"*c)*",'00 Encuesta'!$E$2:$E$511,"*a)*",'00 Encuesta'!$AX$2:$AX$511,"*e)*")</f>
        <v>1</v>
      </c>
      <c r="X401" s="52">
        <f t="shared" si="673"/>
        <v>20</v>
      </c>
      <c r="Y401" s="53">
        <f>COUNTIFS('00 Encuesta'!$B$2:$B$511,"*d)*",'00 Encuesta'!$C$2:$C$511,"*c)*",'00 Encuesta'!$E$2:$E$511,"*b)*",'00 Encuesta'!$AX$2:$AX$511,"*e)*")</f>
        <v>3</v>
      </c>
      <c r="Z401" s="52">
        <f t="shared" si="674"/>
        <v>20</v>
      </c>
      <c r="AA401" s="3"/>
      <c r="AB401" s="62">
        <f t="shared" si="675"/>
        <v>10</v>
      </c>
      <c r="AC401" s="52">
        <f t="shared" si="676"/>
        <v>15.873015873015873</v>
      </c>
      <c r="AD401" s="3"/>
      <c r="AE401" s="3"/>
      <c r="AF401" s="9" t="str">
        <f t="shared" si="677"/>
        <v>e) Que sea cristiano responsable</v>
      </c>
      <c r="AG401" s="72">
        <f t="shared" si="678"/>
        <v>14.285714285714285</v>
      </c>
      <c r="AH401" s="72">
        <f t="shared" si="679"/>
        <v>11.111111111111111</v>
      </c>
      <c r="AI401" s="73">
        <f t="shared" si="680"/>
        <v>13.043478260869565</v>
      </c>
      <c r="AJ401" s="73"/>
      <c r="AK401" s="76">
        <f t="shared" si="681"/>
        <v>14.285714285714285</v>
      </c>
      <c r="AL401" s="76">
        <f t="shared" si="682"/>
        <v>15.384615384615385</v>
      </c>
      <c r="AM401" s="76">
        <f t="shared" si="683"/>
        <v>15</v>
      </c>
      <c r="AN401" s="76"/>
      <c r="AO401" s="81">
        <f t="shared" si="684"/>
        <v>20</v>
      </c>
      <c r="AP401" s="81">
        <f t="shared" si="685"/>
        <v>20</v>
      </c>
      <c r="AQ401" s="81">
        <f t="shared" si="686"/>
        <v>20</v>
      </c>
      <c r="AR401" s="3"/>
      <c r="AS401" s="76">
        <f t="shared" si="542"/>
        <v>15.873015873015873</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x14ac:dyDescent="0.3">
      <c r="A402" s="1" t="s">
        <v>45</v>
      </c>
      <c r="B402" s="2" t="s">
        <v>254</v>
      </c>
      <c r="C402" s="3"/>
      <c r="D402" s="3"/>
      <c r="E402" s="3"/>
      <c r="F402" s="4"/>
      <c r="G402" s="51">
        <f t="shared" si="663"/>
        <v>3</v>
      </c>
      <c r="H402" s="52">
        <f t="shared" si="664"/>
        <v>13.043478260869565</v>
      </c>
      <c r="I402" s="53">
        <f>COUNTIFS('00 Encuesta'!$B$2:$B$511,"*d)*",'00 Encuesta'!$C$2:$C$511,"*a)*",'00 Encuesta'!$E$2:$E$511,"*a)*",'00 Encuesta'!$AX$2:$AX$511,"*f)*")</f>
        <v>1</v>
      </c>
      <c r="J402" s="52">
        <f t="shared" si="665"/>
        <v>7.1428571428571423</v>
      </c>
      <c r="K402" s="53">
        <f>COUNTIFS('00 Encuesta'!$B$2:$B$511,"*d)*",'00 Encuesta'!$C$2:$C$511,"*a)*",'00 Encuesta'!$E$2:$E$511,"*b)*",'00 Encuesta'!$AX$2:$AX$511,"*f)*")</f>
        <v>2</v>
      </c>
      <c r="L402" s="52">
        <f t="shared" si="666"/>
        <v>22.222222222222221</v>
      </c>
      <c r="M402" s="23"/>
      <c r="N402" s="51">
        <f t="shared" si="667"/>
        <v>1</v>
      </c>
      <c r="O402" s="52">
        <f t="shared" si="668"/>
        <v>5</v>
      </c>
      <c r="P402" s="53">
        <f>COUNTIFS('00 Encuesta'!$B$2:$B$511,"*d)*",'00 Encuesta'!$C$2:$C$511,"*b)*",'00 Encuesta'!$E$2:$E$511,"*a)*",'00 Encuesta'!$AX$2:$AX$511,"*f)*")</f>
        <v>0</v>
      </c>
      <c r="Q402" s="52">
        <f t="shared" si="669"/>
        <v>0</v>
      </c>
      <c r="R402" s="53">
        <f>COUNTIFS('00 Encuesta'!$B$2:$B$511,"*d)*",'00 Encuesta'!$C$2:$C$511,"*b)*",'00 Encuesta'!$E$2:$E$511,"*b)*",'00 Encuesta'!$AX$2:$AX$511,"*f)*")</f>
        <v>1</v>
      </c>
      <c r="S402" s="52">
        <f t="shared" si="670"/>
        <v>7.6923076923076925</v>
      </c>
      <c r="T402" s="3"/>
      <c r="U402" s="51">
        <f t="shared" si="671"/>
        <v>1</v>
      </c>
      <c r="V402" s="52">
        <f t="shared" si="672"/>
        <v>5</v>
      </c>
      <c r="W402" s="53">
        <f>COUNTIFS('00 Encuesta'!$B$2:$B$511,"*d)*",'00 Encuesta'!$C$2:$C$511,"*c)*",'00 Encuesta'!$E$2:$E$511,"*a)*",'00 Encuesta'!$AX$2:$AX$511,"*f)*")</f>
        <v>0</v>
      </c>
      <c r="X402" s="52">
        <f t="shared" si="673"/>
        <v>0</v>
      </c>
      <c r="Y402" s="53">
        <f>COUNTIFS('00 Encuesta'!$B$2:$B$511,"*d)*",'00 Encuesta'!$C$2:$C$511,"*c)*",'00 Encuesta'!$E$2:$E$511,"*b)*",'00 Encuesta'!$AX$2:$AX$511,"*f)*")</f>
        <v>1</v>
      </c>
      <c r="Z402" s="52">
        <f t="shared" si="674"/>
        <v>6.666666666666667</v>
      </c>
      <c r="AA402" s="3"/>
      <c r="AB402" s="62">
        <f t="shared" si="675"/>
        <v>5</v>
      </c>
      <c r="AC402" s="52">
        <f t="shared" si="676"/>
        <v>7.9365079365079367</v>
      </c>
      <c r="AD402" s="3"/>
      <c r="AE402" s="3"/>
      <c r="AF402" s="9" t="str">
        <f t="shared" si="677"/>
        <v>f) Que tenga honradez en la vida</v>
      </c>
      <c r="AG402" s="72">
        <f t="shared" si="678"/>
        <v>7.1428571428571423</v>
      </c>
      <c r="AH402" s="72">
        <f t="shared" si="679"/>
        <v>22.222222222222221</v>
      </c>
      <c r="AI402" s="73">
        <f t="shared" si="680"/>
        <v>13.043478260869565</v>
      </c>
      <c r="AJ402" s="73"/>
      <c r="AK402" s="76">
        <f t="shared" si="681"/>
        <v>0</v>
      </c>
      <c r="AL402" s="76">
        <f t="shared" si="682"/>
        <v>7.6923076923076925</v>
      </c>
      <c r="AM402" s="76">
        <f t="shared" si="683"/>
        <v>5</v>
      </c>
      <c r="AN402" s="76"/>
      <c r="AO402" s="81">
        <f t="shared" si="684"/>
        <v>0</v>
      </c>
      <c r="AP402" s="81">
        <f t="shared" si="685"/>
        <v>6.666666666666667</v>
      </c>
      <c r="AQ402" s="81">
        <f t="shared" si="686"/>
        <v>5</v>
      </c>
      <c r="AR402" s="3"/>
      <c r="AS402" s="76">
        <f t="shared" si="542"/>
        <v>7.9365079365079367</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1</v>
      </c>
      <c r="H403" s="52">
        <f t="shared" si="664"/>
        <v>4.3478260869565215</v>
      </c>
      <c r="I403" s="53">
        <f>COUNTIFS('00 Encuesta'!$B$2:$B$511,"*d)*",'00 Encuesta'!$C$2:$C$511,"*a)*",'00 Encuesta'!$E$2:$E$511,"*a)*",'00 Encuesta'!$AX$2:$AX$511,"*g)*")</f>
        <v>1</v>
      </c>
      <c r="J403" s="52">
        <f t="shared" si="665"/>
        <v>7.1428571428571423</v>
      </c>
      <c r="K403" s="53">
        <f>COUNTIFS('00 Encuesta'!$B$2:$B$511,"*d)*",'00 Encuesta'!$C$2:$C$511,"*a)*",'00 Encuesta'!$E$2:$E$511,"*b)*",'00 Encuesta'!$AX$2:$AX$511,"*g)*")</f>
        <v>0</v>
      </c>
      <c r="L403" s="52">
        <f t="shared" si="666"/>
        <v>0</v>
      </c>
      <c r="M403" s="23"/>
      <c r="N403" s="51">
        <f t="shared" si="667"/>
        <v>0</v>
      </c>
      <c r="O403" s="52">
        <f t="shared" si="668"/>
        <v>0</v>
      </c>
      <c r="P403" s="53">
        <f>COUNTIFS('00 Encuesta'!$B$2:$B$511,"*d)*",'00 Encuesta'!$C$2:$C$511,"*b)*",'00 Encuesta'!$E$2:$E$511,"*a)*",'00 Encuesta'!$AX$2:$AX$511,"*g)*")</f>
        <v>0</v>
      </c>
      <c r="Q403" s="52">
        <f t="shared" si="669"/>
        <v>0</v>
      </c>
      <c r="R403" s="53">
        <f>COUNTIFS('00 Encuesta'!$B$2:$B$511,"*d)*",'00 Encuesta'!$C$2:$C$511,"*b)*",'00 Encuesta'!$E$2:$E$511,"*b)*",'00 Encuesta'!$AX$2:$AX$511,"*g)*")</f>
        <v>0</v>
      </c>
      <c r="S403" s="52">
        <f t="shared" si="670"/>
        <v>0</v>
      </c>
      <c r="T403" s="3"/>
      <c r="U403" s="51">
        <f t="shared" si="671"/>
        <v>1</v>
      </c>
      <c r="V403" s="52">
        <f t="shared" si="672"/>
        <v>5</v>
      </c>
      <c r="W403" s="53">
        <f>COUNTIFS('00 Encuesta'!$B$2:$B$511,"*d)*",'00 Encuesta'!$C$2:$C$511,"*c)*",'00 Encuesta'!$E$2:$E$511,"*a)*",'00 Encuesta'!$AX$2:$AX$511,"*g)*")</f>
        <v>0</v>
      </c>
      <c r="X403" s="52">
        <f t="shared" si="673"/>
        <v>0</v>
      </c>
      <c r="Y403" s="53">
        <f>COUNTIFS('00 Encuesta'!$B$2:$B$511,"*d)*",'00 Encuesta'!$C$2:$C$511,"*c)*",'00 Encuesta'!$E$2:$E$511,"*b)*",'00 Encuesta'!$AX$2:$AX$511,"*g)*")</f>
        <v>1</v>
      </c>
      <c r="Z403" s="52">
        <f t="shared" si="674"/>
        <v>6.666666666666667</v>
      </c>
      <c r="AA403" s="3"/>
      <c r="AB403" s="62">
        <f t="shared" si="675"/>
        <v>2</v>
      </c>
      <c r="AC403" s="52">
        <f t="shared" si="676"/>
        <v>3.1746031746031744</v>
      </c>
      <c r="AD403" s="3"/>
      <c r="AE403" s="3"/>
      <c r="AF403" s="9" t="str">
        <f t="shared" si="677"/>
        <v>g) No tienen una preocupaciòn especial</v>
      </c>
      <c r="AG403" s="72">
        <f t="shared" si="678"/>
        <v>7.1428571428571423</v>
      </c>
      <c r="AH403" s="72">
        <f t="shared" si="679"/>
        <v>0</v>
      </c>
      <c r="AI403" s="73">
        <f t="shared" si="680"/>
        <v>4.3478260869565215</v>
      </c>
      <c r="AJ403" s="73"/>
      <c r="AK403" s="76">
        <f t="shared" si="681"/>
        <v>0</v>
      </c>
      <c r="AL403" s="76">
        <f t="shared" si="682"/>
        <v>0</v>
      </c>
      <c r="AM403" s="76">
        <f t="shared" si="683"/>
        <v>0</v>
      </c>
      <c r="AN403" s="76"/>
      <c r="AO403" s="81">
        <f t="shared" si="684"/>
        <v>0</v>
      </c>
      <c r="AP403" s="81">
        <f t="shared" si="685"/>
        <v>6.666666666666667</v>
      </c>
      <c r="AQ403" s="81">
        <f t="shared" si="686"/>
        <v>5</v>
      </c>
      <c r="AR403" s="3"/>
      <c r="AS403" s="76">
        <f t="shared" si="542"/>
        <v>3.1746031746031744</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0</v>
      </c>
      <c r="H404" s="52">
        <f t="shared" si="664"/>
        <v>0</v>
      </c>
      <c r="I404" s="53">
        <f>COUNTIFS('00 Encuesta'!$B$2:$B$511,"*d)*",'00 Encuesta'!$C$2:$C$511,"*a)*",'00 Encuesta'!$E$2:$E$511,"*a)*",'00 Encuesta'!$AX$2:$AX$511,"*h)*")</f>
        <v>0</v>
      </c>
      <c r="J404" s="52">
        <f t="shared" si="665"/>
        <v>0</v>
      </c>
      <c r="K404" s="53">
        <f>COUNTIFS('00 Encuesta'!$B$2:$B$511,"*d)*",'00 Encuesta'!$C$2:$C$511,"*a)*",'00 Encuesta'!$E$2:$E$511,"*b)*",'00 Encuesta'!$AX$2:$AX$511,"*h)*")</f>
        <v>0</v>
      </c>
      <c r="L404" s="52">
        <f t="shared" si="666"/>
        <v>0</v>
      </c>
      <c r="M404" s="23"/>
      <c r="N404" s="51">
        <f t="shared" si="667"/>
        <v>2</v>
      </c>
      <c r="O404" s="52">
        <f t="shared" si="668"/>
        <v>10</v>
      </c>
      <c r="P404" s="53">
        <f>COUNTIFS('00 Encuesta'!$B$2:$B$511,"*d)*",'00 Encuesta'!$C$2:$C$511,"*b)*",'00 Encuesta'!$E$2:$E$511,"*a)*",'00 Encuesta'!$AX$2:$AX$511,"*h)*")</f>
        <v>1</v>
      </c>
      <c r="Q404" s="52">
        <f t="shared" si="669"/>
        <v>14.285714285714285</v>
      </c>
      <c r="R404" s="53">
        <f>COUNTIFS('00 Encuesta'!$B$2:$B$511,"*d)*",'00 Encuesta'!$C$2:$C$511,"*b)*",'00 Encuesta'!$E$2:$E$511,"*b)*",'00 Encuesta'!$AX$2:$AX$511,"*h)*")</f>
        <v>1</v>
      </c>
      <c r="S404" s="52">
        <f t="shared" si="670"/>
        <v>7.6923076923076925</v>
      </c>
      <c r="T404" s="3"/>
      <c r="U404" s="51">
        <f t="shared" si="671"/>
        <v>1</v>
      </c>
      <c r="V404" s="52">
        <f t="shared" si="672"/>
        <v>5</v>
      </c>
      <c r="W404" s="53">
        <f>COUNTIFS('00 Encuesta'!$B$2:$B$511,"*d)*",'00 Encuesta'!$C$2:$C$511,"*c)*",'00 Encuesta'!$E$2:$E$511,"*a)*",'00 Encuesta'!$AX$2:$AX$511,"*h)*")</f>
        <v>0</v>
      </c>
      <c r="X404" s="52">
        <f t="shared" si="673"/>
        <v>0</v>
      </c>
      <c r="Y404" s="53">
        <f>COUNTIFS('00 Encuesta'!$B$2:$B$511,"*d)*",'00 Encuesta'!$C$2:$C$511,"*c)*",'00 Encuesta'!$E$2:$E$511,"*b)*",'00 Encuesta'!$AX$2:$AX$511,"*h)*")</f>
        <v>1</v>
      </c>
      <c r="Z404" s="52">
        <f t="shared" si="674"/>
        <v>6.666666666666667</v>
      </c>
      <c r="AA404" s="3"/>
      <c r="AB404" s="62">
        <f t="shared" si="675"/>
        <v>3</v>
      </c>
      <c r="AC404" s="52">
        <f t="shared" si="676"/>
        <v>4.7619047619047619</v>
      </c>
      <c r="AD404" s="3"/>
      <c r="AE404" s="3"/>
      <c r="AF404" s="9" t="str">
        <f t="shared" si="677"/>
        <v>h) No sè</v>
      </c>
      <c r="AG404" s="72">
        <f t="shared" si="678"/>
        <v>0</v>
      </c>
      <c r="AH404" s="72">
        <f t="shared" si="679"/>
        <v>0</v>
      </c>
      <c r="AI404" s="73">
        <f t="shared" si="680"/>
        <v>0</v>
      </c>
      <c r="AJ404" s="73"/>
      <c r="AK404" s="76">
        <f t="shared" si="681"/>
        <v>14.285714285714285</v>
      </c>
      <c r="AL404" s="76">
        <f t="shared" si="682"/>
        <v>7.6923076923076925</v>
      </c>
      <c r="AM404" s="76">
        <f t="shared" si="683"/>
        <v>10</v>
      </c>
      <c r="AN404" s="76"/>
      <c r="AO404" s="81">
        <f t="shared" si="684"/>
        <v>0</v>
      </c>
      <c r="AP404" s="81">
        <f t="shared" si="685"/>
        <v>6.666666666666667</v>
      </c>
      <c r="AQ404" s="81">
        <f t="shared" si="686"/>
        <v>5</v>
      </c>
      <c r="AR404" s="3"/>
      <c r="AS404" s="76">
        <f t="shared" si="542"/>
        <v>4.7619047619047619</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x14ac:dyDescent="0.3">
      <c r="A407" s="1" t="s">
        <v>17</v>
      </c>
      <c r="B407" s="2" t="s">
        <v>258</v>
      </c>
      <c r="C407" s="3"/>
      <c r="D407" s="3"/>
      <c r="E407" s="3"/>
      <c r="F407" s="4"/>
      <c r="G407" s="51">
        <f>I407+K407</f>
        <v>0</v>
      </c>
      <c r="H407" s="52">
        <f>G407/$J$5*100</f>
        <v>0</v>
      </c>
      <c r="I407" s="53">
        <f>COUNTIFS('00 Encuesta'!$B$2:$B$511,"*d)*",'00 Encuesta'!$C$2:$C$511,"*a)*",'00 Encuesta'!$E$2:$E$511,"*a)*",'00 Encuesta'!$AY$2:$AY$511,"*a)*")</f>
        <v>0</v>
      </c>
      <c r="J407" s="52">
        <f>I407/$J$6*100</f>
        <v>0</v>
      </c>
      <c r="K407" s="53">
        <f>COUNTIFS('00 Encuesta'!$B$2:$B$511,"*d)*",'00 Encuesta'!$C$2:$C$511,"*a)*",'00 Encuesta'!$E$2:$E$511,"*b)*",'00 Encuesta'!$AY$2:$AY$511,"*a)*")</f>
        <v>0</v>
      </c>
      <c r="L407" s="52">
        <f>K407/$J$7*100</f>
        <v>0</v>
      </c>
      <c r="M407" s="23"/>
      <c r="N407" s="51">
        <f>P407+R407</f>
        <v>0</v>
      </c>
      <c r="O407" s="52">
        <f>N407/$Q$5*100</f>
        <v>0</v>
      </c>
      <c r="P407" s="53">
        <f>COUNTIFS('00 Encuesta'!$B$2:$B$511,"*d)*",'00 Encuesta'!$C$2:$C$511,"*b)*",'00 Encuesta'!$E$2:$E$511,"*a)*",'00 Encuesta'!$AY$2:$AY$511,"*a)*")</f>
        <v>0</v>
      </c>
      <c r="Q407" s="52">
        <f>P407/$Q$6*100</f>
        <v>0</v>
      </c>
      <c r="R407" s="53">
        <f>COUNTIFS('00 Encuesta'!$B$2:$B$511,"*d)*",'00 Encuesta'!$C$2:$C$511,"*b)*",'00 Encuesta'!$E$2:$E$511,"*b)*",'00 Encuesta'!$AY$2:$AY$511,"*a)*")</f>
        <v>0</v>
      </c>
      <c r="S407" s="52">
        <f>R407/$Q$7*100</f>
        <v>0</v>
      </c>
      <c r="T407" s="3"/>
      <c r="U407" s="51">
        <f>W407+Y407</f>
        <v>0</v>
      </c>
      <c r="V407" s="52">
        <f>U407/$X$5*100</f>
        <v>0</v>
      </c>
      <c r="W407" s="53">
        <f>COUNTIFS('00 Encuesta'!$B$2:$B$511,"*d)*",'00 Encuesta'!$C$2:$C$511,"*c)*",'00 Encuesta'!$E$2:$E$511,"*a)*",'00 Encuesta'!$AY$2:$AY$511,"*a)*")</f>
        <v>0</v>
      </c>
      <c r="X407" s="52">
        <f>W407/$X$6*100</f>
        <v>0</v>
      </c>
      <c r="Y407" s="53">
        <f>COUNTIFS('00 Encuesta'!$B$2:$B$511,"*d)*",'00 Encuesta'!$C$2:$C$511,"*c)*",'00 Encuesta'!$E$2:$E$511,"*b)*",'00 Encuesta'!$AY$2:$AY$511,"*a)*")</f>
        <v>0</v>
      </c>
      <c r="Z407" s="52">
        <f>Y407/$X$7*100</f>
        <v>0</v>
      </c>
      <c r="AA407" s="3"/>
      <c r="AB407" s="62">
        <f>G407+N407+U407</f>
        <v>0</v>
      </c>
      <c r="AC407" s="52">
        <f>AB407*100/$AC$5</f>
        <v>0</v>
      </c>
      <c r="AD407" s="3"/>
      <c r="AE407" s="3"/>
      <c r="AF407" s="9" t="str">
        <f t="shared" ref="AF407:AF411" si="687">A407&amp;" "&amp;B407</f>
        <v>a) Innecesaria</v>
      </c>
      <c r="AG407" s="72">
        <f>J407</f>
        <v>0</v>
      </c>
      <c r="AH407" s="72">
        <f>L407</f>
        <v>0</v>
      </c>
      <c r="AI407" s="73">
        <f>H407</f>
        <v>0</v>
      </c>
      <c r="AJ407" s="73"/>
      <c r="AK407" s="76">
        <f>Q407</f>
        <v>0</v>
      </c>
      <c r="AL407" s="76">
        <f>S407</f>
        <v>0</v>
      </c>
      <c r="AM407" s="76">
        <f>O407</f>
        <v>0</v>
      </c>
      <c r="AN407" s="76"/>
      <c r="AO407" s="81">
        <f>X407</f>
        <v>0</v>
      </c>
      <c r="AP407" s="81">
        <f>Z407</f>
        <v>0</v>
      </c>
      <c r="AQ407" s="81">
        <f>V407</f>
        <v>0</v>
      </c>
      <c r="AR407" s="3"/>
      <c r="AS407" s="76">
        <f t="shared" si="542"/>
        <v>0</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x14ac:dyDescent="0.3">
      <c r="A408" s="1" t="s">
        <v>18</v>
      </c>
      <c r="B408" s="2" t="s">
        <v>259</v>
      </c>
      <c r="C408" s="3"/>
      <c r="D408" s="3"/>
      <c r="E408" s="3"/>
      <c r="F408" s="4"/>
      <c r="G408" s="51">
        <f>I408+K408</f>
        <v>2</v>
      </c>
      <c r="H408" s="52">
        <f>G408/$J$5*100</f>
        <v>8.695652173913043</v>
      </c>
      <c r="I408" s="53">
        <f>COUNTIFS('00 Encuesta'!$B$2:$B$511,"*d)*",'00 Encuesta'!$C$2:$C$511,"*a)*",'00 Encuesta'!$E$2:$E$511,"*a)*",'00 Encuesta'!$AY$2:$AY$511,"*b)*")</f>
        <v>1</v>
      </c>
      <c r="J408" s="52">
        <f>I408/$J$6*100</f>
        <v>7.1428571428571423</v>
      </c>
      <c r="K408" s="53">
        <f>COUNTIFS('00 Encuesta'!$B$2:$B$511,"*d)*",'00 Encuesta'!$C$2:$C$511,"*a)*",'00 Encuesta'!$E$2:$E$511,"*b)*",'00 Encuesta'!$AY$2:$AY$511,"*b)*")</f>
        <v>1</v>
      </c>
      <c r="L408" s="52">
        <f>K408/$J$7*100</f>
        <v>11.111111111111111</v>
      </c>
      <c r="M408" s="23"/>
      <c r="N408" s="51">
        <f>P408+R408</f>
        <v>0</v>
      </c>
      <c r="O408" s="52">
        <f>N408/$Q$5*100</f>
        <v>0</v>
      </c>
      <c r="P408" s="53">
        <f>COUNTIFS('00 Encuesta'!$B$2:$B$511,"*d)*",'00 Encuesta'!$C$2:$C$511,"*b)*",'00 Encuesta'!$E$2:$E$511,"*a)*",'00 Encuesta'!$AY$2:$AY$511,"*b)*")</f>
        <v>0</v>
      </c>
      <c r="Q408" s="52">
        <f>P408/$Q$6*100</f>
        <v>0</v>
      </c>
      <c r="R408" s="53">
        <f>COUNTIFS('00 Encuesta'!$B$2:$B$511,"*d)*",'00 Encuesta'!$C$2:$C$511,"*b)*",'00 Encuesta'!$E$2:$E$511,"*b)*",'00 Encuesta'!$AY$2:$AY$511,"*b)*")</f>
        <v>0</v>
      </c>
      <c r="S408" s="52">
        <f>R408/$Q$7*100</f>
        <v>0</v>
      </c>
      <c r="T408" s="3"/>
      <c r="U408" s="51">
        <f>W408+Y408</f>
        <v>2</v>
      </c>
      <c r="V408" s="52">
        <f>U408/$X$5*100</f>
        <v>10</v>
      </c>
      <c r="W408" s="53">
        <f>COUNTIFS('00 Encuesta'!$B$2:$B$511,"*d)*",'00 Encuesta'!$C$2:$C$511,"*c)*",'00 Encuesta'!$E$2:$E$511,"*a)*",'00 Encuesta'!$AY$2:$AY$511,"*b)*")</f>
        <v>2</v>
      </c>
      <c r="X408" s="52">
        <f>W408/$X$6*100</f>
        <v>40</v>
      </c>
      <c r="Y408" s="53">
        <f>COUNTIFS('00 Encuesta'!$B$2:$B$511,"*d)*",'00 Encuesta'!$C$2:$C$511,"*c)*",'00 Encuesta'!$E$2:$E$511,"*b)*",'00 Encuesta'!$AY$2:$AY$511,"*b)*")</f>
        <v>0</v>
      </c>
      <c r="Z408" s="52">
        <f>Y408/$X$7*100</f>
        <v>0</v>
      </c>
      <c r="AA408" s="3"/>
      <c r="AB408" s="62">
        <f>G408+N408+U408</f>
        <v>4</v>
      </c>
      <c r="AC408" s="52">
        <f>AB408*100/$AC$5</f>
        <v>6.3492063492063489</v>
      </c>
      <c r="AD408" s="3"/>
      <c r="AE408" s="3"/>
      <c r="AF408" s="9" t="str">
        <f t="shared" si="687"/>
        <v>b) Indiferente</v>
      </c>
      <c r="AG408" s="72">
        <f>J408</f>
        <v>7.1428571428571423</v>
      </c>
      <c r="AH408" s="72">
        <f>L408</f>
        <v>11.111111111111111</v>
      </c>
      <c r="AI408" s="73">
        <f>H408</f>
        <v>8.695652173913043</v>
      </c>
      <c r="AJ408" s="73"/>
      <c r="AK408" s="76">
        <f>Q408</f>
        <v>0</v>
      </c>
      <c r="AL408" s="76">
        <f>S408</f>
        <v>0</v>
      </c>
      <c r="AM408" s="76">
        <f>O408</f>
        <v>0</v>
      </c>
      <c r="AN408" s="76"/>
      <c r="AO408" s="81">
        <f>X408</f>
        <v>40</v>
      </c>
      <c r="AP408" s="81">
        <f>Z408</f>
        <v>0</v>
      </c>
      <c r="AQ408" s="81">
        <f>V408</f>
        <v>10</v>
      </c>
      <c r="AR408" s="3"/>
      <c r="AS408" s="76">
        <f t="shared" si="542"/>
        <v>6.3492063492063489</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x14ac:dyDescent="0.3">
      <c r="A409" s="1" t="s">
        <v>20</v>
      </c>
      <c r="B409" s="2" t="s">
        <v>260</v>
      </c>
      <c r="C409" s="3"/>
      <c r="D409" s="3"/>
      <c r="E409" s="3"/>
      <c r="F409" s="4"/>
      <c r="G409" s="51">
        <f>I409+K409</f>
        <v>8</v>
      </c>
      <c r="H409" s="52">
        <f>G409/$J$5*100</f>
        <v>34.782608695652172</v>
      </c>
      <c r="I409" s="53">
        <f>COUNTIFS('00 Encuesta'!$B$2:$B$511,"*d)*",'00 Encuesta'!$C$2:$C$511,"*a)*",'00 Encuesta'!$E$2:$E$511,"*a)*",'00 Encuesta'!$AY$2:$AY$511,"*c)*")</f>
        <v>6</v>
      </c>
      <c r="J409" s="52">
        <f>I409/$J$6*100</f>
        <v>42.857142857142854</v>
      </c>
      <c r="K409" s="53">
        <f>COUNTIFS('00 Encuesta'!$B$2:$B$511,"*d)*",'00 Encuesta'!$C$2:$C$511,"*a)*",'00 Encuesta'!$E$2:$E$511,"*b)*",'00 Encuesta'!$AY$2:$AY$511,"*c)*")</f>
        <v>2</v>
      </c>
      <c r="L409" s="52">
        <f>K409/$J$7*100</f>
        <v>22.222222222222221</v>
      </c>
      <c r="M409" s="23"/>
      <c r="N409" s="51">
        <f>P409+R409</f>
        <v>6</v>
      </c>
      <c r="O409" s="52">
        <f>N409/$Q$5*100</f>
        <v>30</v>
      </c>
      <c r="P409" s="53">
        <f>COUNTIFS('00 Encuesta'!$B$2:$B$511,"*d)*",'00 Encuesta'!$C$2:$C$511,"*b)*",'00 Encuesta'!$E$2:$E$511,"*a)*",'00 Encuesta'!$AY$2:$AY$511,"*c)*")</f>
        <v>4</v>
      </c>
      <c r="Q409" s="52">
        <f>P409/$Q$6*100</f>
        <v>57.142857142857139</v>
      </c>
      <c r="R409" s="53">
        <f>COUNTIFS('00 Encuesta'!$B$2:$B$511,"*d)*",'00 Encuesta'!$C$2:$C$511,"*b)*",'00 Encuesta'!$E$2:$E$511,"*b)*",'00 Encuesta'!$AY$2:$AY$511,"*c)*")</f>
        <v>2</v>
      </c>
      <c r="S409" s="52">
        <f>R409/$Q$7*100</f>
        <v>15.384615384615385</v>
      </c>
      <c r="T409" s="3"/>
      <c r="U409" s="51">
        <f>W409+Y409</f>
        <v>2</v>
      </c>
      <c r="V409" s="52">
        <f>U409/$X$5*100</f>
        <v>10</v>
      </c>
      <c r="W409" s="53">
        <f>COUNTIFS('00 Encuesta'!$B$2:$B$511,"*d)*",'00 Encuesta'!$C$2:$C$511,"*c)*",'00 Encuesta'!$E$2:$E$511,"*a)*",'00 Encuesta'!$AY$2:$AY$511,"*c)*")</f>
        <v>2</v>
      </c>
      <c r="X409" s="52">
        <f>W409/$X$6*100</f>
        <v>40</v>
      </c>
      <c r="Y409" s="53">
        <f>COUNTIFS('00 Encuesta'!$B$2:$B$511,"*d)*",'00 Encuesta'!$C$2:$C$511,"*c)*",'00 Encuesta'!$E$2:$E$511,"*b)*",'00 Encuesta'!$AY$2:$AY$511,"*c)*")</f>
        <v>0</v>
      </c>
      <c r="Z409" s="52">
        <f>Y409/$X$7*100</f>
        <v>0</v>
      </c>
      <c r="AA409" s="3"/>
      <c r="AB409" s="62">
        <f>G409+N409+U409</f>
        <v>16</v>
      </c>
      <c r="AC409" s="52">
        <f>AB409*100/$AC$5</f>
        <v>25.396825396825395</v>
      </c>
      <c r="AD409" s="3"/>
      <c r="AE409" s="3"/>
      <c r="AF409" s="9" t="str">
        <f t="shared" si="687"/>
        <v>c) Conveniente</v>
      </c>
      <c r="AG409" s="72">
        <f>J409</f>
        <v>42.857142857142854</v>
      </c>
      <c r="AH409" s="72">
        <f>L409</f>
        <v>22.222222222222221</v>
      </c>
      <c r="AI409" s="73">
        <f>H409</f>
        <v>34.782608695652172</v>
      </c>
      <c r="AJ409" s="73"/>
      <c r="AK409" s="76">
        <f>Q409</f>
        <v>57.142857142857139</v>
      </c>
      <c r="AL409" s="76">
        <f>S409</f>
        <v>15.384615384615385</v>
      </c>
      <c r="AM409" s="76">
        <f>O409</f>
        <v>30</v>
      </c>
      <c r="AN409" s="76"/>
      <c r="AO409" s="81">
        <f>X409</f>
        <v>40</v>
      </c>
      <c r="AP409" s="81">
        <f>Z409</f>
        <v>0</v>
      </c>
      <c r="AQ409" s="81">
        <f>V409</f>
        <v>10</v>
      </c>
      <c r="AR409" s="3"/>
      <c r="AS409" s="76">
        <f t="shared" ref="AS409:AS452" si="688">AC409</f>
        <v>25.396825396825395</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x14ac:dyDescent="0.3">
      <c r="A410" s="1" t="s">
        <v>21</v>
      </c>
      <c r="B410" s="2" t="s">
        <v>261</v>
      </c>
      <c r="C410" s="3"/>
      <c r="D410" s="3"/>
      <c r="E410" s="3"/>
      <c r="F410" s="4"/>
      <c r="G410" s="51">
        <f>I410+K410</f>
        <v>6</v>
      </c>
      <c r="H410" s="52">
        <f>G410/$J$5*100</f>
        <v>26.086956521739129</v>
      </c>
      <c r="I410" s="53">
        <f>COUNTIFS('00 Encuesta'!$B$2:$B$511,"*d)*",'00 Encuesta'!$C$2:$C$511,"*a)*",'00 Encuesta'!$E$2:$E$511,"*a)*",'00 Encuesta'!$AY$2:$AY$511,"*d)*")</f>
        <v>3</v>
      </c>
      <c r="J410" s="52">
        <f>I410/$J$6*100</f>
        <v>21.428571428571427</v>
      </c>
      <c r="K410" s="53">
        <f>COUNTIFS('00 Encuesta'!$B$2:$B$511,"*d)*",'00 Encuesta'!$C$2:$C$511,"*a)*",'00 Encuesta'!$E$2:$E$511,"*b)*",'00 Encuesta'!$AY$2:$AY$511,"*d)*")</f>
        <v>3</v>
      </c>
      <c r="L410" s="52">
        <f>K410/$J$7*100</f>
        <v>33.333333333333329</v>
      </c>
      <c r="M410" s="23"/>
      <c r="N410" s="51">
        <f>P410+R410</f>
        <v>5</v>
      </c>
      <c r="O410" s="52">
        <f>N410/$Q$5*100</f>
        <v>25</v>
      </c>
      <c r="P410" s="53">
        <f>COUNTIFS('00 Encuesta'!$B$2:$B$511,"*d)*",'00 Encuesta'!$C$2:$C$511,"*b)*",'00 Encuesta'!$E$2:$E$511,"*a)*",'00 Encuesta'!$AY$2:$AY$511,"*d)*")</f>
        <v>3</v>
      </c>
      <c r="Q410" s="52">
        <f>P410/$Q$6*100</f>
        <v>42.857142857142854</v>
      </c>
      <c r="R410" s="53">
        <f>COUNTIFS('00 Encuesta'!$B$2:$B$511,"*d)*",'00 Encuesta'!$C$2:$C$511,"*b)*",'00 Encuesta'!$E$2:$E$511,"*b)*",'00 Encuesta'!$AY$2:$AY$511,"*d)*")</f>
        <v>2</v>
      </c>
      <c r="S410" s="52">
        <f>R410/$Q$7*100</f>
        <v>15.384615384615385</v>
      </c>
      <c r="T410" s="3"/>
      <c r="U410" s="51">
        <f>W410+Y410</f>
        <v>3</v>
      </c>
      <c r="V410" s="52">
        <f>U410/$X$5*100</f>
        <v>15</v>
      </c>
      <c r="W410" s="53">
        <f>COUNTIFS('00 Encuesta'!$B$2:$B$511,"*d)*",'00 Encuesta'!$C$2:$C$511,"*c)*",'00 Encuesta'!$E$2:$E$511,"*a)*",'00 Encuesta'!$AY$2:$AY$511,"*d)*")</f>
        <v>0</v>
      </c>
      <c r="X410" s="52">
        <f>W410/$X$6*100</f>
        <v>0</v>
      </c>
      <c r="Y410" s="53">
        <f>COUNTIFS('00 Encuesta'!$B$2:$B$511,"*d)*",'00 Encuesta'!$C$2:$C$511,"*c)*",'00 Encuesta'!$E$2:$E$511,"*b)*",'00 Encuesta'!$AY$2:$AY$511,"*d)*")</f>
        <v>3</v>
      </c>
      <c r="Z410" s="52">
        <f>Y410/$X$7*100</f>
        <v>20</v>
      </c>
      <c r="AA410" s="3"/>
      <c r="AB410" s="62">
        <f>G410+N410+U410</f>
        <v>14</v>
      </c>
      <c r="AC410" s="52">
        <f>AB410*100/$AC$5</f>
        <v>22.222222222222221</v>
      </c>
      <c r="AD410" s="3"/>
      <c r="AE410" s="3"/>
      <c r="AF410" s="9" t="str">
        <f t="shared" si="687"/>
        <v>d) Bastante necesaria</v>
      </c>
      <c r="AG410" s="72">
        <f>J410</f>
        <v>21.428571428571427</v>
      </c>
      <c r="AH410" s="72">
        <f>L410</f>
        <v>33.333333333333329</v>
      </c>
      <c r="AI410" s="73">
        <f>H410</f>
        <v>26.086956521739129</v>
      </c>
      <c r="AJ410" s="73"/>
      <c r="AK410" s="76">
        <f>Q410</f>
        <v>42.857142857142854</v>
      </c>
      <c r="AL410" s="76">
        <f>S410</f>
        <v>15.384615384615385</v>
      </c>
      <c r="AM410" s="76">
        <f>O410</f>
        <v>25</v>
      </c>
      <c r="AN410" s="76"/>
      <c r="AO410" s="81">
        <f>X410</f>
        <v>0</v>
      </c>
      <c r="AP410" s="81">
        <f>Z410</f>
        <v>20</v>
      </c>
      <c r="AQ410" s="81">
        <f>V410</f>
        <v>15</v>
      </c>
      <c r="AR410" s="3"/>
      <c r="AS410" s="76">
        <f t="shared" si="688"/>
        <v>22.222222222222221</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x14ac:dyDescent="0.3">
      <c r="A411" s="1" t="s">
        <v>22</v>
      </c>
      <c r="B411" s="2" t="s">
        <v>262</v>
      </c>
      <c r="C411" s="3"/>
      <c r="D411" s="3"/>
      <c r="E411" s="3"/>
      <c r="F411" s="4"/>
      <c r="G411" s="51">
        <f>I411+K411</f>
        <v>7</v>
      </c>
      <c r="H411" s="52">
        <f>G411/$J$5*100</f>
        <v>30.434782608695656</v>
      </c>
      <c r="I411" s="53">
        <f>COUNTIFS('00 Encuesta'!$B$2:$B$511,"*d)*",'00 Encuesta'!$C$2:$C$511,"*a)*",'00 Encuesta'!$E$2:$E$511,"*a)*",'00 Encuesta'!$AY$2:$AY$511,"*e)*")</f>
        <v>4</v>
      </c>
      <c r="J411" s="52">
        <f>I411/$J$6*100</f>
        <v>28.571428571428569</v>
      </c>
      <c r="K411" s="53">
        <f>COUNTIFS('00 Encuesta'!$B$2:$B$511,"*d)*",'00 Encuesta'!$C$2:$C$511,"*a)*",'00 Encuesta'!$E$2:$E$511,"*b)*",'00 Encuesta'!$AY$2:$AY$511,"*e)*")</f>
        <v>3</v>
      </c>
      <c r="L411" s="52">
        <f>K411/$J$7*100</f>
        <v>33.333333333333329</v>
      </c>
      <c r="M411" s="23"/>
      <c r="N411" s="51">
        <f>P411+R411</f>
        <v>8</v>
      </c>
      <c r="O411" s="52">
        <f>N411/$Q$5*100</f>
        <v>40</v>
      </c>
      <c r="P411" s="53">
        <f>COUNTIFS('00 Encuesta'!$B$2:$B$511,"*d)*",'00 Encuesta'!$C$2:$C$511,"*b)*",'00 Encuesta'!$E$2:$E$511,"*a)*",'00 Encuesta'!$AY$2:$AY$511,"*e)*")</f>
        <v>0</v>
      </c>
      <c r="Q411" s="52">
        <f>P411/$Q$6*100</f>
        <v>0</v>
      </c>
      <c r="R411" s="53">
        <f>COUNTIFS('00 Encuesta'!$B$2:$B$511,"*d)*",'00 Encuesta'!$C$2:$C$511,"*b)*",'00 Encuesta'!$E$2:$E$511,"*b)*",'00 Encuesta'!$AY$2:$AY$511,"*e)*")</f>
        <v>8</v>
      </c>
      <c r="S411" s="52">
        <f>R411/$Q$7*100</f>
        <v>61.53846153846154</v>
      </c>
      <c r="T411" s="3"/>
      <c r="U411" s="51">
        <f>W411+Y411</f>
        <v>13</v>
      </c>
      <c r="V411" s="52">
        <f>U411/$X$5*100</f>
        <v>65</v>
      </c>
      <c r="W411" s="53">
        <f>COUNTIFS('00 Encuesta'!$B$2:$B$511,"*d)*",'00 Encuesta'!$C$2:$C$511,"*c)*",'00 Encuesta'!$E$2:$E$511,"*a)*",'00 Encuesta'!$AY$2:$AY$511,"*e)*")</f>
        <v>1</v>
      </c>
      <c r="X411" s="52">
        <f>W411/$X$6*100</f>
        <v>20</v>
      </c>
      <c r="Y411" s="53">
        <f>COUNTIFS('00 Encuesta'!$B$2:$B$511,"*d)*",'00 Encuesta'!$C$2:$C$511,"*c)*",'00 Encuesta'!$E$2:$E$511,"*b)*",'00 Encuesta'!$AY$2:$AY$511,"*e)*")</f>
        <v>12</v>
      </c>
      <c r="Z411" s="52">
        <f>Y411/$X$7*100</f>
        <v>80</v>
      </c>
      <c r="AA411" s="3"/>
      <c r="AB411" s="62">
        <f>G411+N411+U411</f>
        <v>28</v>
      </c>
      <c r="AC411" s="52">
        <f>AB411*100/$AC$5</f>
        <v>44.444444444444443</v>
      </c>
      <c r="AD411" s="3"/>
      <c r="AE411" s="3"/>
      <c r="AF411" s="9" t="str">
        <f t="shared" si="687"/>
        <v>e) Absolutamente necesaria</v>
      </c>
      <c r="AG411" s="72">
        <f>J411</f>
        <v>28.571428571428569</v>
      </c>
      <c r="AH411" s="72">
        <f>L411</f>
        <v>33.333333333333329</v>
      </c>
      <c r="AI411" s="73">
        <f>H411</f>
        <v>30.434782608695656</v>
      </c>
      <c r="AJ411" s="73"/>
      <c r="AK411" s="76">
        <f>Q411</f>
        <v>0</v>
      </c>
      <c r="AL411" s="76">
        <f>S411</f>
        <v>61.53846153846154</v>
      </c>
      <c r="AM411" s="76">
        <f>O411</f>
        <v>40</v>
      </c>
      <c r="AN411" s="76"/>
      <c r="AO411" s="81">
        <f>X411</f>
        <v>20</v>
      </c>
      <c r="AP411" s="81">
        <f>Z411</f>
        <v>80</v>
      </c>
      <c r="AQ411" s="81">
        <f>V411</f>
        <v>65</v>
      </c>
      <c r="AR411" s="3"/>
      <c r="AS411" s="76">
        <f t="shared" si="688"/>
        <v>44.444444444444443</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x14ac:dyDescent="0.3">
      <c r="A414" s="84" t="s">
        <v>17</v>
      </c>
      <c r="B414" s="2" t="s">
        <v>264</v>
      </c>
      <c r="C414" s="3"/>
      <c r="D414" s="3"/>
      <c r="E414" s="3"/>
      <c r="F414" s="4"/>
      <c r="G414" s="51">
        <f>I414+K414</f>
        <v>13</v>
      </c>
      <c r="H414" s="52">
        <f>G414/$J$5*100</f>
        <v>56.521739130434781</v>
      </c>
      <c r="I414" s="53">
        <f>COUNTIFS('00 Encuesta'!$B$2:$B$511,"*d)*",'00 Encuesta'!$C$2:$C$511,"*a)*",'00 Encuesta'!$E$2:$E$511,"*a)*",'00 Encuesta'!$AZ$2:$AZ$511,"*a)*")</f>
        <v>4</v>
      </c>
      <c r="J414" s="52">
        <f>I414/$J$6*100</f>
        <v>28.571428571428569</v>
      </c>
      <c r="K414" s="53">
        <f>COUNTIFS('00 Encuesta'!$B$2:$B$511,"*d)*",'00 Encuesta'!$C$2:$C$511,"*a)*",'00 Encuesta'!$E$2:$E$511,"*b)*",'00 Encuesta'!$AZ$2:$AZ$511,"*a)*")</f>
        <v>9</v>
      </c>
      <c r="L414" s="52">
        <f>K414/$J$7*100</f>
        <v>100</v>
      </c>
      <c r="M414" s="23"/>
      <c r="N414" s="51">
        <f>P414+R414</f>
        <v>6</v>
      </c>
      <c r="O414" s="52">
        <f>N414/$Q$5*100</f>
        <v>30</v>
      </c>
      <c r="P414" s="53">
        <f>COUNTIFS('00 Encuesta'!$B$2:$B$511,"*d)*",'00 Encuesta'!$C$2:$C$511,"*b)*",'00 Encuesta'!$E$2:$E$511,"*a)*",'00 Encuesta'!$AZ$2:$AZ$511,"*a)*")</f>
        <v>1</v>
      </c>
      <c r="Q414" s="52">
        <f>P414/$Q$6*100</f>
        <v>14.285714285714285</v>
      </c>
      <c r="R414" s="53">
        <f>COUNTIFS('00 Encuesta'!$B$2:$B$511,"*d)*",'00 Encuesta'!$C$2:$C$511,"*b)*",'00 Encuesta'!$E$2:$E$511,"*b)*",'00 Encuesta'!$AZ$2:$AZ$511,"*a)*")</f>
        <v>5</v>
      </c>
      <c r="S414" s="52">
        <f>R414/$Q$7*100</f>
        <v>38.461538461538467</v>
      </c>
      <c r="T414" s="3"/>
      <c r="U414" s="51">
        <f>W414+Y414</f>
        <v>7</v>
      </c>
      <c r="V414" s="52">
        <f>U414/$X$5*100</f>
        <v>35</v>
      </c>
      <c r="W414" s="53">
        <f>COUNTIFS('00 Encuesta'!$B$2:$B$511,"*d)*",'00 Encuesta'!$C$2:$C$511,"*c)*",'00 Encuesta'!$E$2:$E$511,"*a)*",'00 Encuesta'!$AZ$2:$AZ$511,"*a)*")</f>
        <v>1</v>
      </c>
      <c r="X414" s="52">
        <f>W414/$X$6*100</f>
        <v>20</v>
      </c>
      <c r="Y414" s="53">
        <f>COUNTIFS('00 Encuesta'!$B$2:$B$511,"*d)*",'00 Encuesta'!$C$2:$C$511,"*c)*",'00 Encuesta'!$E$2:$E$511,"*b)*",'00 Encuesta'!$AZ$2:$AZ$511,"*a)*")</f>
        <v>6</v>
      </c>
      <c r="Z414" s="52">
        <f>Y414/$X$7*100</f>
        <v>40</v>
      </c>
      <c r="AA414" s="3"/>
      <c r="AB414" s="62">
        <f>G414+N414+U414</f>
        <v>26</v>
      </c>
      <c r="AC414" s="52">
        <f>AB414*100/$AC$5</f>
        <v>41.269841269841272</v>
      </c>
      <c r="AD414" s="3"/>
      <c r="AE414" s="3"/>
      <c r="AF414" s="9" t="str">
        <f>A414&amp;" "&amp;B414</f>
        <v>a) No acostumbro a tomarlo nunca</v>
      </c>
      <c r="AG414" s="72">
        <f>J414</f>
        <v>28.571428571428569</v>
      </c>
      <c r="AH414" s="72">
        <f>L414</f>
        <v>100</v>
      </c>
      <c r="AI414" s="73">
        <f>H414</f>
        <v>56.521739130434781</v>
      </c>
      <c r="AJ414" s="73"/>
      <c r="AK414" s="76">
        <f>Q414</f>
        <v>14.285714285714285</v>
      </c>
      <c r="AL414" s="76">
        <f>S414</f>
        <v>38.461538461538467</v>
      </c>
      <c r="AM414" s="76">
        <f>O414</f>
        <v>30</v>
      </c>
      <c r="AN414" s="76"/>
      <c r="AO414" s="81">
        <f>X414</f>
        <v>20</v>
      </c>
      <c r="AP414" s="81">
        <f>Z414</f>
        <v>40</v>
      </c>
      <c r="AQ414" s="81">
        <f>V414</f>
        <v>35</v>
      </c>
      <c r="AR414" s="3"/>
      <c r="AS414" s="76">
        <f t="shared" si="688"/>
        <v>41.269841269841272</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10</v>
      </c>
      <c r="H415" s="52">
        <f>G415/$J$5*100</f>
        <v>43.478260869565219</v>
      </c>
      <c r="I415" s="53">
        <f>COUNTIFS('00 Encuesta'!$B$2:$B$511,"*d)*",'00 Encuesta'!$C$2:$C$511,"*a)*",'00 Encuesta'!$E$2:$E$511,"*a)*",'00 Encuesta'!$AZ$2:$AZ$511,"*b)*")</f>
        <v>10</v>
      </c>
      <c r="J415" s="52">
        <f>I415/$J$6*100</f>
        <v>71.428571428571431</v>
      </c>
      <c r="K415" s="53">
        <f>COUNTIFS('00 Encuesta'!$B$2:$B$511,"*d)*",'00 Encuesta'!$C$2:$C$511,"*a)*",'00 Encuesta'!$E$2:$E$511,"*b)*",'00 Encuesta'!$AZ$2:$AZ$511,"*b)*")</f>
        <v>0</v>
      </c>
      <c r="L415" s="52">
        <f>K415/$J$7*100</f>
        <v>0</v>
      </c>
      <c r="M415" s="23"/>
      <c r="N415" s="51">
        <f>P415+R415</f>
        <v>13</v>
      </c>
      <c r="O415" s="52">
        <f>N415/$Q$5*100</f>
        <v>65</v>
      </c>
      <c r="P415" s="53">
        <f>COUNTIFS('00 Encuesta'!$B$2:$B$511,"*d)*",'00 Encuesta'!$C$2:$C$511,"*b)*",'00 Encuesta'!$E$2:$E$511,"*a)*",'00 Encuesta'!$AZ$2:$AZ$511,"*b)*")</f>
        <v>5</v>
      </c>
      <c r="Q415" s="52">
        <f>P415/$Q$6*100</f>
        <v>71.428571428571431</v>
      </c>
      <c r="R415" s="53">
        <f>COUNTIFS('00 Encuesta'!$B$2:$B$511,"*d)*",'00 Encuesta'!$C$2:$C$511,"*b)*",'00 Encuesta'!$E$2:$E$511,"*b)*",'00 Encuesta'!$AZ$2:$AZ$511,"*b)*")</f>
        <v>8</v>
      </c>
      <c r="S415" s="52">
        <f>R415/$Q$7*100</f>
        <v>61.53846153846154</v>
      </c>
      <c r="T415" s="3"/>
      <c r="U415" s="51">
        <f>W415+Y415</f>
        <v>11</v>
      </c>
      <c r="V415" s="52">
        <f>U415/$X$5*100</f>
        <v>55.000000000000007</v>
      </c>
      <c r="W415" s="53">
        <f>COUNTIFS('00 Encuesta'!$B$2:$B$511,"*d)*",'00 Encuesta'!$C$2:$C$511,"*c)*",'00 Encuesta'!$E$2:$E$511,"*a)*",'00 Encuesta'!$AZ$2:$AZ$511,"*b)*")</f>
        <v>2</v>
      </c>
      <c r="X415" s="52">
        <f>W415/$X$6*100</f>
        <v>40</v>
      </c>
      <c r="Y415" s="53">
        <f>COUNTIFS('00 Encuesta'!$B$2:$B$511,"*d)*",'00 Encuesta'!$C$2:$C$511,"*c)*",'00 Encuesta'!$E$2:$E$511,"*b)*",'00 Encuesta'!$AZ$2:$AZ$511,"*b)*")</f>
        <v>9</v>
      </c>
      <c r="Z415" s="52">
        <f>Y415/$X$7*100</f>
        <v>60</v>
      </c>
      <c r="AA415" s="3"/>
      <c r="AB415" s="62">
        <f>G415+N415+U415</f>
        <v>34</v>
      </c>
      <c r="AC415" s="52">
        <f>AB415*100/$AC$5</f>
        <v>53.968253968253968</v>
      </c>
      <c r="AD415" s="3"/>
      <c r="AE415" s="3"/>
      <c r="AF415" s="9" t="str">
        <f>A415&amp;" "&amp;B415</f>
        <v>b) Las veces que bebo, es con moderaciòn</v>
      </c>
      <c r="AG415" s="72">
        <f>J415</f>
        <v>71.428571428571431</v>
      </c>
      <c r="AH415" s="72">
        <f>L415</f>
        <v>0</v>
      </c>
      <c r="AI415" s="73">
        <f>H415</f>
        <v>43.478260869565219</v>
      </c>
      <c r="AJ415" s="73"/>
      <c r="AK415" s="76">
        <f>Q415</f>
        <v>71.428571428571431</v>
      </c>
      <c r="AL415" s="76">
        <f>S415</f>
        <v>61.53846153846154</v>
      </c>
      <c r="AM415" s="76">
        <f>O415</f>
        <v>65</v>
      </c>
      <c r="AN415" s="76"/>
      <c r="AO415" s="81">
        <f>X415</f>
        <v>40</v>
      </c>
      <c r="AP415" s="81">
        <f>Z415</f>
        <v>60</v>
      </c>
      <c r="AQ415" s="81">
        <f>V415</f>
        <v>55.000000000000007</v>
      </c>
      <c r="AR415" s="3"/>
      <c r="AS415" s="76">
        <f t="shared" si="688"/>
        <v>53.968253968253968</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0</v>
      </c>
      <c r="H416" s="52">
        <f>G416/$J$5*100</f>
        <v>0</v>
      </c>
      <c r="I416" s="53">
        <f>COUNTIFS('00 Encuesta'!$B$2:$B$511,"*d)*",'00 Encuesta'!$C$2:$C$511,"*a)*",'00 Encuesta'!$E$2:$E$511,"*a)*",'00 Encuesta'!$AZ$2:$AZ$511,"*c)*")</f>
        <v>0</v>
      </c>
      <c r="J416" s="52">
        <f>I416/$J$6*100</f>
        <v>0</v>
      </c>
      <c r="K416" s="53">
        <f>COUNTIFS('00 Encuesta'!$B$2:$B$511,"*d)*",'00 Encuesta'!$C$2:$C$511,"*a)*",'00 Encuesta'!$E$2:$E$511,"*b)*",'00 Encuesta'!$AZ$2:$AZ$511,"*c)*")</f>
        <v>0</v>
      </c>
      <c r="L416" s="52">
        <f>K416/$J$7*100</f>
        <v>0</v>
      </c>
      <c r="M416" s="23"/>
      <c r="N416" s="51">
        <f>P416+R416</f>
        <v>0</v>
      </c>
      <c r="O416" s="52">
        <f>N416/$Q$5*100</f>
        <v>0</v>
      </c>
      <c r="P416" s="53">
        <f>COUNTIFS('00 Encuesta'!$B$2:$B$511,"*d)*",'00 Encuesta'!$C$2:$C$511,"*b)*",'00 Encuesta'!$E$2:$E$511,"*a)*",'00 Encuesta'!$AZ$2:$AZ$511,"*c)*")</f>
        <v>0</v>
      </c>
      <c r="Q416" s="52">
        <f>P416/$Q$6*100</f>
        <v>0</v>
      </c>
      <c r="R416" s="53">
        <f>COUNTIFS('00 Encuesta'!$B$2:$B$511,"*d)*",'00 Encuesta'!$C$2:$C$511,"*b)*",'00 Encuesta'!$E$2:$E$511,"*b)*",'00 Encuesta'!$AZ$2:$AZ$511,"*c)*")</f>
        <v>0</v>
      </c>
      <c r="S416" s="52">
        <f>R416/$Q$7*100</f>
        <v>0</v>
      </c>
      <c r="T416" s="3"/>
      <c r="U416" s="51">
        <f>W416+Y416</f>
        <v>0</v>
      </c>
      <c r="V416" s="52">
        <f>U416/$X$5*100</f>
        <v>0</v>
      </c>
      <c r="W416" s="53">
        <f>COUNTIFS('00 Encuesta'!$B$2:$B$511,"*d)*",'00 Encuesta'!$C$2:$C$511,"*c)*",'00 Encuesta'!$E$2:$E$511,"*a)*",'00 Encuesta'!$AZ$2:$AZ$511,"*c)*")</f>
        <v>0</v>
      </c>
      <c r="X416" s="52">
        <f>W416/$X$6*100</f>
        <v>0</v>
      </c>
      <c r="Y416" s="53">
        <f>COUNTIFS('00 Encuesta'!$B$2:$B$511,"*d)*",'00 Encuesta'!$C$2:$C$511,"*c)*",'00 Encuesta'!$E$2:$E$511,"*b)*",'00 Encuesta'!$AZ$2:$AZ$511,"*c)*")</f>
        <v>0</v>
      </c>
      <c r="Z416" s="52">
        <f>Y416/$X$7*100</f>
        <v>0</v>
      </c>
      <c r="AA416" s="3"/>
      <c r="AB416" s="62">
        <f>G416+N416+U416</f>
        <v>0</v>
      </c>
      <c r="AC416" s="52">
        <f>AB416*100/$AC$5</f>
        <v>0</v>
      </c>
      <c r="AD416" s="3"/>
      <c r="AE416" s="3"/>
      <c r="AF416" s="9" t="str">
        <f>A416&amp;" "&amp;B416</f>
        <v>c) Alguna vez he bebido màs de la cuenta</v>
      </c>
      <c r="AG416" s="72">
        <f>J416</f>
        <v>0</v>
      </c>
      <c r="AH416" s="72">
        <f>L416</f>
        <v>0</v>
      </c>
      <c r="AI416" s="73">
        <f>H416</f>
        <v>0</v>
      </c>
      <c r="AJ416" s="73"/>
      <c r="AK416" s="76">
        <f>Q416</f>
        <v>0</v>
      </c>
      <c r="AL416" s="76">
        <f>S416</f>
        <v>0</v>
      </c>
      <c r="AM416" s="76">
        <f>O416</f>
        <v>0</v>
      </c>
      <c r="AN416" s="76"/>
      <c r="AO416" s="81">
        <f>X416</f>
        <v>0</v>
      </c>
      <c r="AP416" s="81">
        <f>Z416</f>
        <v>0</v>
      </c>
      <c r="AQ416" s="81">
        <f>V416</f>
        <v>0</v>
      </c>
      <c r="AR416" s="3"/>
      <c r="AS416" s="76">
        <f t="shared" si="688"/>
        <v>0</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0</v>
      </c>
      <c r="H417" s="52">
        <f>G417/$J$5*100</f>
        <v>0</v>
      </c>
      <c r="I417" s="53">
        <f>COUNTIFS('00 Encuesta'!$B$2:$B$511,"*d)*",'00 Encuesta'!$C$2:$C$511,"*a)*",'00 Encuesta'!$E$2:$E$511,"*a)*",'00 Encuesta'!$AZ$2:$AZ$511,"*d)*")</f>
        <v>0</v>
      </c>
      <c r="J417" s="52">
        <f>I417/$J$6*100</f>
        <v>0</v>
      </c>
      <c r="K417" s="53">
        <f>COUNTIFS('00 Encuesta'!$B$2:$B$511,"*d)*",'00 Encuesta'!$C$2:$C$511,"*a)*",'00 Encuesta'!$E$2:$E$511,"*b)*",'00 Encuesta'!$AZ$2:$AZ$511,"*d)*")</f>
        <v>0</v>
      </c>
      <c r="L417" s="52">
        <f>K417/$J$7*100</f>
        <v>0</v>
      </c>
      <c r="M417" s="23"/>
      <c r="N417" s="51">
        <f>P417+R417</f>
        <v>1</v>
      </c>
      <c r="O417" s="52">
        <f>N417/$Q$5*100</f>
        <v>5</v>
      </c>
      <c r="P417" s="53">
        <f>COUNTIFS('00 Encuesta'!$B$2:$B$511,"*d)*",'00 Encuesta'!$C$2:$C$511,"*b)*",'00 Encuesta'!$E$2:$E$511,"*a)*",'00 Encuesta'!$AZ$2:$AZ$511,"*d)*")</f>
        <v>1</v>
      </c>
      <c r="Q417" s="52">
        <f>P417/$Q$6*100</f>
        <v>14.285714285714285</v>
      </c>
      <c r="R417" s="53">
        <f>COUNTIFS('00 Encuesta'!$B$2:$B$511,"*d)*",'00 Encuesta'!$C$2:$C$511,"*b)*",'00 Encuesta'!$E$2:$E$511,"*b)*",'00 Encuesta'!$AZ$2:$AZ$511,"*d)*")</f>
        <v>0</v>
      </c>
      <c r="S417" s="52">
        <f>R417/$Q$7*100</f>
        <v>0</v>
      </c>
      <c r="T417" s="3"/>
      <c r="U417" s="51">
        <f>W417+Y417</f>
        <v>0</v>
      </c>
      <c r="V417" s="52">
        <f>U417/$X$5*100</f>
        <v>0</v>
      </c>
      <c r="W417" s="53">
        <f>COUNTIFS('00 Encuesta'!$B$2:$B$511,"*d)*",'00 Encuesta'!$C$2:$C$511,"*c)*",'00 Encuesta'!$E$2:$E$511,"*a)*",'00 Encuesta'!$AZ$2:$AZ$511,"*d)*")</f>
        <v>0</v>
      </c>
      <c r="X417" s="52">
        <f>W417/$X$6*100</f>
        <v>0</v>
      </c>
      <c r="Y417" s="53">
        <f>COUNTIFS('00 Encuesta'!$B$2:$B$511,"*d)*",'00 Encuesta'!$C$2:$C$511,"*c)*",'00 Encuesta'!$E$2:$E$511,"*b)*",'00 Encuesta'!$AZ$2:$AZ$511,"*d)*")</f>
        <v>0</v>
      </c>
      <c r="Z417" s="52">
        <f>Y417/$X$7*100</f>
        <v>0</v>
      </c>
      <c r="AA417" s="3"/>
      <c r="AB417" s="62">
        <f>G417+N417+U417</f>
        <v>1</v>
      </c>
      <c r="AC417" s="52">
        <f>AB417*100/$AC$5</f>
        <v>1.5873015873015872</v>
      </c>
      <c r="AD417" s="3"/>
      <c r="AE417" s="3"/>
      <c r="AF417" s="9" t="str">
        <f>A417&amp;" "&amp;B417</f>
        <v>d) Con frecuencia (fines de semana u otros momentos) suelo beber màs de la cuenta.</v>
      </c>
      <c r="AG417" s="72">
        <f>J417</f>
        <v>0</v>
      </c>
      <c r="AH417" s="72">
        <f>L417</f>
        <v>0</v>
      </c>
      <c r="AI417" s="73">
        <f>H417</f>
        <v>0</v>
      </c>
      <c r="AJ417" s="73"/>
      <c r="AK417" s="76">
        <f>Q417</f>
        <v>14.285714285714285</v>
      </c>
      <c r="AL417" s="76">
        <f>S417</f>
        <v>0</v>
      </c>
      <c r="AM417" s="76">
        <f>O417</f>
        <v>5</v>
      </c>
      <c r="AN417" s="76"/>
      <c r="AO417" s="81">
        <f>X417</f>
        <v>0</v>
      </c>
      <c r="AP417" s="81">
        <f>Z417</f>
        <v>0</v>
      </c>
      <c r="AQ417" s="81">
        <f>V417</f>
        <v>0</v>
      </c>
      <c r="AR417" s="3"/>
      <c r="AS417" s="76">
        <f t="shared" si="688"/>
        <v>1.5873015873015872</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x14ac:dyDescent="0.3">
      <c r="A420" s="1" t="s">
        <v>17</v>
      </c>
      <c r="B420" s="2" t="s">
        <v>269</v>
      </c>
      <c r="C420" s="3"/>
      <c r="D420" s="3"/>
      <c r="E420" s="3"/>
      <c r="F420" s="4"/>
      <c r="G420" s="51">
        <f t="shared" ref="G420:G425" si="689">I420+K420</f>
        <v>4</v>
      </c>
      <c r="H420" s="52">
        <f t="shared" ref="H420:H425" si="690">G420/$J$5*100</f>
        <v>17.391304347826086</v>
      </c>
      <c r="I420" s="53">
        <f>COUNTIFS('00 Encuesta'!$B$2:$B$511,"*d)*",'00 Encuesta'!$C$2:$C$511,"*a)*",'00 Encuesta'!$E$2:$E$511,"*a)*",'00 Encuesta'!$BA$2:$BA$511,"*a)*")</f>
        <v>3</v>
      </c>
      <c r="J420" s="52">
        <f t="shared" ref="J420:J425" si="691">I420/$J$6*100</f>
        <v>21.428571428571427</v>
      </c>
      <c r="K420" s="53">
        <f>COUNTIFS('00 Encuesta'!$B$2:$B$511,"*d)*",'00 Encuesta'!$C$2:$C$511,"*a)*",'00 Encuesta'!$E$2:$E$511,"*b)*",'00 Encuesta'!$BA$2:$BA$511,"*a)*")</f>
        <v>1</v>
      </c>
      <c r="L420" s="52">
        <f t="shared" ref="L420:L425" si="692">K420/$J$7*100</f>
        <v>11.111111111111111</v>
      </c>
      <c r="M420" s="23"/>
      <c r="N420" s="51">
        <f t="shared" ref="N420:N425" si="693">P420+R420</f>
        <v>2</v>
      </c>
      <c r="O420" s="52">
        <f t="shared" ref="O420:O425" si="694">N420/$Q$5*100</f>
        <v>10</v>
      </c>
      <c r="P420" s="53">
        <f>COUNTIFS('00 Encuesta'!$B$2:$B$511,"*d)*",'00 Encuesta'!$C$2:$C$511,"*b)*",'00 Encuesta'!$E$2:$E$511,"*a)*",'00 Encuesta'!$BA$2:$BA$511,"*a)*")</f>
        <v>1</v>
      </c>
      <c r="Q420" s="52">
        <f t="shared" ref="Q420:Q425" si="695">P420/$Q$6*100</f>
        <v>14.285714285714285</v>
      </c>
      <c r="R420" s="53">
        <f>COUNTIFS('00 Encuesta'!$B$2:$B$511,"*d)*",'00 Encuesta'!$C$2:$C$511,"*b)*",'00 Encuesta'!$E$2:$E$511,"*b)*",'00 Encuesta'!$BA$2:$BA$511,"*a)*")</f>
        <v>1</v>
      </c>
      <c r="S420" s="52">
        <f t="shared" ref="S420:S425" si="696">R420/$Q$7*100</f>
        <v>7.6923076923076925</v>
      </c>
      <c r="T420" s="3"/>
      <c r="U420" s="51">
        <f t="shared" ref="U420:U425" si="697">W420+Y420</f>
        <v>4</v>
      </c>
      <c r="V420" s="52">
        <f t="shared" ref="V420:V425" si="698">U420/$X$5*100</f>
        <v>20</v>
      </c>
      <c r="W420" s="53">
        <f>COUNTIFS('00 Encuesta'!$B$2:$B$511,"*d)*",'00 Encuesta'!$C$2:$C$511,"*c)*",'00 Encuesta'!$E$2:$E$511,"*a)*",'00 Encuesta'!$BA$2:$BA$511,"*a)*")</f>
        <v>1</v>
      </c>
      <c r="X420" s="52">
        <f t="shared" ref="X420:X425" si="699">W420/$X$6*100</f>
        <v>20</v>
      </c>
      <c r="Y420" s="53">
        <f>COUNTIFS('00 Encuesta'!$B$2:$B$511,"*d)*",'00 Encuesta'!$C$2:$C$511,"*c)*",'00 Encuesta'!$E$2:$E$511,"*b)*",'00 Encuesta'!$BA$2:$BA$511,"*a)*")</f>
        <v>3</v>
      </c>
      <c r="Z420" s="52">
        <f t="shared" ref="Z420:Z425" si="700">Y420/$X$7*100</f>
        <v>20</v>
      </c>
      <c r="AA420" s="3"/>
      <c r="AB420" s="62">
        <f t="shared" ref="AB420:AB425" si="701">G420+N420+U420</f>
        <v>10</v>
      </c>
      <c r="AC420" s="52">
        <f t="shared" ref="AC420:AC425" si="702">AB420*100/$AC$5</f>
        <v>15.873015873015873</v>
      </c>
      <c r="AD420" s="3"/>
      <c r="AE420" s="3"/>
      <c r="AF420" s="9" t="str">
        <f t="shared" ref="AF420:AF425" si="703">A420&amp;" "&amp;B420</f>
        <v>a) Personas a las que tengo que aguantar</v>
      </c>
      <c r="AG420" s="72">
        <f t="shared" ref="AG420:AG425" si="704">J420</f>
        <v>21.428571428571427</v>
      </c>
      <c r="AH420" s="72">
        <f t="shared" ref="AH420:AH425" si="705">L420</f>
        <v>11.111111111111111</v>
      </c>
      <c r="AI420" s="73">
        <f t="shared" ref="AI420:AI425" si="706">H420</f>
        <v>17.391304347826086</v>
      </c>
      <c r="AJ420" s="73"/>
      <c r="AK420" s="76">
        <f t="shared" ref="AK420:AK425" si="707">Q420</f>
        <v>14.285714285714285</v>
      </c>
      <c r="AL420" s="76">
        <f t="shared" ref="AL420:AL425" si="708">S420</f>
        <v>7.6923076923076925</v>
      </c>
      <c r="AM420" s="76">
        <f t="shared" ref="AM420:AM425" si="709">O420</f>
        <v>10</v>
      </c>
      <c r="AN420" s="76"/>
      <c r="AO420" s="81">
        <f t="shared" ref="AO420:AO425" si="710">X420</f>
        <v>20</v>
      </c>
      <c r="AP420" s="81">
        <f t="shared" ref="AP420:AP425" si="711">Z420</f>
        <v>20</v>
      </c>
      <c r="AQ420" s="81">
        <f t="shared" ref="AQ420:AQ425" si="712">V420</f>
        <v>20</v>
      </c>
      <c r="AR420" s="3"/>
      <c r="AS420" s="76">
        <f t="shared" si="688"/>
        <v>15.873015873015873</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x14ac:dyDescent="0.3">
      <c r="A421" s="1" t="s">
        <v>18</v>
      </c>
      <c r="B421" s="2" t="s">
        <v>270</v>
      </c>
      <c r="C421" s="3"/>
      <c r="D421" s="3"/>
      <c r="E421" s="3"/>
      <c r="F421" s="4"/>
      <c r="G421" s="51">
        <f t="shared" si="689"/>
        <v>0</v>
      </c>
      <c r="H421" s="52">
        <f t="shared" si="690"/>
        <v>0</v>
      </c>
      <c r="I421" s="53">
        <f>COUNTIFS('00 Encuesta'!$B$2:$B$511,"*d)*",'00 Encuesta'!$C$2:$C$511,"*a)*",'00 Encuesta'!$E$2:$E$511,"*a)*",'00 Encuesta'!$BA$2:$BA$511,"*b)*")</f>
        <v>0</v>
      </c>
      <c r="J421" s="52">
        <f t="shared" si="691"/>
        <v>0</v>
      </c>
      <c r="K421" s="53">
        <f>COUNTIFS('00 Encuesta'!$B$2:$B$511,"*d)*",'00 Encuesta'!$C$2:$C$511,"*a)*",'00 Encuesta'!$E$2:$E$511,"*b)*",'00 Encuesta'!$BA$2:$BA$511,"*b)*")</f>
        <v>0</v>
      </c>
      <c r="L421" s="52">
        <f t="shared" si="692"/>
        <v>0</v>
      </c>
      <c r="M421" s="23"/>
      <c r="N421" s="51">
        <f t="shared" si="693"/>
        <v>2</v>
      </c>
      <c r="O421" s="52">
        <f t="shared" si="694"/>
        <v>10</v>
      </c>
      <c r="P421" s="53">
        <f>COUNTIFS('00 Encuesta'!$B$2:$B$511,"*d)*",'00 Encuesta'!$C$2:$C$511,"*b)*",'00 Encuesta'!$E$2:$E$511,"*a)*",'00 Encuesta'!$BA$2:$BA$511,"*b)*")</f>
        <v>2</v>
      </c>
      <c r="Q421" s="52">
        <f t="shared" si="695"/>
        <v>28.571428571428569</v>
      </c>
      <c r="R421" s="53">
        <f>COUNTIFS('00 Encuesta'!$B$2:$B$511,"*d)*",'00 Encuesta'!$C$2:$C$511,"*b)*",'00 Encuesta'!$E$2:$E$511,"*b)*",'00 Encuesta'!$BA$2:$BA$511,"*b)*")</f>
        <v>0</v>
      </c>
      <c r="S421" s="52">
        <f t="shared" si="696"/>
        <v>0</v>
      </c>
      <c r="T421" s="3"/>
      <c r="U421" s="51">
        <f t="shared" si="697"/>
        <v>3</v>
      </c>
      <c r="V421" s="52">
        <f t="shared" si="698"/>
        <v>15</v>
      </c>
      <c r="W421" s="53">
        <f>COUNTIFS('00 Encuesta'!$B$2:$B$511,"*d)*",'00 Encuesta'!$C$2:$C$511,"*c)*",'00 Encuesta'!$E$2:$E$511,"*a)*",'00 Encuesta'!$BA$2:$BA$511,"*b)*")</f>
        <v>1</v>
      </c>
      <c r="X421" s="52">
        <f t="shared" si="699"/>
        <v>20</v>
      </c>
      <c r="Y421" s="53">
        <f>COUNTIFS('00 Encuesta'!$B$2:$B$511,"*d)*",'00 Encuesta'!$C$2:$C$511,"*c)*",'00 Encuesta'!$E$2:$E$511,"*b)*",'00 Encuesta'!$BA$2:$BA$511,"*b)*")</f>
        <v>2</v>
      </c>
      <c r="Z421" s="52">
        <f t="shared" si="700"/>
        <v>13.333333333333334</v>
      </c>
      <c r="AA421" s="3"/>
      <c r="AB421" s="62">
        <f t="shared" si="701"/>
        <v>5</v>
      </c>
      <c r="AC421" s="52">
        <f t="shared" si="702"/>
        <v>7.9365079365079367</v>
      </c>
      <c r="AD421" s="3"/>
      <c r="AE421" s="3"/>
      <c r="AF421" s="9" t="str">
        <f t="shared" si="703"/>
        <v>b) Profesionales que no se preocupan de nosotros</v>
      </c>
      <c r="AG421" s="72">
        <f t="shared" si="704"/>
        <v>0</v>
      </c>
      <c r="AH421" s="72">
        <f t="shared" si="705"/>
        <v>0</v>
      </c>
      <c r="AI421" s="73">
        <f t="shared" si="706"/>
        <v>0</v>
      </c>
      <c r="AJ421" s="73"/>
      <c r="AK421" s="76">
        <f t="shared" si="707"/>
        <v>28.571428571428569</v>
      </c>
      <c r="AL421" s="76">
        <f t="shared" si="708"/>
        <v>0</v>
      </c>
      <c r="AM421" s="76">
        <f t="shared" si="709"/>
        <v>10</v>
      </c>
      <c r="AN421" s="76"/>
      <c r="AO421" s="81">
        <f t="shared" si="710"/>
        <v>20</v>
      </c>
      <c r="AP421" s="81">
        <f t="shared" si="711"/>
        <v>13.333333333333334</v>
      </c>
      <c r="AQ421" s="81">
        <f t="shared" si="712"/>
        <v>15</v>
      </c>
      <c r="AR421" s="3"/>
      <c r="AS421" s="76">
        <f t="shared" si="688"/>
        <v>7.9365079365079367</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x14ac:dyDescent="0.3">
      <c r="A422" s="1" t="s">
        <v>20</v>
      </c>
      <c r="B422" s="2" t="s">
        <v>271</v>
      </c>
      <c r="C422" s="3"/>
      <c r="D422" s="3"/>
      <c r="E422" s="3"/>
      <c r="F422" s="4"/>
      <c r="G422" s="51">
        <f t="shared" si="689"/>
        <v>4</v>
      </c>
      <c r="H422" s="52">
        <f t="shared" si="690"/>
        <v>17.391304347826086</v>
      </c>
      <c r="I422" s="53">
        <f>COUNTIFS('00 Encuesta'!$B$2:$B$511,"*d)*",'00 Encuesta'!$C$2:$C$511,"*a)*",'00 Encuesta'!$E$2:$E$511,"*a)*",'00 Encuesta'!$BA$2:$BA$511,"*c)*")</f>
        <v>3</v>
      </c>
      <c r="J422" s="52">
        <f t="shared" si="691"/>
        <v>21.428571428571427</v>
      </c>
      <c r="K422" s="53">
        <f>COUNTIFS('00 Encuesta'!$B$2:$B$511,"*d)*",'00 Encuesta'!$C$2:$C$511,"*a)*",'00 Encuesta'!$E$2:$E$511,"*b)*",'00 Encuesta'!$BA$2:$BA$511,"*c)*")</f>
        <v>1</v>
      </c>
      <c r="L422" s="52">
        <f t="shared" si="692"/>
        <v>11.111111111111111</v>
      </c>
      <c r="M422" s="23"/>
      <c r="N422" s="51">
        <f t="shared" si="693"/>
        <v>4</v>
      </c>
      <c r="O422" s="52">
        <f t="shared" si="694"/>
        <v>20</v>
      </c>
      <c r="P422" s="53">
        <f>COUNTIFS('00 Encuesta'!$B$2:$B$511,"*d)*",'00 Encuesta'!$C$2:$C$511,"*b)*",'00 Encuesta'!$E$2:$E$511,"*a)*",'00 Encuesta'!$BA$2:$BA$511,"*c)*")</f>
        <v>1</v>
      </c>
      <c r="Q422" s="52">
        <f t="shared" si="695"/>
        <v>14.285714285714285</v>
      </c>
      <c r="R422" s="53">
        <f>COUNTIFS('00 Encuesta'!$B$2:$B$511,"*d)*",'00 Encuesta'!$C$2:$C$511,"*b)*",'00 Encuesta'!$E$2:$E$511,"*b)*",'00 Encuesta'!$BA$2:$BA$511,"*c)*")</f>
        <v>3</v>
      </c>
      <c r="S422" s="52">
        <f t="shared" si="696"/>
        <v>23.076923076923077</v>
      </c>
      <c r="T422" s="3"/>
      <c r="U422" s="51">
        <f t="shared" si="697"/>
        <v>4</v>
      </c>
      <c r="V422" s="52">
        <f t="shared" si="698"/>
        <v>20</v>
      </c>
      <c r="W422" s="53">
        <f>COUNTIFS('00 Encuesta'!$B$2:$B$511,"*d)*",'00 Encuesta'!$C$2:$C$511,"*c)*",'00 Encuesta'!$E$2:$E$511,"*a)*",'00 Encuesta'!$BA$2:$BA$511,"*c)*")</f>
        <v>2</v>
      </c>
      <c r="X422" s="52">
        <f t="shared" si="699"/>
        <v>40</v>
      </c>
      <c r="Y422" s="53">
        <f>COUNTIFS('00 Encuesta'!$B$2:$B$511,"*d)*",'00 Encuesta'!$C$2:$C$511,"*c)*",'00 Encuesta'!$E$2:$E$511,"*b)*",'00 Encuesta'!$BA$2:$BA$511,"*c)*")</f>
        <v>2</v>
      </c>
      <c r="Z422" s="52">
        <f t="shared" si="700"/>
        <v>13.333333333333334</v>
      </c>
      <c r="AA422" s="3"/>
      <c r="AB422" s="62">
        <f t="shared" si="701"/>
        <v>12</v>
      </c>
      <c r="AC422" s="52">
        <f t="shared" si="702"/>
        <v>19.047619047619047</v>
      </c>
      <c r="AD422" s="3"/>
      <c r="AE422" s="3"/>
      <c r="AF422" s="9" t="str">
        <f t="shared" si="703"/>
        <v>c) Profesionales que hacen lo que pueden</v>
      </c>
      <c r="AG422" s="72">
        <f t="shared" si="704"/>
        <v>21.428571428571427</v>
      </c>
      <c r="AH422" s="72">
        <f t="shared" si="705"/>
        <v>11.111111111111111</v>
      </c>
      <c r="AI422" s="73">
        <f t="shared" si="706"/>
        <v>17.391304347826086</v>
      </c>
      <c r="AJ422" s="73"/>
      <c r="AK422" s="76">
        <f t="shared" si="707"/>
        <v>14.285714285714285</v>
      </c>
      <c r="AL422" s="76">
        <f t="shared" si="708"/>
        <v>23.076923076923077</v>
      </c>
      <c r="AM422" s="76">
        <f t="shared" si="709"/>
        <v>20</v>
      </c>
      <c r="AN422" s="76"/>
      <c r="AO422" s="81">
        <f t="shared" si="710"/>
        <v>40</v>
      </c>
      <c r="AP422" s="81">
        <f t="shared" si="711"/>
        <v>13.333333333333334</v>
      </c>
      <c r="AQ422" s="81">
        <f t="shared" si="712"/>
        <v>20</v>
      </c>
      <c r="AR422" s="3"/>
      <c r="AS422" s="76">
        <f t="shared" si="688"/>
        <v>19.047619047619047</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8</v>
      </c>
      <c r="H423" s="52">
        <f t="shared" si="690"/>
        <v>34.782608695652172</v>
      </c>
      <c r="I423" s="53">
        <f>COUNTIFS('00 Encuesta'!$B$2:$B$511,"*d)*",'00 Encuesta'!$C$2:$C$511,"*a)*",'00 Encuesta'!$E$2:$E$511,"*a)*",'00 Encuesta'!$BA$2:$BA$511,"*d)*")</f>
        <v>5</v>
      </c>
      <c r="J423" s="52">
        <f t="shared" si="691"/>
        <v>35.714285714285715</v>
      </c>
      <c r="K423" s="53">
        <f>COUNTIFS('00 Encuesta'!$B$2:$B$511,"*d)*",'00 Encuesta'!$C$2:$C$511,"*a)*",'00 Encuesta'!$E$2:$E$511,"*b)*",'00 Encuesta'!$BA$2:$BA$511,"*d)*")</f>
        <v>3</v>
      </c>
      <c r="L423" s="52">
        <f t="shared" si="692"/>
        <v>33.333333333333329</v>
      </c>
      <c r="M423" s="23"/>
      <c r="N423" s="51">
        <f t="shared" si="693"/>
        <v>6</v>
      </c>
      <c r="O423" s="52">
        <f t="shared" si="694"/>
        <v>30</v>
      </c>
      <c r="P423" s="53">
        <f>COUNTIFS('00 Encuesta'!$B$2:$B$511,"*d)*",'00 Encuesta'!$C$2:$C$511,"*b)*",'00 Encuesta'!$E$2:$E$511,"*a)*",'00 Encuesta'!$BA$2:$BA$511,"*d)*")</f>
        <v>3</v>
      </c>
      <c r="Q423" s="52">
        <f t="shared" si="695"/>
        <v>42.857142857142854</v>
      </c>
      <c r="R423" s="53">
        <f>COUNTIFS('00 Encuesta'!$B$2:$B$511,"*d)*",'00 Encuesta'!$C$2:$C$511,"*b)*",'00 Encuesta'!$E$2:$E$511,"*b)*",'00 Encuesta'!$BA$2:$BA$511,"*d)*")</f>
        <v>3</v>
      </c>
      <c r="S423" s="52">
        <f t="shared" si="696"/>
        <v>23.076923076923077</v>
      </c>
      <c r="T423" s="3"/>
      <c r="U423" s="51">
        <f t="shared" si="697"/>
        <v>6</v>
      </c>
      <c r="V423" s="52">
        <f t="shared" si="698"/>
        <v>30</v>
      </c>
      <c r="W423" s="53">
        <f>COUNTIFS('00 Encuesta'!$B$2:$B$511,"*d)*",'00 Encuesta'!$C$2:$C$511,"*c)*",'00 Encuesta'!$E$2:$E$511,"*a)*",'00 Encuesta'!$BA$2:$BA$511,"*d)*")</f>
        <v>1</v>
      </c>
      <c r="X423" s="52">
        <f t="shared" si="699"/>
        <v>20</v>
      </c>
      <c r="Y423" s="53">
        <f>COUNTIFS('00 Encuesta'!$B$2:$B$511,"*d)*",'00 Encuesta'!$C$2:$C$511,"*c)*",'00 Encuesta'!$E$2:$E$511,"*b)*",'00 Encuesta'!$BA$2:$BA$511,"*d)*")</f>
        <v>5</v>
      </c>
      <c r="Z423" s="52">
        <f t="shared" si="700"/>
        <v>33.333333333333329</v>
      </c>
      <c r="AA423" s="3"/>
      <c r="AB423" s="62">
        <f t="shared" si="701"/>
        <v>20</v>
      </c>
      <c r="AC423" s="52">
        <f t="shared" si="702"/>
        <v>31.746031746031747</v>
      </c>
      <c r="AD423" s="3"/>
      <c r="AE423" s="3"/>
      <c r="AF423" s="9" t="str">
        <f t="shared" si="703"/>
        <v>d) Buenos profesionales de la educaciòn</v>
      </c>
      <c r="AG423" s="72">
        <f t="shared" si="704"/>
        <v>35.714285714285715</v>
      </c>
      <c r="AH423" s="72">
        <f t="shared" si="705"/>
        <v>33.333333333333329</v>
      </c>
      <c r="AI423" s="73">
        <f t="shared" si="706"/>
        <v>34.782608695652172</v>
      </c>
      <c r="AJ423" s="73"/>
      <c r="AK423" s="76">
        <f t="shared" si="707"/>
        <v>42.857142857142854</v>
      </c>
      <c r="AL423" s="76">
        <f t="shared" si="708"/>
        <v>23.076923076923077</v>
      </c>
      <c r="AM423" s="76">
        <f t="shared" si="709"/>
        <v>30</v>
      </c>
      <c r="AN423" s="76"/>
      <c r="AO423" s="81">
        <f t="shared" si="710"/>
        <v>20</v>
      </c>
      <c r="AP423" s="81">
        <f t="shared" si="711"/>
        <v>33.333333333333329</v>
      </c>
      <c r="AQ423" s="81">
        <f t="shared" si="712"/>
        <v>30</v>
      </c>
      <c r="AR423" s="3"/>
      <c r="AS423" s="76">
        <f t="shared" si="688"/>
        <v>31.746031746031747</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x14ac:dyDescent="0.3">
      <c r="A424" s="1" t="s">
        <v>22</v>
      </c>
      <c r="B424" s="2" t="s">
        <v>273</v>
      </c>
      <c r="C424" s="3"/>
      <c r="D424" s="3"/>
      <c r="E424" s="3"/>
      <c r="F424" s="4"/>
      <c r="G424" s="51">
        <f t="shared" si="689"/>
        <v>2</v>
      </c>
      <c r="H424" s="52">
        <f t="shared" si="690"/>
        <v>8.695652173913043</v>
      </c>
      <c r="I424" s="53">
        <f>COUNTIFS('00 Encuesta'!$B$2:$B$511,"*d)*",'00 Encuesta'!$C$2:$C$511,"*a)*",'00 Encuesta'!$E$2:$E$511,"*a)*",'00 Encuesta'!$BA$2:$BA$511,"*e)*")</f>
        <v>1</v>
      </c>
      <c r="J424" s="52">
        <f t="shared" si="691"/>
        <v>7.1428571428571423</v>
      </c>
      <c r="K424" s="53">
        <f>COUNTIFS('00 Encuesta'!$B$2:$B$511,"*d)*",'00 Encuesta'!$C$2:$C$511,"*a)*",'00 Encuesta'!$E$2:$E$511,"*b)*",'00 Encuesta'!$BA$2:$BA$511,"*e)*")</f>
        <v>1</v>
      </c>
      <c r="L424" s="52">
        <f t="shared" si="692"/>
        <v>11.111111111111111</v>
      </c>
      <c r="M424" s="23"/>
      <c r="N424" s="51">
        <f t="shared" si="693"/>
        <v>5</v>
      </c>
      <c r="O424" s="52">
        <f t="shared" si="694"/>
        <v>25</v>
      </c>
      <c r="P424" s="53">
        <f>COUNTIFS('00 Encuesta'!$B$2:$B$511,"*d)*",'00 Encuesta'!$C$2:$C$511,"*b)*",'00 Encuesta'!$E$2:$E$511,"*a)*",'00 Encuesta'!$BA$2:$BA$511,"*e)*")</f>
        <v>0</v>
      </c>
      <c r="Q424" s="52">
        <f t="shared" si="695"/>
        <v>0</v>
      </c>
      <c r="R424" s="53">
        <f>COUNTIFS('00 Encuesta'!$B$2:$B$511,"*d)*",'00 Encuesta'!$C$2:$C$511,"*b)*",'00 Encuesta'!$E$2:$E$511,"*b)*",'00 Encuesta'!$BA$2:$BA$511,"*e)*")</f>
        <v>5</v>
      </c>
      <c r="S424" s="52">
        <f t="shared" si="696"/>
        <v>38.461538461538467</v>
      </c>
      <c r="T424" s="3"/>
      <c r="U424" s="51">
        <f t="shared" si="697"/>
        <v>3</v>
      </c>
      <c r="V424" s="52">
        <f t="shared" si="698"/>
        <v>15</v>
      </c>
      <c r="W424" s="53">
        <f>COUNTIFS('00 Encuesta'!$B$2:$B$511,"*d)*",'00 Encuesta'!$C$2:$C$511,"*c)*",'00 Encuesta'!$E$2:$E$511,"*a)*",'00 Encuesta'!$BA$2:$BA$511,"*e)*")</f>
        <v>0</v>
      </c>
      <c r="X424" s="52">
        <f t="shared" si="699"/>
        <v>0</v>
      </c>
      <c r="Y424" s="53">
        <f>COUNTIFS('00 Encuesta'!$B$2:$B$511,"*d)*",'00 Encuesta'!$C$2:$C$511,"*c)*",'00 Encuesta'!$E$2:$E$511,"*b)*",'00 Encuesta'!$BA$2:$BA$511,"*e)*")</f>
        <v>3</v>
      </c>
      <c r="Z424" s="52">
        <f t="shared" si="700"/>
        <v>20</v>
      </c>
      <c r="AA424" s="3"/>
      <c r="AB424" s="62">
        <f t="shared" si="701"/>
        <v>10</v>
      </c>
      <c r="AC424" s="52">
        <f t="shared" si="702"/>
        <v>15.873015873015873</v>
      </c>
      <c r="AD424" s="3"/>
      <c r="AE424" s="3"/>
      <c r="AF424" s="9" t="str">
        <f t="shared" si="703"/>
        <v>e) Educadores que se preocupan de nosotros</v>
      </c>
      <c r="AG424" s="72">
        <f t="shared" si="704"/>
        <v>7.1428571428571423</v>
      </c>
      <c r="AH424" s="72">
        <f t="shared" si="705"/>
        <v>11.111111111111111</v>
      </c>
      <c r="AI424" s="73">
        <f t="shared" si="706"/>
        <v>8.695652173913043</v>
      </c>
      <c r="AJ424" s="73"/>
      <c r="AK424" s="76">
        <f t="shared" si="707"/>
        <v>0</v>
      </c>
      <c r="AL424" s="76">
        <f t="shared" si="708"/>
        <v>38.461538461538467</v>
      </c>
      <c r="AM424" s="76">
        <f t="shared" si="709"/>
        <v>25</v>
      </c>
      <c r="AN424" s="76"/>
      <c r="AO424" s="81">
        <f t="shared" si="710"/>
        <v>0</v>
      </c>
      <c r="AP424" s="81">
        <f t="shared" si="711"/>
        <v>20</v>
      </c>
      <c r="AQ424" s="81">
        <f t="shared" si="712"/>
        <v>15</v>
      </c>
      <c r="AR424" s="3"/>
      <c r="AS424" s="76">
        <f t="shared" si="688"/>
        <v>15.873015873015873</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5</v>
      </c>
      <c r="H425" s="52">
        <f t="shared" si="690"/>
        <v>21.739130434782609</v>
      </c>
      <c r="I425" s="53">
        <f>COUNTIFS('00 Encuesta'!$B$2:$B$511,"*d)*",'00 Encuesta'!$C$2:$C$511,"*a)*",'00 Encuesta'!$E$2:$E$511,"*a)*",'00 Encuesta'!$BA$2:$BA$511,"*f)*")</f>
        <v>2</v>
      </c>
      <c r="J425" s="52">
        <f t="shared" si="691"/>
        <v>14.285714285714285</v>
      </c>
      <c r="K425" s="53">
        <f>COUNTIFS('00 Encuesta'!$B$2:$B$511,"*d)*",'00 Encuesta'!$C$2:$C$511,"*a)*",'00 Encuesta'!$E$2:$E$511,"*b)*",'00 Encuesta'!$BA$2:$BA$511,"*f)*")</f>
        <v>3</v>
      </c>
      <c r="L425" s="52">
        <f t="shared" si="692"/>
        <v>33.333333333333329</v>
      </c>
      <c r="M425" s="23"/>
      <c r="N425" s="51">
        <f t="shared" si="693"/>
        <v>1</v>
      </c>
      <c r="O425" s="52">
        <f t="shared" si="694"/>
        <v>5</v>
      </c>
      <c r="P425" s="53">
        <f>COUNTIFS('00 Encuesta'!$B$2:$B$511,"*d)*",'00 Encuesta'!$C$2:$C$511,"*b)*",'00 Encuesta'!$E$2:$E$511,"*a)*",'00 Encuesta'!$BA$2:$BA$511,"*f)*")</f>
        <v>0</v>
      </c>
      <c r="Q425" s="52">
        <f t="shared" si="695"/>
        <v>0</v>
      </c>
      <c r="R425" s="53">
        <f>COUNTIFS('00 Encuesta'!$B$2:$B$511,"*d)*",'00 Encuesta'!$C$2:$C$511,"*b)*",'00 Encuesta'!$E$2:$E$511,"*b)*",'00 Encuesta'!$BA$2:$BA$511,"*f)*")</f>
        <v>1</v>
      </c>
      <c r="S425" s="52">
        <f t="shared" si="696"/>
        <v>7.6923076923076925</v>
      </c>
      <c r="T425" s="3"/>
      <c r="U425" s="51">
        <f t="shared" si="697"/>
        <v>0</v>
      </c>
      <c r="V425" s="52">
        <f t="shared" si="698"/>
        <v>0</v>
      </c>
      <c r="W425" s="53">
        <f>COUNTIFS('00 Encuesta'!$B$2:$B$511,"*d)*",'00 Encuesta'!$C$2:$C$511,"*c)*",'00 Encuesta'!$E$2:$E$511,"*a)*",'00 Encuesta'!$BA$2:$BA$511,"*f)*")</f>
        <v>0</v>
      </c>
      <c r="X425" s="52">
        <f t="shared" si="699"/>
        <v>0</v>
      </c>
      <c r="Y425" s="53">
        <f>COUNTIFS('00 Encuesta'!$B$2:$B$511,"*d)*",'00 Encuesta'!$C$2:$C$511,"*c)*",'00 Encuesta'!$E$2:$E$511,"*b)*",'00 Encuesta'!$BA$2:$BA$511,"*f)*")</f>
        <v>0</v>
      </c>
      <c r="Z425" s="52">
        <f t="shared" si="700"/>
        <v>0</v>
      </c>
      <c r="AA425" s="3"/>
      <c r="AB425" s="62">
        <f t="shared" si="701"/>
        <v>6</v>
      </c>
      <c r="AC425" s="52">
        <f t="shared" si="702"/>
        <v>9.5238095238095237</v>
      </c>
      <c r="AD425" s="3"/>
      <c r="AE425" s="3"/>
      <c r="AF425" s="9" t="str">
        <f t="shared" si="703"/>
        <v>f) Educadores que ademàs me han abierto caminos</v>
      </c>
      <c r="AG425" s="72">
        <f t="shared" si="704"/>
        <v>14.285714285714285</v>
      </c>
      <c r="AH425" s="72">
        <f t="shared" si="705"/>
        <v>33.333333333333329</v>
      </c>
      <c r="AI425" s="73">
        <f t="shared" si="706"/>
        <v>21.739130434782609</v>
      </c>
      <c r="AJ425" s="73"/>
      <c r="AK425" s="76">
        <f t="shared" si="707"/>
        <v>0</v>
      </c>
      <c r="AL425" s="76">
        <f t="shared" si="708"/>
        <v>7.6923076923076925</v>
      </c>
      <c r="AM425" s="76">
        <f t="shared" si="709"/>
        <v>5</v>
      </c>
      <c r="AN425" s="76"/>
      <c r="AO425" s="81">
        <f t="shared" si="710"/>
        <v>0</v>
      </c>
      <c r="AP425" s="81">
        <f t="shared" si="711"/>
        <v>0</v>
      </c>
      <c r="AQ425" s="81">
        <f t="shared" si="712"/>
        <v>0</v>
      </c>
      <c r="AR425" s="3"/>
      <c r="AS425" s="76">
        <f t="shared" si="688"/>
        <v>9.5238095238095237</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x14ac:dyDescent="0.3">
      <c r="A428" s="1" t="s">
        <v>17</v>
      </c>
      <c r="B428" s="2" t="s">
        <v>178</v>
      </c>
      <c r="C428" s="3"/>
      <c r="D428" s="3"/>
      <c r="E428" s="3"/>
      <c r="F428" s="5">
        <v>0</v>
      </c>
      <c r="G428" s="51">
        <f>I428+K428</f>
        <v>1</v>
      </c>
      <c r="H428" s="52">
        <f>G428/$J$5*100</f>
        <v>4.3478260869565215</v>
      </c>
      <c r="I428" s="53">
        <f>COUNTIFS('00 Encuesta'!$B$2:$B$511,"*d)*",'00 Encuesta'!$C$2:$C$511,"*a)*",'00 Encuesta'!$E$2:$E$511,"*a)*",'00 Encuesta'!$BB$2:$BB$511,"*a)*")</f>
        <v>1</v>
      </c>
      <c r="J428" s="52">
        <f>I428/$J$6*100</f>
        <v>7.1428571428571423</v>
      </c>
      <c r="K428" s="53">
        <f>COUNTIFS('00 Encuesta'!$B$2:$B$511,"*d)*",'00 Encuesta'!$C$2:$C$511,"*a)*",'00 Encuesta'!$E$2:$E$511,"*b)*",'00 Encuesta'!$BB$2:$BB$511,"*a)*")</f>
        <v>0</v>
      </c>
      <c r="L428" s="52">
        <f>K428/$J$7*100</f>
        <v>0</v>
      </c>
      <c r="M428" s="23"/>
      <c r="N428" s="51">
        <f>P428+R428</f>
        <v>2</v>
      </c>
      <c r="O428" s="52">
        <f>N428/$Q$5*100</f>
        <v>10</v>
      </c>
      <c r="P428" s="53">
        <f>COUNTIFS('00 Encuesta'!$B$2:$B$511,"*d)*",'00 Encuesta'!$C$2:$C$511,"*b)*",'00 Encuesta'!$E$2:$E$511,"*a)*",'00 Encuesta'!$BB$2:$BB$511,"*a)*")</f>
        <v>1</v>
      </c>
      <c r="Q428" s="52">
        <f>P428/$Q$6*100</f>
        <v>14.285714285714285</v>
      </c>
      <c r="R428" s="53">
        <f>COUNTIFS('00 Encuesta'!$B$2:$B$511,"*d)*",'00 Encuesta'!$C$2:$C$511,"*b)*",'00 Encuesta'!$E$2:$E$511,"*b)*",'00 Encuesta'!$BB$2:$BB$511,"*a)*")</f>
        <v>1</v>
      </c>
      <c r="S428" s="52">
        <f>R428/$Q$7*100</f>
        <v>7.6923076923076925</v>
      </c>
      <c r="T428" s="3"/>
      <c r="U428" s="51">
        <f>W428+Y428</f>
        <v>0</v>
      </c>
      <c r="V428" s="52">
        <f>U428/$X$5*100</f>
        <v>0</v>
      </c>
      <c r="W428" s="53">
        <f>COUNTIFS('00 Encuesta'!$B$2:$B$511,"*d)*",'00 Encuesta'!$C$2:$C$511,"*c)*",'00 Encuesta'!$E$2:$E$511,"*a)*",'00 Encuesta'!$BB$2:$BB$511,"*a)*")</f>
        <v>0</v>
      </c>
      <c r="X428" s="52">
        <f>W428/$X$6*100</f>
        <v>0</v>
      </c>
      <c r="Y428" s="53">
        <f>COUNTIFS('00 Encuesta'!$B$2:$B$511,"*d)*",'00 Encuesta'!$C$2:$C$511,"*c)*",'00 Encuesta'!$E$2:$E$511,"*b)*",'00 Encuesta'!$BB$2:$BB$511,"*a)*")</f>
        <v>0</v>
      </c>
      <c r="Z428" s="52">
        <f>Y428/$X$7*100</f>
        <v>0</v>
      </c>
      <c r="AA428" s="3"/>
      <c r="AB428" s="62">
        <f>G428+N428+U428</f>
        <v>3</v>
      </c>
      <c r="AC428" s="52">
        <f>AB428*100/$AC$5</f>
        <v>4.7619047619047619</v>
      </c>
      <c r="AD428" s="3"/>
      <c r="AE428" s="3"/>
      <c r="AF428" s="9" t="str">
        <f t="shared" si="713"/>
        <v>a) No, en absoluto</v>
      </c>
      <c r="AG428" s="72">
        <f>J428</f>
        <v>7.1428571428571423</v>
      </c>
      <c r="AH428" s="72">
        <f>L428</f>
        <v>0</v>
      </c>
      <c r="AI428" s="73">
        <f>H428</f>
        <v>4.3478260869565215</v>
      </c>
      <c r="AJ428" s="73"/>
      <c r="AK428" s="76">
        <f>Q428</f>
        <v>14.285714285714285</v>
      </c>
      <c r="AL428" s="76">
        <f>S428</f>
        <v>7.6923076923076925</v>
      </c>
      <c r="AM428" s="76">
        <f>O428</f>
        <v>10</v>
      </c>
      <c r="AN428" s="76"/>
      <c r="AO428" s="81">
        <f>X428</f>
        <v>0</v>
      </c>
      <c r="AP428" s="81">
        <f>Z428</f>
        <v>0</v>
      </c>
      <c r="AQ428" s="81">
        <f>V428</f>
        <v>0</v>
      </c>
      <c r="AR428" s="3"/>
      <c r="AS428" s="76">
        <f t="shared" si="688"/>
        <v>4.7619047619047619</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x14ac:dyDescent="0.3">
      <c r="A429" s="1" t="s">
        <v>18</v>
      </c>
      <c r="B429" s="2" t="s">
        <v>104</v>
      </c>
      <c r="C429" s="3"/>
      <c r="D429" s="3"/>
      <c r="E429" s="3"/>
      <c r="F429" s="4">
        <v>33.33</v>
      </c>
      <c r="G429" s="51">
        <f>I429+K429</f>
        <v>8</v>
      </c>
      <c r="H429" s="52">
        <f>G429/$J$5*100</f>
        <v>34.782608695652172</v>
      </c>
      <c r="I429" s="53">
        <f>COUNTIFS('00 Encuesta'!$B$2:$B$511,"*d)*",'00 Encuesta'!$C$2:$C$511,"*a)*",'00 Encuesta'!$E$2:$E$511,"*a)*",'00 Encuesta'!$BB$2:$BB$511,"*b)*")</f>
        <v>5</v>
      </c>
      <c r="J429" s="52">
        <f>I429/$J$6*100</f>
        <v>35.714285714285715</v>
      </c>
      <c r="K429" s="53">
        <f>COUNTIFS('00 Encuesta'!$B$2:$B$511,"*d)*",'00 Encuesta'!$C$2:$C$511,"*a)*",'00 Encuesta'!$E$2:$E$511,"*b)*",'00 Encuesta'!$BB$2:$BB$511,"*b)*")</f>
        <v>3</v>
      </c>
      <c r="L429" s="52">
        <f>K429/$J$7*100</f>
        <v>33.333333333333329</v>
      </c>
      <c r="M429" s="23"/>
      <c r="N429" s="51">
        <f>P429+R429</f>
        <v>6</v>
      </c>
      <c r="O429" s="52">
        <f>N429/$Q$5*100</f>
        <v>30</v>
      </c>
      <c r="P429" s="53">
        <f>COUNTIFS('00 Encuesta'!$B$2:$B$511,"*d)*",'00 Encuesta'!$C$2:$C$511,"*b)*",'00 Encuesta'!$E$2:$E$511,"*a)*",'00 Encuesta'!$BB$2:$BB$511,"*b)*")</f>
        <v>4</v>
      </c>
      <c r="Q429" s="52">
        <f>P429/$Q$6*100</f>
        <v>57.142857142857139</v>
      </c>
      <c r="R429" s="53">
        <f>COUNTIFS('00 Encuesta'!$B$2:$B$511,"*d)*",'00 Encuesta'!$C$2:$C$511,"*b)*",'00 Encuesta'!$E$2:$E$511,"*b)*",'00 Encuesta'!$BB$2:$BB$511,"*b)*")</f>
        <v>2</v>
      </c>
      <c r="S429" s="52">
        <f>R429/$Q$7*100</f>
        <v>15.384615384615385</v>
      </c>
      <c r="T429" s="3"/>
      <c r="U429" s="51">
        <f>W429+Y429</f>
        <v>12</v>
      </c>
      <c r="V429" s="52">
        <f>U429/$X$5*100</f>
        <v>60</v>
      </c>
      <c r="W429" s="53">
        <f>COUNTIFS('00 Encuesta'!$B$2:$B$511,"*d)*",'00 Encuesta'!$C$2:$C$511,"*c)*",'00 Encuesta'!$E$2:$E$511,"*a)*",'00 Encuesta'!$BB$2:$BB$511,"*b)*")</f>
        <v>3</v>
      </c>
      <c r="X429" s="52">
        <f>W429/$X$6*100</f>
        <v>60</v>
      </c>
      <c r="Y429" s="53">
        <f>COUNTIFS('00 Encuesta'!$B$2:$B$511,"*d)*",'00 Encuesta'!$C$2:$C$511,"*c)*",'00 Encuesta'!$E$2:$E$511,"*b)*",'00 Encuesta'!$BB$2:$BB$511,"*b)*")</f>
        <v>9</v>
      </c>
      <c r="Z429" s="52">
        <f>Y429/$X$7*100</f>
        <v>60</v>
      </c>
      <c r="AA429" s="3"/>
      <c r="AB429" s="62">
        <f>G429+N429+U429</f>
        <v>26</v>
      </c>
      <c r="AC429" s="52">
        <f>AB429*100/$AC$5</f>
        <v>41.269841269841272</v>
      </c>
      <c r="AD429" s="3"/>
      <c r="AE429" s="3"/>
      <c r="AF429" s="9" t="str">
        <f t="shared" si="713"/>
        <v>b) Poco</v>
      </c>
      <c r="AG429" s="72">
        <f>J429</f>
        <v>35.714285714285715</v>
      </c>
      <c r="AH429" s="72">
        <f>L429</f>
        <v>33.333333333333329</v>
      </c>
      <c r="AI429" s="73">
        <f>H429</f>
        <v>34.782608695652172</v>
      </c>
      <c r="AJ429" s="73"/>
      <c r="AK429" s="76">
        <f>Q429</f>
        <v>57.142857142857139</v>
      </c>
      <c r="AL429" s="76">
        <f>S429</f>
        <v>15.384615384615385</v>
      </c>
      <c r="AM429" s="76">
        <f>O429</f>
        <v>30</v>
      </c>
      <c r="AN429" s="76"/>
      <c r="AO429" s="81">
        <f>X429</f>
        <v>60</v>
      </c>
      <c r="AP429" s="81">
        <f>Z429</f>
        <v>60</v>
      </c>
      <c r="AQ429" s="81">
        <f>V429</f>
        <v>60</v>
      </c>
      <c r="AR429" s="3"/>
      <c r="AS429" s="76">
        <f t="shared" si="688"/>
        <v>41.269841269841272</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x14ac:dyDescent="0.3">
      <c r="A430" s="1" t="s">
        <v>20</v>
      </c>
      <c r="B430" s="2" t="s">
        <v>179</v>
      </c>
      <c r="C430" s="3"/>
      <c r="D430" s="3"/>
      <c r="E430" s="3"/>
      <c r="F430" s="4">
        <v>66.66</v>
      </c>
      <c r="G430" s="51">
        <f>I430+K430</f>
        <v>8</v>
      </c>
      <c r="H430" s="52">
        <f>G430/$J$5*100</f>
        <v>34.782608695652172</v>
      </c>
      <c r="I430" s="53">
        <f>COUNTIFS('00 Encuesta'!$B$2:$B$511,"*d)*",'00 Encuesta'!$C$2:$C$511,"*a)*",'00 Encuesta'!$E$2:$E$511,"*a)*",'00 Encuesta'!$BB$2:$BB$511,"*c)*")</f>
        <v>4</v>
      </c>
      <c r="J430" s="52">
        <f>I430/$J$6*100</f>
        <v>28.571428571428569</v>
      </c>
      <c r="K430" s="53">
        <f>COUNTIFS('00 Encuesta'!$B$2:$B$511,"*d)*",'00 Encuesta'!$C$2:$C$511,"*a)*",'00 Encuesta'!$E$2:$E$511,"*b)*",'00 Encuesta'!$BB$2:$BB$511,"*c)*")</f>
        <v>4</v>
      </c>
      <c r="L430" s="52">
        <f>K430/$J$7*100</f>
        <v>44.444444444444443</v>
      </c>
      <c r="M430" s="23"/>
      <c r="N430" s="51">
        <f>P430+R430</f>
        <v>11</v>
      </c>
      <c r="O430" s="52">
        <f>N430/$Q$5*100</f>
        <v>55.000000000000007</v>
      </c>
      <c r="P430" s="53">
        <f>COUNTIFS('00 Encuesta'!$B$2:$B$511,"*d)*",'00 Encuesta'!$C$2:$C$511,"*b)*",'00 Encuesta'!$E$2:$E$511,"*a)*",'00 Encuesta'!$BB$2:$BB$511,"*c)*")</f>
        <v>2</v>
      </c>
      <c r="Q430" s="52">
        <f>P430/$Q$6*100</f>
        <v>28.571428571428569</v>
      </c>
      <c r="R430" s="53">
        <f>COUNTIFS('00 Encuesta'!$B$2:$B$511,"*d)*",'00 Encuesta'!$C$2:$C$511,"*b)*",'00 Encuesta'!$E$2:$E$511,"*b)*",'00 Encuesta'!$BB$2:$BB$511,"*c)*")</f>
        <v>9</v>
      </c>
      <c r="S430" s="52">
        <f>R430/$Q$7*100</f>
        <v>69.230769230769226</v>
      </c>
      <c r="T430" s="3"/>
      <c r="U430" s="51">
        <f>W430+Y430</f>
        <v>7</v>
      </c>
      <c r="V430" s="52">
        <f>U430/$X$5*100</f>
        <v>35</v>
      </c>
      <c r="W430" s="53">
        <f>COUNTIFS('00 Encuesta'!$B$2:$B$511,"*d)*",'00 Encuesta'!$C$2:$C$511,"*c)*",'00 Encuesta'!$E$2:$E$511,"*a)*",'00 Encuesta'!$BB$2:$BB$511,"*c)*")</f>
        <v>2</v>
      </c>
      <c r="X430" s="52">
        <f>W430/$X$6*100</f>
        <v>40</v>
      </c>
      <c r="Y430" s="53">
        <f>COUNTIFS('00 Encuesta'!$B$2:$B$511,"*d)*",'00 Encuesta'!$C$2:$C$511,"*c)*",'00 Encuesta'!$E$2:$E$511,"*b)*",'00 Encuesta'!$BB$2:$BB$511,"*c)*")</f>
        <v>5</v>
      </c>
      <c r="Z430" s="52">
        <f>Y430/$X$7*100</f>
        <v>33.333333333333329</v>
      </c>
      <c r="AA430" s="3"/>
      <c r="AB430" s="62">
        <f>G430+N430+U430</f>
        <v>26</v>
      </c>
      <c r="AC430" s="52">
        <f>AB430*100/$AC$5</f>
        <v>41.269841269841272</v>
      </c>
      <c r="AD430" s="3"/>
      <c r="AE430" s="3"/>
      <c r="AF430" s="9" t="str">
        <f t="shared" si="713"/>
        <v>c) Bastante</v>
      </c>
      <c r="AG430" s="72">
        <f>J430</f>
        <v>28.571428571428569</v>
      </c>
      <c r="AH430" s="72">
        <f>L430</f>
        <v>44.444444444444443</v>
      </c>
      <c r="AI430" s="73">
        <f>H430</f>
        <v>34.782608695652172</v>
      </c>
      <c r="AJ430" s="73"/>
      <c r="AK430" s="76">
        <f>Q430</f>
        <v>28.571428571428569</v>
      </c>
      <c r="AL430" s="76">
        <f>S430</f>
        <v>69.230769230769226</v>
      </c>
      <c r="AM430" s="76">
        <f>O430</f>
        <v>55.000000000000007</v>
      </c>
      <c r="AN430" s="76"/>
      <c r="AO430" s="81">
        <f>X430</f>
        <v>40</v>
      </c>
      <c r="AP430" s="81">
        <f>Z430</f>
        <v>33.333333333333329</v>
      </c>
      <c r="AQ430" s="81">
        <f>V430</f>
        <v>35</v>
      </c>
      <c r="AR430" s="3"/>
      <c r="AS430" s="76">
        <f t="shared" si="688"/>
        <v>41.269841269841272</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5</v>
      </c>
      <c r="H431" s="52">
        <f>G431/$J$5*100</f>
        <v>21.739130434782609</v>
      </c>
      <c r="I431" s="53">
        <f>COUNTIFS('00 Encuesta'!$B$2:$B$511,"*d)*",'00 Encuesta'!$C$2:$C$511,"*a)*",'00 Encuesta'!$E$2:$E$511,"*a)*",'00 Encuesta'!$BB$2:$BB$511,"*d)*")</f>
        <v>3</v>
      </c>
      <c r="J431" s="52">
        <f>I431/$J$6*100</f>
        <v>21.428571428571427</v>
      </c>
      <c r="K431" s="53">
        <f>COUNTIFS('00 Encuesta'!$B$2:$B$511,"*d)*",'00 Encuesta'!$C$2:$C$511,"*a)*",'00 Encuesta'!$E$2:$E$511,"*b)*",'00 Encuesta'!$BB$2:$BB$511,"*d)*")</f>
        <v>2</v>
      </c>
      <c r="L431" s="52">
        <f>K431/$J$7*100</f>
        <v>22.222222222222221</v>
      </c>
      <c r="M431" s="23"/>
      <c r="N431" s="51">
        <f>P431+R431</f>
        <v>1</v>
      </c>
      <c r="O431" s="52">
        <f>N431/$Q$5*100</f>
        <v>5</v>
      </c>
      <c r="P431" s="53">
        <f>COUNTIFS('00 Encuesta'!$B$2:$B$511,"*d)*",'00 Encuesta'!$C$2:$C$511,"*b)*",'00 Encuesta'!$E$2:$E$511,"*a)*",'00 Encuesta'!$BB$2:$BB$511,"*d)*")</f>
        <v>0</v>
      </c>
      <c r="Q431" s="52">
        <f>P431/$Q$6*100</f>
        <v>0</v>
      </c>
      <c r="R431" s="53">
        <f>COUNTIFS('00 Encuesta'!$B$2:$B$511,"*d)*",'00 Encuesta'!$C$2:$C$511,"*b)*",'00 Encuesta'!$E$2:$E$511,"*b)*",'00 Encuesta'!$BB$2:$BB$511,"*d)*")</f>
        <v>1</v>
      </c>
      <c r="S431" s="52">
        <f>R431/$Q$7*100</f>
        <v>7.6923076923076925</v>
      </c>
      <c r="T431" s="3"/>
      <c r="U431" s="51">
        <f>W431+Y431</f>
        <v>0</v>
      </c>
      <c r="V431" s="52">
        <f>U431/$X$5*100</f>
        <v>0</v>
      </c>
      <c r="W431" s="53">
        <f>COUNTIFS('00 Encuesta'!$B$2:$B$511,"*d)*",'00 Encuesta'!$C$2:$C$511,"*c)*",'00 Encuesta'!$E$2:$E$511,"*a)*",'00 Encuesta'!$BB$2:$BB$511,"*d)*")</f>
        <v>0</v>
      </c>
      <c r="X431" s="52">
        <f>W431/$X$6*100</f>
        <v>0</v>
      </c>
      <c r="Y431" s="53">
        <f>COUNTIFS('00 Encuesta'!$B$2:$B$511,"*d)*",'00 Encuesta'!$C$2:$C$511,"*c)*",'00 Encuesta'!$E$2:$E$511,"*b)*",'00 Encuesta'!$BB$2:$BB$511,"*d)*")</f>
        <v>0</v>
      </c>
      <c r="Z431" s="52">
        <f>Y431/$X$7*100</f>
        <v>0</v>
      </c>
      <c r="AA431" s="3"/>
      <c r="AB431" s="62">
        <f>G431+N431+U431</f>
        <v>6</v>
      </c>
      <c r="AC431" s="52">
        <f>AB431*100/$AC$5</f>
        <v>9.5238095238095237</v>
      </c>
      <c r="AD431" s="3"/>
      <c r="AE431" s="3"/>
      <c r="AF431" s="9" t="str">
        <f t="shared" si="713"/>
        <v>d) Mucho o muchìsimo</v>
      </c>
      <c r="AG431" s="72">
        <f>J431</f>
        <v>21.428571428571427</v>
      </c>
      <c r="AH431" s="72">
        <f>L431</f>
        <v>22.222222222222221</v>
      </c>
      <c r="AI431" s="73">
        <f>H431</f>
        <v>21.739130434782609</v>
      </c>
      <c r="AJ431" s="73"/>
      <c r="AK431" s="76">
        <f>Q431</f>
        <v>0</v>
      </c>
      <c r="AL431" s="76">
        <f>S431</f>
        <v>7.6923076923076925</v>
      </c>
      <c r="AM431" s="76">
        <f>O431</f>
        <v>5</v>
      </c>
      <c r="AN431" s="76"/>
      <c r="AO431" s="81">
        <f>X431</f>
        <v>0</v>
      </c>
      <c r="AP431" s="81">
        <f>Z431</f>
        <v>0</v>
      </c>
      <c r="AQ431" s="81">
        <f>V431</f>
        <v>0</v>
      </c>
      <c r="AR431" s="3"/>
      <c r="AS431" s="76">
        <f t="shared" si="688"/>
        <v>9.5238095238095237</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1</v>
      </c>
      <c r="H432" s="52">
        <f>G432/$J$5*100</f>
        <v>4.3478260869565215</v>
      </c>
      <c r="I432" s="53">
        <f>COUNTIFS('00 Encuesta'!$B$2:$B$511,"*d)*",'00 Encuesta'!$C$2:$C$511,"*a)*",'00 Encuesta'!$E$2:$E$511,"*a)*",'00 Encuesta'!$BB$2:$BB$511,"*e)*")</f>
        <v>1</v>
      </c>
      <c r="J432" s="52">
        <f>I432/$J$6*100</f>
        <v>7.1428571428571423</v>
      </c>
      <c r="K432" s="53">
        <f>COUNTIFS('00 Encuesta'!$B$2:$B$511,"*d)*",'00 Encuesta'!$C$2:$C$511,"*a)*",'00 Encuesta'!$E$2:$E$511,"*b)*",'00 Encuesta'!$BB$2:$BB$511,"*e)*")</f>
        <v>0</v>
      </c>
      <c r="L432" s="52">
        <f>K432/$J$7*100</f>
        <v>0</v>
      </c>
      <c r="M432" s="23"/>
      <c r="N432" s="51">
        <f>P432+R432</f>
        <v>0</v>
      </c>
      <c r="O432" s="52">
        <f>N432/$Q$5*100</f>
        <v>0</v>
      </c>
      <c r="P432" s="53">
        <f>COUNTIFS('00 Encuesta'!$B$2:$B$511,"*d)*",'00 Encuesta'!$C$2:$C$511,"*b)*",'00 Encuesta'!$E$2:$E$511,"*a)*",'00 Encuesta'!$BB$2:$BB$511,"*e)*")</f>
        <v>0</v>
      </c>
      <c r="Q432" s="52">
        <f>P432/$Q$6*100</f>
        <v>0</v>
      </c>
      <c r="R432" s="53">
        <f>COUNTIFS('00 Encuesta'!$B$2:$B$511,"*d)*",'00 Encuesta'!$C$2:$C$511,"*b)*",'00 Encuesta'!$E$2:$E$511,"*b)*",'00 Encuesta'!$BB$2:$BB$511,"*e)*")</f>
        <v>0</v>
      </c>
      <c r="S432" s="52">
        <f>R432/$Q$7*100</f>
        <v>0</v>
      </c>
      <c r="T432" s="3"/>
      <c r="U432" s="51">
        <f>W432+Y432</f>
        <v>1</v>
      </c>
      <c r="V432" s="52">
        <f>U432/$X$5*100</f>
        <v>5</v>
      </c>
      <c r="W432" s="53">
        <f>COUNTIFS('00 Encuesta'!$B$2:$B$511,"*d)*",'00 Encuesta'!$C$2:$C$511,"*c)*",'00 Encuesta'!$E$2:$E$511,"*a)*",'00 Encuesta'!$BB$2:$BB$511,"*e)*")</f>
        <v>0</v>
      </c>
      <c r="X432" s="52">
        <f>W432/$X$6*100</f>
        <v>0</v>
      </c>
      <c r="Y432" s="53">
        <f>COUNTIFS('00 Encuesta'!$B$2:$B$511,"*d)*",'00 Encuesta'!$C$2:$C$511,"*c)*",'00 Encuesta'!$E$2:$E$511,"*b)*",'00 Encuesta'!$BB$2:$BB$511,"*e)*")</f>
        <v>1</v>
      </c>
      <c r="Z432" s="52">
        <f>Y432/$X$7*100</f>
        <v>6.666666666666667</v>
      </c>
      <c r="AA432" s="3"/>
      <c r="AB432" s="62">
        <f>G432+N432+U432</f>
        <v>2</v>
      </c>
      <c r="AC432" s="52">
        <f>AB432*100/$AC$5</f>
        <v>3.1746031746031744</v>
      </c>
      <c r="AD432" s="3"/>
      <c r="AE432" s="3"/>
      <c r="AF432" s="9" t="str">
        <f t="shared" si="713"/>
        <v>e) No sè</v>
      </c>
      <c r="AG432" s="72">
        <f>J432</f>
        <v>7.1428571428571423</v>
      </c>
      <c r="AH432" s="72">
        <f>L432</f>
        <v>0</v>
      </c>
      <c r="AI432" s="73">
        <f>H432</f>
        <v>4.3478260869565215</v>
      </c>
      <c r="AJ432" s="73"/>
      <c r="AK432" s="76">
        <f>Q432</f>
        <v>0</v>
      </c>
      <c r="AL432" s="76">
        <f>S432</f>
        <v>0</v>
      </c>
      <c r="AM432" s="76">
        <f>O432</f>
        <v>0</v>
      </c>
      <c r="AN432" s="76"/>
      <c r="AO432" s="81">
        <f>X432</f>
        <v>0</v>
      </c>
      <c r="AP432" s="81">
        <f>Z432</f>
        <v>6.666666666666667</v>
      </c>
      <c r="AQ432" s="81">
        <f>V432</f>
        <v>5</v>
      </c>
      <c r="AR432" s="3"/>
      <c r="AS432" s="76">
        <f t="shared" si="688"/>
        <v>3.1746031746031744</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56.406923076923071</v>
      </c>
      <c r="AH433" s="82">
        <f>($F428*K428+$F429*K429+$F430*K430+$F431*K431)/(+K428+K429+K430+K431)</f>
        <v>62.958888888888886</v>
      </c>
      <c r="AI433" s="82">
        <f>($F428*G428+$F429*G429+$F430*G430+$F431*G431)/(G428+G429+G430+G431)</f>
        <v>59.087272727272733</v>
      </c>
      <c r="AJ433" s="82"/>
      <c r="AK433" s="82">
        <f>(+$F428*Q428+$F429*Q429+$F430*Q430+$F431*Q431)/(+Q428+Q429+Q430+Q431)</f>
        <v>38.091428571428573</v>
      </c>
      <c r="AL433" s="82">
        <f>($F428*S428+$F429*S429+$F430*S430+$F431*S431)/(+S428+S429+S430+S431)</f>
        <v>58.969230769230762</v>
      </c>
      <c r="AM433" s="82">
        <f>($F428*O428+$F429*O429+$F430*O430+$F431*O431)/(O428+O429+O430+O431)</f>
        <v>51.661999999999999</v>
      </c>
      <c r="AN433" s="82"/>
      <c r="AO433" s="82">
        <f>($F428*W428+$F429*W429+$F430*W430+$F431*W431)/(W428+W429+W430+W431)</f>
        <v>46.661999999999999</v>
      </c>
      <c r="AP433" s="82">
        <f>($F428*Y428+$F429*Y429+$F430*Y430+$F431*Y431)/(Y428+Y429+Y430+Y431)</f>
        <v>45.23357142857143</v>
      </c>
      <c r="AQ433" s="82">
        <f>($F428*U428+$F429*U429+$F430*U430+$F431*U431)/(U428+U429+U430+U431)</f>
        <v>45.609473684210521</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x14ac:dyDescent="0.3">
      <c r="A435" s="1" t="s">
        <v>17</v>
      </c>
      <c r="B435" s="2" t="s">
        <v>278</v>
      </c>
      <c r="C435" s="3"/>
      <c r="D435" s="3"/>
      <c r="E435" s="3"/>
      <c r="F435" s="4">
        <v>0</v>
      </c>
      <c r="G435" s="51">
        <f>I435+K435</f>
        <v>2</v>
      </c>
      <c r="H435" s="52">
        <f>G435/$J$5*100</f>
        <v>8.695652173913043</v>
      </c>
      <c r="I435" s="53">
        <f>COUNTIFS('00 Encuesta'!$B$2:$B$511,"*d)*",'00 Encuesta'!$C$2:$C$511,"*a)*",'00 Encuesta'!$E$2:$E$511,"*a)*",'00 Encuesta'!$BC$2:$BC$511,"*a)*")</f>
        <v>2</v>
      </c>
      <c r="J435" s="52">
        <f>I435/$J$6*100</f>
        <v>14.285714285714285</v>
      </c>
      <c r="K435" s="53">
        <f>COUNTIFS('00 Encuesta'!$B$2:$B$511,"*d)*",'00 Encuesta'!$C$2:$C$511,"*a)*",'00 Encuesta'!$E$2:$E$511,"*b)*",'00 Encuesta'!$BC$2:$BC$511,"*a)*")</f>
        <v>0</v>
      </c>
      <c r="L435" s="52">
        <f>K435/$J$7*100</f>
        <v>0</v>
      </c>
      <c r="M435" s="23"/>
      <c r="N435" s="51">
        <f>P435+R435</f>
        <v>1</v>
      </c>
      <c r="O435" s="52">
        <f>N435/$Q$5*100</f>
        <v>5</v>
      </c>
      <c r="P435" s="53">
        <f>COUNTIFS('00 Encuesta'!$B$2:$B$511,"*d)*",'00 Encuesta'!$C$2:$C$511,"*b)*",'00 Encuesta'!$E$2:$E$511,"*a)*",'00 Encuesta'!$BC$2:$BC$511,"*a)*")</f>
        <v>1</v>
      </c>
      <c r="Q435" s="52">
        <f>P435/$Q$6*100</f>
        <v>14.285714285714285</v>
      </c>
      <c r="R435" s="53">
        <f>COUNTIFS('00 Encuesta'!$B$2:$B$511,"*d)*",'00 Encuesta'!$C$2:$C$511,"*b)*",'00 Encuesta'!$E$2:$E$511,"*b)*",'00 Encuesta'!$BC$2:$BC$511,"*a)*")</f>
        <v>0</v>
      </c>
      <c r="S435" s="52">
        <f>R435/$Q$7*100</f>
        <v>0</v>
      </c>
      <c r="T435" s="3"/>
      <c r="U435" s="51">
        <f>W435+Y435</f>
        <v>0</v>
      </c>
      <c r="V435" s="52">
        <f>U435/$X$5*100</f>
        <v>0</v>
      </c>
      <c r="W435" s="53">
        <f>COUNTIFS('00 Encuesta'!$B$2:$B$511,"*d)*",'00 Encuesta'!$C$2:$C$511,"*c)*",'00 Encuesta'!$E$2:$E$511,"*a)*",'00 Encuesta'!$BC$2:$BC$511,"*a)*")</f>
        <v>0</v>
      </c>
      <c r="X435" s="52">
        <f>W435/$X$6*100</f>
        <v>0</v>
      </c>
      <c r="Y435" s="53">
        <f>COUNTIFS('00 Encuesta'!$B$2:$B$511,"*d)*",'00 Encuesta'!$C$2:$C$511,"*c)*",'00 Encuesta'!$E$2:$E$511,"*b)*",'00 Encuesta'!$BC$2:$BC$511,"*a)*")</f>
        <v>0</v>
      </c>
      <c r="Z435" s="52">
        <f>Y435/$X$7*100</f>
        <v>0</v>
      </c>
      <c r="AA435" s="3"/>
      <c r="AB435" s="62">
        <f>G435+N435+U435</f>
        <v>3</v>
      </c>
      <c r="AC435" s="52">
        <f>AB435*100/$AC$5</f>
        <v>4.7619047619047619</v>
      </c>
      <c r="AD435" s="3"/>
      <c r="AE435" s="3"/>
      <c r="AF435" s="9" t="str">
        <f t="shared" si="714"/>
        <v>a) No me gustan en absoluto</v>
      </c>
      <c r="AG435" s="72">
        <f>J435</f>
        <v>14.285714285714285</v>
      </c>
      <c r="AH435" s="72">
        <f>L435</f>
        <v>0</v>
      </c>
      <c r="AI435" s="73">
        <f>H435</f>
        <v>8.695652173913043</v>
      </c>
      <c r="AJ435" s="73"/>
      <c r="AK435" s="76">
        <f>Q435</f>
        <v>14.285714285714285</v>
      </c>
      <c r="AL435" s="76">
        <f>S435</f>
        <v>0</v>
      </c>
      <c r="AM435" s="76">
        <f>O435</f>
        <v>5</v>
      </c>
      <c r="AN435" s="76"/>
      <c r="AO435" s="81">
        <f>X435</f>
        <v>0</v>
      </c>
      <c r="AP435" s="81">
        <f>Z435</f>
        <v>0</v>
      </c>
      <c r="AQ435" s="81">
        <f>V435</f>
        <v>0</v>
      </c>
      <c r="AR435" s="3"/>
      <c r="AS435" s="76">
        <f t="shared" si="688"/>
        <v>4.7619047619047619</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x14ac:dyDescent="0.3">
      <c r="A436" s="1" t="s">
        <v>18</v>
      </c>
      <c r="B436" s="2" t="s">
        <v>279</v>
      </c>
      <c r="C436" s="3"/>
      <c r="D436" s="3"/>
      <c r="E436" s="3"/>
      <c r="F436" s="4">
        <v>25</v>
      </c>
      <c r="G436" s="51">
        <f>I436+K436</f>
        <v>3</v>
      </c>
      <c r="H436" s="52">
        <f>G436/$J$5*100</f>
        <v>13.043478260869565</v>
      </c>
      <c r="I436" s="53">
        <f>COUNTIFS('00 Encuesta'!$B$2:$B$511,"*d)*",'00 Encuesta'!$C$2:$C$511,"*a)*",'00 Encuesta'!$E$2:$E$511,"*a)*",'00 Encuesta'!$BC$2:$BC$511,"*b)*")</f>
        <v>3</v>
      </c>
      <c r="J436" s="52">
        <f>I436/$J$6*100</f>
        <v>21.428571428571427</v>
      </c>
      <c r="K436" s="53">
        <f>COUNTIFS('00 Encuesta'!$B$2:$B$511,"*d)*",'00 Encuesta'!$C$2:$C$511,"*a)*",'00 Encuesta'!$E$2:$E$511,"*b)*",'00 Encuesta'!$BC$2:$BC$511,"*b)*")</f>
        <v>0</v>
      </c>
      <c r="L436" s="52">
        <f>K436/$J$7*100</f>
        <v>0</v>
      </c>
      <c r="M436" s="23"/>
      <c r="N436" s="51">
        <f>P436+R436</f>
        <v>0</v>
      </c>
      <c r="O436" s="52">
        <f>N436/$Q$5*100</f>
        <v>0</v>
      </c>
      <c r="P436" s="53">
        <f>COUNTIFS('00 Encuesta'!$B$2:$B$511,"*d)*",'00 Encuesta'!$C$2:$C$511,"*b)*",'00 Encuesta'!$E$2:$E$511,"*a)*",'00 Encuesta'!$BC$2:$BC$511,"*b)*")</f>
        <v>0</v>
      </c>
      <c r="Q436" s="52">
        <f>P436/$Q$6*100</f>
        <v>0</v>
      </c>
      <c r="R436" s="53">
        <f>COUNTIFS('00 Encuesta'!$B$2:$B$511,"*d)*",'00 Encuesta'!$C$2:$C$511,"*b)*",'00 Encuesta'!$E$2:$E$511,"*b)*",'00 Encuesta'!$BC$2:$BC$511,"*b)*")</f>
        <v>0</v>
      </c>
      <c r="S436" s="52">
        <f>R436/$Q$7*100</f>
        <v>0</v>
      </c>
      <c r="T436" s="3"/>
      <c r="U436" s="51">
        <f>W436+Y436</f>
        <v>3</v>
      </c>
      <c r="V436" s="52">
        <f>U436/$X$5*100</f>
        <v>15</v>
      </c>
      <c r="W436" s="53">
        <f>COUNTIFS('00 Encuesta'!$B$2:$B$511,"*d)*",'00 Encuesta'!$C$2:$C$511,"*c)*",'00 Encuesta'!$E$2:$E$511,"*a)*",'00 Encuesta'!$BC$2:$BC$511,"*b)*")</f>
        <v>2</v>
      </c>
      <c r="X436" s="52">
        <f>W436/$X$6*100</f>
        <v>40</v>
      </c>
      <c r="Y436" s="53">
        <f>COUNTIFS('00 Encuesta'!$B$2:$B$511,"*d)*",'00 Encuesta'!$C$2:$C$511,"*c)*",'00 Encuesta'!$E$2:$E$511,"*b)*",'00 Encuesta'!$BC$2:$BC$511,"*b)*")</f>
        <v>1</v>
      </c>
      <c r="Z436" s="52">
        <f>Y436/$X$7*100</f>
        <v>6.666666666666667</v>
      </c>
      <c r="AA436" s="3"/>
      <c r="AB436" s="62">
        <f>G436+N436+U436</f>
        <v>6</v>
      </c>
      <c r="AC436" s="52">
        <f>AB436*100/$AC$5</f>
        <v>9.5238095238095237</v>
      </c>
      <c r="AD436" s="3"/>
      <c r="AE436" s="3"/>
      <c r="AF436" s="9" t="str">
        <f t="shared" si="714"/>
        <v>b) Hay de todo tipo, pero predomina lo negativo</v>
      </c>
      <c r="AG436" s="72">
        <f>J436</f>
        <v>21.428571428571427</v>
      </c>
      <c r="AH436" s="72">
        <f>L436</f>
        <v>0</v>
      </c>
      <c r="AI436" s="73">
        <f>H436</f>
        <v>13.043478260869565</v>
      </c>
      <c r="AJ436" s="73"/>
      <c r="AK436" s="76">
        <f>Q436</f>
        <v>0</v>
      </c>
      <c r="AL436" s="76">
        <f>S436</f>
        <v>0</v>
      </c>
      <c r="AM436" s="76">
        <f>O436</f>
        <v>0</v>
      </c>
      <c r="AN436" s="76"/>
      <c r="AO436" s="81">
        <f>X436</f>
        <v>40</v>
      </c>
      <c r="AP436" s="81">
        <f>Z436</f>
        <v>6.666666666666667</v>
      </c>
      <c r="AQ436" s="81">
        <f>V436</f>
        <v>15</v>
      </c>
      <c r="AR436" s="3"/>
      <c r="AS436" s="76">
        <f t="shared" si="688"/>
        <v>9.5238095238095237</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x14ac:dyDescent="0.3">
      <c r="A437" s="1" t="s">
        <v>20</v>
      </c>
      <c r="B437" s="2" t="s">
        <v>280</v>
      </c>
      <c r="C437" s="3"/>
      <c r="D437" s="3"/>
      <c r="E437" s="3"/>
      <c r="F437" s="4">
        <v>50</v>
      </c>
      <c r="G437" s="51">
        <f>I437+K437</f>
        <v>6</v>
      </c>
      <c r="H437" s="52">
        <f>G437/$J$5*100</f>
        <v>26.086956521739129</v>
      </c>
      <c r="I437" s="53">
        <f>COUNTIFS('00 Encuesta'!$B$2:$B$511,"*d)*",'00 Encuesta'!$C$2:$C$511,"*a)*",'00 Encuesta'!$E$2:$E$511,"*a)*",'00 Encuesta'!$BC$2:$BC$511,"*c)*")</f>
        <v>3</v>
      </c>
      <c r="J437" s="52">
        <f>I437/$J$6*100</f>
        <v>21.428571428571427</v>
      </c>
      <c r="K437" s="53">
        <f>COUNTIFS('00 Encuesta'!$B$2:$B$511,"*d)*",'00 Encuesta'!$C$2:$C$511,"*a)*",'00 Encuesta'!$E$2:$E$511,"*b)*",'00 Encuesta'!$BC$2:$BC$511,"*c)*")</f>
        <v>3</v>
      </c>
      <c r="L437" s="52">
        <f>K437/$J$7*100</f>
        <v>33.333333333333329</v>
      </c>
      <c r="M437" s="23"/>
      <c r="N437" s="51">
        <f>P437+R437</f>
        <v>8</v>
      </c>
      <c r="O437" s="52">
        <f>N437/$Q$5*100</f>
        <v>40</v>
      </c>
      <c r="P437" s="53">
        <f>COUNTIFS('00 Encuesta'!$B$2:$B$511,"*d)*",'00 Encuesta'!$C$2:$C$511,"*b)*",'00 Encuesta'!$E$2:$E$511,"*a)*",'00 Encuesta'!$BC$2:$BC$511,"*c)*")</f>
        <v>3</v>
      </c>
      <c r="Q437" s="52">
        <f>P437/$Q$6*100</f>
        <v>42.857142857142854</v>
      </c>
      <c r="R437" s="53">
        <f>COUNTIFS('00 Encuesta'!$B$2:$B$511,"*d)*",'00 Encuesta'!$C$2:$C$511,"*b)*",'00 Encuesta'!$E$2:$E$511,"*b)*",'00 Encuesta'!$BC$2:$BC$511,"*c)*")</f>
        <v>5</v>
      </c>
      <c r="S437" s="52">
        <f>R437/$Q$7*100</f>
        <v>38.461538461538467</v>
      </c>
      <c r="T437" s="3"/>
      <c r="U437" s="51">
        <f>W437+Y437</f>
        <v>3</v>
      </c>
      <c r="V437" s="52">
        <f>U437/$X$5*100</f>
        <v>15</v>
      </c>
      <c r="W437" s="53">
        <f>COUNTIFS('00 Encuesta'!$B$2:$B$511,"*d)*",'00 Encuesta'!$C$2:$C$511,"*c)*",'00 Encuesta'!$E$2:$E$511,"*a)*",'00 Encuesta'!$BC$2:$BC$511,"*c)*")</f>
        <v>2</v>
      </c>
      <c r="X437" s="52">
        <f>W437/$X$6*100</f>
        <v>40</v>
      </c>
      <c r="Y437" s="53">
        <f>COUNTIFS('00 Encuesta'!$B$2:$B$511,"*d)*",'00 Encuesta'!$C$2:$C$511,"*c)*",'00 Encuesta'!$E$2:$E$511,"*b)*",'00 Encuesta'!$BC$2:$BC$511,"*c)*")</f>
        <v>1</v>
      </c>
      <c r="Z437" s="52">
        <f>Y437/$X$7*100</f>
        <v>6.666666666666667</v>
      </c>
      <c r="AA437" s="3"/>
      <c r="AB437" s="62">
        <f>G437+N437+U437</f>
        <v>17</v>
      </c>
      <c r="AC437" s="52">
        <f>AB437*100/$AC$5</f>
        <v>26.984126984126984</v>
      </c>
      <c r="AD437" s="3"/>
      <c r="AE437" s="3"/>
      <c r="AF437" s="9" t="str">
        <f t="shared" si="714"/>
        <v>c) Son personas normales y corrientes</v>
      </c>
      <c r="AG437" s="72">
        <f>J437</f>
        <v>21.428571428571427</v>
      </c>
      <c r="AH437" s="72">
        <f>L437</f>
        <v>33.333333333333329</v>
      </c>
      <c r="AI437" s="73">
        <f>H437</f>
        <v>26.086956521739129</v>
      </c>
      <c r="AJ437" s="73"/>
      <c r="AK437" s="76">
        <f>Q437</f>
        <v>42.857142857142854</v>
      </c>
      <c r="AL437" s="76">
        <f>S437</f>
        <v>38.461538461538467</v>
      </c>
      <c r="AM437" s="76">
        <f>O437</f>
        <v>40</v>
      </c>
      <c r="AN437" s="76"/>
      <c r="AO437" s="81">
        <f>X437</f>
        <v>40</v>
      </c>
      <c r="AP437" s="81">
        <f>Z437</f>
        <v>6.666666666666667</v>
      </c>
      <c r="AQ437" s="81">
        <f>V437</f>
        <v>15</v>
      </c>
      <c r="AR437" s="3"/>
      <c r="AS437" s="76">
        <f t="shared" si="688"/>
        <v>26.984126984126984</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x14ac:dyDescent="0.3">
      <c r="A438" s="1" t="s">
        <v>21</v>
      </c>
      <c r="B438" s="2" t="s">
        <v>281</v>
      </c>
      <c r="C438" s="3"/>
      <c r="D438" s="3"/>
      <c r="E438" s="3"/>
      <c r="F438" s="4">
        <v>75</v>
      </c>
      <c r="G438" s="51">
        <f>I438+K438</f>
        <v>1</v>
      </c>
      <c r="H438" s="52">
        <f>G438/$J$5*100</f>
        <v>4.3478260869565215</v>
      </c>
      <c r="I438" s="53">
        <f>COUNTIFS('00 Encuesta'!$B$2:$B$511,"*d)*",'00 Encuesta'!$C$2:$C$511,"*a)*",'00 Encuesta'!$E$2:$E$511,"*a)*",'00 Encuesta'!$BC$2:$BC$511,"*d)*")</f>
        <v>1</v>
      </c>
      <c r="J438" s="52">
        <f>I438/$J$6*100</f>
        <v>7.1428571428571423</v>
      </c>
      <c r="K438" s="53">
        <f>COUNTIFS('00 Encuesta'!$B$2:$B$511,"*d)*",'00 Encuesta'!$C$2:$C$511,"*a)*",'00 Encuesta'!$E$2:$E$511,"*b)*",'00 Encuesta'!$BC$2:$BC$511,"*d)*")</f>
        <v>0</v>
      </c>
      <c r="L438" s="52">
        <f>K438/$J$7*100</f>
        <v>0</v>
      </c>
      <c r="M438" s="23"/>
      <c r="N438" s="51">
        <f>P438+R438</f>
        <v>5</v>
      </c>
      <c r="O438" s="52">
        <f>N438/$Q$5*100</f>
        <v>25</v>
      </c>
      <c r="P438" s="53">
        <f>COUNTIFS('00 Encuesta'!$B$2:$B$511,"*d)*",'00 Encuesta'!$C$2:$C$511,"*b)*",'00 Encuesta'!$E$2:$E$511,"*a)*",'00 Encuesta'!$BC$2:$BC$511,"*d)*")</f>
        <v>3</v>
      </c>
      <c r="Q438" s="52">
        <f>P438/$Q$6*100</f>
        <v>42.857142857142854</v>
      </c>
      <c r="R438" s="53">
        <f>COUNTIFS('00 Encuesta'!$B$2:$B$511,"*d)*",'00 Encuesta'!$C$2:$C$511,"*b)*",'00 Encuesta'!$E$2:$E$511,"*b)*",'00 Encuesta'!$BC$2:$BC$511,"*d)*")</f>
        <v>2</v>
      </c>
      <c r="S438" s="52">
        <f>R438/$Q$7*100</f>
        <v>15.384615384615385</v>
      </c>
      <c r="T438" s="3"/>
      <c r="U438" s="51">
        <f>W438+Y438</f>
        <v>4</v>
      </c>
      <c r="V438" s="52">
        <f>U438/$X$5*100</f>
        <v>20</v>
      </c>
      <c r="W438" s="53">
        <f>COUNTIFS('00 Encuesta'!$B$2:$B$511,"*d)*",'00 Encuesta'!$C$2:$C$511,"*c)*",'00 Encuesta'!$E$2:$E$511,"*a)*",'00 Encuesta'!$BC$2:$BC$511,"*d)*")</f>
        <v>1</v>
      </c>
      <c r="X438" s="52">
        <f>W438/$X$6*100</f>
        <v>20</v>
      </c>
      <c r="Y438" s="53">
        <f>COUNTIFS('00 Encuesta'!$B$2:$B$511,"*d)*",'00 Encuesta'!$C$2:$C$511,"*c)*",'00 Encuesta'!$E$2:$E$511,"*b)*",'00 Encuesta'!$BC$2:$BC$511,"*d)*")</f>
        <v>3</v>
      </c>
      <c r="Z438" s="52">
        <f>Y438/$X$7*100</f>
        <v>20</v>
      </c>
      <c r="AA438" s="3"/>
      <c r="AB438" s="62">
        <f>G438+N438+U438</f>
        <v>10</v>
      </c>
      <c r="AC438" s="52">
        <f>AB438*100/$AC$5</f>
        <v>15.873015873015873</v>
      </c>
      <c r="AD438" s="3"/>
      <c r="AE438" s="3"/>
      <c r="AF438" s="9" t="str">
        <f t="shared" si="714"/>
        <v>d) Hay de todo tipo, pero predomina lo positivo</v>
      </c>
      <c r="AG438" s="72">
        <f>J438</f>
        <v>7.1428571428571423</v>
      </c>
      <c r="AH438" s="72">
        <f>L438</f>
        <v>0</v>
      </c>
      <c r="AI438" s="73">
        <f>H438</f>
        <v>4.3478260869565215</v>
      </c>
      <c r="AJ438" s="73"/>
      <c r="AK438" s="76">
        <f>Q438</f>
        <v>42.857142857142854</v>
      </c>
      <c r="AL438" s="76">
        <f>S438</f>
        <v>15.384615384615385</v>
      </c>
      <c r="AM438" s="76">
        <f>O438</f>
        <v>25</v>
      </c>
      <c r="AN438" s="76"/>
      <c r="AO438" s="81">
        <f>X438</f>
        <v>20</v>
      </c>
      <c r="AP438" s="81">
        <f>Z438</f>
        <v>20</v>
      </c>
      <c r="AQ438" s="81">
        <f>V438</f>
        <v>20</v>
      </c>
      <c r="AR438" s="3"/>
      <c r="AS438" s="76">
        <f t="shared" si="688"/>
        <v>15.873015873015873</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x14ac:dyDescent="0.3">
      <c r="A439" s="1" t="s">
        <v>22</v>
      </c>
      <c r="B439" s="2" t="s">
        <v>282</v>
      </c>
      <c r="C439" s="3"/>
      <c r="D439" s="3"/>
      <c r="E439" s="3"/>
      <c r="F439" s="4">
        <v>100</v>
      </c>
      <c r="G439" s="51">
        <f>I439+K439</f>
        <v>11</v>
      </c>
      <c r="H439" s="52">
        <f>G439/$J$5*100</f>
        <v>47.826086956521742</v>
      </c>
      <c r="I439" s="53">
        <f>COUNTIFS('00 Encuesta'!$B$2:$B$511,"*d)*",'00 Encuesta'!$C$2:$C$511,"*a)*",'00 Encuesta'!$E$2:$E$511,"*a)*",'00 Encuesta'!$BC$2:$BC$511,"*e)*")</f>
        <v>5</v>
      </c>
      <c r="J439" s="52">
        <f>I439/$J$6*100</f>
        <v>35.714285714285715</v>
      </c>
      <c r="K439" s="53">
        <f>COUNTIFS('00 Encuesta'!$B$2:$B$511,"*d)*",'00 Encuesta'!$C$2:$C$511,"*a)*",'00 Encuesta'!$E$2:$E$511,"*b)*",'00 Encuesta'!$BC$2:$BC$511,"*e)*")</f>
        <v>6</v>
      </c>
      <c r="L439" s="52">
        <f>K439/$J$7*100</f>
        <v>66.666666666666657</v>
      </c>
      <c r="M439" s="23"/>
      <c r="N439" s="51">
        <f>P439+R439</f>
        <v>6</v>
      </c>
      <c r="O439" s="52">
        <f>N439/$Q$5*100</f>
        <v>30</v>
      </c>
      <c r="P439" s="53">
        <f>COUNTIFS('00 Encuesta'!$B$2:$B$511,"*d)*",'00 Encuesta'!$C$2:$C$511,"*b)*",'00 Encuesta'!$E$2:$E$511,"*a)*",'00 Encuesta'!$BC$2:$BC$511,"*e)*")</f>
        <v>0</v>
      </c>
      <c r="Q439" s="52">
        <f>P439/$Q$6*100</f>
        <v>0</v>
      </c>
      <c r="R439" s="53">
        <f>COUNTIFS('00 Encuesta'!$B$2:$B$511,"*d)*",'00 Encuesta'!$C$2:$C$511,"*b)*",'00 Encuesta'!$E$2:$E$511,"*b)*",'00 Encuesta'!$BC$2:$BC$511,"*e)*")</f>
        <v>6</v>
      </c>
      <c r="S439" s="52">
        <f>R439/$Q$7*100</f>
        <v>46.153846153846153</v>
      </c>
      <c r="T439" s="3"/>
      <c r="U439" s="51">
        <f>W439+Y439</f>
        <v>10</v>
      </c>
      <c r="V439" s="52">
        <f>U439/$X$5*100</f>
        <v>50</v>
      </c>
      <c r="W439" s="53">
        <f>COUNTIFS('00 Encuesta'!$B$2:$B$511,"*d)*",'00 Encuesta'!$C$2:$C$511,"*c)*",'00 Encuesta'!$E$2:$E$511,"*a)*",'00 Encuesta'!$BC$2:$BC$511,"*e)*")</f>
        <v>0</v>
      </c>
      <c r="X439" s="52">
        <f>W439/$X$6*100</f>
        <v>0</v>
      </c>
      <c r="Y439" s="53">
        <f>COUNTIFS('00 Encuesta'!$B$2:$B$511,"*d)*",'00 Encuesta'!$C$2:$C$511,"*c)*",'00 Encuesta'!$E$2:$E$511,"*b)*",'00 Encuesta'!$BC$2:$BC$511,"*e)*")</f>
        <v>10</v>
      </c>
      <c r="Z439" s="52">
        <f>Y439/$X$7*100</f>
        <v>66.666666666666657</v>
      </c>
      <c r="AA439" s="3"/>
      <c r="AB439" s="62">
        <f>G439+N439+U439</f>
        <v>27</v>
      </c>
      <c r="AC439" s="52">
        <f>AB439*100/$AC$5</f>
        <v>42.857142857142854</v>
      </c>
      <c r="AD439" s="3"/>
      <c r="AE439" s="3"/>
      <c r="AF439" s="9" t="str">
        <f t="shared" si="714"/>
        <v>e) Son personas que me gustan y admiro</v>
      </c>
      <c r="AG439" s="72">
        <f>J439</f>
        <v>35.714285714285715</v>
      </c>
      <c r="AH439" s="72">
        <f>L439</f>
        <v>66.666666666666657</v>
      </c>
      <c r="AI439" s="73">
        <f>H439</f>
        <v>47.826086956521742</v>
      </c>
      <c r="AJ439" s="73"/>
      <c r="AK439" s="76">
        <f>Q439</f>
        <v>0</v>
      </c>
      <c r="AL439" s="76">
        <f>S439</f>
        <v>46.153846153846153</v>
      </c>
      <c r="AM439" s="76">
        <f>O439</f>
        <v>30</v>
      </c>
      <c r="AN439" s="76"/>
      <c r="AO439" s="81">
        <f>X439</f>
        <v>0</v>
      </c>
      <c r="AP439" s="81">
        <f>Z439</f>
        <v>66.666666666666657</v>
      </c>
      <c r="AQ439" s="81">
        <f>V439</f>
        <v>50</v>
      </c>
      <c r="AR439" s="3"/>
      <c r="AS439" s="76">
        <f t="shared" si="688"/>
        <v>42.857142857142854</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57.142857142857146</v>
      </c>
      <c r="AH440" s="82">
        <f>($F439*K439+$F435*K435+$F436*K436+$F437*K437+$F438*K438)/(K439+K435+K436+K437+K438)</f>
        <v>83.333333333333329</v>
      </c>
      <c r="AI440" s="82">
        <f>($F439*G439+$F435*G435+$F436*G436+$F437*G437+$F438*G438)/(G439+G435+G436+G437+G438)</f>
        <v>67.391304347826093</v>
      </c>
      <c r="AJ440" s="82"/>
      <c r="AK440" s="82">
        <f>($F439*Q439+$F435*Q435+$F436*Q436+$F437*Q437+$F438*Q438)/(Q439+Q435+Q436+Q437+Q438)</f>
        <v>53.571428571428569</v>
      </c>
      <c r="AL440" s="82">
        <f>($F439*S439+$F435*S435+$F436*S436+$F437*S437+$F438*S438)/(S439+S435+S436+S437+S438)</f>
        <v>76.923076923076934</v>
      </c>
      <c r="AM440" s="82">
        <f>($F439*O439+$F435*O435+$F436*O436+$F437*O437+$F438*O438)/(O439+O435+O436+O437+O438)</f>
        <v>68.75</v>
      </c>
      <c r="AN440" s="82"/>
      <c r="AO440" s="82">
        <f>($F439*W439+$F435*W435+$F436*W436+$F437*W437+$F438*W438)/(W439+W435+W436+W437+W438)</f>
        <v>45</v>
      </c>
      <c r="AP440" s="82">
        <f>($F439*Y439+$F435*Y435+$F436*Y436+$F437*Y437+$F438*Y438)/(Y439+Y435+Y436+Y437+Y438)</f>
        <v>86.666666666666671</v>
      </c>
      <c r="AQ440" s="82">
        <f>($F439*U439+$F435*U435+$F436*U436+$F437*U437+$F438*U438)/(U439+U435+U436+U437+U438)</f>
        <v>76.25</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715">I442+K442</f>
        <v>14</v>
      </c>
      <c r="H442" s="52">
        <f t="shared" ref="H442:H452" si="716">G442/$J$5*100</f>
        <v>60.869565217391312</v>
      </c>
      <c r="I442" s="53">
        <f>COUNTIFS('00 Encuesta'!$B$2:$B$511,"*d)*",'00 Encuesta'!$C$2:$C$511,"*a)*",'00 Encuesta'!$E$2:$E$511,"*a)*",'00 Encuesta'!$BD$2:$BD$511,"*a)*")</f>
        <v>7</v>
      </c>
      <c r="J442" s="52">
        <f t="shared" ref="J442:J452" si="717">I442/$J$6*100</f>
        <v>50</v>
      </c>
      <c r="K442" s="53">
        <f>COUNTIFS('00 Encuesta'!$B$2:$B$511,"*d)*",'00 Encuesta'!$C$2:$C$511,"*a)*",'00 Encuesta'!$E$2:$E$511,"*b)*",'00 Encuesta'!$BD$2:$BD$511,"*a)*")</f>
        <v>7</v>
      </c>
      <c r="L442" s="52">
        <f t="shared" ref="L442:L452" si="718">K442/$J$7*100</f>
        <v>77.777777777777786</v>
      </c>
      <c r="M442" s="23"/>
      <c r="N442" s="51">
        <f t="shared" ref="N442:N452" si="719">P442+R442</f>
        <v>9</v>
      </c>
      <c r="O442" s="52">
        <f t="shared" ref="O442:O452" si="720">N442/$Q$5*100</f>
        <v>45</v>
      </c>
      <c r="P442" s="53">
        <f>COUNTIFS('00 Encuesta'!$B$2:$B$511,"*d)*",'00 Encuesta'!$C$2:$C$511,"*b)*",'00 Encuesta'!$E$2:$E$511,"*a)*",'00 Encuesta'!$BD$2:$BD$511,"*a)*")</f>
        <v>3</v>
      </c>
      <c r="Q442" s="52">
        <f t="shared" ref="Q442:Q452" si="721">P442/$Q$6*100</f>
        <v>42.857142857142854</v>
      </c>
      <c r="R442" s="53">
        <f>COUNTIFS('00 Encuesta'!$B$2:$B$511,"*d)*",'00 Encuesta'!$C$2:$C$511,"*b)*",'00 Encuesta'!$E$2:$E$511,"*b)*",'00 Encuesta'!$BD$2:$BD$511,"*a)*")</f>
        <v>6</v>
      </c>
      <c r="S442" s="52">
        <f t="shared" ref="S442:S452" si="722">R442/$Q$7*100</f>
        <v>46.153846153846153</v>
      </c>
      <c r="T442" s="3"/>
      <c r="U442" s="51">
        <f t="shared" ref="U442:U452" si="723">W442+Y442</f>
        <v>9</v>
      </c>
      <c r="V442" s="52">
        <f t="shared" ref="V442:V452" si="724">U442/$X$5*100</f>
        <v>45</v>
      </c>
      <c r="W442" s="53">
        <f>COUNTIFS('00 Encuesta'!$B$2:$B$511,"*d)*",'00 Encuesta'!$C$2:$C$511,"*c)*",'00 Encuesta'!$E$2:$E$511,"*a)*",'00 Encuesta'!$BD$2:$BD$511,"*a)*")</f>
        <v>3</v>
      </c>
      <c r="X442" s="52">
        <f t="shared" ref="X442:X452" si="725">W442/$X$6*100</f>
        <v>60</v>
      </c>
      <c r="Y442" s="53">
        <f>COUNTIFS('00 Encuesta'!$B$2:$B$511,"*d)*",'00 Encuesta'!$C$2:$C$511,"*c)*",'00 Encuesta'!$E$2:$E$511,"*b)*",'00 Encuesta'!$BD$2:$BD$511,"*a)*")</f>
        <v>6</v>
      </c>
      <c r="Z442" s="52">
        <f t="shared" ref="Z442:Z452" si="726">Y442/$X$7*100</f>
        <v>40</v>
      </c>
      <c r="AA442" s="3"/>
      <c r="AB442" s="62">
        <f t="shared" ref="AB442:AB452" si="727">G442+N442+U442</f>
        <v>32</v>
      </c>
      <c r="AC442" s="52">
        <f t="shared" ref="AC442:AC452" si="728">AB442*100/$AC$5</f>
        <v>50.793650793650791</v>
      </c>
      <c r="AD442" s="3"/>
      <c r="AE442" s="3"/>
      <c r="AF442" s="9" t="str">
        <f t="shared" ref="AF442:AF452" si="729">A442&amp;" "&amp;B442</f>
        <v>a) Mi padre</v>
      </c>
      <c r="AG442" s="72">
        <f t="shared" ref="AG442:AG452" si="730">J442</f>
        <v>50</v>
      </c>
      <c r="AH442" s="72">
        <f t="shared" ref="AH442:AH452" si="731">L442</f>
        <v>77.777777777777786</v>
      </c>
      <c r="AI442" s="73">
        <f t="shared" ref="AI442:AI452" si="732">H442</f>
        <v>60.869565217391312</v>
      </c>
      <c r="AJ442" s="73"/>
      <c r="AK442" s="76">
        <f t="shared" ref="AK442:AK452" si="733">Q442</f>
        <v>42.857142857142854</v>
      </c>
      <c r="AL442" s="76">
        <f t="shared" ref="AL442:AL452" si="734">S442</f>
        <v>46.153846153846153</v>
      </c>
      <c r="AM442" s="76">
        <f t="shared" ref="AM442:AM452" si="735">O442</f>
        <v>45</v>
      </c>
      <c r="AN442" s="76"/>
      <c r="AO442" s="81">
        <f t="shared" ref="AO442:AO452" si="736">X442</f>
        <v>60</v>
      </c>
      <c r="AP442" s="81">
        <f t="shared" ref="AP442:AP452" si="737">Z442</f>
        <v>40</v>
      </c>
      <c r="AQ442" s="81">
        <f t="shared" ref="AQ442:AQ452" si="738">V442</f>
        <v>45</v>
      </c>
      <c r="AR442" s="3"/>
      <c r="AS442" s="76">
        <f t="shared" si="688"/>
        <v>50.793650793650791</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715"/>
        <v>17</v>
      </c>
      <c r="H443" s="52">
        <f t="shared" si="716"/>
        <v>73.91304347826086</v>
      </c>
      <c r="I443" s="53">
        <f>COUNTIFS('00 Encuesta'!$B$2:$B$511,"*d)*",'00 Encuesta'!$C$2:$C$511,"*a)*",'00 Encuesta'!$E$2:$E$511,"*a)*",'00 Encuesta'!$BD$2:$BD$511,"*b)*")</f>
        <v>10</v>
      </c>
      <c r="J443" s="52">
        <f t="shared" si="717"/>
        <v>71.428571428571431</v>
      </c>
      <c r="K443" s="53">
        <f>COUNTIFS('00 Encuesta'!$B$2:$B$511,"*d)*",'00 Encuesta'!$C$2:$C$511,"*a)*",'00 Encuesta'!$E$2:$E$511,"*b)*",'00 Encuesta'!$BD$2:$BD$511,"*b)*")</f>
        <v>7</v>
      </c>
      <c r="L443" s="52">
        <f t="shared" si="718"/>
        <v>77.777777777777786</v>
      </c>
      <c r="M443" s="23"/>
      <c r="N443" s="51">
        <f t="shared" si="719"/>
        <v>16</v>
      </c>
      <c r="O443" s="52">
        <f t="shared" si="720"/>
        <v>80</v>
      </c>
      <c r="P443" s="53">
        <f>COUNTIFS('00 Encuesta'!$B$2:$B$511,"*d)*",'00 Encuesta'!$C$2:$C$511,"*b)*",'00 Encuesta'!$E$2:$E$511,"*a)*",'00 Encuesta'!$BD$2:$BD$511,"*b)*")</f>
        <v>5</v>
      </c>
      <c r="Q443" s="52">
        <f t="shared" si="721"/>
        <v>71.428571428571431</v>
      </c>
      <c r="R443" s="53">
        <f>COUNTIFS('00 Encuesta'!$B$2:$B$511,"*d)*",'00 Encuesta'!$C$2:$C$511,"*b)*",'00 Encuesta'!$E$2:$E$511,"*b)*",'00 Encuesta'!$BD$2:$BD$511,"*b)*")</f>
        <v>11</v>
      </c>
      <c r="S443" s="52">
        <f t="shared" si="722"/>
        <v>84.615384615384613</v>
      </c>
      <c r="T443" s="3"/>
      <c r="U443" s="51">
        <f t="shared" si="723"/>
        <v>11</v>
      </c>
      <c r="V443" s="52">
        <f t="shared" si="724"/>
        <v>55.000000000000007</v>
      </c>
      <c r="W443" s="53">
        <f>COUNTIFS('00 Encuesta'!$B$2:$B$511,"*d)*",'00 Encuesta'!$C$2:$C$511,"*c)*",'00 Encuesta'!$E$2:$E$511,"*a)*",'00 Encuesta'!$BD$2:$BD$511,"*b)*")</f>
        <v>3</v>
      </c>
      <c r="X443" s="52">
        <f t="shared" si="725"/>
        <v>60</v>
      </c>
      <c r="Y443" s="53">
        <f>COUNTIFS('00 Encuesta'!$B$2:$B$511,"*d)*",'00 Encuesta'!$C$2:$C$511,"*c)*",'00 Encuesta'!$E$2:$E$511,"*b)*",'00 Encuesta'!$BD$2:$BD$511,"*b)*")</f>
        <v>8</v>
      </c>
      <c r="Z443" s="52">
        <f t="shared" si="726"/>
        <v>53.333333333333336</v>
      </c>
      <c r="AA443" s="3"/>
      <c r="AB443" s="62">
        <f t="shared" si="727"/>
        <v>44</v>
      </c>
      <c r="AC443" s="52">
        <f t="shared" si="728"/>
        <v>69.841269841269835</v>
      </c>
      <c r="AD443" s="3"/>
      <c r="AE443" s="3"/>
      <c r="AF443" s="9" t="str">
        <f t="shared" si="729"/>
        <v>b) Mi madre</v>
      </c>
      <c r="AG443" s="72">
        <f t="shared" si="730"/>
        <v>71.428571428571431</v>
      </c>
      <c r="AH443" s="72">
        <f t="shared" si="731"/>
        <v>77.777777777777786</v>
      </c>
      <c r="AI443" s="73">
        <f t="shared" si="732"/>
        <v>73.91304347826086</v>
      </c>
      <c r="AJ443" s="73"/>
      <c r="AK443" s="76">
        <f t="shared" si="733"/>
        <v>71.428571428571431</v>
      </c>
      <c r="AL443" s="76">
        <f t="shared" si="734"/>
        <v>84.615384615384613</v>
      </c>
      <c r="AM443" s="76">
        <f t="shared" si="735"/>
        <v>80</v>
      </c>
      <c r="AN443" s="76"/>
      <c r="AO443" s="81">
        <f t="shared" si="736"/>
        <v>60</v>
      </c>
      <c r="AP443" s="81">
        <f t="shared" si="737"/>
        <v>53.333333333333336</v>
      </c>
      <c r="AQ443" s="81">
        <f t="shared" si="738"/>
        <v>55.000000000000007</v>
      </c>
      <c r="AR443" s="3"/>
      <c r="AS443" s="76">
        <f t="shared" si="688"/>
        <v>69.841269841269835</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16</v>
      </c>
      <c r="H444" s="52">
        <f t="shared" si="716"/>
        <v>69.565217391304344</v>
      </c>
      <c r="I444" s="53">
        <f>COUNTIFS('00 Encuesta'!$B$2:$B$511,"*d)*",'00 Encuesta'!$C$2:$C$511,"*a)*",'00 Encuesta'!$E$2:$E$511,"*a)*",'00 Encuesta'!$BD$2:$BD$511,"*c)*")</f>
        <v>7</v>
      </c>
      <c r="J444" s="52">
        <f t="shared" si="717"/>
        <v>50</v>
      </c>
      <c r="K444" s="53">
        <f>COUNTIFS('00 Encuesta'!$B$2:$B$511,"*d)*",'00 Encuesta'!$C$2:$C$511,"*a)*",'00 Encuesta'!$E$2:$E$511,"*b)*",'00 Encuesta'!$BD$2:$BD$511,"*c)*")</f>
        <v>9</v>
      </c>
      <c r="L444" s="52">
        <f t="shared" si="718"/>
        <v>100</v>
      </c>
      <c r="M444" s="23"/>
      <c r="N444" s="51">
        <f t="shared" si="719"/>
        <v>11</v>
      </c>
      <c r="O444" s="52">
        <f t="shared" si="720"/>
        <v>55.000000000000007</v>
      </c>
      <c r="P444" s="53">
        <f>COUNTIFS('00 Encuesta'!$B$2:$B$511,"*d)*",'00 Encuesta'!$C$2:$C$511,"*b)*",'00 Encuesta'!$E$2:$E$511,"*a)*",'00 Encuesta'!$BD$2:$BD$511,"*c)*")</f>
        <v>5</v>
      </c>
      <c r="Q444" s="52">
        <f t="shared" si="721"/>
        <v>71.428571428571431</v>
      </c>
      <c r="R444" s="53">
        <f>COUNTIFS('00 Encuesta'!$B$2:$B$511,"*d)*",'00 Encuesta'!$C$2:$C$511,"*b)*",'00 Encuesta'!$E$2:$E$511,"*b)*",'00 Encuesta'!$BD$2:$BD$511,"*c)*")</f>
        <v>6</v>
      </c>
      <c r="S444" s="52">
        <f t="shared" si="722"/>
        <v>46.153846153846153</v>
      </c>
      <c r="T444" s="3"/>
      <c r="U444" s="51">
        <f t="shared" si="723"/>
        <v>8</v>
      </c>
      <c r="V444" s="52">
        <f t="shared" si="724"/>
        <v>40</v>
      </c>
      <c r="W444" s="53">
        <f>COUNTIFS('00 Encuesta'!$B$2:$B$511,"*d)*",'00 Encuesta'!$C$2:$C$511,"*c)*",'00 Encuesta'!$E$2:$E$511,"*a)*",'00 Encuesta'!$BD$2:$BD$511,"*c)*")</f>
        <v>2</v>
      </c>
      <c r="X444" s="52">
        <f t="shared" si="725"/>
        <v>40</v>
      </c>
      <c r="Y444" s="53">
        <f>COUNTIFS('00 Encuesta'!$B$2:$B$511,"*d)*",'00 Encuesta'!$C$2:$C$511,"*c)*",'00 Encuesta'!$E$2:$E$511,"*b)*",'00 Encuesta'!$BD$2:$BD$511,"*c)*")</f>
        <v>6</v>
      </c>
      <c r="Z444" s="52">
        <f t="shared" si="726"/>
        <v>40</v>
      </c>
      <c r="AA444" s="3"/>
      <c r="AB444" s="62">
        <f t="shared" si="727"/>
        <v>35</v>
      </c>
      <c r="AC444" s="52">
        <f t="shared" si="728"/>
        <v>55.555555555555557</v>
      </c>
      <c r="AD444" s="3"/>
      <c r="AE444" s="3"/>
      <c r="AF444" s="9" t="str">
        <f t="shared" si="729"/>
        <v>c) Un hermano/a</v>
      </c>
      <c r="AG444" s="72">
        <f t="shared" si="730"/>
        <v>50</v>
      </c>
      <c r="AH444" s="72">
        <f t="shared" si="731"/>
        <v>100</v>
      </c>
      <c r="AI444" s="73">
        <f t="shared" si="732"/>
        <v>69.565217391304344</v>
      </c>
      <c r="AJ444" s="73"/>
      <c r="AK444" s="76">
        <f t="shared" si="733"/>
        <v>71.428571428571431</v>
      </c>
      <c r="AL444" s="76">
        <f t="shared" si="734"/>
        <v>46.153846153846153</v>
      </c>
      <c r="AM444" s="76">
        <f t="shared" si="735"/>
        <v>55.000000000000007</v>
      </c>
      <c r="AN444" s="76"/>
      <c r="AO444" s="81">
        <f t="shared" si="736"/>
        <v>40</v>
      </c>
      <c r="AP444" s="81">
        <f t="shared" si="737"/>
        <v>40</v>
      </c>
      <c r="AQ444" s="81">
        <f t="shared" si="738"/>
        <v>40</v>
      </c>
      <c r="AR444" s="3"/>
      <c r="AS444" s="76">
        <f t="shared" si="688"/>
        <v>55.555555555555557</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4</v>
      </c>
      <c r="H445" s="52">
        <f t="shared" si="716"/>
        <v>17.391304347826086</v>
      </c>
      <c r="I445" s="53">
        <f>COUNTIFS('00 Encuesta'!$B$2:$B$511,"*d)*",'00 Encuesta'!$C$2:$C$511,"*a)*",'00 Encuesta'!$E$2:$E$511,"*a)*",'00 Encuesta'!$BD$2:$BD$511,"*d)*")</f>
        <v>1</v>
      </c>
      <c r="J445" s="52">
        <f t="shared" si="717"/>
        <v>7.1428571428571423</v>
      </c>
      <c r="K445" s="53">
        <f>COUNTIFS('00 Encuesta'!$B$2:$B$511,"*d)*",'00 Encuesta'!$C$2:$C$511,"*a)*",'00 Encuesta'!$E$2:$E$511,"*b)*",'00 Encuesta'!$BD$2:$BD$511,"*d)*")</f>
        <v>3</v>
      </c>
      <c r="L445" s="52">
        <f t="shared" si="718"/>
        <v>33.333333333333329</v>
      </c>
      <c r="M445" s="23"/>
      <c r="N445" s="51">
        <f t="shared" si="719"/>
        <v>8</v>
      </c>
      <c r="O445" s="52">
        <f t="shared" si="720"/>
        <v>40</v>
      </c>
      <c r="P445" s="53">
        <f>COUNTIFS('00 Encuesta'!$B$2:$B$511,"*d)*",'00 Encuesta'!$C$2:$C$511,"*b)*",'00 Encuesta'!$E$2:$E$511,"*a)*",'00 Encuesta'!$BD$2:$BD$511,"*d)*")</f>
        <v>2</v>
      </c>
      <c r="Q445" s="52">
        <f t="shared" si="721"/>
        <v>28.571428571428569</v>
      </c>
      <c r="R445" s="53">
        <f>COUNTIFS('00 Encuesta'!$B$2:$B$511,"*d)*",'00 Encuesta'!$C$2:$C$511,"*b)*",'00 Encuesta'!$E$2:$E$511,"*b)*",'00 Encuesta'!$BD$2:$BD$511,"*d)*")</f>
        <v>6</v>
      </c>
      <c r="S445" s="52">
        <f t="shared" si="722"/>
        <v>46.153846153846153</v>
      </c>
      <c r="T445" s="3"/>
      <c r="U445" s="51">
        <f t="shared" si="723"/>
        <v>4</v>
      </c>
      <c r="V445" s="52">
        <f t="shared" si="724"/>
        <v>20</v>
      </c>
      <c r="W445" s="53">
        <f>COUNTIFS('00 Encuesta'!$B$2:$B$511,"*d)*",'00 Encuesta'!$C$2:$C$511,"*c)*",'00 Encuesta'!$E$2:$E$511,"*a)*",'00 Encuesta'!$BD$2:$BD$511,"*d)*")</f>
        <v>0</v>
      </c>
      <c r="X445" s="52">
        <f t="shared" si="725"/>
        <v>0</v>
      </c>
      <c r="Y445" s="53">
        <f>COUNTIFS('00 Encuesta'!$B$2:$B$511,"*d)*",'00 Encuesta'!$C$2:$C$511,"*c)*",'00 Encuesta'!$E$2:$E$511,"*b)*",'00 Encuesta'!$BD$2:$BD$511,"*d)*")</f>
        <v>4</v>
      </c>
      <c r="Z445" s="52">
        <f t="shared" si="726"/>
        <v>26.666666666666668</v>
      </c>
      <c r="AA445" s="3"/>
      <c r="AB445" s="62">
        <f t="shared" si="727"/>
        <v>16</v>
      </c>
      <c r="AC445" s="52">
        <f t="shared" si="728"/>
        <v>25.396825396825395</v>
      </c>
      <c r="AD445" s="3"/>
      <c r="AE445" s="3"/>
      <c r="AF445" s="9" t="str">
        <f t="shared" si="729"/>
        <v>d) Un escolapio, religioso o religiosa</v>
      </c>
      <c r="AG445" s="72">
        <f t="shared" si="730"/>
        <v>7.1428571428571423</v>
      </c>
      <c r="AH445" s="72">
        <f t="shared" si="731"/>
        <v>33.333333333333329</v>
      </c>
      <c r="AI445" s="73">
        <f t="shared" si="732"/>
        <v>17.391304347826086</v>
      </c>
      <c r="AJ445" s="73"/>
      <c r="AK445" s="76">
        <f t="shared" si="733"/>
        <v>28.571428571428569</v>
      </c>
      <c r="AL445" s="76">
        <f t="shared" si="734"/>
        <v>46.153846153846153</v>
      </c>
      <c r="AM445" s="76">
        <f t="shared" si="735"/>
        <v>40</v>
      </c>
      <c r="AN445" s="76"/>
      <c r="AO445" s="81">
        <f t="shared" si="736"/>
        <v>0</v>
      </c>
      <c r="AP445" s="81">
        <f t="shared" si="737"/>
        <v>26.666666666666668</v>
      </c>
      <c r="AQ445" s="81">
        <f t="shared" si="738"/>
        <v>20</v>
      </c>
      <c r="AR445" s="3"/>
      <c r="AS445" s="76">
        <f t="shared" si="688"/>
        <v>25.396825396825395</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6</v>
      </c>
      <c r="H446" s="52">
        <f t="shared" si="716"/>
        <v>26.086956521739129</v>
      </c>
      <c r="I446" s="53">
        <f>COUNTIFS('00 Encuesta'!$B$2:$B$511,"*d)*",'00 Encuesta'!$C$2:$C$511,"*a)*",'00 Encuesta'!$E$2:$E$511,"*a)*",'00 Encuesta'!$BD$2:$BD$511,"*e)*")</f>
        <v>4</v>
      </c>
      <c r="J446" s="52">
        <f t="shared" si="717"/>
        <v>28.571428571428569</v>
      </c>
      <c r="K446" s="53">
        <f>COUNTIFS('00 Encuesta'!$B$2:$B$511,"*d)*",'00 Encuesta'!$C$2:$C$511,"*a)*",'00 Encuesta'!$E$2:$E$511,"*b)*",'00 Encuesta'!$BD$2:$BD$511,"*e)*")</f>
        <v>2</v>
      </c>
      <c r="L446" s="52">
        <f t="shared" si="718"/>
        <v>22.222222222222221</v>
      </c>
      <c r="M446" s="23"/>
      <c r="N446" s="51">
        <f t="shared" si="719"/>
        <v>4</v>
      </c>
      <c r="O446" s="52">
        <f t="shared" si="720"/>
        <v>20</v>
      </c>
      <c r="P446" s="53">
        <f>COUNTIFS('00 Encuesta'!$B$2:$B$511,"*d)*",'00 Encuesta'!$C$2:$C$511,"*b)*",'00 Encuesta'!$E$2:$E$511,"*a)*",'00 Encuesta'!$BD$2:$BD$511,"*e)*")</f>
        <v>1</v>
      </c>
      <c r="Q446" s="52">
        <f t="shared" si="721"/>
        <v>14.285714285714285</v>
      </c>
      <c r="R446" s="53">
        <f>COUNTIFS('00 Encuesta'!$B$2:$B$511,"*d)*",'00 Encuesta'!$C$2:$C$511,"*b)*",'00 Encuesta'!$E$2:$E$511,"*b)*",'00 Encuesta'!$BD$2:$BD$511,"*e)*")</f>
        <v>3</v>
      </c>
      <c r="S446" s="52">
        <f t="shared" si="722"/>
        <v>23.076923076923077</v>
      </c>
      <c r="T446" s="3"/>
      <c r="U446" s="51">
        <f t="shared" si="723"/>
        <v>1</v>
      </c>
      <c r="V446" s="52">
        <f t="shared" si="724"/>
        <v>5</v>
      </c>
      <c r="W446" s="53">
        <f>COUNTIFS('00 Encuesta'!$B$2:$B$511,"*d)*",'00 Encuesta'!$C$2:$C$511,"*c)*",'00 Encuesta'!$E$2:$E$511,"*a)*",'00 Encuesta'!$BD$2:$BD$511,"*e)*")</f>
        <v>0</v>
      </c>
      <c r="X446" s="52">
        <f t="shared" si="725"/>
        <v>0</v>
      </c>
      <c r="Y446" s="53">
        <f>COUNTIFS('00 Encuesta'!$B$2:$B$511,"*d)*",'00 Encuesta'!$C$2:$C$511,"*c)*",'00 Encuesta'!$E$2:$E$511,"*b)*",'00 Encuesta'!$BD$2:$BD$511,"*e)*")</f>
        <v>1</v>
      </c>
      <c r="Z446" s="52">
        <f t="shared" si="726"/>
        <v>6.666666666666667</v>
      </c>
      <c r="AA446" s="3"/>
      <c r="AB446" s="62">
        <f t="shared" si="727"/>
        <v>11</v>
      </c>
      <c r="AC446" s="52">
        <f t="shared" si="728"/>
        <v>17.460317460317459</v>
      </c>
      <c r="AD446" s="3"/>
      <c r="AE446" s="3"/>
      <c r="AF446" s="9" t="str">
        <f t="shared" si="729"/>
        <v>e) Una, una docente</v>
      </c>
      <c r="AG446" s="72">
        <f t="shared" si="730"/>
        <v>28.571428571428569</v>
      </c>
      <c r="AH446" s="72">
        <f t="shared" si="731"/>
        <v>22.222222222222221</v>
      </c>
      <c r="AI446" s="73">
        <f t="shared" si="732"/>
        <v>26.086956521739129</v>
      </c>
      <c r="AJ446" s="73"/>
      <c r="AK446" s="76">
        <f t="shared" si="733"/>
        <v>14.285714285714285</v>
      </c>
      <c r="AL446" s="76">
        <f t="shared" si="734"/>
        <v>23.076923076923077</v>
      </c>
      <c r="AM446" s="76">
        <f t="shared" si="735"/>
        <v>20</v>
      </c>
      <c r="AN446" s="76"/>
      <c r="AO446" s="81">
        <f t="shared" si="736"/>
        <v>0</v>
      </c>
      <c r="AP446" s="81">
        <f t="shared" si="737"/>
        <v>6.666666666666667</v>
      </c>
      <c r="AQ446" s="81">
        <f t="shared" si="738"/>
        <v>5</v>
      </c>
      <c r="AR446" s="3"/>
      <c r="AS446" s="76">
        <f t="shared" si="688"/>
        <v>17.460317460317459</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2</v>
      </c>
      <c r="H447" s="52">
        <f t="shared" si="716"/>
        <v>8.695652173913043</v>
      </c>
      <c r="I447" s="53">
        <f>COUNTIFS('00 Encuesta'!$B$2:$B$511,"*d)*",'00 Encuesta'!$C$2:$C$511,"*a)*",'00 Encuesta'!$E$2:$E$511,"*a)*",'00 Encuesta'!$BD$2:$BD$511,"*f)*")</f>
        <v>2</v>
      </c>
      <c r="J447" s="52">
        <f t="shared" si="717"/>
        <v>14.285714285714285</v>
      </c>
      <c r="K447" s="53">
        <f>COUNTIFS('00 Encuesta'!$B$2:$B$511,"*d)*",'00 Encuesta'!$C$2:$C$511,"*a)*",'00 Encuesta'!$E$2:$E$511,"*b)*",'00 Encuesta'!$BD$2:$BD$511,"*f)*")</f>
        <v>0</v>
      </c>
      <c r="L447" s="52">
        <f t="shared" si="718"/>
        <v>0</v>
      </c>
      <c r="M447" s="23"/>
      <c r="N447" s="51">
        <f t="shared" si="719"/>
        <v>4</v>
      </c>
      <c r="O447" s="52">
        <f t="shared" si="720"/>
        <v>20</v>
      </c>
      <c r="P447" s="53">
        <f>COUNTIFS('00 Encuesta'!$B$2:$B$511,"*d)*",'00 Encuesta'!$C$2:$C$511,"*b)*",'00 Encuesta'!$E$2:$E$511,"*a)*",'00 Encuesta'!$BD$2:$BD$511,"*f)*")</f>
        <v>1</v>
      </c>
      <c r="Q447" s="52">
        <f t="shared" si="721"/>
        <v>14.285714285714285</v>
      </c>
      <c r="R447" s="53">
        <f>COUNTIFS('00 Encuesta'!$B$2:$B$511,"*d)*",'00 Encuesta'!$C$2:$C$511,"*b)*",'00 Encuesta'!$E$2:$E$511,"*b)*",'00 Encuesta'!$BD$2:$BD$511,"*f)*")</f>
        <v>3</v>
      </c>
      <c r="S447" s="52">
        <f t="shared" si="722"/>
        <v>23.076923076923077</v>
      </c>
      <c r="T447" s="3"/>
      <c r="U447" s="51">
        <f t="shared" si="723"/>
        <v>1</v>
      </c>
      <c r="V447" s="52">
        <f t="shared" si="724"/>
        <v>5</v>
      </c>
      <c r="W447" s="53">
        <f>COUNTIFS('00 Encuesta'!$B$2:$B$511,"*d)*",'00 Encuesta'!$C$2:$C$511,"*c)*",'00 Encuesta'!$E$2:$E$511,"*a)*",'00 Encuesta'!$BD$2:$BD$511,"*f)*")</f>
        <v>0</v>
      </c>
      <c r="X447" s="52">
        <f t="shared" si="725"/>
        <v>0</v>
      </c>
      <c r="Y447" s="53">
        <f>COUNTIFS('00 Encuesta'!$B$2:$B$511,"*d)*",'00 Encuesta'!$C$2:$C$511,"*c)*",'00 Encuesta'!$E$2:$E$511,"*b)*",'00 Encuesta'!$BD$2:$BD$511,"*f)*")</f>
        <v>1</v>
      </c>
      <c r="Z447" s="52">
        <f t="shared" si="726"/>
        <v>6.666666666666667</v>
      </c>
      <c r="AA447" s="3"/>
      <c r="AB447" s="62">
        <f t="shared" si="727"/>
        <v>7</v>
      </c>
      <c r="AC447" s="52">
        <f t="shared" si="728"/>
        <v>11.111111111111111</v>
      </c>
      <c r="AD447" s="3"/>
      <c r="AE447" s="3"/>
      <c r="AF447" s="9" t="str">
        <f t="shared" si="729"/>
        <v>f) La orientadora</v>
      </c>
      <c r="AG447" s="72">
        <f t="shared" si="730"/>
        <v>14.285714285714285</v>
      </c>
      <c r="AH447" s="72">
        <f t="shared" si="731"/>
        <v>0</v>
      </c>
      <c r="AI447" s="73">
        <f t="shared" si="732"/>
        <v>8.695652173913043</v>
      </c>
      <c r="AJ447" s="73"/>
      <c r="AK447" s="76">
        <f t="shared" si="733"/>
        <v>14.285714285714285</v>
      </c>
      <c r="AL447" s="76">
        <f t="shared" si="734"/>
        <v>23.076923076923077</v>
      </c>
      <c r="AM447" s="76">
        <f t="shared" si="735"/>
        <v>20</v>
      </c>
      <c r="AN447" s="76"/>
      <c r="AO447" s="81">
        <f t="shared" si="736"/>
        <v>0</v>
      </c>
      <c r="AP447" s="81">
        <f t="shared" si="737"/>
        <v>6.666666666666667</v>
      </c>
      <c r="AQ447" s="81">
        <f t="shared" si="738"/>
        <v>5</v>
      </c>
      <c r="AR447" s="3"/>
      <c r="AS447" s="76">
        <f t="shared" si="688"/>
        <v>11.111111111111111</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8</v>
      </c>
      <c r="H448" s="52">
        <f t="shared" si="716"/>
        <v>34.782608695652172</v>
      </c>
      <c r="I448" s="53">
        <f>COUNTIFS('00 Encuesta'!$B$2:$B$511,"*d)*",'00 Encuesta'!$C$2:$C$511,"*a)*",'00 Encuesta'!$E$2:$E$511,"*a)*",'00 Encuesta'!$BD$2:$BD$511,"*g)*")</f>
        <v>6</v>
      </c>
      <c r="J448" s="52">
        <f t="shared" si="717"/>
        <v>42.857142857142854</v>
      </c>
      <c r="K448" s="53">
        <f>COUNTIFS('00 Encuesta'!$B$2:$B$511,"*d)*",'00 Encuesta'!$C$2:$C$511,"*a)*",'00 Encuesta'!$E$2:$E$511,"*b)*",'00 Encuesta'!$BD$2:$BD$511,"*g)*")</f>
        <v>2</v>
      </c>
      <c r="L448" s="52">
        <f t="shared" si="718"/>
        <v>22.222222222222221</v>
      </c>
      <c r="M448" s="23"/>
      <c r="N448" s="51">
        <f t="shared" si="719"/>
        <v>11</v>
      </c>
      <c r="O448" s="52">
        <f t="shared" si="720"/>
        <v>55.000000000000007</v>
      </c>
      <c r="P448" s="53">
        <f>COUNTIFS('00 Encuesta'!$B$2:$B$511,"*d)*",'00 Encuesta'!$C$2:$C$511,"*b)*",'00 Encuesta'!$E$2:$E$511,"*a)*",'00 Encuesta'!$BD$2:$BD$511,"*g)*")</f>
        <v>6</v>
      </c>
      <c r="Q448" s="52">
        <f t="shared" si="721"/>
        <v>85.714285714285708</v>
      </c>
      <c r="R448" s="53">
        <f>COUNTIFS('00 Encuesta'!$B$2:$B$511,"*d)*",'00 Encuesta'!$C$2:$C$511,"*b)*",'00 Encuesta'!$E$2:$E$511,"*b)*",'00 Encuesta'!$BD$2:$BD$511,"*g)*")</f>
        <v>5</v>
      </c>
      <c r="S448" s="52">
        <f t="shared" si="722"/>
        <v>38.461538461538467</v>
      </c>
      <c r="T448" s="3"/>
      <c r="U448" s="51">
        <f t="shared" si="723"/>
        <v>6</v>
      </c>
      <c r="V448" s="52">
        <f t="shared" si="724"/>
        <v>30</v>
      </c>
      <c r="W448" s="53">
        <f>COUNTIFS('00 Encuesta'!$B$2:$B$511,"*d)*",'00 Encuesta'!$C$2:$C$511,"*c)*",'00 Encuesta'!$E$2:$E$511,"*a)*",'00 Encuesta'!$BD$2:$BD$511,"*g)*")</f>
        <v>2</v>
      </c>
      <c r="X448" s="52">
        <f t="shared" si="725"/>
        <v>40</v>
      </c>
      <c r="Y448" s="53">
        <f>COUNTIFS('00 Encuesta'!$B$2:$B$511,"*d)*",'00 Encuesta'!$C$2:$C$511,"*c)*",'00 Encuesta'!$E$2:$E$511,"*b)*",'00 Encuesta'!$BD$2:$BD$511,"*g)*")</f>
        <v>4</v>
      </c>
      <c r="Z448" s="52">
        <f t="shared" si="726"/>
        <v>26.666666666666668</v>
      </c>
      <c r="AA448" s="3"/>
      <c r="AB448" s="62">
        <f t="shared" si="727"/>
        <v>25</v>
      </c>
      <c r="AC448" s="52">
        <f t="shared" si="728"/>
        <v>39.682539682539684</v>
      </c>
      <c r="AD448" s="3"/>
      <c r="AE448" s="3"/>
      <c r="AF448" s="9" t="str">
        <f t="shared" si="729"/>
        <v>g) Un amigo</v>
      </c>
      <c r="AG448" s="72">
        <f t="shared" si="730"/>
        <v>42.857142857142854</v>
      </c>
      <c r="AH448" s="72">
        <f t="shared" si="731"/>
        <v>22.222222222222221</v>
      </c>
      <c r="AI448" s="73">
        <f t="shared" si="732"/>
        <v>34.782608695652172</v>
      </c>
      <c r="AJ448" s="73"/>
      <c r="AK448" s="76">
        <f t="shared" si="733"/>
        <v>85.714285714285708</v>
      </c>
      <c r="AL448" s="76">
        <f t="shared" si="734"/>
        <v>38.461538461538467</v>
      </c>
      <c r="AM448" s="76">
        <f t="shared" si="735"/>
        <v>55.000000000000007</v>
      </c>
      <c r="AN448" s="76"/>
      <c r="AO448" s="81">
        <f t="shared" si="736"/>
        <v>40</v>
      </c>
      <c r="AP448" s="81">
        <f t="shared" si="737"/>
        <v>26.666666666666668</v>
      </c>
      <c r="AQ448" s="81">
        <f t="shared" si="738"/>
        <v>30</v>
      </c>
      <c r="AR448" s="3"/>
      <c r="AS448" s="76">
        <f t="shared" si="688"/>
        <v>39.682539682539684</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9</v>
      </c>
      <c r="H449" s="52">
        <f t="shared" si="716"/>
        <v>39.130434782608695</v>
      </c>
      <c r="I449" s="53">
        <f>COUNTIFS('00 Encuesta'!$B$2:$B$511,"*d)*",'00 Encuesta'!$C$2:$C$511,"*a)*",'00 Encuesta'!$E$2:$E$511,"*a)*",'00 Encuesta'!$BD$2:$BD$511,"*h)*")</f>
        <v>4</v>
      </c>
      <c r="J449" s="52">
        <f t="shared" si="717"/>
        <v>28.571428571428569</v>
      </c>
      <c r="K449" s="53">
        <f>COUNTIFS('00 Encuesta'!$B$2:$B$511,"*d)*",'00 Encuesta'!$C$2:$C$511,"*a)*",'00 Encuesta'!$E$2:$E$511,"*b)*",'00 Encuesta'!$BD$2:$BD$511,"*h)*")</f>
        <v>5</v>
      </c>
      <c r="L449" s="52">
        <f t="shared" si="718"/>
        <v>55.555555555555557</v>
      </c>
      <c r="M449" s="23"/>
      <c r="N449" s="51">
        <f t="shared" si="719"/>
        <v>11</v>
      </c>
      <c r="O449" s="52">
        <f t="shared" si="720"/>
        <v>55.000000000000007</v>
      </c>
      <c r="P449" s="53">
        <f>COUNTIFS('00 Encuesta'!$B$2:$B$511,"*d)*",'00 Encuesta'!$C$2:$C$511,"*b)*",'00 Encuesta'!$E$2:$E$511,"*a)*",'00 Encuesta'!$BD$2:$BD$511,"*h)*")</f>
        <v>3</v>
      </c>
      <c r="Q449" s="52">
        <f t="shared" si="721"/>
        <v>42.857142857142854</v>
      </c>
      <c r="R449" s="53">
        <f>COUNTIFS('00 Encuesta'!$B$2:$B$511,"*d)*",'00 Encuesta'!$C$2:$C$511,"*b)*",'00 Encuesta'!$E$2:$E$511,"*b)*",'00 Encuesta'!$BD$2:$BD$511,"*h)*")</f>
        <v>8</v>
      </c>
      <c r="S449" s="52">
        <f t="shared" si="722"/>
        <v>61.53846153846154</v>
      </c>
      <c r="T449" s="3"/>
      <c r="U449" s="51">
        <f t="shared" si="723"/>
        <v>16</v>
      </c>
      <c r="V449" s="52">
        <f t="shared" si="724"/>
        <v>80</v>
      </c>
      <c r="W449" s="53">
        <f>COUNTIFS('00 Encuesta'!$B$2:$B$511,"*d)*",'00 Encuesta'!$C$2:$C$511,"*c)*",'00 Encuesta'!$E$2:$E$511,"*a)*",'00 Encuesta'!$BD$2:$BD$511,"*h)*")</f>
        <v>3</v>
      </c>
      <c r="X449" s="52">
        <f t="shared" si="725"/>
        <v>60</v>
      </c>
      <c r="Y449" s="53">
        <f>COUNTIFS('00 Encuesta'!$B$2:$B$511,"*d)*",'00 Encuesta'!$C$2:$C$511,"*c)*",'00 Encuesta'!$E$2:$E$511,"*b)*",'00 Encuesta'!$BD$2:$BD$511,"*h)*")</f>
        <v>13</v>
      </c>
      <c r="Z449" s="52">
        <f t="shared" si="726"/>
        <v>86.666666666666671</v>
      </c>
      <c r="AA449" s="3"/>
      <c r="AB449" s="62">
        <f t="shared" si="727"/>
        <v>36</v>
      </c>
      <c r="AC449" s="52">
        <f t="shared" si="728"/>
        <v>57.142857142857146</v>
      </c>
      <c r="AD449" s="3"/>
      <c r="AE449" s="3"/>
      <c r="AF449" s="9" t="str">
        <f t="shared" si="729"/>
        <v>h) Una amiga</v>
      </c>
      <c r="AG449" s="72">
        <f t="shared" si="730"/>
        <v>28.571428571428569</v>
      </c>
      <c r="AH449" s="72">
        <f t="shared" si="731"/>
        <v>55.555555555555557</v>
      </c>
      <c r="AI449" s="73">
        <f t="shared" si="732"/>
        <v>39.130434782608695</v>
      </c>
      <c r="AJ449" s="73"/>
      <c r="AK449" s="76">
        <f t="shared" si="733"/>
        <v>42.857142857142854</v>
      </c>
      <c r="AL449" s="76">
        <f t="shared" si="734"/>
        <v>61.53846153846154</v>
      </c>
      <c r="AM449" s="76">
        <f t="shared" si="735"/>
        <v>55.000000000000007</v>
      </c>
      <c r="AN449" s="76"/>
      <c r="AO449" s="81">
        <f t="shared" si="736"/>
        <v>60</v>
      </c>
      <c r="AP449" s="81">
        <f t="shared" si="737"/>
        <v>86.666666666666671</v>
      </c>
      <c r="AQ449" s="81">
        <f t="shared" si="738"/>
        <v>80</v>
      </c>
      <c r="AR449" s="3"/>
      <c r="AS449" s="76">
        <f t="shared" si="688"/>
        <v>57.142857142857146</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0</v>
      </c>
      <c r="H450" s="52">
        <f t="shared" si="716"/>
        <v>0</v>
      </c>
      <c r="I450" s="53">
        <f>COUNTIFS('00 Encuesta'!$B$2:$B$511,"*d)*",'00 Encuesta'!$C$2:$C$511,"*a)*",'00 Encuesta'!$E$2:$E$511,"*a)*",'00 Encuesta'!$BD$2:$BD$511,"*i)*")</f>
        <v>0</v>
      </c>
      <c r="J450" s="52">
        <f t="shared" si="717"/>
        <v>0</v>
      </c>
      <c r="K450" s="53">
        <f>COUNTIFS('00 Encuesta'!$B$2:$B$511,"*d)*",'00 Encuesta'!$C$2:$C$511,"*a)*",'00 Encuesta'!$E$2:$E$511,"*b)*",'00 Encuesta'!$BD$2:$BD$511,"*i)*")</f>
        <v>0</v>
      </c>
      <c r="L450" s="52">
        <f t="shared" si="718"/>
        <v>0</v>
      </c>
      <c r="M450" s="23"/>
      <c r="N450" s="51">
        <f t="shared" si="719"/>
        <v>1</v>
      </c>
      <c r="O450" s="52">
        <f t="shared" si="720"/>
        <v>5</v>
      </c>
      <c r="P450" s="53">
        <f>COUNTIFS('00 Encuesta'!$B$2:$B$511,"*d)*",'00 Encuesta'!$C$2:$C$511,"*b)*",'00 Encuesta'!$E$2:$E$511,"*a)*",'00 Encuesta'!$BD$2:$BD$511,"*i)*")</f>
        <v>1</v>
      </c>
      <c r="Q450" s="52">
        <f t="shared" si="721"/>
        <v>14.285714285714285</v>
      </c>
      <c r="R450" s="53">
        <f>COUNTIFS('00 Encuesta'!$B$2:$B$511,"*d)*",'00 Encuesta'!$C$2:$C$511,"*b)*",'00 Encuesta'!$E$2:$E$511,"*b)*",'00 Encuesta'!$BD$2:$BD$511,"*i)*")</f>
        <v>0</v>
      </c>
      <c r="S450" s="52">
        <f t="shared" si="722"/>
        <v>0</v>
      </c>
      <c r="T450" s="3"/>
      <c r="U450" s="51">
        <f t="shared" si="723"/>
        <v>1</v>
      </c>
      <c r="V450" s="52">
        <f t="shared" si="724"/>
        <v>5</v>
      </c>
      <c r="W450" s="53">
        <f>COUNTIFS('00 Encuesta'!$B$2:$B$511,"*d)*",'00 Encuesta'!$C$2:$C$511,"*c)*",'00 Encuesta'!$E$2:$E$511,"*a)*",'00 Encuesta'!$BD$2:$BD$511,"*i)*")</f>
        <v>0</v>
      </c>
      <c r="X450" s="52">
        <f t="shared" si="725"/>
        <v>0</v>
      </c>
      <c r="Y450" s="53">
        <f>COUNTIFS('00 Encuesta'!$B$2:$B$511,"*d)*",'00 Encuesta'!$C$2:$C$511,"*c)*",'00 Encuesta'!$E$2:$E$511,"*b)*",'00 Encuesta'!$BD$2:$BD$511,"*i)*")</f>
        <v>1</v>
      </c>
      <c r="Z450" s="52">
        <f t="shared" si="726"/>
        <v>6.666666666666667</v>
      </c>
      <c r="AA450" s="3"/>
      <c r="AB450" s="62">
        <f t="shared" si="727"/>
        <v>2</v>
      </c>
      <c r="AC450" s="52">
        <f t="shared" si="728"/>
        <v>3.1746031746031744</v>
      </c>
      <c r="AD450" s="3"/>
      <c r="AE450" s="3"/>
      <c r="AF450" s="9" t="str">
        <f t="shared" si="729"/>
        <v>i) Un, una catequista o responsable de grupo</v>
      </c>
      <c r="AG450" s="72">
        <f t="shared" si="730"/>
        <v>0</v>
      </c>
      <c r="AH450" s="72">
        <f t="shared" si="731"/>
        <v>0</v>
      </c>
      <c r="AI450" s="73">
        <f t="shared" si="732"/>
        <v>0</v>
      </c>
      <c r="AJ450" s="73"/>
      <c r="AK450" s="76">
        <f t="shared" si="733"/>
        <v>14.285714285714285</v>
      </c>
      <c r="AL450" s="76">
        <f t="shared" si="734"/>
        <v>0</v>
      </c>
      <c r="AM450" s="76">
        <f t="shared" si="735"/>
        <v>5</v>
      </c>
      <c r="AN450" s="76"/>
      <c r="AO450" s="81">
        <f t="shared" si="736"/>
        <v>0</v>
      </c>
      <c r="AP450" s="81">
        <f t="shared" si="737"/>
        <v>6.666666666666667</v>
      </c>
      <c r="AQ450" s="81">
        <f t="shared" si="738"/>
        <v>5</v>
      </c>
      <c r="AR450" s="3"/>
      <c r="AS450" s="76">
        <f t="shared" si="688"/>
        <v>3.1746031746031744</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1</v>
      </c>
      <c r="H451" s="52">
        <f t="shared" si="716"/>
        <v>4.3478260869565215</v>
      </c>
      <c r="I451" s="53">
        <f>COUNTIFS('00 Encuesta'!$B$2:$B$511,"*d)*",'00 Encuesta'!$C$2:$C$511,"*a)*",'00 Encuesta'!$E$2:$E$511,"*a)*",'00 Encuesta'!$BD$2:$BD$511,"*j)*")</f>
        <v>1</v>
      </c>
      <c r="J451" s="52">
        <f t="shared" si="717"/>
        <v>7.1428571428571423</v>
      </c>
      <c r="K451" s="53">
        <f>COUNTIFS('00 Encuesta'!$B$2:$B$511,"*d)*",'00 Encuesta'!$C$2:$C$511,"*a)*",'00 Encuesta'!$E$2:$E$511,"*b)*",'00 Encuesta'!$BD$2:$BD$511,"*j)*")</f>
        <v>0</v>
      </c>
      <c r="L451" s="52">
        <f t="shared" si="718"/>
        <v>0</v>
      </c>
      <c r="M451" s="23"/>
      <c r="N451" s="51">
        <f t="shared" si="719"/>
        <v>3</v>
      </c>
      <c r="O451" s="52">
        <f t="shared" si="720"/>
        <v>15</v>
      </c>
      <c r="P451" s="53">
        <f>COUNTIFS('00 Encuesta'!$B$2:$B$511,"*d)*",'00 Encuesta'!$C$2:$C$511,"*b)*",'00 Encuesta'!$E$2:$E$511,"*a)*",'00 Encuesta'!$BD$2:$BD$511,"*j)*")</f>
        <v>2</v>
      </c>
      <c r="Q451" s="52">
        <f t="shared" si="721"/>
        <v>28.571428571428569</v>
      </c>
      <c r="R451" s="53">
        <f>COUNTIFS('00 Encuesta'!$B$2:$B$511,"*d)*",'00 Encuesta'!$C$2:$C$511,"*b)*",'00 Encuesta'!$E$2:$E$511,"*b)*",'00 Encuesta'!$BD$2:$BD$511,"*j)*")</f>
        <v>1</v>
      </c>
      <c r="S451" s="52">
        <f t="shared" si="722"/>
        <v>7.6923076923076925</v>
      </c>
      <c r="T451" s="3"/>
      <c r="U451" s="51">
        <f t="shared" si="723"/>
        <v>4</v>
      </c>
      <c r="V451" s="52">
        <f t="shared" si="724"/>
        <v>20</v>
      </c>
      <c r="W451" s="53">
        <f>COUNTIFS('00 Encuesta'!$B$2:$B$511,"*d)*",'00 Encuesta'!$C$2:$C$511,"*c)*",'00 Encuesta'!$E$2:$E$511,"*a)*",'00 Encuesta'!$BD$2:$BD$511,"*j)*")</f>
        <v>2</v>
      </c>
      <c r="X451" s="52">
        <f t="shared" si="725"/>
        <v>40</v>
      </c>
      <c r="Y451" s="53">
        <f>COUNTIFS('00 Encuesta'!$B$2:$B$511,"*d)*",'00 Encuesta'!$C$2:$C$511,"*c)*",'00 Encuesta'!$E$2:$E$511,"*b)*",'00 Encuesta'!$BD$2:$BD$511,"*j)*")</f>
        <v>2</v>
      </c>
      <c r="Z451" s="52">
        <f t="shared" si="726"/>
        <v>13.333333333333334</v>
      </c>
      <c r="AA451" s="3"/>
      <c r="AB451" s="62">
        <f t="shared" si="727"/>
        <v>8</v>
      </c>
      <c r="AC451" s="52">
        <f t="shared" si="728"/>
        <v>12.698412698412698</v>
      </c>
      <c r="AD451" s="3"/>
      <c r="AE451" s="3"/>
      <c r="AF451" s="9" t="str">
        <f t="shared" si="729"/>
        <v>j) Nadie</v>
      </c>
      <c r="AG451" s="72">
        <f t="shared" si="730"/>
        <v>7.1428571428571423</v>
      </c>
      <c r="AH451" s="72">
        <f t="shared" si="731"/>
        <v>0</v>
      </c>
      <c r="AI451" s="73">
        <f t="shared" si="732"/>
        <v>4.3478260869565215</v>
      </c>
      <c r="AJ451" s="73"/>
      <c r="AK451" s="76">
        <f t="shared" si="733"/>
        <v>28.571428571428569</v>
      </c>
      <c r="AL451" s="76">
        <f t="shared" si="734"/>
        <v>7.6923076923076925</v>
      </c>
      <c r="AM451" s="76">
        <f t="shared" si="735"/>
        <v>15</v>
      </c>
      <c r="AN451" s="76"/>
      <c r="AO451" s="81">
        <f t="shared" si="736"/>
        <v>40</v>
      </c>
      <c r="AP451" s="81">
        <f t="shared" si="737"/>
        <v>13.333333333333334</v>
      </c>
      <c r="AQ451" s="81">
        <f t="shared" si="738"/>
        <v>20</v>
      </c>
      <c r="AR451" s="3"/>
      <c r="AS451" s="76">
        <f t="shared" si="688"/>
        <v>12.698412698412698</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1</v>
      </c>
      <c r="H452" s="52">
        <f t="shared" si="716"/>
        <v>4.3478260869565215</v>
      </c>
      <c r="I452" s="53">
        <f>COUNTIFS('00 Encuesta'!$B$2:$B$511,"*d)*",'00 Encuesta'!$C$2:$C$511,"*a)*",'00 Encuesta'!$E$2:$E$511,"*a)*",'00 Encuesta'!$BD$2:$BD$511,"*k)*")</f>
        <v>1</v>
      </c>
      <c r="J452" s="52">
        <f t="shared" si="717"/>
        <v>7.1428571428571423</v>
      </c>
      <c r="K452" s="53">
        <f>COUNTIFS('00 Encuesta'!$B$2:$B$511,"*d)*",'00 Encuesta'!$C$2:$C$511,"*a)*",'00 Encuesta'!$E$2:$E$511,"*b)*",'00 Encuesta'!$BD$2:$BD$511,"*k)*")</f>
        <v>0</v>
      </c>
      <c r="L452" s="52">
        <f t="shared" si="718"/>
        <v>0</v>
      </c>
      <c r="M452" s="23"/>
      <c r="N452" s="51">
        <f t="shared" si="719"/>
        <v>1</v>
      </c>
      <c r="O452" s="52">
        <f t="shared" si="720"/>
        <v>5</v>
      </c>
      <c r="P452" s="53">
        <f>COUNTIFS('00 Encuesta'!$B$2:$B$511,"*d)*",'00 Encuesta'!$C$2:$C$511,"*b)*",'00 Encuesta'!$E$2:$E$511,"*a)*",'00 Encuesta'!$BD$2:$BD$511,"*k)*")</f>
        <v>1</v>
      </c>
      <c r="Q452" s="52">
        <f t="shared" si="721"/>
        <v>14.285714285714285</v>
      </c>
      <c r="R452" s="53">
        <f>COUNTIFS('00 Encuesta'!$B$2:$B$511,"*d)*",'00 Encuesta'!$C$2:$C$511,"*b)*",'00 Encuesta'!$E$2:$E$511,"*b)*",'00 Encuesta'!$BD$2:$BD$511,"*k)*")</f>
        <v>0</v>
      </c>
      <c r="S452" s="52">
        <f t="shared" si="722"/>
        <v>0</v>
      </c>
      <c r="T452" s="3"/>
      <c r="U452" s="51">
        <f t="shared" si="723"/>
        <v>2</v>
      </c>
      <c r="V452" s="52">
        <f t="shared" si="724"/>
        <v>10</v>
      </c>
      <c r="W452" s="53">
        <f>COUNTIFS('00 Encuesta'!$B$2:$B$511,"*d)*",'00 Encuesta'!$C$2:$C$511,"*c)*",'00 Encuesta'!$E$2:$E$511,"*a)*",'00 Encuesta'!$BD$2:$BD$511,"*k)*")</f>
        <v>0</v>
      </c>
      <c r="X452" s="52">
        <f t="shared" si="725"/>
        <v>0</v>
      </c>
      <c r="Y452" s="53">
        <f>COUNTIFS('00 Encuesta'!$B$2:$B$511,"*d)*",'00 Encuesta'!$C$2:$C$511,"*c)*",'00 Encuesta'!$E$2:$E$511,"*b)*",'00 Encuesta'!$BD$2:$BD$511,"*k)*")</f>
        <v>2</v>
      </c>
      <c r="Z452" s="52">
        <f t="shared" si="726"/>
        <v>13.333333333333334</v>
      </c>
      <c r="AA452" s="3"/>
      <c r="AB452" s="62">
        <f t="shared" si="727"/>
        <v>4</v>
      </c>
      <c r="AC452" s="52">
        <f t="shared" si="728"/>
        <v>6.3492063492063489</v>
      </c>
      <c r="AD452" s="3"/>
      <c r="AE452" s="3"/>
      <c r="AF452" s="9" t="str">
        <f t="shared" si="729"/>
        <v>k) No tengo problemas personales</v>
      </c>
      <c r="AG452" s="72">
        <f t="shared" si="730"/>
        <v>7.1428571428571423</v>
      </c>
      <c r="AH452" s="72">
        <f t="shared" si="731"/>
        <v>0</v>
      </c>
      <c r="AI452" s="73">
        <f t="shared" si="732"/>
        <v>4.3478260869565215</v>
      </c>
      <c r="AJ452" s="73"/>
      <c r="AK452" s="76">
        <f t="shared" si="733"/>
        <v>14.285714285714285</v>
      </c>
      <c r="AL452" s="76">
        <f t="shared" si="734"/>
        <v>0</v>
      </c>
      <c r="AM452" s="76">
        <f t="shared" si="735"/>
        <v>5</v>
      </c>
      <c r="AN452" s="76"/>
      <c r="AO452" s="81">
        <f t="shared" si="736"/>
        <v>0</v>
      </c>
      <c r="AP452" s="81">
        <f t="shared" si="737"/>
        <v>13.333333333333334</v>
      </c>
      <c r="AQ452" s="81">
        <f t="shared" si="738"/>
        <v>10</v>
      </c>
      <c r="AR452" s="3"/>
      <c r="AS452" s="76">
        <f t="shared" si="688"/>
        <v>6.3492063492063489</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workbookViewId="0">
      <selection sqref="A1:XFD1048576"/>
    </sheetView>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0</v>
      </c>
      <c r="K5" s="14" t="s">
        <v>7</v>
      </c>
      <c r="L5" s="15"/>
      <c r="M5" s="6"/>
      <c r="N5" s="93" t="s">
        <v>502</v>
      </c>
      <c r="O5" s="14"/>
      <c r="P5" s="13"/>
      <c r="Q5" s="13">
        <f>SUM(Q6:Q7)</f>
        <v>0</v>
      </c>
      <c r="R5" s="14" t="s">
        <v>7</v>
      </c>
      <c r="S5" s="15"/>
      <c r="T5" s="6"/>
      <c r="U5" s="93" t="s">
        <v>610</v>
      </c>
      <c r="V5" s="14"/>
      <c r="W5" s="13"/>
      <c r="X5" s="13">
        <f>SUM(X6:X7)</f>
        <v>0</v>
      </c>
      <c r="Y5" s="16" t="s">
        <v>7</v>
      </c>
      <c r="Z5" s="17"/>
      <c r="AA5" s="3"/>
      <c r="AB5" s="18" t="s">
        <v>8</v>
      </c>
      <c r="AC5" s="19">
        <f>J5+Q5+X5</f>
        <v>0</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Encuesta'!$B$2:$B$511,"*e)*",'00 Encuesta'!$C$2:$C$511,"*a)*",'00 Encuesta'!$E$2:$E$511,"*a)*")</f>
        <v>0</v>
      </c>
      <c r="K6" s="25" t="s">
        <v>523</v>
      </c>
      <c r="L6" s="26"/>
      <c r="M6" s="6"/>
      <c r="N6" s="27"/>
      <c r="O6" s="24"/>
      <c r="P6" s="24"/>
      <c r="Q6" s="23">
        <f>COUNTIFS('00 Encuesta'!$B$2:$B$511,"*e)*",'00 Encuesta'!$C$2:$C$511,"*b)*",'00 Encuesta'!$E$2:$E$511,"*a)*")</f>
        <v>0</v>
      </c>
      <c r="R6" s="25" t="s">
        <v>523</v>
      </c>
      <c r="S6" s="26"/>
      <c r="T6" s="6"/>
      <c r="U6" s="27"/>
      <c r="V6" s="24"/>
      <c r="W6" s="24"/>
      <c r="X6" s="23">
        <f>COUNTIFS('00 Encuesta'!$B$2:$B$511,"*e)*",'00 Encuesta'!$C$2:$C$511,"*c)*",'00 Encuesta'!$E$2:$E$511,"*a)*")</f>
        <v>0</v>
      </c>
      <c r="Y6" s="28" t="s">
        <v>523</v>
      </c>
      <c r="Z6" s="29"/>
      <c r="AA6" s="3"/>
      <c r="AB6" s="24"/>
      <c r="AC6" s="19">
        <f>J6+Q6+X6</f>
        <v>0</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Encuesta'!$B$2:$B$511,"*e)*",'00 Encuesta'!$C$2:$C$511,"*a)*",'00 Encuesta'!$E$2:$E$511,"*b)*")</f>
        <v>0</v>
      </c>
      <c r="K7" s="36" t="s">
        <v>524</v>
      </c>
      <c r="L7" s="37"/>
      <c r="M7" s="6"/>
      <c r="N7" s="38"/>
      <c r="O7" s="35"/>
      <c r="P7" s="35"/>
      <c r="Q7" s="34">
        <f>COUNTIFS('00 Encuesta'!$B$2:$B$511,"*e)*",'00 Encuesta'!$C$2:$C$511,"*b)*",'00 Encuesta'!$E$2:$E$511,"*b)*")</f>
        <v>0</v>
      </c>
      <c r="R7" s="36" t="s">
        <v>524</v>
      </c>
      <c r="S7" s="37"/>
      <c r="T7" s="6"/>
      <c r="U7" s="38"/>
      <c r="V7" s="35"/>
      <c r="W7" s="35"/>
      <c r="X7" s="34">
        <f>COUNTIFS('00 Encuesta'!$B$2:$B$511,"*e)*",'00 Encuesta'!$C$2:$C$511,"*c)*",'00 Encuesta'!$E$2:$E$511,"*b)*")</f>
        <v>0</v>
      </c>
      <c r="Y7" s="39" t="s">
        <v>524</v>
      </c>
      <c r="Z7" s="40"/>
      <c r="AA7" s="3"/>
      <c r="AB7" s="24"/>
      <c r="AC7" s="19">
        <f>J7+Q7+X7</f>
        <v>0</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611</v>
      </c>
      <c r="X9" s="48"/>
      <c r="Y9" s="46"/>
      <c r="Z9" s="47"/>
      <c r="AA9" s="3"/>
      <c r="AB9" s="49" t="s">
        <v>612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613</v>
      </c>
      <c r="AP12" s="67" t="s">
        <v>614</v>
      </c>
      <c r="AQ12" s="67" t="s">
        <v>610</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0</v>
      </c>
      <c r="H15" s="52" t="e">
        <f>G15/$J$5*100</f>
        <v>#DIV/0!</v>
      </c>
      <c r="I15" s="53">
        <f>COUNTIFS('00 Encuesta'!$B$2:$B$511,"*e)*",'00 Encuesta'!$C$2:$C$511,"*a)*",'00 Encuesta'!$E$2:$E$511,"*a)*",'00 Encuesta'!$D$2:$D$511,"*a)*")</f>
        <v>0</v>
      </c>
      <c r="J15" s="52" t="e">
        <f>I15/$J$6*100</f>
        <v>#DIV/0!</v>
      </c>
      <c r="K15" s="53">
        <f>COUNTIFS('00 Encuesta'!$B$2:$B$511,"*e)*",'00 Encuesta'!$C$2:$C$511,"*a)*",'00 Encuesta'!$E$2:$E$511,"*b)*",'00 Encuesta'!$D$2:$D$511,"*a)*")</f>
        <v>0</v>
      </c>
      <c r="L15" s="52" t="e">
        <f>K15/$J$7*100</f>
        <v>#DIV/0!</v>
      </c>
      <c r="M15" s="23"/>
      <c r="N15" s="51">
        <f>P15+R15</f>
        <v>0</v>
      </c>
      <c r="O15" s="52" t="e">
        <f>N15/$Q$5*100</f>
        <v>#DIV/0!</v>
      </c>
      <c r="P15" s="53">
        <f>COUNTIFS('00 Encuesta'!$B$2:$B$511,"*e)*",'00 Encuesta'!$C$2:$C$511,"*b)*",'00 Encuesta'!$E$2:$E$511,"*a)*",'00 Encuesta'!$D$2:$D$511,"*a)*")</f>
        <v>0</v>
      </c>
      <c r="Q15" s="52" t="e">
        <f>P15/$Q$6*100</f>
        <v>#DIV/0!</v>
      </c>
      <c r="R15" s="53">
        <f>COUNTIFS('00 Encuesta'!$B$2:$B$511,"*e)*",'00 Encuesta'!$C$2:$C$511,"*b)*",'00 Encuesta'!$E$2:$E$511,"*b)*",'00 Encuesta'!$D$2:$D$511,"*a)*")</f>
        <v>0</v>
      </c>
      <c r="S15" s="52" t="e">
        <f>R15/$Q$7*100</f>
        <v>#DIV/0!</v>
      </c>
      <c r="T15" s="3"/>
      <c r="U15" s="51">
        <f>W15+Y15</f>
        <v>0</v>
      </c>
      <c r="V15" s="52" t="e">
        <f>U15/$X$5*100</f>
        <v>#DIV/0!</v>
      </c>
      <c r="W15" s="53">
        <f>COUNTIFS('00 Encuesta'!$B$2:$B$511,"*e)*",'00 Encuesta'!$C$2:$C$511,"*c)*",'00 Encuesta'!$E$2:$E$511,"*a)*",'00 Encuesta'!$D$2:$D$511,"*a)*")</f>
        <v>0</v>
      </c>
      <c r="X15" s="52" t="e">
        <f>W15/$X$6*100</f>
        <v>#DIV/0!</v>
      </c>
      <c r="Y15" s="53">
        <f>COUNTIFS('00 Encuesta'!$B$2:$B$511,"*e)*",'00 Encuesta'!$C$2:$C$511,"*c)*",'00 Encuesta'!$E$2:$E$511,"*b)*",'00 Encuesta'!$D$2:$D$511,"*a)*")</f>
        <v>0</v>
      </c>
      <c r="Z15" s="52" t="e">
        <f>Y15/$X$7*100</f>
        <v>#DIV/0!</v>
      </c>
      <c r="AA15" s="3"/>
      <c r="AB15" s="62">
        <f>G15+N15+U15</f>
        <v>0</v>
      </c>
      <c r="AC15" s="52" t="e">
        <f>AB15*100/$AC$5</f>
        <v>#DIV/0!</v>
      </c>
      <c r="AD15" s="7"/>
      <c r="AE15" s="7"/>
      <c r="AF15" s="9" t="str">
        <f t="shared" si="0"/>
        <v>a) Educación Inicial</v>
      </c>
      <c r="AG15" s="72" t="e">
        <f>J15</f>
        <v>#DIV/0!</v>
      </c>
      <c r="AH15" s="72" t="e">
        <f>L15</f>
        <v>#DIV/0!</v>
      </c>
      <c r="AI15" s="73" t="e">
        <f>H15</f>
        <v>#DIV/0!</v>
      </c>
      <c r="AJ15" s="73"/>
      <c r="AK15" s="74" t="e">
        <f>Q15</f>
        <v>#DIV/0!</v>
      </c>
      <c r="AL15" s="74" t="e">
        <f>S15</f>
        <v>#DIV/0!</v>
      </c>
      <c r="AM15" s="74" t="e">
        <f>O15</f>
        <v>#DIV/0!</v>
      </c>
      <c r="AN15" s="74"/>
      <c r="AO15" s="75" t="e">
        <f>X15</f>
        <v>#DIV/0!</v>
      </c>
      <c r="AP15" s="75" t="e">
        <f>Z15</f>
        <v>#DIV/0!</v>
      </c>
      <c r="AQ15" s="75" t="e">
        <f>V15</f>
        <v>#DIV/0!</v>
      </c>
      <c r="AR15" s="76"/>
      <c r="AS15" s="76" t="e">
        <f>AC15</f>
        <v>#DIV/0!</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0</v>
      </c>
      <c r="H16" s="52" t="e">
        <f>G16/$J$5*100</f>
        <v>#DIV/0!</v>
      </c>
      <c r="I16" s="53">
        <f>COUNTIFS('00 Encuesta'!$B$2:$B$511,"*e)*",'00 Encuesta'!$C$2:$C$511,"*a)*",'00 Encuesta'!$E$2:$E$511,"*a)*",'00 Encuesta'!$D$2:$D$511,"*b)*")</f>
        <v>0</v>
      </c>
      <c r="J16" s="52" t="e">
        <f>I16/$J$6*100</f>
        <v>#DIV/0!</v>
      </c>
      <c r="K16" s="53">
        <f>COUNTIFS('00 Encuesta'!$B$2:$B$511,"*e)*",'00 Encuesta'!$C$2:$C$511,"*a)*",'00 Encuesta'!$E$2:$E$511,"*b)*",'00 Encuesta'!$D$2:$D$511,"*b)*")</f>
        <v>0</v>
      </c>
      <c r="L16" s="52" t="e">
        <f>K16/$J$7*100</f>
        <v>#DIV/0!</v>
      </c>
      <c r="M16" s="23"/>
      <c r="N16" s="51">
        <f>P16+R16</f>
        <v>0</v>
      </c>
      <c r="O16" s="52" t="e">
        <f>N16/$Q$5*100</f>
        <v>#DIV/0!</v>
      </c>
      <c r="P16" s="53">
        <f>COUNTIFS('00 Encuesta'!$B$2:$B$511,"*e)*",'00 Encuesta'!$C$2:$C$511,"*b)*",'00 Encuesta'!$E$2:$E$511,"*a)*",'00 Encuesta'!$D$2:$D$511,"*b)*")</f>
        <v>0</v>
      </c>
      <c r="Q16" s="52" t="e">
        <f>P16/$Q$6*100</f>
        <v>#DIV/0!</v>
      </c>
      <c r="R16" s="53">
        <f>COUNTIFS('00 Encuesta'!$B$2:$B$511,"*e)*",'00 Encuesta'!$C$2:$C$511,"*b)*",'00 Encuesta'!$E$2:$E$511,"*b)*",'00 Encuesta'!$D$2:$D$511,"*b)*")</f>
        <v>0</v>
      </c>
      <c r="S16" s="52" t="e">
        <f>R16/$Q$7*100</f>
        <v>#DIV/0!</v>
      </c>
      <c r="T16" s="3"/>
      <c r="U16" s="51">
        <f>W16+Y16</f>
        <v>0</v>
      </c>
      <c r="V16" s="52" t="e">
        <f>U16/$X$5*100</f>
        <v>#DIV/0!</v>
      </c>
      <c r="W16" s="53">
        <f>COUNTIFS('00 Encuesta'!$B$2:$B$511,"*e)*",'00 Encuesta'!$C$2:$C$511,"*c)*",'00 Encuesta'!$E$2:$E$511,"*a)*",'00 Encuesta'!$D$2:$D$511,"*b)*")</f>
        <v>0</v>
      </c>
      <c r="X16" s="52" t="e">
        <f>W16/$X$6*100</f>
        <v>#DIV/0!</v>
      </c>
      <c r="Y16" s="53">
        <f>COUNTIFS('00 Encuesta'!$B$2:$B$511,"*e)*",'00 Encuesta'!$C$2:$C$511,"*c)*",'00 Encuesta'!$E$2:$E$511,"*b)*",'00 Encuesta'!$D$2:$D$511,"*b)*")</f>
        <v>0</v>
      </c>
      <c r="Z16" s="52" t="e">
        <f>Y16/$X$7*100</f>
        <v>#DIV/0!</v>
      </c>
      <c r="AA16" s="3"/>
      <c r="AB16" s="62">
        <f>G16+N16+U16</f>
        <v>0</v>
      </c>
      <c r="AC16" s="52" t="e">
        <f>AB16*100/$AC$5</f>
        <v>#DIV/0!</v>
      </c>
      <c r="AD16" s="7"/>
      <c r="AE16" s="7"/>
      <c r="AF16" s="9" t="str">
        <f t="shared" si="0"/>
        <v>b) Primaria</v>
      </c>
      <c r="AG16" s="72" t="e">
        <f>J16</f>
        <v>#DIV/0!</v>
      </c>
      <c r="AH16" s="72" t="e">
        <f>L16</f>
        <v>#DIV/0!</v>
      </c>
      <c r="AI16" s="73" t="e">
        <f>H16</f>
        <v>#DIV/0!</v>
      </c>
      <c r="AJ16" s="73"/>
      <c r="AK16" s="74" t="e">
        <f>Q16</f>
        <v>#DIV/0!</v>
      </c>
      <c r="AL16" s="74" t="e">
        <f>S16</f>
        <v>#DIV/0!</v>
      </c>
      <c r="AM16" s="74" t="e">
        <f>O16</f>
        <v>#DIV/0!</v>
      </c>
      <c r="AN16" s="74"/>
      <c r="AO16" s="75" t="e">
        <f>X16</f>
        <v>#DIV/0!</v>
      </c>
      <c r="AP16" s="75" t="e">
        <f>Z16</f>
        <v>#DIV/0!</v>
      </c>
      <c r="AQ16" s="75" t="e">
        <f>V16</f>
        <v>#DIV/0!</v>
      </c>
      <c r="AR16" s="76"/>
      <c r="AS16" s="76" t="e">
        <f t="shared" ref="AS16:AS79" si="1">AC16</f>
        <v>#DIV/0!</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0</v>
      </c>
      <c r="H17" s="52" t="e">
        <f>G17/$J$5*100</f>
        <v>#DIV/0!</v>
      </c>
      <c r="I17" s="53">
        <f>COUNTIFS('00 Encuesta'!$B$2:$B$511,"*e)*",'00 Encuesta'!$C$2:$C$511,"*a)*",'00 Encuesta'!$E$2:$E$511,"*a)*",'00 Encuesta'!$D$2:$D$511,"*c)*")</f>
        <v>0</v>
      </c>
      <c r="J17" s="52" t="e">
        <f>I17/$J$6*100</f>
        <v>#DIV/0!</v>
      </c>
      <c r="K17" s="53">
        <f>COUNTIFS('00 Encuesta'!$B$2:$B$511,"*e)*",'00 Encuesta'!$C$2:$C$511,"*a)*",'00 Encuesta'!$E$2:$E$511,"*b)*",'00 Encuesta'!$D$2:$D$511,"*c)*")</f>
        <v>0</v>
      </c>
      <c r="L17" s="52" t="e">
        <f>K17/$J$7*100</f>
        <v>#DIV/0!</v>
      </c>
      <c r="M17" s="23"/>
      <c r="N17" s="51">
        <f>P17+R17</f>
        <v>0</v>
      </c>
      <c r="O17" s="52" t="e">
        <f>N17/$Q$5*100</f>
        <v>#DIV/0!</v>
      </c>
      <c r="P17" s="53">
        <f>COUNTIFS('00 Encuesta'!$B$2:$B$511,"*e)*",'00 Encuesta'!$C$2:$C$511,"*b)*",'00 Encuesta'!$E$2:$E$511,"*a)*",'00 Encuesta'!$D$2:$D$511,"*c)*")</f>
        <v>0</v>
      </c>
      <c r="Q17" s="52" t="e">
        <f>P17/$Q$6*100</f>
        <v>#DIV/0!</v>
      </c>
      <c r="R17" s="53">
        <f>COUNTIFS('00 Encuesta'!$B$2:$B$511,"*e)*",'00 Encuesta'!$C$2:$C$511,"*b)*",'00 Encuesta'!$E$2:$E$511,"*b)*",'00 Encuesta'!$D$2:$D$511,"*c)*")</f>
        <v>0</v>
      </c>
      <c r="S17" s="52" t="e">
        <f>R17/$Q$7*100</f>
        <v>#DIV/0!</v>
      </c>
      <c r="T17" s="3"/>
      <c r="U17" s="51">
        <f>W17+Y17</f>
        <v>0</v>
      </c>
      <c r="V17" s="52" t="e">
        <f>U17/$X$5*100</f>
        <v>#DIV/0!</v>
      </c>
      <c r="W17" s="53">
        <f>COUNTIFS('00 Encuesta'!$B$2:$B$511,"*e)*",'00 Encuesta'!$C$2:$C$511,"*c)*",'00 Encuesta'!$E$2:$E$511,"*a)*",'00 Encuesta'!$D$2:$D$511,"*c)*")</f>
        <v>0</v>
      </c>
      <c r="X17" s="52" t="e">
        <f>W17/$X$6*100</f>
        <v>#DIV/0!</v>
      </c>
      <c r="Y17" s="53">
        <f>COUNTIFS('00 Encuesta'!$B$2:$B$511,"*e)*",'00 Encuesta'!$C$2:$C$511,"*c)*",'00 Encuesta'!$E$2:$E$511,"*b)*",'00 Encuesta'!$D$2:$D$511,"*c)*")</f>
        <v>0</v>
      </c>
      <c r="Z17" s="52" t="e">
        <f>Y17/$X$7*100</f>
        <v>#DIV/0!</v>
      </c>
      <c r="AA17" s="3"/>
      <c r="AB17" s="62">
        <f>G17+N17+U17</f>
        <v>0</v>
      </c>
      <c r="AC17" s="52" t="e">
        <f>AB17*100/$AC$5</f>
        <v>#DIV/0!</v>
      </c>
      <c r="AD17" s="7"/>
      <c r="AE17" s="7"/>
      <c r="AF17" s="9" t="str">
        <f t="shared" si="0"/>
        <v>c) Entre Primero y Tercer año</v>
      </c>
      <c r="AG17" s="72" t="e">
        <f>J17</f>
        <v>#DIV/0!</v>
      </c>
      <c r="AH17" s="72" t="e">
        <f>L17</f>
        <v>#DIV/0!</v>
      </c>
      <c r="AI17" s="73" t="e">
        <f>H17</f>
        <v>#DIV/0!</v>
      </c>
      <c r="AJ17" s="73"/>
      <c r="AK17" s="74" t="e">
        <f>Q17</f>
        <v>#DIV/0!</v>
      </c>
      <c r="AL17" s="74" t="e">
        <f>S17</f>
        <v>#DIV/0!</v>
      </c>
      <c r="AM17" s="74" t="e">
        <f>O17</f>
        <v>#DIV/0!</v>
      </c>
      <c r="AN17" s="74"/>
      <c r="AO17" s="75" t="e">
        <f>X17</f>
        <v>#DIV/0!</v>
      </c>
      <c r="AP17" s="75" t="e">
        <f>Z17</f>
        <v>#DIV/0!</v>
      </c>
      <c r="AQ17" s="75" t="e">
        <f>V17</f>
        <v>#DIV/0!</v>
      </c>
      <c r="AR17" s="76"/>
      <c r="AS17" s="76" t="e">
        <f t="shared" si="1"/>
        <v>#DIV/0!</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0</v>
      </c>
      <c r="H18" s="52" t="e">
        <f>G18/$J$5*100</f>
        <v>#DIV/0!</v>
      </c>
      <c r="I18" s="53">
        <f>COUNTIFS('00 Encuesta'!$B$2:$B$511,"*e)*",'00 Encuesta'!$C$2:$C$511,"*a)*",'00 Encuesta'!$E$2:$E$511,"*a)*",'00 Encuesta'!$D$2:$D$511,"*d)*")</f>
        <v>0</v>
      </c>
      <c r="J18" s="52" t="e">
        <f>I18/$J$6*100</f>
        <v>#DIV/0!</v>
      </c>
      <c r="K18" s="53">
        <f>COUNTIFS('00 Encuesta'!$B$2:$B$511,"*e)*",'00 Encuesta'!$C$2:$C$511,"*a)*",'00 Encuesta'!$E$2:$E$511,"*b)*",'00 Encuesta'!$D$2:$D$511,"*d)*")</f>
        <v>0</v>
      </c>
      <c r="L18" s="52" t="e">
        <f>K18/$J$7*100</f>
        <v>#DIV/0!</v>
      </c>
      <c r="M18" s="23"/>
      <c r="N18" s="51">
        <f>P18+R18</f>
        <v>0</v>
      </c>
      <c r="O18" s="52" t="e">
        <f>N18/$Q$5*100</f>
        <v>#DIV/0!</v>
      </c>
      <c r="P18" s="53">
        <f>COUNTIFS('00 Encuesta'!$B$2:$B$511,"*e)*",'00 Encuesta'!$C$2:$C$511,"*b)*",'00 Encuesta'!$E$2:$E$511,"*a)*",'00 Encuesta'!$D$2:$D$511,"*d)*")</f>
        <v>0</v>
      </c>
      <c r="Q18" s="52" t="e">
        <f>P18/$Q$6*100</f>
        <v>#DIV/0!</v>
      </c>
      <c r="R18" s="53">
        <f>COUNTIFS('00 Encuesta'!$B$2:$B$511,"*e)*",'00 Encuesta'!$C$2:$C$511,"*b)*",'00 Encuesta'!$E$2:$E$511,"*b)*",'00 Encuesta'!$D$2:$D$511,"*d)*")</f>
        <v>0</v>
      </c>
      <c r="S18" s="52" t="e">
        <f>R18/$Q$7*100</f>
        <v>#DIV/0!</v>
      </c>
      <c r="T18" s="3"/>
      <c r="U18" s="51">
        <f>W18+Y18</f>
        <v>0</v>
      </c>
      <c r="V18" s="52" t="e">
        <f>U18/$X$5*100</f>
        <v>#DIV/0!</v>
      </c>
      <c r="W18" s="53">
        <f>COUNTIFS('00 Encuesta'!$B$2:$B$511,"*e)*",'00 Encuesta'!$C$2:$C$511,"*c)*",'00 Encuesta'!$E$2:$E$511,"*a)*",'00 Encuesta'!$D$2:$D$511,"*d)*")</f>
        <v>0</v>
      </c>
      <c r="X18" s="52" t="e">
        <f>W18/$X$6*100</f>
        <v>#DIV/0!</v>
      </c>
      <c r="Y18" s="53">
        <f>COUNTIFS('00 Encuesta'!$B$2:$B$511,"*e)*",'00 Encuesta'!$C$2:$C$511,"*c)*",'00 Encuesta'!$E$2:$E$511,"*b)*",'00 Encuesta'!$D$2:$D$511,"*d)*")</f>
        <v>0</v>
      </c>
      <c r="Z18" s="52" t="e">
        <f>Y18/$X$7*100</f>
        <v>#DIV/0!</v>
      </c>
      <c r="AA18" s="3"/>
      <c r="AB18" s="62">
        <f>G18+N18+U18</f>
        <v>0</v>
      </c>
      <c r="AC18" s="52" t="e">
        <f>AB18*100/$AC$5</f>
        <v>#DIV/0!</v>
      </c>
      <c r="AD18" s="7"/>
      <c r="AE18" s="7"/>
      <c r="AF18" s="9" t="str">
        <f t="shared" si="0"/>
        <v>d) En  Cuarto año o posterior</v>
      </c>
      <c r="AG18" s="72" t="e">
        <f>J18</f>
        <v>#DIV/0!</v>
      </c>
      <c r="AH18" s="72" t="e">
        <f>L18</f>
        <v>#DIV/0!</v>
      </c>
      <c r="AI18" s="73" t="e">
        <f>H18</f>
        <v>#DIV/0!</v>
      </c>
      <c r="AJ18" s="73"/>
      <c r="AK18" s="74" t="e">
        <f>Q18</f>
        <v>#DIV/0!</v>
      </c>
      <c r="AL18" s="74" t="e">
        <f>S18</f>
        <v>#DIV/0!</v>
      </c>
      <c r="AM18" s="74" t="e">
        <f>O18</f>
        <v>#DIV/0!</v>
      </c>
      <c r="AN18" s="74"/>
      <c r="AO18" s="75" t="e">
        <f>X18</f>
        <v>#DIV/0!</v>
      </c>
      <c r="AP18" s="75" t="e">
        <f>Z18</f>
        <v>#DIV/0!</v>
      </c>
      <c r="AQ18" s="75" t="e">
        <f>V18</f>
        <v>#DIV/0!</v>
      </c>
      <c r="AR18" s="76"/>
      <c r="AS18" s="76" t="e">
        <f t="shared" si="1"/>
        <v>#DIV/0!</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t="e">
        <f>G19/$J$5*100</f>
        <v>#DIV/0!</v>
      </c>
      <c r="I19" s="53"/>
      <c r="J19" s="52" t="e">
        <f>I19/$J$6*100</f>
        <v>#DIV/0!</v>
      </c>
      <c r="K19" s="53"/>
      <c r="L19" s="52" t="e">
        <f>K19/$J$7*100</f>
        <v>#DIV/0!</v>
      </c>
      <c r="M19" s="23"/>
      <c r="N19" s="51">
        <f>P19+R19</f>
        <v>0</v>
      </c>
      <c r="O19" s="52" t="e">
        <f>N19/$Q$5*100</f>
        <v>#DIV/0!</v>
      </c>
      <c r="P19" s="53"/>
      <c r="Q19" s="52" t="e">
        <f>P19/$Q$6*100</f>
        <v>#DIV/0!</v>
      </c>
      <c r="R19" s="53"/>
      <c r="S19" s="52" t="e">
        <f>R19/$Q$7*100</f>
        <v>#DIV/0!</v>
      </c>
      <c r="T19" s="3"/>
      <c r="U19" s="51">
        <f>W19+Y19</f>
        <v>0</v>
      </c>
      <c r="V19" s="52" t="e">
        <f>U19/$X$5*100</f>
        <v>#DIV/0!</v>
      </c>
      <c r="W19" s="53"/>
      <c r="X19" s="52" t="e">
        <f>W19/$X$6*100</f>
        <v>#DIV/0!</v>
      </c>
      <c r="Y19" s="53"/>
      <c r="Z19" s="52" t="e">
        <f>Y19/$X$7*100</f>
        <v>#DIV/0!</v>
      </c>
      <c r="AA19" s="3"/>
      <c r="AB19" s="62">
        <f>G19+N19+U19</f>
        <v>0</v>
      </c>
      <c r="AC19" s="52" t="e">
        <f>AB19*100/$AC$5</f>
        <v>#DIV/0!</v>
      </c>
      <c r="AD19" s="7"/>
      <c r="AE19" s="7"/>
      <c r="AF19" s="9" t="str">
        <f t="shared" si="0"/>
        <v>S/R Sin Respuesta</v>
      </c>
      <c r="AG19" s="72" t="e">
        <f>J19</f>
        <v>#DIV/0!</v>
      </c>
      <c r="AH19" s="72" t="e">
        <f>L19</f>
        <v>#DIV/0!</v>
      </c>
      <c r="AI19" s="73" t="e">
        <f>H19</f>
        <v>#DIV/0!</v>
      </c>
      <c r="AJ19" s="73"/>
      <c r="AK19" s="74" t="e">
        <f>Q19</f>
        <v>#DIV/0!</v>
      </c>
      <c r="AL19" s="74" t="e">
        <f>S19</f>
        <v>#DIV/0!</v>
      </c>
      <c r="AM19" s="74" t="e">
        <f>O19</f>
        <v>#DIV/0!</v>
      </c>
      <c r="AN19" s="74"/>
      <c r="AO19" s="75" t="e">
        <f>X19</f>
        <v>#DIV/0!</v>
      </c>
      <c r="AP19" s="75" t="e">
        <f>Z19</f>
        <v>#DIV/0!</v>
      </c>
      <c r="AQ19" s="75" t="e">
        <f>V19</f>
        <v>#DIV/0!</v>
      </c>
      <c r="AR19" s="76"/>
      <c r="AS19" s="76" t="e">
        <f t="shared" si="1"/>
        <v>#DIV/0!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0</v>
      </c>
      <c r="H23" s="52" t="e">
        <f>G23/$J$5*100</f>
        <v>#DIV/0!</v>
      </c>
      <c r="I23" s="53">
        <f>COUNTIFS('00 Encuesta'!$B$2:$B$511,"*e)*",'00 Encuesta'!$C$2:$C$511,"*a)*",'00 Encuesta'!$E$2:$E$511,"*a)*",'00 Encuesta'!$F$2:$F$511,"*a)*")</f>
        <v>0</v>
      </c>
      <c r="J23" s="52" t="e">
        <f>I23/$J$6*100</f>
        <v>#DIV/0!</v>
      </c>
      <c r="K23" s="53">
        <f>COUNTIFS('00 Encuesta'!$B$2:$B$511,"*e)*",'00 Encuesta'!$C$2:$C$511,"*a)*",'00 Encuesta'!$E$2:$E$511,"*b)*",'00 Encuesta'!$F$2:$F$511,"*a)*")</f>
        <v>0</v>
      </c>
      <c r="L23" s="52" t="e">
        <f>K23/$J$7*100</f>
        <v>#DIV/0!</v>
      </c>
      <c r="M23" s="23"/>
      <c r="N23" s="51">
        <f>P23+R23</f>
        <v>0</v>
      </c>
      <c r="O23" s="52" t="e">
        <f>N23/$Q$5*100</f>
        <v>#DIV/0!</v>
      </c>
      <c r="P23" s="53">
        <f>COUNTIFS('00 Encuesta'!$B$2:$B$511,"*e)*",'00 Encuesta'!$C$2:$C$511,"*b)*",'00 Encuesta'!$E$2:$E$511,"*a)*",'00 Encuesta'!$F$2:$F$511,"*a)*")</f>
        <v>0</v>
      </c>
      <c r="Q23" s="52" t="e">
        <f>P23/$Q$6*100</f>
        <v>#DIV/0!</v>
      </c>
      <c r="R23" s="53">
        <f>COUNTIFS('00 Encuesta'!$B$2:$B$511,"*e)*",'00 Encuesta'!$C$2:$C$511,"*b)*",'00 Encuesta'!$E$2:$E$511,"*b)*",'00 Encuesta'!$F$2:$F$511,"*a)*")</f>
        <v>0</v>
      </c>
      <c r="S23" s="52" t="e">
        <f>R23/$Q$7*100</f>
        <v>#DIV/0!</v>
      </c>
      <c r="T23" s="3"/>
      <c r="U23" s="51">
        <f>W23+Y23</f>
        <v>0</v>
      </c>
      <c r="V23" s="52" t="e">
        <f>U23/$X$5*100</f>
        <v>#DIV/0!</v>
      </c>
      <c r="W23" s="53">
        <f>COUNTIFS('00 Encuesta'!$B$2:$B$511,"*e)*",'00 Encuesta'!$C$2:$C$511,"*c)*",'00 Encuesta'!$E$2:$E$511,"*a)*",'00 Encuesta'!$F$2:$F$511,"*a)*")</f>
        <v>0</v>
      </c>
      <c r="X23" s="52" t="e">
        <f>W23/$X$6*100</f>
        <v>#DIV/0!</v>
      </c>
      <c r="Y23" s="53">
        <f>COUNTIFS('00 Encuesta'!$B$2:$B$511,"*e)*",'00 Encuesta'!$C$2:$C$511,"*c)*",'00 Encuesta'!$E$2:$E$511,"*b)*",'00 Encuesta'!$F$2:$F$511,"*a)*")</f>
        <v>0</v>
      </c>
      <c r="Z23" s="52" t="e">
        <f>Y23/$X$7*100</f>
        <v>#DIV/0!</v>
      </c>
      <c r="AA23" s="3"/>
      <c r="AB23" s="62">
        <f>G23+N23+U23</f>
        <v>0</v>
      </c>
      <c r="AC23" s="52" t="e">
        <f>AB23*100/$AC$5</f>
        <v>#DIV/0!</v>
      </c>
      <c r="AD23" s="7"/>
      <c r="AE23" s="7"/>
      <c r="AF23" s="9" t="str">
        <f>A23&amp;" "&amp;B23</f>
        <v>a) Católica</v>
      </c>
      <c r="AG23" s="72" t="e">
        <f>J23</f>
        <v>#DIV/0!</v>
      </c>
      <c r="AH23" s="72" t="e">
        <f>L23</f>
        <v>#DIV/0!</v>
      </c>
      <c r="AI23" s="73" t="e">
        <f>H23</f>
        <v>#DIV/0!</v>
      </c>
      <c r="AJ23" s="73"/>
      <c r="AK23" s="74" t="e">
        <f>Q23</f>
        <v>#DIV/0!</v>
      </c>
      <c r="AL23" s="74" t="e">
        <f>S23</f>
        <v>#DIV/0!</v>
      </c>
      <c r="AM23" s="74" t="e">
        <f>O23</f>
        <v>#DIV/0!</v>
      </c>
      <c r="AN23" s="74"/>
      <c r="AO23" s="75" t="e">
        <f>X23</f>
        <v>#DIV/0!</v>
      </c>
      <c r="AP23" s="75" t="e">
        <f>Z23</f>
        <v>#DIV/0!</v>
      </c>
      <c r="AQ23" s="75" t="e">
        <f>V23</f>
        <v>#DIV/0!</v>
      </c>
      <c r="AR23" s="7"/>
      <c r="AS23" s="76" t="e">
        <f t="shared" si="1"/>
        <v>#DIV/0!</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0</v>
      </c>
      <c r="H24" s="52" t="e">
        <f>G24/$J$5*100</f>
        <v>#DIV/0!</v>
      </c>
      <c r="I24" s="53">
        <f>COUNTIFS('00 Encuesta'!$B$2:$B$511,"*e)*",'00 Encuesta'!$C$2:$C$511,"*a)*",'00 Encuesta'!$E$2:$E$511,"*a)*",'00 Encuesta'!$F$2:$F$511,"*b)*")</f>
        <v>0</v>
      </c>
      <c r="J24" s="52" t="e">
        <f>I24/$J$6*100</f>
        <v>#DIV/0!</v>
      </c>
      <c r="K24" s="53">
        <f>COUNTIFS('00 Encuesta'!$B$2:$B$511,"*e)*",'00 Encuesta'!$C$2:$C$511,"*a)*",'00 Encuesta'!$E$2:$E$511,"*b)*",'00 Encuesta'!$F$2:$F$511,"*b)*")</f>
        <v>0</v>
      </c>
      <c r="L24" s="52" t="e">
        <f>K24/$J$7*100</f>
        <v>#DIV/0!</v>
      </c>
      <c r="M24" s="23"/>
      <c r="N24" s="51">
        <f>P24+R24</f>
        <v>0</v>
      </c>
      <c r="O24" s="52" t="e">
        <f>N24/$Q$5*100</f>
        <v>#DIV/0!</v>
      </c>
      <c r="P24" s="53">
        <f>COUNTIFS('00 Encuesta'!$B$2:$B$511,"*e)*",'00 Encuesta'!$C$2:$C$511,"*b)*",'00 Encuesta'!$E$2:$E$511,"*a)*",'00 Encuesta'!$F$2:$F$511,"*b)*")</f>
        <v>0</v>
      </c>
      <c r="Q24" s="52" t="e">
        <f>P24/$Q$6*100</f>
        <v>#DIV/0!</v>
      </c>
      <c r="R24" s="53">
        <f>COUNTIFS('00 Encuesta'!$B$2:$B$511,"*e)*",'00 Encuesta'!$C$2:$C$511,"*b)*",'00 Encuesta'!$E$2:$E$511,"*b)*",'00 Encuesta'!$F$2:$F$511,"*b)*")</f>
        <v>0</v>
      </c>
      <c r="S24" s="52" t="e">
        <f>R24/$Q$7*100</f>
        <v>#DIV/0!</v>
      </c>
      <c r="T24" s="3"/>
      <c r="U24" s="51">
        <f>W24+Y24</f>
        <v>0</v>
      </c>
      <c r="V24" s="52" t="e">
        <f>U24/$X$5*100</f>
        <v>#DIV/0!</v>
      </c>
      <c r="W24" s="53">
        <f>COUNTIFS('00 Encuesta'!$B$2:$B$511,"*e)*",'00 Encuesta'!$C$2:$C$511,"*c)*",'00 Encuesta'!$E$2:$E$511,"*a)*",'00 Encuesta'!$F$2:$F$511,"*b)*")</f>
        <v>0</v>
      </c>
      <c r="X24" s="52" t="e">
        <f>W24/$X$6*100</f>
        <v>#DIV/0!</v>
      </c>
      <c r="Y24" s="53">
        <f>COUNTIFS('00 Encuesta'!$B$2:$B$511,"*e)*",'00 Encuesta'!$C$2:$C$511,"*c)*",'00 Encuesta'!$E$2:$E$511,"*b)*",'00 Encuesta'!$F$2:$F$511,"*b)*")</f>
        <v>0</v>
      </c>
      <c r="Z24" s="52" t="e">
        <f>Y24/$X$7*100</f>
        <v>#DIV/0!</v>
      </c>
      <c r="AA24" s="3"/>
      <c r="AB24" s="62">
        <f>G24+N24+U24</f>
        <v>0</v>
      </c>
      <c r="AC24" s="52" t="e">
        <f>AB24*100/$AC$5</f>
        <v>#DIV/0!</v>
      </c>
      <c r="AD24" s="7"/>
      <c r="AE24" s="7"/>
      <c r="AF24" s="9" t="str">
        <f>A24&amp;" "&amp;B24</f>
        <v>b) Evangélica</v>
      </c>
      <c r="AG24" s="72" t="e">
        <f>J24</f>
        <v>#DIV/0!</v>
      </c>
      <c r="AH24" s="72" t="e">
        <f>L24</f>
        <v>#DIV/0!</v>
      </c>
      <c r="AI24" s="73" t="e">
        <f>H24</f>
        <v>#DIV/0!</v>
      </c>
      <c r="AJ24" s="73"/>
      <c r="AK24" s="74" t="e">
        <f>Q24</f>
        <v>#DIV/0!</v>
      </c>
      <c r="AL24" s="74" t="e">
        <f>S24</f>
        <v>#DIV/0!</v>
      </c>
      <c r="AM24" s="74" t="e">
        <f>O24</f>
        <v>#DIV/0!</v>
      </c>
      <c r="AN24" s="74"/>
      <c r="AO24" s="75" t="e">
        <f>X24</f>
        <v>#DIV/0!</v>
      </c>
      <c r="AP24" s="75" t="e">
        <f>Z24</f>
        <v>#DIV/0!</v>
      </c>
      <c r="AQ24" s="75" t="e">
        <f>V24</f>
        <v>#DIV/0!</v>
      </c>
      <c r="AR24" s="7"/>
      <c r="AS24" s="76" t="e">
        <f t="shared" si="1"/>
        <v>#DIV/0!</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x14ac:dyDescent="0.3">
      <c r="A25" s="8" t="s">
        <v>20</v>
      </c>
      <c r="B25" s="9" t="s">
        <v>29</v>
      </c>
      <c r="C25" s="7"/>
      <c r="D25" s="7"/>
      <c r="E25" s="7"/>
      <c r="F25" s="71"/>
      <c r="G25" s="51">
        <f>I25+K25</f>
        <v>0</v>
      </c>
      <c r="H25" s="52" t="e">
        <f>G25/$J$5*100</f>
        <v>#DIV/0!</v>
      </c>
      <c r="I25" s="53">
        <f>COUNTIFS('00 Encuesta'!$B$2:$B$511,"*e)*",'00 Encuesta'!$C$2:$C$511,"*a)*",'00 Encuesta'!$E$2:$E$511,"*a)*",'00 Encuesta'!$F$2:$F$511,"*c)*")</f>
        <v>0</v>
      </c>
      <c r="J25" s="52" t="e">
        <f>I25/$J$6*100</f>
        <v>#DIV/0!</v>
      </c>
      <c r="K25" s="53">
        <f>COUNTIFS('00 Encuesta'!$B$2:$B$511,"*e)*",'00 Encuesta'!$C$2:$C$511,"*a)*",'00 Encuesta'!$E$2:$E$511,"*b)*",'00 Encuesta'!$F$2:$F$511,"*c)*")</f>
        <v>0</v>
      </c>
      <c r="L25" s="52" t="e">
        <f>K25/$J$7*100</f>
        <v>#DIV/0!</v>
      </c>
      <c r="M25" s="23"/>
      <c r="N25" s="51">
        <f>P25+R25</f>
        <v>0</v>
      </c>
      <c r="O25" s="52" t="e">
        <f>N25/$Q$5*100</f>
        <v>#DIV/0!</v>
      </c>
      <c r="P25" s="53">
        <f>COUNTIFS('00 Encuesta'!$B$2:$B$511,"*e)*",'00 Encuesta'!$C$2:$C$511,"*b)*",'00 Encuesta'!$E$2:$E$511,"*a)*",'00 Encuesta'!$F$2:$F$511,"*c)*")</f>
        <v>0</v>
      </c>
      <c r="Q25" s="52" t="e">
        <f>P25/$Q$6*100</f>
        <v>#DIV/0!</v>
      </c>
      <c r="R25" s="53">
        <f>COUNTIFS('00 Encuesta'!$B$2:$B$511,"*e)*",'00 Encuesta'!$C$2:$C$511,"*b)*",'00 Encuesta'!$E$2:$E$511,"*b)*",'00 Encuesta'!$F$2:$F$511,"*c)*")</f>
        <v>0</v>
      </c>
      <c r="S25" s="52" t="e">
        <f>R25/$Q$7*100</f>
        <v>#DIV/0!</v>
      </c>
      <c r="T25" s="3"/>
      <c r="U25" s="51">
        <f>W25+Y25</f>
        <v>0</v>
      </c>
      <c r="V25" s="52" t="e">
        <f>U25/$X$5*100</f>
        <v>#DIV/0!</v>
      </c>
      <c r="W25" s="53">
        <f>COUNTIFS('00 Encuesta'!$B$2:$B$511,"*e)*",'00 Encuesta'!$C$2:$C$511,"*c)*",'00 Encuesta'!$E$2:$E$511,"*a)*",'00 Encuesta'!$F$2:$F$511,"*c)*")</f>
        <v>0</v>
      </c>
      <c r="X25" s="52" t="e">
        <f>W25/$X$6*100</f>
        <v>#DIV/0!</v>
      </c>
      <c r="Y25" s="53">
        <f>COUNTIFS('00 Encuesta'!$B$2:$B$511,"*e)*",'00 Encuesta'!$C$2:$C$511,"*c)*",'00 Encuesta'!$E$2:$E$511,"*b)*",'00 Encuesta'!$F$2:$F$511,"*c)*")</f>
        <v>0</v>
      </c>
      <c r="Z25" s="52" t="e">
        <f>Y25/$X$7*100</f>
        <v>#DIV/0!</v>
      </c>
      <c r="AA25" s="3"/>
      <c r="AB25" s="62">
        <f>G25+N25+U25</f>
        <v>0</v>
      </c>
      <c r="AC25" s="52" t="e">
        <f>AB25*100/$AC$5</f>
        <v>#DIV/0!</v>
      </c>
      <c r="AD25" s="7"/>
      <c r="AE25" s="7"/>
      <c r="AF25" s="9" t="str">
        <f>A25&amp;" "&amp;B25</f>
        <v>c) Musulmana</v>
      </c>
      <c r="AG25" s="72" t="e">
        <f>J25</f>
        <v>#DIV/0!</v>
      </c>
      <c r="AH25" s="72" t="e">
        <f>L25</f>
        <v>#DIV/0!</v>
      </c>
      <c r="AI25" s="73" t="e">
        <f>H25</f>
        <v>#DIV/0!</v>
      </c>
      <c r="AJ25" s="73"/>
      <c r="AK25" s="74" t="e">
        <f>Q25</f>
        <v>#DIV/0!</v>
      </c>
      <c r="AL25" s="74" t="e">
        <f>S25</f>
        <v>#DIV/0!</v>
      </c>
      <c r="AM25" s="74" t="e">
        <f>O25</f>
        <v>#DIV/0!</v>
      </c>
      <c r="AN25" s="74"/>
      <c r="AO25" s="75" t="e">
        <f>X25</f>
        <v>#DIV/0!</v>
      </c>
      <c r="AP25" s="75" t="e">
        <f>Z25</f>
        <v>#DIV/0!</v>
      </c>
      <c r="AQ25" s="75" t="e">
        <f>V25</f>
        <v>#DIV/0!</v>
      </c>
      <c r="AR25" s="7"/>
      <c r="AS25" s="76" t="e">
        <f t="shared" si="1"/>
        <v>#DIV/0!</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x14ac:dyDescent="0.3">
      <c r="A26" s="8" t="s">
        <v>21</v>
      </c>
      <c r="B26" s="9" t="s">
        <v>30</v>
      </c>
      <c r="C26" s="7"/>
      <c r="D26" s="7"/>
      <c r="E26" s="7"/>
      <c r="F26" s="71"/>
      <c r="G26" s="51">
        <f>I26+K26</f>
        <v>0</v>
      </c>
      <c r="H26" s="52" t="e">
        <f>G26/$J$5*100</f>
        <v>#DIV/0!</v>
      </c>
      <c r="I26" s="53">
        <f>COUNTIFS('00 Encuesta'!$B$2:$B$511,"*e)*",'00 Encuesta'!$C$2:$C$511,"*a)*",'00 Encuesta'!$E$2:$E$511,"*a)*",'00 Encuesta'!$F$2:$F$511,"*d)*")</f>
        <v>0</v>
      </c>
      <c r="J26" s="52" t="e">
        <f>I26/$J$6*100</f>
        <v>#DIV/0!</v>
      </c>
      <c r="K26" s="53">
        <f>COUNTIFS('00 Encuesta'!$B$2:$B$511,"*e)*",'00 Encuesta'!$C$2:$C$511,"*a)*",'00 Encuesta'!$E$2:$E$511,"*b)*",'00 Encuesta'!$F$2:$F$511,"*d)*")</f>
        <v>0</v>
      </c>
      <c r="L26" s="52" t="e">
        <f>K26/$J$7*100</f>
        <v>#DIV/0!</v>
      </c>
      <c r="M26" s="23"/>
      <c r="N26" s="51">
        <f>P26+R26</f>
        <v>0</v>
      </c>
      <c r="O26" s="52" t="e">
        <f>N26/$Q$5*100</f>
        <v>#DIV/0!</v>
      </c>
      <c r="P26" s="53">
        <f>COUNTIFS('00 Encuesta'!$B$2:$B$511,"*e)*",'00 Encuesta'!$C$2:$C$511,"*b)*",'00 Encuesta'!$E$2:$E$511,"*a)*",'00 Encuesta'!$F$2:$F$511,"*d)*")</f>
        <v>0</v>
      </c>
      <c r="Q26" s="52" t="e">
        <f>P26/$Q$6*100</f>
        <v>#DIV/0!</v>
      </c>
      <c r="R26" s="53">
        <f>COUNTIFS('00 Encuesta'!$B$2:$B$511,"*e)*",'00 Encuesta'!$C$2:$C$511,"*b)*",'00 Encuesta'!$E$2:$E$511,"*b)*",'00 Encuesta'!$F$2:$F$511,"*d)*")</f>
        <v>0</v>
      </c>
      <c r="S26" s="52" t="e">
        <f>R26/$Q$7*100</f>
        <v>#DIV/0!</v>
      </c>
      <c r="T26" s="3"/>
      <c r="U26" s="51">
        <f>W26+Y26</f>
        <v>0</v>
      </c>
      <c r="V26" s="52" t="e">
        <f>U26/$X$5*100</f>
        <v>#DIV/0!</v>
      </c>
      <c r="W26" s="53">
        <f>COUNTIFS('00 Encuesta'!$B$2:$B$511,"*e)*",'00 Encuesta'!$C$2:$C$511,"*c)*",'00 Encuesta'!$E$2:$E$511,"*a)*",'00 Encuesta'!$F$2:$F$511,"*d)*")</f>
        <v>0</v>
      </c>
      <c r="X26" s="52" t="e">
        <f>W26/$X$6*100</f>
        <v>#DIV/0!</v>
      </c>
      <c r="Y26" s="53">
        <f>COUNTIFS('00 Encuesta'!$B$2:$B$511,"*e)*",'00 Encuesta'!$C$2:$C$511,"*c)*",'00 Encuesta'!$E$2:$E$511,"*b)*",'00 Encuesta'!$F$2:$F$511,"*d)*")</f>
        <v>0</v>
      </c>
      <c r="Z26" s="52" t="e">
        <f>Y26/$X$7*100</f>
        <v>#DIV/0!</v>
      </c>
      <c r="AA26" s="3"/>
      <c r="AB26" s="62">
        <f>G26+N26+U26</f>
        <v>0</v>
      </c>
      <c r="AC26" s="52" t="e">
        <f>AB26*100/$AC$5</f>
        <v>#DIV/0!</v>
      </c>
      <c r="AD26" s="7"/>
      <c r="AE26" s="7"/>
      <c r="AF26" s="9" t="str">
        <f>A26&amp;" "&amp;B26</f>
        <v>d) Otra</v>
      </c>
      <c r="AG26" s="72" t="e">
        <f>J26</f>
        <v>#DIV/0!</v>
      </c>
      <c r="AH26" s="72" t="e">
        <f>L26</f>
        <v>#DIV/0!</v>
      </c>
      <c r="AI26" s="73" t="e">
        <f>H26</f>
        <v>#DIV/0!</v>
      </c>
      <c r="AJ26" s="73"/>
      <c r="AK26" s="74" t="e">
        <f>Q26</f>
        <v>#DIV/0!</v>
      </c>
      <c r="AL26" s="74" t="e">
        <f>S26</f>
        <v>#DIV/0!</v>
      </c>
      <c r="AM26" s="74" t="e">
        <f>O26</f>
        <v>#DIV/0!</v>
      </c>
      <c r="AN26" s="74"/>
      <c r="AO26" s="75" t="e">
        <f>X26</f>
        <v>#DIV/0!</v>
      </c>
      <c r="AP26" s="75" t="e">
        <f>Z26</f>
        <v>#DIV/0!</v>
      </c>
      <c r="AQ26" s="75" t="e">
        <f>V26</f>
        <v>#DIV/0!</v>
      </c>
      <c r="AR26" s="7"/>
      <c r="AS26" s="76" t="e">
        <f t="shared" si="1"/>
        <v>#DIV/0!</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x14ac:dyDescent="0.3">
      <c r="A27" s="8" t="s">
        <v>23</v>
      </c>
      <c r="B27" s="9" t="s">
        <v>24</v>
      </c>
      <c r="C27" s="7"/>
      <c r="D27" s="7"/>
      <c r="E27" s="7"/>
      <c r="F27" s="71"/>
      <c r="G27" s="51">
        <f>I27+K27</f>
        <v>0</v>
      </c>
      <c r="H27" s="52" t="e">
        <f>G27/$J$5*100</f>
        <v>#DIV/0!</v>
      </c>
      <c r="I27" s="53"/>
      <c r="J27" s="52" t="e">
        <f>I27/$J$6*100</f>
        <v>#DIV/0!</v>
      </c>
      <c r="K27" s="53"/>
      <c r="L27" s="52" t="e">
        <f>K27/$J$7*100</f>
        <v>#DIV/0!</v>
      </c>
      <c r="M27" s="23"/>
      <c r="N27" s="51">
        <f>P27+R27</f>
        <v>0</v>
      </c>
      <c r="O27" s="52" t="e">
        <f>N27/$Q$5*100</f>
        <v>#DIV/0!</v>
      </c>
      <c r="P27" s="53"/>
      <c r="Q27" s="52" t="e">
        <f>P27/$Q$6*100</f>
        <v>#DIV/0!</v>
      </c>
      <c r="R27" s="53"/>
      <c r="S27" s="52" t="e">
        <f>R27/$Q$7*100</f>
        <v>#DIV/0!</v>
      </c>
      <c r="T27" s="3"/>
      <c r="U27" s="51">
        <f>W27+Y27</f>
        <v>0</v>
      </c>
      <c r="V27" s="52" t="e">
        <f>U27/$X$5*100</f>
        <v>#DIV/0!</v>
      </c>
      <c r="W27" s="53"/>
      <c r="X27" s="52" t="e">
        <f>W27/$X$6*100</f>
        <v>#DIV/0!</v>
      </c>
      <c r="Y27" s="53"/>
      <c r="Z27" s="52" t="e">
        <f>Y27/$X$7*100</f>
        <v>#DIV/0!</v>
      </c>
      <c r="AA27" s="3"/>
      <c r="AB27" s="62">
        <f>G27+N27+U27</f>
        <v>0</v>
      </c>
      <c r="AC27" s="52" t="e">
        <f>AB27*100/$AC$5</f>
        <v>#DIV/0!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x14ac:dyDescent="0.3">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0</v>
      </c>
      <c r="H30" s="52" t="e">
        <f t="shared" ref="H30:H35" si="3">G30/$J$5*100</f>
        <v>#DIV/0!</v>
      </c>
      <c r="I30" s="53">
        <f>COUNTIFS('00 Encuesta'!$B$2:$B$511,"*e)*",'00 Encuesta'!$C$2:$C$511,"*a)*",'00 Encuesta'!$E$2:$E$511,"*a)*",'00 Encuesta'!$G$2:$G$511,"*a)*")</f>
        <v>0</v>
      </c>
      <c r="J30" s="52" t="e">
        <f t="shared" ref="J30:J35" si="4">I30/$J$6*100</f>
        <v>#DIV/0!</v>
      </c>
      <c r="K30" s="53">
        <f>COUNTIFS('00 Encuesta'!$B$2:$B$511,"*e)*",'00 Encuesta'!$C$2:$C$511,"*a)*",'00 Encuesta'!$E$2:$E$511,"*b)*",'00 Encuesta'!$G$2:$G$511,"*a)*")</f>
        <v>0</v>
      </c>
      <c r="L30" s="52" t="e">
        <f>K30/$J$7*100</f>
        <v>#DIV/0!</v>
      </c>
      <c r="M30" s="23"/>
      <c r="N30" s="51">
        <f>P30+R30</f>
        <v>0</v>
      </c>
      <c r="O30" s="52" t="e">
        <f>N30/$Q$5*100</f>
        <v>#DIV/0!</v>
      </c>
      <c r="P30" s="53">
        <f>COUNTIFS('00 Encuesta'!$B$2:$B$511,"*e)*",'00 Encuesta'!$C$2:$C$511,"*b)*",'00 Encuesta'!$E$2:$E$511,"*a)*",'00 Encuesta'!$G$2:$G$511,"*a)*")</f>
        <v>0</v>
      </c>
      <c r="Q30" s="52" t="e">
        <f>P30/$Q$6*100</f>
        <v>#DIV/0!</v>
      </c>
      <c r="R30" s="53">
        <f>COUNTIFS('00 Encuesta'!$B$2:$B$511,"*e)*",'00 Encuesta'!$C$2:$C$511,"*b)*",'00 Encuesta'!$E$2:$E$511,"*b)*",'00 Encuesta'!$G$2:$G$511,"*a)*")</f>
        <v>0</v>
      </c>
      <c r="S30" s="52" t="e">
        <f>R30/$Q$7*100</f>
        <v>#DIV/0!</v>
      </c>
      <c r="T30" s="3"/>
      <c r="U30" s="51">
        <f>W30+Y30</f>
        <v>0</v>
      </c>
      <c r="V30" s="52" t="e">
        <f>U30/$X$5*100</f>
        <v>#DIV/0!</v>
      </c>
      <c r="W30" s="53">
        <f>COUNTIFS('00 Encuesta'!$B$2:$B$511,"*e)*",'00 Encuesta'!$C$2:$C$511,"*c)*",'00 Encuesta'!$E$2:$E$511,"*a)*",'00 Encuesta'!$G$2:$G$511,"*a)*")</f>
        <v>0</v>
      </c>
      <c r="X30" s="52" t="e">
        <f>W30/$X$6*100</f>
        <v>#DIV/0!</v>
      </c>
      <c r="Y30" s="53">
        <f>COUNTIFS('00 Encuesta'!$B$2:$B$511,"*e)*",'00 Encuesta'!$C$2:$C$511,"*c)*",'00 Encuesta'!$E$2:$E$511,"*b)*",'00 Encuesta'!$G$2:$G$511,"*a)*")</f>
        <v>0</v>
      </c>
      <c r="Z30" s="52" t="e">
        <f t="shared" ref="Z30:Z35" si="5">Y30/$X$7*100</f>
        <v>#DIV/0!</v>
      </c>
      <c r="AA30" s="3"/>
      <c r="AB30" s="62">
        <f t="shared" ref="AB30:AB64" si="6">G30+N30+U30</f>
        <v>0</v>
      </c>
      <c r="AC30" s="52" t="e">
        <f t="shared" ref="AC30:AC35" si="7">AB30*100/$AC$5</f>
        <v>#DIV/0!</v>
      </c>
      <c r="AD30" s="7"/>
      <c r="AE30" s="7"/>
      <c r="AF30" s="9" t="str">
        <f t="shared" ref="AF30:AF35" si="8">A30&amp;" "&amp;B30</f>
        <v>a) Mamá</v>
      </c>
      <c r="AG30" s="72" t="e">
        <f t="shared" ref="AG30:AG35" si="9">J30</f>
        <v>#DIV/0!</v>
      </c>
      <c r="AH30" s="72" t="e">
        <f t="shared" ref="AH30:AH35" si="10">L30</f>
        <v>#DIV/0!</v>
      </c>
      <c r="AI30" s="73" t="e">
        <f t="shared" ref="AI30:AI35" si="11">H30</f>
        <v>#DIV/0!</v>
      </c>
      <c r="AJ30" s="73"/>
      <c r="AK30" s="74" t="e">
        <f t="shared" ref="AK30:AK35" si="12">Q30</f>
        <v>#DIV/0!</v>
      </c>
      <c r="AL30" s="74" t="e">
        <f t="shared" ref="AL30:AL35" si="13">S30</f>
        <v>#DIV/0!</v>
      </c>
      <c r="AM30" s="74" t="e">
        <f t="shared" ref="AM30:AM35" si="14">O30</f>
        <v>#DIV/0!</v>
      </c>
      <c r="AN30" s="74"/>
      <c r="AO30" s="75" t="e">
        <f t="shared" ref="AO30:AO35" si="15">X30</f>
        <v>#DIV/0!</v>
      </c>
      <c r="AP30" s="75" t="e">
        <f t="shared" ref="AP30:AP35" si="16">Z30</f>
        <v>#DIV/0!</v>
      </c>
      <c r="AQ30" s="75" t="e">
        <f t="shared" ref="AQ30:AQ35" si="17">V30</f>
        <v>#DIV/0!</v>
      </c>
      <c r="AR30" s="7"/>
      <c r="AS30" s="76" t="e">
        <f t="shared" si="1"/>
        <v>#DIV/0!</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0</v>
      </c>
      <c r="H31" s="52" t="e">
        <f t="shared" si="3"/>
        <v>#DIV/0!</v>
      </c>
      <c r="I31" s="53">
        <f>COUNTIFS('00 Encuesta'!$B$2:$B$511,"*e)*",'00 Encuesta'!$C$2:$C$511,"*a)*",'00 Encuesta'!$E$2:$E$511,"*a)*",'00 Encuesta'!$G$2:$G$511,"*b)*")</f>
        <v>0</v>
      </c>
      <c r="J31" s="52" t="e">
        <f t="shared" si="4"/>
        <v>#DIV/0!</v>
      </c>
      <c r="K31" s="53">
        <f>COUNTIFS('00 Encuesta'!$B$2:$B$511,"*e)*",'00 Encuesta'!$C$2:$C$511,"*a)*",'00 Encuesta'!$E$2:$E$511,"*b)*",'00 Encuesta'!$G$2:$G$511,"*b)*")</f>
        <v>0</v>
      </c>
      <c r="L31" s="52" t="e">
        <f>K31/$J$7*100</f>
        <v>#DIV/0!</v>
      </c>
      <c r="M31" s="23"/>
      <c r="N31" s="51">
        <f>P31+R31</f>
        <v>0</v>
      </c>
      <c r="O31" s="52" t="e">
        <f>N31/$Q$5*100</f>
        <v>#DIV/0!</v>
      </c>
      <c r="P31" s="53">
        <f>COUNTIFS('00 Encuesta'!$B$2:$B$511,"*e)*",'00 Encuesta'!$C$2:$C$511,"*b)*",'00 Encuesta'!$E$2:$E$511,"*a)*",'00 Encuesta'!$G$2:$G$511,"*b)*")</f>
        <v>0</v>
      </c>
      <c r="Q31" s="52" t="e">
        <f>P31/$Q$6*100</f>
        <v>#DIV/0!</v>
      </c>
      <c r="R31" s="53">
        <f>COUNTIFS('00 Encuesta'!$B$2:$B$511,"*e)*",'00 Encuesta'!$C$2:$C$511,"*b)*",'00 Encuesta'!$E$2:$E$511,"*b)*",'00 Encuesta'!$G$2:$G$511,"*b)*")</f>
        <v>0</v>
      </c>
      <c r="S31" s="52" t="e">
        <f>R31/$Q$7*100</f>
        <v>#DIV/0!</v>
      </c>
      <c r="T31" s="3"/>
      <c r="U31" s="51">
        <f>W31+Y31</f>
        <v>0</v>
      </c>
      <c r="V31" s="52" t="e">
        <f>U31/$X$5*100</f>
        <v>#DIV/0!</v>
      </c>
      <c r="W31" s="53">
        <f>COUNTIFS('00 Encuesta'!$B$2:$B$511,"*e)*",'00 Encuesta'!$C$2:$C$511,"*c)*",'00 Encuesta'!$E$2:$E$511,"*a)*",'00 Encuesta'!$G$2:$G$511,"*b)*")</f>
        <v>0</v>
      </c>
      <c r="X31" s="52" t="e">
        <f>W31/$X$6*100</f>
        <v>#DIV/0!</v>
      </c>
      <c r="Y31" s="53">
        <f>COUNTIFS('00 Encuesta'!$B$2:$B$511,"*e)*",'00 Encuesta'!$C$2:$C$511,"*c)*",'00 Encuesta'!$E$2:$E$511,"*b)*",'00 Encuesta'!$G$2:$G$511,"*b)*")</f>
        <v>0</v>
      </c>
      <c r="Z31" s="52" t="e">
        <f t="shared" si="5"/>
        <v>#DIV/0!</v>
      </c>
      <c r="AA31" s="3"/>
      <c r="AB31" s="62">
        <f t="shared" si="6"/>
        <v>0</v>
      </c>
      <c r="AC31" s="52" t="e">
        <f t="shared" si="7"/>
        <v>#DIV/0!</v>
      </c>
      <c r="AD31" s="7"/>
      <c r="AE31" s="7"/>
      <c r="AF31" s="9" t="str">
        <f t="shared" si="8"/>
        <v>b) Papá</v>
      </c>
      <c r="AG31" s="72" t="e">
        <f t="shared" si="9"/>
        <v>#DIV/0!</v>
      </c>
      <c r="AH31" s="72" t="e">
        <f t="shared" si="10"/>
        <v>#DIV/0!</v>
      </c>
      <c r="AI31" s="73" t="e">
        <f t="shared" si="11"/>
        <v>#DIV/0!</v>
      </c>
      <c r="AJ31" s="73"/>
      <c r="AK31" s="74" t="e">
        <f t="shared" si="12"/>
        <v>#DIV/0!</v>
      </c>
      <c r="AL31" s="74" t="e">
        <f t="shared" si="13"/>
        <v>#DIV/0!</v>
      </c>
      <c r="AM31" s="74" t="e">
        <f t="shared" si="14"/>
        <v>#DIV/0!</v>
      </c>
      <c r="AN31" s="74"/>
      <c r="AO31" s="75" t="e">
        <f t="shared" si="15"/>
        <v>#DIV/0!</v>
      </c>
      <c r="AP31" s="75" t="e">
        <f t="shared" si="16"/>
        <v>#DIV/0!</v>
      </c>
      <c r="AQ31" s="75" t="e">
        <f t="shared" si="17"/>
        <v>#DIV/0!</v>
      </c>
      <c r="AR31" s="7"/>
      <c r="AS31" s="76" t="e">
        <f t="shared" si="1"/>
        <v>#DIV/0!</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x14ac:dyDescent="0.3">
      <c r="A32" s="8" t="s">
        <v>20</v>
      </c>
      <c r="B32" s="9" t="s">
        <v>35</v>
      </c>
      <c r="C32" s="80"/>
      <c r="D32" s="7"/>
      <c r="E32" s="80"/>
      <c r="F32" s="10"/>
      <c r="G32" s="51">
        <f t="shared" si="2"/>
        <v>0</v>
      </c>
      <c r="H32" s="52" t="e">
        <f t="shared" si="3"/>
        <v>#DIV/0!</v>
      </c>
      <c r="I32" s="53">
        <f>COUNTIFS('00 Encuesta'!$B$2:$B$511,"*e)*",'00 Encuesta'!$C$2:$C$511,"*a)*",'00 Encuesta'!$E$2:$E$511,"*a)*",'00 Encuesta'!$G$2:$G$511,"*c)*")</f>
        <v>0</v>
      </c>
      <c r="J32" s="52" t="e">
        <f t="shared" si="4"/>
        <v>#DIV/0!</v>
      </c>
      <c r="K32" s="53">
        <f>COUNTIFS('00 Encuesta'!$B$2:$B$511,"*e)*",'00 Encuesta'!$C$2:$C$511,"*a)*",'00 Encuesta'!$E$2:$E$511,"*b)*",'00 Encuesta'!$G$2:$G$511,"*c)*")</f>
        <v>0</v>
      </c>
      <c r="L32" s="52" t="e">
        <f>K32/$J$7*100</f>
        <v>#DIV/0!</v>
      </c>
      <c r="M32" s="23"/>
      <c r="N32" s="51">
        <f>P32+R32</f>
        <v>0</v>
      </c>
      <c r="O32" s="52" t="e">
        <f>N32/$Q$5*100</f>
        <v>#DIV/0!</v>
      </c>
      <c r="P32" s="53">
        <f>COUNTIFS('00 Encuesta'!$B$2:$B$511,"*e)*",'00 Encuesta'!$C$2:$C$511,"*b)*",'00 Encuesta'!$E$2:$E$511,"*a)*",'00 Encuesta'!$G$2:$G$511,"*c)*")</f>
        <v>0</v>
      </c>
      <c r="Q32" s="52" t="e">
        <f>P32/$Q$6*100</f>
        <v>#DIV/0!</v>
      </c>
      <c r="R32" s="53">
        <f>COUNTIFS('00 Encuesta'!$B$2:$B$511,"*e)*",'00 Encuesta'!$C$2:$C$511,"*b)*",'00 Encuesta'!$E$2:$E$511,"*b)*",'00 Encuesta'!$G$2:$G$511,"*c)*")</f>
        <v>0</v>
      </c>
      <c r="S32" s="52" t="e">
        <f>R32/$Q$7*100</f>
        <v>#DIV/0!</v>
      </c>
      <c r="T32" s="3"/>
      <c r="U32" s="51">
        <f>W32+Y32</f>
        <v>0</v>
      </c>
      <c r="V32" s="52" t="e">
        <f>U32/$X$5*100</f>
        <v>#DIV/0!</v>
      </c>
      <c r="W32" s="53">
        <f>COUNTIFS('00 Encuesta'!$B$2:$B$511,"*e)*",'00 Encuesta'!$C$2:$C$511,"*c)*",'00 Encuesta'!$E$2:$E$511,"*a)*",'00 Encuesta'!$G$2:$G$511,"*c)*")</f>
        <v>0</v>
      </c>
      <c r="X32" s="52" t="e">
        <f>W32/$X$6*100</f>
        <v>#DIV/0!</v>
      </c>
      <c r="Y32" s="53">
        <f>COUNTIFS('00 Encuesta'!$B$2:$B$511,"*e)*",'00 Encuesta'!$C$2:$C$511,"*c)*",'00 Encuesta'!$E$2:$E$511,"*b)*",'00 Encuesta'!$G$2:$G$511,"*c)*")</f>
        <v>0</v>
      </c>
      <c r="Z32" s="52" t="e">
        <f t="shared" si="5"/>
        <v>#DIV/0!</v>
      </c>
      <c r="AA32" s="3"/>
      <c r="AB32" s="62">
        <f t="shared" si="6"/>
        <v>0</v>
      </c>
      <c r="AC32" s="52" t="e">
        <f t="shared" si="7"/>
        <v>#DIV/0!</v>
      </c>
      <c r="AD32" s="7"/>
      <c r="AE32" s="7"/>
      <c r="AF32" s="9" t="str">
        <f t="shared" si="8"/>
        <v>c) Hermanos</v>
      </c>
      <c r="AG32" s="72" t="e">
        <f t="shared" si="9"/>
        <v>#DIV/0!</v>
      </c>
      <c r="AH32" s="72" t="e">
        <f t="shared" si="10"/>
        <v>#DIV/0!</v>
      </c>
      <c r="AI32" s="73" t="e">
        <f t="shared" si="11"/>
        <v>#DIV/0!</v>
      </c>
      <c r="AJ32" s="73"/>
      <c r="AK32" s="74" t="e">
        <f t="shared" si="12"/>
        <v>#DIV/0!</v>
      </c>
      <c r="AL32" s="74" t="e">
        <f t="shared" si="13"/>
        <v>#DIV/0!</v>
      </c>
      <c r="AM32" s="74" t="e">
        <f t="shared" si="14"/>
        <v>#DIV/0!</v>
      </c>
      <c r="AN32" s="74"/>
      <c r="AO32" s="75" t="e">
        <f t="shared" si="15"/>
        <v>#DIV/0!</v>
      </c>
      <c r="AP32" s="75" t="e">
        <f t="shared" si="16"/>
        <v>#DIV/0!</v>
      </c>
      <c r="AQ32" s="75" t="e">
        <f t="shared" si="17"/>
        <v>#DIV/0!</v>
      </c>
      <c r="AR32" s="7"/>
      <c r="AS32" s="76" t="e">
        <f t="shared" si="1"/>
        <v>#DIV/0!</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x14ac:dyDescent="0.3">
      <c r="A33" s="8" t="s">
        <v>21</v>
      </c>
      <c r="B33" s="9" t="s">
        <v>36</v>
      </c>
      <c r="C33" s="7"/>
      <c r="D33" s="7"/>
      <c r="E33" s="7"/>
      <c r="F33" s="71"/>
      <c r="G33" s="51">
        <f t="shared" si="2"/>
        <v>0</v>
      </c>
      <c r="H33" s="52" t="e">
        <f t="shared" si="3"/>
        <v>#DIV/0!</v>
      </c>
      <c r="I33" s="53">
        <f>COUNTIFS('00 Encuesta'!$B$2:$B$511,"*e)*",'00 Encuesta'!$C$2:$C$511,"*a)*",'00 Encuesta'!$E$2:$E$511,"*a)*",'00 Encuesta'!$G$2:$G$511,"*d)*")</f>
        <v>0</v>
      </c>
      <c r="J33" s="52" t="e">
        <f t="shared" si="4"/>
        <v>#DIV/0!</v>
      </c>
      <c r="K33" s="53">
        <f>COUNTIFS('00 Encuesta'!$B$2:$B$511,"*e)*",'00 Encuesta'!$C$2:$C$511,"*a)*",'00 Encuesta'!$E$2:$E$511,"*b)*",'00 Encuesta'!$G$2:$G$511,"*d)*")</f>
        <v>0</v>
      </c>
      <c r="L33" s="52" t="e">
        <f>K33/$J$7*100</f>
        <v>#DIV/0!</v>
      </c>
      <c r="M33" s="23"/>
      <c r="N33" s="51">
        <f>P33+R33</f>
        <v>0</v>
      </c>
      <c r="O33" s="52" t="e">
        <f>N33/$Q$5*100</f>
        <v>#DIV/0!</v>
      </c>
      <c r="P33" s="53">
        <f>COUNTIFS('00 Encuesta'!$B$2:$B$511,"*e)*",'00 Encuesta'!$C$2:$C$511,"*b)*",'00 Encuesta'!$E$2:$E$511,"*a)*",'00 Encuesta'!$G$2:$G$511,"*d)*")</f>
        <v>0</v>
      </c>
      <c r="Q33" s="52" t="e">
        <f>P33/$Q$6*100</f>
        <v>#DIV/0!</v>
      </c>
      <c r="R33" s="53">
        <f>COUNTIFS('00 Encuesta'!$B$2:$B$511,"*e)*",'00 Encuesta'!$C$2:$C$511,"*b)*",'00 Encuesta'!$E$2:$E$511,"*b)*",'00 Encuesta'!$G$2:$G$511,"*d)*")</f>
        <v>0</v>
      </c>
      <c r="S33" s="52" t="e">
        <f>R33/$Q$7*100</f>
        <v>#DIV/0!</v>
      </c>
      <c r="T33" s="3"/>
      <c r="U33" s="51">
        <f>W33+Y33</f>
        <v>0</v>
      </c>
      <c r="V33" s="52" t="e">
        <f>U33/$X$5*100</f>
        <v>#DIV/0!</v>
      </c>
      <c r="W33" s="53">
        <f>COUNTIFS('00 Encuesta'!$B$2:$B$511,"*e)*",'00 Encuesta'!$C$2:$C$511,"*c)*",'00 Encuesta'!$E$2:$E$511,"*a)*",'00 Encuesta'!$G$2:$G$511,"*d)*")</f>
        <v>0</v>
      </c>
      <c r="X33" s="52" t="e">
        <f>W33/$X$6*100</f>
        <v>#DIV/0!</v>
      </c>
      <c r="Y33" s="53">
        <f>COUNTIFS('00 Encuesta'!$B$2:$B$511,"*e)*",'00 Encuesta'!$C$2:$C$511,"*c)*",'00 Encuesta'!$E$2:$E$511,"*b)*",'00 Encuesta'!$G$2:$G$511,"*d)*")</f>
        <v>0</v>
      </c>
      <c r="Z33" s="52" t="e">
        <f t="shared" si="5"/>
        <v>#DIV/0!</v>
      </c>
      <c r="AA33" s="3"/>
      <c r="AB33" s="62">
        <f t="shared" si="6"/>
        <v>0</v>
      </c>
      <c r="AC33" s="52" t="e">
        <f t="shared" si="7"/>
        <v>#DIV/0!</v>
      </c>
      <c r="AD33" s="7"/>
      <c r="AE33" s="7"/>
      <c r="AF33" s="9" t="str">
        <f t="shared" si="8"/>
        <v>d) Abuelos</v>
      </c>
      <c r="AG33" s="72" t="e">
        <f t="shared" si="9"/>
        <v>#DIV/0!</v>
      </c>
      <c r="AH33" s="72" t="e">
        <f t="shared" si="10"/>
        <v>#DIV/0!</v>
      </c>
      <c r="AI33" s="73" t="e">
        <f t="shared" si="11"/>
        <v>#DIV/0!</v>
      </c>
      <c r="AJ33" s="73"/>
      <c r="AK33" s="74" t="e">
        <f t="shared" si="12"/>
        <v>#DIV/0!</v>
      </c>
      <c r="AL33" s="74" t="e">
        <f t="shared" si="13"/>
        <v>#DIV/0!</v>
      </c>
      <c r="AM33" s="74" t="e">
        <f t="shared" si="14"/>
        <v>#DIV/0!</v>
      </c>
      <c r="AN33" s="74"/>
      <c r="AO33" s="75" t="e">
        <f t="shared" si="15"/>
        <v>#DIV/0!</v>
      </c>
      <c r="AP33" s="75" t="e">
        <f t="shared" si="16"/>
        <v>#DIV/0!</v>
      </c>
      <c r="AQ33" s="75" t="e">
        <f t="shared" si="17"/>
        <v>#DIV/0!</v>
      </c>
      <c r="AR33" s="7"/>
      <c r="AS33" s="76" t="e">
        <f t="shared" si="1"/>
        <v>#DIV/0!</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x14ac:dyDescent="0.3">
      <c r="A34" s="8" t="s">
        <v>22</v>
      </c>
      <c r="B34" s="9" t="s">
        <v>37</v>
      </c>
      <c r="C34" s="7"/>
      <c r="D34" s="7"/>
      <c r="E34" s="7"/>
      <c r="F34" s="71"/>
      <c r="G34" s="51">
        <f t="shared" si="2"/>
        <v>0</v>
      </c>
      <c r="H34" s="52" t="e">
        <f t="shared" si="3"/>
        <v>#DIV/0!</v>
      </c>
      <c r="I34" s="53">
        <f>COUNTIFS('00 Encuesta'!$B$2:$B$511,"*e)*",'00 Encuesta'!$C$2:$C$511,"*a)*",'00 Encuesta'!$E$2:$E$511,"*a)*",'00 Encuesta'!$G$2:$G$511,"*e)*")</f>
        <v>0</v>
      </c>
      <c r="J34" s="52" t="e">
        <f t="shared" si="4"/>
        <v>#DIV/0!</v>
      </c>
      <c r="K34" s="53">
        <f>COUNTIFS('00 Encuesta'!$B$2:$B$511,"*e)*",'00 Encuesta'!$C$2:$C$511,"*a)*",'00 Encuesta'!$E$2:$E$511,"*b)*",'00 Encuesta'!$G$2:$G$511,"*e)*")</f>
        <v>0</v>
      </c>
      <c r="L34" s="52" t="e">
        <f>K34/$J$7*100</f>
        <v>#DIV/0!</v>
      </c>
      <c r="M34" s="23"/>
      <c r="N34" s="51">
        <f>P34+R34</f>
        <v>0</v>
      </c>
      <c r="O34" s="52" t="e">
        <f>N34/$Q$5*100</f>
        <v>#DIV/0!</v>
      </c>
      <c r="P34" s="53">
        <f>COUNTIFS('00 Encuesta'!$B$2:$B$511,"*e)*",'00 Encuesta'!$C$2:$C$511,"*b)*",'00 Encuesta'!$E$2:$E$511,"*a)*",'00 Encuesta'!$G$2:$G$511,"*e)*")</f>
        <v>0</v>
      </c>
      <c r="Q34" s="52" t="e">
        <f>P34/$Q$6*100</f>
        <v>#DIV/0!</v>
      </c>
      <c r="R34" s="53">
        <f>COUNTIFS('00 Encuesta'!$B$2:$B$511,"*e)*",'00 Encuesta'!$C$2:$C$511,"*b)*",'00 Encuesta'!$E$2:$E$511,"*b)*",'00 Encuesta'!$G$2:$G$511,"*e)*")</f>
        <v>0</v>
      </c>
      <c r="S34" s="52" t="e">
        <f>R34/$Q$7*100</f>
        <v>#DIV/0!</v>
      </c>
      <c r="T34" s="3"/>
      <c r="U34" s="51">
        <f>W34+Y34</f>
        <v>0</v>
      </c>
      <c r="V34" s="52" t="e">
        <f>U34/$X$5*100</f>
        <v>#DIV/0!</v>
      </c>
      <c r="W34" s="53">
        <f>COUNTIFS('00 Encuesta'!$B$2:$B$511,"*e)*",'00 Encuesta'!$C$2:$C$511,"*c)*",'00 Encuesta'!$E$2:$E$511,"*a)*",'00 Encuesta'!$G$2:$G$511,"*e)*")</f>
        <v>0</v>
      </c>
      <c r="X34" s="52" t="e">
        <f>W34/$X$6*100</f>
        <v>#DIV/0!</v>
      </c>
      <c r="Y34" s="53">
        <f>COUNTIFS('00 Encuesta'!$B$2:$B$511,"*e)*",'00 Encuesta'!$C$2:$C$511,"*c)*",'00 Encuesta'!$E$2:$E$511,"*b)*",'00 Encuesta'!$G$2:$G$511,"*e)*")</f>
        <v>0</v>
      </c>
      <c r="Z34" s="52" t="e">
        <f t="shared" si="5"/>
        <v>#DIV/0!</v>
      </c>
      <c r="AA34" s="3"/>
      <c r="AB34" s="62">
        <f t="shared" si="6"/>
        <v>0</v>
      </c>
      <c r="AC34" s="52" t="e">
        <f t="shared" si="7"/>
        <v>#DIV/0!</v>
      </c>
      <c r="AD34" s="7"/>
      <c r="AE34" s="7"/>
      <c r="AF34" s="9" t="str">
        <f t="shared" si="8"/>
        <v>e) Otros familiares</v>
      </c>
      <c r="AG34" s="72" t="e">
        <f t="shared" si="9"/>
        <v>#DIV/0!</v>
      </c>
      <c r="AH34" s="72" t="e">
        <f t="shared" si="10"/>
        <v>#DIV/0!</v>
      </c>
      <c r="AI34" s="73" t="e">
        <f t="shared" si="11"/>
        <v>#DIV/0!</v>
      </c>
      <c r="AJ34" s="73"/>
      <c r="AK34" s="74" t="e">
        <f t="shared" si="12"/>
        <v>#DIV/0!</v>
      </c>
      <c r="AL34" s="74" t="e">
        <f t="shared" si="13"/>
        <v>#DIV/0!</v>
      </c>
      <c r="AM34" s="74" t="e">
        <f t="shared" si="14"/>
        <v>#DIV/0!</v>
      </c>
      <c r="AN34" s="74"/>
      <c r="AO34" s="75" t="e">
        <f t="shared" si="15"/>
        <v>#DIV/0!</v>
      </c>
      <c r="AP34" s="75" t="e">
        <f t="shared" si="16"/>
        <v>#DIV/0!</v>
      </c>
      <c r="AQ34" s="75" t="e">
        <f t="shared" si="17"/>
        <v>#DIV/0!</v>
      </c>
      <c r="AR34" s="7"/>
      <c r="AS34" s="76" t="e">
        <f t="shared" si="1"/>
        <v>#DIV/0!</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x14ac:dyDescent="0.3">
      <c r="A35" s="8" t="s">
        <v>23</v>
      </c>
      <c r="B35" s="9" t="s">
        <v>24</v>
      </c>
      <c r="C35" s="7"/>
      <c r="D35" s="7"/>
      <c r="E35" s="7"/>
      <c r="F35" s="71"/>
      <c r="G35" s="51">
        <f t="shared" si="2"/>
        <v>0</v>
      </c>
      <c r="H35" s="52" t="e">
        <f t="shared" si="3"/>
        <v>#DIV/0!</v>
      </c>
      <c r="I35" s="53"/>
      <c r="J35" s="52" t="e">
        <f t="shared" si="4"/>
        <v>#DIV/0!</v>
      </c>
      <c r="K35" s="53"/>
      <c r="L35" s="52" t="e">
        <f t="shared" ref="L35" si="18">K35/$J$7*100</f>
        <v>#DIV/0!</v>
      </c>
      <c r="M35" s="23"/>
      <c r="N35" s="51">
        <f t="shared" ref="N35" si="19">P35+R35</f>
        <v>0</v>
      </c>
      <c r="O35" s="52" t="e">
        <f t="shared" ref="O35" si="20">N35/$Q$5*100</f>
        <v>#DIV/0!</v>
      </c>
      <c r="P35" s="53"/>
      <c r="Q35" s="52" t="e">
        <f t="shared" ref="Q35" si="21">P35/$Q$6*100</f>
        <v>#DIV/0!</v>
      </c>
      <c r="R35" s="53"/>
      <c r="S35" s="52" t="e">
        <f t="shared" ref="S35" si="22">R35/$Q$7*100</f>
        <v>#DIV/0!</v>
      </c>
      <c r="T35" s="3"/>
      <c r="U35" s="51">
        <f t="shared" ref="U35" si="23">W35+Y35</f>
        <v>0</v>
      </c>
      <c r="V35" s="52" t="e">
        <f t="shared" ref="V35" si="24">U35/$X$5*100</f>
        <v>#DIV/0!</v>
      </c>
      <c r="W35" s="53"/>
      <c r="X35" s="52" t="e">
        <f t="shared" ref="X35" si="25">W35/$X$6*100</f>
        <v>#DIV/0!</v>
      </c>
      <c r="Y35" s="53"/>
      <c r="Z35" s="52" t="e">
        <f t="shared" si="5"/>
        <v>#DIV/0!</v>
      </c>
      <c r="AA35" s="3"/>
      <c r="AB35" s="62">
        <f t="shared" si="6"/>
        <v>0</v>
      </c>
      <c r="AC35" s="52" t="e">
        <f t="shared" si="7"/>
        <v>#DIV/0!</v>
      </c>
      <c r="AD35" s="7"/>
      <c r="AE35" s="7"/>
      <c r="AF35" s="9" t="str">
        <f t="shared" si="8"/>
        <v>S/R Sin Respuesta</v>
      </c>
      <c r="AG35" s="72" t="e">
        <f t="shared" si="9"/>
        <v>#DIV/0!</v>
      </c>
      <c r="AH35" s="72" t="e">
        <f t="shared" si="10"/>
        <v>#DIV/0!</v>
      </c>
      <c r="AI35" s="73" t="e">
        <f t="shared" si="11"/>
        <v>#DIV/0!</v>
      </c>
      <c r="AJ35" s="73"/>
      <c r="AK35" s="74" t="e">
        <f t="shared" si="12"/>
        <v>#DIV/0!</v>
      </c>
      <c r="AL35" s="74" t="e">
        <f t="shared" si="13"/>
        <v>#DIV/0!</v>
      </c>
      <c r="AM35" s="74" t="e">
        <f t="shared" si="14"/>
        <v>#DIV/0!</v>
      </c>
      <c r="AN35" s="74"/>
      <c r="AO35" s="75" t="e">
        <f t="shared" si="15"/>
        <v>#DIV/0!</v>
      </c>
      <c r="AP35" s="75" t="e">
        <f t="shared" si="16"/>
        <v>#DIV/0!</v>
      </c>
      <c r="AQ35" s="75" t="e">
        <f t="shared" si="17"/>
        <v>#DIV/0!</v>
      </c>
      <c r="AR35" s="7"/>
      <c r="AS35" s="76" t="e">
        <f t="shared" si="1"/>
        <v>#DIV/0!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x14ac:dyDescent="0.3">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x14ac:dyDescent="0.3">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x14ac:dyDescent="0.3">
      <c r="A38" s="8" t="s">
        <v>17</v>
      </c>
      <c r="B38" s="9" t="s">
        <v>40</v>
      </c>
      <c r="C38" s="7"/>
      <c r="D38" s="7"/>
      <c r="E38" s="7"/>
      <c r="F38" s="71"/>
      <c r="G38" s="51">
        <f t="shared" ref="G38:G44" si="26">I38+K38</f>
        <v>0</v>
      </c>
      <c r="H38" s="52" t="e">
        <f t="shared" ref="H38:H44" si="27">G38/$J$5*100</f>
        <v>#DIV/0!</v>
      </c>
      <c r="I38" s="53">
        <f>COUNTIFS('00 Encuesta'!$B$2:$B$511,"*e)*",'00 Encuesta'!$C$2:$C$511,"*a)*",'00 Encuesta'!$E$2:$E$511,"*a)*",'00 Encuesta'!$H$2:$H$511,"*a)*")</f>
        <v>0</v>
      </c>
      <c r="J38" s="52" t="e">
        <f t="shared" ref="J38:J44" si="28">I38/$J$6*100</f>
        <v>#DIV/0!</v>
      </c>
      <c r="K38" s="53">
        <f>COUNTIFS('00 Encuesta'!$B$2:$B$511,"*e)*",'00 Encuesta'!$C$2:$C$511,"*a)*",'00 Encuesta'!$E$2:$E$511,"*b)*",'00 Encuesta'!$H$2:$H$511,"*a)*")</f>
        <v>0</v>
      </c>
      <c r="L38" s="52" t="e">
        <f t="shared" ref="L38:L44" si="29">K38/$J$7*100</f>
        <v>#DIV/0!</v>
      </c>
      <c r="M38" s="23"/>
      <c r="N38" s="51">
        <f t="shared" ref="N38:N44" si="30">P38+R38</f>
        <v>0</v>
      </c>
      <c r="O38" s="52" t="e">
        <f>N38/$Q$5*100</f>
        <v>#DIV/0!</v>
      </c>
      <c r="P38" s="53">
        <f>COUNTIFS('00 Encuesta'!$B$2:$B$511,"*e)*",'00 Encuesta'!$C$2:$C$511,"*b)*",'00 Encuesta'!$E$2:$E$511,"*a)*",'00 Encuesta'!$H$2:$H$511,"*a)*")</f>
        <v>0</v>
      </c>
      <c r="Q38" s="52" t="e">
        <f>P38/$Q$6*100</f>
        <v>#DIV/0!</v>
      </c>
      <c r="R38" s="53">
        <f>COUNTIFS('00 Encuesta'!$B$2:$B$511,"*e)*",'00 Encuesta'!$C$2:$C$511,"*b)*",'00 Encuesta'!$E$2:$E$511,"*b)*",'00 Encuesta'!$H$2:$H$511,"*a)*")</f>
        <v>0</v>
      </c>
      <c r="S38" s="52" t="e">
        <f t="shared" ref="S38:S44" si="31">R38/$Q$7*100</f>
        <v>#DIV/0!</v>
      </c>
      <c r="T38" s="3"/>
      <c r="U38" s="51">
        <f t="shared" ref="U38:U44" si="32">W38+Y38</f>
        <v>0</v>
      </c>
      <c r="V38" s="52" t="e">
        <f t="shared" ref="V38:V44" si="33">U38/$X$5*100</f>
        <v>#DIV/0!</v>
      </c>
      <c r="W38" s="53">
        <f>COUNTIFS('00 Encuesta'!$B$2:$B$511,"*e)*",'00 Encuesta'!$C$2:$C$511,"*c)*",'00 Encuesta'!$E$2:$E$511,"*a)*",'00 Encuesta'!$H$2:$H$511,"*a)*")</f>
        <v>0</v>
      </c>
      <c r="X38" s="52" t="e">
        <f t="shared" ref="X38:X44" si="34">W38/$X$6*100</f>
        <v>#DIV/0!</v>
      </c>
      <c r="Y38" s="53">
        <f>COUNTIFS('00 Encuesta'!$B$2:$B$511,"*e)*",'00 Encuesta'!$C$2:$C$511,"*c)*",'00 Encuesta'!$E$2:$E$511,"*b)*",'00 Encuesta'!$H$2:$H$511,"*a)*")</f>
        <v>0</v>
      </c>
      <c r="Z38" s="52" t="e">
        <f t="shared" ref="Z38:Z44" si="35">Y38/$X$7*100</f>
        <v>#DIV/0!</v>
      </c>
      <c r="AA38" s="3"/>
      <c r="AB38" s="62">
        <f t="shared" si="6"/>
        <v>0</v>
      </c>
      <c r="AC38" s="52" t="e">
        <f t="shared" ref="AC38:AC44" si="36">AB38*100/$AC$5</f>
        <v>#DIV/0!</v>
      </c>
      <c r="AD38" s="7"/>
      <c r="AE38" s="7"/>
      <c r="AF38" s="9" t="str">
        <f t="shared" ref="AF38:AF44" si="37">A38&amp;" "&amp;B38</f>
        <v>a) Quinta</v>
      </c>
      <c r="AG38" s="72" t="e">
        <f t="shared" ref="AG38:AG44" si="38">J38</f>
        <v>#DIV/0!</v>
      </c>
      <c r="AH38" s="72" t="e">
        <f t="shared" ref="AH38:AH44" si="39">L38</f>
        <v>#DIV/0!</v>
      </c>
      <c r="AI38" s="73" t="e">
        <f t="shared" ref="AI38:AI44" si="40">H38</f>
        <v>#DIV/0!</v>
      </c>
      <c r="AJ38" s="73"/>
      <c r="AK38" s="76" t="e">
        <f t="shared" ref="AK38:AK44" si="41">Q38</f>
        <v>#DIV/0!</v>
      </c>
      <c r="AL38" s="76" t="e">
        <f t="shared" ref="AL38:AL44" si="42">S38</f>
        <v>#DIV/0!</v>
      </c>
      <c r="AM38" s="76" t="e">
        <f t="shared" ref="AM38:AM44" si="43">O38</f>
        <v>#DIV/0!</v>
      </c>
      <c r="AN38" s="76"/>
      <c r="AO38" s="81" t="e">
        <f t="shared" ref="AO38:AO44" si="44">X38</f>
        <v>#DIV/0!</v>
      </c>
      <c r="AP38" s="81" t="e">
        <f t="shared" ref="AP38:AP44" si="45">Z38</f>
        <v>#DIV/0!</v>
      </c>
      <c r="AQ38" s="81" t="e">
        <f t="shared" ref="AQ38:AQ44" si="46">V38</f>
        <v>#DIV/0!</v>
      </c>
      <c r="AR38" s="7"/>
      <c r="AS38" s="76" t="e">
        <f t="shared" si="1"/>
        <v>#DIV/0!</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x14ac:dyDescent="0.3">
      <c r="A39" s="8" t="s">
        <v>18</v>
      </c>
      <c r="B39" s="9" t="s">
        <v>41</v>
      </c>
      <c r="C39" s="7"/>
      <c r="D39" s="7"/>
      <c r="E39" s="7"/>
      <c r="F39" s="71"/>
      <c r="G39" s="51">
        <f t="shared" si="26"/>
        <v>0</v>
      </c>
      <c r="H39" s="52" t="e">
        <f t="shared" si="27"/>
        <v>#DIV/0!</v>
      </c>
      <c r="I39" s="53">
        <f>COUNTIFS('00 Encuesta'!$B$2:$B$511,"*e)*",'00 Encuesta'!$C$2:$C$511,"*a)*",'00 Encuesta'!$E$2:$E$511,"*a)*",'00 Encuesta'!$H$2:$H$511,"*b)*")</f>
        <v>0</v>
      </c>
      <c r="J39" s="52" t="e">
        <f t="shared" si="28"/>
        <v>#DIV/0!</v>
      </c>
      <c r="K39" s="53">
        <f>COUNTIFS('00 Encuesta'!$B$2:$B$511,"*e)*",'00 Encuesta'!$C$2:$C$511,"*a)*",'00 Encuesta'!$E$2:$E$511,"*b)*",'00 Encuesta'!$H$2:$H$511,"*b)*")</f>
        <v>0</v>
      </c>
      <c r="L39" s="52" t="e">
        <f t="shared" si="29"/>
        <v>#DIV/0!</v>
      </c>
      <c r="M39" s="23"/>
      <c r="N39" s="51">
        <f t="shared" si="30"/>
        <v>0</v>
      </c>
      <c r="O39" s="52" t="e">
        <f t="shared" ref="O39:O44" si="47">N39/$Q$5*100</f>
        <v>#DIV/0!</v>
      </c>
      <c r="P39" s="53">
        <f>COUNTIFS('00 Encuesta'!$B$2:$B$511,"*e)*",'00 Encuesta'!$C$2:$C$511,"*b)*",'00 Encuesta'!$E$2:$E$511,"*a)*",'00 Encuesta'!$H$2:$H$511,"*b)*")</f>
        <v>0</v>
      </c>
      <c r="Q39" s="52" t="e">
        <f>P39/$Q$6*100</f>
        <v>#DIV/0!</v>
      </c>
      <c r="R39" s="53">
        <f>COUNTIFS('00 Encuesta'!$B$2:$B$511,"*e)*",'00 Encuesta'!$C$2:$C$511,"*b)*",'00 Encuesta'!$E$2:$E$511,"*b)*",'00 Encuesta'!$H$2:$H$511,"*b)*")</f>
        <v>0</v>
      </c>
      <c r="S39" s="52" t="e">
        <f>R39/$Q$7*100</f>
        <v>#DIV/0!</v>
      </c>
      <c r="T39" s="3"/>
      <c r="U39" s="51">
        <f t="shared" si="32"/>
        <v>0</v>
      </c>
      <c r="V39" s="52" t="e">
        <f t="shared" si="33"/>
        <v>#DIV/0!</v>
      </c>
      <c r="W39" s="53">
        <f>COUNTIFS('00 Encuesta'!$B$2:$B$511,"*e)*",'00 Encuesta'!$C$2:$C$511,"*c)*",'00 Encuesta'!$E$2:$E$511,"*a)*",'00 Encuesta'!$H$2:$H$511,"*b)*")</f>
        <v>0</v>
      </c>
      <c r="X39" s="52" t="e">
        <f t="shared" si="34"/>
        <v>#DIV/0!</v>
      </c>
      <c r="Y39" s="53">
        <f>COUNTIFS('00 Encuesta'!$B$2:$B$511,"*e)*",'00 Encuesta'!$C$2:$C$511,"*c)*",'00 Encuesta'!$E$2:$E$511,"*b)*",'00 Encuesta'!$H$2:$H$511,"*b)*")</f>
        <v>0</v>
      </c>
      <c r="Z39" s="52" t="e">
        <f t="shared" si="35"/>
        <v>#DIV/0!</v>
      </c>
      <c r="AA39" s="3"/>
      <c r="AB39" s="62">
        <f t="shared" si="6"/>
        <v>0</v>
      </c>
      <c r="AC39" s="52" t="e">
        <f t="shared" si="36"/>
        <v>#DIV/0!</v>
      </c>
      <c r="AD39" s="7"/>
      <c r="AE39" s="7"/>
      <c r="AF39" s="9" t="str">
        <f t="shared" si="37"/>
        <v>b) Casa urbana</v>
      </c>
      <c r="AG39" s="72" t="e">
        <f t="shared" si="38"/>
        <v>#DIV/0!</v>
      </c>
      <c r="AH39" s="72" t="e">
        <f t="shared" si="39"/>
        <v>#DIV/0!</v>
      </c>
      <c r="AI39" s="73" t="e">
        <f t="shared" si="40"/>
        <v>#DIV/0!</v>
      </c>
      <c r="AJ39" s="73"/>
      <c r="AK39" s="76" t="e">
        <f t="shared" si="41"/>
        <v>#DIV/0!</v>
      </c>
      <c r="AL39" s="76" t="e">
        <f t="shared" si="42"/>
        <v>#DIV/0!</v>
      </c>
      <c r="AM39" s="76" t="e">
        <f t="shared" si="43"/>
        <v>#DIV/0!</v>
      </c>
      <c r="AN39" s="76"/>
      <c r="AO39" s="81" t="e">
        <f t="shared" si="44"/>
        <v>#DIV/0!</v>
      </c>
      <c r="AP39" s="81" t="e">
        <f t="shared" si="45"/>
        <v>#DIV/0!</v>
      </c>
      <c r="AQ39" s="81" t="e">
        <f t="shared" si="46"/>
        <v>#DIV/0!</v>
      </c>
      <c r="AR39" s="7"/>
      <c r="AS39" s="76" t="e">
        <f t="shared" si="1"/>
        <v>#DIV/0!</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x14ac:dyDescent="0.3">
      <c r="A40" s="8" t="s">
        <v>20</v>
      </c>
      <c r="B40" s="9" t="s">
        <v>42</v>
      </c>
      <c r="C40" s="7"/>
      <c r="D40" s="7"/>
      <c r="E40" s="7"/>
      <c r="F40" s="71"/>
      <c r="G40" s="51">
        <f t="shared" si="26"/>
        <v>0</v>
      </c>
      <c r="H40" s="52" t="e">
        <f t="shared" si="27"/>
        <v>#DIV/0!</v>
      </c>
      <c r="I40" s="53">
        <f>COUNTIFS('00 Encuesta'!$B$2:$B$511,"*e)*",'00 Encuesta'!$C$2:$C$511,"*a)*",'00 Encuesta'!$E$2:$E$511,"*a)*",'00 Encuesta'!$H$2:$H$511,"*c)*")</f>
        <v>0</v>
      </c>
      <c r="J40" s="52" t="e">
        <f t="shared" si="28"/>
        <v>#DIV/0!</v>
      </c>
      <c r="K40" s="53">
        <f>COUNTIFS('00 Encuesta'!$B$2:$B$511,"*e)*",'00 Encuesta'!$C$2:$C$511,"*a)*",'00 Encuesta'!$E$2:$E$511,"*b)*",'00 Encuesta'!$H$2:$H$511,"*c)*")</f>
        <v>0</v>
      </c>
      <c r="L40" s="52" t="e">
        <f t="shared" si="29"/>
        <v>#DIV/0!</v>
      </c>
      <c r="M40" s="23"/>
      <c r="N40" s="51">
        <f t="shared" si="30"/>
        <v>0</v>
      </c>
      <c r="O40" s="52" t="e">
        <f t="shared" si="47"/>
        <v>#DIV/0!</v>
      </c>
      <c r="P40" s="53">
        <f>COUNTIFS('00 Encuesta'!$B$2:$B$511,"*e)*",'00 Encuesta'!$C$2:$C$511,"*b)*",'00 Encuesta'!$E$2:$E$511,"*a)*",'00 Encuesta'!$H$2:$H$511,"*c)*")</f>
        <v>0</v>
      </c>
      <c r="Q40" s="52" t="e">
        <f t="shared" ref="Q40:Q44" si="48">P40/$Q$6*100</f>
        <v>#DIV/0!</v>
      </c>
      <c r="R40" s="53">
        <f>COUNTIFS('00 Encuesta'!$B$2:$B$511,"*e)*",'00 Encuesta'!$C$2:$C$511,"*b)*",'00 Encuesta'!$E$2:$E$511,"*b)*",'00 Encuesta'!$H$2:$H$511,"*c)*")</f>
        <v>0</v>
      </c>
      <c r="S40" s="52" t="e">
        <f t="shared" si="31"/>
        <v>#DIV/0!</v>
      </c>
      <c r="T40" s="3"/>
      <c r="U40" s="51">
        <f t="shared" si="32"/>
        <v>0</v>
      </c>
      <c r="V40" s="52" t="e">
        <f t="shared" si="33"/>
        <v>#DIV/0!</v>
      </c>
      <c r="W40" s="53">
        <f>COUNTIFS('00 Encuesta'!$B$2:$B$511,"*e)*",'00 Encuesta'!$C$2:$C$511,"*c)*",'00 Encuesta'!$E$2:$E$511,"*a)*",'00 Encuesta'!$H$2:$H$511,"*c)*")</f>
        <v>0</v>
      </c>
      <c r="X40" s="52" t="e">
        <f t="shared" si="34"/>
        <v>#DIV/0!</v>
      </c>
      <c r="Y40" s="53">
        <f>COUNTIFS('00 Encuesta'!$B$2:$B$511,"*e)*",'00 Encuesta'!$C$2:$C$511,"*c)*",'00 Encuesta'!$E$2:$E$511,"*b)*",'00 Encuesta'!$H$2:$H$511,"*c)*")</f>
        <v>0</v>
      </c>
      <c r="Z40" s="52" t="e">
        <f t="shared" si="35"/>
        <v>#DIV/0!</v>
      </c>
      <c r="AA40" s="3"/>
      <c r="AB40" s="62">
        <f t="shared" si="6"/>
        <v>0</v>
      </c>
      <c r="AC40" s="52" t="e">
        <f t="shared" si="36"/>
        <v>#DIV/0!</v>
      </c>
      <c r="AD40" s="7"/>
      <c r="AE40" s="7"/>
      <c r="AF40" s="9" t="str">
        <f t="shared" si="37"/>
        <v>c) Apartamento</v>
      </c>
      <c r="AG40" s="72" t="e">
        <f t="shared" si="38"/>
        <v>#DIV/0!</v>
      </c>
      <c r="AH40" s="72" t="e">
        <f t="shared" si="39"/>
        <v>#DIV/0!</v>
      </c>
      <c r="AI40" s="73" t="e">
        <f t="shared" si="40"/>
        <v>#DIV/0!</v>
      </c>
      <c r="AJ40" s="73"/>
      <c r="AK40" s="76" t="e">
        <f t="shared" si="41"/>
        <v>#DIV/0!</v>
      </c>
      <c r="AL40" s="76" t="e">
        <f t="shared" si="42"/>
        <v>#DIV/0!</v>
      </c>
      <c r="AM40" s="76" t="e">
        <f t="shared" si="43"/>
        <v>#DIV/0!</v>
      </c>
      <c r="AN40" s="76"/>
      <c r="AO40" s="81" t="e">
        <f t="shared" si="44"/>
        <v>#DIV/0!</v>
      </c>
      <c r="AP40" s="81" t="e">
        <f t="shared" si="45"/>
        <v>#DIV/0!</v>
      </c>
      <c r="AQ40" s="81" t="e">
        <f t="shared" si="46"/>
        <v>#DIV/0!</v>
      </c>
      <c r="AR40" s="7"/>
      <c r="AS40" s="76" t="e">
        <f t="shared" si="1"/>
        <v>#DIV/0!</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x14ac:dyDescent="0.3">
      <c r="A41" s="8" t="s">
        <v>21</v>
      </c>
      <c r="B41" s="9" t="s">
        <v>43</v>
      </c>
      <c r="C41" s="7"/>
      <c r="D41" s="7"/>
      <c r="E41" s="7"/>
      <c r="F41" s="71"/>
      <c r="G41" s="51">
        <f t="shared" si="26"/>
        <v>0</v>
      </c>
      <c r="H41" s="52" t="e">
        <f t="shared" si="27"/>
        <v>#DIV/0!</v>
      </c>
      <c r="I41" s="53">
        <f>COUNTIFS('00 Encuesta'!$B$2:$B$511,"*e)*",'00 Encuesta'!$C$2:$C$511,"*a)*",'00 Encuesta'!$E$2:$E$511,"*a)*",'00 Encuesta'!$H$2:$H$511,"*d)*")</f>
        <v>0</v>
      </c>
      <c r="J41" s="52" t="e">
        <f t="shared" si="28"/>
        <v>#DIV/0!</v>
      </c>
      <c r="K41" s="53">
        <f>COUNTIFS('00 Encuesta'!$B$2:$B$511,"*e)*",'00 Encuesta'!$C$2:$C$511,"*a)*",'00 Encuesta'!$E$2:$E$511,"*b)*",'00 Encuesta'!$H$2:$H$511,"*d)*")</f>
        <v>0</v>
      </c>
      <c r="L41" s="52" t="e">
        <f t="shared" si="29"/>
        <v>#DIV/0!</v>
      </c>
      <c r="M41" s="23"/>
      <c r="N41" s="51">
        <f t="shared" si="30"/>
        <v>0</v>
      </c>
      <c r="O41" s="52" t="e">
        <f t="shared" si="47"/>
        <v>#DIV/0!</v>
      </c>
      <c r="P41" s="53">
        <f>COUNTIFS('00 Encuesta'!$B$2:$B$511,"*e)*",'00 Encuesta'!$C$2:$C$511,"*b)*",'00 Encuesta'!$E$2:$E$511,"*a)*",'00 Encuesta'!$H$2:$H$511,"*d)*")</f>
        <v>0</v>
      </c>
      <c r="Q41" s="52" t="e">
        <f t="shared" si="48"/>
        <v>#DIV/0!</v>
      </c>
      <c r="R41" s="53">
        <f>COUNTIFS('00 Encuesta'!$B$2:$B$511,"*e)*",'00 Encuesta'!$C$2:$C$511,"*b)*",'00 Encuesta'!$E$2:$E$511,"*b)*",'00 Encuesta'!$H$2:$H$511,"*d)*")</f>
        <v>0</v>
      </c>
      <c r="S41" s="52" t="e">
        <f t="shared" si="31"/>
        <v>#DIV/0!</v>
      </c>
      <c r="T41" s="3"/>
      <c r="U41" s="51">
        <f t="shared" si="32"/>
        <v>0</v>
      </c>
      <c r="V41" s="52" t="e">
        <f t="shared" si="33"/>
        <v>#DIV/0!</v>
      </c>
      <c r="W41" s="53">
        <f>COUNTIFS('00 Encuesta'!$B$2:$B$511,"*e)*",'00 Encuesta'!$C$2:$C$511,"*c)*",'00 Encuesta'!$E$2:$E$511,"*a)*",'00 Encuesta'!$H$2:$H$511,"*d)*")</f>
        <v>0</v>
      </c>
      <c r="X41" s="52" t="e">
        <f t="shared" si="34"/>
        <v>#DIV/0!</v>
      </c>
      <c r="Y41" s="53">
        <f>COUNTIFS('00 Encuesta'!$B$2:$B$511,"*e)*",'00 Encuesta'!$C$2:$C$511,"*c)*",'00 Encuesta'!$E$2:$E$511,"*b)*",'00 Encuesta'!$H$2:$H$511,"*d)*")</f>
        <v>0</v>
      </c>
      <c r="Z41" s="52" t="e">
        <f t="shared" si="35"/>
        <v>#DIV/0!</v>
      </c>
      <c r="AA41" s="3"/>
      <c r="AB41" s="62">
        <f t="shared" si="6"/>
        <v>0</v>
      </c>
      <c r="AC41" s="52" t="e">
        <f t="shared" si="36"/>
        <v>#DIV/0!</v>
      </c>
      <c r="AD41" s="7"/>
      <c r="AE41" s="7"/>
      <c r="AF41" s="9" t="str">
        <f t="shared" si="37"/>
        <v>d) Casa rural</v>
      </c>
      <c r="AG41" s="72" t="e">
        <f t="shared" si="38"/>
        <v>#DIV/0!</v>
      </c>
      <c r="AH41" s="72" t="e">
        <f t="shared" si="39"/>
        <v>#DIV/0!</v>
      </c>
      <c r="AI41" s="73" t="e">
        <f t="shared" si="40"/>
        <v>#DIV/0!</v>
      </c>
      <c r="AJ41" s="73"/>
      <c r="AK41" s="76" t="e">
        <f t="shared" si="41"/>
        <v>#DIV/0!</v>
      </c>
      <c r="AL41" s="76" t="e">
        <f t="shared" si="42"/>
        <v>#DIV/0!</v>
      </c>
      <c r="AM41" s="76" t="e">
        <f t="shared" si="43"/>
        <v>#DIV/0!</v>
      </c>
      <c r="AN41" s="76"/>
      <c r="AO41" s="81" t="e">
        <f t="shared" si="44"/>
        <v>#DIV/0!</v>
      </c>
      <c r="AP41" s="81" t="e">
        <f t="shared" si="45"/>
        <v>#DIV/0!</v>
      </c>
      <c r="AQ41" s="81" t="e">
        <f t="shared" si="46"/>
        <v>#DIV/0!</v>
      </c>
      <c r="AR41" s="7"/>
      <c r="AS41" s="76" t="e">
        <f t="shared" si="1"/>
        <v>#DIV/0!</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x14ac:dyDescent="0.3">
      <c r="A42" s="8" t="s">
        <v>22</v>
      </c>
      <c r="B42" s="9" t="s">
        <v>44</v>
      </c>
      <c r="C42" s="7"/>
      <c r="D42" s="7"/>
      <c r="E42" s="7"/>
      <c r="F42" s="71"/>
      <c r="G42" s="51">
        <f t="shared" si="26"/>
        <v>0</v>
      </c>
      <c r="H42" s="52" t="e">
        <f t="shared" si="27"/>
        <v>#DIV/0!</v>
      </c>
      <c r="I42" s="53">
        <f>COUNTIFS('00 Encuesta'!$B$2:$B$511,"*e)*",'00 Encuesta'!$C$2:$C$511,"*a)*",'00 Encuesta'!$E$2:$E$511,"*a)*",'00 Encuesta'!$H$2:$H$511,"*e)*")</f>
        <v>0</v>
      </c>
      <c r="J42" s="52" t="e">
        <f t="shared" si="28"/>
        <v>#DIV/0!</v>
      </c>
      <c r="K42" s="53">
        <f>COUNTIFS('00 Encuesta'!$B$2:$B$511,"*e)*",'00 Encuesta'!$C$2:$C$511,"*a)*",'00 Encuesta'!$E$2:$E$511,"*b)*",'00 Encuesta'!$H$2:$H$511,"*e)*")</f>
        <v>0</v>
      </c>
      <c r="L42" s="52" t="e">
        <f t="shared" si="29"/>
        <v>#DIV/0!</v>
      </c>
      <c r="M42" s="23"/>
      <c r="N42" s="51">
        <f t="shared" si="30"/>
        <v>0</v>
      </c>
      <c r="O42" s="52" t="e">
        <f t="shared" si="47"/>
        <v>#DIV/0!</v>
      </c>
      <c r="P42" s="53">
        <f>COUNTIFS('00 Encuesta'!$B$2:$B$511,"*e)*",'00 Encuesta'!$C$2:$C$511,"*b)*",'00 Encuesta'!$E$2:$E$511,"*a)*",'00 Encuesta'!$H$2:$H$511,"*e)*")</f>
        <v>0</v>
      </c>
      <c r="Q42" s="52" t="e">
        <f t="shared" si="48"/>
        <v>#DIV/0!</v>
      </c>
      <c r="R42" s="53">
        <f>COUNTIFS('00 Encuesta'!$B$2:$B$511,"*e)*",'00 Encuesta'!$C$2:$C$511,"*b)*",'00 Encuesta'!$E$2:$E$511,"*b)*",'00 Encuesta'!$H$2:$H$511,"*e)*")</f>
        <v>0</v>
      </c>
      <c r="S42" s="52" t="e">
        <f t="shared" si="31"/>
        <v>#DIV/0!</v>
      </c>
      <c r="T42" s="3"/>
      <c r="U42" s="51">
        <f t="shared" si="32"/>
        <v>0</v>
      </c>
      <c r="V42" s="52" t="e">
        <f t="shared" si="33"/>
        <v>#DIV/0!</v>
      </c>
      <c r="W42" s="53">
        <f>COUNTIFS('00 Encuesta'!$B$2:$B$511,"*e)*",'00 Encuesta'!$C$2:$C$511,"*c)*",'00 Encuesta'!$E$2:$E$511,"*a)*",'00 Encuesta'!$H$2:$H$511,"*e)*")</f>
        <v>0</v>
      </c>
      <c r="X42" s="52" t="e">
        <f t="shared" si="34"/>
        <v>#DIV/0!</v>
      </c>
      <c r="Y42" s="53">
        <f>COUNTIFS('00 Encuesta'!$B$2:$B$511,"*e)*",'00 Encuesta'!$C$2:$C$511,"*c)*",'00 Encuesta'!$E$2:$E$511,"*b)*",'00 Encuesta'!$H$2:$H$511,"*e)*")</f>
        <v>0</v>
      </c>
      <c r="Z42" s="52" t="e">
        <f t="shared" si="35"/>
        <v>#DIV/0!</v>
      </c>
      <c r="AA42" s="3"/>
      <c r="AB42" s="62">
        <f t="shared" si="6"/>
        <v>0</v>
      </c>
      <c r="AC42" s="52" t="e">
        <f t="shared" si="36"/>
        <v>#DIV/0!</v>
      </c>
      <c r="AD42" s="7"/>
      <c r="AE42" s="7"/>
      <c r="AF42" s="9" t="str">
        <f t="shared" si="37"/>
        <v>e) Rancho</v>
      </c>
      <c r="AG42" s="72" t="e">
        <f t="shared" si="38"/>
        <v>#DIV/0!</v>
      </c>
      <c r="AH42" s="72" t="e">
        <f t="shared" si="39"/>
        <v>#DIV/0!</v>
      </c>
      <c r="AI42" s="73" t="e">
        <f t="shared" si="40"/>
        <v>#DIV/0!</v>
      </c>
      <c r="AJ42" s="73"/>
      <c r="AK42" s="76" t="e">
        <f t="shared" si="41"/>
        <v>#DIV/0!</v>
      </c>
      <c r="AL42" s="76" t="e">
        <f t="shared" si="42"/>
        <v>#DIV/0!</v>
      </c>
      <c r="AM42" s="76" t="e">
        <f t="shared" si="43"/>
        <v>#DIV/0!</v>
      </c>
      <c r="AN42" s="76"/>
      <c r="AO42" s="81" t="e">
        <f t="shared" si="44"/>
        <v>#DIV/0!</v>
      </c>
      <c r="AP42" s="81" t="e">
        <f t="shared" si="45"/>
        <v>#DIV/0!</v>
      </c>
      <c r="AQ42" s="81" t="e">
        <f t="shared" si="46"/>
        <v>#DIV/0!</v>
      </c>
      <c r="AR42" s="7"/>
      <c r="AS42" s="76" t="e">
        <f t="shared" si="1"/>
        <v>#DIV/0!</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x14ac:dyDescent="0.3">
      <c r="A43" s="8" t="s">
        <v>45</v>
      </c>
      <c r="B43" s="9" t="s">
        <v>46</v>
      </c>
      <c r="C43" s="7"/>
      <c r="D43" s="7"/>
      <c r="E43" s="7"/>
      <c r="F43" s="71"/>
      <c r="G43" s="51">
        <f t="shared" si="26"/>
        <v>0</v>
      </c>
      <c r="H43" s="52" t="e">
        <f t="shared" si="27"/>
        <v>#DIV/0!</v>
      </c>
      <c r="I43" s="53">
        <f>COUNTIFS('00 Encuesta'!$B$2:$B$511,"*e)*",'00 Encuesta'!$C$2:$C$511,"*a)*",'00 Encuesta'!$E$2:$E$511,"*a)*",'00 Encuesta'!$H$2:$H$511,"*f)*")</f>
        <v>0</v>
      </c>
      <c r="J43" s="52" t="e">
        <f t="shared" si="28"/>
        <v>#DIV/0!</v>
      </c>
      <c r="K43" s="53">
        <f>COUNTIFS('00 Encuesta'!$B$2:$B$511,"*e)*",'00 Encuesta'!$C$2:$C$511,"*a)*",'00 Encuesta'!$E$2:$E$511,"*b)*",'00 Encuesta'!$H$2:$H$511,"*f)*")</f>
        <v>0</v>
      </c>
      <c r="L43" s="52" t="e">
        <f t="shared" si="29"/>
        <v>#DIV/0!</v>
      </c>
      <c r="M43" s="23"/>
      <c r="N43" s="51">
        <f t="shared" si="30"/>
        <v>0</v>
      </c>
      <c r="O43" s="52" t="e">
        <f t="shared" si="47"/>
        <v>#DIV/0!</v>
      </c>
      <c r="P43" s="53">
        <f>COUNTIFS('00 Encuesta'!$B$2:$B$511,"*e)*",'00 Encuesta'!$C$2:$C$511,"*b)*",'00 Encuesta'!$E$2:$E$511,"*a)*",'00 Encuesta'!$H$2:$H$511,"*f)*")</f>
        <v>0</v>
      </c>
      <c r="Q43" s="52" t="e">
        <f t="shared" si="48"/>
        <v>#DIV/0!</v>
      </c>
      <c r="R43" s="53">
        <f>COUNTIFS('00 Encuesta'!$B$2:$B$511,"*e)*",'00 Encuesta'!$C$2:$C$511,"*b)*",'00 Encuesta'!$E$2:$E$511,"*b)*",'00 Encuesta'!$H$2:$H$511,"*f)*")</f>
        <v>0</v>
      </c>
      <c r="S43" s="52" t="e">
        <f t="shared" si="31"/>
        <v>#DIV/0!</v>
      </c>
      <c r="T43" s="3"/>
      <c r="U43" s="51">
        <f t="shared" si="32"/>
        <v>0</v>
      </c>
      <c r="V43" s="52" t="e">
        <f t="shared" si="33"/>
        <v>#DIV/0!</v>
      </c>
      <c r="W43" s="53">
        <f>COUNTIFS('00 Encuesta'!$B$2:$B$511,"*e)*",'00 Encuesta'!$C$2:$C$511,"*c)*",'00 Encuesta'!$E$2:$E$511,"*a)*",'00 Encuesta'!$H$2:$H$511,"*f)*")</f>
        <v>0</v>
      </c>
      <c r="X43" s="52" t="e">
        <f t="shared" si="34"/>
        <v>#DIV/0!</v>
      </c>
      <c r="Y43" s="53">
        <f>COUNTIFS('00 Encuesta'!$B$2:$B$511,"*e)*",'00 Encuesta'!$C$2:$C$511,"*c)*",'00 Encuesta'!$E$2:$E$511,"*b)*",'00 Encuesta'!$H$2:$H$511,"*f)*")</f>
        <v>0</v>
      </c>
      <c r="Z43" s="52" t="e">
        <f t="shared" si="35"/>
        <v>#DIV/0!</v>
      </c>
      <c r="AA43" s="3"/>
      <c r="AB43" s="62">
        <f t="shared" si="6"/>
        <v>0</v>
      </c>
      <c r="AC43" s="52" t="e">
        <f t="shared" si="36"/>
        <v>#DIV/0!</v>
      </c>
      <c r="AD43" s="7"/>
      <c r="AE43" s="7"/>
      <c r="AF43" s="9" t="str">
        <f t="shared" si="37"/>
        <v>f) Otro</v>
      </c>
      <c r="AG43" s="72" t="e">
        <f t="shared" si="38"/>
        <v>#DIV/0!</v>
      </c>
      <c r="AH43" s="72" t="e">
        <f t="shared" si="39"/>
        <v>#DIV/0!</v>
      </c>
      <c r="AI43" s="73" t="e">
        <f t="shared" si="40"/>
        <v>#DIV/0!</v>
      </c>
      <c r="AJ43" s="73"/>
      <c r="AK43" s="76" t="e">
        <f t="shared" si="41"/>
        <v>#DIV/0!</v>
      </c>
      <c r="AL43" s="76" t="e">
        <f t="shared" si="42"/>
        <v>#DIV/0!</v>
      </c>
      <c r="AM43" s="76" t="e">
        <f t="shared" si="43"/>
        <v>#DIV/0!</v>
      </c>
      <c r="AN43" s="76"/>
      <c r="AO43" s="81" t="e">
        <f t="shared" si="44"/>
        <v>#DIV/0!</v>
      </c>
      <c r="AP43" s="81" t="e">
        <f t="shared" si="45"/>
        <v>#DIV/0!</v>
      </c>
      <c r="AQ43" s="81" t="e">
        <f t="shared" si="46"/>
        <v>#DIV/0!</v>
      </c>
      <c r="AR43" s="7"/>
      <c r="AS43" s="76" t="e">
        <f t="shared" si="1"/>
        <v>#DIV/0!</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x14ac:dyDescent="0.3">
      <c r="A44" s="8" t="s">
        <v>23</v>
      </c>
      <c r="B44" s="9" t="s">
        <v>24</v>
      </c>
      <c r="C44" s="7"/>
      <c r="D44" s="7"/>
      <c r="E44" s="7"/>
      <c r="F44" s="71"/>
      <c r="G44" s="51">
        <f t="shared" si="26"/>
        <v>0</v>
      </c>
      <c r="H44" s="52" t="e">
        <f t="shared" si="27"/>
        <v>#DIV/0!</v>
      </c>
      <c r="I44" s="53"/>
      <c r="J44" s="52" t="e">
        <f t="shared" si="28"/>
        <v>#DIV/0!</v>
      </c>
      <c r="K44" s="53"/>
      <c r="L44" s="52" t="e">
        <f t="shared" si="29"/>
        <v>#DIV/0!</v>
      </c>
      <c r="M44" s="23"/>
      <c r="N44" s="51">
        <f t="shared" si="30"/>
        <v>0</v>
      </c>
      <c r="O44" s="52" t="e">
        <f t="shared" si="47"/>
        <v>#DIV/0!</v>
      </c>
      <c r="P44" s="53"/>
      <c r="Q44" s="52" t="e">
        <f t="shared" si="48"/>
        <v>#DIV/0!</v>
      </c>
      <c r="R44" s="53"/>
      <c r="S44" s="52" t="e">
        <f t="shared" si="31"/>
        <v>#DIV/0!</v>
      </c>
      <c r="T44" s="3"/>
      <c r="U44" s="51">
        <f t="shared" si="32"/>
        <v>0</v>
      </c>
      <c r="V44" s="52" t="e">
        <f t="shared" si="33"/>
        <v>#DIV/0!</v>
      </c>
      <c r="W44" s="53"/>
      <c r="X44" s="52" t="e">
        <f t="shared" si="34"/>
        <v>#DIV/0!</v>
      </c>
      <c r="Y44" s="53"/>
      <c r="Z44" s="52" t="e">
        <f t="shared" si="35"/>
        <v>#DIV/0!</v>
      </c>
      <c r="AA44" s="3"/>
      <c r="AB44" s="62">
        <f t="shared" si="6"/>
        <v>0</v>
      </c>
      <c r="AC44" s="52" t="e">
        <f t="shared" si="36"/>
        <v>#DIV/0!</v>
      </c>
      <c r="AD44" s="7"/>
      <c r="AE44" s="7"/>
      <c r="AF44" s="9" t="str">
        <f t="shared" si="37"/>
        <v>S/R Sin Respuesta</v>
      </c>
      <c r="AG44" s="72" t="e">
        <f t="shared" si="38"/>
        <v>#DIV/0!</v>
      </c>
      <c r="AH44" s="72" t="e">
        <f t="shared" si="39"/>
        <v>#DIV/0!</v>
      </c>
      <c r="AI44" s="73" t="e">
        <f t="shared" si="40"/>
        <v>#DIV/0!</v>
      </c>
      <c r="AJ44" s="73"/>
      <c r="AK44" s="76" t="e">
        <f t="shared" si="41"/>
        <v>#DIV/0!</v>
      </c>
      <c r="AL44" s="76" t="e">
        <f t="shared" si="42"/>
        <v>#DIV/0!</v>
      </c>
      <c r="AM44" s="76" t="e">
        <f t="shared" si="43"/>
        <v>#DIV/0!</v>
      </c>
      <c r="AN44" s="76"/>
      <c r="AO44" s="81" t="e">
        <f t="shared" si="44"/>
        <v>#DIV/0!</v>
      </c>
      <c r="AP44" s="81" t="e">
        <f t="shared" si="45"/>
        <v>#DIV/0!</v>
      </c>
      <c r="AQ44" s="81" t="e">
        <f t="shared" si="46"/>
        <v>#DIV/0!</v>
      </c>
      <c r="AR44" s="7"/>
      <c r="AS44" s="76" t="e">
        <f t="shared" si="1"/>
        <v>#DIV/0!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x14ac:dyDescent="0.3">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x14ac:dyDescent="0.3">
      <c r="A47" s="8" t="s">
        <v>17</v>
      </c>
      <c r="B47" s="9" t="s">
        <v>49</v>
      </c>
      <c r="C47" s="7"/>
      <c r="D47" s="7"/>
      <c r="E47" s="7"/>
      <c r="F47" s="71">
        <v>100</v>
      </c>
      <c r="G47" s="51">
        <f>I47+K47</f>
        <v>0</v>
      </c>
      <c r="H47" s="52" t="e">
        <f>G47/$J$5*100</f>
        <v>#DIV/0!</v>
      </c>
      <c r="I47" s="53">
        <f>COUNTIFS('00 Encuesta'!$B$2:$B$511,"*e)*",'00 Encuesta'!$C$2:$C$511,"*a)*",'00 Encuesta'!$E$2:$E$511,"*a)*",'00 Encuesta'!$I$2:$I$511,"*a)*")</f>
        <v>0</v>
      </c>
      <c r="J47" s="52" t="e">
        <f>I47/$J$6*100</f>
        <v>#DIV/0!</v>
      </c>
      <c r="K47" s="53">
        <f>COUNTIFS('00 Encuesta'!$B$2:$B$511,"*e)*",'00 Encuesta'!$C$2:$C$511,"*a)*",'00 Encuesta'!$E$2:$E$511,"*b)*",'00 Encuesta'!$I$2:$I$511,"*a)*")</f>
        <v>0</v>
      </c>
      <c r="L47" s="52" t="e">
        <f>K47/$J$7*100</f>
        <v>#DIV/0!</v>
      </c>
      <c r="M47" s="23"/>
      <c r="N47" s="51">
        <f>P47+R47</f>
        <v>0</v>
      </c>
      <c r="O47" s="52" t="e">
        <f>N47/$Q$5*100</f>
        <v>#DIV/0!</v>
      </c>
      <c r="P47" s="53">
        <f>COUNTIFS('00 Encuesta'!$B$2:$B$511,"*e)*",'00 Encuesta'!$C$2:$C$511,"*b)*",'00 Encuesta'!$E$2:$E$511,"*a)*",'00 Encuesta'!$I$2:$I$511,"*a)*")</f>
        <v>0</v>
      </c>
      <c r="Q47" s="52" t="e">
        <f>P47/$Q$6*100</f>
        <v>#DIV/0!</v>
      </c>
      <c r="R47" s="53">
        <f>COUNTIFS('00 Encuesta'!$B$2:$B$511,"*e)*",'00 Encuesta'!$C$2:$C$511,"*b)*",'00 Encuesta'!$E$2:$E$511,"*b)*",'00 Encuesta'!$I$2:$I$511,"*a)*")</f>
        <v>0</v>
      </c>
      <c r="S47" s="52" t="e">
        <f>R47/$Q$7*100</f>
        <v>#DIV/0!</v>
      </c>
      <c r="T47" s="3"/>
      <c r="U47" s="51">
        <f>W47+Y47</f>
        <v>0</v>
      </c>
      <c r="V47" s="52" t="e">
        <f>U47/$X$5*100</f>
        <v>#DIV/0!</v>
      </c>
      <c r="W47" s="53">
        <f>COUNTIFS('00 Encuesta'!$B$2:$B$511,"*e)*",'00 Encuesta'!$C$2:$C$511,"*c)*",'00 Encuesta'!$E$2:$E$511,"*a)*",'00 Encuesta'!$I$2:$I$511,"*a)*")</f>
        <v>0</v>
      </c>
      <c r="X47" s="52" t="e">
        <f>W47/$X$6*100</f>
        <v>#DIV/0!</v>
      </c>
      <c r="Y47" s="53">
        <f>COUNTIFS('00 Encuesta'!$B$2:$B$511,"*e)*",'00 Encuesta'!$C$2:$C$511,"*c)*",'00 Encuesta'!$E$2:$E$511,"*b)*",'00 Encuesta'!$I$2:$I$511,"*a)*")</f>
        <v>0</v>
      </c>
      <c r="Z47" s="52" t="e">
        <f>Y47/$X$7*100</f>
        <v>#DIV/0!</v>
      </c>
      <c r="AA47" s="3"/>
      <c r="AB47" s="62">
        <f t="shared" si="6"/>
        <v>0</v>
      </c>
      <c r="AC47" s="52" t="e">
        <f>AB47*100/$AC$5</f>
        <v>#DIV/0!</v>
      </c>
      <c r="AD47" s="7"/>
      <c r="AE47" s="7"/>
      <c r="AF47" s="9" t="str">
        <f t="shared" si="49"/>
        <v>a) Si</v>
      </c>
      <c r="AG47" s="72" t="e">
        <f>J47</f>
        <v>#DIV/0!</v>
      </c>
      <c r="AH47" s="72" t="e">
        <f>L47</f>
        <v>#DIV/0!</v>
      </c>
      <c r="AI47" s="73" t="e">
        <f>H47</f>
        <v>#DIV/0!</v>
      </c>
      <c r="AJ47" s="73"/>
      <c r="AK47" s="76" t="e">
        <f>Q47</f>
        <v>#DIV/0!</v>
      </c>
      <c r="AL47" s="76" t="e">
        <f>S47</f>
        <v>#DIV/0!</v>
      </c>
      <c r="AM47" s="76" t="e">
        <f>O47</f>
        <v>#DIV/0!</v>
      </c>
      <c r="AN47" s="76"/>
      <c r="AO47" s="81" t="e">
        <f>X47</f>
        <v>#DIV/0!</v>
      </c>
      <c r="AP47" s="81" t="e">
        <f>Z47</f>
        <v>#DIV/0!</v>
      </c>
      <c r="AQ47" s="81" t="e">
        <f>V47</f>
        <v>#DIV/0!</v>
      </c>
      <c r="AR47" s="7"/>
      <c r="AS47" s="76" t="e">
        <f t="shared" si="1"/>
        <v>#DIV/0!</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x14ac:dyDescent="0.3">
      <c r="A48" s="8" t="s">
        <v>18</v>
      </c>
      <c r="B48" s="9" t="s">
        <v>50</v>
      </c>
      <c r="C48" s="7"/>
      <c r="D48" s="7"/>
      <c r="E48" s="7"/>
      <c r="F48" s="71">
        <v>0</v>
      </c>
      <c r="G48" s="51">
        <f>I48+K48</f>
        <v>0</v>
      </c>
      <c r="H48" s="52" t="e">
        <f>G48/$J$5*100</f>
        <v>#DIV/0!</v>
      </c>
      <c r="I48" s="53">
        <f>COUNTIFS('00 Encuesta'!$B$2:$B$511,"*e)*",'00 Encuesta'!$C$2:$C$511,"*a)*",'00 Encuesta'!$E$2:$E$511,"*a)*",'00 Encuesta'!$I$2:$I$511,"*b)*")</f>
        <v>0</v>
      </c>
      <c r="J48" s="52" t="e">
        <f>I48/$J$6*100</f>
        <v>#DIV/0!</v>
      </c>
      <c r="K48" s="53">
        <f>COUNTIFS('00 Encuesta'!$B$2:$B$511,"*e)*",'00 Encuesta'!$C$2:$C$511,"*a)*",'00 Encuesta'!$E$2:$E$511,"*b)*",'00 Encuesta'!$I$2:$I$511,"*b)*")</f>
        <v>0</v>
      </c>
      <c r="L48" s="52" t="e">
        <f>K48/$J$7*100</f>
        <v>#DIV/0!</v>
      </c>
      <c r="M48" s="23"/>
      <c r="N48" s="51">
        <f>P48+R48</f>
        <v>0</v>
      </c>
      <c r="O48" s="52" t="e">
        <f>N48/$Q$5*100</f>
        <v>#DIV/0!</v>
      </c>
      <c r="P48" s="53">
        <f>COUNTIFS('00 Encuesta'!$B$2:$B$511,"*e)*",'00 Encuesta'!$C$2:$C$511,"*b)*",'00 Encuesta'!$E$2:$E$511,"*a)*",'00 Encuesta'!$I$2:$I$511,"*b)*")</f>
        <v>0</v>
      </c>
      <c r="Q48" s="52" t="e">
        <f>P48/$Q$6*100</f>
        <v>#DIV/0!</v>
      </c>
      <c r="R48" s="53">
        <f>COUNTIFS('00 Encuesta'!$B$2:$B$511,"*e)*",'00 Encuesta'!$C$2:$C$511,"*b)*",'00 Encuesta'!$E$2:$E$511,"*b)*",'00 Encuesta'!$I$2:$I$511,"*b)*")</f>
        <v>0</v>
      </c>
      <c r="S48" s="52" t="e">
        <f>R48/$Q$7*100</f>
        <v>#DIV/0!</v>
      </c>
      <c r="T48" s="3"/>
      <c r="U48" s="51">
        <f>W48+Y48</f>
        <v>0</v>
      </c>
      <c r="V48" s="52" t="e">
        <f>U48/$X$5*100</f>
        <v>#DIV/0!</v>
      </c>
      <c r="W48" s="53">
        <f>COUNTIFS('00 Encuesta'!$B$2:$B$511,"*e)*",'00 Encuesta'!$C$2:$C$511,"*c)*",'00 Encuesta'!$E$2:$E$511,"*a)*",'00 Encuesta'!$I$2:$I$511,"*b)*")</f>
        <v>0</v>
      </c>
      <c r="X48" s="52" t="e">
        <f>W48/$X$6*100</f>
        <v>#DIV/0!</v>
      </c>
      <c r="Y48" s="53">
        <f>COUNTIFS('00 Encuesta'!$B$2:$B$511,"*e)*",'00 Encuesta'!$C$2:$C$511,"*c)*",'00 Encuesta'!$E$2:$E$511,"*b)*",'00 Encuesta'!$I$2:$I$511,"*b)*")</f>
        <v>0</v>
      </c>
      <c r="Z48" s="52" t="e">
        <f>Y48/$X$7*100</f>
        <v>#DIV/0!</v>
      </c>
      <c r="AA48" s="3"/>
      <c r="AB48" s="62">
        <f t="shared" si="6"/>
        <v>0</v>
      </c>
      <c r="AC48" s="52" t="e">
        <f>AB48*100/$AC$5</f>
        <v>#DIV/0!</v>
      </c>
      <c r="AD48" s="7"/>
      <c r="AE48" s="7"/>
      <c r="AF48" s="9" t="str">
        <f t="shared" si="49"/>
        <v>b) No</v>
      </c>
      <c r="AG48" s="72" t="e">
        <f>J48</f>
        <v>#DIV/0!</v>
      </c>
      <c r="AH48" s="72" t="e">
        <f>L48</f>
        <v>#DIV/0!</v>
      </c>
      <c r="AI48" s="73" t="e">
        <f>H48</f>
        <v>#DIV/0!</v>
      </c>
      <c r="AJ48" s="73"/>
      <c r="AK48" s="76" t="e">
        <f>Q48</f>
        <v>#DIV/0!</v>
      </c>
      <c r="AL48" s="76" t="e">
        <f>S48</f>
        <v>#DIV/0!</v>
      </c>
      <c r="AM48" s="76" t="e">
        <f>O48</f>
        <v>#DIV/0!</v>
      </c>
      <c r="AN48" s="76"/>
      <c r="AO48" s="81" t="e">
        <f>X48</f>
        <v>#DIV/0!</v>
      </c>
      <c r="AP48" s="81" t="e">
        <f>Z48</f>
        <v>#DIV/0!</v>
      </c>
      <c r="AQ48" s="81" t="e">
        <f>V48</f>
        <v>#DIV/0!</v>
      </c>
      <c r="AR48" s="7"/>
      <c r="AS48" s="76" t="e">
        <f t="shared" si="1"/>
        <v>#DIV/0!</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x14ac:dyDescent="0.3">
      <c r="A49" s="8" t="s">
        <v>20</v>
      </c>
      <c r="B49" s="9" t="s">
        <v>51</v>
      </c>
      <c r="C49" s="7"/>
      <c r="D49" s="7"/>
      <c r="E49" s="7"/>
      <c r="F49" s="71">
        <v>50</v>
      </c>
      <c r="G49" s="51">
        <f>I49+K49</f>
        <v>0</v>
      </c>
      <c r="H49" s="52" t="e">
        <f>G49/$J$5*100</f>
        <v>#DIV/0!</v>
      </c>
      <c r="I49" s="53">
        <f>COUNTIFS('00 Encuesta'!$B$2:$B$511,"*e)*",'00 Encuesta'!$C$2:$C$511,"*a)*",'00 Encuesta'!$E$2:$E$511,"*a)*",'00 Encuesta'!$I$2:$I$511,"*c)*")</f>
        <v>0</v>
      </c>
      <c r="J49" s="52" t="e">
        <f>I49/$J$6*100</f>
        <v>#DIV/0!</v>
      </c>
      <c r="K49" s="53">
        <f>COUNTIFS('00 Encuesta'!$B$2:$B$511,"*e)*",'00 Encuesta'!$C$2:$C$511,"*a)*",'00 Encuesta'!$E$2:$E$511,"*b)*",'00 Encuesta'!$I$2:$I$511,"*c)*")</f>
        <v>0</v>
      </c>
      <c r="L49" s="52" t="e">
        <f>K49/$J$7*100</f>
        <v>#DIV/0!</v>
      </c>
      <c r="M49" s="23"/>
      <c r="N49" s="51">
        <f>P49+R49</f>
        <v>0</v>
      </c>
      <c r="O49" s="52" t="e">
        <f>N49/$Q$5*100</f>
        <v>#DIV/0!</v>
      </c>
      <c r="P49" s="53">
        <f>COUNTIFS('00 Encuesta'!$B$2:$B$511,"*e)*",'00 Encuesta'!$C$2:$C$511,"*b)*",'00 Encuesta'!$E$2:$E$511,"*a)*",'00 Encuesta'!$I$2:$I$511,"*c)*")</f>
        <v>0</v>
      </c>
      <c r="Q49" s="52" t="e">
        <f>P49/$Q$6*100</f>
        <v>#DIV/0!</v>
      </c>
      <c r="R49" s="53">
        <f>COUNTIFS('00 Encuesta'!$B$2:$B$511,"*e)*",'00 Encuesta'!$C$2:$C$511,"*b)*",'00 Encuesta'!$E$2:$E$511,"*b)*",'00 Encuesta'!$I$2:$I$511,"*c)*")</f>
        <v>0</v>
      </c>
      <c r="S49" s="52" t="e">
        <f>R49/$Q$7*100</f>
        <v>#DIV/0!</v>
      </c>
      <c r="T49" s="3"/>
      <c r="U49" s="51">
        <f>W49+Y49</f>
        <v>0</v>
      </c>
      <c r="V49" s="52" t="e">
        <f>U49/$X$5*100</f>
        <v>#DIV/0!</v>
      </c>
      <c r="W49" s="53">
        <f>COUNTIFS('00 Encuesta'!$B$2:$B$511,"*e)*",'00 Encuesta'!$C$2:$C$511,"*c)*",'00 Encuesta'!$E$2:$E$511,"*a)*",'00 Encuesta'!$I$2:$I$511,"*c)*")</f>
        <v>0</v>
      </c>
      <c r="X49" s="52" t="e">
        <f>W49/$X$6*100</f>
        <v>#DIV/0!</v>
      </c>
      <c r="Y49" s="53">
        <f>COUNTIFS('00 Encuesta'!$B$2:$B$511,"*e)*",'00 Encuesta'!$C$2:$C$511,"*c)*",'00 Encuesta'!$E$2:$E$511,"*b)*",'00 Encuesta'!$I$2:$I$511,"*c)*")</f>
        <v>0</v>
      </c>
      <c r="Z49" s="52" t="e">
        <f>Y49/$X$7*100</f>
        <v>#DIV/0!</v>
      </c>
      <c r="AA49" s="3"/>
      <c r="AB49" s="62">
        <f t="shared" si="6"/>
        <v>0</v>
      </c>
      <c r="AC49" s="52" t="e">
        <f>AB49*100/$AC$5</f>
        <v>#DIV/0!</v>
      </c>
      <c r="AD49" s="7"/>
      <c r="AE49" s="7"/>
      <c r="AF49" s="9" t="str">
        <f t="shared" si="49"/>
        <v>c) Algo</v>
      </c>
      <c r="AG49" s="72" t="e">
        <f>J49</f>
        <v>#DIV/0!</v>
      </c>
      <c r="AH49" s="72" t="e">
        <f>L49</f>
        <v>#DIV/0!</v>
      </c>
      <c r="AI49" s="73" t="e">
        <f>H49</f>
        <v>#DIV/0!</v>
      </c>
      <c r="AJ49" s="73"/>
      <c r="AK49" s="76" t="e">
        <f>Q49</f>
        <v>#DIV/0!</v>
      </c>
      <c r="AL49" s="76" t="e">
        <f>S49</f>
        <v>#DIV/0!</v>
      </c>
      <c r="AM49" s="76" t="e">
        <f>O49</f>
        <v>#DIV/0!</v>
      </c>
      <c r="AN49" s="76"/>
      <c r="AO49" s="81" t="e">
        <f>X49</f>
        <v>#DIV/0!</v>
      </c>
      <c r="AP49" s="81" t="e">
        <f>Z49</f>
        <v>#DIV/0!</v>
      </c>
      <c r="AQ49" s="81" t="e">
        <f>V49</f>
        <v>#DIV/0!</v>
      </c>
      <c r="AR49" s="7"/>
      <c r="AS49" s="76" t="e">
        <f t="shared" si="1"/>
        <v>#DIV/0!</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0</v>
      </c>
      <c r="H50" s="52" t="e">
        <f>G50/$J$5*100</f>
        <v>#DIV/0!</v>
      </c>
      <c r="I50" s="53">
        <f>COUNTIFS('00 Encuesta'!$B$2:$B$511,"*e)*",'00 Encuesta'!$C$2:$C$511,"*a)*",'00 Encuesta'!$E$2:$E$511,"*a)*",'00 Encuesta'!$I$2:$I$511,"*d)*")</f>
        <v>0</v>
      </c>
      <c r="J50" s="52" t="e">
        <f>I50/$J$6*100</f>
        <v>#DIV/0!</v>
      </c>
      <c r="K50" s="53">
        <f>COUNTIFS('00 Encuesta'!$B$2:$B$511,"*e)*",'00 Encuesta'!$C$2:$C$511,"*a)*",'00 Encuesta'!$E$2:$E$511,"*b)*",'00 Encuesta'!$I$2:$I$511,"*d)*")</f>
        <v>0</v>
      </c>
      <c r="L50" s="52" t="e">
        <f>K50/$J$7*100</f>
        <v>#DIV/0!</v>
      </c>
      <c r="M50" s="23"/>
      <c r="N50" s="51">
        <f>P50+R50</f>
        <v>0</v>
      </c>
      <c r="O50" s="52" t="e">
        <f>N50/$Q$5*100</f>
        <v>#DIV/0!</v>
      </c>
      <c r="P50" s="53">
        <f>COUNTIFS('00 Encuesta'!$B$2:$B$511,"*e)*",'00 Encuesta'!$C$2:$C$511,"*b)*",'00 Encuesta'!$E$2:$E$511,"*a)*",'00 Encuesta'!$I$2:$I$511,"*d)*")</f>
        <v>0</v>
      </c>
      <c r="Q50" s="52" t="e">
        <f>P50/$Q$6*100</f>
        <v>#DIV/0!</v>
      </c>
      <c r="R50" s="53">
        <f>COUNTIFS('00 Encuesta'!$B$2:$B$511,"*e)*",'00 Encuesta'!$C$2:$C$511,"*b)*",'00 Encuesta'!$E$2:$E$511,"*b)*",'00 Encuesta'!$I$2:$I$511,"*d)*")</f>
        <v>0</v>
      </c>
      <c r="S50" s="52" t="e">
        <f>R50/$Q$7*100</f>
        <v>#DIV/0!</v>
      </c>
      <c r="T50" s="3"/>
      <c r="U50" s="51">
        <f>W50+Y50</f>
        <v>0</v>
      </c>
      <c r="V50" s="52" t="e">
        <f>U50/$X$5*100</f>
        <v>#DIV/0!</v>
      </c>
      <c r="W50" s="53">
        <f>COUNTIFS('00 Encuesta'!$B$2:$B$511,"*e)*",'00 Encuesta'!$C$2:$C$511,"*c)*",'00 Encuesta'!$E$2:$E$511,"*a)*",'00 Encuesta'!$I$2:$I$511,"*d)*")</f>
        <v>0</v>
      </c>
      <c r="X50" s="52" t="e">
        <f>W50/$X$6*100</f>
        <v>#DIV/0!</v>
      </c>
      <c r="Y50" s="53">
        <f>COUNTIFS('00 Encuesta'!$B$2:$B$511,"*e)*",'00 Encuesta'!$C$2:$C$511,"*c)*",'00 Encuesta'!$E$2:$E$511,"*b)*",'00 Encuesta'!$I$2:$I$511,"*d)*")</f>
        <v>0</v>
      </c>
      <c r="Z50" s="52" t="e">
        <f>Y50/$X$7*100</f>
        <v>#DIV/0!</v>
      </c>
      <c r="AA50" s="3"/>
      <c r="AB50" s="62">
        <f t="shared" si="6"/>
        <v>0</v>
      </c>
      <c r="AC50" s="52" t="e">
        <f>AB50*100/$AC$5</f>
        <v>#DIV/0!</v>
      </c>
      <c r="AD50" s="7"/>
      <c r="AE50" s="7"/>
      <c r="AF50" s="9" t="str">
        <f t="shared" si="49"/>
        <v>d) No sé</v>
      </c>
      <c r="AG50" s="72" t="e">
        <f>J50</f>
        <v>#DIV/0!</v>
      </c>
      <c r="AH50" s="72" t="e">
        <f>L50</f>
        <v>#DIV/0!</v>
      </c>
      <c r="AI50" s="73" t="e">
        <f>H50</f>
        <v>#DIV/0!</v>
      </c>
      <c r="AJ50" s="73"/>
      <c r="AK50" s="76" t="e">
        <f>Q50</f>
        <v>#DIV/0!</v>
      </c>
      <c r="AL50" s="76" t="e">
        <f>S50</f>
        <v>#DIV/0!</v>
      </c>
      <c r="AM50" s="76" t="e">
        <f>O50</f>
        <v>#DIV/0!</v>
      </c>
      <c r="AN50" s="76"/>
      <c r="AO50" s="81" t="e">
        <f>X50</f>
        <v>#DIV/0!</v>
      </c>
      <c r="AP50" s="81" t="e">
        <f>Z50</f>
        <v>#DIV/0!</v>
      </c>
      <c r="AQ50" s="81" t="e">
        <f>V50</f>
        <v>#DIV/0!</v>
      </c>
      <c r="AR50" s="7"/>
      <c r="AS50" s="76" t="e">
        <f t="shared" si="1"/>
        <v>#DIV/0!</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x14ac:dyDescent="0.3">
      <c r="A51" s="8" t="s">
        <v>23</v>
      </c>
      <c r="B51" s="9" t="s">
        <v>24</v>
      </c>
      <c r="C51" s="7"/>
      <c r="D51" s="7"/>
      <c r="E51" s="7"/>
      <c r="F51" s="71"/>
      <c r="G51" s="51">
        <f>I51+K51</f>
        <v>0</v>
      </c>
      <c r="H51" s="52" t="e">
        <f>G51/$J$5*100</f>
        <v>#DIV/0!</v>
      </c>
      <c r="I51" s="53"/>
      <c r="J51" s="52" t="e">
        <f>I51/$J$6*100</f>
        <v>#DIV/0!</v>
      </c>
      <c r="K51" s="53"/>
      <c r="L51" s="52" t="e">
        <f>K51/$J$7*100</f>
        <v>#DIV/0!</v>
      </c>
      <c r="M51" s="23"/>
      <c r="N51" s="51">
        <f>P51+R51</f>
        <v>0</v>
      </c>
      <c r="O51" s="52" t="e">
        <f>N51/$Q$5*100</f>
        <v>#DIV/0!</v>
      </c>
      <c r="P51" s="53"/>
      <c r="Q51" s="52" t="e">
        <f>P51/$Q$6*100</f>
        <v>#DIV/0!</v>
      </c>
      <c r="R51" s="53"/>
      <c r="S51" s="52" t="e">
        <f>R51/$Q$7*100</f>
        <v>#DIV/0!</v>
      </c>
      <c r="T51" s="3"/>
      <c r="U51" s="51">
        <f>W51+Y51</f>
        <v>0</v>
      </c>
      <c r="V51" s="52" t="e">
        <f>U51/$X$5*100</f>
        <v>#DIV/0!</v>
      </c>
      <c r="W51" s="53"/>
      <c r="X51" s="52" t="e">
        <f>W51/$X$6*100</f>
        <v>#DIV/0!</v>
      </c>
      <c r="Y51" s="53"/>
      <c r="Z51" s="52" t="e">
        <f>Y51/$X$7*100</f>
        <v>#DIV/0!</v>
      </c>
      <c r="AA51" s="3"/>
      <c r="AB51" s="62">
        <f t="shared" si="6"/>
        <v>0</v>
      </c>
      <c r="AC51" s="52" t="e">
        <f>AB51*100/$AC$5</f>
        <v>#DIV/0!</v>
      </c>
      <c r="AD51" s="7"/>
      <c r="AE51" s="7"/>
      <c r="AF51" s="9" t="str">
        <f t="shared" si="49"/>
        <v>S/R Sin Respuesta</v>
      </c>
      <c r="AG51" s="72" t="e">
        <f>J51</f>
        <v>#DIV/0!</v>
      </c>
      <c r="AH51" s="72" t="e">
        <f>L51</f>
        <v>#DIV/0!</v>
      </c>
      <c r="AI51" s="73" t="e">
        <f>H51</f>
        <v>#DIV/0!</v>
      </c>
      <c r="AJ51" s="73"/>
      <c r="AK51" s="76" t="e">
        <f>Q51</f>
        <v>#DIV/0!</v>
      </c>
      <c r="AL51" s="76" t="e">
        <f>S51</f>
        <v>#DIV/0!</v>
      </c>
      <c r="AM51" s="76" t="e">
        <f>O51</f>
        <v>#DIV/0!</v>
      </c>
      <c r="AN51" s="76"/>
      <c r="AO51" s="81" t="e">
        <f>X51</f>
        <v>#DIV/0!</v>
      </c>
      <c r="AP51" s="81" t="e">
        <f>Z51</f>
        <v>#DIV/0!</v>
      </c>
      <c r="AQ51" s="81" t="e">
        <f>V51</f>
        <v>#DIV/0!</v>
      </c>
      <c r="AR51" s="7"/>
      <c r="AS51" s="76" t="e">
        <f t="shared" si="1"/>
        <v>#DIV/0!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x14ac:dyDescent="0.3">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t="e">
        <f>(+$F47*I47+$F48*I48+$F49*I49+$F50*I50)/(+I47+I48+I49+I50)</f>
        <v>#DIV/0!</v>
      </c>
      <c r="AH52" s="82" t="e">
        <f>($F47*K47+$F48*K48+$F49*K49+$F50*K50)/(+K47+K48+K49+K50)</f>
        <v>#DIV/0!</v>
      </c>
      <c r="AI52" s="82" t="e">
        <f>($F47*G47+$F48*G48+$F49*G49+$F50*G50)/(G47+G48+G49+G50)</f>
        <v>#DIV/0!</v>
      </c>
      <c r="AJ52" s="82"/>
      <c r="AK52" s="82" t="e">
        <f>($F47*P47+$F48*P48+$F49*P49+$F50*P50)/(P47+P48+P49+P50)</f>
        <v>#DIV/0!</v>
      </c>
      <c r="AL52" s="82" t="e">
        <f>($F47*R47+$F48*R48+$F49*R49+$F50*R50)/(R47+R48+R49+R50)</f>
        <v>#DIV/0!</v>
      </c>
      <c r="AM52" s="82" t="e">
        <f>($F47*N47+$F48*N48+$F49*N49+$F50*N50)/(N47+N48+N49+N50)</f>
        <v>#DIV/0!</v>
      </c>
      <c r="AN52" s="82"/>
      <c r="AO52" s="82" t="e">
        <f>($F47*W47+$F48*W48+$F49*W49+$F50*W50)/(W47+W48+W49+W50)</f>
        <v>#DIV/0!</v>
      </c>
      <c r="AP52" s="82" t="e">
        <f>($F47*Y47+$F48*Y48+$F49*Y49+$F50*Y50)/(Y47+Y48+Y49+Y50)</f>
        <v>#DIV/0!</v>
      </c>
      <c r="AQ52" s="82" t="e">
        <f>($F47*U47+$F48*U48+$F49*U49+$F50*U50)/(U47+U48+U49+U50)</f>
        <v>#DIV/0!</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x14ac:dyDescent="0.3">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x14ac:dyDescent="0.3">
      <c r="A54" s="8" t="s">
        <v>17</v>
      </c>
      <c r="B54" s="9" t="s">
        <v>55</v>
      </c>
      <c r="C54" s="7"/>
      <c r="D54" s="7"/>
      <c r="E54" s="7"/>
      <c r="F54" s="71"/>
      <c r="G54" s="51">
        <f t="shared" ref="G54:G64" si="50">I54+K54</f>
        <v>0</v>
      </c>
      <c r="H54" s="52" t="e">
        <f t="shared" ref="H54:H64" si="51">G54/$J$5*100</f>
        <v>#DIV/0!</v>
      </c>
      <c r="I54" s="53">
        <f>COUNTIFS('00 Encuesta'!$B$2:$B$511,"*e)*",'00 Encuesta'!$C$2:$C$511,"*a)*",'00 Encuesta'!$E$2:$E$511,"*a)*",'00 Encuesta'!$J$2:$J$511,"*a)*")</f>
        <v>0</v>
      </c>
      <c r="J54" s="52" t="e">
        <f t="shared" ref="J54:J64" si="52">I54/$J$6*100</f>
        <v>#DIV/0!</v>
      </c>
      <c r="K54" s="53">
        <f>COUNTIFS('00 Encuesta'!$B$2:$B$511,"*e)*",'00 Encuesta'!$C$2:$C$511,"*a)*",'00 Encuesta'!$E$2:$E$511,"*b)*",'00 Encuesta'!$J$2:$J$511,"*a)*")</f>
        <v>0</v>
      </c>
      <c r="L54" s="52" t="e">
        <f t="shared" ref="L54:L64" si="53">K54/$J$7*100</f>
        <v>#DIV/0!</v>
      </c>
      <c r="M54" s="23"/>
      <c r="N54" s="51">
        <f t="shared" ref="N54:N64" si="54">P54+R54</f>
        <v>0</v>
      </c>
      <c r="O54" s="52" t="e">
        <f t="shared" ref="O54:O64" si="55">N54/$Q$5*100</f>
        <v>#DIV/0!</v>
      </c>
      <c r="P54" s="53">
        <f>COUNTIFS('00 Encuesta'!$B$2:$B$511,"*e)*",'00 Encuesta'!$C$2:$C$511,"*b)*",'00 Encuesta'!$E$2:$E$511,"*a)*",'00 Encuesta'!$J$2:$J$511,"*a)*")</f>
        <v>0</v>
      </c>
      <c r="Q54" s="52" t="e">
        <f t="shared" ref="Q54:Q64" si="56">P54/$Q$6*100</f>
        <v>#DIV/0!</v>
      </c>
      <c r="R54" s="53">
        <f>COUNTIFS('00 Encuesta'!$B$2:$B$511,"*e)*",'00 Encuesta'!$C$2:$C$511,"*b)*",'00 Encuesta'!$E$2:$E$511,"*b)*",'00 Encuesta'!$J$2:$J$511,"*a)*")</f>
        <v>0</v>
      </c>
      <c r="S54" s="52" t="e">
        <f t="shared" ref="S54:S64" si="57">R54/$Q$7*100</f>
        <v>#DIV/0!</v>
      </c>
      <c r="T54" s="3"/>
      <c r="U54" s="51">
        <f t="shared" ref="U54:U64" si="58">W54+Y54</f>
        <v>0</v>
      </c>
      <c r="V54" s="52" t="e">
        <f t="shared" ref="V54:V64" si="59">U54/$X$5*100</f>
        <v>#DIV/0!</v>
      </c>
      <c r="W54" s="53">
        <f>COUNTIFS('00 Encuesta'!$B$2:$B$511,"*e)*",'00 Encuesta'!$C$2:$C$511,"*c)*",'00 Encuesta'!$E$2:$E$511,"*a)*",'00 Encuesta'!$J$2:$J$511,"*a)*")</f>
        <v>0</v>
      </c>
      <c r="X54" s="52" t="e">
        <f t="shared" ref="X54:X64" si="60">W54/$X$6*100</f>
        <v>#DIV/0!</v>
      </c>
      <c r="Y54" s="53">
        <f>COUNTIFS('00 Encuesta'!$B$2:$B$511,"*e)*",'00 Encuesta'!$C$2:$C$511,"*c)*",'00 Encuesta'!$E$2:$E$511,"*b)*",'00 Encuesta'!$J$2:$J$511,"*a)*")</f>
        <v>0</v>
      </c>
      <c r="Z54" s="52" t="e">
        <f t="shared" ref="Z54:Z64" si="61">Y54/$X$7*100</f>
        <v>#DIV/0!</v>
      </c>
      <c r="AA54" s="3"/>
      <c r="AB54" s="62">
        <f t="shared" si="6"/>
        <v>0</v>
      </c>
      <c r="AC54" s="52" t="e">
        <f t="shared" ref="AC54:AC64" si="62">AB54*100/$AC$5</f>
        <v>#DIV/0!</v>
      </c>
      <c r="AD54" s="7"/>
      <c r="AE54" s="7"/>
      <c r="AF54" s="9" t="str">
        <f t="shared" ref="AF54:AF65" si="63">A54&amp;" "&amp;B54</f>
        <v>a) Videojuegos consola</v>
      </c>
      <c r="AG54" s="72" t="e">
        <f t="shared" ref="AG54:AG65" si="64">J54</f>
        <v>#DIV/0!</v>
      </c>
      <c r="AH54" s="72" t="e">
        <f t="shared" ref="AH54:AH65" si="65">L54</f>
        <v>#DIV/0!</v>
      </c>
      <c r="AI54" s="73" t="e">
        <f t="shared" ref="AI54:AI65" si="66">H54</f>
        <v>#DIV/0!</v>
      </c>
      <c r="AJ54" s="73"/>
      <c r="AK54" s="76" t="e">
        <f t="shared" ref="AK54:AK65" si="67">Q54</f>
        <v>#DIV/0!</v>
      </c>
      <c r="AL54" s="76" t="e">
        <f t="shared" ref="AL54:AL65" si="68">S54</f>
        <v>#DIV/0!</v>
      </c>
      <c r="AM54" s="76" t="e">
        <f t="shared" ref="AM54:AM65" si="69">O54</f>
        <v>#DIV/0!</v>
      </c>
      <c r="AN54" s="76"/>
      <c r="AO54" s="81" t="e">
        <f t="shared" ref="AO54:AO65" si="70">X54</f>
        <v>#DIV/0!</v>
      </c>
      <c r="AP54" s="81" t="e">
        <f t="shared" ref="AP54:AP65" si="71">Z54</f>
        <v>#DIV/0!</v>
      </c>
      <c r="AQ54" s="81" t="e">
        <f t="shared" ref="AQ54:AQ65" si="72">V54</f>
        <v>#DIV/0!</v>
      </c>
      <c r="AR54" s="7"/>
      <c r="AS54" s="76" t="e">
        <f t="shared" si="1"/>
        <v>#DIV/0!</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x14ac:dyDescent="0.3">
      <c r="A55" s="8" t="s">
        <v>18</v>
      </c>
      <c r="B55" s="9" t="s">
        <v>56</v>
      </c>
      <c r="C55" s="7"/>
      <c r="D55" s="7"/>
      <c r="E55" s="7"/>
      <c r="F55" s="71"/>
      <c r="G55" s="51">
        <f t="shared" si="50"/>
        <v>0</v>
      </c>
      <c r="H55" s="52" t="e">
        <f t="shared" si="51"/>
        <v>#DIV/0!</v>
      </c>
      <c r="I55" s="53">
        <f>COUNTIFS('00 Encuesta'!$B$2:$B$511,"*e)*",'00 Encuesta'!$C$2:$C$511,"*a)*",'00 Encuesta'!$E$2:$E$511,"*a)*",'00 Encuesta'!$J$2:$J$511,"*b)*")</f>
        <v>0</v>
      </c>
      <c r="J55" s="52" t="e">
        <f t="shared" si="52"/>
        <v>#DIV/0!</v>
      </c>
      <c r="K55" s="53">
        <f>COUNTIFS('00 Encuesta'!$B$2:$B$511,"*e)*",'00 Encuesta'!$C$2:$C$511,"*a)*",'00 Encuesta'!$E$2:$E$511,"*b)*",'00 Encuesta'!$J$2:$J$511,"*b)*")</f>
        <v>0</v>
      </c>
      <c r="L55" s="52" t="e">
        <f t="shared" si="53"/>
        <v>#DIV/0!</v>
      </c>
      <c r="M55" s="23"/>
      <c r="N55" s="51">
        <f t="shared" si="54"/>
        <v>0</v>
      </c>
      <c r="O55" s="52" t="e">
        <f t="shared" si="55"/>
        <v>#DIV/0!</v>
      </c>
      <c r="P55" s="53">
        <f>COUNTIFS('00 Encuesta'!$B$2:$B$511,"*e)*",'00 Encuesta'!$C$2:$C$511,"*b)*",'00 Encuesta'!$E$2:$E$511,"*a)*",'00 Encuesta'!$J$2:$J$511,"*b)*")</f>
        <v>0</v>
      </c>
      <c r="Q55" s="52" t="e">
        <f t="shared" si="56"/>
        <v>#DIV/0!</v>
      </c>
      <c r="R55" s="53">
        <f>COUNTIFS('00 Encuesta'!$B$2:$B$511,"*e)*",'00 Encuesta'!$C$2:$C$511,"*b)*",'00 Encuesta'!$E$2:$E$511,"*b)*",'00 Encuesta'!$J$2:$J$511,"*b)*")</f>
        <v>0</v>
      </c>
      <c r="S55" s="52" t="e">
        <f t="shared" si="57"/>
        <v>#DIV/0!</v>
      </c>
      <c r="T55" s="3"/>
      <c r="U55" s="51">
        <f t="shared" si="58"/>
        <v>0</v>
      </c>
      <c r="V55" s="52" t="e">
        <f t="shared" si="59"/>
        <v>#DIV/0!</v>
      </c>
      <c r="W55" s="53">
        <f>COUNTIFS('00 Encuesta'!$B$2:$B$511,"*e)*",'00 Encuesta'!$C$2:$C$511,"*c)*",'00 Encuesta'!$E$2:$E$511,"*a)*",'00 Encuesta'!$J$2:$J$511,"*b)*")</f>
        <v>0</v>
      </c>
      <c r="X55" s="52" t="e">
        <f t="shared" si="60"/>
        <v>#DIV/0!</v>
      </c>
      <c r="Y55" s="53">
        <f>COUNTIFS('00 Encuesta'!$B$2:$B$511,"*e)*",'00 Encuesta'!$C$2:$C$511,"*c)*",'00 Encuesta'!$E$2:$E$511,"*b)*",'00 Encuesta'!$J$2:$J$511,"*b)*")</f>
        <v>0</v>
      </c>
      <c r="Z55" s="52" t="e">
        <f t="shared" si="61"/>
        <v>#DIV/0!</v>
      </c>
      <c r="AA55" s="3"/>
      <c r="AB55" s="62">
        <f t="shared" si="6"/>
        <v>0</v>
      </c>
      <c r="AC55" s="52" t="e">
        <f t="shared" si="62"/>
        <v>#DIV/0!</v>
      </c>
      <c r="AD55" s="7"/>
      <c r="AE55" s="7"/>
      <c r="AF55" s="9" t="str">
        <f t="shared" si="63"/>
        <v>b) Lavadora</v>
      </c>
      <c r="AG55" s="72" t="e">
        <f t="shared" si="64"/>
        <v>#DIV/0!</v>
      </c>
      <c r="AH55" s="72" t="e">
        <f t="shared" si="65"/>
        <v>#DIV/0!</v>
      </c>
      <c r="AI55" s="73" t="e">
        <f t="shared" si="66"/>
        <v>#DIV/0!</v>
      </c>
      <c r="AJ55" s="73"/>
      <c r="AK55" s="76" t="e">
        <f t="shared" si="67"/>
        <v>#DIV/0!</v>
      </c>
      <c r="AL55" s="76" t="e">
        <f t="shared" si="68"/>
        <v>#DIV/0!</v>
      </c>
      <c r="AM55" s="76" t="e">
        <f t="shared" si="69"/>
        <v>#DIV/0!</v>
      </c>
      <c r="AN55" s="76"/>
      <c r="AO55" s="81" t="e">
        <f t="shared" si="70"/>
        <v>#DIV/0!</v>
      </c>
      <c r="AP55" s="81" t="e">
        <f t="shared" si="71"/>
        <v>#DIV/0!</v>
      </c>
      <c r="AQ55" s="81" t="e">
        <f t="shared" si="72"/>
        <v>#DIV/0!</v>
      </c>
      <c r="AR55" s="7"/>
      <c r="AS55" s="76" t="e">
        <f t="shared" si="1"/>
        <v>#DIV/0!</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x14ac:dyDescent="0.3">
      <c r="A56" s="8" t="s">
        <v>20</v>
      </c>
      <c r="B56" s="9" t="s">
        <v>57</v>
      </c>
      <c r="C56" s="7"/>
      <c r="D56" s="7"/>
      <c r="E56" s="7"/>
      <c r="F56" s="71"/>
      <c r="G56" s="51">
        <f t="shared" si="50"/>
        <v>0</v>
      </c>
      <c r="H56" s="52" t="e">
        <f t="shared" si="51"/>
        <v>#DIV/0!</v>
      </c>
      <c r="I56" s="53">
        <f>COUNTIFS('00 Encuesta'!$B$2:$B$511,"*e)*",'00 Encuesta'!$C$2:$C$511,"*a)*",'00 Encuesta'!$E$2:$E$511,"*a)*",'00 Encuesta'!$J$2:$J$511,"*c)*")</f>
        <v>0</v>
      </c>
      <c r="J56" s="52" t="e">
        <f t="shared" si="52"/>
        <v>#DIV/0!</v>
      </c>
      <c r="K56" s="53">
        <f>COUNTIFS('00 Encuesta'!$B$2:$B$511,"*e)*",'00 Encuesta'!$C$2:$C$511,"*a)*",'00 Encuesta'!$E$2:$E$511,"*b)*",'00 Encuesta'!$J$2:$J$511,"*c)*")</f>
        <v>0</v>
      </c>
      <c r="L56" s="52" t="e">
        <f t="shared" si="53"/>
        <v>#DIV/0!</v>
      </c>
      <c r="M56" s="23"/>
      <c r="N56" s="51">
        <f t="shared" si="54"/>
        <v>0</v>
      </c>
      <c r="O56" s="52" t="e">
        <f t="shared" si="55"/>
        <v>#DIV/0!</v>
      </c>
      <c r="P56" s="53">
        <f>COUNTIFS('00 Encuesta'!$B$2:$B$511,"*e)*",'00 Encuesta'!$C$2:$C$511,"*b)*",'00 Encuesta'!$E$2:$E$511,"*a)*",'00 Encuesta'!$J$2:$J$511,"*c)*")</f>
        <v>0</v>
      </c>
      <c r="Q56" s="52" t="e">
        <f t="shared" si="56"/>
        <v>#DIV/0!</v>
      </c>
      <c r="R56" s="53">
        <f>COUNTIFS('00 Encuesta'!$B$2:$B$511,"*e)*",'00 Encuesta'!$C$2:$C$511,"*b)*",'00 Encuesta'!$E$2:$E$511,"*b)*",'00 Encuesta'!$J$2:$J$511,"*c)*")</f>
        <v>0</v>
      </c>
      <c r="S56" s="52" t="e">
        <f t="shared" si="57"/>
        <v>#DIV/0!</v>
      </c>
      <c r="T56" s="3"/>
      <c r="U56" s="51">
        <f t="shared" si="58"/>
        <v>0</v>
      </c>
      <c r="V56" s="52" t="e">
        <f t="shared" si="59"/>
        <v>#DIV/0!</v>
      </c>
      <c r="W56" s="53">
        <f>COUNTIFS('00 Encuesta'!$B$2:$B$511,"*e)*",'00 Encuesta'!$C$2:$C$511,"*c)*",'00 Encuesta'!$E$2:$E$511,"*a)*",'00 Encuesta'!$J$2:$J$511,"*c)*")</f>
        <v>0</v>
      </c>
      <c r="X56" s="52" t="e">
        <f t="shared" si="60"/>
        <v>#DIV/0!</v>
      </c>
      <c r="Y56" s="53">
        <f>COUNTIFS('00 Encuesta'!$B$2:$B$511,"*e)*",'00 Encuesta'!$C$2:$C$511,"*c)*",'00 Encuesta'!$E$2:$E$511,"*b)*",'00 Encuesta'!$J$2:$J$511,"*c)*")</f>
        <v>0</v>
      </c>
      <c r="Z56" s="52" t="e">
        <f t="shared" si="61"/>
        <v>#DIV/0!</v>
      </c>
      <c r="AA56" s="3"/>
      <c r="AB56" s="62">
        <f t="shared" si="6"/>
        <v>0</v>
      </c>
      <c r="AC56" s="52" t="e">
        <f t="shared" si="62"/>
        <v>#DIV/0!</v>
      </c>
      <c r="AD56" s="7"/>
      <c r="AE56" s="7"/>
      <c r="AF56" s="9" t="str">
        <f t="shared" si="63"/>
        <v>c) Microondas</v>
      </c>
      <c r="AG56" s="72" t="e">
        <f t="shared" si="64"/>
        <v>#DIV/0!</v>
      </c>
      <c r="AH56" s="72" t="e">
        <f t="shared" si="65"/>
        <v>#DIV/0!</v>
      </c>
      <c r="AI56" s="73" t="e">
        <f t="shared" si="66"/>
        <v>#DIV/0!</v>
      </c>
      <c r="AJ56" s="73"/>
      <c r="AK56" s="76" t="e">
        <f t="shared" si="67"/>
        <v>#DIV/0!</v>
      </c>
      <c r="AL56" s="76" t="e">
        <f t="shared" si="68"/>
        <v>#DIV/0!</v>
      </c>
      <c r="AM56" s="76" t="e">
        <f t="shared" si="69"/>
        <v>#DIV/0!</v>
      </c>
      <c r="AN56" s="76"/>
      <c r="AO56" s="81" t="e">
        <f t="shared" si="70"/>
        <v>#DIV/0!</v>
      </c>
      <c r="AP56" s="81" t="e">
        <f t="shared" si="71"/>
        <v>#DIV/0!</v>
      </c>
      <c r="AQ56" s="81" t="e">
        <f t="shared" si="72"/>
        <v>#DIV/0!</v>
      </c>
      <c r="AR56" s="7"/>
      <c r="AS56" s="76" t="e">
        <f t="shared" si="1"/>
        <v>#DIV/0!</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0</v>
      </c>
      <c r="H57" s="52" t="e">
        <f t="shared" si="51"/>
        <v>#DIV/0!</v>
      </c>
      <c r="I57" s="53">
        <f>COUNTIFS('00 Encuesta'!$B$2:$B$511,"*e)*",'00 Encuesta'!$C$2:$C$511,"*a)*",'00 Encuesta'!$E$2:$E$511,"*a)*",'00 Encuesta'!$J$2:$J$511,"*d)*")</f>
        <v>0</v>
      </c>
      <c r="J57" s="52" t="e">
        <f t="shared" si="52"/>
        <v>#DIV/0!</v>
      </c>
      <c r="K57" s="53">
        <f>COUNTIFS('00 Encuesta'!$B$2:$B$511,"*e)*",'00 Encuesta'!$C$2:$C$511,"*a)*",'00 Encuesta'!$E$2:$E$511,"*b)*",'00 Encuesta'!$J$2:$J$511,"*d)*")</f>
        <v>0</v>
      </c>
      <c r="L57" s="52" t="e">
        <f t="shared" si="53"/>
        <v>#DIV/0!</v>
      </c>
      <c r="M57" s="23"/>
      <c r="N57" s="51">
        <f t="shared" si="54"/>
        <v>0</v>
      </c>
      <c r="O57" s="52" t="e">
        <f t="shared" si="55"/>
        <v>#DIV/0!</v>
      </c>
      <c r="P57" s="53">
        <f>COUNTIFS('00 Encuesta'!$B$2:$B$511,"*e)*",'00 Encuesta'!$C$2:$C$511,"*b)*",'00 Encuesta'!$E$2:$E$511,"*a)*",'00 Encuesta'!$J$2:$J$511,"*d)*")</f>
        <v>0</v>
      </c>
      <c r="Q57" s="52" t="e">
        <f t="shared" si="56"/>
        <v>#DIV/0!</v>
      </c>
      <c r="R57" s="53">
        <f>COUNTIFS('00 Encuesta'!$B$2:$B$511,"*e)*",'00 Encuesta'!$C$2:$C$511,"*b)*",'00 Encuesta'!$E$2:$E$511,"*b)*",'00 Encuesta'!$J$2:$J$511,"*d)*")</f>
        <v>0</v>
      </c>
      <c r="S57" s="52" t="e">
        <f t="shared" si="57"/>
        <v>#DIV/0!</v>
      </c>
      <c r="T57" s="3"/>
      <c r="U57" s="51">
        <f t="shared" si="58"/>
        <v>0</v>
      </c>
      <c r="V57" s="52" t="e">
        <f t="shared" si="59"/>
        <v>#DIV/0!</v>
      </c>
      <c r="W57" s="53">
        <f>COUNTIFS('00 Encuesta'!$B$2:$B$511,"*e)*",'00 Encuesta'!$C$2:$C$511,"*c)*",'00 Encuesta'!$E$2:$E$511,"*a)*",'00 Encuesta'!$J$2:$J$511,"*d)*")</f>
        <v>0</v>
      </c>
      <c r="X57" s="52" t="e">
        <f t="shared" si="60"/>
        <v>#DIV/0!</v>
      </c>
      <c r="Y57" s="53">
        <f>COUNTIFS('00 Encuesta'!$B$2:$B$511,"*e)*",'00 Encuesta'!$C$2:$C$511,"*c)*",'00 Encuesta'!$E$2:$E$511,"*b)*",'00 Encuesta'!$J$2:$J$511,"*d)*")</f>
        <v>0</v>
      </c>
      <c r="Z57" s="52" t="e">
        <f t="shared" si="61"/>
        <v>#DIV/0!</v>
      </c>
      <c r="AA57" s="3"/>
      <c r="AB57" s="62">
        <f t="shared" si="6"/>
        <v>0</v>
      </c>
      <c r="AC57" s="52" t="e">
        <f t="shared" si="62"/>
        <v>#DIV/0!</v>
      </c>
      <c r="AD57" s="7"/>
      <c r="AE57" s="7"/>
      <c r="AF57" s="9" t="str">
        <f t="shared" si="63"/>
        <v>d) Televisión plana</v>
      </c>
      <c r="AG57" s="72" t="e">
        <f t="shared" si="64"/>
        <v>#DIV/0!</v>
      </c>
      <c r="AH57" s="72" t="e">
        <f t="shared" si="65"/>
        <v>#DIV/0!</v>
      </c>
      <c r="AI57" s="73" t="e">
        <f t="shared" si="66"/>
        <v>#DIV/0!</v>
      </c>
      <c r="AJ57" s="73"/>
      <c r="AK57" s="76" t="e">
        <f t="shared" si="67"/>
        <v>#DIV/0!</v>
      </c>
      <c r="AL57" s="76" t="e">
        <f t="shared" si="68"/>
        <v>#DIV/0!</v>
      </c>
      <c r="AM57" s="76" t="e">
        <f t="shared" si="69"/>
        <v>#DIV/0!</v>
      </c>
      <c r="AN57" s="76"/>
      <c r="AO57" s="81" t="e">
        <f t="shared" si="70"/>
        <v>#DIV/0!</v>
      </c>
      <c r="AP57" s="81" t="e">
        <f t="shared" si="71"/>
        <v>#DIV/0!</v>
      </c>
      <c r="AQ57" s="81" t="e">
        <f t="shared" si="72"/>
        <v>#DIV/0!</v>
      </c>
      <c r="AR57" s="7"/>
      <c r="AS57" s="76" t="e">
        <f t="shared" si="1"/>
        <v>#DIV/0!</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x14ac:dyDescent="0.3">
      <c r="A58" s="8" t="s">
        <v>22</v>
      </c>
      <c r="B58" s="9" t="s">
        <v>59</v>
      </c>
      <c r="C58" s="7"/>
      <c r="D58" s="7"/>
      <c r="E58" s="7"/>
      <c r="F58" s="71"/>
      <c r="G58" s="51">
        <f t="shared" si="50"/>
        <v>0</v>
      </c>
      <c r="H58" s="52" t="e">
        <f t="shared" si="51"/>
        <v>#DIV/0!</v>
      </c>
      <c r="I58" s="53">
        <f>COUNTIFS('00 Encuesta'!$B$2:$B$511,"*e)*",'00 Encuesta'!$C$2:$C$511,"*a)*",'00 Encuesta'!$E$2:$E$511,"*a)*",'00 Encuesta'!$J$2:$J$511,"*e)*")</f>
        <v>0</v>
      </c>
      <c r="J58" s="52" t="e">
        <f t="shared" si="52"/>
        <v>#DIV/0!</v>
      </c>
      <c r="K58" s="53">
        <f>COUNTIFS('00 Encuesta'!$B$2:$B$511,"*e)*",'00 Encuesta'!$C$2:$C$511,"*a)*",'00 Encuesta'!$E$2:$E$511,"*b)*",'00 Encuesta'!$J$2:$J$511,"*e)*")</f>
        <v>0</v>
      </c>
      <c r="L58" s="52" t="e">
        <f t="shared" si="53"/>
        <v>#DIV/0!</v>
      </c>
      <c r="M58" s="23"/>
      <c r="N58" s="51">
        <f t="shared" si="54"/>
        <v>0</v>
      </c>
      <c r="O58" s="52" t="e">
        <f t="shared" si="55"/>
        <v>#DIV/0!</v>
      </c>
      <c r="P58" s="53">
        <f>COUNTIFS('00 Encuesta'!$B$2:$B$511,"*e)*",'00 Encuesta'!$C$2:$C$511,"*b)*",'00 Encuesta'!$E$2:$E$511,"*a)*",'00 Encuesta'!$J$2:$J$511,"*e)*")</f>
        <v>0</v>
      </c>
      <c r="Q58" s="52" t="e">
        <f t="shared" si="56"/>
        <v>#DIV/0!</v>
      </c>
      <c r="R58" s="53">
        <f>COUNTIFS('00 Encuesta'!$B$2:$B$511,"*e)*",'00 Encuesta'!$C$2:$C$511,"*b)*",'00 Encuesta'!$E$2:$E$511,"*b)*",'00 Encuesta'!$J$2:$J$511,"*e)*")</f>
        <v>0</v>
      </c>
      <c r="S58" s="52" t="e">
        <f t="shared" si="57"/>
        <v>#DIV/0!</v>
      </c>
      <c r="T58" s="3"/>
      <c r="U58" s="51">
        <f t="shared" si="58"/>
        <v>0</v>
      </c>
      <c r="V58" s="52" t="e">
        <f t="shared" si="59"/>
        <v>#DIV/0!</v>
      </c>
      <c r="W58" s="53">
        <f>COUNTIFS('00 Encuesta'!$B$2:$B$511,"*e)*",'00 Encuesta'!$C$2:$C$511,"*c)*",'00 Encuesta'!$E$2:$E$511,"*a)*",'00 Encuesta'!$J$2:$J$511,"*e)*")</f>
        <v>0</v>
      </c>
      <c r="X58" s="52" t="e">
        <f t="shared" si="60"/>
        <v>#DIV/0!</v>
      </c>
      <c r="Y58" s="53">
        <f>COUNTIFS('00 Encuesta'!$B$2:$B$511,"*e)*",'00 Encuesta'!$C$2:$C$511,"*c)*",'00 Encuesta'!$E$2:$E$511,"*b)*",'00 Encuesta'!$J$2:$J$511,"*e)*")</f>
        <v>0</v>
      </c>
      <c r="Z58" s="52" t="e">
        <f t="shared" si="61"/>
        <v>#DIV/0!</v>
      </c>
      <c r="AA58" s="3"/>
      <c r="AB58" s="62">
        <f t="shared" si="6"/>
        <v>0</v>
      </c>
      <c r="AC58" s="52" t="e">
        <f t="shared" si="62"/>
        <v>#DIV/0!</v>
      </c>
      <c r="AD58" s="7"/>
      <c r="AE58" s="7"/>
      <c r="AF58" s="9" t="str">
        <f t="shared" si="63"/>
        <v>e) Moto</v>
      </c>
      <c r="AG58" s="72" t="e">
        <f t="shared" si="64"/>
        <v>#DIV/0!</v>
      </c>
      <c r="AH58" s="72" t="e">
        <f t="shared" si="65"/>
        <v>#DIV/0!</v>
      </c>
      <c r="AI58" s="73" t="e">
        <f t="shared" si="66"/>
        <v>#DIV/0!</v>
      </c>
      <c r="AJ58" s="73"/>
      <c r="AK58" s="76" t="e">
        <f t="shared" si="67"/>
        <v>#DIV/0!</v>
      </c>
      <c r="AL58" s="76" t="e">
        <f t="shared" si="68"/>
        <v>#DIV/0!</v>
      </c>
      <c r="AM58" s="76" t="e">
        <f t="shared" si="69"/>
        <v>#DIV/0!</v>
      </c>
      <c r="AN58" s="76"/>
      <c r="AO58" s="81" t="e">
        <f t="shared" si="70"/>
        <v>#DIV/0!</v>
      </c>
      <c r="AP58" s="81" t="e">
        <f t="shared" si="71"/>
        <v>#DIV/0!</v>
      </c>
      <c r="AQ58" s="81" t="e">
        <f t="shared" si="72"/>
        <v>#DIV/0!</v>
      </c>
      <c r="AR58" s="7"/>
      <c r="AS58" s="76" t="e">
        <f t="shared" si="1"/>
        <v>#DIV/0!</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x14ac:dyDescent="0.3">
      <c r="A59" s="8" t="s">
        <v>45</v>
      </c>
      <c r="B59" s="9" t="s">
        <v>60</v>
      </c>
      <c r="C59" s="7"/>
      <c r="D59" s="7"/>
      <c r="E59" s="7"/>
      <c r="F59" s="71"/>
      <c r="G59" s="51">
        <f t="shared" si="50"/>
        <v>0</v>
      </c>
      <c r="H59" s="52" t="e">
        <f t="shared" si="51"/>
        <v>#DIV/0!</v>
      </c>
      <c r="I59" s="53">
        <f>COUNTIFS('00 Encuesta'!$B$2:$B$511,"*e)*",'00 Encuesta'!$C$2:$C$511,"*a)*",'00 Encuesta'!$E$2:$E$511,"*a)*",'00 Encuesta'!$J$2:$J$511,"*f)*")</f>
        <v>0</v>
      </c>
      <c r="J59" s="52" t="e">
        <f t="shared" si="52"/>
        <v>#DIV/0!</v>
      </c>
      <c r="K59" s="53">
        <f>COUNTIFS('00 Encuesta'!$B$2:$B$511,"*e)*",'00 Encuesta'!$C$2:$C$511,"*a)*",'00 Encuesta'!$E$2:$E$511,"*b)*",'00 Encuesta'!$J$2:$J$511,"*f)*")</f>
        <v>0</v>
      </c>
      <c r="L59" s="52" t="e">
        <f t="shared" si="53"/>
        <v>#DIV/0!</v>
      </c>
      <c r="M59" s="23"/>
      <c r="N59" s="51">
        <f t="shared" si="54"/>
        <v>0</v>
      </c>
      <c r="O59" s="52" t="e">
        <f t="shared" si="55"/>
        <v>#DIV/0!</v>
      </c>
      <c r="P59" s="53">
        <f>COUNTIFS('00 Encuesta'!$B$2:$B$511,"*e)*",'00 Encuesta'!$C$2:$C$511,"*b)*",'00 Encuesta'!$E$2:$E$511,"*a)*",'00 Encuesta'!$J$2:$J$511,"*f)*")</f>
        <v>0</v>
      </c>
      <c r="Q59" s="52" t="e">
        <f t="shared" si="56"/>
        <v>#DIV/0!</v>
      </c>
      <c r="R59" s="53">
        <f>COUNTIFS('00 Encuesta'!$B$2:$B$511,"*e)*",'00 Encuesta'!$C$2:$C$511,"*b)*",'00 Encuesta'!$E$2:$E$511,"*b)*",'00 Encuesta'!$J$2:$J$511,"*f)*")</f>
        <v>0</v>
      </c>
      <c r="S59" s="52" t="e">
        <f t="shared" si="57"/>
        <v>#DIV/0!</v>
      </c>
      <c r="T59" s="3"/>
      <c r="U59" s="51">
        <f t="shared" si="58"/>
        <v>0</v>
      </c>
      <c r="V59" s="52" t="e">
        <f t="shared" si="59"/>
        <v>#DIV/0!</v>
      </c>
      <c r="W59" s="53">
        <f>COUNTIFS('00 Encuesta'!$B$2:$B$511,"*e)*",'00 Encuesta'!$C$2:$C$511,"*c)*",'00 Encuesta'!$E$2:$E$511,"*a)*",'00 Encuesta'!$J$2:$J$511,"*f)*")</f>
        <v>0</v>
      </c>
      <c r="X59" s="52" t="e">
        <f t="shared" si="60"/>
        <v>#DIV/0!</v>
      </c>
      <c r="Y59" s="53">
        <f>COUNTIFS('00 Encuesta'!$B$2:$B$511,"*e)*",'00 Encuesta'!$C$2:$C$511,"*c)*",'00 Encuesta'!$E$2:$E$511,"*b)*",'00 Encuesta'!$J$2:$J$511,"*f)*")</f>
        <v>0</v>
      </c>
      <c r="Z59" s="52" t="e">
        <f t="shared" si="61"/>
        <v>#DIV/0!</v>
      </c>
      <c r="AA59" s="3"/>
      <c r="AB59" s="62">
        <f t="shared" si="6"/>
        <v>0</v>
      </c>
      <c r="AC59" s="52" t="e">
        <f t="shared" si="62"/>
        <v>#DIV/0!</v>
      </c>
      <c r="AD59" s="7"/>
      <c r="AE59" s="7"/>
      <c r="AF59" s="9" t="str">
        <f t="shared" si="63"/>
        <v>f) MP3</v>
      </c>
      <c r="AG59" s="72" t="e">
        <f t="shared" si="64"/>
        <v>#DIV/0!</v>
      </c>
      <c r="AH59" s="72" t="e">
        <f t="shared" si="65"/>
        <v>#DIV/0!</v>
      </c>
      <c r="AI59" s="73" t="e">
        <f t="shared" si="66"/>
        <v>#DIV/0!</v>
      </c>
      <c r="AJ59" s="73"/>
      <c r="AK59" s="76" t="e">
        <f t="shared" si="67"/>
        <v>#DIV/0!</v>
      </c>
      <c r="AL59" s="76" t="e">
        <f t="shared" si="68"/>
        <v>#DIV/0!</v>
      </c>
      <c r="AM59" s="76" t="e">
        <f t="shared" si="69"/>
        <v>#DIV/0!</v>
      </c>
      <c r="AN59" s="76"/>
      <c r="AO59" s="81" t="e">
        <f t="shared" si="70"/>
        <v>#DIV/0!</v>
      </c>
      <c r="AP59" s="81" t="e">
        <f t="shared" si="71"/>
        <v>#DIV/0!</v>
      </c>
      <c r="AQ59" s="81" t="e">
        <f t="shared" si="72"/>
        <v>#DIV/0!</v>
      </c>
      <c r="AR59" s="7"/>
      <c r="AS59" s="76" t="e">
        <f t="shared" si="1"/>
        <v>#DIV/0!</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x14ac:dyDescent="0.3">
      <c r="A60" s="8" t="s">
        <v>61</v>
      </c>
      <c r="B60" s="9" t="s">
        <v>62</v>
      </c>
      <c r="C60" s="7"/>
      <c r="D60" s="7"/>
      <c r="E60" s="7"/>
      <c r="F60" s="71"/>
      <c r="G60" s="51">
        <f t="shared" si="50"/>
        <v>0</v>
      </c>
      <c r="H60" s="52" t="e">
        <f t="shared" si="51"/>
        <v>#DIV/0!</v>
      </c>
      <c r="I60" s="53">
        <f>COUNTIFS('00 Encuesta'!$B$2:$B$511,"*e)*",'00 Encuesta'!$C$2:$C$511,"*a)*",'00 Encuesta'!$E$2:$E$511,"*a)*",'00 Encuesta'!$J$2:$J$511,"*g)*")</f>
        <v>0</v>
      </c>
      <c r="J60" s="52" t="e">
        <f t="shared" si="52"/>
        <v>#DIV/0!</v>
      </c>
      <c r="K60" s="53">
        <f>COUNTIFS('00 Encuesta'!$B$2:$B$511,"*e)*",'00 Encuesta'!$C$2:$C$511,"*a)*",'00 Encuesta'!$E$2:$E$511,"*b)*",'00 Encuesta'!$J$2:$J$511,"*g)*")</f>
        <v>0</v>
      </c>
      <c r="L60" s="52" t="e">
        <f t="shared" si="53"/>
        <v>#DIV/0!</v>
      </c>
      <c r="M60" s="23"/>
      <c r="N60" s="51">
        <f t="shared" si="54"/>
        <v>0</v>
      </c>
      <c r="O60" s="52" t="e">
        <f t="shared" si="55"/>
        <v>#DIV/0!</v>
      </c>
      <c r="P60" s="53">
        <f>COUNTIFS('00 Encuesta'!$B$2:$B$511,"*e)*",'00 Encuesta'!$C$2:$C$511,"*b)*",'00 Encuesta'!$E$2:$E$511,"*a)*",'00 Encuesta'!$J$2:$J$511,"*g)*")</f>
        <v>0</v>
      </c>
      <c r="Q60" s="52" t="e">
        <f t="shared" si="56"/>
        <v>#DIV/0!</v>
      </c>
      <c r="R60" s="53">
        <f>COUNTIFS('00 Encuesta'!$B$2:$B$511,"*e)*",'00 Encuesta'!$C$2:$C$511,"*b)*",'00 Encuesta'!$E$2:$E$511,"*b)*",'00 Encuesta'!$J$2:$J$511,"*g)*")</f>
        <v>0</v>
      </c>
      <c r="S60" s="52" t="e">
        <f t="shared" si="57"/>
        <v>#DIV/0!</v>
      </c>
      <c r="T60" s="3"/>
      <c r="U60" s="51">
        <f t="shared" si="58"/>
        <v>0</v>
      </c>
      <c r="V60" s="52" t="e">
        <f t="shared" si="59"/>
        <v>#DIV/0!</v>
      </c>
      <c r="W60" s="53">
        <f>COUNTIFS('00 Encuesta'!$B$2:$B$511,"*e)*",'00 Encuesta'!$C$2:$C$511,"*c)*",'00 Encuesta'!$E$2:$E$511,"*a)*",'00 Encuesta'!$J$2:$J$511,"*g)*")</f>
        <v>0</v>
      </c>
      <c r="X60" s="52" t="e">
        <f t="shared" si="60"/>
        <v>#DIV/0!</v>
      </c>
      <c r="Y60" s="53">
        <f>COUNTIFS('00 Encuesta'!$B$2:$B$511,"*e)*",'00 Encuesta'!$C$2:$C$511,"*c)*",'00 Encuesta'!$E$2:$E$511,"*b)*",'00 Encuesta'!$J$2:$J$511,"*g)*")</f>
        <v>0</v>
      </c>
      <c r="Z60" s="52" t="e">
        <f t="shared" si="61"/>
        <v>#DIV/0!</v>
      </c>
      <c r="AA60" s="3"/>
      <c r="AB60" s="62">
        <f t="shared" si="6"/>
        <v>0</v>
      </c>
      <c r="AC60" s="52" t="e">
        <f t="shared" si="62"/>
        <v>#DIV/0!</v>
      </c>
      <c r="AD60" s="7"/>
      <c r="AE60" s="7"/>
      <c r="AF60" s="9" t="str">
        <f t="shared" si="63"/>
        <v>g) MP4</v>
      </c>
      <c r="AG60" s="72" t="e">
        <f t="shared" si="64"/>
        <v>#DIV/0!</v>
      </c>
      <c r="AH60" s="72" t="e">
        <f t="shared" si="65"/>
        <v>#DIV/0!</v>
      </c>
      <c r="AI60" s="73" t="e">
        <f t="shared" si="66"/>
        <v>#DIV/0!</v>
      </c>
      <c r="AJ60" s="73"/>
      <c r="AK60" s="76" t="e">
        <f t="shared" si="67"/>
        <v>#DIV/0!</v>
      </c>
      <c r="AL60" s="76" t="e">
        <f t="shared" si="68"/>
        <v>#DIV/0!</v>
      </c>
      <c r="AM60" s="76" t="e">
        <f t="shared" si="69"/>
        <v>#DIV/0!</v>
      </c>
      <c r="AN60" s="76"/>
      <c r="AO60" s="81" t="e">
        <f t="shared" si="70"/>
        <v>#DIV/0!</v>
      </c>
      <c r="AP60" s="81" t="e">
        <f t="shared" si="71"/>
        <v>#DIV/0!</v>
      </c>
      <c r="AQ60" s="81" t="e">
        <f t="shared" si="72"/>
        <v>#DIV/0!</v>
      </c>
      <c r="AR60" s="7"/>
      <c r="AS60" s="76" t="e">
        <f t="shared" si="1"/>
        <v>#DIV/0!</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x14ac:dyDescent="0.3">
      <c r="A61" s="8" t="s">
        <v>63</v>
      </c>
      <c r="B61" s="9" t="s">
        <v>64</v>
      </c>
      <c r="C61" s="7"/>
      <c r="D61" s="7"/>
      <c r="E61" s="7"/>
      <c r="F61" s="71"/>
      <c r="G61" s="51">
        <f t="shared" si="50"/>
        <v>0</v>
      </c>
      <c r="H61" s="52" t="e">
        <f t="shared" si="51"/>
        <v>#DIV/0!</v>
      </c>
      <c r="I61" s="53">
        <f>COUNTIFS('00 Encuesta'!$B$2:$B$511,"*e)*",'00 Encuesta'!$C$2:$C$511,"*a)*",'00 Encuesta'!$E$2:$E$511,"*a)*",'00 Encuesta'!$J$2:$J$511,"*h)*")</f>
        <v>0</v>
      </c>
      <c r="J61" s="52" t="e">
        <f t="shared" si="52"/>
        <v>#DIV/0!</v>
      </c>
      <c r="K61" s="53">
        <f>COUNTIFS('00 Encuesta'!$B$2:$B$511,"*e)*",'00 Encuesta'!$C$2:$C$511,"*a)*",'00 Encuesta'!$E$2:$E$511,"*b)*",'00 Encuesta'!$J$2:$J$511,"*h)*")</f>
        <v>0</v>
      </c>
      <c r="L61" s="52" t="e">
        <f t="shared" si="53"/>
        <v>#DIV/0!</v>
      </c>
      <c r="M61" s="23"/>
      <c r="N61" s="51">
        <f t="shared" si="54"/>
        <v>0</v>
      </c>
      <c r="O61" s="52" t="e">
        <f t="shared" si="55"/>
        <v>#DIV/0!</v>
      </c>
      <c r="P61" s="53">
        <f>COUNTIFS('00 Encuesta'!$B$2:$B$511,"*e)*",'00 Encuesta'!$C$2:$C$511,"*b)*",'00 Encuesta'!$E$2:$E$511,"*a)*",'00 Encuesta'!$J$2:$J$511,"*h)*")</f>
        <v>0</v>
      </c>
      <c r="Q61" s="52" t="e">
        <f t="shared" si="56"/>
        <v>#DIV/0!</v>
      </c>
      <c r="R61" s="53">
        <f>COUNTIFS('00 Encuesta'!$B$2:$B$511,"*e)*",'00 Encuesta'!$C$2:$C$511,"*b)*",'00 Encuesta'!$E$2:$E$511,"*b)*",'00 Encuesta'!$J$2:$J$511,"*h)*")</f>
        <v>0</v>
      </c>
      <c r="S61" s="52" t="e">
        <f t="shared" si="57"/>
        <v>#DIV/0!</v>
      </c>
      <c r="T61" s="3"/>
      <c r="U61" s="51">
        <f t="shared" si="58"/>
        <v>0</v>
      </c>
      <c r="V61" s="52" t="e">
        <f t="shared" si="59"/>
        <v>#DIV/0!</v>
      </c>
      <c r="W61" s="53">
        <f>COUNTIFS('00 Encuesta'!$B$2:$B$511,"*e)*",'00 Encuesta'!$C$2:$C$511,"*c)*",'00 Encuesta'!$E$2:$E$511,"*a)*",'00 Encuesta'!$J$2:$J$511,"*h)*")</f>
        <v>0</v>
      </c>
      <c r="X61" s="52" t="e">
        <f t="shared" si="60"/>
        <v>#DIV/0!</v>
      </c>
      <c r="Y61" s="53">
        <f>COUNTIFS('00 Encuesta'!$B$2:$B$511,"*e)*",'00 Encuesta'!$C$2:$C$511,"*c)*",'00 Encuesta'!$E$2:$E$511,"*b)*",'00 Encuesta'!$J$2:$J$511,"*h)*")</f>
        <v>0</v>
      </c>
      <c r="Z61" s="52" t="e">
        <f t="shared" si="61"/>
        <v>#DIV/0!</v>
      </c>
      <c r="AA61" s="3"/>
      <c r="AB61" s="62">
        <f t="shared" si="6"/>
        <v>0</v>
      </c>
      <c r="AC61" s="52" t="e">
        <f t="shared" si="62"/>
        <v>#DIV/0!</v>
      </c>
      <c r="AD61" s="7"/>
      <c r="AE61" s="7"/>
      <c r="AF61" s="9" t="str">
        <f t="shared" si="63"/>
        <v>h) Carro</v>
      </c>
      <c r="AG61" s="72" t="e">
        <f t="shared" si="64"/>
        <v>#DIV/0!</v>
      </c>
      <c r="AH61" s="72" t="e">
        <f t="shared" si="65"/>
        <v>#DIV/0!</v>
      </c>
      <c r="AI61" s="73" t="e">
        <f t="shared" si="66"/>
        <v>#DIV/0!</v>
      </c>
      <c r="AJ61" s="73"/>
      <c r="AK61" s="76" t="e">
        <f t="shared" si="67"/>
        <v>#DIV/0!</v>
      </c>
      <c r="AL61" s="76" t="e">
        <f t="shared" si="68"/>
        <v>#DIV/0!</v>
      </c>
      <c r="AM61" s="76" t="e">
        <f t="shared" si="69"/>
        <v>#DIV/0!</v>
      </c>
      <c r="AN61" s="76"/>
      <c r="AO61" s="81" t="e">
        <f t="shared" si="70"/>
        <v>#DIV/0!</v>
      </c>
      <c r="AP61" s="81" t="e">
        <f t="shared" si="71"/>
        <v>#DIV/0!</v>
      </c>
      <c r="AQ61" s="81" t="e">
        <f t="shared" si="72"/>
        <v>#DIV/0!</v>
      </c>
      <c r="AR61" s="7"/>
      <c r="AS61" s="76" t="e">
        <f t="shared" si="1"/>
        <v>#DIV/0!</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x14ac:dyDescent="0.3">
      <c r="A62" s="8" t="s">
        <v>65</v>
      </c>
      <c r="B62" s="9" t="s">
        <v>66</v>
      </c>
      <c r="C62" s="7"/>
      <c r="D62" s="7"/>
      <c r="E62" s="7"/>
      <c r="F62" s="71"/>
      <c r="G62" s="51">
        <f t="shared" si="50"/>
        <v>0</v>
      </c>
      <c r="H62" s="52" t="e">
        <f t="shared" si="51"/>
        <v>#DIV/0!</v>
      </c>
      <c r="I62" s="53">
        <f>COUNTIFS('00 Encuesta'!$B$2:$B$511,"*e)*",'00 Encuesta'!$C$2:$C$511,"*a)*",'00 Encuesta'!$E$2:$E$511,"*a)*",'00 Encuesta'!$J$2:$J$511,"*i)*")</f>
        <v>0</v>
      </c>
      <c r="J62" s="52" t="e">
        <f t="shared" si="52"/>
        <v>#DIV/0!</v>
      </c>
      <c r="K62" s="53">
        <f>COUNTIFS('00 Encuesta'!$B$2:$B$511,"*e)*",'00 Encuesta'!$C$2:$C$511,"*a)*",'00 Encuesta'!$E$2:$E$511,"*b)*",'00 Encuesta'!$J$2:$J$511,"*i)*")</f>
        <v>0</v>
      </c>
      <c r="L62" s="52" t="e">
        <f t="shared" si="53"/>
        <v>#DIV/0!</v>
      </c>
      <c r="M62" s="23"/>
      <c r="N62" s="51">
        <f t="shared" si="54"/>
        <v>0</v>
      </c>
      <c r="O62" s="52" t="e">
        <f t="shared" si="55"/>
        <v>#DIV/0!</v>
      </c>
      <c r="P62" s="53">
        <f>COUNTIFS('00 Encuesta'!$B$2:$B$511,"*e)*",'00 Encuesta'!$C$2:$C$511,"*b)*",'00 Encuesta'!$E$2:$E$511,"*a)*",'00 Encuesta'!$J$2:$J$511,"*i)*")</f>
        <v>0</v>
      </c>
      <c r="Q62" s="52" t="e">
        <f t="shared" si="56"/>
        <v>#DIV/0!</v>
      </c>
      <c r="R62" s="53">
        <f>COUNTIFS('00 Encuesta'!$B$2:$B$511,"*e)*",'00 Encuesta'!$C$2:$C$511,"*b)*",'00 Encuesta'!$E$2:$E$511,"*b)*",'00 Encuesta'!$J$2:$J$511,"*i)*")</f>
        <v>0</v>
      </c>
      <c r="S62" s="52" t="e">
        <f t="shared" si="57"/>
        <v>#DIV/0!</v>
      </c>
      <c r="T62" s="3"/>
      <c r="U62" s="51">
        <f t="shared" si="58"/>
        <v>0</v>
      </c>
      <c r="V62" s="52" t="e">
        <f t="shared" si="59"/>
        <v>#DIV/0!</v>
      </c>
      <c r="W62" s="53">
        <f>COUNTIFS('00 Encuesta'!$B$2:$B$511,"*e)*",'00 Encuesta'!$C$2:$C$511,"*c)*",'00 Encuesta'!$E$2:$E$511,"*a)*",'00 Encuesta'!$J$2:$J$511,"*i)*")</f>
        <v>0</v>
      </c>
      <c r="X62" s="52" t="e">
        <f t="shared" si="60"/>
        <v>#DIV/0!</v>
      </c>
      <c r="Y62" s="53">
        <f>COUNTIFS('00 Encuesta'!$B$2:$B$511,"*e)*",'00 Encuesta'!$C$2:$C$511,"*c)*",'00 Encuesta'!$E$2:$E$511,"*b)*",'00 Encuesta'!$J$2:$J$511,"*i)*")</f>
        <v>0</v>
      </c>
      <c r="Z62" s="52" t="e">
        <f t="shared" si="61"/>
        <v>#DIV/0!</v>
      </c>
      <c r="AA62" s="3"/>
      <c r="AB62" s="62">
        <f t="shared" si="6"/>
        <v>0</v>
      </c>
      <c r="AC62" s="52" t="e">
        <f t="shared" si="62"/>
        <v>#DIV/0!</v>
      </c>
      <c r="AD62" s="7"/>
      <c r="AE62" s="7"/>
      <c r="AF62" s="9" t="str">
        <f t="shared" si="63"/>
        <v>i) Computadora</v>
      </c>
      <c r="AG62" s="72" t="e">
        <f t="shared" si="64"/>
        <v>#DIV/0!</v>
      </c>
      <c r="AH62" s="72" t="e">
        <f t="shared" si="65"/>
        <v>#DIV/0!</v>
      </c>
      <c r="AI62" s="73" t="e">
        <f t="shared" si="66"/>
        <v>#DIV/0!</v>
      </c>
      <c r="AJ62" s="73"/>
      <c r="AK62" s="76" t="e">
        <f t="shared" si="67"/>
        <v>#DIV/0!</v>
      </c>
      <c r="AL62" s="76" t="e">
        <f t="shared" si="68"/>
        <v>#DIV/0!</v>
      </c>
      <c r="AM62" s="76" t="e">
        <f t="shared" si="69"/>
        <v>#DIV/0!</v>
      </c>
      <c r="AN62" s="76"/>
      <c r="AO62" s="81" t="e">
        <f t="shared" si="70"/>
        <v>#DIV/0!</v>
      </c>
      <c r="AP62" s="81" t="e">
        <f t="shared" si="71"/>
        <v>#DIV/0!</v>
      </c>
      <c r="AQ62" s="81" t="e">
        <f t="shared" si="72"/>
        <v>#DIV/0!</v>
      </c>
      <c r="AR62" s="7"/>
      <c r="AS62" s="76" t="e">
        <f t="shared" si="1"/>
        <v>#DIV/0!</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0</v>
      </c>
      <c r="H63" s="52" t="e">
        <f t="shared" si="51"/>
        <v>#DIV/0!</v>
      </c>
      <c r="I63" s="53">
        <f>COUNTIFS('00 Encuesta'!$B$2:$B$511,"*e)*",'00 Encuesta'!$C$2:$C$511,"*a)*",'00 Encuesta'!$E$2:$E$511,"*a)*",'00 Encuesta'!$J$2:$J$511,"*j)*")</f>
        <v>0</v>
      </c>
      <c r="J63" s="52" t="e">
        <f t="shared" si="52"/>
        <v>#DIV/0!</v>
      </c>
      <c r="K63" s="53">
        <f>COUNTIFS('00 Encuesta'!$B$2:$B$511,"*e)*",'00 Encuesta'!$C$2:$C$511,"*a)*",'00 Encuesta'!$E$2:$E$511,"*b)*",'00 Encuesta'!$J$2:$J$511,"*j)*")</f>
        <v>0</v>
      </c>
      <c r="L63" s="52" t="e">
        <f t="shared" si="53"/>
        <v>#DIV/0!</v>
      </c>
      <c r="M63" s="23"/>
      <c r="N63" s="51">
        <f t="shared" si="54"/>
        <v>0</v>
      </c>
      <c r="O63" s="52" t="e">
        <f t="shared" si="55"/>
        <v>#DIV/0!</v>
      </c>
      <c r="P63" s="53">
        <f>COUNTIFS('00 Encuesta'!$B$2:$B$511,"*e)*",'00 Encuesta'!$C$2:$C$511,"*b)*",'00 Encuesta'!$E$2:$E$511,"*a)*",'00 Encuesta'!$J$2:$J$511,"*j)*")</f>
        <v>0</v>
      </c>
      <c r="Q63" s="52" t="e">
        <f t="shared" si="56"/>
        <v>#DIV/0!</v>
      </c>
      <c r="R63" s="53">
        <f>COUNTIFS('00 Encuesta'!$B$2:$B$511,"*e)*",'00 Encuesta'!$C$2:$C$511,"*b)*",'00 Encuesta'!$E$2:$E$511,"*b)*",'00 Encuesta'!$J$2:$J$511,"*j)*")</f>
        <v>0</v>
      </c>
      <c r="S63" s="52" t="e">
        <f t="shared" si="57"/>
        <v>#DIV/0!</v>
      </c>
      <c r="T63" s="3"/>
      <c r="U63" s="51">
        <f t="shared" si="58"/>
        <v>0</v>
      </c>
      <c r="V63" s="52" t="e">
        <f t="shared" si="59"/>
        <v>#DIV/0!</v>
      </c>
      <c r="W63" s="53">
        <f>COUNTIFS('00 Encuesta'!$B$2:$B$511,"*e)*",'00 Encuesta'!$C$2:$C$511,"*c)*",'00 Encuesta'!$E$2:$E$511,"*a)*",'00 Encuesta'!$J$2:$J$511,"*j)*")</f>
        <v>0</v>
      </c>
      <c r="X63" s="52" t="e">
        <f t="shared" si="60"/>
        <v>#DIV/0!</v>
      </c>
      <c r="Y63" s="53">
        <f>COUNTIFS('00 Encuesta'!$B$2:$B$511,"*e)*",'00 Encuesta'!$C$2:$C$511,"*c)*",'00 Encuesta'!$E$2:$E$511,"*b)*",'00 Encuesta'!$J$2:$J$511,"*j)*")</f>
        <v>0</v>
      </c>
      <c r="Z63" s="52" t="e">
        <f t="shared" si="61"/>
        <v>#DIV/0!</v>
      </c>
      <c r="AA63" s="3"/>
      <c r="AB63" s="62">
        <f t="shared" si="6"/>
        <v>0</v>
      </c>
      <c r="AC63" s="52" t="e">
        <f t="shared" si="62"/>
        <v>#DIV/0!</v>
      </c>
      <c r="AD63" s="7"/>
      <c r="AE63" s="7"/>
      <c r="AF63" s="9" t="str">
        <f t="shared" si="63"/>
        <v>j) Cámara digital</v>
      </c>
      <c r="AG63" s="72" t="e">
        <f t="shared" si="64"/>
        <v>#DIV/0!</v>
      </c>
      <c r="AH63" s="72" t="e">
        <f t="shared" si="65"/>
        <v>#DIV/0!</v>
      </c>
      <c r="AI63" s="73" t="e">
        <f t="shared" si="66"/>
        <v>#DIV/0!</v>
      </c>
      <c r="AJ63" s="73"/>
      <c r="AK63" s="76" t="e">
        <f t="shared" si="67"/>
        <v>#DIV/0!</v>
      </c>
      <c r="AL63" s="76" t="e">
        <f t="shared" si="68"/>
        <v>#DIV/0!</v>
      </c>
      <c r="AM63" s="76" t="e">
        <f t="shared" si="69"/>
        <v>#DIV/0!</v>
      </c>
      <c r="AN63" s="76"/>
      <c r="AO63" s="81" t="e">
        <f t="shared" si="70"/>
        <v>#DIV/0!</v>
      </c>
      <c r="AP63" s="81" t="e">
        <f t="shared" si="71"/>
        <v>#DIV/0!</v>
      </c>
      <c r="AQ63" s="81" t="e">
        <f t="shared" si="72"/>
        <v>#DIV/0!</v>
      </c>
      <c r="AR63" s="7"/>
      <c r="AS63" s="76" t="e">
        <f t="shared" si="1"/>
        <v>#DIV/0!</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x14ac:dyDescent="0.3">
      <c r="A64" s="1" t="s">
        <v>69</v>
      </c>
      <c r="B64" s="2" t="s">
        <v>70</v>
      </c>
      <c r="C64" s="3"/>
      <c r="D64" s="7"/>
      <c r="E64" s="7"/>
      <c r="F64" s="71"/>
      <c r="G64" s="51">
        <f t="shared" si="50"/>
        <v>0</v>
      </c>
      <c r="H64" s="52" t="e">
        <f t="shared" si="51"/>
        <v>#DIV/0!</v>
      </c>
      <c r="I64" s="53">
        <f>COUNTIFS('00 Encuesta'!$B$2:$B$511,"*e)*",'00 Encuesta'!$C$2:$C$511,"*a)*",'00 Encuesta'!$E$2:$E$511,"*a)*",'00 Encuesta'!$J$2:$J$511,"*k)*")</f>
        <v>0</v>
      </c>
      <c r="J64" s="52" t="e">
        <f t="shared" si="52"/>
        <v>#DIV/0!</v>
      </c>
      <c r="K64" s="53">
        <f>COUNTIFS('00 Encuesta'!$B$2:$B$511,"*e)*",'00 Encuesta'!$C$2:$C$511,"*a)*",'00 Encuesta'!$E$2:$E$511,"*b)*",'00 Encuesta'!$J$2:$J$511,"*k)*")</f>
        <v>0</v>
      </c>
      <c r="L64" s="52" t="e">
        <f t="shared" si="53"/>
        <v>#DIV/0!</v>
      </c>
      <c r="M64" s="23"/>
      <c r="N64" s="51">
        <f t="shared" si="54"/>
        <v>0</v>
      </c>
      <c r="O64" s="52" t="e">
        <f t="shared" si="55"/>
        <v>#DIV/0!</v>
      </c>
      <c r="P64" s="53">
        <f>COUNTIFS('00 Encuesta'!$B$2:$B$511,"*e)*",'00 Encuesta'!$C$2:$C$511,"*b)*",'00 Encuesta'!$E$2:$E$511,"*a)*",'00 Encuesta'!$J$2:$J$511,"*k)*")</f>
        <v>0</v>
      </c>
      <c r="Q64" s="52" t="e">
        <f t="shared" si="56"/>
        <v>#DIV/0!</v>
      </c>
      <c r="R64" s="53">
        <f>COUNTIFS('00 Encuesta'!$B$2:$B$511,"*e)*",'00 Encuesta'!$C$2:$C$511,"*b)*",'00 Encuesta'!$E$2:$E$511,"*b)*",'00 Encuesta'!$J$2:$J$511,"*k)*")</f>
        <v>0</v>
      </c>
      <c r="S64" s="52" t="e">
        <f t="shared" si="57"/>
        <v>#DIV/0!</v>
      </c>
      <c r="T64" s="3"/>
      <c r="U64" s="51">
        <f t="shared" si="58"/>
        <v>0</v>
      </c>
      <c r="V64" s="52" t="e">
        <f t="shared" si="59"/>
        <v>#DIV/0!</v>
      </c>
      <c r="W64" s="53">
        <f>COUNTIFS('00 Encuesta'!$B$2:$B$511,"*e)*",'00 Encuesta'!$C$2:$C$511,"*c)*",'00 Encuesta'!$E$2:$E$511,"*a)*",'00 Encuesta'!$J$2:$J$511,"*k)*")</f>
        <v>0</v>
      </c>
      <c r="X64" s="52" t="e">
        <f t="shared" si="60"/>
        <v>#DIV/0!</v>
      </c>
      <c r="Y64" s="53">
        <f>COUNTIFS('00 Encuesta'!$B$2:$B$511,"*e)*",'00 Encuesta'!$C$2:$C$511,"*c)*",'00 Encuesta'!$E$2:$E$511,"*b)*",'00 Encuesta'!$J$2:$J$511,"*k)*")</f>
        <v>0</v>
      </c>
      <c r="Z64" s="52" t="e">
        <f t="shared" si="61"/>
        <v>#DIV/0!</v>
      </c>
      <c r="AA64" s="3"/>
      <c r="AB64" s="62">
        <f t="shared" si="6"/>
        <v>0</v>
      </c>
      <c r="AC64" s="52" t="e">
        <f t="shared" si="62"/>
        <v>#DIV/0!</v>
      </c>
      <c r="AD64" s="7"/>
      <c r="AE64" s="7"/>
      <c r="AF64" s="9" t="str">
        <f t="shared" si="63"/>
        <v>k) Aire acondicionado</v>
      </c>
      <c r="AG64" s="72" t="e">
        <f t="shared" si="64"/>
        <v>#DIV/0!</v>
      </c>
      <c r="AH64" s="72" t="e">
        <f t="shared" si="65"/>
        <v>#DIV/0!</v>
      </c>
      <c r="AI64" s="73" t="e">
        <f t="shared" si="66"/>
        <v>#DIV/0!</v>
      </c>
      <c r="AJ64" s="73"/>
      <c r="AK64" s="76" t="e">
        <f t="shared" si="67"/>
        <v>#DIV/0!</v>
      </c>
      <c r="AL64" s="76" t="e">
        <f t="shared" si="68"/>
        <v>#DIV/0!</v>
      </c>
      <c r="AM64" s="76" t="e">
        <f t="shared" si="69"/>
        <v>#DIV/0!</v>
      </c>
      <c r="AN64" s="76"/>
      <c r="AO64" s="81" t="e">
        <f t="shared" si="70"/>
        <v>#DIV/0!</v>
      </c>
      <c r="AP64" s="81" t="e">
        <f t="shared" si="71"/>
        <v>#DIV/0!</v>
      </c>
      <c r="AQ64" s="81" t="e">
        <f t="shared" si="72"/>
        <v>#DIV/0!</v>
      </c>
      <c r="AR64" s="7"/>
      <c r="AS64" s="76" t="e">
        <f t="shared" si="1"/>
        <v>#DIV/0!</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x14ac:dyDescent="0.3">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x14ac:dyDescent="0.3">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x14ac:dyDescent="0.3">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x14ac:dyDescent="0.3">
      <c r="A68" s="8" t="s">
        <v>17</v>
      </c>
      <c r="B68" s="9" t="s">
        <v>72</v>
      </c>
      <c r="C68" s="7"/>
      <c r="D68" s="7"/>
      <c r="E68" s="7"/>
      <c r="F68" s="71"/>
      <c r="G68" s="51">
        <f>I68+K68</f>
        <v>0</v>
      </c>
      <c r="H68" s="52" t="e">
        <f>G68/$J$5*100</f>
        <v>#DIV/0!</v>
      </c>
      <c r="I68" s="53">
        <f>COUNTIFS('00 Encuesta'!$B$2:$B$511,"*e)*",'00 Encuesta'!$C$2:$C$511,"*a)*",'00 Encuesta'!$E$2:$E$511,"*a)*",'00 Encuesta'!$K$2:$K$511,"*a)*")</f>
        <v>0</v>
      </c>
      <c r="J68" s="52" t="e">
        <f t="shared" ref="J68:J74" si="73">I68/$J$6*100</f>
        <v>#DIV/0!</v>
      </c>
      <c r="K68" s="53">
        <f>COUNTIFS('00 Encuesta'!$B$2:$B$511,"*e)*",'00 Encuesta'!$C$2:$C$511,"*a)*",'00 Encuesta'!$E$2:$E$511,"*b)*",'00 Encuesta'!$K$2:$K$511,"*a)*")</f>
        <v>0</v>
      </c>
      <c r="L68" s="52" t="e">
        <f t="shared" ref="L68:L74" si="74">K68/$J$7*100</f>
        <v>#DIV/0!</v>
      </c>
      <c r="M68" s="23"/>
      <c r="N68" s="51">
        <f t="shared" ref="N68:N74" si="75">P68+R68</f>
        <v>0</v>
      </c>
      <c r="O68" s="52" t="e">
        <f t="shared" ref="O68:O74" si="76">N68/$Q$5*100</f>
        <v>#DIV/0!</v>
      </c>
      <c r="P68" s="53">
        <f>COUNTIFS('00 Encuesta'!$B$2:$B$511,"*e)*",'00 Encuesta'!$C$2:$C$511,"*b)*",'00 Encuesta'!$E$2:$E$511,"*a)*",'00 Encuesta'!$K$2:$K$511,"*a)*")</f>
        <v>0</v>
      </c>
      <c r="Q68" s="52" t="e">
        <f t="shared" ref="Q68:Q74" si="77">P68/$Q$6*100</f>
        <v>#DIV/0!</v>
      </c>
      <c r="R68" s="53">
        <f>COUNTIFS('00 Encuesta'!$B$2:$B$511,"*e)*",'00 Encuesta'!$C$2:$C$511,"*b)*",'00 Encuesta'!$E$2:$E$511,"*b)*",'00 Encuesta'!$K$2:$K$511,"*a)*")</f>
        <v>0</v>
      </c>
      <c r="S68" s="52" t="e">
        <f t="shared" ref="S68:S74" si="78">R68/$Q$7*100</f>
        <v>#DIV/0!</v>
      </c>
      <c r="T68" s="3"/>
      <c r="U68" s="51">
        <f t="shared" ref="U68:U74" si="79">W68+Y68</f>
        <v>0</v>
      </c>
      <c r="V68" s="52" t="e">
        <f t="shared" ref="V68:V74" si="80">U68/$X$5*100</f>
        <v>#DIV/0!</v>
      </c>
      <c r="W68" s="53">
        <f>COUNTIFS('00 Encuesta'!$B$2:$B$511,"*e)*",'00 Encuesta'!$C$2:$C$511,"*c)*",'00 Encuesta'!$E$2:$E$511,"*a)*",'00 Encuesta'!$K$2:$K$511,"*a)*")</f>
        <v>0</v>
      </c>
      <c r="X68" s="52" t="e">
        <f t="shared" ref="X68:X74" si="81">W68/$X$6*100</f>
        <v>#DIV/0!</v>
      </c>
      <c r="Y68" s="53">
        <f>COUNTIFS('00 Encuesta'!$B$2:$B$511,"*e)*",'00 Encuesta'!$C$2:$C$511,"*c)*",'00 Encuesta'!$E$2:$E$511,"*b)*",'00 Encuesta'!$K$2:$K$511,"*a)*")</f>
        <v>0</v>
      </c>
      <c r="Z68" s="52" t="e">
        <f t="shared" ref="Z68:Z74" si="82">Y68/$X$7*100</f>
        <v>#DIV/0!</v>
      </c>
      <c r="AA68" s="3"/>
      <c r="AB68" s="62">
        <f t="shared" ref="AB68:AB74" si="83">G68+N68+U68</f>
        <v>0</v>
      </c>
      <c r="AC68" s="52" t="e">
        <f t="shared" ref="AC68:AC74" si="84">AB68*100/$AC$5</f>
        <v>#DIV/0!</v>
      </c>
      <c r="AD68" s="7"/>
      <c r="AE68" s="7"/>
      <c r="AF68" s="9" t="str">
        <f t="shared" ref="AF68:AF74" si="85">A68&amp;" "&amp;B68</f>
        <v>a) Ninguna</v>
      </c>
      <c r="AG68" s="72" t="e">
        <f t="shared" ref="AG68:AG74" si="86">J68</f>
        <v>#DIV/0!</v>
      </c>
      <c r="AH68" s="72" t="e">
        <f t="shared" ref="AH68:AH74" si="87">L68</f>
        <v>#DIV/0!</v>
      </c>
      <c r="AI68" s="73" t="e">
        <f t="shared" ref="AI68:AI74" si="88">H68</f>
        <v>#DIV/0!</v>
      </c>
      <c r="AJ68" s="73"/>
      <c r="AK68" s="76" t="e">
        <f t="shared" ref="AK68:AK74" si="89">Q68</f>
        <v>#DIV/0!</v>
      </c>
      <c r="AL68" s="76" t="e">
        <f t="shared" ref="AL68:AL74" si="90">S68</f>
        <v>#DIV/0!</v>
      </c>
      <c r="AM68" s="76" t="e">
        <f t="shared" ref="AM68:AM74" si="91">O68</f>
        <v>#DIV/0!</v>
      </c>
      <c r="AN68" s="76"/>
      <c r="AO68" s="81" t="e">
        <f t="shared" ref="AO68:AO74" si="92">X68</f>
        <v>#DIV/0!</v>
      </c>
      <c r="AP68" s="81" t="e">
        <f t="shared" ref="AP68:AP74" si="93">Z68</f>
        <v>#DIV/0!</v>
      </c>
      <c r="AQ68" s="81" t="e">
        <f t="shared" ref="AQ68:AQ74" si="94">V68</f>
        <v>#DIV/0!</v>
      </c>
      <c r="AR68" s="7"/>
      <c r="AS68" s="76" t="e">
        <f t="shared" si="1"/>
        <v>#DIV/0!</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x14ac:dyDescent="0.3">
      <c r="A69" s="8" t="s">
        <v>18</v>
      </c>
      <c r="B69" s="9" t="s">
        <v>73</v>
      </c>
      <c r="C69" s="7"/>
      <c r="D69" s="7"/>
      <c r="E69" s="7"/>
      <c r="F69" s="71"/>
      <c r="G69" s="51">
        <f t="shared" ref="G69:G74" si="95">I69+K69</f>
        <v>0</v>
      </c>
      <c r="H69" s="52" t="e">
        <f t="shared" ref="H69:H74" si="96">G69/$J$5*100</f>
        <v>#DIV/0!</v>
      </c>
      <c r="I69" s="53">
        <f>COUNTIFS('00 Encuesta'!$B$2:$B$511,"*e)*",'00 Encuesta'!$C$2:$C$511,"*a)*",'00 Encuesta'!$E$2:$E$511,"*a)*",'00 Encuesta'!$K$2:$K$511,"*b)*")</f>
        <v>0</v>
      </c>
      <c r="J69" s="52" t="e">
        <f t="shared" si="73"/>
        <v>#DIV/0!</v>
      </c>
      <c r="K69" s="53">
        <f>COUNTIFS('00 Encuesta'!$B$2:$B$511,"*e)*",'00 Encuesta'!$C$2:$C$511,"*a)*",'00 Encuesta'!$E$2:$E$511,"*b)*",'00 Encuesta'!$K$2:$K$511,"*b)*")</f>
        <v>0</v>
      </c>
      <c r="L69" s="52" t="e">
        <f t="shared" si="74"/>
        <v>#DIV/0!</v>
      </c>
      <c r="M69" s="23"/>
      <c r="N69" s="51">
        <f t="shared" si="75"/>
        <v>0</v>
      </c>
      <c r="O69" s="52" t="e">
        <f t="shared" si="76"/>
        <v>#DIV/0!</v>
      </c>
      <c r="P69" s="53">
        <f>COUNTIFS('00 Encuesta'!$B$2:$B$511,"*e)*",'00 Encuesta'!$C$2:$C$511,"*b)*",'00 Encuesta'!$E$2:$E$511,"*a)*",'00 Encuesta'!$K$2:$K$511,"*b)*")</f>
        <v>0</v>
      </c>
      <c r="Q69" s="52" t="e">
        <f t="shared" si="77"/>
        <v>#DIV/0!</v>
      </c>
      <c r="R69" s="53">
        <f>COUNTIFS('00 Encuesta'!$B$2:$B$511,"*e)*",'00 Encuesta'!$C$2:$C$511,"*b)*",'00 Encuesta'!$E$2:$E$511,"*b)*",'00 Encuesta'!$K$2:$K$511,"*b)*")</f>
        <v>0</v>
      </c>
      <c r="S69" s="52" t="e">
        <f t="shared" si="78"/>
        <v>#DIV/0!</v>
      </c>
      <c r="T69" s="3"/>
      <c r="U69" s="51">
        <f t="shared" si="79"/>
        <v>0</v>
      </c>
      <c r="V69" s="52" t="e">
        <f t="shared" si="80"/>
        <v>#DIV/0!</v>
      </c>
      <c r="W69" s="53">
        <f>COUNTIFS('00 Encuesta'!$B$2:$B$511,"*e)*",'00 Encuesta'!$C$2:$C$511,"*c)*",'00 Encuesta'!$E$2:$E$511,"*a)*",'00 Encuesta'!$K$2:$K$511,"*b)*")</f>
        <v>0</v>
      </c>
      <c r="X69" s="52" t="e">
        <f t="shared" si="81"/>
        <v>#DIV/0!</v>
      </c>
      <c r="Y69" s="53">
        <f>COUNTIFS('00 Encuesta'!$B$2:$B$511,"*e)*",'00 Encuesta'!$C$2:$C$511,"*c)*",'00 Encuesta'!$E$2:$E$511,"*b)*",'00 Encuesta'!$K$2:$K$511,"*b)*")</f>
        <v>0</v>
      </c>
      <c r="Z69" s="52" t="e">
        <f t="shared" si="82"/>
        <v>#DIV/0!</v>
      </c>
      <c r="AA69" s="3"/>
      <c r="AB69" s="62">
        <f t="shared" si="83"/>
        <v>0</v>
      </c>
      <c r="AC69" s="52" t="e">
        <f t="shared" si="84"/>
        <v>#DIV/0!</v>
      </c>
      <c r="AD69" s="7"/>
      <c r="AE69" s="7"/>
      <c r="AF69" s="9" t="str">
        <f t="shared" si="85"/>
        <v>b) Una</v>
      </c>
      <c r="AG69" s="72" t="e">
        <f t="shared" si="86"/>
        <v>#DIV/0!</v>
      </c>
      <c r="AH69" s="72" t="e">
        <f t="shared" si="87"/>
        <v>#DIV/0!</v>
      </c>
      <c r="AI69" s="73" t="e">
        <f t="shared" si="88"/>
        <v>#DIV/0!</v>
      </c>
      <c r="AJ69" s="73"/>
      <c r="AK69" s="76" t="e">
        <f t="shared" si="89"/>
        <v>#DIV/0!</v>
      </c>
      <c r="AL69" s="76" t="e">
        <f t="shared" si="90"/>
        <v>#DIV/0!</v>
      </c>
      <c r="AM69" s="76" t="e">
        <f t="shared" si="91"/>
        <v>#DIV/0!</v>
      </c>
      <c r="AN69" s="76"/>
      <c r="AO69" s="81" t="e">
        <f t="shared" si="92"/>
        <v>#DIV/0!</v>
      </c>
      <c r="AP69" s="81" t="e">
        <f t="shared" si="93"/>
        <v>#DIV/0!</v>
      </c>
      <c r="AQ69" s="81" t="e">
        <f t="shared" si="94"/>
        <v>#DIV/0!</v>
      </c>
      <c r="AR69" s="7"/>
      <c r="AS69" s="76" t="e">
        <f t="shared" si="1"/>
        <v>#DIV/0!</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x14ac:dyDescent="0.3">
      <c r="A70" s="8" t="s">
        <v>20</v>
      </c>
      <c r="B70" s="9" t="s">
        <v>74</v>
      </c>
      <c r="C70" s="7"/>
      <c r="D70" s="7"/>
      <c r="E70" s="7"/>
      <c r="F70" s="71"/>
      <c r="G70" s="51">
        <f t="shared" si="95"/>
        <v>0</v>
      </c>
      <c r="H70" s="52" t="e">
        <f t="shared" si="96"/>
        <v>#DIV/0!</v>
      </c>
      <c r="I70" s="53">
        <f>COUNTIFS('00 Encuesta'!$B$2:$B$511,"*e)*",'00 Encuesta'!$C$2:$C$511,"*a)*",'00 Encuesta'!$E$2:$E$511,"*a)*",'00 Encuesta'!$K$2:$K$511,"*c)*")</f>
        <v>0</v>
      </c>
      <c r="J70" s="52" t="e">
        <f t="shared" si="73"/>
        <v>#DIV/0!</v>
      </c>
      <c r="K70" s="53">
        <f>COUNTIFS('00 Encuesta'!$B$2:$B$511,"*e)*",'00 Encuesta'!$C$2:$C$511,"*a)*",'00 Encuesta'!$E$2:$E$511,"*b)*",'00 Encuesta'!$K$2:$K$511,"*c)*")</f>
        <v>0</v>
      </c>
      <c r="L70" s="52" t="e">
        <f t="shared" si="74"/>
        <v>#DIV/0!</v>
      </c>
      <c r="M70" s="23"/>
      <c r="N70" s="51">
        <f t="shared" si="75"/>
        <v>0</v>
      </c>
      <c r="O70" s="52" t="e">
        <f t="shared" si="76"/>
        <v>#DIV/0!</v>
      </c>
      <c r="P70" s="53">
        <f>COUNTIFS('00 Encuesta'!$B$2:$B$511,"*e)*",'00 Encuesta'!$C$2:$C$511,"*b)*",'00 Encuesta'!$E$2:$E$511,"*a)*",'00 Encuesta'!$K$2:$K$511,"*c)*")</f>
        <v>0</v>
      </c>
      <c r="Q70" s="52" t="e">
        <f t="shared" si="77"/>
        <v>#DIV/0!</v>
      </c>
      <c r="R70" s="53">
        <f>COUNTIFS('00 Encuesta'!$B$2:$B$511,"*e)*",'00 Encuesta'!$C$2:$C$511,"*b)*",'00 Encuesta'!$E$2:$E$511,"*b)*",'00 Encuesta'!$K$2:$K$511,"*c)*")</f>
        <v>0</v>
      </c>
      <c r="S70" s="52" t="e">
        <f t="shared" si="78"/>
        <v>#DIV/0!</v>
      </c>
      <c r="T70" s="3"/>
      <c r="U70" s="51">
        <f t="shared" si="79"/>
        <v>0</v>
      </c>
      <c r="V70" s="52" t="e">
        <f t="shared" si="80"/>
        <v>#DIV/0!</v>
      </c>
      <c r="W70" s="53">
        <f>COUNTIFS('00 Encuesta'!$B$2:$B$511,"*e)*",'00 Encuesta'!$C$2:$C$511,"*c)*",'00 Encuesta'!$E$2:$E$511,"*a)*",'00 Encuesta'!$K$2:$K$511,"*c)*")</f>
        <v>0</v>
      </c>
      <c r="X70" s="52" t="e">
        <f t="shared" si="81"/>
        <v>#DIV/0!</v>
      </c>
      <c r="Y70" s="53">
        <f>COUNTIFS('00 Encuesta'!$B$2:$B$511,"*e)*",'00 Encuesta'!$C$2:$C$511,"*c)*",'00 Encuesta'!$E$2:$E$511,"*b)*",'00 Encuesta'!$K$2:$K$511,"*c)*")</f>
        <v>0</v>
      </c>
      <c r="Z70" s="52" t="e">
        <f t="shared" si="82"/>
        <v>#DIV/0!</v>
      </c>
      <c r="AA70" s="3"/>
      <c r="AB70" s="62">
        <f t="shared" si="83"/>
        <v>0</v>
      </c>
      <c r="AC70" s="52" t="e">
        <f t="shared" si="84"/>
        <v>#DIV/0!</v>
      </c>
      <c r="AD70" s="7"/>
      <c r="AE70" s="7"/>
      <c r="AF70" s="9" t="str">
        <f t="shared" si="85"/>
        <v>c) Dos</v>
      </c>
      <c r="AG70" s="72" t="e">
        <f t="shared" si="86"/>
        <v>#DIV/0!</v>
      </c>
      <c r="AH70" s="72" t="e">
        <f t="shared" si="87"/>
        <v>#DIV/0!</v>
      </c>
      <c r="AI70" s="73" t="e">
        <f t="shared" si="88"/>
        <v>#DIV/0!</v>
      </c>
      <c r="AJ70" s="73"/>
      <c r="AK70" s="76" t="e">
        <f t="shared" si="89"/>
        <v>#DIV/0!</v>
      </c>
      <c r="AL70" s="76" t="e">
        <f t="shared" si="90"/>
        <v>#DIV/0!</v>
      </c>
      <c r="AM70" s="76" t="e">
        <f t="shared" si="91"/>
        <v>#DIV/0!</v>
      </c>
      <c r="AN70" s="76"/>
      <c r="AO70" s="81" t="e">
        <f t="shared" si="92"/>
        <v>#DIV/0!</v>
      </c>
      <c r="AP70" s="81" t="e">
        <f t="shared" si="93"/>
        <v>#DIV/0!</v>
      </c>
      <c r="AQ70" s="81" t="e">
        <f t="shared" si="94"/>
        <v>#DIV/0!</v>
      </c>
      <c r="AR70" s="7"/>
      <c r="AS70" s="76" t="e">
        <f t="shared" si="1"/>
        <v>#DIV/0!</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x14ac:dyDescent="0.3">
      <c r="A71" s="8" t="s">
        <v>21</v>
      </c>
      <c r="B71" s="9" t="s">
        <v>75</v>
      </c>
      <c r="C71" s="7"/>
      <c r="D71" s="7"/>
      <c r="E71" s="7"/>
      <c r="F71" s="71"/>
      <c r="G71" s="51">
        <f t="shared" si="95"/>
        <v>0</v>
      </c>
      <c r="H71" s="52" t="e">
        <f t="shared" si="96"/>
        <v>#DIV/0!</v>
      </c>
      <c r="I71" s="53">
        <f>COUNTIFS('00 Encuesta'!$B$2:$B$511,"*e)*",'00 Encuesta'!$C$2:$C$511,"*a)*",'00 Encuesta'!$E$2:$E$511,"*a)*",'00 Encuesta'!$K$2:$K$511,"*d)*")</f>
        <v>0</v>
      </c>
      <c r="J71" s="52" t="e">
        <f t="shared" si="73"/>
        <v>#DIV/0!</v>
      </c>
      <c r="K71" s="53">
        <f>COUNTIFS('00 Encuesta'!$B$2:$B$511,"*e)*",'00 Encuesta'!$C$2:$C$511,"*a)*",'00 Encuesta'!$E$2:$E$511,"*b)*",'00 Encuesta'!$K$2:$K$511,"*d)*")</f>
        <v>0</v>
      </c>
      <c r="L71" s="52" t="e">
        <f t="shared" si="74"/>
        <v>#DIV/0!</v>
      </c>
      <c r="M71" s="23"/>
      <c r="N71" s="51">
        <f t="shared" si="75"/>
        <v>0</v>
      </c>
      <c r="O71" s="52" t="e">
        <f t="shared" si="76"/>
        <v>#DIV/0!</v>
      </c>
      <c r="P71" s="53">
        <f>COUNTIFS('00 Encuesta'!$B$2:$B$511,"*e)*",'00 Encuesta'!$C$2:$C$511,"*b)*",'00 Encuesta'!$E$2:$E$511,"*a)*",'00 Encuesta'!$K$2:$K$511,"*d)*")</f>
        <v>0</v>
      </c>
      <c r="Q71" s="52" t="e">
        <f t="shared" si="77"/>
        <v>#DIV/0!</v>
      </c>
      <c r="R71" s="53">
        <f>COUNTIFS('00 Encuesta'!$B$2:$B$511,"*e)*",'00 Encuesta'!$C$2:$C$511,"*b)*",'00 Encuesta'!$E$2:$E$511,"*b)*",'00 Encuesta'!$K$2:$K$511,"*d)*")</f>
        <v>0</v>
      </c>
      <c r="S71" s="52" t="e">
        <f t="shared" si="78"/>
        <v>#DIV/0!</v>
      </c>
      <c r="T71" s="3"/>
      <c r="U71" s="51">
        <f t="shared" si="79"/>
        <v>0</v>
      </c>
      <c r="V71" s="52" t="e">
        <f t="shared" si="80"/>
        <v>#DIV/0!</v>
      </c>
      <c r="W71" s="53">
        <f>COUNTIFS('00 Encuesta'!$B$2:$B$511,"*e)*",'00 Encuesta'!$C$2:$C$511,"*c)*",'00 Encuesta'!$E$2:$E$511,"*a)*",'00 Encuesta'!$K$2:$K$511,"*d)*")</f>
        <v>0</v>
      </c>
      <c r="X71" s="52" t="e">
        <f t="shared" si="81"/>
        <v>#DIV/0!</v>
      </c>
      <c r="Y71" s="53">
        <f>COUNTIFS('00 Encuesta'!$B$2:$B$511,"*e)*",'00 Encuesta'!$C$2:$C$511,"*c)*",'00 Encuesta'!$E$2:$E$511,"*b)*",'00 Encuesta'!$K$2:$K$511,"*d)*")</f>
        <v>0</v>
      </c>
      <c r="Z71" s="52" t="e">
        <f t="shared" si="82"/>
        <v>#DIV/0!</v>
      </c>
      <c r="AA71" s="3"/>
      <c r="AB71" s="62">
        <f t="shared" si="83"/>
        <v>0</v>
      </c>
      <c r="AC71" s="52" t="e">
        <f t="shared" si="84"/>
        <v>#DIV/0!</v>
      </c>
      <c r="AD71" s="7"/>
      <c r="AE71" s="7"/>
      <c r="AF71" s="9" t="str">
        <f t="shared" si="85"/>
        <v>d) Tres</v>
      </c>
      <c r="AG71" s="72" t="e">
        <f t="shared" si="86"/>
        <v>#DIV/0!</v>
      </c>
      <c r="AH71" s="72" t="e">
        <f t="shared" si="87"/>
        <v>#DIV/0!</v>
      </c>
      <c r="AI71" s="73" t="e">
        <f t="shared" si="88"/>
        <v>#DIV/0!</v>
      </c>
      <c r="AJ71" s="73"/>
      <c r="AK71" s="76" t="e">
        <f t="shared" si="89"/>
        <v>#DIV/0!</v>
      </c>
      <c r="AL71" s="76" t="e">
        <f t="shared" si="90"/>
        <v>#DIV/0!</v>
      </c>
      <c r="AM71" s="76" t="e">
        <f t="shared" si="91"/>
        <v>#DIV/0!</v>
      </c>
      <c r="AN71" s="76"/>
      <c r="AO71" s="81" t="e">
        <f t="shared" si="92"/>
        <v>#DIV/0!</v>
      </c>
      <c r="AP71" s="81" t="e">
        <f t="shared" si="93"/>
        <v>#DIV/0!</v>
      </c>
      <c r="AQ71" s="81" t="e">
        <f t="shared" si="94"/>
        <v>#DIV/0!</v>
      </c>
      <c r="AR71" s="7"/>
      <c r="AS71" s="76" t="e">
        <f t="shared" si="1"/>
        <v>#DIV/0!</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x14ac:dyDescent="0.3">
      <c r="A72" s="8" t="s">
        <v>22</v>
      </c>
      <c r="B72" s="9" t="s">
        <v>76</v>
      </c>
      <c r="C72" s="7"/>
      <c r="D72" s="7"/>
      <c r="E72" s="7"/>
      <c r="F72" s="71"/>
      <c r="G72" s="51">
        <f t="shared" si="95"/>
        <v>0</v>
      </c>
      <c r="H72" s="52" t="e">
        <f t="shared" si="96"/>
        <v>#DIV/0!</v>
      </c>
      <c r="I72" s="53">
        <f>COUNTIFS('00 Encuesta'!$B$2:$B$511,"*e)*",'00 Encuesta'!$C$2:$C$511,"*a)*",'00 Encuesta'!$E$2:$E$511,"*a)*",'00 Encuesta'!$K$2:$K$511,"*e)*")</f>
        <v>0</v>
      </c>
      <c r="J72" s="52" t="e">
        <f t="shared" si="73"/>
        <v>#DIV/0!</v>
      </c>
      <c r="K72" s="53">
        <f>COUNTIFS('00 Encuesta'!$B$2:$B$511,"*e)*",'00 Encuesta'!$C$2:$C$511,"*a)*",'00 Encuesta'!$E$2:$E$511,"*b)*",'00 Encuesta'!$K$2:$K$511,"*e)*")</f>
        <v>0</v>
      </c>
      <c r="L72" s="52" t="e">
        <f t="shared" si="74"/>
        <v>#DIV/0!</v>
      </c>
      <c r="M72" s="23"/>
      <c r="N72" s="51">
        <f t="shared" si="75"/>
        <v>0</v>
      </c>
      <c r="O72" s="52" t="e">
        <f t="shared" si="76"/>
        <v>#DIV/0!</v>
      </c>
      <c r="P72" s="53">
        <f>COUNTIFS('00 Encuesta'!$B$2:$B$511,"*e)*",'00 Encuesta'!$C$2:$C$511,"*b)*",'00 Encuesta'!$E$2:$E$511,"*a)*",'00 Encuesta'!$K$2:$K$511,"*e)*")</f>
        <v>0</v>
      </c>
      <c r="Q72" s="52" t="e">
        <f t="shared" si="77"/>
        <v>#DIV/0!</v>
      </c>
      <c r="R72" s="53">
        <f>COUNTIFS('00 Encuesta'!$B$2:$B$511,"*e)*",'00 Encuesta'!$C$2:$C$511,"*b)*",'00 Encuesta'!$E$2:$E$511,"*b)*",'00 Encuesta'!$K$2:$K$511,"*e)*")</f>
        <v>0</v>
      </c>
      <c r="S72" s="52" t="e">
        <f t="shared" si="78"/>
        <v>#DIV/0!</v>
      </c>
      <c r="T72" s="3"/>
      <c r="U72" s="51">
        <f t="shared" si="79"/>
        <v>0</v>
      </c>
      <c r="V72" s="52" t="e">
        <f t="shared" si="80"/>
        <v>#DIV/0!</v>
      </c>
      <c r="W72" s="53">
        <f>COUNTIFS('00 Encuesta'!$B$2:$B$511,"*e)*",'00 Encuesta'!$C$2:$C$511,"*c)*",'00 Encuesta'!$E$2:$E$511,"*a)*",'00 Encuesta'!$K$2:$K$511,"*e)*")</f>
        <v>0</v>
      </c>
      <c r="X72" s="52" t="e">
        <f t="shared" si="81"/>
        <v>#DIV/0!</v>
      </c>
      <c r="Y72" s="53">
        <f>COUNTIFS('00 Encuesta'!$B$2:$B$511,"*e)*",'00 Encuesta'!$C$2:$C$511,"*c)*",'00 Encuesta'!$E$2:$E$511,"*b)*",'00 Encuesta'!$K$2:$K$511,"*e)*")</f>
        <v>0</v>
      </c>
      <c r="Z72" s="52" t="e">
        <f t="shared" si="82"/>
        <v>#DIV/0!</v>
      </c>
      <c r="AA72" s="3"/>
      <c r="AB72" s="62">
        <f t="shared" si="83"/>
        <v>0</v>
      </c>
      <c r="AC72" s="52" t="e">
        <f t="shared" si="84"/>
        <v>#DIV/0!</v>
      </c>
      <c r="AD72" s="7"/>
      <c r="AE72" s="7"/>
      <c r="AF72" s="9" t="str">
        <f t="shared" si="85"/>
        <v>e) Cuatro</v>
      </c>
      <c r="AG72" s="72" t="e">
        <f t="shared" si="86"/>
        <v>#DIV/0!</v>
      </c>
      <c r="AH72" s="72" t="e">
        <f t="shared" si="87"/>
        <v>#DIV/0!</v>
      </c>
      <c r="AI72" s="73" t="e">
        <f t="shared" si="88"/>
        <v>#DIV/0!</v>
      </c>
      <c r="AJ72" s="73"/>
      <c r="AK72" s="76" t="e">
        <f t="shared" si="89"/>
        <v>#DIV/0!</v>
      </c>
      <c r="AL72" s="76" t="e">
        <f t="shared" si="90"/>
        <v>#DIV/0!</v>
      </c>
      <c r="AM72" s="76" t="e">
        <f t="shared" si="91"/>
        <v>#DIV/0!</v>
      </c>
      <c r="AN72" s="76"/>
      <c r="AO72" s="81" t="e">
        <f t="shared" si="92"/>
        <v>#DIV/0!</v>
      </c>
      <c r="AP72" s="81" t="e">
        <f t="shared" si="93"/>
        <v>#DIV/0!</v>
      </c>
      <c r="AQ72" s="81" t="e">
        <f t="shared" si="94"/>
        <v>#DIV/0!</v>
      </c>
      <c r="AR72" s="7"/>
      <c r="AS72" s="76" t="e">
        <f t="shared" si="1"/>
        <v>#DIV/0!</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0</v>
      </c>
      <c r="H73" s="52" t="e">
        <f t="shared" si="96"/>
        <v>#DIV/0!</v>
      </c>
      <c r="I73" s="53">
        <f>COUNTIFS('00 Encuesta'!$B$2:$B$511,"*e)*",'00 Encuesta'!$C$2:$C$511,"*a)*",'00 Encuesta'!$E$2:$E$511,"*a)*",'00 Encuesta'!$K$2:$K$511,"*f)*")</f>
        <v>0</v>
      </c>
      <c r="J73" s="52" t="e">
        <f t="shared" si="73"/>
        <v>#DIV/0!</v>
      </c>
      <c r="K73" s="53">
        <f>COUNTIFS('00 Encuesta'!$B$2:$B$511,"*e)*",'00 Encuesta'!$C$2:$C$511,"*a)*",'00 Encuesta'!$E$2:$E$511,"*b)*",'00 Encuesta'!$K$2:$K$511,"*f)*")</f>
        <v>0</v>
      </c>
      <c r="L73" s="52" t="e">
        <f t="shared" si="74"/>
        <v>#DIV/0!</v>
      </c>
      <c r="M73" s="23"/>
      <c r="N73" s="51">
        <f t="shared" si="75"/>
        <v>0</v>
      </c>
      <c r="O73" s="52" t="e">
        <f t="shared" si="76"/>
        <v>#DIV/0!</v>
      </c>
      <c r="P73" s="53">
        <f>COUNTIFS('00 Encuesta'!$B$2:$B$511,"*e)*",'00 Encuesta'!$C$2:$C$511,"*b)*",'00 Encuesta'!$E$2:$E$511,"*a)*",'00 Encuesta'!$K$2:$K$511,"*f)*")</f>
        <v>0</v>
      </c>
      <c r="Q73" s="52" t="e">
        <f t="shared" si="77"/>
        <v>#DIV/0!</v>
      </c>
      <c r="R73" s="53">
        <f>COUNTIFS('00 Encuesta'!$B$2:$B$511,"*e)*",'00 Encuesta'!$C$2:$C$511,"*b)*",'00 Encuesta'!$E$2:$E$511,"*b)*",'00 Encuesta'!$K$2:$K$511,"*f)*")</f>
        <v>0</v>
      </c>
      <c r="S73" s="52" t="e">
        <f t="shared" si="78"/>
        <v>#DIV/0!</v>
      </c>
      <c r="T73" s="3"/>
      <c r="U73" s="51">
        <f t="shared" si="79"/>
        <v>0</v>
      </c>
      <c r="V73" s="52" t="e">
        <f t="shared" si="80"/>
        <v>#DIV/0!</v>
      </c>
      <c r="W73" s="53">
        <f>COUNTIFS('00 Encuesta'!$B$2:$B$511,"*e)*",'00 Encuesta'!$C$2:$C$511,"*c)*",'00 Encuesta'!$E$2:$E$511,"*a)*",'00 Encuesta'!$K$2:$K$511,"*f)*")</f>
        <v>0</v>
      </c>
      <c r="X73" s="52" t="e">
        <f t="shared" si="81"/>
        <v>#DIV/0!</v>
      </c>
      <c r="Y73" s="53">
        <f>COUNTIFS('00 Encuesta'!$B$2:$B$511,"*e)*",'00 Encuesta'!$C$2:$C$511,"*c)*",'00 Encuesta'!$E$2:$E$511,"*b)*",'00 Encuesta'!$K$2:$K$511,"*f)*")</f>
        <v>0</v>
      </c>
      <c r="Z73" s="52" t="e">
        <f t="shared" si="82"/>
        <v>#DIV/0!</v>
      </c>
      <c r="AA73" s="3"/>
      <c r="AB73" s="62">
        <f t="shared" si="83"/>
        <v>0</v>
      </c>
      <c r="AC73" s="52" t="e">
        <f t="shared" si="84"/>
        <v>#DIV/0!</v>
      </c>
      <c r="AD73" s="7"/>
      <c r="AE73" s="7"/>
      <c r="AF73" s="9" t="str">
        <f t="shared" si="85"/>
        <v>f) Más de cuatro</v>
      </c>
      <c r="AG73" s="72" t="e">
        <f t="shared" si="86"/>
        <v>#DIV/0!</v>
      </c>
      <c r="AH73" s="72" t="e">
        <f t="shared" si="87"/>
        <v>#DIV/0!</v>
      </c>
      <c r="AI73" s="73" t="e">
        <f t="shared" si="88"/>
        <v>#DIV/0!</v>
      </c>
      <c r="AJ73" s="73"/>
      <c r="AK73" s="76" t="e">
        <f t="shared" si="89"/>
        <v>#DIV/0!</v>
      </c>
      <c r="AL73" s="76" t="e">
        <f t="shared" si="90"/>
        <v>#DIV/0!</v>
      </c>
      <c r="AM73" s="76" t="e">
        <f t="shared" si="91"/>
        <v>#DIV/0!</v>
      </c>
      <c r="AN73" s="76"/>
      <c r="AO73" s="81" t="e">
        <f t="shared" si="92"/>
        <v>#DIV/0!</v>
      </c>
      <c r="AP73" s="81" t="e">
        <f t="shared" si="93"/>
        <v>#DIV/0!</v>
      </c>
      <c r="AQ73" s="81" t="e">
        <f t="shared" si="94"/>
        <v>#DIV/0!</v>
      </c>
      <c r="AR73" s="7"/>
      <c r="AS73" s="76" t="e">
        <f t="shared" si="1"/>
        <v>#DIV/0!</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x14ac:dyDescent="0.3">
      <c r="A74" s="8" t="s">
        <v>23</v>
      </c>
      <c r="B74" s="9" t="s">
        <v>24</v>
      </c>
      <c r="C74" s="7"/>
      <c r="D74" s="7"/>
      <c r="E74" s="7"/>
      <c r="F74" s="71"/>
      <c r="G74" s="51">
        <f t="shared" si="95"/>
        <v>0</v>
      </c>
      <c r="H74" s="52" t="e">
        <f t="shared" si="96"/>
        <v>#DIV/0!</v>
      </c>
      <c r="I74" s="53"/>
      <c r="J74" s="52" t="e">
        <f t="shared" si="73"/>
        <v>#DIV/0!</v>
      </c>
      <c r="K74" s="53"/>
      <c r="L74" s="52" t="e">
        <f t="shared" si="74"/>
        <v>#DIV/0!</v>
      </c>
      <c r="M74" s="23"/>
      <c r="N74" s="51">
        <f t="shared" si="75"/>
        <v>0</v>
      </c>
      <c r="O74" s="52" t="e">
        <f t="shared" si="76"/>
        <v>#DIV/0!</v>
      </c>
      <c r="P74" s="53"/>
      <c r="Q74" s="52" t="e">
        <f t="shared" si="77"/>
        <v>#DIV/0!</v>
      </c>
      <c r="R74" s="53"/>
      <c r="S74" s="52" t="e">
        <f t="shared" si="78"/>
        <v>#DIV/0!</v>
      </c>
      <c r="T74" s="3"/>
      <c r="U74" s="51">
        <f t="shared" si="79"/>
        <v>0</v>
      </c>
      <c r="V74" s="52" t="e">
        <f t="shared" si="80"/>
        <v>#DIV/0!</v>
      </c>
      <c r="W74" s="53"/>
      <c r="X74" s="52" t="e">
        <f t="shared" si="81"/>
        <v>#DIV/0!</v>
      </c>
      <c r="Y74" s="53"/>
      <c r="Z74" s="52" t="e">
        <f t="shared" si="82"/>
        <v>#DIV/0!</v>
      </c>
      <c r="AA74" s="3"/>
      <c r="AB74" s="62">
        <f t="shared" si="83"/>
        <v>0</v>
      </c>
      <c r="AC74" s="52" t="e">
        <f t="shared" si="84"/>
        <v>#DIV/0!</v>
      </c>
      <c r="AD74" s="7"/>
      <c r="AE74" s="7"/>
      <c r="AF74" s="9" t="str">
        <f t="shared" si="85"/>
        <v>S/R Sin Respuesta</v>
      </c>
      <c r="AG74" s="72" t="e">
        <f t="shared" si="86"/>
        <v>#DIV/0!</v>
      </c>
      <c r="AH74" s="72" t="e">
        <f t="shared" si="87"/>
        <v>#DIV/0!</v>
      </c>
      <c r="AI74" s="73" t="e">
        <f t="shared" si="88"/>
        <v>#DIV/0!</v>
      </c>
      <c r="AJ74" s="73"/>
      <c r="AK74" s="76" t="e">
        <f t="shared" si="89"/>
        <v>#DIV/0!</v>
      </c>
      <c r="AL74" s="76" t="e">
        <f t="shared" si="90"/>
        <v>#DIV/0!</v>
      </c>
      <c r="AM74" s="76" t="e">
        <f t="shared" si="91"/>
        <v>#DIV/0!</v>
      </c>
      <c r="AN74" s="76"/>
      <c r="AO74" s="81" t="e">
        <f t="shared" si="92"/>
        <v>#DIV/0!</v>
      </c>
      <c r="AP74" s="81" t="e">
        <f t="shared" si="93"/>
        <v>#DIV/0!</v>
      </c>
      <c r="AQ74" s="81" t="e">
        <f t="shared" si="94"/>
        <v>#DIV/0!</v>
      </c>
      <c r="AR74" s="7"/>
      <c r="AS74" s="76" t="e">
        <f t="shared" si="1"/>
        <v>#DIV/0!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x14ac:dyDescent="0.3">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x14ac:dyDescent="0.3">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x14ac:dyDescent="0.3">
      <c r="A78" s="8" t="s">
        <v>17</v>
      </c>
      <c r="B78" s="9" t="s">
        <v>80</v>
      </c>
      <c r="C78" s="7"/>
      <c r="D78" s="7"/>
      <c r="E78" s="7"/>
      <c r="F78" s="71"/>
      <c r="G78" s="51">
        <f t="shared" ref="G78:G88" si="97">I78+K78</f>
        <v>0</v>
      </c>
      <c r="H78" s="52" t="e">
        <f t="shared" ref="H78:H88" si="98">G78/$J$5*100</f>
        <v>#DIV/0!</v>
      </c>
      <c r="I78" s="53">
        <f>COUNTIFS('00 Encuesta'!$B$2:$B$511,"*e)*",'00 Encuesta'!$C$2:$C$511,"*a)*",'00 Encuesta'!$E$2:$E$511,"*a)*",'00 Encuesta'!$L$2:$L$511,"*a)*")</f>
        <v>0</v>
      </c>
      <c r="J78" s="52" t="e">
        <f t="shared" ref="J78:J88" si="99">I78/$J$6*100</f>
        <v>#DIV/0!</v>
      </c>
      <c r="K78" s="53">
        <f>COUNTIFS('00 Encuesta'!$B$2:$B$511,"*e)*",'00 Encuesta'!$C$2:$C$511,"*a)*",'00 Encuesta'!$E$2:$E$511,"*b)*",'00 Encuesta'!$L$2:$L$511,"*a)*")</f>
        <v>0</v>
      </c>
      <c r="L78" s="52" t="e">
        <f t="shared" ref="L78:L88" si="100">K78/$J$7*100</f>
        <v>#DIV/0!</v>
      </c>
      <c r="M78" s="23"/>
      <c r="N78" s="51">
        <f t="shared" ref="N78:N88" si="101">P78+R78</f>
        <v>0</v>
      </c>
      <c r="O78" s="52" t="e">
        <f t="shared" ref="O78:O88" si="102">N78/$Q$5*100</f>
        <v>#DIV/0!</v>
      </c>
      <c r="P78" s="53">
        <f>COUNTIFS('00 Encuesta'!$B$2:$B$511,"*e)*",'00 Encuesta'!$C$2:$C$511,"*b)*",'00 Encuesta'!$E$2:$E$511,"*a)*",'00 Encuesta'!$L$2:$L$511,"*a)*")</f>
        <v>0</v>
      </c>
      <c r="Q78" s="52" t="e">
        <f t="shared" ref="Q78:Q88" si="103">P78/$Q$6*100</f>
        <v>#DIV/0!</v>
      </c>
      <c r="R78" s="53">
        <f>COUNTIFS('00 Encuesta'!$B$2:$B$511,"*e)*",'00 Encuesta'!$C$2:$C$511,"*b)*",'00 Encuesta'!$E$2:$E$511,"*b)*",'00 Encuesta'!$L$2:$L$511,"*a)*")</f>
        <v>0</v>
      </c>
      <c r="S78" s="52" t="e">
        <f t="shared" ref="S78:S88" si="104">R78/$Q$7*100</f>
        <v>#DIV/0!</v>
      </c>
      <c r="T78" s="3"/>
      <c r="U78" s="51">
        <f t="shared" ref="U78:U88" si="105">W78+Y78</f>
        <v>0</v>
      </c>
      <c r="V78" s="52" t="e">
        <f t="shared" ref="V78:V88" si="106">U78/$X$5*100</f>
        <v>#DIV/0!</v>
      </c>
      <c r="W78" s="53">
        <f>COUNTIFS('00 Encuesta'!$B$2:$B$511,"*e)*",'00 Encuesta'!$C$2:$C$511,"*c)*",'00 Encuesta'!$E$2:$E$511,"*a)*",'00 Encuesta'!$L$2:$L$511,"*a)*")</f>
        <v>0</v>
      </c>
      <c r="X78" s="52" t="e">
        <f>W78/$X$6*100</f>
        <v>#DIV/0!</v>
      </c>
      <c r="Y78" s="53">
        <f>COUNTIFS('00 Encuesta'!$B$2:$B$511,"*e)*",'00 Encuesta'!$C$2:$C$511,"*c)*",'00 Encuesta'!$E$2:$E$511,"*b)*",'00 Encuesta'!$L$2:$L$511,"*a)*")</f>
        <v>0</v>
      </c>
      <c r="Z78" s="52" t="e">
        <f t="shared" ref="Z78:Z88" si="107">Y78/$X$7*100</f>
        <v>#DIV/0!</v>
      </c>
      <c r="AA78" s="3"/>
      <c r="AB78" s="62">
        <f t="shared" ref="AB78:AB88" si="108">G78+N78+U78</f>
        <v>0</v>
      </c>
      <c r="AC78" s="52" t="e">
        <f t="shared" ref="AC78:AC88" si="109">AB78*100/$AC$5</f>
        <v>#DIV/0!</v>
      </c>
      <c r="AD78" s="7"/>
      <c r="AE78" s="7"/>
      <c r="AF78" s="9" t="str">
        <f t="shared" ref="AF78:AF89" si="110">A78&amp;" "&amp;B78</f>
        <v>a) La familia</v>
      </c>
      <c r="AG78" s="72" t="e">
        <f t="shared" ref="AG78:AG89" si="111">J78</f>
        <v>#DIV/0!</v>
      </c>
      <c r="AH78" s="72" t="e">
        <f t="shared" ref="AH78:AH89" si="112">L78</f>
        <v>#DIV/0!</v>
      </c>
      <c r="AI78" s="73" t="e">
        <f t="shared" ref="AI78:AI89" si="113">H78</f>
        <v>#DIV/0!</v>
      </c>
      <c r="AJ78" s="73"/>
      <c r="AK78" s="76" t="e">
        <f t="shared" ref="AK78:AK89" si="114">Q78</f>
        <v>#DIV/0!</v>
      </c>
      <c r="AL78" s="76" t="e">
        <f t="shared" ref="AL78:AL89" si="115">S78</f>
        <v>#DIV/0!</v>
      </c>
      <c r="AM78" s="76" t="e">
        <f t="shared" ref="AM78:AM89" si="116">O78</f>
        <v>#DIV/0!</v>
      </c>
      <c r="AN78" s="76"/>
      <c r="AO78" s="81" t="e">
        <f>X78</f>
        <v>#DIV/0!</v>
      </c>
      <c r="AP78" s="81" t="e">
        <f t="shared" ref="AP78:AP89" si="117">Z78</f>
        <v>#DIV/0!</v>
      </c>
      <c r="AQ78" s="81" t="e">
        <f t="shared" ref="AQ78:AQ89" si="118">V78</f>
        <v>#DIV/0!</v>
      </c>
      <c r="AR78" s="7"/>
      <c r="AS78" s="76" t="e">
        <f t="shared" si="1"/>
        <v>#DIV/0!</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x14ac:dyDescent="0.3">
      <c r="A79" s="8" t="s">
        <v>18</v>
      </c>
      <c r="B79" s="9" t="s">
        <v>81</v>
      </c>
      <c r="C79" s="7"/>
      <c r="D79" s="7"/>
      <c r="E79" s="7"/>
      <c r="F79" s="71"/>
      <c r="G79" s="51">
        <f t="shared" si="97"/>
        <v>0</v>
      </c>
      <c r="H79" s="52" t="e">
        <f t="shared" si="98"/>
        <v>#DIV/0!</v>
      </c>
      <c r="I79" s="53">
        <f>COUNTIFS('00 Encuesta'!$B$2:$B$511,"*e)*",'00 Encuesta'!$C$2:$C$511,"*a)*",'00 Encuesta'!$E$2:$E$511,"*a)*",'00 Encuesta'!$L$2:$L$511,"*b)*")</f>
        <v>0</v>
      </c>
      <c r="J79" s="52" t="e">
        <f t="shared" si="99"/>
        <v>#DIV/0!</v>
      </c>
      <c r="K79" s="53">
        <f>COUNTIFS('00 Encuesta'!$B$2:$B$511,"*e)*",'00 Encuesta'!$C$2:$C$511,"*a)*",'00 Encuesta'!$E$2:$E$511,"*b)*",'00 Encuesta'!$L$2:$L$511,"*b)*")</f>
        <v>0</v>
      </c>
      <c r="L79" s="52" t="e">
        <f t="shared" si="100"/>
        <v>#DIV/0!</v>
      </c>
      <c r="M79" s="23"/>
      <c r="N79" s="51">
        <f t="shared" si="101"/>
        <v>0</v>
      </c>
      <c r="O79" s="52" t="e">
        <f t="shared" si="102"/>
        <v>#DIV/0!</v>
      </c>
      <c r="P79" s="53">
        <f>COUNTIFS('00 Encuesta'!$B$2:$B$511,"*e)*",'00 Encuesta'!$C$2:$C$511,"*b)*",'00 Encuesta'!$E$2:$E$511,"*a)*",'00 Encuesta'!$L$2:$L$511,"*b)*")</f>
        <v>0</v>
      </c>
      <c r="Q79" s="52" t="e">
        <f t="shared" si="103"/>
        <v>#DIV/0!</v>
      </c>
      <c r="R79" s="53">
        <f>COUNTIFS('00 Encuesta'!$B$2:$B$511,"*e)*",'00 Encuesta'!$C$2:$C$511,"*b)*",'00 Encuesta'!$E$2:$E$511,"*b)*",'00 Encuesta'!$L$2:$L$511,"*b)*")</f>
        <v>0</v>
      </c>
      <c r="S79" s="52" t="e">
        <f t="shared" si="104"/>
        <v>#DIV/0!</v>
      </c>
      <c r="T79" s="3"/>
      <c r="U79" s="51">
        <f t="shared" si="105"/>
        <v>0</v>
      </c>
      <c r="V79" s="52" t="e">
        <f t="shared" si="106"/>
        <v>#DIV/0!</v>
      </c>
      <c r="W79" s="53">
        <f>COUNTIFS('00 Encuesta'!$B$2:$B$511,"*e)*",'00 Encuesta'!$C$2:$C$511,"*c)*",'00 Encuesta'!$E$2:$E$511,"*a)*",'00 Encuesta'!$L$2:$L$511,"*b)*")</f>
        <v>0</v>
      </c>
      <c r="X79" s="52" t="e">
        <f t="shared" ref="X79:X88" si="119">W79/$X$6*100</f>
        <v>#DIV/0!</v>
      </c>
      <c r="Y79" s="53">
        <f>COUNTIFS('00 Encuesta'!$B$2:$B$511,"*e)*",'00 Encuesta'!$C$2:$C$511,"*c)*",'00 Encuesta'!$E$2:$E$511,"*b)*",'00 Encuesta'!$L$2:$L$511,"*b)*")</f>
        <v>0</v>
      </c>
      <c r="Z79" s="52" t="e">
        <f t="shared" si="107"/>
        <v>#DIV/0!</v>
      </c>
      <c r="AA79" s="3"/>
      <c r="AB79" s="62">
        <f t="shared" si="108"/>
        <v>0</v>
      </c>
      <c r="AC79" s="52" t="e">
        <f t="shared" si="109"/>
        <v>#DIV/0!</v>
      </c>
      <c r="AD79" s="7"/>
      <c r="AE79" s="7"/>
      <c r="AF79" s="9" t="str">
        <f t="shared" si="110"/>
        <v>b) Los amigos</v>
      </c>
      <c r="AG79" s="72" t="e">
        <f t="shared" si="111"/>
        <v>#DIV/0!</v>
      </c>
      <c r="AH79" s="72" t="e">
        <f t="shared" si="112"/>
        <v>#DIV/0!</v>
      </c>
      <c r="AI79" s="73" t="e">
        <f t="shared" si="113"/>
        <v>#DIV/0!</v>
      </c>
      <c r="AJ79" s="73"/>
      <c r="AK79" s="76" t="e">
        <f t="shared" si="114"/>
        <v>#DIV/0!</v>
      </c>
      <c r="AL79" s="76" t="e">
        <f t="shared" si="115"/>
        <v>#DIV/0!</v>
      </c>
      <c r="AM79" s="76" t="e">
        <f t="shared" si="116"/>
        <v>#DIV/0!</v>
      </c>
      <c r="AN79" s="76"/>
      <c r="AO79" s="81" t="e">
        <f t="shared" ref="AO79:AO89" si="120">X79</f>
        <v>#DIV/0!</v>
      </c>
      <c r="AP79" s="81" t="e">
        <f t="shared" si="117"/>
        <v>#DIV/0!</v>
      </c>
      <c r="AQ79" s="81" t="e">
        <f t="shared" si="118"/>
        <v>#DIV/0!</v>
      </c>
      <c r="AR79" s="7"/>
      <c r="AS79" s="76" t="e">
        <f t="shared" si="1"/>
        <v>#DIV/0!</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x14ac:dyDescent="0.3">
      <c r="A80" s="8" t="s">
        <v>20</v>
      </c>
      <c r="B80" s="9" t="s">
        <v>82</v>
      </c>
      <c r="C80" s="7"/>
      <c r="D80" s="7"/>
      <c r="E80" s="7"/>
      <c r="F80" s="71"/>
      <c r="G80" s="51">
        <f t="shared" si="97"/>
        <v>0</v>
      </c>
      <c r="H80" s="52" t="e">
        <f t="shared" si="98"/>
        <v>#DIV/0!</v>
      </c>
      <c r="I80" s="53">
        <f>COUNTIFS('00 Encuesta'!$B$2:$B$511,"*e)*",'00 Encuesta'!$C$2:$C$511,"*a)*",'00 Encuesta'!$E$2:$E$511,"*a)*",'00 Encuesta'!$L$2:$L$511,"*c)*")</f>
        <v>0</v>
      </c>
      <c r="J80" s="52" t="e">
        <f t="shared" si="99"/>
        <v>#DIV/0!</v>
      </c>
      <c r="K80" s="53">
        <f>COUNTIFS('00 Encuesta'!$B$2:$B$511,"*e)*",'00 Encuesta'!$C$2:$C$511,"*a)*",'00 Encuesta'!$E$2:$E$511,"*b)*",'00 Encuesta'!$L$2:$L$511,"*c)*")</f>
        <v>0</v>
      </c>
      <c r="L80" s="52" t="e">
        <f t="shared" si="100"/>
        <v>#DIV/0!</v>
      </c>
      <c r="M80" s="23"/>
      <c r="N80" s="51">
        <f t="shared" si="101"/>
        <v>0</v>
      </c>
      <c r="O80" s="52" t="e">
        <f t="shared" si="102"/>
        <v>#DIV/0!</v>
      </c>
      <c r="P80" s="53">
        <f>COUNTIFS('00 Encuesta'!$B$2:$B$511,"*e)*",'00 Encuesta'!$C$2:$C$511,"*b)*",'00 Encuesta'!$E$2:$E$511,"*a)*",'00 Encuesta'!$L$2:$L$511,"*c)*")</f>
        <v>0</v>
      </c>
      <c r="Q80" s="52" t="e">
        <f t="shared" si="103"/>
        <v>#DIV/0!</v>
      </c>
      <c r="R80" s="53">
        <f>COUNTIFS('00 Encuesta'!$B$2:$B$511,"*e)*",'00 Encuesta'!$C$2:$C$511,"*b)*",'00 Encuesta'!$E$2:$E$511,"*b)*",'00 Encuesta'!$L$2:$L$511,"*c)*")</f>
        <v>0</v>
      </c>
      <c r="S80" s="52" t="e">
        <f t="shared" si="104"/>
        <v>#DIV/0!</v>
      </c>
      <c r="T80" s="3"/>
      <c r="U80" s="51">
        <f t="shared" si="105"/>
        <v>0</v>
      </c>
      <c r="V80" s="52" t="e">
        <f t="shared" si="106"/>
        <v>#DIV/0!</v>
      </c>
      <c r="W80" s="53">
        <f>COUNTIFS('00 Encuesta'!$B$2:$B$511,"*e)*",'00 Encuesta'!$C$2:$C$511,"*c)*",'00 Encuesta'!$E$2:$E$511,"*a)*",'00 Encuesta'!$L$2:$L$511,"*c)*")</f>
        <v>0</v>
      </c>
      <c r="X80" s="52" t="e">
        <f t="shared" si="119"/>
        <v>#DIV/0!</v>
      </c>
      <c r="Y80" s="53">
        <f>COUNTIFS('00 Encuesta'!$B$2:$B$511,"*e)*",'00 Encuesta'!$C$2:$C$511,"*c)*",'00 Encuesta'!$E$2:$E$511,"*b)*",'00 Encuesta'!$L$2:$L$511,"*c)*")</f>
        <v>0</v>
      </c>
      <c r="Z80" s="52" t="e">
        <f t="shared" si="107"/>
        <v>#DIV/0!</v>
      </c>
      <c r="AA80" s="3"/>
      <c r="AB80" s="62">
        <f t="shared" si="108"/>
        <v>0</v>
      </c>
      <c r="AC80" s="52" t="e">
        <f t="shared" si="109"/>
        <v>#DIV/0!</v>
      </c>
      <c r="AD80" s="7"/>
      <c r="AE80" s="7"/>
      <c r="AF80" s="9" t="str">
        <f t="shared" si="110"/>
        <v>c) Los estudios</v>
      </c>
      <c r="AG80" s="72" t="e">
        <f t="shared" si="111"/>
        <v>#DIV/0!</v>
      </c>
      <c r="AH80" s="72" t="e">
        <f t="shared" si="112"/>
        <v>#DIV/0!</v>
      </c>
      <c r="AI80" s="73" t="e">
        <f t="shared" si="113"/>
        <v>#DIV/0!</v>
      </c>
      <c r="AJ80" s="73"/>
      <c r="AK80" s="76" t="e">
        <f t="shared" si="114"/>
        <v>#DIV/0!</v>
      </c>
      <c r="AL80" s="76" t="e">
        <f t="shared" si="115"/>
        <v>#DIV/0!</v>
      </c>
      <c r="AM80" s="76" t="e">
        <f t="shared" si="116"/>
        <v>#DIV/0!</v>
      </c>
      <c r="AN80" s="76"/>
      <c r="AO80" s="81" t="e">
        <f t="shared" si="120"/>
        <v>#DIV/0!</v>
      </c>
      <c r="AP80" s="81" t="e">
        <f t="shared" si="117"/>
        <v>#DIV/0!</v>
      </c>
      <c r="AQ80" s="81" t="e">
        <f t="shared" si="118"/>
        <v>#DIV/0!</v>
      </c>
      <c r="AR80" s="7"/>
      <c r="AS80" s="76" t="e">
        <f t="shared" ref="AS80:AS141" si="121">AC80</f>
        <v>#DIV/0!</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x14ac:dyDescent="0.3">
      <c r="A81" s="8" t="s">
        <v>21</v>
      </c>
      <c r="B81" s="9" t="s">
        <v>83</v>
      </c>
      <c r="C81" s="7"/>
      <c r="D81" s="7"/>
      <c r="E81" s="7"/>
      <c r="F81" s="71"/>
      <c r="G81" s="51">
        <f t="shared" si="97"/>
        <v>0</v>
      </c>
      <c r="H81" s="52" t="e">
        <f t="shared" si="98"/>
        <v>#DIV/0!</v>
      </c>
      <c r="I81" s="53">
        <f>COUNTIFS('00 Encuesta'!$B$2:$B$511,"*e)*",'00 Encuesta'!$C$2:$C$511,"*a)*",'00 Encuesta'!$E$2:$E$511,"*a)*",'00 Encuesta'!$L$2:$L$511,"*d)*")</f>
        <v>0</v>
      </c>
      <c r="J81" s="52" t="e">
        <f t="shared" si="99"/>
        <v>#DIV/0!</v>
      </c>
      <c r="K81" s="53">
        <f>COUNTIFS('00 Encuesta'!$B$2:$B$511,"*e)*",'00 Encuesta'!$C$2:$C$511,"*a)*",'00 Encuesta'!$E$2:$E$511,"*b)*",'00 Encuesta'!$L$2:$L$511,"*d)*")</f>
        <v>0</v>
      </c>
      <c r="L81" s="52" t="e">
        <f t="shared" si="100"/>
        <v>#DIV/0!</v>
      </c>
      <c r="M81" s="23"/>
      <c r="N81" s="51">
        <f t="shared" si="101"/>
        <v>0</v>
      </c>
      <c r="O81" s="52" t="e">
        <f t="shared" si="102"/>
        <v>#DIV/0!</v>
      </c>
      <c r="P81" s="53">
        <f>COUNTIFS('00 Encuesta'!$B$2:$B$511,"*e)*",'00 Encuesta'!$C$2:$C$511,"*b)*",'00 Encuesta'!$E$2:$E$511,"*a)*",'00 Encuesta'!$L$2:$L$511,"*d)*")</f>
        <v>0</v>
      </c>
      <c r="Q81" s="52" t="e">
        <f t="shared" si="103"/>
        <v>#DIV/0!</v>
      </c>
      <c r="R81" s="53">
        <f>COUNTIFS('00 Encuesta'!$B$2:$B$511,"*e)*",'00 Encuesta'!$C$2:$C$511,"*b)*",'00 Encuesta'!$E$2:$E$511,"*b)*",'00 Encuesta'!$L$2:$L$511,"*d)*")</f>
        <v>0</v>
      </c>
      <c r="S81" s="52" t="e">
        <f t="shared" si="104"/>
        <v>#DIV/0!</v>
      </c>
      <c r="T81" s="3"/>
      <c r="U81" s="51">
        <f t="shared" si="105"/>
        <v>0</v>
      </c>
      <c r="V81" s="52" t="e">
        <f t="shared" si="106"/>
        <v>#DIV/0!</v>
      </c>
      <c r="W81" s="53">
        <f>COUNTIFS('00 Encuesta'!$B$2:$B$511,"*e)*",'00 Encuesta'!$C$2:$C$511,"*c)*",'00 Encuesta'!$E$2:$E$511,"*a)*",'00 Encuesta'!$L$2:$L$511,"*d)*")</f>
        <v>0</v>
      </c>
      <c r="X81" s="52" t="e">
        <f t="shared" si="119"/>
        <v>#DIV/0!</v>
      </c>
      <c r="Y81" s="53">
        <f>COUNTIFS('00 Encuesta'!$B$2:$B$511,"*e)*",'00 Encuesta'!$C$2:$C$511,"*c)*",'00 Encuesta'!$E$2:$E$511,"*b)*",'00 Encuesta'!$L$2:$L$511,"*d)*")</f>
        <v>0</v>
      </c>
      <c r="Z81" s="52" t="e">
        <f t="shared" si="107"/>
        <v>#DIV/0!</v>
      </c>
      <c r="AA81" s="3"/>
      <c r="AB81" s="62">
        <f t="shared" si="108"/>
        <v>0</v>
      </c>
      <c r="AC81" s="52" t="e">
        <f t="shared" si="109"/>
        <v>#DIV/0!</v>
      </c>
      <c r="AD81" s="7"/>
      <c r="AE81" s="7"/>
      <c r="AF81" s="9" t="str">
        <f t="shared" si="110"/>
        <v>d) El cuidado de mi cuerpo</v>
      </c>
      <c r="AG81" s="72" t="e">
        <f t="shared" si="111"/>
        <v>#DIV/0!</v>
      </c>
      <c r="AH81" s="72" t="e">
        <f t="shared" si="112"/>
        <v>#DIV/0!</v>
      </c>
      <c r="AI81" s="73" t="e">
        <f t="shared" si="113"/>
        <v>#DIV/0!</v>
      </c>
      <c r="AJ81" s="73"/>
      <c r="AK81" s="76" t="e">
        <f t="shared" si="114"/>
        <v>#DIV/0!</v>
      </c>
      <c r="AL81" s="76" t="e">
        <f t="shared" si="115"/>
        <v>#DIV/0!</v>
      </c>
      <c r="AM81" s="76" t="e">
        <f t="shared" si="116"/>
        <v>#DIV/0!</v>
      </c>
      <c r="AN81" s="76"/>
      <c r="AO81" s="81" t="e">
        <f t="shared" si="120"/>
        <v>#DIV/0!</v>
      </c>
      <c r="AP81" s="81" t="e">
        <f t="shared" si="117"/>
        <v>#DIV/0!</v>
      </c>
      <c r="AQ81" s="81" t="e">
        <f t="shared" si="118"/>
        <v>#DIV/0!</v>
      </c>
      <c r="AR81" s="7"/>
      <c r="AS81" s="76" t="e">
        <f t="shared" si="121"/>
        <v>#DIV/0!</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x14ac:dyDescent="0.3">
      <c r="A82" s="8" t="s">
        <v>22</v>
      </c>
      <c r="B82" s="9" t="s">
        <v>84</v>
      </c>
      <c r="C82" s="7"/>
      <c r="D82" s="7"/>
      <c r="E82" s="56"/>
      <c r="F82" s="71"/>
      <c r="G82" s="51">
        <f t="shared" si="97"/>
        <v>0</v>
      </c>
      <c r="H82" s="52" t="e">
        <f t="shared" si="98"/>
        <v>#DIV/0!</v>
      </c>
      <c r="I82" s="53">
        <f>COUNTIFS('00 Encuesta'!$B$2:$B$511,"*e)*",'00 Encuesta'!$C$2:$C$511,"*a)*",'00 Encuesta'!$E$2:$E$511,"*a)*",'00 Encuesta'!$L$2:$L$511,"*e)*")</f>
        <v>0</v>
      </c>
      <c r="J82" s="52" t="e">
        <f t="shared" si="99"/>
        <v>#DIV/0!</v>
      </c>
      <c r="K82" s="53">
        <f>COUNTIFS('00 Encuesta'!$B$2:$B$511,"*e)*",'00 Encuesta'!$C$2:$C$511,"*a)*",'00 Encuesta'!$E$2:$E$511,"*b)*",'00 Encuesta'!$L$2:$L$511,"*e)*")</f>
        <v>0</v>
      </c>
      <c r="L82" s="52" t="e">
        <f t="shared" si="100"/>
        <v>#DIV/0!</v>
      </c>
      <c r="M82" s="23"/>
      <c r="N82" s="51">
        <f t="shared" si="101"/>
        <v>0</v>
      </c>
      <c r="O82" s="52" t="e">
        <f t="shared" si="102"/>
        <v>#DIV/0!</v>
      </c>
      <c r="P82" s="53">
        <f>COUNTIFS('00 Encuesta'!$B$2:$B$511,"*e)*",'00 Encuesta'!$C$2:$C$511,"*b)*",'00 Encuesta'!$E$2:$E$511,"*a)*",'00 Encuesta'!$L$2:$L$511,"*e)*")</f>
        <v>0</v>
      </c>
      <c r="Q82" s="52" t="e">
        <f t="shared" si="103"/>
        <v>#DIV/0!</v>
      </c>
      <c r="R82" s="53">
        <f>COUNTIFS('00 Encuesta'!$B$2:$B$511,"*e)*",'00 Encuesta'!$C$2:$C$511,"*b)*",'00 Encuesta'!$E$2:$E$511,"*b)*",'00 Encuesta'!$L$2:$L$511,"*e)*")</f>
        <v>0</v>
      </c>
      <c r="S82" s="52" t="e">
        <f t="shared" si="104"/>
        <v>#DIV/0!</v>
      </c>
      <c r="T82" s="3"/>
      <c r="U82" s="51">
        <f t="shared" si="105"/>
        <v>0</v>
      </c>
      <c r="V82" s="52" t="e">
        <f t="shared" si="106"/>
        <v>#DIV/0!</v>
      </c>
      <c r="W82" s="53">
        <f>COUNTIFS('00 Encuesta'!$B$2:$B$511,"*e)*",'00 Encuesta'!$C$2:$C$511,"*c)*",'00 Encuesta'!$E$2:$E$511,"*a)*",'00 Encuesta'!$L$2:$L$511,"*e)*")</f>
        <v>0</v>
      </c>
      <c r="X82" s="52" t="e">
        <f t="shared" si="119"/>
        <v>#DIV/0!</v>
      </c>
      <c r="Y82" s="53">
        <f>COUNTIFS('00 Encuesta'!$B$2:$B$511,"*e)*",'00 Encuesta'!$C$2:$C$511,"*c)*",'00 Encuesta'!$E$2:$E$511,"*b)*",'00 Encuesta'!$L$2:$L$511,"*e)*")</f>
        <v>0</v>
      </c>
      <c r="Z82" s="52" t="e">
        <f t="shared" si="107"/>
        <v>#DIV/0!</v>
      </c>
      <c r="AA82" s="3"/>
      <c r="AB82" s="62">
        <f t="shared" si="108"/>
        <v>0</v>
      </c>
      <c r="AC82" s="52" t="e">
        <f t="shared" si="109"/>
        <v>#DIV/0!</v>
      </c>
      <c r="AD82" s="7"/>
      <c r="AE82" s="7"/>
      <c r="AF82" s="9" t="str">
        <f t="shared" si="110"/>
        <v>e) Disponer de dinero</v>
      </c>
      <c r="AG82" s="72" t="e">
        <f t="shared" si="111"/>
        <v>#DIV/0!</v>
      </c>
      <c r="AH82" s="72" t="e">
        <f t="shared" si="112"/>
        <v>#DIV/0!</v>
      </c>
      <c r="AI82" s="73" t="e">
        <f t="shared" si="113"/>
        <v>#DIV/0!</v>
      </c>
      <c r="AJ82" s="73"/>
      <c r="AK82" s="76" t="e">
        <f t="shared" si="114"/>
        <v>#DIV/0!</v>
      </c>
      <c r="AL82" s="76" t="e">
        <f t="shared" si="115"/>
        <v>#DIV/0!</v>
      </c>
      <c r="AM82" s="76" t="e">
        <f t="shared" si="116"/>
        <v>#DIV/0!</v>
      </c>
      <c r="AN82" s="76"/>
      <c r="AO82" s="81" t="e">
        <f t="shared" si="120"/>
        <v>#DIV/0!</v>
      </c>
      <c r="AP82" s="81" t="e">
        <f t="shared" si="117"/>
        <v>#DIV/0!</v>
      </c>
      <c r="AQ82" s="81" t="e">
        <f t="shared" si="118"/>
        <v>#DIV/0!</v>
      </c>
      <c r="AR82" s="7"/>
      <c r="AS82" s="76" t="e">
        <f t="shared" si="121"/>
        <v>#DIV/0!</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x14ac:dyDescent="0.3">
      <c r="A83" s="8" t="s">
        <v>45</v>
      </c>
      <c r="B83" s="9" t="s">
        <v>85</v>
      </c>
      <c r="C83" s="7"/>
      <c r="D83" s="7"/>
      <c r="E83" s="7"/>
      <c r="F83" s="71"/>
      <c r="G83" s="51">
        <f t="shared" si="97"/>
        <v>0</v>
      </c>
      <c r="H83" s="52" t="e">
        <f t="shared" si="98"/>
        <v>#DIV/0!</v>
      </c>
      <c r="I83" s="53">
        <f>COUNTIFS('00 Encuesta'!$B$2:$B$511,"*e)*",'00 Encuesta'!$C$2:$C$511,"*a)*",'00 Encuesta'!$E$2:$E$511,"*a)*",'00 Encuesta'!$L$2:$L$511,"*f)*")</f>
        <v>0</v>
      </c>
      <c r="J83" s="52" t="e">
        <f t="shared" si="99"/>
        <v>#DIV/0!</v>
      </c>
      <c r="K83" s="53">
        <f>COUNTIFS('00 Encuesta'!$B$2:$B$511,"*e)*",'00 Encuesta'!$C$2:$C$511,"*a)*",'00 Encuesta'!$E$2:$E$511,"*b)*",'00 Encuesta'!$L$2:$L$511,"*f)*")</f>
        <v>0</v>
      </c>
      <c r="L83" s="52" t="e">
        <f t="shared" si="100"/>
        <v>#DIV/0!</v>
      </c>
      <c r="M83" s="23"/>
      <c r="N83" s="51">
        <f t="shared" si="101"/>
        <v>0</v>
      </c>
      <c r="O83" s="52" t="e">
        <f t="shared" si="102"/>
        <v>#DIV/0!</v>
      </c>
      <c r="P83" s="53">
        <f>COUNTIFS('00 Encuesta'!$B$2:$B$511,"*e)*",'00 Encuesta'!$C$2:$C$511,"*b)*",'00 Encuesta'!$E$2:$E$511,"*a)*",'00 Encuesta'!$L$2:$L$511,"*f)*")</f>
        <v>0</v>
      </c>
      <c r="Q83" s="52" t="e">
        <f t="shared" si="103"/>
        <v>#DIV/0!</v>
      </c>
      <c r="R83" s="53">
        <f>COUNTIFS('00 Encuesta'!$B$2:$B$511,"*e)*",'00 Encuesta'!$C$2:$C$511,"*b)*",'00 Encuesta'!$E$2:$E$511,"*b)*",'00 Encuesta'!$L$2:$L$511,"*f)*")</f>
        <v>0</v>
      </c>
      <c r="S83" s="52" t="e">
        <f t="shared" si="104"/>
        <v>#DIV/0!</v>
      </c>
      <c r="T83" s="3"/>
      <c r="U83" s="51">
        <f t="shared" si="105"/>
        <v>0</v>
      </c>
      <c r="V83" s="52" t="e">
        <f t="shared" si="106"/>
        <v>#DIV/0!</v>
      </c>
      <c r="W83" s="53">
        <f>COUNTIFS('00 Encuesta'!$B$2:$B$511,"*e)*",'00 Encuesta'!$C$2:$C$511,"*c)*",'00 Encuesta'!$E$2:$E$511,"*a)*",'00 Encuesta'!$L$2:$L$511,"*f)*")</f>
        <v>0</v>
      </c>
      <c r="X83" s="52" t="e">
        <f t="shared" si="119"/>
        <v>#DIV/0!</v>
      </c>
      <c r="Y83" s="53">
        <f>COUNTIFS('00 Encuesta'!$B$2:$B$511,"*e)*",'00 Encuesta'!$C$2:$C$511,"*c)*",'00 Encuesta'!$E$2:$E$511,"*b)*",'00 Encuesta'!$L$2:$L$511,"*f)*")</f>
        <v>0</v>
      </c>
      <c r="Z83" s="52" t="e">
        <f t="shared" si="107"/>
        <v>#DIV/0!</v>
      </c>
      <c r="AA83" s="3"/>
      <c r="AB83" s="62">
        <f t="shared" si="108"/>
        <v>0</v>
      </c>
      <c r="AC83" s="52" t="e">
        <f t="shared" si="109"/>
        <v>#DIV/0!</v>
      </c>
      <c r="AD83" s="7"/>
      <c r="AE83" s="7"/>
      <c r="AF83" s="9" t="str">
        <f t="shared" si="110"/>
        <v>f) Mi fe y vida cristiana</v>
      </c>
      <c r="AG83" s="72" t="e">
        <f t="shared" si="111"/>
        <v>#DIV/0!</v>
      </c>
      <c r="AH83" s="72" t="e">
        <f t="shared" si="112"/>
        <v>#DIV/0!</v>
      </c>
      <c r="AI83" s="73" t="e">
        <f t="shared" si="113"/>
        <v>#DIV/0!</v>
      </c>
      <c r="AJ83" s="73"/>
      <c r="AK83" s="76" t="e">
        <f t="shared" si="114"/>
        <v>#DIV/0!</v>
      </c>
      <c r="AL83" s="76" t="e">
        <f t="shared" si="115"/>
        <v>#DIV/0!</v>
      </c>
      <c r="AM83" s="76" t="e">
        <f t="shared" si="116"/>
        <v>#DIV/0!</v>
      </c>
      <c r="AN83" s="76"/>
      <c r="AO83" s="81" t="e">
        <f t="shared" si="120"/>
        <v>#DIV/0!</v>
      </c>
      <c r="AP83" s="81" t="e">
        <f t="shared" si="117"/>
        <v>#DIV/0!</v>
      </c>
      <c r="AQ83" s="81" t="e">
        <f t="shared" si="118"/>
        <v>#DIV/0!</v>
      </c>
      <c r="AR83" s="7"/>
      <c r="AS83" s="76" t="e">
        <f t="shared" si="121"/>
        <v>#DIV/0!</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x14ac:dyDescent="0.3">
      <c r="A84" s="8" t="s">
        <v>61</v>
      </c>
      <c r="B84" s="9" t="s">
        <v>86</v>
      </c>
      <c r="C84" s="7"/>
      <c r="D84" s="7"/>
      <c r="E84" s="7"/>
      <c r="F84" s="71"/>
      <c r="G84" s="51">
        <f t="shared" si="97"/>
        <v>0</v>
      </c>
      <c r="H84" s="52" t="e">
        <f t="shared" si="98"/>
        <v>#DIV/0!</v>
      </c>
      <c r="I84" s="53">
        <f>COUNTIFS('00 Encuesta'!$B$2:$B$511,"*e)*",'00 Encuesta'!$C$2:$C$511,"*a)*",'00 Encuesta'!$E$2:$E$511,"*a)*",'00 Encuesta'!$L$2:$L$511,"*g)*")</f>
        <v>0</v>
      </c>
      <c r="J84" s="52" t="e">
        <f t="shared" si="99"/>
        <v>#DIV/0!</v>
      </c>
      <c r="K84" s="53">
        <f>COUNTIFS('00 Encuesta'!$B$2:$B$511,"*e)*",'00 Encuesta'!$C$2:$C$511,"*a)*",'00 Encuesta'!$E$2:$E$511,"*b)*",'00 Encuesta'!$L$2:$L$511,"*g)*")</f>
        <v>0</v>
      </c>
      <c r="L84" s="52" t="e">
        <f t="shared" si="100"/>
        <v>#DIV/0!</v>
      </c>
      <c r="M84" s="23"/>
      <c r="N84" s="51">
        <f t="shared" si="101"/>
        <v>0</v>
      </c>
      <c r="O84" s="52" t="e">
        <f t="shared" si="102"/>
        <v>#DIV/0!</v>
      </c>
      <c r="P84" s="53">
        <f>COUNTIFS('00 Encuesta'!$B$2:$B$511,"*e)*",'00 Encuesta'!$C$2:$C$511,"*b)*",'00 Encuesta'!$E$2:$E$511,"*a)*",'00 Encuesta'!$L$2:$L$511,"*g)*")</f>
        <v>0</v>
      </c>
      <c r="Q84" s="52" t="e">
        <f t="shared" si="103"/>
        <v>#DIV/0!</v>
      </c>
      <c r="R84" s="53">
        <f>COUNTIFS('00 Encuesta'!$B$2:$B$511,"*e)*",'00 Encuesta'!$C$2:$C$511,"*b)*",'00 Encuesta'!$E$2:$E$511,"*b)*",'00 Encuesta'!$L$2:$L$511,"*g)*")</f>
        <v>0</v>
      </c>
      <c r="S84" s="52" t="e">
        <f t="shared" si="104"/>
        <v>#DIV/0!</v>
      </c>
      <c r="T84" s="3"/>
      <c r="U84" s="51">
        <f t="shared" si="105"/>
        <v>0</v>
      </c>
      <c r="V84" s="52" t="e">
        <f t="shared" si="106"/>
        <v>#DIV/0!</v>
      </c>
      <c r="W84" s="53">
        <f>COUNTIFS('00 Encuesta'!$B$2:$B$511,"*e)*",'00 Encuesta'!$C$2:$C$511,"*c)*",'00 Encuesta'!$E$2:$E$511,"*a)*",'00 Encuesta'!$L$2:$L$511,"*g)*")</f>
        <v>0</v>
      </c>
      <c r="X84" s="52" t="e">
        <f t="shared" si="119"/>
        <v>#DIV/0!</v>
      </c>
      <c r="Y84" s="53">
        <f>COUNTIFS('00 Encuesta'!$B$2:$B$511,"*e)*",'00 Encuesta'!$C$2:$C$511,"*c)*",'00 Encuesta'!$E$2:$E$511,"*b)*",'00 Encuesta'!$L$2:$L$511,"*g)*")</f>
        <v>0</v>
      </c>
      <c r="Z84" s="52" t="e">
        <f t="shared" si="107"/>
        <v>#DIV/0!</v>
      </c>
      <c r="AA84" s="3"/>
      <c r="AB84" s="62">
        <f t="shared" si="108"/>
        <v>0</v>
      </c>
      <c r="AC84" s="52" t="e">
        <f t="shared" si="109"/>
        <v>#DIV/0!</v>
      </c>
      <c r="AD84" s="7"/>
      <c r="AE84" s="7"/>
      <c r="AF84" s="9" t="str">
        <f t="shared" si="110"/>
        <v>g) La felicidad</v>
      </c>
      <c r="AG84" s="72" t="e">
        <f t="shared" si="111"/>
        <v>#DIV/0!</v>
      </c>
      <c r="AH84" s="72" t="e">
        <f t="shared" si="112"/>
        <v>#DIV/0!</v>
      </c>
      <c r="AI84" s="73" t="e">
        <f t="shared" si="113"/>
        <v>#DIV/0!</v>
      </c>
      <c r="AJ84" s="73"/>
      <c r="AK84" s="76" t="e">
        <f t="shared" si="114"/>
        <v>#DIV/0!</v>
      </c>
      <c r="AL84" s="76" t="e">
        <f t="shared" si="115"/>
        <v>#DIV/0!</v>
      </c>
      <c r="AM84" s="76" t="e">
        <f t="shared" si="116"/>
        <v>#DIV/0!</v>
      </c>
      <c r="AN84" s="76"/>
      <c r="AO84" s="81" t="e">
        <f t="shared" si="120"/>
        <v>#DIV/0!</v>
      </c>
      <c r="AP84" s="81" t="e">
        <f t="shared" si="117"/>
        <v>#DIV/0!</v>
      </c>
      <c r="AQ84" s="81" t="e">
        <f t="shared" si="118"/>
        <v>#DIV/0!</v>
      </c>
      <c r="AR84" s="7"/>
      <c r="AS84" s="76" t="e">
        <f t="shared" si="121"/>
        <v>#DIV/0!</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x14ac:dyDescent="0.3">
      <c r="A85" s="8" t="s">
        <v>63</v>
      </c>
      <c r="B85" s="9" t="s">
        <v>87</v>
      </c>
      <c r="C85" s="7"/>
      <c r="D85" s="7"/>
      <c r="E85" s="7"/>
      <c r="F85" s="71"/>
      <c r="G85" s="51">
        <f t="shared" si="97"/>
        <v>0</v>
      </c>
      <c r="H85" s="52" t="e">
        <f t="shared" si="98"/>
        <v>#DIV/0!</v>
      </c>
      <c r="I85" s="53">
        <f>COUNTIFS('00 Encuesta'!$B$2:$B$511,"*e)*",'00 Encuesta'!$C$2:$C$511,"*a)*",'00 Encuesta'!$E$2:$E$511,"*a)*",'00 Encuesta'!$L$2:$L$511,"*h)*")</f>
        <v>0</v>
      </c>
      <c r="J85" s="52" t="e">
        <f t="shared" si="99"/>
        <v>#DIV/0!</v>
      </c>
      <c r="K85" s="53">
        <f>COUNTIFS('00 Encuesta'!$B$2:$B$511,"*e)*",'00 Encuesta'!$C$2:$C$511,"*a)*",'00 Encuesta'!$E$2:$E$511,"*b)*",'00 Encuesta'!$L$2:$L$511,"*h)*")</f>
        <v>0</v>
      </c>
      <c r="L85" s="52" t="e">
        <f t="shared" si="100"/>
        <v>#DIV/0!</v>
      </c>
      <c r="M85" s="23"/>
      <c r="N85" s="51">
        <f t="shared" si="101"/>
        <v>0</v>
      </c>
      <c r="O85" s="52" t="e">
        <f t="shared" si="102"/>
        <v>#DIV/0!</v>
      </c>
      <c r="P85" s="53">
        <f>COUNTIFS('00 Encuesta'!$B$2:$B$511,"*e)*",'00 Encuesta'!$C$2:$C$511,"*b)*",'00 Encuesta'!$E$2:$E$511,"*a)*",'00 Encuesta'!$L$2:$L$511,"*h)*")</f>
        <v>0</v>
      </c>
      <c r="Q85" s="52" t="e">
        <f t="shared" si="103"/>
        <v>#DIV/0!</v>
      </c>
      <c r="R85" s="53">
        <f>COUNTIFS('00 Encuesta'!$B$2:$B$511,"*e)*",'00 Encuesta'!$C$2:$C$511,"*b)*",'00 Encuesta'!$E$2:$E$511,"*b)*",'00 Encuesta'!$L$2:$L$511,"*h)*")</f>
        <v>0</v>
      </c>
      <c r="S85" s="52" t="e">
        <f t="shared" si="104"/>
        <v>#DIV/0!</v>
      </c>
      <c r="T85" s="3"/>
      <c r="U85" s="51">
        <f t="shared" si="105"/>
        <v>0</v>
      </c>
      <c r="V85" s="52" t="e">
        <f t="shared" si="106"/>
        <v>#DIV/0!</v>
      </c>
      <c r="W85" s="53">
        <f>COUNTIFS('00 Encuesta'!$B$2:$B$511,"*e)*",'00 Encuesta'!$C$2:$C$511,"*c)*",'00 Encuesta'!$E$2:$E$511,"*a)*",'00 Encuesta'!$L$2:$L$511,"*h)*")</f>
        <v>0</v>
      </c>
      <c r="X85" s="52" t="e">
        <f t="shared" si="119"/>
        <v>#DIV/0!</v>
      </c>
      <c r="Y85" s="53">
        <f>COUNTIFS('00 Encuesta'!$B$2:$B$511,"*e)*",'00 Encuesta'!$C$2:$C$511,"*c)*",'00 Encuesta'!$E$2:$E$511,"*b)*",'00 Encuesta'!$L$2:$L$511,"*h)*")</f>
        <v>0</v>
      </c>
      <c r="Z85" s="52" t="e">
        <f t="shared" si="107"/>
        <v>#DIV/0!</v>
      </c>
      <c r="AA85" s="3"/>
      <c r="AB85" s="62">
        <f t="shared" si="108"/>
        <v>0</v>
      </c>
      <c r="AC85" s="52" t="e">
        <f t="shared" si="109"/>
        <v>#DIV/0!</v>
      </c>
      <c r="AD85" s="7"/>
      <c r="AE85" s="7"/>
      <c r="AF85" s="9" t="str">
        <f t="shared" si="110"/>
        <v>h) La sexualidad</v>
      </c>
      <c r="AG85" s="72" t="e">
        <f t="shared" si="111"/>
        <v>#DIV/0!</v>
      </c>
      <c r="AH85" s="72" t="e">
        <f t="shared" si="112"/>
        <v>#DIV/0!</v>
      </c>
      <c r="AI85" s="73" t="e">
        <f t="shared" si="113"/>
        <v>#DIV/0!</v>
      </c>
      <c r="AJ85" s="73"/>
      <c r="AK85" s="76" t="e">
        <f t="shared" si="114"/>
        <v>#DIV/0!</v>
      </c>
      <c r="AL85" s="76" t="e">
        <f t="shared" si="115"/>
        <v>#DIV/0!</v>
      </c>
      <c r="AM85" s="76" t="e">
        <f t="shared" si="116"/>
        <v>#DIV/0!</v>
      </c>
      <c r="AN85" s="76"/>
      <c r="AO85" s="81" t="e">
        <f t="shared" si="120"/>
        <v>#DIV/0!</v>
      </c>
      <c r="AP85" s="81" t="e">
        <f t="shared" si="117"/>
        <v>#DIV/0!</v>
      </c>
      <c r="AQ85" s="81" t="e">
        <f t="shared" si="118"/>
        <v>#DIV/0!</v>
      </c>
      <c r="AR85" s="7"/>
      <c r="AS85" s="76" t="e">
        <f t="shared" si="121"/>
        <v>#DIV/0!</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0</v>
      </c>
      <c r="H86" s="52" t="e">
        <f t="shared" si="98"/>
        <v>#DIV/0!</v>
      </c>
      <c r="I86" s="53">
        <f>COUNTIFS('00 Encuesta'!$B$2:$B$511,"*e)*",'00 Encuesta'!$C$2:$C$511,"*a)*",'00 Encuesta'!$E$2:$E$511,"*a)*",'00 Encuesta'!$L$2:$L$511,"*i)*")</f>
        <v>0</v>
      </c>
      <c r="J86" s="52" t="e">
        <f t="shared" si="99"/>
        <v>#DIV/0!</v>
      </c>
      <c r="K86" s="53">
        <f>COUNTIFS('00 Encuesta'!$B$2:$B$511,"*e)*",'00 Encuesta'!$C$2:$C$511,"*a)*",'00 Encuesta'!$E$2:$E$511,"*b)*",'00 Encuesta'!$L$2:$L$511,"*i)*")</f>
        <v>0</v>
      </c>
      <c r="L86" s="52" t="e">
        <f t="shared" si="100"/>
        <v>#DIV/0!</v>
      </c>
      <c r="M86" s="23"/>
      <c r="N86" s="51">
        <f t="shared" si="101"/>
        <v>0</v>
      </c>
      <c r="O86" s="52" t="e">
        <f t="shared" si="102"/>
        <v>#DIV/0!</v>
      </c>
      <c r="P86" s="53">
        <f>COUNTIFS('00 Encuesta'!$B$2:$B$511,"*e)*",'00 Encuesta'!$C$2:$C$511,"*b)*",'00 Encuesta'!$E$2:$E$511,"*a)*",'00 Encuesta'!$L$2:$L$511,"*i)*")</f>
        <v>0</v>
      </c>
      <c r="Q86" s="52" t="e">
        <f t="shared" si="103"/>
        <v>#DIV/0!</v>
      </c>
      <c r="R86" s="53">
        <f>COUNTIFS('00 Encuesta'!$B$2:$B$511,"*e)*",'00 Encuesta'!$C$2:$C$511,"*b)*",'00 Encuesta'!$E$2:$E$511,"*b)*",'00 Encuesta'!$L$2:$L$511,"*i)*")</f>
        <v>0</v>
      </c>
      <c r="S86" s="52" t="e">
        <f t="shared" si="104"/>
        <v>#DIV/0!</v>
      </c>
      <c r="T86" s="3"/>
      <c r="U86" s="51">
        <f t="shared" si="105"/>
        <v>0</v>
      </c>
      <c r="V86" s="52" t="e">
        <f t="shared" si="106"/>
        <v>#DIV/0!</v>
      </c>
      <c r="W86" s="53">
        <f>COUNTIFS('00 Encuesta'!$B$2:$B$511,"*e)*",'00 Encuesta'!$C$2:$C$511,"*c)*",'00 Encuesta'!$E$2:$E$511,"*a)*",'00 Encuesta'!$L$2:$L$511,"*i)*")</f>
        <v>0</v>
      </c>
      <c r="X86" s="52" t="e">
        <f t="shared" si="119"/>
        <v>#DIV/0!</v>
      </c>
      <c r="Y86" s="53">
        <f>COUNTIFS('00 Encuesta'!$B$2:$B$511,"*e)*",'00 Encuesta'!$C$2:$C$511,"*c)*",'00 Encuesta'!$E$2:$E$511,"*b)*",'00 Encuesta'!$L$2:$L$511,"*i)*")</f>
        <v>0</v>
      </c>
      <c r="Z86" s="52" t="e">
        <f t="shared" si="107"/>
        <v>#DIV/0!</v>
      </c>
      <c r="AA86" s="3"/>
      <c r="AB86" s="62">
        <f t="shared" si="108"/>
        <v>0</v>
      </c>
      <c r="AC86" s="52" t="e">
        <f t="shared" si="109"/>
        <v>#DIV/0!</v>
      </c>
      <c r="AD86" s="7"/>
      <c r="AE86" s="7"/>
      <c r="AF86" s="9" t="str">
        <f t="shared" si="110"/>
        <v>i) La música</v>
      </c>
      <c r="AG86" s="72" t="e">
        <f t="shared" si="111"/>
        <v>#DIV/0!</v>
      </c>
      <c r="AH86" s="72" t="e">
        <f t="shared" si="112"/>
        <v>#DIV/0!</v>
      </c>
      <c r="AI86" s="73" t="e">
        <f t="shared" si="113"/>
        <v>#DIV/0!</v>
      </c>
      <c r="AJ86" s="73"/>
      <c r="AK86" s="76" t="e">
        <f t="shared" si="114"/>
        <v>#DIV/0!</v>
      </c>
      <c r="AL86" s="76" t="e">
        <f t="shared" si="115"/>
        <v>#DIV/0!</v>
      </c>
      <c r="AM86" s="76" t="e">
        <f t="shared" si="116"/>
        <v>#DIV/0!</v>
      </c>
      <c r="AN86" s="76"/>
      <c r="AO86" s="81" t="e">
        <f t="shared" si="120"/>
        <v>#DIV/0!</v>
      </c>
      <c r="AP86" s="81" t="e">
        <f t="shared" si="117"/>
        <v>#DIV/0!</v>
      </c>
      <c r="AQ86" s="81" t="e">
        <f t="shared" si="118"/>
        <v>#DIV/0!</v>
      </c>
      <c r="AR86" s="7"/>
      <c r="AS86" s="76" t="e">
        <f t="shared" si="121"/>
        <v>#DIV/0!</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x14ac:dyDescent="0.3">
      <c r="A87" s="1" t="s">
        <v>67</v>
      </c>
      <c r="B87" s="2" t="s">
        <v>89</v>
      </c>
      <c r="C87" s="3"/>
      <c r="D87" s="7"/>
      <c r="E87" s="7"/>
      <c r="F87" s="71"/>
      <c r="G87" s="51">
        <f t="shared" si="97"/>
        <v>0</v>
      </c>
      <c r="H87" s="52" t="e">
        <f t="shared" si="98"/>
        <v>#DIV/0!</v>
      </c>
      <c r="I87" s="53">
        <f>COUNTIFS('00 Encuesta'!$B$2:$B$511,"*e)*",'00 Encuesta'!$C$2:$C$511,"*a)*",'00 Encuesta'!$E$2:$E$511,"*a)*",'00 Encuesta'!$L$2:$L$511,"*j)*")</f>
        <v>0</v>
      </c>
      <c r="J87" s="52" t="e">
        <f t="shared" si="99"/>
        <v>#DIV/0!</v>
      </c>
      <c r="K87" s="53">
        <f>COUNTIFS('00 Encuesta'!$B$2:$B$511,"*e)*",'00 Encuesta'!$C$2:$C$511,"*a)*",'00 Encuesta'!$E$2:$E$511,"*b)*",'00 Encuesta'!$L$2:$L$511,"*j)*")</f>
        <v>0</v>
      </c>
      <c r="L87" s="52" t="e">
        <f t="shared" si="100"/>
        <v>#DIV/0!</v>
      </c>
      <c r="M87" s="23"/>
      <c r="N87" s="51">
        <f t="shared" si="101"/>
        <v>0</v>
      </c>
      <c r="O87" s="52" t="e">
        <f t="shared" si="102"/>
        <v>#DIV/0!</v>
      </c>
      <c r="P87" s="53">
        <f>COUNTIFS('00 Encuesta'!$B$2:$B$511,"*e)*",'00 Encuesta'!$C$2:$C$511,"*b)*",'00 Encuesta'!$E$2:$E$511,"*a)*",'00 Encuesta'!$L$2:$L$511,"*j)*")</f>
        <v>0</v>
      </c>
      <c r="Q87" s="52" t="e">
        <f t="shared" si="103"/>
        <v>#DIV/0!</v>
      </c>
      <c r="R87" s="53">
        <f>COUNTIFS('00 Encuesta'!$B$2:$B$511,"*e)*",'00 Encuesta'!$C$2:$C$511,"*b)*",'00 Encuesta'!$E$2:$E$511,"*b)*",'00 Encuesta'!$L$2:$L$511,"*j)*")</f>
        <v>0</v>
      </c>
      <c r="S87" s="52" t="e">
        <f t="shared" si="104"/>
        <v>#DIV/0!</v>
      </c>
      <c r="T87" s="3"/>
      <c r="U87" s="51">
        <f t="shared" si="105"/>
        <v>0</v>
      </c>
      <c r="V87" s="52" t="e">
        <f t="shared" si="106"/>
        <v>#DIV/0!</v>
      </c>
      <c r="W87" s="53">
        <f>COUNTIFS('00 Encuesta'!$B$2:$B$511,"*e)*",'00 Encuesta'!$C$2:$C$511,"*c)*",'00 Encuesta'!$E$2:$E$511,"*a)*",'00 Encuesta'!$L$2:$L$511,"*j)*")</f>
        <v>0</v>
      </c>
      <c r="X87" s="52" t="e">
        <f t="shared" si="119"/>
        <v>#DIV/0!</v>
      </c>
      <c r="Y87" s="53">
        <f>COUNTIFS('00 Encuesta'!$B$2:$B$511,"*e)*",'00 Encuesta'!$C$2:$C$511,"*c)*",'00 Encuesta'!$E$2:$E$511,"*b)*",'00 Encuesta'!$L$2:$L$511,"*j)*")</f>
        <v>0</v>
      </c>
      <c r="Z87" s="52" t="e">
        <f t="shared" si="107"/>
        <v>#DIV/0!</v>
      </c>
      <c r="AA87" s="3"/>
      <c r="AB87" s="62">
        <f t="shared" si="108"/>
        <v>0</v>
      </c>
      <c r="AC87" s="52" t="e">
        <f t="shared" si="109"/>
        <v>#DIV/0!</v>
      </c>
      <c r="AD87" s="7"/>
      <c r="AE87" s="7"/>
      <c r="AF87" s="9" t="str">
        <f t="shared" si="110"/>
        <v>j) El deporte</v>
      </c>
      <c r="AG87" s="72" t="e">
        <f t="shared" si="111"/>
        <v>#DIV/0!</v>
      </c>
      <c r="AH87" s="72" t="e">
        <f t="shared" si="112"/>
        <v>#DIV/0!</v>
      </c>
      <c r="AI87" s="73" t="e">
        <f t="shared" si="113"/>
        <v>#DIV/0!</v>
      </c>
      <c r="AJ87" s="73"/>
      <c r="AK87" s="76" t="e">
        <f t="shared" si="114"/>
        <v>#DIV/0!</v>
      </c>
      <c r="AL87" s="76" t="e">
        <f t="shared" si="115"/>
        <v>#DIV/0!</v>
      </c>
      <c r="AM87" s="76" t="e">
        <f t="shared" si="116"/>
        <v>#DIV/0!</v>
      </c>
      <c r="AN87" s="76"/>
      <c r="AO87" s="81" t="e">
        <f t="shared" si="120"/>
        <v>#DIV/0!</v>
      </c>
      <c r="AP87" s="81" t="e">
        <f t="shared" si="117"/>
        <v>#DIV/0!</v>
      </c>
      <c r="AQ87" s="81" t="e">
        <f t="shared" si="118"/>
        <v>#DIV/0!</v>
      </c>
      <c r="AR87" s="7"/>
      <c r="AS87" s="76" t="e">
        <f t="shared" si="121"/>
        <v>#DIV/0!</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x14ac:dyDescent="0.3">
      <c r="A88" s="1" t="s">
        <v>69</v>
      </c>
      <c r="B88" s="2" t="s">
        <v>90</v>
      </c>
      <c r="C88" s="3"/>
      <c r="D88" s="7"/>
      <c r="E88" s="7"/>
      <c r="F88" s="71"/>
      <c r="G88" s="51">
        <f t="shared" si="97"/>
        <v>0</v>
      </c>
      <c r="H88" s="52" t="e">
        <f t="shared" si="98"/>
        <v>#DIV/0!</v>
      </c>
      <c r="I88" s="53">
        <f>COUNTIFS('00 Encuesta'!$B$2:$B$511,"*e)*",'00 Encuesta'!$C$2:$C$511,"*a)*",'00 Encuesta'!$E$2:$E$511,"*a)*",'00 Encuesta'!$L$2:$L$511,"*k)*")</f>
        <v>0</v>
      </c>
      <c r="J88" s="52" t="e">
        <f t="shared" si="99"/>
        <v>#DIV/0!</v>
      </c>
      <c r="K88" s="53">
        <f>COUNTIFS('00 Encuesta'!$B$2:$B$511,"*e)*",'00 Encuesta'!$C$2:$C$511,"*a)*",'00 Encuesta'!$E$2:$E$511,"*b)*",'00 Encuesta'!$L$2:$L$511,"*k)*")</f>
        <v>0</v>
      </c>
      <c r="L88" s="52" t="e">
        <f t="shared" si="100"/>
        <v>#DIV/0!</v>
      </c>
      <c r="M88" s="23"/>
      <c r="N88" s="51">
        <f t="shared" si="101"/>
        <v>0</v>
      </c>
      <c r="O88" s="52" t="e">
        <f t="shared" si="102"/>
        <v>#DIV/0!</v>
      </c>
      <c r="P88" s="53">
        <f>COUNTIFS('00 Encuesta'!$B$2:$B$511,"*e)*",'00 Encuesta'!$C$2:$C$511,"*b)*",'00 Encuesta'!$E$2:$E$511,"*a)*",'00 Encuesta'!$L$2:$L$511,"*k)*")</f>
        <v>0</v>
      </c>
      <c r="Q88" s="52" t="e">
        <f t="shared" si="103"/>
        <v>#DIV/0!</v>
      </c>
      <c r="R88" s="53">
        <f>COUNTIFS('00 Encuesta'!$B$2:$B$511,"*e)*",'00 Encuesta'!$C$2:$C$511,"*b)*",'00 Encuesta'!$E$2:$E$511,"*b)*",'00 Encuesta'!$L$2:$L$511,"*k)*")</f>
        <v>0</v>
      </c>
      <c r="S88" s="52" t="e">
        <f t="shared" si="104"/>
        <v>#DIV/0!</v>
      </c>
      <c r="T88" s="3"/>
      <c r="U88" s="51">
        <f t="shared" si="105"/>
        <v>0</v>
      </c>
      <c r="V88" s="52" t="e">
        <f t="shared" si="106"/>
        <v>#DIV/0!</v>
      </c>
      <c r="W88" s="53">
        <f>COUNTIFS('00 Encuesta'!$B$2:$B$511,"*e)*",'00 Encuesta'!$C$2:$C$511,"*c)*",'00 Encuesta'!$E$2:$E$511,"*a)*",'00 Encuesta'!$L$2:$L$511,"*k)*")</f>
        <v>0</v>
      </c>
      <c r="X88" s="52" t="e">
        <f t="shared" si="119"/>
        <v>#DIV/0!</v>
      </c>
      <c r="Y88" s="53">
        <f>COUNTIFS('00 Encuesta'!$B$2:$B$511,"*e)*",'00 Encuesta'!$C$2:$C$511,"*c)*",'00 Encuesta'!$E$2:$E$511,"*b)*",'00 Encuesta'!$L$2:$L$511,"*k)*")</f>
        <v>0</v>
      </c>
      <c r="Z88" s="52" t="e">
        <f t="shared" si="107"/>
        <v>#DIV/0!</v>
      </c>
      <c r="AA88" s="3"/>
      <c r="AB88" s="62">
        <f t="shared" si="108"/>
        <v>0</v>
      </c>
      <c r="AC88" s="52" t="e">
        <f t="shared" si="109"/>
        <v>#DIV/0!</v>
      </c>
      <c r="AD88" s="7"/>
      <c r="AE88" s="7"/>
      <c r="AF88" s="9" t="str">
        <f t="shared" si="110"/>
        <v>k) Internet</v>
      </c>
      <c r="AG88" s="72" t="e">
        <f t="shared" si="111"/>
        <v>#DIV/0!</v>
      </c>
      <c r="AH88" s="72" t="e">
        <f t="shared" si="112"/>
        <v>#DIV/0!</v>
      </c>
      <c r="AI88" s="73" t="e">
        <f t="shared" si="113"/>
        <v>#DIV/0!</v>
      </c>
      <c r="AJ88" s="73"/>
      <c r="AK88" s="76" t="e">
        <f t="shared" si="114"/>
        <v>#DIV/0!</v>
      </c>
      <c r="AL88" s="76" t="e">
        <f t="shared" si="115"/>
        <v>#DIV/0!</v>
      </c>
      <c r="AM88" s="76" t="e">
        <f t="shared" si="116"/>
        <v>#DIV/0!</v>
      </c>
      <c r="AN88" s="76"/>
      <c r="AO88" s="81" t="e">
        <f t="shared" si="120"/>
        <v>#DIV/0!</v>
      </c>
      <c r="AP88" s="81" t="e">
        <f t="shared" si="117"/>
        <v>#DIV/0!</v>
      </c>
      <c r="AQ88" s="81" t="e">
        <f t="shared" si="118"/>
        <v>#DIV/0!</v>
      </c>
      <c r="AR88" s="7"/>
      <c r="AS88" s="76" t="e">
        <f t="shared" si="121"/>
        <v>#DIV/0!</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x14ac:dyDescent="0.3">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0"/>
        <v>S/R Sin Respuesta</v>
      </c>
      <c r="AG89" s="72">
        <f t="shared" si="111"/>
        <v>0</v>
      </c>
      <c r="AH89" s="72">
        <f t="shared" si="112"/>
        <v>0</v>
      </c>
      <c r="AI89" s="73">
        <f t="shared" si="113"/>
        <v>0</v>
      </c>
      <c r="AJ89" s="73"/>
      <c r="AK89" s="76">
        <f t="shared" si="114"/>
        <v>0</v>
      </c>
      <c r="AL89" s="76">
        <f t="shared" si="115"/>
        <v>0</v>
      </c>
      <c r="AM89" s="76">
        <f t="shared" si="116"/>
        <v>0</v>
      </c>
      <c r="AN89" s="76"/>
      <c r="AO89" s="81">
        <f t="shared" si="120"/>
        <v>0</v>
      </c>
      <c r="AP89" s="81">
        <f t="shared" si="117"/>
        <v>0</v>
      </c>
      <c r="AQ89" s="81">
        <f t="shared" si="118"/>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x14ac:dyDescent="0.3">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x14ac:dyDescent="0.3">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x14ac:dyDescent="0.3">
      <c r="A92" s="8" t="s">
        <v>17</v>
      </c>
      <c r="B92" s="9" t="s">
        <v>93</v>
      </c>
      <c r="C92" s="7"/>
      <c r="D92" s="7"/>
      <c r="E92" s="7"/>
      <c r="F92" s="71"/>
      <c r="G92" s="51">
        <f t="shared" ref="G92:G99" si="122">I92+K92</f>
        <v>0</v>
      </c>
      <c r="H92" s="52" t="e">
        <f t="shared" ref="H92:H99" si="123">G92/$J$5*100</f>
        <v>#DIV/0!</v>
      </c>
      <c r="I92" s="53">
        <f>COUNTIFS('00 Encuesta'!$B$2:$B$511,"*e)*",'00 Encuesta'!$C$2:$C$511,"*a)*",'00 Encuesta'!$E$2:$E$511,"*a)*",'00 Encuesta'!$N$2:$N$511,"*a)*")</f>
        <v>0</v>
      </c>
      <c r="J92" s="52" t="e">
        <f t="shared" ref="J92:J99" si="124">I92/$J$6*100</f>
        <v>#DIV/0!</v>
      </c>
      <c r="K92" s="53">
        <f>COUNTIFS('00 Encuesta'!$B$2:$B$511,"*e)*",'00 Encuesta'!$C$2:$C$511,"*a)*",'00 Encuesta'!$E$2:$E$511,"*b)*",'00 Encuesta'!$N$2:$N$511,"*a)*")</f>
        <v>0</v>
      </c>
      <c r="L92" s="52" t="e">
        <f t="shared" ref="L92:L99" si="125">K92/$J$7*100</f>
        <v>#DIV/0!</v>
      </c>
      <c r="M92" s="23"/>
      <c r="N92" s="51">
        <f t="shared" ref="N92:N99" si="126">P92+R92</f>
        <v>0</v>
      </c>
      <c r="O92" s="52" t="e">
        <f t="shared" ref="O92:O99" si="127">N92/$Q$5*100</f>
        <v>#DIV/0!</v>
      </c>
      <c r="P92" s="53">
        <f>COUNTIFS('00 Encuesta'!$B$2:$B$511,"*e)*",'00 Encuesta'!$C$2:$C$511,"*b)*",'00 Encuesta'!$E$2:$E$511,"*a)*",'00 Encuesta'!$N$2:$N$511,"*a)*")</f>
        <v>0</v>
      </c>
      <c r="Q92" s="52" t="e">
        <f t="shared" ref="Q92:Q99" si="128">P92/$Q$6*100</f>
        <v>#DIV/0!</v>
      </c>
      <c r="R92" s="53">
        <f>COUNTIFS('00 Encuesta'!$B$2:$B$511,"*e)*",'00 Encuesta'!$C$2:$C$511,"*b)*",'00 Encuesta'!$E$2:$E$511,"*b)*",'00 Encuesta'!$N$2:$N$511,"*a)*")</f>
        <v>0</v>
      </c>
      <c r="S92" s="52" t="e">
        <f t="shared" ref="S92:S99" si="129">R92/$Q$7*100</f>
        <v>#DIV/0!</v>
      </c>
      <c r="T92" s="3"/>
      <c r="U92" s="51">
        <f t="shared" ref="U92:U99" si="130">W92+Y92</f>
        <v>0</v>
      </c>
      <c r="V92" s="52" t="e">
        <f t="shared" ref="V92:V99" si="131">U92/$X$5*100</f>
        <v>#DIV/0!</v>
      </c>
      <c r="W92" s="53">
        <f>COUNTIFS('00 Encuesta'!$B$2:$B$511,"*e)*",'00 Encuesta'!$C$2:$C$511,"*c)*",'00 Encuesta'!$E$2:$E$511,"*a)*",'00 Encuesta'!$N$2:$N$511,"*a)*")</f>
        <v>0</v>
      </c>
      <c r="X92" s="52" t="e">
        <f t="shared" ref="X92:X99" si="132">W92/$X$6*100</f>
        <v>#DIV/0!</v>
      </c>
      <c r="Y92" s="53">
        <f>COUNTIFS('00 Encuesta'!$B$2:$B$511,"*e)*",'00 Encuesta'!$C$2:$C$511,"*c)*",'00 Encuesta'!$E$2:$E$511,"*b)*",'00 Encuesta'!$N$2:$N$511,"*a)*")</f>
        <v>0</v>
      </c>
      <c r="Z92" s="52" t="e">
        <f t="shared" ref="Z92:Z99" si="133">Y92/$X$7*100</f>
        <v>#DIV/0!</v>
      </c>
      <c r="AA92" s="3"/>
      <c r="AB92" s="62">
        <f t="shared" ref="AB92:AB99" si="134">G92+N92+U92</f>
        <v>0</v>
      </c>
      <c r="AC92" s="52" t="e">
        <f t="shared" ref="AC92:AC99" si="135">AB92*100/$AC$5</f>
        <v>#DIV/0!</v>
      </c>
      <c r="AD92" s="7"/>
      <c r="AE92" s="7"/>
      <c r="AF92" s="9" t="str">
        <f t="shared" ref="AF92:AF100" si="136">A92&amp;" "&amp;B92</f>
        <v>a) Seguridad personal  (la violencia y la delincuencia)</v>
      </c>
      <c r="AG92" s="72" t="e">
        <f t="shared" ref="AG92:AG100" si="137">J92</f>
        <v>#DIV/0!</v>
      </c>
      <c r="AH92" s="72" t="e">
        <f t="shared" ref="AH92:AH100" si="138">L92</f>
        <v>#DIV/0!</v>
      </c>
      <c r="AI92" s="73" t="e">
        <f t="shared" ref="AI92:AI100" si="139">H92</f>
        <v>#DIV/0!</v>
      </c>
      <c r="AJ92" s="73"/>
      <c r="AK92" s="76" t="e">
        <f t="shared" ref="AK92:AK100" si="140">Q92</f>
        <v>#DIV/0!</v>
      </c>
      <c r="AL92" s="76" t="e">
        <f t="shared" ref="AL92:AL100" si="141">S92</f>
        <v>#DIV/0!</v>
      </c>
      <c r="AM92" s="76" t="e">
        <f t="shared" ref="AM92:AM100" si="142">O92</f>
        <v>#DIV/0!</v>
      </c>
      <c r="AN92" s="76"/>
      <c r="AO92" s="81" t="e">
        <f t="shared" ref="AO92:AO100" si="143">X92</f>
        <v>#DIV/0!</v>
      </c>
      <c r="AP92" s="81" t="e">
        <f t="shared" ref="AP92:AP100" si="144">Z92</f>
        <v>#DIV/0!</v>
      </c>
      <c r="AQ92" s="81" t="e">
        <f t="shared" ref="AQ92:AQ100" si="145">V92</f>
        <v>#DIV/0!</v>
      </c>
      <c r="AR92" s="7"/>
      <c r="AS92" s="76" t="e">
        <f t="shared" si="121"/>
        <v>#DIV/0!</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x14ac:dyDescent="0.3">
      <c r="A93" s="8" t="s">
        <v>18</v>
      </c>
      <c r="B93" s="9" t="s">
        <v>94</v>
      </c>
      <c r="C93" s="7"/>
      <c r="D93" s="7"/>
      <c r="E93" s="7"/>
      <c r="F93" s="71"/>
      <c r="G93" s="51">
        <f t="shared" si="122"/>
        <v>0</v>
      </c>
      <c r="H93" s="52" t="e">
        <f t="shared" si="123"/>
        <v>#DIV/0!</v>
      </c>
      <c r="I93" s="53">
        <f>COUNTIFS('00 Encuesta'!$B$2:$B$511,"*e)*",'00 Encuesta'!$C$2:$C$511,"*a)*",'00 Encuesta'!$E$2:$E$511,"*a)*",'00 Encuesta'!$N$2:$N$511,"*b)*")</f>
        <v>0</v>
      </c>
      <c r="J93" s="52" t="e">
        <f t="shared" si="124"/>
        <v>#DIV/0!</v>
      </c>
      <c r="K93" s="53">
        <f>COUNTIFS('00 Encuesta'!$B$2:$B$511,"*e)*",'00 Encuesta'!$C$2:$C$511,"*a)*",'00 Encuesta'!$E$2:$E$511,"*b)*",'00 Encuesta'!$N$2:$N$511,"*b)*")</f>
        <v>0</v>
      </c>
      <c r="L93" s="52" t="e">
        <f t="shared" si="125"/>
        <v>#DIV/0!</v>
      </c>
      <c r="M93" s="23"/>
      <c r="N93" s="51">
        <f t="shared" si="126"/>
        <v>0</v>
      </c>
      <c r="O93" s="52" t="e">
        <f t="shared" si="127"/>
        <v>#DIV/0!</v>
      </c>
      <c r="P93" s="53">
        <f>COUNTIFS('00 Encuesta'!$B$2:$B$511,"*e)*",'00 Encuesta'!$C$2:$C$511,"*b)*",'00 Encuesta'!$E$2:$E$511,"*a)*",'00 Encuesta'!$N$2:$N$511,"*b)*")</f>
        <v>0</v>
      </c>
      <c r="Q93" s="52" t="e">
        <f t="shared" si="128"/>
        <v>#DIV/0!</v>
      </c>
      <c r="R93" s="53">
        <f>COUNTIFS('00 Encuesta'!$B$2:$B$511,"*e)*",'00 Encuesta'!$C$2:$C$511,"*b)*",'00 Encuesta'!$E$2:$E$511,"*b)*",'00 Encuesta'!$N$2:$N$511,"*b)*")</f>
        <v>0</v>
      </c>
      <c r="S93" s="52" t="e">
        <f t="shared" si="129"/>
        <v>#DIV/0!</v>
      </c>
      <c r="T93" s="3"/>
      <c r="U93" s="51">
        <f t="shared" si="130"/>
        <v>0</v>
      </c>
      <c r="V93" s="52" t="e">
        <f t="shared" si="131"/>
        <v>#DIV/0!</v>
      </c>
      <c r="W93" s="53">
        <f>COUNTIFS('00 Encuesta'!$B$2:$B$511,"*e)*",'00 Encuesta'!$C$2:$C$511,"*c)*",'00 Encuesta'!$E$2:$E$511,"*a)*",'00 Encuesta'!$N$2:$N$511,"*b)*")</f>
        <v>0</v>
      </c>
      <c r="X93" s="52" t="e">
        <f t="shared" si="132"/>
        <v>#DIV/0!</v>
      </c>
      <c r="Y93" s="53">
        <f>COUNTIFS('00 Encuesta'!$B$2:$B$511,"*e)*",'00 Encuesta'!$C$2:$C$511,"*c)*",'00 Encuesta'!$E$2:$E$511,"*b)*",'00 Encuesta'!$N$2:$N$511,"*b)*")</f>
        <v>0</v>
      </c>
      <c r="Z93" s="52" t="e">
        <f t="shared" si="133"/>
        <v>#DIV/0!</v>
      </c>
      <c r="AA93" s="3"/>
      <c r="AB93" s="62">
        <f t="shared" si="134"/>
        <v>0</v>
      </c>
      <c r="AC93" s="52" t="e">
        <f t="shared" si="135"/>
        <v>#DIV/0!</v>
      </c>
      <c r="AD93" s="7"/>
      <c r="AE93" s="7"/>
      <c r="AF93" s="9" t="str">
        <f t="shared" si="136"/>
        <v>b) El futuro</v>
      </c>
      <c r="AG93" s="72" t="e">
        <f t="shared" si="137"/>
        <v>#DIV/0!</v>
      </c>
      <c r="AH93" s="72" t="e">
        <f t="shared" si="138"/>
        <v>#DIV/0!</v>
      </c>
      <c r="AI93" s="73" t="e">
        <f t="shared" si="139"/>
        <v>#DIV/0!</v>
      </c>
      <c r="AJ93" s="73"/>
      <c r="AK93" s="76" t="e">
        <f t="shared" si="140"/>
        <v>#DIV/0!</v>
      </c>
      <c r="AL93" s="76" t="e">
        <f t="shared" si="141"/>
        <v>#DIV/0!</v>
      </c>
      <c r="AM93" s="76" t="e">
        <f t="shared" si="142"/>
        <v>#DIV/0!</v>
      </c>
      <c r="AN93" s="76"/>
      <c r="AO93" s="81" t="e">
        <f t="shared" si="143"/>
        <v>#DIV/0!</v>
      </c>
      <c r="AP93" s="81" t="e">
        <f t="shared" si="144"/>
        <v>#DIV/0!</v>
      </c>
      <c r="AQ93" s="81" t="e">
        <f t="shared" si="145"/>
        <v>#DIV/0!</v>
      </c>
      <c r="AR93" s="7"/>
      <c r="AS93" s="76" t="e">
        <f t="shared" si="121"/>
        <v>#DIV/0!</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x14ac:dyDescent="0.3">
      <c r="A94" s="8" t="s">
        <v>20</v>
      </c>
      <c r="B94" s="9" t="s">
        <v>95</v>
      </c>
      <c r="C94" s="7"/>
      <c r="D94" s="7"/>
      <c r="E94" s="7"/>
      <c r="F94" s="71"/>
      <c r="G94" s="51">
        <f t="shared" si="122"/>
        <v>0</v>
      </c>
      <c r="H94" s="52" t="e">
        <f t="shared" si="123"/>
        <v>#DIV/0!</v>
      </c>
      <c r="I94" s="53">
        <f>COUNTIFS('00 Encuesta'!$B$2:$B$511,"*e)*",'00 Encuesta'!$C$2:$C$511,"*a)*",'00 Encuesta'!$E$2:$E$511,"*a)*",'00 Encuesta'!$N$2:$N$511,"*c)*")</f>
        <v>0</v>
      </c>
      <c r="J94" s="52" t="e">
        <f t="shared" si="124"/>
        <v>#DIV/0!</v>
      </c>
      <c r="K94" s="53">
        <f>COUNTIFS('00 Encuesta'!$B$2:$B$511,"*e)*",'00 Encuesta'!$C$2:$C$511,"*a)*",'00 Encuesta'!$E$2:$E$511,"*b)*",'00 Encuesta'!$N$2:$N$511,"*c)*")</f>
        <v>0</v>
      </c>
      <c r="L94" s="52" t="e">
        <f t="shared" si="125"/>
        <v>#DIV/0!</v>
      </c>
      <c r="M94" s="23"/>
      <c r="N94" s="51">
        <f t="shared" si="126"/>
        <v>0</v>
      </c>
      <c r="O94" s="52" t="e">
        <f t="shared" si="127"/>
        <v>#DIV/0!</v>
      </c>
      <c r="P94" s="53">
        <f>COUNTIFS('00 Encuesta'!$B$2:$B$511,"*e)*",'00 Encuesta'!$C$2:$C$511,"*b)*",'00 Encuesta'!$E$2:$E$511,"*a)*",'00 Encuesta'!$N$2:$N$511,"*c)*")</f>
        <v>0</v>
      </c>
      <c r="Q94" s="52" t="e">
        <f t="shared" si="128"/>
        <v>#DIV/0!</v>
      </c>
      <c r="R94" s="53">
        <f>COUNTIFS('00 Encuesta'!$B$2:$B$511,"*e)*",'00 Encuesta'!$C$2:$C$511,"*b)*",'00 Encuesta'!$E$2:$E$511,"*b)*",'00 Encuesta'!$N$2:$N$511,"*c)*")</f>
        <v>0</v>
      </c>
      <c r="S94" s="52" t="e">
        <f t="shared" si="129"/>
        <v>#DIV/0!</v>
      </c>
      <c r="T94" s="3"/>
      <c r="U94" s="51">
        <f t="shared" si="130"/>
        <v>0</v>
      </c>
      <c r="V94" s="52" t="e">
        <f t="shared" si="131"/>
        <v>#DIV/0!</v>
      </c>
      <c r="W94" s="53">
        <f>COUNTIFS('00 Encuesta'!$B$2:$B$511,"*e)*",'00 Encuesta'!$C$2:$C$511,"*c)*",'00 Encuesta'!$E$2:$E$511,"*a)*",'00 Encuesta'!$N$2:$N$511,"*c)*")</f>
        <v>0</v>
      </c>
      <c r="X94" s="52" t="e">
        <f t="shared" si="132"/>
        <v>#DIV/0!</v>
      </c>
      <c r="Y94" s="53">
        <f>COUNTIFS('00 Encuesta'!$B$2:$B$511,"*e)*",'00 Encuesta'!$C$2:$C$511,"*c)*",'00 Encuesta'!$E$2:$E$511,"*b)*",'00 Encuesta'!$N$2:$N$511,"*c)*")</f>
        <v>0</v>
      </c>
      <c r="Z94" s="52" t="e">
        <f t="shared" si="133"/>
        <v>#DIV/0!</v>
      </c>
      <c r="AA94" s="3"/>
      <c r="AB94" s="62">
        <f t="shared" si="134"/>
        <v>0</v>
      </c>
      <c r="AC94" s="52" t="e">
        <f t="shared" si="135"/>
        <v>#DIV/0!</v>
      </c>
      <c r="AD94" s="7"/>
      <c r="AE94" s="7"/>
      <c r="AF94" s="9" t="str">
        <f t="shared" si="136"/>
        <v>c) Yo mismo</v>
      </c>
      <c r="AG94" s="72" t="e">
        <f t="shared" si="137"/>
        <v>#DIV/0!</v>
      </c>
      <c r="AH94" s="72" t="e">
        <f t="shared" si="138"/>
        <v>#DIV/0!</v>
      </c>
      <c r="AI94" s="73" t="e">
        <f t="shared" si="139"/>
        <v>#DIV/0!</v>
      </c>
      <c r="AJ94" s="73"/>
      <c r="AK94" s="76" t="e">
        <f t="shared" si="140"/>
        <v>#DIV/0!</v>
      </c>
      <c r="AL94" s="76" t="e">
        <f t="shared" si="141"/>
        <v>#DIV/0!</v>
      </c>
      <c r="AM94" s="76" t="e">
        <f t="shared" si="142"/>
        <v>#DIV/0!</v>
      </c>
      <c r="AN94" s="76"/>
      <c r="AO94" s="81" t="e">
        <f t="shared" si="143"/>
        <v>#DIV/0!</v>
      </c>
      <c r="AP94" s="81" t="e">
        <f t="shared" si="144"/>
        <v>#DIV/0!</v>
      </c>
      <c r="AQ94" s="81" t="e">
        <f t="shared" si="145"/>
        <v>#DIV/0!</v>
      </c>
      <c r="AR94" s="7"/>
      <c r="AS94" s="76" t="e">
        <f t="shared" si="121"/>
        <v>#DIV/0!</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x14ac:dyDescent="0.3">
      <c r="A95" s="8" t="s">
        <v>21</v>
      </c>
      <c r="B95" s="9" t="s">
        <v>96</v>
      </c>
      <c r="C95" s="7"/>
      <c r="D95" s="7"/>
      <c r="E95" s="7"/>
      <c r="F95" s="71"/>
      <c r="G95" s="51">
        <f t="shared" si="122"/>
        <v>0</v>
      </c>
      <c r="H95" s="52" t="e">
        <f t="shared" si="123"/>
        <v>#DIV/0!</v>
      </c>
      <c r="I95" s="53">
        <f>COUNTIFS('00 Encuesta'!$B$2:$B$511,"*e)*",'00 Encuesta'!$C$2:$C$511,"*a)*",'00 Encuesta'!$E$2:$E$511,"*a)*",'00 Encuesta'!$N$2:$N$511,"*d)*")</f>
        <v>0</v>
      </c>
      <c r="J95" s="52" t="e">
        <f t="shared" si="124"/>
        <v>#DIV/0!</v>
      </c>
      <c r="K95" s="53">
        <f>COUNTIFS('00 Encuesta'!$B$2:$B$511,"*e)*",'00 Encuesta'!$C$2:$C$511,"*a)*",'00 Encuesta'!$E$2:$E$511,"*b)*",'00 Encuesta'!$N$2:$N$511,"*d)*")</f>
        <v>0</v>
      </c>
      <c r="L95" s="52" t="e">
        <f t="shared" si="125"/>
        <v>#DIV/0!</v>
      </c>
      <c r="M95" s="23"/>
      <c r="N95" s="51">
        <f t="shared" si="126"/>
        <v>0</v>
      </c>
      <c r="O95" s="52" t="e">
        <f t="shared" si="127"/>
        <v>#DIV/0!</v>
      </c>
      <c r="P95" s="53">
        <f>COUNTIFS('00 Encuesta'!$B$2:$B$511,"*e)*",'00 Encuesta'!$C$2:$C$511,"*b)*",'00 Encuesta'!$E$2:$E$511,"*a)*",'00 Encuesta'!$N$2:$N$511,"*d)*")</f>
        <v>0</v>
      </c>
      <c r="Q95" s="52" t="e">
        <f t="shared" si="128"/>
        <v>#DIV/0!</v>
      </c>
      <c r="R95" s="53">
        <f>COUNTIFS('00 Encuesta'!$B$2:$B$511,"*e)*",'00 Encuesta'!$C$2:$C$511,"*b)*",'00 Encuesta'!$E$2:$E$511,"*b)*",'00 Encuesta'!$N$2:$N$511,"*d)*")</f>
        <v>0</v>
      </c>
      <c r="S95" s="52" t="e">
        <f t="shared" si="129"/>
        <v>#DIV/0!</v>
      </c>
      <c r="T95" s="3"/>
      <c r="U95" s="51">
        <f t="shared" si="130"/>
        <v>0</v>
      </c>
      <c r="V95" s="52" t="e">
        <f t="shared" si="131"/>
        <v>#DIV/0!</v>
      </c>
      <c r="W95" s="53">
        <f>COUNTIFS('00 Encuesta'!$B$2:$B$511,"*e)*",'00 Encuesta'!$C$2:$C$511,"*c)*",'00 Encuesta'!$E$2:$E$511,"*a)*",'00 Encuesta'!$N$2:$N$511,"*d)*")</f>
        <v>0</v>
      </c>
      <c r="X95" s="52" t="e">
        <f t="shared" si="132"/>
        <v>#DIV/0!</v>
      </c>
      <c r="Y95" s="53">
        <f>COUNTIFS('00 Encuesta'!$B$2:$B$511,"*e)*",'00 Encuesta'!$C$2:$C$511,"*c)*",'00 Encuesta'!$E$2:$E$511,"*b)*",'00 Encuesta'!$N$2:$N$511,"*d)*")</f>
        <v>0</v>
      </c>
      <c r="Z95" s="52" t="e">
        <f t="shared" si="133"/>
        <v>#DIV/0!</v>
      </c>
      <c r="AA95" s="3"/>
      <c r="AB95" s="62">
        <f t="shared" si="134"/>
        <v>0</v>
      </c>
      <c r="AC95" s="52" t="e">
        <f t="shared" si="135"/>
        <v>#DIV/0!</v>
      </c>
      <c r="AD95" s="7"/>
      <c r="AE95" s="7"/>
      <c r="AF95" s="9" t="str">
        <f t="shared" si="136"/>
        <v>d) Los problemas familiares</v>
      </c>
      <c r="AG95" s="72" t="e">
        <f t="shared" si="137"/>
        <v>#DIV/0!</v>
      </c>
      <c r="AH95" s="72" t="e">
        <f t="shared" si="138"/>
        <v>#DIV/0!</v>
      </c>
      <c r="AI95" s="73" t="e">
        <f t="shared" si="139"/>
        <v>#DIV/0!</v>
      </c>
      <c r="AJ95" s="73"/>
      <c r="AK95" s="76" t="e">
        <f t="shared" si="140"/>
        <v>#DIV/0!</v>
      </c>
      <c r="AL95" s="76" t="e">
        <f t="shared" si="141"/>
        <v>#DIV/0!</v>
      </c>
      <c r="AM95" s="76" t="e">
        <f t="shared" si="142"/>
        <v>#DIV/0!</v>
      </c>
      <c r="AN95" s="76"/>
      <c r="AO95" s="81" t="e">
        <f t="shared" si="143"/>
        <v>#DIV/0!</v>
      </c>
      <c r="AP95" s="81" t="e">
        <f t="shared" si="144"/>
        <v>#DIV/0!</v>
      </c>
      <c r="AQ95" s="81" t="e">
        <f t="shared" si="145"/>
        <v>#DIV/0!</v>
      </c>
      <c r="AR95" s="7"/>
      <c r="AS95" s="76" t="e">
        <f t="shared" si="121"/>
        <v>#DIV/0!</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0</v>
      </c>
      <c r="H96" s="52" t="e">
        <f t="shared" si="123"/>
        <v>#DIV/0!</v>
      </c>
      <c r="I96" s="53">
        <f>COUNTIFS('00 Encuesta'!$B$2:$B$511,"*e)*",'00 Encuesta'!$C$2:$C$511,"*a)*",'00 Encuesta'!$E$2:$E$511,"*a)*",'00 Encuesta'!$N$2:$N$511,"*e)*")</f>
        <v>0</v>
      </c>
      <c r="J96" s="52" t="e">
        <f t="shared" si="124"/>
        <v>#DIV/0!</v>
      </c>
      <c r="K96" s="53">
        <f>COUNTIFS('00 Encuesta'!$B$2:$B$511,"*e)*",'00 Encuesta'!$C$2:$C$511,"*a)*",'00 Encuesta'!$E$2:$E$511,"*b)*",'00 Encuesta'!$N$2:$N$511,"*e)*")</f>
        <v>0</v>
      </c>
      <c r="L96" s="52" t="e">
        <f t="shared" si="125"/>
        <v>#DIV/0!</v>
      </c>
      <c r="M96" s="23"/>
      <c r="N96" s="51">
        <f t="shared" si="126"/>
        <v>0</v>
      </c>
      <c r="O96" s="52" t="e">
        <f t="shared" si="127"/>
        <v>#DIV/0!</v>
      </c>
      <c r="P96" s="53">
        <f>COUNTIFS('00 Encuesta'!$B$2:$B$511,"*e)*",'00 Encuesta'!$C$2:$C$511,"*b)*",'00 Encuesta'!$E$2:$E$511,"*a)*",'00 Encuesta'!$N$2:$N$511,"*e)*")</f>
        <v>0</v>
      </c>
      <c r="Q96" s="52" t="e">
        <f t="shared" si="128"/>
        <v>#DIV/0!</v>
      </c>
      <c r="R96" s="53">
        <f>COUNTIFS('00 Encuesta'!$B$2:$B$511,"*e)*",'00 Encuesta'!$C$2:$C$511,"*b)*",'00 Encuesta'!$E$2:$E$511,"*b)*",'00 Encuesta'!$N$2:$N$511,"*e)*")</f>
        <v>0</v>
      </c>
      <c r="S96" s="52" t="e">
        <f t="shared" si="129"/>
        <v>#DIV/0!</v>
      </c>
      <c r="T96" s="3"/>
      <c r="U96" s="51">
        <f t="shared" si="130"/>
        <v>0</v>
      </c>
      <c r="V96" s="52" t="e">
        <f t="shared" si="131"/>
        <v>#DIV/0!</v>
      </c>
      <c r="W96" s="53">
        <f>COUNTIFS('00 Encuesta'!$B$2:$B$511,"*e)*",'00 Encuesta'!$C$2:$C$511,"*c)*",'00 Encuesta'!$E$2:$E$511,"*a)*",'00 Encuesta'!$N$2:$N$511,"*e)*")</f>
        <v>0</v>
      </c>
      <c r="X96" s="52" t="e">
        <f t="shared" si="132"/>
        <v>#DIV/0!</v>
      </c>
      <c r="Y96" s="53">
        <f>COUNTIFS('00 Encuesta'!$B$2:$B$511,"*e)*",'00 Encuesta'!$C$2:$C$511,"*c)*",'00 Encuesta'!$E$2:$E$511,"*b)*",'00 Encuesta'!$N$2:$N$511,"*e)*")</f>
        <v>0</v>
      </c>
      <c r="Z96" s="52" t="e">
        <f t="shared" si="133"/>
        <v>#DIV/0!</v>
      </c>
      <c r="AA96" s="3"/>
      <c r="AB96" s="62">
        <f t="shared" si="134"/>
        <v>0</v>
      </c>
      <c r="AC96" s="52" t="e">
        <f t="shared" si="135"/>
        <v>#DIV/0!</v>
      </c>
      <c r="AD96" s="7"/>
      <c r="AE96" s="7"/>
      <c r="AF96" s="9" t="str">
        <f t="shared" si="136"/>
        <v>e) La situación económica</v>
      </c>
      <c r="AG96" s="72" t="e">
        <f t="shared" si="137"/>
        <v>#DIV/0!</v>
      </c>
      <c r="AH96" s="72" t="e">
        <f t="shared" si="138"/>
        <v>#DIV/0!</v>
      </c>
      <c r="AI96" s="73" t="e">
        <f t="shared" si="139"/>
        <v>#DIV/0!</v>
      </c>
      <c r="AJ96" s="73"/>
      <c r="AK96" s="76" t="e">
        <f t="shared" si="140"/>
        <v>#DIV/0!</v>
      </c>
      <c r="AL96" s="76" t="e">
        <f t="shared" si="141"/>
        <v>#DIV/0!</v>
      </c>
      <c r="AM96" s="76" t="e">
        <f t="shared" si="142"/>
        <v>#DIV/0!</v>
      </c>
      <c r="AN96" s="76"/>
      <c r="AO96" s="81" t="e">
        <f t="shared" si="143"/>
        <v>#DIV/0!</v>
      </c>
      <c r="AP96" s="81" t="e">
        <f t="shared" si="144"/>
        <v>#DIV/0!</v>
      </c>
      <c r="AQ96" s="81" t="e">
        <f t="shared" si="145"/>
        <v>#DIV/0!</v>
      </c>
      <c r="AR96" s="7"/>
      <c r="AS96" s="76" t="e">
        <f t="shared" si="121"/>
        <v>#DIV/0!</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0</v>
      </c>
      <c r="H97" s="52" t="e">
        <f t="shared" si="123"/>
        <v>#DIV/0!</v>
      </c>
      <c r="I97" s="53">
        <f>COUNTIFS('00 Encuesta'!$B$2:$B$511,"*e)*",'00 Encuesta'!$C$2:$C$511,"*a)*",'00 Encuesta'!$E$2:$E$511,"*a)*",'00 Encuesta'!$N$2:$N$511,"*f)*")</f>
        <v>0</v>
      </c>
      <c r="J97" s="52" t="e">
        <f t="shared" si="124"/>
        <v>#DIV/0!</v>
      </c>
      <c r="K97" s="53">
        <f>COUNTIFS('00 Encuesta'!$B$2:$B$511,"*e)*",'00 Encuesta'!$C$2:$C$511,"*a)*",'00 Encuesta'!$E$2:$E$511,"*b)*",'00 Encuesta'!$N$2:$N$511,"*f)*")</f>
        <v>0</v>
      </c>
      <c r="L97" s="52" t="e">
        <f t="shared" si="125"/>
        <v>#DIV/0!</v>
      </c>
      <c r="M97" s="23"/>
      <c r="N97" s="51">
        <f t="shared" si="126"/>
        <v>0</v>
      </c>
      <c r="O97" s="52" t="e">
        <f t="shared" si="127"/>
        <v>#DIV/0!</v>
      </c>
      <c r="P97" s="53">
        <f>COUNTIFS('00 Encuesta'!$B$2:$B$511,"*e)*",'00 Encuesta'!$C$2:$C$511,"*b)*",'00 Encuesta'!$E$2:$E$511,"*a)*",'00 Encuesta'!$N$2:$N$511,"*f)*")</f>
        <v>0</v>
      </c>
      <c r="Q97" s="52" t="e">
        <f t="shared" si="128"/>
        <v>#DIV/0!</v>
      </c>
      <c r="R97" s="53">
        <f>COUNTIFS('00 Encuesta'!$B$2:$B$511,"*e)*",'00 Encuesta'!$C$2:$C$511,"*b)*",'00 Encuesta'!$E$2:$E$511,"*b)*",'00 Encuesta'!$N$2:$N$511,"*f)*")</f>
        <v>0</v>
      </c>
      <c r="S97" s="52" t="e">
        <f t="shared" si="129"/>
        <v>#DIV/0!</v>
      </c>
      <c r="T97" s="3"/>
      <c r="U97" s="51">
        <f t="shared" si="130"/>
        <v>0</v>
      </c>
      <c r="V97" s="52" t="e">
        <f t="shared" si="131"/>
        <v>#DIV/0!</v>
      </c>
      <c r="W97" s="53">
        <f>COUNTIFS('00 Encuesta'!$B$2:$B$511,"*e)*",'00 Encuesta'!$C$2:$C$511,"*c)*",'00 Encuesta'!$E$2:$E$511,"*a)*",'00 Encuesta'!$N$2:$N$511,"*f)*")</f>
        <v>0</v>
      </c>
      <c r="X97" s="52" t="e">
        <f t="shared" si="132"/>
        <v>#DIV/0!</v>
      </c>
      <c r="Y97" s="53">
        <f>COUNTIFS('00 Encuesta'!$B$2:$B$511,"*e)*",'00 Encuesta'!$C$2:$C$511,"*c)*",'00 Encuesta'!$E$2:$E$511,"*b)*",'00 Encuesta'!$N$2:$N$511,"*f)*")</f>
        <v>0</v>
      </c>
      <c r="Z97" s="52" t="e">
        <f t="shared" si="133"/>
        <v>#DIV/0!</v>
      </c>
      <c r="AA97" s="3"/>
      <c r="AB97" s="62">
        <f t="shared" si="134"/>
        <v>0</v>
      </c>
      <c r="AC97" s="52" t="e">
        <f t="shared" si="135"/>
        <v>#DIV/0!</v>
      </c>
      <c r="AD97" s="7"/>
      <c r="AE97" s="7"/>
      <c r="AF97" s="9" t="str">
        <f t="shared" si="136"/>
        <v>f) La situación política del país</v>
      </c>
      <c r="AG97" s="72" t="e">
        <f t="shared" si="137"/>
        <v>#DIV/0!</v>
      </c>
      <c r="AH97" s="72" t="e">
        <f t="shared" si="138"/>
        <v>#DIV/0!</v>
      </c>
      <c r="AI97" s="73" t="e">
        <f t="shared" si="139"/>
        <v>#DIV/0!</v>
      </c>
      <c r="AJ97" s="73"/>
      <c r="AK97" s="76" t="e">
        <f t="shared" si="140"/>
        <v>#DIV/0!</v>
      </c>
      <c r="AL97" s="76" t="e">
        <f t="shared" si="141"/>
        <v>#DIV/0!</v>
      </c>
      <c r="AM97" s="76" t="e">
        <f t="shared" si="142"/>
        <v>#DIV/0!</v>
      </c>
      <c r="AN97" s="76"/>
      <c r="AO97" s="81" t="e">
        <f t="shared" si="143"/>
        <v>#DIV/0!</v>
      </c>
      <c r="AP97" s="81" t="e">
        <f t="shared" si="144"/>
        <v>#DIV/0!</v>
      </c>
      <c r="AQ97" s="81" t="e">
        <f t="shared" si="145"/>
        <v>#DIV/0!</v>
      </c>
      <c r="AR97" s="7"/>
      <c r="AS97" s="76" t="e">
        <f t="shared" si="121"/>
        <v>#DIV/0!</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x14ac:dyDescent="0.3">
      <c r="A98" s="8" t="s">
        <v>61</v>
      </c>
      <c r="B98" s="9" t="s">
        <v>99</v>
      </c>
      <c r="C98" s="7"/>
      <c r="D98" s="7"/>
      <c r="E98" s="7"/>
      <c r="F98" s="71"/>
      <c r="G98" s="51">
        <f t="shared" si="122"/>
        <v>0</v>
      </c>
      <c r="H98" s="52" t="e">
        <f t="shared" si="123"/>
        <v>#DIV/0!</v>
      </c>
      <c r="I98" s="53">
        <f>COUNTIFS('00 Encuesta'!$B$2:$B$511,"*e)*",'00 Encuesta'!$C$2:$C$511,"*a)*",'00 Encuesta'!$E$2:$E$511,"*a)*",'00 Encuesta'!$N$2:$N$511,"*g)*")</f>
        <v>0</v>
      </c>
      <c r="J98" s="52" t="e">
        <f t="shared" si="124"/>
        <v>#DIV/0!</v>
      </c>
      <c r="K98" s="53">
        <f>COUNTIFS('00 Encuesta'!$B$2:$B$511,"*e)*",'00 Encuesta'!$C$2:$C$511,"*a)*",'00 Encuesta'!$E$2:$E$511,"*b)*",'00 Encuesta'!$N$2:$N$511,"*g)*")</f>
        <v>0</v>
      </c>
      <c r="L98" s="52" t="e">
        <f t="shared" si="125"/>
        <v>#DIV/0!</v>
      </c>
      <c r="M98" s="23"/>
      <c r="N98" s="51">
        <f t="shared" si="126"/>
        <v>0</v>
      </c>
      <c r="O98" s="52" t="e">
        <f t="shared" si="127"/>
        <v>#DIV/0!</v>
      </c>
      <c r="P98" s="53">
        <f>COUNTIFS('00 Encuesta'!$B$2:$B$511,"*e)*",'00 Encuesta'!$C$2:$C$511,"*b)*",'00 Encuesta'!$E$2:$E$511,"*a)*",'00 Encuesta'!$N$2:$N$511,"*g)*")</f>
        <v>0</v>
      </c>
      <c r="Q98" s="52" t="e">
        <f t="shared" si="128"/>
        <v>#DIV/0!</v>
      </c>
      <c r="R98" s="53">
        <f>COUNTIFS('00 Encuesta'!$B$2:$B$511,"*e)*",'00 Encuesta'!$C$2:$C$511,"*b)*",'00 Encuesta'!$E$2:$E$511,"*b)*",'00 Encuesta'!$N$2:$N$511,"*g)*")</f>
        <v>0</v>
      </c>
      <c r="S98" s="52" t="e">
        <f t="shared" si="129"/>
        <v>#DIV/0!</v>
      </c>
      <c r="T98" s="3"/>
      <c r="U98" s="51">
        <f t="shared" si="130"/>
        <v>0</v>
      </c>
      <c r="V98" s="52" t="e">
        <f t="shared" si="131"/>
        <v>#DIV/0!</v>
      </c>
      <c r="W98" s="53">
        <f>COUNTIFS('00 Encuesta'!$B$2:$B$511,"*e)*",'00 Encuesta'!$C$2:$C$511,"*c)*",'00 Encuesta'!$E$2:$E$511,"*a)*",'00 Encuesta'!$N$2:$N$511,"*g)*")</f>
        <v>0</v>
      </c>
      <c r="X98" s="52" t="e">
        <f t="shared" si="132"/>
        <v>#DIV/0!</v>
      </c>
      <c r="Y98" s="53">
        <f>COUNTIFS('00 Encuesta'!$B$2:$B$511,"*e)*",'00 Encuesta'!$C$2:$C$511,"*c)*",'00 Encuesta'!$E$2:$E$511,"*b)*",'00 Encuesta'!$N$2:$N$511,"*g)*")</f>
        <v>0</v>
      </c>
      <c r="Z98" s="52" t="e">
        <f t="shared" si="133"/>
        <v>#DIV/0!</v>
      </c>
      <c r="AA98" s="3"/>
      <c r="AB98" s="62">
        <f t="shared" si="134"/>
        <v>0</v>
      </c>
      <c r="AC98" s="52" t="e">
        <f t="shared" si="135"/>
        <v>#DIV/0!</v>
      </c>
      <c r="AD98" s="7"/>
      <c r="AE98" s="7"/>
      <c r="AF98" s="9" t="str">
        <f t="shared" si="136"/>
        <v>g) Mis estudios</v>
      </c>
      <c r="AG98" s="72" t="e">
        <f t="shared" si="137"/>
        <v>#DIV/0!</v>
      </c>
      <c r="AH98" s="72" t="e">
        <f t="shared" si="138"/>
        <v>#DIV/0!</v>
      </c>
      <c r="AI98" s="73" t="e">
        <f t="shared" si="139"/>
        <v>#DIV/0!</v>
      </c>
      <c r="AJ98" s="73"/>
      <c r="AK98" s="76" t="e">
        <f t="shared" si="140"/>
        <v>#DIV/0!</v>
      </c>
      <c r="AL98" s="76" t="e">
        <f t="shared" si="141"/>
        <v>#DIV/0!</v>
      </c>
      <c r="AM98" s="76" t="e">
        <f t="shared" si="142"/>
        <v>#DIV/0!</v>
      </c>
      <c r="AN98" s="76"/>
      <c r="AO98" s="81" t="e">
        <f t="shared" si="143"/>
        <v>#DIV/0!</v>
      </c>
      <c r="AP98" s="81" t="e">
        <f t="shared" si="144"/>
        <v>#DIV/0!</v>
      </c>
      <c r="AQ98" s="81" t="e">
        <f t="shared" si="145"/>
        <v>#DIV/0!</v>
      </c>
      <c r="AR98" s="7"/>
      <c r="AS98" s="76" t="e">
        <f t="shared" si="121"/>
        <v>#DIV/0!</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x14ac:dyDescent="0.3">
      <c r="A99" s="8" t="s">
        <v>63</v>
      </c>
      <c r="B99" s="9" t="s">
        <v>81</v>
      </c>
      <c r="C99" s="7"/>
      <c r="D99" s="7"/>
      <c r="E99" s="7"/>
      <c r="F99" s="71"/>
      <c r="G99" s="51">
        <f t="shared" si="122"/>
        <v>0</v>
      </c>
      <c r="H99" s="52" t="e">
        <f t="shared" si="123"/>
        <v>#DIV/0!</v>
      </c>
      <c r="I99" s="53">
        <f>COUNTIFS('00 Encuesta'!$B$2:$B$511,"*e)*",'00 Encuesta'!$C$2:$C$511,"*a)*",'00 Encuesta'!$E$2:$E$511,"*a)*",'00 Encuesta'!$N$2:$N$511,"*h)*")</f>
        <v>0</v>
      </c>
      <c r="J99" s="52" t="e">
        <f t="shared" si="124"/>
        <v>#DIV/0!</v>
      </c>
      <c r="K99" s="53">
        <f>COUNTIFS('00 Encuesta'!$B$2:$B$511,"*e)*",'00 Encuesta'!$C$2:$C$511,"*a)*",'00 Encuesta'!$E$2:$E$511,"*b)*",'00 Encuesta'!$N$2:$N$511,"*h)*")</f>
        <v>0</v>
      </c>
      <c r="L99" s="52" t="e">
        <f t="shared" si="125"/>
        <v>#DIV/0!</v>
      </c>
      <c r="M99" s="23"/>
      <c r="N99" s="51">
        <f t="shared" si="126"/>
        <v>0</v>
      </c>
      <c r="O99" s="52" t="e">
        <f t="shared" si="127"/>
        <v>#DIV/0!</v>
      </c>
      <c r="P99" s="53">
        <f>COUNTIFS('00 Encuesta'!$B$2:$B$511,"*e)*",'00 Encuesta'!$C$2:$C$511,"*b)*",'00 Encuesta'!$E$2:$E$511,"*a)*",'00 Encuesta'!$N$2:$N$511,"*h)*")</f>
        <v>0</v>
      </c>
      <c r="Q99" s="52" t="e">
        <f t="shared" si="128"/>
        <v>#DIV/0!</v>
      </c>
      <c r="R99" s="53">
        <f>COUNTIFS('00 Encuesta'!$B$2:$B$511,"*e)*",'00 Encuesta'!$C$2:$C$511,"*b)*",'00 Encuesta'!$E$2:$E$511,"*b)*",'00 Encuesta'!$N$2:$N$511,"*h)*")</f>
        <v>0</v>
      </c>
      <c r="S99" s="52" t="e">
        <f t="shared" si="129"/>
        <v>#DIV/0!</v>
      </c>
      <c r="T99" s="3"/>
      <c r="U99" s="51">
        <f t="shared" si="130"/>
        <v>0</v>
      </c>
      <c r="V99" s="52" t="e">
        <f t="shared" si="131"/>
        <v>#DIV/0!</v>
      </c>
      <c r="W99" s="53">
        <f>COUNTIFS('00 Encuesta'!$B$2:$B$511,"*e)*",'00 Encuesta'!$C$2:$C$511,"*c)*",'00 Encuesta'!$E$2:$E$511,"*a)*",'00 Encuesta'!$N$2:$N$511,"*h)*")</f>
        <v>0</v>
      </c>
      <c r="X99" s="52" t="e">
        <f t="shared" si="132"/>
        <v>#DIV/0!</v>
      </c>
      <c r="Y99" s="53">
        <f>COUNTIFS('00 Encuesta'!$B$2:$B$511,"*e)*",'00 Encuesta'!$C$2:$C$511,"*c)*",'00 Encuesta'!$E$2:$E$511,"*b)*",'00 Encuesta'!$N$2:$N$511,"*h)*")</f>
        <v>0</v>
      </c>
      <c r="Z99" s="52" t="e">
        <f t="shared" si="133"/>
        <v>#DIV/0!</v>
      </c>
      <c r="AA99" s="3"/>
      <c r="AB99" s="62">
        <f t="shared" si="134"/>
        <v>0</v>
      </c>
      <c r="AC99" s="52" t="e">
        <f t="shared" si="135"/>
        <v>#DIV/0!</v>
      </c>
      <c r="AD99" s="7"/>
      <c r="AE99" s="7"/>
      <c r="AF99" s="9" t="str">
        <f t="shared" si="136"/>
        <v>h) Los amigos</v>
      </c>
      <c r="AG99" s="72" t="e">
        <f t="shared" si="137"/>
        <v>#DIV/0!</v>
      </c>
      <c r="AH99" s="72" t="e">
        <f t="shared" si="138"/>
        <v>#DIV/0!</v>
      </c>
      <c r="AI99" s="73" t="e">
        <f t="shared" si="139"/>
        <v>#DIV/0!</v>
      </c>
      <c r="AJ99" s="73"/>
      <c r="AK99" s="76" t="e">
        <f t="shared" si="140"/>
        <v>#DIV/0!</v>
      </c>
      <c r="AL99" s="76" t="e">
        <f t="shared" si="141"/>
        <v>#DIV/0!</v>
      </c>
      <c r="AM99" s="76" t="e">
        <f t="shared" si="142"/>
        <v>#DIV/0!</v>
      </c>
      <c r="AN99" s="76"/>
      <c r="AO99" s="81" t="e">
        <f t="shared" si="143"/>
        <v>#DIV/0!</v>
      </c>
      <c r="AP99" s="81" t="e">
        <f t="shared" si="144"/>
        <v>#DIV/0!</v>
      </c>
      <c r="AQ99" s="81" t="e">
        <f t="shared" si="145"/>
        <v>#DIV/0!</v>
      </c>
      <c r="AR99" s="7"/>
      <c r="AS99" s="76" t="e">
        <f t="shared" si="121"/>
        <v>#DIV/0!</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x14ac:dyDescent="0.3">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x14ac:dyDescent="0.3">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x14ac:dyDescent="0.3">
      <c r="A103" s="8" t="s">
        <v>17</v>
      </c>
      <c r="B103" s="9" t="s">
        <v>102</v>
      </c>
      <c r="C103" s="7"/>
      <c r="D103" s="7"/>
      <c r="E103" s="7"/>
      <c r="F103" s="71">
        <v>100</v>
      </c>
      <c r="G103" s="51">
        <f>I103+K103</f>
        <v>0</v>
      </c>
      <c r="H103" s="52" t="e">
        <f>G103/$J$5*100</f>
        <v>#DIV/0!</v>
      </c>
      <c r="I103" s="53">
        <f>COUNTIFS('00 Encuesta'!$B$2:$B$511,"*e)*",'00 Encuesta'!$C$2:$C$511,"*a)*",'00 Encuesta'!$E$2:$E$511,"*a)*",'00 Encuesta'!$O$2:$O$511,"*a)*")</f>
        <v>0</v>
      </c>
      <c r="J103" s="52" t="e">
        <f>I103/$J$6*100</f>
        <v>#DIV/0!</v>
      </c>
      <c r="K103" s="53">
        <f>COUNTIFS('00 Encuesta'!$B$2:$B$511,"*e)*",'00 Encuesta'!$C$2:$C$511,"*a)*",'00 Encuesta'!$E$2:$E$511,"*b)*",'00 Encuesta'!$O$2:$O$511,"*a)*")</f>
        <v>0</v>
      </c>
      <c r="L103" s="52" t="e">
        <f>K103/$J$7*100</f>
        <v>#DIV/0!</v>
      </c>
      <c r="M103" s="23"/>
      <c r="N103" s="51">
        <f>P103+R103</f>
        <v>0</v>
      </c>
      <c r="O103" s="52" t="e">
        <f>N103/$Q$5*100</f>
        <v>#DIV/0!</v>
      </c>
      <c r="P103" s="53">
        <f>COUNTIFS('00 Encuesta'!$B$2:$B$511,"*e)*",'00 Encuesta'!$C$2:$C$511,"*b)*",'00 Encuesta'!$E$2:$E$511,"*a)*",'00 Encuesta'!$O$2:$O$511,"*a)*")</f>
        <v>0</v>
      </c>
      <c r="Q103" s="52" t="e">
        <f>P103/$Q$6*100</f>
        <v>#DIV/0!</v>
      </c>
      <c r="R103" s="53">
        <f>COUNTIFS('00 Encuesta'!$B$2:$B$511,"*e)*",'00 Encuesta'!$C$2:$C$511,"*b)*",'00 Encuesta'!$E$2:$E$511,"*b)*",'00 Encuesta'!$O$2:$O$511,"*a)*")</f>
        <v>0</v>
      </c>
      <c r="S103" s="52" t="e">
        <f>R103/$Q$7*100</f>
        <v>#DIV/0!</v>
      </c>
      <c r="T103" s="3"/>
      <c r="U103" s="51">
        <f>W103+Y103</f>
        <v>0</v>
      </c>
      <c r="V103" s="52" t="e">
        <f>U103/$X$5*100</f>
        <v>#DIV/0!</v>
      </c>
      <c r="W103" s="53">
        <f>COUNTIFS('00 Encuesta'!$B$2:$B$511,"*e)*",'00 Encuesta'!$C$2:$C$511,"*c)*",'00 Encuesta'!$E$2:$E$511,"*a)*",'00 Encuesta'!$O$2:$O$511,"*a)*")</f>
        <v>0</v>
      </c>
      <c r="X103" s="52" t="e">
        <f>W103/$X$6*100</f>
        <v>#DIV/0!</v>
      </c>
      <c r="Y103" s="53">
        <f>COUNTIFS('00 Encuesta'!$B$2:$B$511,"*e)*",'00 Encuesta'!$C$2:$C$511,"*c)*",'00 Encuesta'!$E$2:$E$511,"*b)*",'00 Encuesta'!$O$2:$O$511,"*a)*")</f>
        <v>0</v>
      </c>
      <c r="Z103" s="52" t="e">
        <f>Y103/$X$7*100</f>
        <v>#DIV/0!</v>
      </c>
      <c r="AA103" s="3"/>
      <c r="AB103" s="62">
        <f>G103+N103+U103</f>
        <v>0</v>
      </c>
      <c r="AC103" s="52" t="e">
        <f>AB103*100/$AC$5</f>
        <v>#DIV/0!</v>
      </c>
      <c r="AD103" s="7"/>
      <c r="AE103" s="7"/>
      <c r="AF103" s="9" t="str">
        <f t="shared" si="146"/>
        <v>a) Mucho</v>
      </c>
      <c r="AG103" s="72" t="e">
        <f>J103</f>
        <v>#DIV/0!</v>
      </c>
      <c r="AH103" s="72" t="e">
        <f>L103</f>
        <v>#DIV/0!</v>
      </c>
      <c r="AI103" s="73" t="e">
        <f>H103</f>
        <v>#DIV/0!</v>
      </c>
      <c r="AJ103" s="73"/>
      <c r="AK103" s="76" t="e">
        <f>Q103</f>
        <v>#DIV/0!</v>
      </c>
      <c r="AL103" s="76" t="e">
        <f>S103</f>
        <v>#DIV/0!</v>
      </c>
      <c r="AM103" s="76" t="e">
        <f>O103</f>
        <v>#DIV/0!</v>
      </c>
      <c r="AN103" s="76"/>
      <c r="AO103" s="81" t="e">
        <f>X103</f>
        <v>#DIV/0!</v>
      </c>
      <c r="AP103" s="81" t="e">
        <f>Z103</f>
        <v>#DIV/0!</v>
      </c>
      <c r="AQ103" s="81" t="e">
        <f>V103</f>
        <v>#DIV/0!</v>
      </c>
      <c r="AR103" s="7"/>
      <c r="AS103" s="76" t="e">
        <f t="shared" si="121"/>
        <v>#DIV/0!</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x14ac:dyDescent="0.3">
      <c r="A104" s="8" t="s">
        <v>18</v>
      </c>
      <c r="B104" s="9" t="s">
        <v>103</v>
      </c>
      <c r="C104" s="7"/>
      <c r="D104" s="7"/>
      <c r="E104" s="7"/>
      <c r="F104" s="71">
        <v>66.66</v>
      </c>
      <c r="G104" s="51">
        <f>I104+K104</f>
        <v>0</v>
      </c>
      <c r="H104" s="52" t="e">
        <f>G104/$J$5*100</f>
        <v>#DIV/0!</v>
      </c>
      <c r="I104" s="53">
        <f>COUNTIFS('00 Encuesta'!$B$2:$B$511,"*e)*",'00 Encuesta'!$C$2:$C$511,"*a)*",'00 Encuesta'!$E$2:$E$511,"*a)*",'00 Encuesta'!$O$2:$O$511,"*b)*")</f>
        <v>0</v>
      </c>
      <c r="J104" s="52" t="e">
        <f>I104/$J$6*100</f>
        <v>#DIV/0!</v>
      </c>
      <c r="K104" s="53">
        <f>COUNTIFS('00 Encuesta'!$B$2:$B$511,"*e)*",'00 Encuesta'!$C$2:$C$511,"*a)*",'00 Encuesta'!$E$2:$E$511,"*b)*",'00 Encuesta'!$O$2:$O$511,"*b)*")</f>
        <v>0</v>
      </c>
      <c r="L104" s="52" t="e">
        <f>K104/$J$7*100</f>
        <v>#DIV/0!</v>
      </c>
      <c r="M104" s="23"/>
      <c r="N104" s="51">
        <f>P104+R104</f>
        <v>0</v>
      </c>
      <c r="O104" s="52" t="e">
        <f>N104/$Q$5*100</f>
        <v>#DIV/0!</v>
      </c>
      <c r="P104" s="53">
        <f>COUNTIFS('00 Encuesta'!$B$2:$B$511,"*e)*",'00 Encuesta'!$C$2:$C$511,"*b)*",'00 Encuesta'!$E$2:$E$511,"*a)*",'00 Encuesta'!$O$2:$O$511,"*b)*")</f>
        <v>0</v>
      </c>
      <c r="Q104" s="52" t="e">
        <f>P104/$Q$6*100</f>
        <v>#DIV/0!</v>
      </c>
      <c r="R104" s="53">
        <f>COUNTIFS('00 Encuesta'!$B$2:$B$511,"*e)*",'00 Encuesta'!$C$2:$C$511,"*b)*",'00 Encuesta'!$E$2:$E$511,"*b)*",'00 Encuesta'!$O$2:$O$511,"*b)*")</f>
        <v>0</v>
      </c>
      <c r="S104" s="52" t="e">
        <f>R104/$Q$7*100</f>
        <v>#DIV/0!</v>
      </c>
      <c r="T104" s="3"/>
      <c r="U104" s="51">
        <f>W104+Y104</f>
        <v>0</v>
      </c>
      <c r="V104" s="52" t="e">
        <f>U104/$X$5*100</f>
        <v>#DIV/0!</v>
      </c>
      <c r="W104" s="53">
        <f>COUNTIFS('00 Encuesta'!$B$2:$B$511,"*e)*",'00 Encuesta'!$C$2:$C$511,"*c)*",'00 Encuesta'!$E$2:$E$511,"*a)*",'00 Encuesta'!$O$2:$O$511,"*b)*")</f>
        <v>0</v>
      </c>
      <c r="X104" s="52" t="e">
        <f>W104/$X$6*100</f>
        <v>#DIV/0!</v>
      </c>
      <c r="Y104" s="53">
        <f>COUNTIFS('00 Encuesta'!$B$2:$B$511,"*e)*",'00 Encuesta'!$C$2:$C$511,"*c)*",'00 Encuesta'!$E$2:$E$511,"*b)*",'00 Encuesta'!$O$2:$O$511,"*b)*")</f>
        <v>0</v>
      </c>
      <c r="Z104" s="52" t="e">
        <f>Y104/$X$7*100</f>
        <v>#DIV/0!</v>
      </c>
      <c r="AA104" s="3"/>
      <c r="AB104" s="62">
        <f>G104+N104+U104</f>
        <v>0</v>
      </c>
      <c r="AC104" s="52" t="e">
        <f>AB104*100/$AC$5</f>
        <v>#DIV/0!</v>
      </c>
      <c r="AD104" s="7"/>
      <c r="AE104" s="7"/>
      <c r="AF104" s="9" t="str">
        <f t="shared" si="146"/>
        <v>b) Suficiente</v>
      </c>
      <c r="AG104" s="72" t="e">
        <f>J104</f>
        <v>#DIV/0!</v>
      </c>
      <c r="AH104" s="72" t="e">
        <f>L104</f>
        <v>#DIV/0!</v>
      </c>
      <c r="AI104" s="73" t="e">
        <f>H104</f>
        <v>#DIV/0!</v>
      </c>
      <c r="AJ104" s="73"/>
      <c r="AK104" s="76" t="e">
        <f>Q104</f>
        <v>#DIV/0!</v>
      </c>
      <c r="AL104" s="76" t="e">
        <f>S104</f>
        <v>#DIV/0!</v>
      </c>
      <c r="AM104" s="76" t="e">
        <f>O104</f>
        <v>#DIV/0!</v>
      </c>
      <c r="AN104" s="76"/>
      <c r="AO104" s="81" t="e">
        <f>X104</f>
        <v>#DIV/0!</v>
      </c>
      <c r="AP104" s="81" t="e">
        <f>Z104</f>
        <v>#DIV/0!</v>
      </c>
      <c r="AQ104" s="81" t="e">
        <f>V104</f>
        <v>#DIV/0!</v>
      </c>
      <c r="AR104" s="7"/>
      <c r="AS104" s="76" t="e">
        <f t="shared" si="121"/>
        <v>#DIV/0!</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x14ac:dyDescent="0.3">
      <c r="A105" s="8" t="s">
        <v>20</v>
      </c>
      <c r="B105" s="9" t="s">
        <v>104</v>
      </c>
      <c r="C105" s="7"/>
      <c r="D105" s="7"/>
      <c r="E105" s="7"/>
      <c r="F105" s="71">
        <v>33.33</v>
      </c>
      <c r="G105" s="51">
        <f>I105+K105</f>
        <v>0</v>
      </c>
      <c r="H105" s="52" t="e">
        <f>G105/$J$5*100</f>
        <v>#DIV/0!</v>
      </c>
      <c r="I105" s="53">
        <f>COUNTIFS('00 Encuesta'!$B$2:$B$511,"*e)*",'00 Encuesta'!$C$2:$C$511,"*a)*",'00 Encuesta'!$E$2:$E$511,"*a)*",'00 Encuesta'!$O$2:$O$511,"*c)*")</f>
        <v>0</v>
      </c>
      <c r="J105" s="52" t="e">
        <f>I105/$J$6*100</f>
        <v>#DIV/0!</v>
      </c>
      <c r="K105" s="53">
        <f>COUNTIFS('00 Encuesta'!$B$2:$B$511,"*e)*",'00 Encuesta'!$C$2:$C$511,"*a)*",'00 Encuesta'!$E$2:$E$511,"*b)*",'00 Encuesta'!$O$2:$O$511,"*c)*")</f>
        <v>0</v>
      </c>
      <c r="L105" s="52" t="e">
        <f>K105/$J$7*100</f>
        <v>#DIV/0!</v>
      </c>
      <c r="M105" s="23"/>
      <c r="N105" s="51">
        <f>P105+R105</f>
        <v>0</v>
      </c>
      <c r="O105" s="52" t="e">
        <f>N105/$Q$5*100</f>
        <v>#DIV/0!</v>
      </c>
      <c r="P105" s="53">
        <f>COUNTIFS('00 Encuesta'!$B$2:$B$511,"*e)*",'00 Encuesta'!$C$2:$C$511,"*b)*",'00 Encuesta'!$E$2:$E$511,"*a)*",'00 Encuesta'!$O$2:$O$511,"*c)*")</f>
        <v>0</v>
      </c>
      <c r="Q105" s="52" t="e">
        <f>P105/$Q$6*100</f>
        <v>#DIV/0!</v>
      </c>
      <c r="R105" s="53">
        <f>COUNTIFS('00 Encuesta'!$B$2:$B$511,"*e)*",'00 Encuesta'!$C$2:$C$511,"*b)*",'00 Encuesta'!$E$2:$E$511,"*b)*",'00 Encuesta'!$O$2:$O$511,"*c)*")</f>
        <v>0</v>
      </c>
      <c r="S105" s="52" t="e">
        <f>R105/$Q$7*100</f>
        <v>#DIV/0!</v>
      </c>
      <c r="T105" s="3"/>
      <c r="U105" s="51">
        <f>W105+Y105</f>
        <v>0</v>
      </c>
      <c r="V105" s="52" t="e">
        <f>U105/$X$5*100</f>
        <v>#DIV/0!</v>
      </c>
      <c r="W105" s="53">
        <f>COUNTIFS('00 Encuesta'!$B$2:$B$511,"*e)*",'00 Encuesta'!$C$2:$C$511,"*c)*",'00 Encuesta'!$E$2:$E$511,"*a)*",'00 Encuesta'!$O$2:$O$511,"*c)*")</f>
        <v>0</v>
      </c>
      <c r="X105" s="52" t="e">
        <f>W105/$X$6*100</f>
        <v>#DIV/0!</v>
      </c>
      <c r="Y105" s="53">
        <f>COUNTIFS('00 Encuesta'!$B$2:$B$511,"*e)*",'00 Encuesta'!$C$2:$C$511,"*c)*",'00 Encuesta'!$E$2:$E$511,"*b)*",'00 Encuesta'!$O$2:$O$511,"*c)*")</f>
        <v>0</v>
      </c>
      <c r="Z105" s="52" t="e">
        <f>Y105/$X$7*100</f>
        <v>#DIV/0!</v>
      </c>
      <c r="AA105" s="3"/>
      <c r="AB105" s="62">
        <f>G105+N105+U105</f>
        <v>0</v>
      </c>
      <c r="AC105" s="52" t="e">
        <f>AB105*100/$AC$5</f>
        <v>#DIV/0!</v>
      </c>
      <c r="AD105" s="7"/>
      <c r="AE105" s="7"/>
      <c r="AF105" s="9" t="str">
        <f t="shared" si="146"/>
        <v>c) Poco</v>
      </c>
      <c r="AG105" s="72" t="e">
        <f>J105</f>
        <v>#DIV/0!</v>
      </c>
      <c r="AH105" s="72" t="e">
        <f>L105</f>
        <v>#DIV/0!</v>
      </c>
      <c r="AI105" s="73" t="e">
        <f>H105</f>
        <v>#DIV/0!</v>
      </c>
      <c r="AJ105" s="73"/>
      <c r="AK105" s="76" t="e">
        <f>Q105</f>
        <v>#DIV/0!</v>
      </c>
      <c r="AL105" s="76" t="e">
        <f>S105</f>
        <v>#DIV/0!</v>
      </c>
      <c r="AM105" s="76" t="e">
        <f>O105</f>
        <v>#DIV/0!</v>
      </c>
      <c r="AN105" s="76"/>
      <c r="AO105" s="81" t="e">
        <f>X105</f>
        <v>#DIV/0!</v>
      </c>
      <c r="AP105" s="81" t="e">
        <f>Z105</f>
        <v>#DIV/0!</v>
      </c>
      <c r="AQ105" s="81" t="e">
        <f>V105</f>
        <v>#DIV/0!</v>
      </c>
      <c r="AR105" s="7"/>
      <c r="AS105" s="76" t="e">
        <f t="shared" si="121"/>
        <v>#DIV/0!</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x14ac:dyDescent="0.3">
      <c r="A106" s="8" t="s">
        <v>21</v>
      </c>
      <c r="B106" s="9" t="s">
        <v>105</v>
      </c>
      <c r="C106" s="7"/>
      <c r="D106" s="7"/>
      <c r="E106" s="7"/>
      <c r="F106" s="71">
        <v>0</v>
      </c>
      <c r="G106" s="51">
        <f>I106+K106</f>
        <v>0</v>
      </c>
      <c r="H106" s="52" t="e">
        <f>G106/$J$5*100</f>
        <v>#DIV/0!</v>
      </c>
      <c r="I106" s="53">
        <f>COUNTIFS('00 Encuesta'!$B$2:$B$511,"*e)*",'00 Encuesta'!$C$2:$C$511,"*a)*",'00 Encuesta'!$E$2:$E$511,"*a)*",'00 Encuesta'!$O$2:$O$511,"*d)*")</f>
        <v>0</v>
      </c>
      <c r="J106" s="52" t="e">
        <f>I106/$J$6*100</f>
        <v>#DIV/0!</v>
      </c>
      <c r="K106" s="53">
        <f>COUNTIFS('00 Encuesta'!$B$2:$B$511,"*e)*",'00 Encuesta'!$C$2:$C$511,"*a)*",'00 Encuesta'!$E$2:$E$511,"*b)*",'00 Encuesta'!$O$2:$O$511,"*d)*")</f>
        <v>0</v>
      </c>
      <c r="L106" s="52" t="e">
        <f>K106/$J$7*100</f>
        <v>#DIV/0!</v>
      </c>
      <c r="M106" s="23"/>
      <c r="N106" s="51">
        <f>P106+R106</f>
        <v>0</v>
      </c>
      <c r="O106" s="52" t="e">
        <f>N106/$Q$5*100</f>
        <v>#DIV/0!</v>
      </c>
      <c r="P106" s="53">
        <f>COUNTIFS('00 Encuesta'!$B$2:$B$511,"*e)*",'00 Encuesta'!$C$2:$C$511,"*b)*",'00 Encuesta'!$E$2:$E$511,"*a)*",'00 Encuesta'!$O$2:$O$511,"*d)*")</f>
        <v>0</v>
      </c>
      <c r="Q106" s="52" t="e">
        <f>P106/$Q$6*100</f>
        <v>#DIV/0!</v>
      </c>
      <c r="R106" s="53">
        <f>COUNTIFS('00 Encuesta'!$B$2:$B$511,"*e)*",'00 Encuesta'!$C$2:$C$511,"*b)*",'00 Encuesta'!$E$2:$E$511,"*b)*",'00 Encuesta'!$O$2:$O$511,"*d)*")</f>
        <v>0</v>
      </c>
      <c r="S106" s="52" t="e">
        <f>R106/$Q$7*100</f>
        <v>#DIV/0!</v>
      </c>
      <c r="T106" s="3"/>
      <c r="U106" s="51">
        <f>W106+Y106</f>
        <v>0</v>
      </c>
      <c r="V106" s="52" t="e">
        <f>U106/$X$5*100</f>
        <v>#DIV/0!</v>
      </c>
      <c r="W106" s="53">
        <f>COUNTIFS('00 Encuesta'!$B$2:$B$511,"*e)*",'00 Encuesta'!$C$2:$C$511,"*c)*",'00 Encuesta'!$E$2:$E$511,"*a)*",'00 Encuesta'!$O$2:$O$511,"*d)*")</f>
        <v>0</v>
      </c>
      <c r="X106" s="52" t="e">
        <f>W106/$X$6*100</f>
        <v>#DIV/0!</v>
      </c>
      <c r="Y106" s="53">
        <f>COUNTIFS('00 Encuesta'!$B$2:$B$511,"*e)*",'00 Encuesta'!$C$2:$C$511,"*c)*",'00 Encuesta'!$E$2:$E$511,"*b)*",'00 Encuesta'!$O$2:$O$511,"*d)*")</f>
        <v>0</v>
      </c>
      <c r="Z106" s="52" t="e">
        <f>Y106/$X$7*100</f>
        <v>#DIV/0!</v>
      </c>
      <c r="AA106" s="3"/>
      <c r="AB106" s="62">
        <f>G106+N106+U106</f>
        <v>0</v>
      </c>
      <c r="AC106" s="52" t="e">
        <f>AB106*100/$AC$5</f>
        <v>#DIV/0!</v>
      </c>
      <c r="AD106" s="7"/>
      <c r="AE106" s="7"/>
      <c r="AF106" s="9" t="str">
        <f t="shared" si="146"/>
        <v>d) Nada</v>
      </c>
      <c r="AG106" s="72" t="e">
        <f>J106</f>
        <v>#DIV/0!</v>
      </c>
      <c r="AH106" s="72" t="e">
        <f>L106</f>
        <v>#DIV/0!</v>
      </c>
      <c r="AI106" s="73" t="e">
        <f>H106</f>
        <v>#DIV/0!</v>
      </c>
      <c r="AJ106" s="73"/>
      <c r="AK106" s="76" t="e">
        <f>Q106</f>
        <v>#DIV/0!</v>
      </c>
      <c r="AL106" s="76" t="e">
        <f>S106</f>
        <v>#DIV/0!</v>
      </c>
      <c r="AM106" s="76" t="e">
        <f>O106</f>
        <v>#DIV/0!</v>
      </c>
      <c r="AN106" s="76"/>
      <c r="AO106" s="81" t="e">
        <f>X106</f>
        <v>#DIV/0!</v>
      </c>
      <c r="AP106" s="81" t="e">
        <f>Z106</f>
        <v>#DIV/0!</v>
      </c>
      <c r="AQ106" s="81" t="e">
        <f>V106</f>
        <v>#DIV/0!</v>
      </c>
      <c r="AR106" s="7"/>
      <c r="AS106" s="76" t="e">
        <f t="shared" si="121"/>
        <v>#DIV/0!</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x14ac:dyDescent="0.3">
      <c r="A107" s="8" t="s">
        <v>23</v>
      </c>
      <c r="B107" s="9" t="s">
        <v>24</v>
      </c>
      <c r="C107" s="7"/>
      <c r="D107" s="7"/>
      <c r="E107" s="7"/>
      <c r="F107" s="71"/>
      <c r="G107" s="51">
        <f>I107+K107</f>
        <v>0</v>
      </c>
      <c r="H107" s="52" t="e">
        <f>G107/$J$5*100</f>
        <v>#DIV/0!</v>
      </c>
      <c r="I107" s="53"/>
      <c r="J107" s="52" t="e">
        <f>I107/$J$6*100</f>
        <v>#DIV/0!</v>
      </c>
      <c r="K107" s="53"/>
      <c r="L107" s="52" t="e">
        <f>K107/$J$7*100</f>
        <v>#DIV/0!</v>
      </c>
      <c r="M107" s="23"/>
      <c r="N107" s="51">
        <f>P107+R107</f>
        <v>0</v>
      </c>
      <c r="O107" s="52" t="e">
        <f>N107/$Q$5*100</f>
        <v>#DIV/0!</v>
      </c>
      <c r="P107" s="53"/>
      <c r="Q107" s="52" t="e">
        <f>P107/$Q$6*100</f>
        <v>#DIV/0!</v>
      </c>
      <c r="R107" s="53"/>
      <c r="S107" s="52" t="e">
        <f>R107/$Q$7*100</f>
        <v>#DIV/0!</v>
      </c>
      <c r="T107" s="3"/>
      <c r="U107" s="51">
        <f>W107+Y107</f>
        <v>0</v>
      </c>
      <c r="V107" s="52" t="e">
        <f>U107/$X$5*100</f>
        <v>#DIV/0!</v>
      </c>
      <c r="W107" s="53"/>
      <c r="X107" s="52" t="e">
        <f>W107/$X$6*100</f>
        <v>#DIV/0!</v>
      </c>
      <c r="Y107" s="53"/>
      <c r="Z107" s="52" t="e">
        <f>Y107/$X$7*100</f>
        <v>#DIV/0!</v>
      </c>
      <c r="AA107" s="3"/>
      <c r="AB107" s="62">
        <f>G107+N107+U107</f>
        <v>0</v>
      </c>
      <c r="AC107" s="52" t="e">
        <f>AB107*100/$AC$5</f>
        <v>#DIV/0!</v>
      </c>
      <c r="AD107" s="7"/>
      <c r="AE107" s="7"/>
      <c r="AF107" s="9" t="str">
        <f t="shared" si="146"/>
        <v>S/R Sin Respuesta</v>
      </c>
      <c r="AG107" s="72" t="e">
        <f>J107</f>
        <v>#DIV/0!</v>
      </c>
      <c r="AH107" s="72" t="e">
        <f>L107</f>
        <v>#DIV/0!</v>
      </c>
      <c r="AI107" s="73" t="e">
        <f>H107</f>
        <v>#DIV/0!</v>
      </c>
      <c r="AJ107" s="73"/>
      <c r="AK107" s="76" t="e">
        <f>Q107</f>
        <v>#DIV/0!</v>
      </c>
      <c r="AL107" s="76" t="e">
        <f>S107</f>
        <v>#DIV/0!</v>
      </c>
      <c r="AM107" s="76" t="e">
        <f>O107</f>
        <v>#DIV/0!</v>
      </c>
      <c r="AN107" s="76"/>
      <c r="AO107" s="81" t="e">
        <f>X107</f>
        <v>#DIV/0!</v>
      </c>
      <c r="AP107" s="81" t="e">
        <f>Z107</f>
        <v>#DIV/0!</v>
      </c>
      <c r="AQ107" s="81" t="e">
        <f>V107</f>
        <v>#DIV/0!</v>
      </c>
      <c r="AR107" s="7"/>
      <c r="AS107" s="76" t="e">
        <f t="shared" si="121"/>
        <v>#DIV/0!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x14ac:dyDescent="0.3">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t="e">
        <f>(+$F103*I103+$F104*I104+$F105*I105+$F106*I106)/(+I103+I104+I105+I106)</f>
        <v>#DIV/0!</v>
      </c>
      <c r="AH108" s="82" t="e">
        <f>($F103*K103+$F104*K104+$F105*K105+$F106*K106)/(+K103+K104+K105+K106)</f>
        <v>#DIV/0!</v>
      </c>
      <c r="AI108" s="82" t="e">
        <f>($F103*G103+$F104*G104+$F105*G105+$F106*G106)/(G103+G104+G105+G106)</f>
        <v>#DIV/0!</v>
      </c>
      <c r="AJ108" s="82"/>
      <c r="AK108" s="82" t="e">
        <f>($F103*P103+$F104*P104+$F105*P105+$F106*P106)/(P103+P104+P105+P106)</f>
        <v>#DIV/0!</v>
      </c>
      <c r="AL108" s="82" t="e">
        <f>($F103*R103+$F104*R104+$F105*R105+$F106*R106)/(R103+R104+R105+R106)</f>
        <v>#DIV/0!</v>
      </c>
      <c r="AM108" s="82" t="e">
        <f>($F103*N103+$F104*N104+$F105*N105+$F106*N106)/(N103+N104+N105+N106)</f>
        <v>#DIV/0!</v>
      </c>
      <c r="AN108" s="82"/>
      <c r="AO108" s="82" t="e">
        <f>($F103*W103+$F104*W104+$F105*W105+$F106*W106)/(W103+W104+W105+W106)</f>
        <v>#DIV/0!</v>
      </c>
      <c r="AP108" s="82" t="e">
        <f>($F103*Y103+$F104*Y104+$F105*Y105+$F106*Y106)/(Y103+Y104+Y105+Y106)</f>
        <v>#DIV/0!</v>
      </c>
      <c r="AQ108" s="82" t="e">
        <f>($F103*U103+$F104*U104+$F105*U105+$F106*U106)/(U103+U104+U105+U106)</f>
        <v>#DIV/0!</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x14ac:dyDescent="0.3">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x14ac:dyDescent="0.3">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x14ac:dyDescent="0.3">
      <c r="A111" s="8" t="s">
        <v>17</v>
      </c>
      <c r="B111" s="9" t="s">
        <v>102</v>
      </c>
      <c r="C111" s="7"/>
      <c r="D111" s="7"/>
      <c r="E111" s="7"/>
      <c r="F111" s="71">
        <v>100</v>
      </c>
      <c r="G111" s="51">
        <f>I111+K111</f>
        <v>0</v>
      </c>
      <c r="H111" s="52" t="e">
        <f>G111/$J$5*100</f>
        <v>#DIV/0!</v>
      </c>
      <c r="I111" s="53">
        <f>COUNTIFS('00 Encuesta'!$B$2:$B$511,"*e)*",'00 Encuesta'!$C$2:$C$511,"*a)*",'00 Encuesta'!$E$2:$E$511,"*a)*",'00 Encuesta'!$P$2:$P$511,"*a)*")</f>
        <v>0</v>
      </c>
      <c r="J111" s="52" t="e">
        <f>I111/$J$6*100</f>
        <v>#DIV/0!</v>
      </c>
      <c r="K111" s="53">
        <f>COUNTIFS('00 Encuesta'!$B$2:$B$511,"*e)*",'00 Encuesta'!$C$2:$C$511,"*a)*",'00 Encuesta'!$E$2:$E$511,"*b)*",'00 Encuesta'!$P$2:$P$511,"*a)*")</f>
        <v>0</v>
      </c>
      <c r="L111" s="52" t="e">
        <f>K111/$J$7*100</f>
        <v>#DIV/0!</v>
      </c>
      <c r="M111" s="23"/>
      <c r="N111" s="51">
        <f>P111+R111</f>
        <v>0</v>
      </c>
      <c r="O111" s="52" t="e">
        <f>N111/$Q$5*100</f>
        <v>#DIV/0!</v>
      </c>
      <c r="P111" s="53">
        <f>COUNTIFS('00 Encuesta'!$B$2:$B$511,"*e)*",'00 Encuesta'!$C$2:$C$511,"*b)*",'00 Encuesta'!$E$2:$E$511,"*a)*",'00 Encuesta'!$P$2:$P$511,"*a)*")</f>
        <v>0</v>
      </c>
      <c r="Q111" s="52" t="e">
        <f>P111/$Q$6*100</f>
        <v>#DIV/0!</v>
      </c>
      <c r="R111" s="53">
        <f>COUNTIFS('00 Encuesta'!$B$2:$B$511,"*e)*",'00 Encuesta'!$C$2:$C$511,"*b)*",'00 Encuesta'!$E$2:$E$511,"*b)*",'00 Encuesta'!$P$2:$P$511,"*a)*")</f>
        <v>0</v>
      </c>
      <c r="S111" s="52" t="e">
        <f>R111/$Q$7*100</f>
        <v>#DIV/0!</v>
      </c>
      <c r="T111" s="3"/>
      <c r="U111" s="51">
        <f>W111+Y111</f>
        <v>0</v>
      </c>
      <c r="V111" s="52" t="e">
        <f>U111/$X$5*100</f>
        <v>#DIV/0!</v>
      </c>
      <c r="W111" s="53">
        <f>COUNTIFS('00 Encuesta'!$B$2:$B$511,"*e)*",'00 Encuesta'!$C$2:$C$511,"*c)*",'00 Encuesta'!$E$2:$E$511,"*a)*",'00 Encuesta'!$P$2:$P$511,"*a)*")</f>
        <v>0</v>
      </c>
      <c r="X111" s="52" t="e">
        <f>W111/$X$6*100</f>
        <v>#DIV/0!</v>
      </c>
      <c r="Y111" s="53">
        <f>COUNTIFS('00 Encuesta'!$B$2:$B$511,"*e)*",'00 Encuesta'!$C$2:$C$511,"*c)*",'00 Encuesta'!$E$2:$E$511,"*b)*",'00 Encuesta'!$P$2:$P$511,"*a)*")</f>
        <v>0</v>
      </c>
      <c r="Z111" s="52" t="e">
        <f>Y111/$X$7*100</f>
        <v>#DIV/0!</v>
      </c>
      <c r="AA111" s="3"/>
      <c r="AB111" s="62">
        <f>G111+N111+U111</f>
        <v>0</v>
      </c>
      <c r="AC111" s="52" t="e">
        <f>AB111*100/$AC$5</f>
        <v>#DIV/0!</v>
      </c>
      <c r="AD111" s="7"/>
      <c r="AE111" s="7"/>
      <c r="AF111" s="9" t="str">
        <f t="shared" si="147"/>
        <v>a) Mucho</v>
      </c>
      <c r="AG111" s="72" t="e">
        <f>J111</f>
        <v>#DIV/0!</v>
      </c>
      <c r="AH111" s="72" t="e">
        <f>L111</f>
        <v>#DIV/0!</v>
      </c>
      <c r="AI111" s="73" t="e">
        <f>H111</f>
        <v>#DIV/0!</v>
      </c>
      <c r="AJ111" s="73"/>
      <c r="AK111" s="76" t="e">
        <f>Q111</f>
        <v>#DIV/0!</v>
      </c>
      <c r="AL111" s="76" t="e">
        <f>S111</f>
        <v>#DIV/0!</v>
      </c>
      <c r="AM111" s="76" t="e">
        <f>O111</f>
        <v>#DIV/0!</v>
      </c>
      <c r="AN111" s="76"/>
      <c r="AO111" s="81" t="e">
        <f>X111</f>
        <v>#DIV/0!</v>
      </c>
      <c r="AP111" s="81" t="e">
        <f>Z111</f>
        <v>#DIV/0!</v>
      </c>
      <c r="AQ111" s="81" t="e">
        <f>V111</f>
        <v>#DIV/0!</v>
      </c>
      <c r="AR111" s="7"/>
      <c r="AS111" s="76" t="e">
        <f t="shared" si="121"/>
        <v>#DIV/0!</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x14ac:dyDescent="0.3">
      <c r="A112" s="8" t="s">
        <v>18</v>
      </c>
      <c r="B112" s="9" t="s">
        <v>103</v>
      </c>
      <c r="C112" s="7"/>
      <c r="D112" s="7"/>
      <c r="E112" s="7"/>
      <c r="F112" s="71">
        <v>66.66</v>
      </c>
      <c r="G112" s="51">
        <f>I112+K112</f>
        <v>0</v>
      </c>
      <c r="H112" s="52" t="e">
        <f>G112/$J$5*100</f>
        <v>#DIV/0!</v>
      </c>
      <c r="I112" s="53">
        <f>COUNTIFS('00 Encuesta'!$B$2:$B$511,"*e)*",'00 Encuesta'!$C$2:$C$511,"*a)*",'00 Encuesta'!$E$2:$E$511,"*a)*",'00 Encuesta'!$P$2:$P$511,"*b)*")</f>
        <v>0</v>
      </c>
      <c r="J112" s="52" t="e">
        <f>I112/$J$6*100</f>
        <v>#DIV/0!</v>
      </c>
      <c r="K112" s="53">
        <f>COUNTIFS('00 Encuesta'!$B$2:$B$511,"*e)*",'00 Encuesta'!$C$2:$C$511,"*a)*",'00 Encuesta'!$E$2:$E$511,"*b)*",'00 Encuesta'!$P$2:$P$511,"*b)*")</f>
        <v>0</v>
      </c>
      <c r="L112" s="52" t="e">
        <f>K112/$J$7*100</f>
        <v>#DIV/0!</v>
      </c>
      <c r="M112" s="23"/>
      <c r="N112" s="51">
        <f>P112+R112</f>
        <v>0</v>
      </c>
      <c r="O112" s="52" t="e">
        <f>N112/$Q$5*100</f>
        <v>#DIV/0!</v>
      </c>
      <c r="P112" s="53">
        <f>COUNTIFS('00 Encuesta'!$B$2:$B$511,"*e)*",'00 Encuesta'!$C$2:$C$511,"*b)*",'00 Encuesta'!$E$2:$E$511,"*a)*",'00 Encuesta'!$P$2:$P$511,"*b)*")</f>
        <v>0</v>
      </c>
      <c r="Q112" s="52" t="e">
        <f>P112/$Q$6*100</f>
        <v>#DIV/0!</v>
      </c>
      <c r="R112" s="53">
        <f>COUNTIFS('00 Encuesta'!$B$2:$B$511,"*e)*",'00 Encuesta'!$C$2:$C$511,"*b)*",'00 Encuesta'!$E$2:$E$511,"*b)*",'00 Encuesta'!$P$2:$P$511,"*b)*")</f>
        <v>0</v>
      </c>
      <c r="S112" s="52" t="e">
        <f>R112/$Q$7*100</f>
        <v>#DIV/0!</v>
      </c>
      <c r="T112" s="3"/>
      <c r="U112" s="51">
        <f>W112+Y112</f>
        <v>0</v>
      </c>
      <c r="V112" s="52" t="e">
        <f>U112/$X$5*100</f>
        <v>#DIV/0!</v>
      </c>
      <c r="W112" s="53">
        <f>COUNTIFS('00 Encuesta'!$B$2:$B$511,"*e)*",'00 Encuesta'!$C$2:$C$511,"*c)*",'00 Encuesta'!$E$2:$E$511,"*a)*",'00 Encuesta'!$P$2:$P$511,"*b)*")</f>
        <v>0</v>
      </c>
      <c r="X112" s="52" t="e">
        <f>W112/$X$6*100</f>
        <v>#DIV/0!</v>
      </c>
      <c r="Y112" s="53">
        <f>COUNTIFS('00 Encuesta'!$B$2:$B$511,"*e)*",'00 Encuesta'!$C$2:$C$511,"*c)*",'00 Encuesta'!$E$2:$E$511,"*b)*",'00 Encuesta'!$P$2:$P$511,"*b)*")</f>
        <v>0</v>
      </c>
      <c r="Z112" s="52" t="e">
        <f>Y112/$X$7*100</f>
        <v>#DIV/0!</v>
      </c>
      <c r="AA112" s="3"/>
      <c r="AB112" s="62">
        <f>G112+N112+U112</f>
        <v>0</v>
      </c>
      <c r="AC112" s="52" t="e">
        <f>AB112*100/$AC$5</f>
        <v>#DIV/0!</v>
      </c>
      <c r="AD112" s="7"/>
      <c r="AE112" s="7"/>
      <c r="AF112" s="9" t="str">
        <f t="shared" si="147"/>
        <v>b) Suficiente</v>
      </c>
      <c r="AG112" s="72" t="e">
        <f>J112</f>
        <v>#DIV/0!</v>
      </c>
      <c r="AH112" s="72" t="e">
        <f>L112</f>
        <v>#DIV/0!</v>
      </c>
      <c r="AI112" s="73" t="e">
        <f>H112</f>
        <v>#DIV/0!</v>
      </c>
      <c r="AJ112" s="73"/>
      <c r="AK112" s="76" t="e">
        <f>Q112</f>
        <v>#DIV/0!</v>
      </c>
      <c r="AL112" s="76" t="e">
        <f>S112</f>
        <v>#DIV/0!</v>
      </c>
      <c r="AM112" s="76" t="e">
        <f>O112</f>
        <v>#DIV/0!</v>
      </c>
      <c r="AN112" s="76"/>
      <c r="AO112" s="81" t="e">
        <f>X112</f>
        <v>#DIV/0!</v>
      </c>
      <c r="AP112" s="81" t="e">
        <f>Z112</f>
        <v>#DIV/0!</v>
      </c>
      <c r="AQ112" s="81" t="e">
        <f>V112</f>
        <v>#DIV/0!</v>
      </c>
      <c r="AR112" s="7"/>
      <c r="AS112" s="76" t="e">
        <f t="shared" si="121"/>
        <v>#DIV/0!</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x14ac:dyDescent="0.3">
      <c r="A113" s="8" t="s">
        <v>20</v>
      </c>
      <c r="B113" s="9" t="s">
        <v>104</v>
      </c>
      <c r="C113" s="7"/>
      <c r="D113" s="7"/>
      <c r="E113" s="7"/>
      <c r="F113" s="71">
        <v>33.33</v>
      </c>
      <c r="G113" s="51">
        <f>I113+K113</f>
        <v>0</v>
      </c>
      <c r="H113" s="52" t="e">
        <f>G113/$J$5*100</f>
        <v>#DIV/0!</v>
      </c>
      <c r="I113" s="53">
        <f>COUNTIFS('00 Encuesta'!$B$2:$B$511,"*e)*",'00 Encuesta'!$C$2:$C$511,"*a)*",'00 Encuesta'!$E$2:$E$511,"*a)*",'00 Encuesta'!$P$2:$P$511,"*c)*")</f>
        <v>0</v>
      </c>
      <c r="J113" s="52" t="e">
        <f>I113/$J$6*100</f>
        <v>#DIV/0!</v>
      </c>
      <c r="K113" s="53">
        <f>COUNTIFS('00 Encuesta'!$B$2:$B$511,"*e)*",'00 Encuesta'!$C$2:$C$511,"*a)*",'00 Encuesta'!$E$2:$E$511,"*b)*",'00 Encuesta'!$P$2:$P$511,"*c)*")</f>
        <v>0</v>
      </c>
      <c r="L113" s="52" t="e">
        <f>K113/$J$7*100</f>
        <v>#DIV/0!</v>
      </c>
      <c r="M113" s="23"/>
      <c r="N113" s="51">
        <f>P113+R113</f>
        <v>0</v>
      </c>
      <c r="O113" s="52" t="e">
        <f>N113/$Q$5*100</f>
        <v>#DIV/0!</v>
      </c>
      <c r="P113" s="53">
        <f>COUNTIFS('00 Encuesta'!$B$2:$B$511,"*e)*",'00 Encuesta'!$C$2:$C$511,"*b)*",'00 Encuesta'!$E$2:$E$511,"*a)*",'00 Encuesta'!$P$2:$P$511,"*c)*")</f>
        <v>0</v>
      </c>
      <c r="Q113" s="52" t="e">
        <f>P113/$Q$6*100</f>
        <v>#DIV/0!</v>
      </c>
      <c r="R113" s="53">
        <f>COUNTIFS('00 Encuesta'!$B$2:$B$511,"*e)*",'00 Encuesta'!$C$2:$C$511,"*b)*",'00 Encuesta'!$E$2:$E$511,"*b)*",'00 Encuesta'!$P$2:$P$511,"*c)*")</f>
        <v>0</v>
      </c>
      <c r="S113" s="52" t="e">
        <f>R113/$Q$7*100</f>
        <v>#DIV/0!</v>
      </c>
      <c r="T113" s="3"/>
      <c r="U113" s="51">
        <f>W113+Y113</f>
        <v>0</v>
      </c>
      <c r="V113" s="52" t="e">
        <f>U113/$X$5*100</f>
        <v>#DIV/0!</v>
      </c>
      <c r="W113" s="53">
        <f>COUNTIFS('00 Encuesta'!$B$2:$B$511,"*e)*",'00 Encuesta'!$C$2:$C$511,"*c)*",'00 Encuesta'!$E$2:$E$511,"*a)*",'00 Encuesta'!$P$2:$P$511,"*c)*")</f>
        <v>0</v>
      </c>
      <c r="X113" s="52" t="e">
        <f>W113/$X$6*100</f>
        <v>#DIV/0!</v>
      </c>
      <c r="Y113" s="53">
        <f>COUNTIFS('00 Encuesta'!$B$2:$B$511,"*e)*",'00 Encuesta'!$C$2:$C$511,"*c)*",'00 Encuesta'!$E$2:$E$511,"*b)*",'00 Encuesta'!$P$2:$P$511,"*c)*")</f>
        <v>0</v>
      </c>
      <c r="Z113" s="52" t="e">
        <f>Y113/$X$7*100</f>
        <v>#DIV/0!</v>
      </c>
      <c r="AA113" s="3"/>
      <c r="AB113" s="62">
        <f>G113+N113+U113</f>
        <v>0</v>
      </c>
      <c r="AC113" s="52" t="e">
        <f>AB113*100/$AC$5</f>
        <v>#DIV/0!</v>
      </c>
      <c r="AD113" s="7"/>
      <c r="AE113" s="7"/>
      <c r="AF113" s="9" t="str">
        <f t="shared" si="147"/>
        <v>c) Poco</v>
      </c>
      <c r="AG113" s="72" t="e">
        <f>J113</f>
        <v>#DIV/0!</v>
      </c>
      <c r="AH113" s="72" t="e">
        <f>L113</f>
        <v>#DIV/0!</v>
      </c>
      <c r="AI113" s="73" t="e">
        <f>H113</f>
        <v>#DIV/0!</v>
      </c>
      <c r="AJ113" s="73"/>
      <c r="AK113" s="76" t="e">
        <f>Q113</f>
        <v>#DIV/0!</v>
      </c>
      <c r="AL113" s="76" t="e">
        <f>S113</f>
        <v>#DIV/0!</v>
      </c>
      <c r="AM113" s="76" t="e">
        <f>O113</f>
        <v>#DIV/0!</v>
      </c>
      <c r="AN113" s="76"/>
      <c r="AO113" s="81" t="e">
        <f>X113</f>
        <v>#DIV/0!</v>
      </c>
      <c r="AP113" s="81" t="e">
        <f>Z113</f>
        <v>#DIV/0!</v>
      </c>
      <c r="AQ113" s="81" t="e">
        <f>V113</f>
        <v>#DIV/0!</v>
      </c>
      <c r="AR113" s="7"/>
      <c r="AS113" s="76" t="e">
        <f t="shared" si="121"/>
        <v>#DIV/0!</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x14ac:dyDescent="0.3">
      <c r="A114" s="8" t="s">
        <v>21</v>
      </c>
      <c r="B114" s="9" t="s">
        <v>105</v>
      </c>
      <c r="C114" s="7"/>
      <c r="D114" s="7"/>
      <c r="E114" s="7"/>
      <c r="F114" s="71">
        <v>0</v>
      </c>
      <c r="G114" s="51">
        <f>I114+K114</f>
        <v>0</v>
      </c>
      <c r="H114" s="52" t="e">
        <f>G114/$J$5*100</f>
        <v>#DIV/0!</v>
      </c>
      <c r="I114" s="53">
        <f>COUNTIFS('00 Encuesta'!$B$2:$B$511,"*e)*",'00 Encuesta'!$C$2:$C$511,"*a)*",'00 Encuesta'!$E$2:$E$511,"*a)*",'00 Encuesta'!$P$2:$P$511,"*d)*")</f>
        <v>0</v>
      </c>
      <c r="J114" s="52" t="e">
        <f>I114/$J$6*100</f>
        <v>#DIV/0!</v>
      </c>
      <c r="K114" s="53">
        <f>COUNTIFS('00 Encuesta'!$B$2:$B$511,"*e)*",'00 Encuesta'!$C$2:$C$511,"*a)*",'00 Encuesta'!$E$2:$E$511,"*b)*",'00 Encuesta'!$P$2:$P$511,"*d)*")</f>
        <v>0</v>
      </c>
      <c r="L114" s="52" t="e">
        <f>K114/$J$7*100</f>
        <v>#DIV/0!</v>
      </c>
      <c r="M114" s="23"/>
      <c r="N114" s="51">
        <f>P114+R114</f>
        <v>0</v>
      </c>
      <c r="O114" s="52" t="e">
        <f>N114/$Q$5*100</f>
        <v>#DIV/0!</v>
      </c>
      <c r="P114" s="53">
        <f>COUNTIFS('00 Encuesta'!$B$2:$B$511,"*e)*",'00 Encuesta'!$C$2:$C$511,"*b)*",'00 Encuesta'!$E$2:$E$511,"*a)*",'00 Encuesta'!$P$2:$P$511,"*d)*")</f>
        <v>0</v>
      </c>
      <c r="Q114" s="52" t="e">
        <f>P114/$Q$6*100</f>
        <v>#DIV/0!</v>
      </c>
      <c r="R114" s="53">
        <f>COUNTIFS('00 Encuesta'!$B$2:$B$511,"*e)*",'00 Encuesta'!$C$2:$C$511,"*b)*",'00 Encuesta'!$E$2:$E$511,"*b)*",'00 Encuesta'!$P$2:$P$511,"*d)*")</f>
        <v>0</v>
      </c>
      <c r="S114" s="52" t="e">
        <f>R114/$Q$7*100</f>
        <v>#DIV/0!</v>
      </c>
      <c r="T114" s="3"/>
      <c r="U114" s="51">
        <f>W114+Y114</f>
        <v>0</v>
      </c>
      <c r="V114" s="52" t="e">
        <f>U114/$X$5*100</f>
        <v>#DIV/0!</v>
      </c>
      <c r="W114" s="53">
        <f>COUNTIFS('00 Encuesta'!$B$2:$B$511,"*e)*",'00 Encuesta'!$C$2:$C$511,"*c)*",'00 Encuesta'!$E$2:$E$511,"*a)*",'00 Encuesta'!$P$2:$P$511,"*d)*")</f>
        <v>0</v>
      </c>
      <c r="X114" s="52" t="e">
        <f>W114/$X$6*100</f>
        <v>#DIV/0!</v>
      </c>
      <c r="Y114" s="53">
        <f>COUNTIFS('00 Encuesta'!$B$2:$B$511,"*e)*",'00 Encuesta'!$C$2:$C$511,"*c)*",'00 Encuesta'!$E$2:$E$511,"*b)*",'00 Encuesta'!$P$2:$P$511,"*d)*")</f>
        <v>0</v>
      </c>
      <c r="Z114" s="52" t="e">
        <f>Y114/$X$7*100</f>
        <v>#DIV/0!</v>
      </c>
      <c r="AA114" s="3"/>
      <c r="AB114" s="62">
        <f>G114+N114+U114</f>
        <v>0</v>
      </c>
      <c r="AC114" s="52" t="e">
        <f>AB114*100/$AC$5</f>
        <v>#DIV/0!</v>
      </c>
      <c r="AD114" s="7"/>
      <c r="AE114" s="7"/>
      <c r="AF114" s="9" t="str">
        <f t="shared" si="147"/>
        <v>d) Nada</v>
      </c>
      <c r="AG114" s="72" t="e">
        <f>J114</f>
        <v>#DIV/0!</v>
      </c>
      <c r="AH114" s="72" t="e">
        <f>L114</f>
        <v>#DIV/0!</v>
      </c>
      <c r="AI114" s="73" t="e">
        <f>H114</f>
        <v>#DIV/0!</v>
      </c>
      <c r="AJ114" s="73"/>
      <c r="AK114" s="76" t="e">
        <f>Q114</f>
        <v>#DIV/0!</v>
      </c>
      <c r="AL114" s="76" t="e">
        <f>S114</f>
        <v>#DIV/0!</v>
      </c>
      <c r="AM114" s="76" t="e">
        <f>O114</f>
        <v>#DIV/0!</v>
      </c>
      <c r="AN114" s="76"/>
      <c r="AO114" s="81" t="e">
        <f>X114</f>
        <v>#DIV/0!</v>
      </c>
      <c r="AP114" s="81" t="e">
        <f>Z114</f>
        <v>#DIV/0!</v>
      </c>
      <c r="AQ114" s="81" t="e">
        <f>V114</f>
        <v>#DIV/0!</v>
      </c>
      <c r="AR114" s="7"/>
      <c r="AS114" s="76" t="e">
        <f t="shared" si="121"/>
        <v>#DIV/0!</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x14ac:dyDescent="0.3">
      <c r="A115" s="8" t="s">
        <v>23</v>
      </c>
      <c r="B115" s="9" t="s">
        <v>24</v>
      </c>
      <c r="C115" s="7"/>
      <c r="D115" s="7"/>
      <c r="E115" s="7"/>
      <c r="F115" s="71"/>
      <c r="G115" s="51">
        <f>I115+K115</f>
        <v>0</v>
      </c>
      <c r="H115" s="52" t="e">
        <f>G115/$J$5*100</f>
        <v>#DIV/0!</v>
      </c>
      <c r="I115" s="53"/>
      <c r="J115" s="52" t="e">
        <f>I115/$J$6*100</f>
        <v>#DIV/0!</v>
      </c>
      <c r="K115" s="53"/>
      <c r="L115" s="52" t="e">
        <f>K115/$J$7*100</f>
        <v>#DIV/0!</v>
      </c>
      <c r="M115" s="23"/>
      <c r="N115" s="51">
        <f>P115+R115</f>
        <v>0</v>
      </c>
      <c r="O115" s="52" t="e">
        <f>N115/$Q$5*100</f>
        <v>#DIV/0!</v>
      </c>
      <c r="P115" s="53"/>
      <c r="Q115" s="52" t="e">
        <f>P115/$Q$6*100</f>
        <v>#DIV/0!</v>
      </c>
      <c r="R115" s="53"/>
      <c r="S115" s="52" t="e">
        <f>R115/$Q$7*100</f>
        <v>#DIV/0!</v>
      </c>
      <c r="T115" s="3"/>
      <c r="U115" s="51">
        <f>W115+Y115</f>
        <v>0</v>
      </c>
      <c r="V115" s="52" t="e">
        <f>U115/$X$5*100</f>
        <v>#DIV/0!</v>
      </c>
      <c r="W115" s="53"/>
      <c r="X115" s="52" t="e">
        <f>W115/$X$6*100</f>
        <v>#DIV/0!</v>
      </c>
      <c r="Y115" s="53"/>
      <c r="Z115" s="52" t="e">
        <f>Y115/$X$7*100</f>
        <v>#DIV/0!</v>
      </c>
      <c r="AA115" s="3"/>
      <c r="AB115" s="62">
        <f>G115+N115+U115</f>
        <v>0</v>
      </c>
      <c r="AC115" s="52" t="e">
        <f>AB115*100/$AC$5</f>
        <v>#DIV/0!</v>
      </c>
      <c r="AD115" s="7"/>
      <c r="AE115" s="7"/>
      <c r="AF115" s="9" t="str">
        <f t="shared" si="147"/>
        <v>S/R Sin Respuesta</v>
      </c>
      <c r="AG115" s="72" t="e">
        <f>J115</f>
        <v>#DIV/0!</v>
      </c>
      <c r="AH115" s="72" t="e">
        <f>L115</f>
        <v>#DIV/0!</v>
      </c>
      <c r="AI115" s="73" t="e">
        <f>H115</f>
        <v>#DIV/0!</v>
      </c>
      <c r="AJ115" s="73"/>
      <c r="AK115" s="76" t="e">
        <f>Q115</f>
        <v>#DIV/0!</v>
      </c>
      <c r="AL115" s="76" t="e">
        <f>S115</f>
        <v>#DIV/0!</v>
      </c>
      <c r="AM115" s="76" t="e">
        <f>O115</f>
        <v>#DIV/0!</v>
      </c>
      <c r="AN115" s="76"/>
      <c r="AO115" s="81" t="e">
        <f>X115</f>
        <v>#DIV/0!</v>
      </c>
      <c r="AP115" s="81" t="e">
        <f>Z115</f>
        <v>#DIV/0!</v>
      </c>
      <c r="AQ115" s="81" t="e">
        <f>V115</f>
        <v>#DIV/0!</v>
      </c>
      <c r="AR115" s="7"/>
      <c r="AS115" s="76" t="e">
        <f t="shared" si="121"/>
        <v>#DIV/0!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x14ac:dyDescent="0.3">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t="e">
        <f>(+$F111*I111+$F112*I112+$F113*I113+$F114*I114)/(+I111+I112+I113+I114)</f>
        <v>#DIV/0!</v>
      </c>
      <c r="AH116" s="82" t="e">
        <f>($F111*K111+$F112*K112+$F113*K113+$F114*K114)/(+K111+K112+K113+K114)</f>
        <v>#DIV/0!</v>
      </c>
      <c r="AI116" s="82" t="e">
        <f>($F111*G111+$F112*G112+$F113*G113+$F114*G114)/(G111+G112+G113+G114)</f>
        <v>#DIV/0!</v>
      </c>
      <c r="AJ116" s="82"/>
      <c r="AK116" s="82" t="e">
        <f>($F111*P111+$F112*P112+$F113*P113+$F114*P114)/(P111+P112+P113+P114)</f>
        <v>#DIV/0!</v>
      </c>
      <c r="AL116" s="82" t="e">
        <f>($F111*R111+$F112*R112+$F113*R113+$F114*R114)/(R111+R112+R113+R114)</f>
        <v>#DIV/0!</v>
      </c>
      <c r="AM116" s="82" t="e">
        <f>($F111*N111+$F112*N112+$F113*N113+$F114*N114)/(N111+N112+N113+N114)</f>
        <v>#DIV/0!</v>
      </c>
      <c r="AN116" s="82"/>
      <c r="AO116" s="82" t="e">
        <f>($F111*W111+$F112*W112+$F113*W113+$F114*W114)/(W111+W112+W113+W114)</f>
        <v>#DIV/0!</v>
      </c>
      <c r="AP116" s="82" t="e">
        <f>($F111*Y111+$F112*Y112+$F113*Y113+$F114*Y114)/(Y111+Y112+Y113+Y114)</f>
        <v>#DIV/0!</v>
      </c>
      <c r="AQ116" s="82" t="e">
        <f>($F111*U111+$F112*U112+$F113*U113+$F114*U114)/(U111+U112+U113+U114)</f>
        <v>#DIV/0!</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x14ac:dyDescent="0.3">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x14ac:dyDescent="0.3">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x14ac:dyDescent="0.3">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x14ac:dyDescent="0.3">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x14ac:dyDescent="0.3">
      <c r="A121" s="8" t="s">
        <v>17</v>
      </c>
      <c r="B121" s="9" t="s">
        <v>102</v>
      </c>
      <c r="C121" s="7"/>
      <c r="D121" s="7"/>
      <c r="E121" s="7"/>
      <c r="F121" s="71">
        <v>100</v>
      </c>
      <c r="G121" s="51">
        <f>I121+K121</f>
        <v>0</v>
      </c>
      <c r="H121" s="52" t="e">
        <f>G121/$J$5*100</f>
        <v>#DIV/0!</v>
      </c>
      <c r="I121" s="53">
        <f>COUNTIFS('00 Encuesta'!$B$2:$B$511,"*e)*",'00 Encuesta'!$C$2:$C$511,"*a)*",'00 Encuesta'!$E$2:$E$511,"*a)*",'00 Encuesta'!$Q$2:$Q$511,"*a)*")</f>
        <v>0</v>
      </c>
      <c r="J121" s="52" t="e">
        <f>I121/$J$6*100</f>
        <v>#DIV/0!</v>
      </c>
      <c r="K121" s="53">
        <f>COUNTIFS('00 Encuesta'!$B$2:$B$511,"*e)*",'00 Encuesta'!$C$2:$C$511,"*a)*",'00 Encuesta'!$E$2:$E$511,"*b)*",'00 Encuesta'!$Q$2:$Q$511,"*a)*")</f>
        <v>0</v>
      </c>
      <c r="L121" s="52" t="e">
        <f>K121/$J$7*100</f>
        <v>#DIV/0!</v>
      </c>
      <c r="M121" s="23"/>
      <c r="N121" s="51">
        <f>P121+R121</f>
        <v>0</v>
      </c>
      <c r="O121" s="52" t="e">
        <f>N121/$Q$5*100</f>
        <v>#DIV/0!</v>
      </c>
      <c r="P121" s="53">
        <f>COUNTIFS('00 Encuesta'!$B$2:$B$511,"*e)*",'00 Encuesta'!$C$2:$C$511,"*b)*",'00 Encuesta'!$E$2:$E$511,"*a)*",'00 Encuesta'!$Q$2:$Q$511,"*a)*")</f>
        <v>0</v>
      </c>
      <c r="Q121" s="52" t="e">
        <f>P121/$Q$6*100</f>
        <v>#DIV/0!</v>
      </c>
      <c r="R121" s="53">
        <f>COUNTIFS('00 Encuesta'!$B$2:$B$511,"*e)*",'00 Encuesta'!$C$2:$C$511,"*b)*",'00 Encuesta'!$E$2:$E$511,"*b)*",'00 Encuesta'!$Q$2:$Q$511,"*a)*")</f>
        <v>0</v>
      </c>
      <c r="S121" s="52" t="e">
        <f>R121/$Q$7*100</f>
        <v>#DIV/0!</v>
      </c>
      <c r="T121" s="3"/>
      <c r="U121" s="51">
        <f>W121+Y121</f>
        <v>0</v>
      </c>
      <c r="V121" s="52" t="e">
        <f>U121/$X$5*100</f>
        <v>#DIV/0!</v>
      </c>
      <c r="W121" s="53">
        <f>COUNTIFS('00 Encuesta'!$B$2:$B$511,"*e)*",'00 Encuesta'!$C$2:$C$511,"*c)*",'00 Encuesta'!$E$2:$E$511,"*a)*",'00 Encuesta'!$Q$2:$Q$511,"*a)*")</f>
        <v>0</v>
      </c>
      <c r="X121" s="52" t="e">
        <f>W121/$X$6*100</f>
        <v>#DIV/0!</v>
      </c>
      <c r="Y121" s="53">
        <f>COUNTIFS('00 Encuesta'!$B$2:$B$511,"*e)*",'00 Encuesta'!$C$2:$C$511,"*c)*",'00 Encuesta'!$E$2:$E$511,"*b)*",'00 Encuesta'!$Q$2:$Q$511,"*a)*")</f>
        <v>0</v>
      </c>
      <c r="Z121" s="52" t="e">
        <f>Y121/$X$7*100</f>
        <v>#DIV/0!</v>
      </c>
      <c r="AA121" s="3"/>
      <c r="AB121" s="62">
        <f>G121+N121+U121</f>
        <v>0</v>
      </c>
      <c r="AC121" s="52" t="e">
        <f>AB121*100/$AC$5</f>
        <v>#DIV/0!</v>
      </c>
      <c r="AD121" s="7"/>
      <c r="AE121" s="7"/>
      <c r="AF121" s="9" t="str">
        <f t="shared" si="148"/>
        <v>a) Mucho</v>
      </c>
      <c r="AG121" s="72" t="e">
        <f>J121</f>
        <v>#DIV/0!</v>
      </c>
      <c r="AH121" s="72" t="e">
        <f>L121</f>
        <v>#DIV/0!</v>
      </c>
      <c r="AI121" s="73" t="e">
        <f>H121</f>
        <v>#DIV/0!</v>
      </c>
      <c r="AJ121" s="73"/>
      <c r="AK121" s="76" t="e">
        <f>Q121</f>
        <v>#DIV/0!</v>
      </c>
      <c r="AL121" s="76" t="e">
        <f>S121</f>
        <v>#DIV/0!</v>
      </c>
      <c r="AM121" s="76" t="e">
        <f>O121</f>
        <v>#DIV/0!</v>
      </c>
      <c r="AN121" s="76"/>
      <c r="AO121" s="81" t="e">
        <f>X121</f>
        <v>#DIV/0!</v>
      </c>
      <c r="AP121" s="81" t="e">
        <f>Z121</f>
        <v>#DIV/0!</v>
      </c>
      <c r="AQ121" s="81" t="e">
        <f>V121</f>
        <v>#DIV/0!</v>
      </c>
      <c r="AR121" s="7"/>
      <c r="AS121" s="76" t="e">
        <f t="shared" si="121"/>
        <v>#DIV/0!</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x14ac:dyDescent="0.3">
      <c r="A122" s="8" t="s">
        <v>18</v>
      </c>
      <c r="B122" s="9" t="s">
        <v>103</v>
      </c>
      <c r="C122" s="7"/>
      <c r="D122" s="7"/>
      <c r="E122" s="7"/>
      <c r="F122" s="71">
        <v>66.66</v>
      </c>
      <c r="G122" s="51">
        <f>I122+K122</f>
        <v>0</v>
      </c>
      <c r="H122" s="52" t="e">
        <f>G122/$J$5*100</f>
        <v>#DIV/0!</v>
      </c>
      <c r="I122" s="53">
        <f>COUNTIFS('00 Encuesta'!$B$2:$B$511,"*e)*",'00 Encuesta'!$C$2:$C$511,"*a)*",'00 Encuesta'!$E$2:$E$511,"*a)*",'00 Encuesta'!$Q$2:$Q$511,"*b)*")</f>
        <v>0</v>
      </c>
      <c r="J122" s="52" t="e">
        <f>I122/$J$6*100</f>
        <v>#DIV/0!</v>
      </c>
      <c r="K122" s="53">
        <f>COUNTIFS('00 Encuesta'!$B$2:$B$511,"*e)*",'00 Encuesta'!$C$2:$C$511,"*a)*",'00 Encuesta'!$E$2:$E$511,"*b)*",'00 Encuesta'!$Q$2:$Q$511,"*b)*")</f>
        <v>0</v>
      </c>
      <c r="L122" s="52" t="e">
        <f>K122/$J$7*100</f>
        <v>#DIV/0!</v>
      </c>
      <c r="M122" s="23"/>
      <c r="N122" s="51">
        <f>P122+R122</f>
        <v>0</v>
      </c>
      <c r="O122" s="52" t="e">
        <f>N122/$Q$5*100</f>
        <v>#DIV/0!</v>
      </c>
      <c r="P122" s="53">
        <f>COUNTIFS('00 Encuesta'!$B$2:$B$511,"*e)*",'00 Encuesta'!$C$2:$C$511,"*b)*",'00 Encuesta'!$E$2:$E$511,"*a)*",'00 Encuesta'!$Q$2:$Q$511,"*b)*")</f>
        <v>0</v>
      </c>
      <c r="Q122" s="52" t="e">
        <f>P122/$Q$6*100</f>
        <v>#DIV/0!</v>
      </c>
      <c r="R122" s="53">
        <f>COUNTIFS('00 Encuesta'!$B$2:$B$511,"*e)*",'00 Encuesta'!$C$2:$C$511,"*b)*",'00 Encuesta'!$E$2:$E$511,"*b)*",'00 Encuesta'!$Q$2:$Q$511,"*b)*")</f>
        <v>0</v>
      </c>
      <c r="S122" s="52" t="e">
        <f>R122/$Q$7*100</f>
        <v>#DIV/0!</v>
      </c>
      <c r="T122" s="3"/>
      <c r="U122" s="51">
        <f>W122+Y122</f>
        <v>0</v>
      </c>
      <c r="V122" s="52" t="e">
        <f>U122/$X$5*100</f>
        <v>#DIV/0!</v>
      </c>
      <c r="W122" s="53">
        <f>COUNTIFS('00 Encuesta'!$B$2:$B$511,"*e)*",'00 Encuesta'!$C$2:$C$511,"*c)*",'00 Encuesta'!$E$2:$E$511,"*a)*",'00 Encuesta'!$Q$2:$Q$511,"*b)*")</f>
        <v>0</v>
      </c>
      <c r="X122" s="52" t="e">
        <f>W122/$X$6*100</f>
        <v>#DIV/0!</v>
      </c>
      <c r="Y122" s="53">
        <f>COUNTIFS('00 Encuesta'!$B$2:$B$511,"*e)*",'00 Encuesta'!$C$2:$C$511,"*c)*",'00 Encuesta'!$E$2:$E$511,"*b)*",'00 Encuesta'!$Q$2:$Q$511,"*b)*")</f>
        <v>0</v>
      </c>
      <c r="Z122" s="52" t="e">
        <f>Y122/$X$7*100</f>
        <v>#DIV/0!</v>
      </c>
      <c r="AA122" s="3"/>
      <c r="AB122" s="62">
        <f>G122+N122+U122</f>
        <v>0</v>
      </c>
      <c r="AC122" s="52" t="e">
        <f>AB122*100/$AC$5</f>
        <v>#DIV/0!</v>
      </c>
      <c r="AD122" s="7"/>
      <c r="AE122" s="7"/>
      <c r="AF122" s="9" t="str">
        <f t="shared" si="148"/>
        <v>b) Suficiente</v>
      </c>
      <c r="AG122" s="72" t="e">
        <f>J122</f>
        <v>#DIV/0!</v>
      </c>
      <c r="AH122" s="72" t="e">
        <f>L122</f>
        <v>#DIV/0!</v>
      </c>
      <c r="AI122" s="73" t="e">
        <f>H122</f>
        <v>#DIV/0!</v>
      </c>
      <c r="AJ122" s="73"/>
      <c r="AK122" s="76" t="e">
        <f>Q122</f>
        <v>#DIV/0!</v>
      </c>
      <c r="AL122" s="76" t="e">
        <f>S122</f>
        <v>#DIV/0!</v>
      </c>
      <c r="AM122" s="76" t="e">
        <f>O122</f>
        <v>#DIV/0!</v>
      </c>
      <c r="AN122" s="76"/>
      <c r="AO122" s="81" t="e">
        <f>X122</f>
        <v>#DIV/0!</v>
      </c>
      <c r="AP122" s="81" t="e">
        <f>Z122</f>
        <v>#DIV/0!</v>
      </c>
      <c r="AQ122" s="81" t="e">
        <f>V122</f>
        <v>#DIV/0!</v>
      </c>
      <c r="AR122" s="7"/>
      <c r="AS122" s="76" t="e">
        <f t="shared" si="121"/>
        <v>#DIV/0!</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x14ac:dyDescent="0.3">
      <c r="A123" s="8" t="s">
        <v>20</v>
      </c>
      <c r="B123" s="9" t="s">
        <v>104</v>
      </c>
      <c r="C123" s="7"/>
      <c r="D123" s="7"/>
      <c r="E123" s="7"/>
      <c r="F123" s="71">
        <v>33.33</v>
      </c>
      <c r="G123" s="51">
        <f>I123+K123</f>
        <v>0</v>
      </c>
      <c r="H123" s="52" t="e">
        <f>G123/$J$5*100</f>
        <v>#DIV/0!</v>
      </c>
      <c r="I123" s="53">
        <f>COUNTIFS('00 Encuesta'!$B$2:$B$511,"*e)*",'00 Encuesta'!$C$2:$C$511,"*a)*",'00 Encuesta'!$E$2:$E$511,"*a)*",'00 Encuesta'!$Q$2:$Q$511,"*c)*")</f>
        <v>0</v>
      </c>
      <c r="J123" s="52" t="e">
        <f>I123/$J$6*100</f>
        <v>#DIV/0!</v>
      </c>
      <c r="K123" s="53">
        <f>COUNTIFS('00 Encuesta'!$B$2:$B$511,"*e)*",'00 Encuesta'!$C$2:$C$511,"*a)*",'00 Encuesta'!$E$2:$E$511,"*b)*",'00 Encuesta'!$Q$2:$Q$511,"*c)*")</f>
        <v>0</v>
      </c>
      <c r="L123" s="52" t="e">
        <f>K123/$J$7*100</f>
        <v>#DIV/0!</v>
      </c>
      <c r="M123" s="23"/>
      <c r="N123" s="51">
        <f>P123+R123</f>
        <v>0</v>
      </c>
      <c r="O123" s="52" t="e">
        <f>N123/$Q$5*100</f>
        <v>#DIV/0!</v>
      </c>
      <c r="P123" s="53">
        <f>COUNTIFS('00 Encuesta'!$B$2:$B$511,"*e)*",'00 Encuesta'!$C$2:$C$511,"*b)*",'00 Encuesta'!$E$2:$E$511,"*a)*",'00 Encuesta'!$Q$2:$Q$511,"*c)*")</f>
        <v>0</v>
      </c>
      <c r="Q123" s="52" t="e">
        <f>P123/$Q$6*100</f>
        <v>#DIV/0!</v>
      </c>
      <c r="R123" s="53">
        <f>COUNTIFS('00 Encuesta'!$B$2:$B$511,"*e)*",'00 Encuesta'!$C$2:$C$511,"*b)*",'00 Encuesta'!$E$2:$E$511,"*b)*",'00 Encuesta'!$Q$2:$Q$511,"*c)*")</f>
        <v>0</v>
      </c>
      <c r="S123" s="52" t="e">
        <f>R123/$Q$7*100</f>
        <v>#DIV/0!</v>
      </c>
      <c r="T123" s="3"/>
      <c r="U123" s="51">
        <f>W123+Y123</f>
        <v>0</v>
      </c>
      <c r="V123" s="52" t="e">
        <f>U123/$X$5*100</f>
        <v>#DIV/0!</v>
      </c>
      <c r="W123" s="53">
        <f>COUNTIFS('00 Encuesta'!$B$2:$B$511,"*e)*",'00 Encuesta'!$C$2:$C$511,"*c)*",'00 Encuesta'!$E$2:$E$511,"*a)*",'00 Encuesta'!$Q$2:$Q$511,"*c)*")</f>
        <v>0</v>
      </c>
      <c r="X123" s="52" t="e">
        <f>W123/$X$6*100</f>
        <v>#DIV/0!</v>
      </c>
      <c r="Y123" s="53">
        <f>COUNTIFS('00 Encuesta'!$B$2:$B$511,"*e)*",'00 Encuesta'!$C$2:$C$511,"*c)*",'00 Encuesta'!$E$2:$E$511,"*b)*",'00 Encuesta'!$Q$2:$Q$511,"*c)*")</f>
        <v>0</v>
      </c>
      <c r="Z123" s="52" t="e">
        <f>Y123/$X$7*100</f>
        <v>#DIV/0!</v>
      </c>
      <c r="AA123" s="3"/>
      <c r="AB123" s="62">
        <f>G123+N123+U123</f>
        <v>0</v>
      </c>
      <c r="AC123" s="52" t="e">
        <f>AB123*100/$AC$5</f>
        <v>#DIV/0!</v>
      </c>
      <c r="AD123" s="7"/>
      <c r="AE123" s="7"/>
      <c r="AF123" s="9" t="str">
        <f t="shared" si="148"/>
        <v>c) Poco</v>
      </c>
      <c r="AG123" s="72" t="e">
        <f>J123</f>
        <v>#DIV/0!</v>
      </c>
      <c r="AH123" s="72" t="e">
        <f>L123</f>
        <v>#DIV/0!</v>
      </c>
      <c r="AI123" s="73" t="e">
        <f>H123</f>
        <v>#DIV/0!</v>
      </c>
      <c r="AJ123" s="73"/>
      <c r="AK123" s="76" t="e">
        <f>Q123</f>
        <v>#DIV/0!</v>
      </c>
      <c r="AL123" s="76" t="e">
        <f>S123</f>
        <v>#DIV/0!</v>
      </c>
      <c r="AM123" s="76" t="e">
        <f>O123</f>
        <v>#DIV/0!</v>
      </c>
      <c r="AN123" s="76"/>
      <c r="AO123" s="81" t="e">
        <f>X123</f>
        <v>#DIV/0!</v>
      </c>
      <c r="AP123" s="81" t="e">
        <f>Z123</f>
        <v>#DIV/0!</v>
      </c>
      <c r="AQ123" s="81" t="e">
        <f>V123</f>
        <v>#DIV/0!</v>
      </c>
      <c r="AR123" s="7"/>
      <c r="AS123" s="76" t="e">
        <f t="shared" si="121"/>
        <v>#DIV/0!</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x14ac:dyDescent="0.3">
      <c r="A124" s="8" t="s">
        <v>21</v>
      </c>
      <c r="B124" s="9" t="s">
        <v>105</v>
      </c>
      <c r="C124" s="7"/>
      <c r="D124" s="7"/>
      <c r="E124" s="7"/>
      <c r="F124" s="71">
        <v>0</v>
      </c>
      <c r="G124" s="51">
        <f>I124+K124</f>
        <v>0</v>
      </c>
      <c r="H124" s="52" t="e">
        <f>G124/$J$5*100</f>
        <v>#DIV/0!</v>
      </c>
      <c r="I124" s="53">
        <f>COUNTIFS('00 Encuesta'!$B$2:$B$511,"*e)*",'00 Encuesta'!$C$2:$C$511,"*a)*",'00 Encuesta'!$E$2:$E$511,"*a)*",'00 Encuesta'!$Q$2:$Q$511,"*d)*")</f>
        <v>0</v>
      </c>
      <c r="J124" s="52" t="e">
        <f>I124/$J$6*100</f>
        <v>#DIV/0!</v>
      </c>
      <c r="K124" s="53">
        <f>COUNTIFS('00 Encuesta'!$B$2:$B$511,"*e)*",'00 Encuesta'!$C$2:$C$511,"*a)*",'00 Encuesta'!$E$2:$E$511,"*b)*",'00 Encuesta'!$Q$2:$Q$511,"*d)*")</f>
        <v>0</v>
      </c>
      <c r="L124" s="52" t="e">
        <f>K124/$J$7*100</f>
        <v>#DIV/0!</v>
      </c>
      <c r="M124" s="23"/>
      <c r="N124" s="51">
        <f>P124+R124</f>
        <v>0</v>
      </c>
      <c r="O124" s="52" t="e">
        <f>N124/$Q$5*100</f>
        <v>#DIV/0!</v>
      </c>
      <c r="P124" s="53">
        <f>COUNTIFS('00 Encuesta'!$B$2:$B$511,"*e)*",'00 Encuesta'!$C$2:$C$511,"*b)*",'00 Encuesta'!$E$2:$E$511,"*a)*",'00 Encuesta'!$Q$2:$Q$511,"*d)*")</f>
        <v>0</v>
      </c>
      <c r="Q124" s="52" t="e">
        <f>P124/$Q$6*100</f>
        <v>#DIV/0!</v>
      </c>
      <c r="R124" s="53">
        <f>COUNTIFS('00 Encuesta'!$B$2:$B$511,"*e)*",'00 Encuesta'!$C$2:$C$511,"*b)*",'00 Encuesta'!$E$2:$E$511,"*b)*",'00 Encuesta'!$Q$2:$Q$511,"*d)*")</f>
        <v>0</v>
      </c>
      <c r="S124" s="52" t="e">
        <f>R124/$Q$7*100</f>
        <v>#DIV/0!</v>
      </c>
      <c r="T124" s="3"/>
      <c r="U124" s="51">
        <f>W124+Y124</f>
        <v>0</v>
      </c>
      <c r="V124" s="52" t="e">
        <f>U124/$X$5*100</f>
        <v>#DIV/0!</v>
      </c>
      <c r="W124" s="53">
        <f>COUNTIFS('00 Encuesta'!$B$2:$B$511,"*e)*",'00 Encuesta'!$C$2:$C$511,"*c)*",'00 Encuesta'!$E$2:$E$511,"*a)*",'00 Encuesta'!$Q$2:$Q$511,"*d)*")</f>
        <v>0</v>
      </c>
      <c r="X124" s="52" t="e">
        <f>W124/$X$6*100</f>
        <v>#DIV/0!</v>
      </c>
      <c r="Y124" s="53">
        <f>COUNTIFS('00 Encuesta'!$B$2:$B$511,"*e)*",'00 Encuesta'!$C$2:$C$511,"*c)*",'00 Encuesta'!$E$2:$E$511,"*b)*",'00 Encuesta'!$Q$2:$Q$511,"*d)*")</f>
        <v>0</v>
      </c>
      <c r="Z124" s="52" t="e">
        <f>Y124/$X$7*100</f>
        <v>#DIV/0!</v>
      </c>
      <c r="AA124" s="3"/>
      <c r="AB124" s="62">
        <f>G124+N124+U124</f>
        <v>0</v>
      </c>
      <c r="AC124" s="52" t="e">
        <f>AB124*100/$AC$5</f>
        <v>#DIV/0!</v>
      </c>
      <c r="AD124" s="7"/>
      <c r="AE124" s="7"/>
      <c r="AF124" s="9" t="str">
        <f t="shared" si="148"/>
        <v>d) Nada</v>
      </c>
      <c r="AG124" s="72" t="e">
        <f>J124</f>
        <v>#DIV/0!</v>
      </c>
      <c r="AH124" s="72" t="e">
        <f>L124</f>
        <v>#DIV/0!</v>
      </c>
      <c r="AI124" s="73" t="e">
        <f>H124</f>
        <v>#DIV/0!</v>
      </c>
      <c r="AJ124" s="73"/>
      <c r="AK124" s="76" t="e">
        <f>Q124</f>
        <v>#DIV/0!</v>
      </c>
      <c r="AL124" s="76" t="e">
        <f>S124</f>
        <v>#DIV/0!</v>
      </c>
      <c r="AM124" s="76" t="e">
        <f>O124</f>
        <v>#DIV/0!</v>
      </c>
      <c r="AN124" s="76"/>
      <c r="AO124" s="81" t="e">
        <f>X124</f>
        <v>#DIV/0!</v>
      </c>
      <c r="AP124" s="81" t="e">
        <f>Z124</f>
        <v>#DIV/0!</v>
      </c>
      <c r="AQ124" s="81" t="e">
        <f>V124</f>
        <v>#DIV/0!</v>
      </c>
      <c r="AR124" s="7"/>
      <c r="AS124" s="76" t="e">
        <f t="shared" si="121"/>
        <v>#DIV/0!</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x14ac:dyDescent="0.3">
      <c r="A125" s="8" t="s">
        <v>23</v>
      </c>
      <c r="B125" s="9" t="s">
        <v>24</v>
      </c>
      <c r="C125" s="7"/>
      <c r="D125" s="7"/>
      <c r="E125" s="7"/>
      <c r="F125" s="71"/>
      <c r="G125" s="51">
        <f>I125+K125</f>
        <v>0</v>
      </c>
      <c r="H125" s="52" t="e">
        <f>G125/$J$5*100</f>
        <v>#DIV/0!</v>
      </c>
      <c r="I125" s="53"/>
      <c r="J125" s="52" t="e">
        <f>I125/$J$6*100</f>
        <v>#DIV/0!</v>
      </c>
      <c r="K125" s="53"/>
      <c r="L125" s="52" t="e">
        <f>K125/$J$7*100</f>
        <v>#DIV/0!</v>
      </c>
      <c r="M125" s="23"/>
      <c r="N125" s="51">
        <f>P125+R125</f>
        <v>0</v>
      </c>
      <c r="O125" s="52" t="e">
        <f>N125/$Q$5*100</f>
        <v>#DIV/0!</v>
      </c>
      <c r="P125" s="53"/>
      <c r="Q125" s="52" t="e">
        <f>P125/$Q$6*100</f>
        <v>#DIV/0!</v>
      </c>
      <c r="R125" s="53"/>
      <c r="S125" s="52" t="e">
        <f>R125/$Q$7*100</f>
        <v>#DIV/0!</v>
      </c>
      <c r="T125" s="3"/>
      <c r="U125" s="51">
        <f>W125+Y125</f>
        <v>0</v>
      </c>
      <c r="V125" s="52" t="e">
        <f>U125/$X$5*100</f>
        <v>#DIV/0!</v>
      </c>
      <c r="W125" s="53"/>
      <c r="X125" s="52" t="e">
        <f>W125/$X$6*100</f>
        <v>#DIV/0!</v>
      </c>
      <c r="Y125" s="53"/>
      <c r="Z125" s="52" t="e">
        <f>Y125/$X$7*100</f>
        <v>#DIV/0!</v>
      </c>
      <c r="AA125" s="3"/>
      <c r="AB125" s="62">
        <f>G125+N125+U125</f>
        <v>0</v>
      </c>
      <c r="AC125" s="52" t="e">
        <f>AB125*100/$AC$5</f>
        <v>#DIV/0!</v>
      </c>
      <c r="AD125" s="7"/>
      <c r="AE125" s="7"/>
      <c r="AF125" s="9" t="str">
        <f t="shared" si="148"/>
        <v>S/R Sin Respuesta</v>
      </c>
      <c r="AG125" s="72" t="e">
        <f>J125</f>
        <v>#DIV/0!</v>
      </c>
      <c r="AH125" s="72" t="e">
        <f>L125</f>
        <v>#DIV/0!</v>
      </c>
      <c r="AI125" s="73" t="e">
        <f>H125</f>
        <v>#DIV/0!</v>
      </c>
      <c r="AJ125" s="73"/>
      <c r="AK125" s="76" t="e">
        <f>Q125</f>
        <v>#DIV/0!</v>
      </c>
      <c r="AL125" s="76" t="e">
        <f>S125</f>
        <v>#DIV/0!</v>
      </c>
      <c r="AM125" s="76" t="e">
        <f>O125</f>
        <v>#DIV/0!</v>
      </c>
      <c r="AN125" s="76"/>
      <c r="AO125" s="81" t="e">
        <f>X125</f>
        <v>#DIV/0!</v>
      </c>
      <c r="AP125" s="81" t="e">
        <f>Z125</f>
        <v>#DIV/0!</v>
      </c>
      <c r="AQ125" s="81" t="e">
        <f>V125</f>
        <v>#DIV/0!</v>
      </c>
      <c r="AR125" s="7"/>
      <c r="AS125" s="76" t="e">
        <f t="shared" si="121"/>
        <v>#DIV/0!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x14ac:dyDescent="0.3">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t="e">
        <f>(+$F121*I121+$F122*I122+$F123*I123+$F124*I124)/(+I121+I122+I123+I124)</f>
        <v>#DIV/0!</v>
      </c>
      <c r="AH126" s="82" t="e">
        <f>($F121*K121+$F122*K122+$F123*K123+$F124*K124)/(+K121+K122+K123+K124)</f>
        <v>#DIV/0!</v>
      </c>
      <c r="AI126" s="82" t="e">
        <f>($F121*G121+$F122*G122+$F123*G123+$F124*G124)/(G121+G122+G123+G124)</f>
        <v>#DIV/0!</v>
      </c>
      <c r="AJ126" s="82"/>
      <c r="AK126" s="82" t="e">
        <f>($F121*P121+$F122*P122+$F123*P123+$F124*P124)/(P121+P122+P123+P124)</f>
        <v>#DIV/0!</v>
      </c>
      <c r="AL126" s="82" t="e">
        <f>($F121*R121+$F122*R122+$F123*R123+$F124*R124)/(R121+R122+R123+R124)</f>
        <v>#DIV/0!</v>
      </c>
      <c r="AM126" s="82" t="e">
        <f>($F121*N121+$F122*N122+$F123*N123+$F124*N124)/(N121+N122+N123+N124)</f>
        <v>#DIV/0!</v>
      </c>
      <c r="AN126" s="82"/>
      <c r="AO126" s="82" t="e">
        <f>($F121*W121+$F122*W122+$F123*W123+$F124*W124)/(W121+W122+W123+W124)</f>
        <v>#DIV/0!</v>
      </c>
      <c r="AP126" s="82" t="e">
        <f>($F121*Y121+$F122*Y122+$F123*Y123+$F124*Y124)/(Y121+Y122+Y123+Y124)</f>
        <v>#DIV/0!</v>
      </c>
      <c r="AQ126" s="82" t="e">
        <f>($F121*U121+$F122*U122+$F123*U123+$F124*U124)/(U121+U122+U123+U124)</f>
        <v>#DIV/0!</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x14ac:dyDescent="0.3">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x14ac:dyDescent="0.3">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x14ac:dyDescent="0.3">
      <c r="A130" s="8" t="s">
        <v>17</v>
      </c>
      <c r="B130" s="9" t="s">
        <v>80</v>
      </c>
      <c r="C130" s="7"/>
      <c r="D130" s="7"/>
      <c r="E130" s="7"/>
      <c r="F130" s="71"/>
      <c r="G130" s="51">
        <f t="shared" ref="G130:G140" si="149">I130+K130</f>
        <v>0</v>
      </c>
      <c r="H130" s="52" t="e">
        <f t="shared" ref="H130:H140" si="150">G130/$J$5*100</f>
        <v>#DIV/0!</v>
      </c>
      <c r="I130" s="53">
        <f>COUNTIFS('00 Encuesta'!$B$2:$B$511,"*e)*",'00 Encuesta'!$C$2:$C$511,"*a)*",'00 Encuesta'!$E$2:$E$511,"*a)*",'00 Encuesta'!$R$2:$R$511,"*a)*")</f>
        <v>0</v>
      </c>
      <c r="J130" s="52" t="e">
        <f t="shared" ref="J130:J140" si="151">I130/$J$6*100</f>
        <v>#DIV/0!</v>
      </c>
      <c r="K130" s="53">
        <f>COUNTIFS('00 Encuesta'!$B$2:$B$511,"*e)*",'00 Encuesta'!$C$2:$C$511,"*a)*",'00 Encuesta'!$E$2:$E$511,"*b)*",'00 Encuesta'!$R$2:$R$511,"*a)*")</f>
        <v>0</v>
      </c>
      <c r="L130" s="52" t="e">
        <f t="shared" ref="L130:L140" si="152">K130/$J$7*100</f>
        <v>#DIV/0!</v>
      </c>
      <c r="M130" s="23"/>
      <c r="N130" s="51">
        <f t="shared" ref="N130:N140" si="153">P130+R130</f>
        <v>0</v>
      </c>
      <c r="O130" s="52" t="e">
        <f t="shared" ref="O130:O140" si="154">N130/$Q$5*100</f>
        <v>#DIV/0!</v>
      </c>
      <c r="P130" s="53">
        <f>COUNTIFS('00 Encuesta'!$B$2:$B$511,"*e)*",'00 Encuesta'!$C$2:$C$511,"*b)*",'00 Encuesta'!$E$2:$E$511,"*a)*",'00 Encuesta'!$R$2:$R$511,"*a)*")</f>
        <v>0</v>
      </c>
      <c r="Q130" s="52" t="e">
        <f t="shared" ref="Q130:Q140" si="155">P130/$Q$6*100</f>
        <v>#DIV/0!</v>
      </c>
      <c r="R130" s="53">
        <f>COUNTIFS('00 Encuesta'!$B$2:$B$511,"*e)*",'00 Encuesta'!$C$2:$C$511,"*b)*",'00 Encuesta'!$E$2:$E$511,"*b)*",'00 Encuesta'!$R$2:$R$511,"*a)*")</f>
        <v>0</v>
      </c>
      <c r="S130" s="52" t="e">
        <f t="shared" ref="S130:S140" si="156">R130/$Q$7*100</f>
        <v>#DIV/0!</v>
      </c>
      <c r="T130" s="3"/>
      <c r="U130" s="51">
        <f t="shared" ref="U130:U140" si="157">W130+Y130</f>
        <v>0</v>
      </c>
      <c r="V130" s="52" t="e">
        <f t="shared" ref="V130:V140" si="158">U130/$X$5*100</f>
        <v>#DIV/0!</v>
      </c>
      <c r="W130" s="53">
        <f>COUNTIFS('00 Encuesta'!$B$2:$B$511,"*e)*",'00 Encuesta'!$C$2:$C$511,"*c)*",'00 Encuesta'!$E$2:$E$511,"*a)*",'00 Encuesta'!$R$2:$R$511,"*a)*")</f>
        <v>0</v>
      </c>
      <c r="X130" s="52" t="e">
        <f t="shared" ref="X130:X140" si="159">W130/$X$6*100</f>
        <v>#DIV/0!</v>
      </c>
      <c r="Y130" s="53">
        <f>COUNTIFS('00 Encuesta'!$B$2:$B$511,"*e)*",'00 Encuesta'!$C$2:$C$511,"*c)*",'00 Encuesta'!$E$2:$E$511,"*b)*",'00 Encuesta'!$R$2:$R$511,"*a)*")</f>
        <v>0</v>
      </c>
      <c r="Z130" s="52" t="e">
        <f t="shared" ref="Z130:Z140" si="160">Y130/$X$7*100</f>
        <v>#DIV/0!</v>
      </c>
      <c r="AA130" s="3"/>
      <c r="AB130" s="62">
        <f t="shared" ref="AB130:AB140" si="161">G130+N130+U130</f>
        <v>0</v>
      </c>
      <c r="AC130" s="52" t="e">
        <f t="shared" ref="AC130:AC140" si="162">AB130*100/$AC$5</f>
        <v>#DIV/0!</v>
      </c>
      <c r="AD130" s="7"/>
      <c r="AE130" s="7"/>
      <c r="AF130" s="9" t="str">
        <f t="shared" ref="AF130:AF141" si="163">A130&amp;" "&amp;B130</f>
        <v>a) La familia</v>
      </c>
      <c r="AG130" s="72" t="e">
        <f t="shared" ref="AG130:AG141" si="164">J130</f>
        <v>#DIV/0!</v>
      </c>
      <c r="AH130" s="72" t="e">
        <f t="shared" ref="AH130:AH141" si="165">L130</f>
        <v>#DIV/0!</v>
      </c>
      <c r="AI130" s="73" t="e">
        <f t="shared" ref="AI130:AI141" si="166">H130</f>
        <v>#DIV/0!</v>
      </c>
      <c r="AJ130" s="73"/>
      <c r="AK130" s="76" t="e">
        <f t="shared" ref="AK130:AK141" si="167">Q130</f>
        <v>#DIV/0!</v>
      </c>
      <c r="AL130" s="76" t="e">
        <f t="shared" ref="AL130:AL141" si="168">S130</f>
        <v>#DIV/0!</v>
      </c>
      <c r="AM130" s="76" t="e">
        <f t="shared" ref="AM130:AM141" si="169">O130</f>
        <v>#DIV/0!</v>
      </c>
      <c r="AN130" s="76"/>
      <c r="AO130" s="81" t="e">
        <f t="shared" ref="AO130:AO141" si="170">X130</f>
        <v>#DIV/0!</v>
      </c>
      <c r="AP130" s="81" t="e">
        <f t="shared" ref="AP130:AP141" si="171">Z130</f>
        <v>#DIV/0!</v>
      </c>
      <c r="AQ130" s="81" t="e">
        <f t="shared" ref="AQ130:AQ141" si="172">V130</f>
        <v>#DIV/0!</v>
      </c>
      <c r="AR130" s="7"/>
      <c r="AS130" s="76" t="e">
        <f t="shared" si="121"/>
        <v>#DIV/0!</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x14ac:dyDescent="0.3">
      <c r="A131" s="8" t="s">
        <v>18</v>
      </c>
      <c r="B131" s="9" t="s">
        <v>81</v>
      </c>
      <c r="C131" s="7"/>
      <c r="D131" s="7"/>
      <c r="E131" s="7"/>
      <c r="F131" s="71"/>
      <c r="G131" s="51">
        <f t="shared" si="149"/>
        <v>0</v>
      </c>
      <c r="H131" s="52" t="e">
        <f t="shared" si="150"/>
        <v>#DIV/0!</v>
      </c>
      <c r="I131" s="53">
        <f>COUNTIFS('00 Encuesta'!$B$2:$B$511,"*e)*",'00 Encuesta'!$C$2:$C$511,"*a)*",'00 Encuesta'!$E$2:$E$511,"*a)*",'00 Encuesta'!$R$2:$R$511,"*b)*")</f>
        <v>0</v>
      </c>
      <c r="J131" s="52" t="e">
        <f t="shared" si="151"/>
        <v>#DIV/0!</v>
      </c>
      <c r="K131" s="53">
        <f>COUNTIFS('00 Encuesta'!$B$2:$B$511,"*e)*",'00 Encuesta'!$C$2:$C$511,"*a)*",'00 Encuesta'!$E$2:$E$511,"*b)*",'00 Encuesta'!$R$2:$R$511,"*b)*")</f>
        <v>0</v>
      </c>
      <c r="L131" s="52" t="e">
        <f t="shared" si="152"/>
        <v>#DIV/0!</v>
      </c>
      <c r="M131" s="23"/>
      <c r="N131" s="51">
        <f t="shared" si="153"/>
        <v>0</v>
      </c>
      <c r="O131" s="52" t="e">
        <f t="shared" si="154"/>
        <v>#DIV/0!</v>
      </c>
      <c r="P131" s="53">
        <f>COUNTIFS('00 Encuesta'!$B$2:$B$511,"*e)*",'00 Encuesta'!$C$2:$C$511,"*b)*",'00 Encuesta'!$E$2:$E$511,"*a)*",'00 Encuesta'!$R$2:$R$511,"*b)*")</f>
        <v>0</v>
      </c>
      <c r="Q131" s="52" t="e">
        <f t="shared" si="155"/>
        <v>#DIV/0!</v>
      </c>
      <c r="R131" s="53">
        <f>COUNTIFS('00 Encuesta'!$B$2:$B$511,"*e)*",'00 Encuesta'!$C$2:$C$511,"*b)*",'00 Encuesta'!$E$2:$E$511,"*b)*",'00 Encuesta'!$R$2:$R$511,"*b)*")</f>
        <v>0</v>
      </c>
      <c r="S131" s="52" t="e">
        <f t="shared" si="156"/>
        <v>#DIV/0!</v>
      </c>
      <c r="T131" s="3"/>
      <c r="U131" s="51">
        <f t="shared" si="157"/>
        <v>0</v>
      </c>
      <c r="V131" s="52" t="e">
        <f t="shared" si="158"/>
        <v>#DIV/0!</v>
      </c>
      <c r="W131" s="53">
        <f>COUNTIFS('00 Encuesta'!$B$2:$B$511,"*e)*",'00 Encuesta'!$C$2:$C$511,"*c)*",'00 Encuesta'!$E$2:$E$511,"*a)*",'00 Encuesta'!$R$2:$R$511,"*b)*")</f>
        <v>0</v>
      </c>
      <c r="X131" s="52" t="e">
        <f t="shared" si="159"/>
        <v>#DIV/0!</v>
      </c>
      <c r="Y131" s="53">
        <f>COUNTIFS('00 Encuesta'!$B$2:$B$511,"*e)*",'00 Encuesta'!$C$2:$C$511,"*c)*",'00 Encuesta'!$E$2:$E$511,"*b)*",'00 Encuesta'!$R$2:$R$511,"*b)*")</f>
        <v>0</v>
      </c>
      <c r="Z131" s="52" t="e">
        <f t="shared" si="160"/>
        <v>#DIV/0!</v>
      </c>
      <c r="AA131" s="3"/>
      <c r="AB131" s="62">
        <f t="shared" si="161"/>
        <v>0</v>
      </c>
      <c r="AC131" s="52" t="e">
        <f t="shared" si="162"/>
        <v>#DIV/0!</v>
      </c>
      <c r="AD131" s="7"/>
      <c r="AE131" s="7"/>
      <c r="AF131" s="9" t="str">
        <f t="shared" si="163"/>
        <v>b) Los amigos</v>
      </c>
      <c r="AG131" s="72" t="e">
        <f t="shared" si="164"/>
        <v>#DIV/0!</v>
      </c>
      <c r="AH131" s="72" t="e">
        <f t="shared" si="165"/>
        <v>#DIV/0!</v>
      </c>
      <c r="AI131" s="73" t="e">
        <f t="shared" si="166"/>
        <v>#DIV/0!</v>
      </c>
      <c r="AJ131" s="73"/>
      <c r="AK131" s="76" t="e">
        <f t="shared" si="167"/>
        <v>#DIV/0!</v>
      </c>
      <c r="AL131" s="76" t="e">
        <f t="shared" si="168"/>
        <v>#DIV/0!</v>
      </c>
      <c r="AM131" s="76" t="e">
        <f t="shared" si="169"/>
        <v>#DIV/0!</v>
      </c>
      <c r="AN131" s="76"/>
      <c r="AO131" s="81" t="e">
        <f t="shared" si="170"/>
        <v>#DIV/0!</v>
      </c>
      <c r="AP131" s="81" t="e">
        <f t="shared" si="171"/>
        <v>#DIV/0!</v>
      </c>
      <c r="AQ131" s="81" t="e">
        <f t="shared" si="172"/>
        <v>#DIV/0!</v>
      </c>
      <c r="AR131" s="7"/>
      <c r="AS131" s="76" t="e">
        <f t="shared" si="121"/>
        <v>#DIV/0!</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x14ac:dyDescent="0.3">
      <c r="A132" s="8" t="s">
        <v>20</v>
      </c>
      <c r="B132" s="9" t="s">
        <v>82</v>
      </c>
      <c r="C132" s="7"/>
      <c r="D132" s="7"/>
      <c r="E132" s="7"/>
      <c r="F132" s="71"/>
      <c r="G132" s="51">
        <f t="shared" si="149"/>
        <v>0</v>
      </c>
      <c r="H132" s="52" t="e">
        <f t="shared" si="150"/>
        <v>#DIV/0!</v>
      </c>
      <c r="I132" s="53">
        <f>COUNTIFS('00 Encuesta'!$B$2:$B$511,"*e)*",'00 Encuesta'!$C$2:$C$511,"*a)*",'00 Encuesta'!$E$2:$E$511,"*a)*",'00 Encuesta'!$R$2:$R$511,"*c)*")</f>
        <v>0</v>
      </c>
      <c r="J132" s="52" t="e">
        <f t="shared" si="151"/>
        <v>#DIV/0!</v>
      </c>
      <c r="K132" s="53">
        <f>COUNTIFS('00 Encuesta'!$B$2:$B$511,"*e)*",'00 Encuesta'!$C$2:$C$511,"*a)*",'00 Encuesta'!$E$2:$E$511,"*b)*",'00 Encuesta'!$R$2:$R$511,"*c)*")</f>
        <v>0</v>
      </c>
      <c r="L132" s="52" t="e">
        <f t="shared" si="152"/>
        <v>#DIV/0!</v>
      </c>
      <c r="M132" s="23"/>
      <c r="N132" s="51">
        <f t="shared" si="153"/>
        <v>0</v>
      </c>
      <c r="O132" s="52" t="e">
        <f t="shared" si="154"/>
        <v>#DIV/0!</v>
      </c>
      <c r="P132" s="53">
        <f>COUNTIFS('00 Encuesta'!$B$2:$B$511,"*e)*",'00 Encuesta'!$C$2:$C$511,"*b)*",'00 Encuesta'!$E$2:$E$511,"*a)*",'00 Encuesta'!$R$2:$R$511,"*c)*")</f>
        <v>0</v>
      </c>
      <c r="Q132" s="52" t="e">
        <f t="shared" si="155"/>
        <v>#DIV/0!</v>
      </c>
      <c r="R132" s="53">
        <f>COUNTIFS('00 Encuesta'!$B$2:$B$511,"*e)*",'00 Encuesta'!$C$2:$C$511,"*b)*",'00 Encuesta'!$E$2:$E$511,"*b)*",'00 Encuesta'!$R$2:$R$511,"*c)*")</f>
        <v>0</v>
      </c>
      <c r="S132" s="52" t="e">
        <f t="shared" si="156"/>
        <v>#DIV/0!</v>
      </c>
      <c r="T132" s="3"/>
      <c r="U132" s="51">
        <f t="shared" si="157"/>
        <v>0</v>
      </c>
      <c r="V132" s="52" t="e">
        <f t="shared" si="158"/>
        <v>#DIV/0!</v>
      </c>
      <c r="W132" s="53">
        <f>COUNTIFS('00 Encuesta'!$B$2:$B$511,"*e)*",'00 Encuesta'!$C$2:$C$511,"*c)*",'00 Encuesta'!$E$2:$E$511,"*a)*",'00 Encuesta'!$R$2:$R$511,"*c)*")</f>
        <v>0</v>
      </c>
      <c r="X132" s="52" t="e">
        <f t="shared" si="159"/>
        <v>#DIV/0!</v>
      </c>
      <c r="Y132" s="53">
        <f>COUNTIFS('00 Encuesta'!$B$2:$B$511,"*e)*",'00 Encuesta'!$C$2:$C$511,"*c)*",'00 Encuesta'!$E$2:$E$511,"*b)*",'00 Encuesta'!$R$2:$R$511,"*c)*")</f>
        <v>0</v>
      </c>
      <c r="Z132" s="52" t="e">
        <f t="shared" si="160"/>
        <v>#DIV/0!</v>
      </c>
      <c r="AA132" s="3"/>
      <c r="AB132" s="62">
        <f t="shared" si="161"/>
        <v>0</v>
      </c>
      <c r="AC132" s="52" t="e">
        <f t="shared" si="162"/>
        <v>#DIV/0!</v>
      </c>
      <c r="AD132" s="7"/>
      <c r="AE132" s="7"/>
      <c r="AF132" s="9" t="str">
        <f t="shared" si="163"/>
        <v>c) Los estudios</v>
      </c>
      <c r="AG132" s="72" t="e">
        <f t="shared" si="164"/>
        <v>#DIV/0!</v>
      </c>
      <c r="AH132" s="72" t="e">
        <f t="shared" si="165"/>
        <v>#DIV/0!</v>
      </c>
      <c r="AI132" s="73" t="e">
        <f t="shared" si="166"/>
        <v>#DIV/0!</v>
      </c>
      <c r="AJ132" s="73"/>
      <c r="AK132" s="76" t="e">
        <f t="shared" si="167"/>
        <v>#DIV/0!</v>
      </c>
      <c r="AL132" s="76" t="e">
        <f t="shared" si="168"/>
        <v>#DIV/0!</v>
      </c>
      <c r="AM132" s="76" t="e">
        <f t="shared" si="169"/>
        <v>#DIV/0!</v>
      </c>
      <c r="AN132" s="76"/>
      <c r="AO132" s="81" t="e">
        <f t="shared" si="170"/>
        <v>#DIV/0!</v>
      </c>
      <c r="AP132" s="81" t="e">
        <f t="shared" si="171"/>
        <v>#DIV/0!</v>
      </c>
      <c r="AQ132" s="81" t="e">
        <f t="shared" si="172"/>
        <v>#DIV/0!</v>
      </c>
      <c r="AR132" s="7"/>
      <c r="AS132" s="76" t="e">
        <f t="shared" si="121"/>
        <v>#DIV/0!</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x14ac:dyDescent="0.3">
      <c r="A133" s="8" t="s">
        <v>21</v>
      </c>
      <c r="B133" s="9" t="s">
        <v>83</v>
      </c>
      <c r="C133" s="7"/>
      <c r="D133" s="7"/>
      <c r="E133" s="7"/>
      <c r="F133" s="71"/>
      <c r="G133" s="51">
        <f t="shared" si="149"/>
        <v>0</v>
      </c>
      <c r="H133" s="52" t="e">
        <f t="shared" si="150"/>
        <v>#DIV/0!</v>
      </c>
      <c r="I133" s="53">
        <f>COUNTIFS('00 Encuesta'!$B$2:$B$511,"*e)*",'00 Encuesta'!$C$2:$C$511,"*a)*",'00 Encuesta'!$E$2:$E$511,"*a)*",'00 Encuesta'!$R$2:$R$511,"*d)*")</f>
        <v>0</v>
      </c>
      <c r="J133" s="52" t="e">
        <f t="shared" si="151"/>
        <v>#DIV/0!</v>
      </c>
      <c r="K133" s="53">
        <f>COUNTIFS('00 Encuesta'!$B$2:$B$511,"*e)*",'00 Encuesta'!$C$2:$C$511,"*a)*",'00 Encuesta'!$E$2:$E$511,"*b)*",'00 Encuesta'!$R$2:$R$511,"*d)*")</f>
        <v>0</v>
      </c>
      <c r="L133" s="52" t="e">
        <f t="shared" si="152"/>
        <v>#DIV/0!</v>
      </c>
      <c r="M133" s="23"/>
      <c r="N133" s="51">
        <f t="shared" si="153"/>
        <v>0</v>
      </c>
      <c r="O133" s="52" t="e">
        <f t="shared" si="154"/>
        <v>#DIV/0!</v>
      </c>
      <c r="P133" s="53">
        <f>COUNTIFS('00 Encuesta'!$B$2:$B$511,"*e)*",'00 Encuesta'!$C$2:$C$511,"*b)*",'00 Encuesta'!$E$2:$E$511,"*a)*",'00 Encuesta'!$R$2:$R$511,"*d)*")</f>
        <v>0</v>
      </c>
      <c r="Q133" s="52" t="e">
        <f t="shared" si="155"/>
        <v>#DIV/0!</v>
      </c>
      <c r="R133" s="53">
        <f>COUNTIFS('00 Encuesta'!$B$2:$B$511,"*e)*",'00 Encuesta'!$C$2:$C$511,"*b)*",'00 Encuesta'!$E$2:$E$511,"*b)*",'00 Encuesta'!$R$2:$R$511,"*d)*")</f>
        <v>0</v>
      </c>
      <c r="S133" s="52" t="e">
        <f t="shared" si="156"/>
        <v>#DIV/0!</v>
      </c>
      <c r="T133" s="3"/>
      <c r="U133" s="51">
        <f t="shared" si="157"/>
        <v>0</v>
      </c>
      <c r="V133" s="52" t="e">
        <f t="shared" si="158"/>
        <v>#DIV/0!</v>
      </c>
      <c r="W133" s="53">
        <f>COUNTIFS('00 Encuesta'!$B$2:$B$511,"*e)*",'00 Encuesta'!$C$2:$C$511,"*c)*",'00 Encuesta'!$E$2:$E$511,"*a)*",'00 Encuesta'!$R$2:$R$511,"*d)*")</f>
        <v>0</v>
      </c>
      <c r="X133" s="52" t="e">
        <f t="shared" si="159"/>
        <v>#DIV/0!</v>
      </c>
      <c r="Y133" s="53">
        <f>COUNTIFS('00 Encuesta'!$B$2:$B$511,"*e)*",'00 Encuesta'!$C$2:$C$511,"*c)*",'00 Encuesta'!$E$2:$E$511,"*b)*",'00 Encuesta'!$R$2:$R$511,"*d)*")</f>
        <v>0</v>
      </c>
      <c r="Z133" s="52" t="e">
        <f t="shared" si="160"/>
        <v>#DIV/0!</v>
      </c>
      <c r="AA133" s="3"/>
      <c r="AB133" s="62">
        <f t="shared" si="161"/>
        <v>0</v>
      </c>
      <c r="AC133" s="52" t="e">
        <f t="shared" si="162"/>
        <v>#DIV/0!</v>
      </c>
      <c r="AD133" s="7"/>
      <c r="AE133" s="7"/>
      <c r="AF133" s="9" t="str">
        <f t="shared" si="163"/>
        <v>d) El cuidado de mi cuerpo</v>
      </c>
      <c r="AG133" s="72" t="e">
        <f t="shared" si="164"/>
        <v>#DIV/0!</v>
      </c>
      <c r="AH133" s="72" t="e">
        <f t="shared" si="165"/>
        <v>#DIV/0!</v>
      </c>
      <c r="AI133" s="73" t="e">
        <f t="shared" si="166"/>
        <v>#DIV/0!</v>
      </c>
      <c r="AJ133" s="73"/>
      <c r="AK133" s="76" t="e">
        <f t="shared" si="167"/>
        <v>#DIV/0!</v>
      </c>
      <c r="AL133" s="76" t="e">
        <f t="shared" si="168"/>
        <v>#DIV/0!</v>
      </c>
      <c r="AM133" s="76" t="e">
        <f t="shared" si="169"/>
        <v>#DIV/0!</v>
      </c>
      <c r="AN133" s="76"/>
      <c r="AO133" s="81" t="e">
        <f t="shared" si="170"/>
        <v>#DIV/0!</v>
      </c>
      <c r="AP133" s="81" t="e">
        <f t="shared" si="171"/>
        <v>#DIV/0!</v>
      </c>
      <c r="AQ133" s="81" t="e">
        <f t="shared" si="172"/>
        <v>#DIV/0!</v>
      </c>
      <c r="AR133" s="7"/>
      <c r="AS133" s="76" t="e">
        <f t="shared" si="121"/>
        <v>#DIV/0!</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x14ac:dyDescent="0.3">
      <c r="A134" s="8" t="s">
        <v>22</v>
      </c>
      <c r="B134" s="9" t="s">
        <v>84</v>
      </c>
      <c r="C134" s="7"/>
      <c r="D134" s="7"/>
      <c r="E134" s="7"/>
      <c r="F134" s="71"/>
      <c r="G134" s="51">
        <f t="shared" si="149"/>
        <v>0</v>
      </c>
      <c r="H134" s="52" t="e">
        <f t="shared" si="150"/>
        <v>#DIV/0!</v>
      </c>
      <c r="I134" s="53">
        <f>COUNTIFS('00 Encuesta'!$B$2:$B$511,"*e)*",'00 Encuesta'!$C$2:$C$511,"*a)*",'00 Encuesta'!$E$2:$E$511,"*a)*",'00 Encuesta'!$R$2:$R$511,"*e)*")</f>
        <v>0</v>
      </c>
      <c r="J134" s="52" t="e">
        <f t="shared" si="151"/>
        <v>#DIV/0!</v>
      </c>
      <c r="K134" s="53">
        <f>COUNTIFS('00 Encuesta'!$B$2:$B$511,"*e)*",'00 Encuesta'!$C$2:$C$511,"*a)*",'00 Encuesta'!$E$2:$E$511,"*b)*",'00 Encuesta'!$R$2:$R$511,"*e)*")</f>
        <v>0</v>
      </c>
      <c r="L134" s="52" t="e">
        <f t="shared" si="152"/>
        <v>#DIV/0!</v>
      </c>
      <c r="M134" s="23"/>
      <c r="N134" s="51">
        <f t="shared" si="153"/>
        <v>0</v>
      </c>
      <c r="O134" s="52" t="e">
        <f t="shared" si="154"/>
        <v>#DIV/0!</v>
      </c>
      <c r="P134" s="53">
        <f>COUNTIFS('00 Encuesta'!$B$2:$B$511,"*e)*",'00 Encuesta'!$C$2:$C$511,"*b)*",'00 Encuesta'!$E$2:$E$511,"*a)*",'00 Encuesta'!$R$2:$R$511,"*e)*")</f>
        <v>0</v>
      </c>
      <c r="Q134" s="52" t="e">
        <f t="shared" si="155"/>
        <v>#DIV/0!</v>
      </c>
      <c r="R134" s="53">
        <f>COUNTIFS('00 Encuesta'!$B$2:$B$511,"*e)*",'00 Encuesta'!$C$2:$C$511,"*b)*",'00 Encuesta'!$E$2:$E$511,"*b)*",'00 Encuesta'!$R$2:$R$511,"*e)*")</f>
        <v>0</v>
      </c>
      <c r="S134" s="52" t="e">
        <f t="shared" si="156"/>
        <v>#DIV/0!</v>
      </c>
      <c r="T134" s="3"/>
      <c r="U134" s="51">
        <f t="shared" si="157"/>
        <v>0</v>
      </c>
      <c r="V134" s="52" t="e">
        <f t="shared" si="158"/>
        <v>#DIV/0!</v>
      </c>
      <c r="W134" s="53">
        <f>COUNTIFS('00 Encuesta'!$B$2:$B$511,"*e)*",'00 Encuesta'!$C$2:$C$511,"*c)*",'00 Encuesta'!$E$2:$E$511,"*a)*",'00 Encuesta'!$R$2:$R$511,"*e)*")</f>
        <v>0</v>
      </c>
      <c r="X134" s="52" t="e">
        <f t="shared" si="159"/>
        <v>#DIV/0!</v>
      </c>
      <c r="Y134" s="53">
        <f>COUNTIFS('00 Encuesta'!$B$2:$B$511,"*e)*",'00 Encuesta'!$C$2:$C$511,"*c)*",'00 Encuesta'!$E$2:$E$511,"*b)*",'00 Encuesta'!$R$2:$R$511,"*e)*")</f>
        <v>0</v>
      </c>
      <c r="Z134" s="52" t="e">
        <f t="shared" si="160"/>
        <v>#DIV/0!</v>
      </c>
      <c r="AA134" s="3"/>
      <c r="AB134" s="62">
        <f t="shared" si="161"/>
        <v>0</v>
      </c>
      <c r="AC134" s="52" t="e">
        <f t="shared" si="162"/>
        <v>#DIV/0!</v>
      </c>
      <c r="AD134" s="7"/>
      <c r="AE134" s="7"/>
      <c r="AF134" s="9" t="str">
        <f t="shared" si="163"/>
        <v>e) Disponer de dinero</v>
      </c>
      <c r="AG134" s="72" t="e">
        <f t="shared" si="164"/>
        <v>#DIV/0!</v>
      </c>
      <c r="AH134" s="72" t="e">
        <f t="shared" si="165"/>
        <v>#DIV/0!</v>
      </c>
      <c r="AI134" s="73" t="e">
        <f t="shared" si="166"/>
        <v>#DIV/0!</v>
      </c>
      <c r="AJ134" s="73"/>
      <c r="AK134" s="76" t="e">
        <f t="shared" si="167"/>
        <v>#DIV/0!</v>
      </c>
      <c r="AL134" s="76" t="e">
        <f t="shared" si="168"/>
        <v>#DIV/0!</v>
      </c>
      <c r="AM134" s="76" t="e">
        <f t="shared" si="169"/>
        <v>#DIV/0!</v>
      </c>
      <c r="AN134" s="76"/>
      <c r="AO134" s="81" t="e">
        <f t="shared" si="170"/>
        <v>#DIV/0!</v>
      </c>
      <c r="AP134" s="81" t="e">
        <f t="shared" si="171"/>
        <v>#DIV/0!</v>
      </c>
      <c r="AQ134" s="81" t="e">
        <f t="shared" si="172"/>
        <v>#DIV/0!</v>
      </c>
      <c r="AR134" s="7"/>
      <c r="AS134" s="76" t="e">
        <f t="shared" si="121"/>
        <v>#DIV/0!</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x14ac:dyDescent="0.3">
      <c r="A135" s="8" t="s">
        <v>45</v>
      </c>
      <c r="B135" s="9" t="s">
        <v>110</v>
      </c>
      <c r="C135" s="7"/>
      <c r="D135" s="7"/>
      <c r="E135" s="7"/>
      <c r="F135" s="71"/>
      <c r="G135" s="51">
        <f t="shared" si="149"/>
        <v>0</v>
      </c>
      <c r="H135" s="52" t="e">
        <f t="shared" si="150"/>
        <v>#DIV/0!</v>
      </c>
      <c r="I135" s="53">
        <f>COUNTIFS('00 Encuesta'!$B$2:$B$511,"*e)*",'00 Encuesta'!$C$2:$C$511,"*a)*",'00 Encuesta'!$E$2:$E$511,"*a)*",'00 Encuesta'!$R$2:$R$511,"*f)*")</f>
        <v>0</v>
      </c>
      <c r="J135" s="52" t="e">
        <f t="shared" si="151"/>
        <v>#DIV/0!</v>
      </c>
      <c r="K135" s="53">
        <f>COUNTIFS('00 Encuesta'!$B$2:$B$511,"*e)*",'00 Encuesta'!$C$2:$C$511,"*a)*",'00 Encuesta'!$E$2:$E$511,"*b)*",'00 Encuesta'!$R$2:$R$511,"*f)*")</f>
        <v>0</v>
      </c>
      <c r="L135" s="52" t="e">
        <f t="shared" si="152"/>
        <v>#DIV/0!</v>
      </c>
      <c r="M135" s="23"/>
      <c r="N135" s="51">
        <f t="shared" si="153"/>
        <v>0</v>
      </c>
      <c r="O135" s="52" t="e">
        <f t="shared" si="154"/>
        <v>#DIV/0!</v>
      </c>
      <c r="P135" s="53">
        <f>COUNTIFS('00 Encuesta'!$B$2:$B$511,"*e)*",'00 Encuesta'!$C$2:$C$511,"*b)*",'00 Encuesta'!$E$2:$E$511,"*a)*",'00 Encuesta'!$R$2:$R$511,"*f)*")</f>
        <v>0</v>
      </c>
      <c r="Q135" s="52" t="e">
        <f t="shared" si="155"/>
        <v>#DIV/0!</v>
      </c>
      <c r="R135" s="53">
        <f>COUNTIFS('00 Encuesta'!$B$2:$B$511,"*e)*",'00 Encuesta'!$C$2:$C$511,"*b)*",'00 Encuesta'!$E$2:$E$511,"*b)*",'00 Encuesta'!$R$2:$R$511,"*f)*")</f>
        <v>0</v>
      </c>
      <c r="S135" s="52" t="e">
        <f t="shared" si="156"/>
        <v>#DIV/0!</v>
      </c>
      <c r="T135" s="3"/>
      <c r="U135" s="51">
        <f t="shared" si="157"/>
        <v>0</v>
      </c>
      <c r="V135" s="52" t="e">
        <f t="shared" si="158"/>
        <v>#DIV/0!</v>
      </c>
      <c r="W135" s="53">
        <f>COUNTIFS('00 Encuesta'!$B$2:$B$511,"*e)*",'00 Encuesta'!$C$2:$C$511,"*c)*",'00 Encuesta'!$E$2:$E$511,"*a)*",'00 Encuesta'!$R$2:$R$511,"*f)*")</f>
        <v>0</v>
      </c>
      <c r="X135" s="52" t="e">
        <f t="shared" si="159"/>
        <v>#DIV/0!</v>
      </c>
      <c r="Y135" s="53">
        <f>COUNTIFS('00 Encuesta'!$B$2:$B$511,"*e)*",'00 Encuesta'!$C$2:$C$511,"*c)*",'00 Encuesta'!$E$2:$E$511,"*b)*",'00 Encuesta'!$R$2:$R$511,"*f)*")</f>
        <v>0</v>
      </c>
      <c r="Z135" s="52" t="e">
        <f t="shared" si="160"/>
        <v>#DIV/0!</v>
      </c>
      <c r="AA135" s="3"/>
      <c r="AB135" s="62">
        <f t="shared" si="161"/>
        <v>0</v>
      </c>
      <c r="AC135" s="52" t="e">
        <f t="shared" si="162"/>
        <v>#DIV/0!</v>
      </c>
      <c r="AD135" s="7"/>
      <c r="AE135" s="7"/>
      <c r="AF135" s="9" t="str">
        <f t="shared" si="163"/>
        <v>f) Mi fe y mi vida cristiana</v>
      </c>
      <c r="AG135" s="72" t="e">
        <f t="shared" si="164"/>
        <v>#DIV/0!</v>
      </c>
      <c r="AH135" s="72" t="e">
        <f t="shared" si="165"/>
        <v>#DIV/0!</v>
      </c>
      <c r="AI135" s="73" t="e">
        <f t="shared" si="166"/>
        <v>#DIV/0!</v>
      </c>
      <c r="AJ135" s="73"/>
      <c r="AK135" s="76" t="e">
        <f t="shared" si="167"/>
        <v>#DIV/0!</v>
      </c>
      <c r="AL135" s="76" t="e">
        <f t="shared" si="168"/>
        <v>#DIV/0!</v>
      </c>
      <c r="AM135" s="76" t="e">
        <f t="shared" si="169"/>
        <v>#DIV/0!</v>
      </c>
      <c r="AN135" s="76"/>
      <c r="AO135" s="81" t="e">
        <f t="shared" si="170"/>
        <v>#DIV/0!</v>
      </c>
      <c r="AP135" s="81" t="e">
        <f t="shared" si="171"/>
        <v>#DIV/0!</v>
      </c>
      <c r="AQ135" s="81" t="e">
        <f t="shared" si="172"/>
        <v>#DIV/0!</v>
      </c>
      <c r="AR135" s="7"/>
      <c r="AS135" s="76" t="e">
        <f t="shared" si="121"/>
        <v>#DIV/0!</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x14ac:dyDescent="0.3">
      <c r="A136" s="8" t="s">
        <v>61</v>
      </c>
      <c r="B136" s="9" t="s">
        <v>86</v>
      </c>
      <c r="C136" s="7"/>
      <c r="D136" s="7"/>
      <c r="E136" s="7"/>
      <c r="F136" s="71"/>
      <c r="G136" s="51">
        <f t="shared" si="149"/>
        <v>0</v>
      </c>
      <c r="H136" s="52" t="e">
        <f t="shared" si="150"/>
        <v>#DIV/0!</v>
      </c>
      <c r="I136" s="53">
        <f>COUNTIFS('00 Encuesta'!$B$2:$B$511,"*e)*",'00 Encuesta'!$C$2:$C$511,"*a)*",'00 Encuesta'!$E$2:$E$511,"*a)*",'00 Encuesta'!$R$2:$R$511,"*g)*")</f>
        <v>0</v>
      </c>
      <c r="J136" s="52" t="e">
        <f t="shared" si="151"/>
        <v>#DIV/0!</v>
      </c>
      <c r="K136" s="53">
        <f>COUNTIFS('00 Encuesta'!$B$2:$B$511,"*e)*",'00 Encuesta'!$C$2:$C$511,"*a)*",'00 Encuesta'!$E$2:$E$511,"*b)*",'00 Encuesta'!$R$2:$R$511,"*g)*")</f>
        <v>0</v>
      </c>
      <c r="L136" s="52" t="e">
        <f t="shared" si="152"/>
        <v>#DIV/0!</v>
      </c>
      <c r="M136" s="23"/>
      <c r="N136" s="51">
        <f t="shared" si="153"/>
        <v>0</v>
      </c>
      <c r="O136" s="52" t="e">
        <f t="shared" si="154"/>
        <v>#DIV/0!</v>
      </c>
      <c r="P136" s="53">
        <f>COUNTIFS('00 Encuesta'!$B$2:$B$511,"*e)*",'00 Encuesta'!$C$2:$C$511,"*b)*",'00 Encuesta'!$E$2:$E$511,"*a)*",'00 Encuesta'!$R$2:$R$511,"*g)*")</f>
        <v>0</v>
      </c>
      <c r="Q136" s="52" t="e">
        <f t="shared" si="155"/>
        <v>#DIV/0!</v>
      </c>
      <c r="R136" s="53">
        <f>COUNTIFS('00 Encuesta'!$B$2:$B$511,"*e)*",'00 Encuesta'!$C$2:$C$511,"*b)*",'00 Encuesta'!$E$2:$E$511,"*b)*",'00 Encuesta'!$R$2:$R$511,"*g)*")</f>
        <v>0</v>
      </c>
      <c r="S136" s="52" t="e">
        <f t="shared" si="156"/>
        <v>#DIV/0!</v>
      </c>
      <c r="T136" s="3"/>
      <c r="U136" s="51">
        <f t="shared" si="157"/>
        <v>0</v>
      </c>
      <c r="V136" s="52" t="e">
        <f t="shared" si="158"/>
        <v>#DIV/0!</v>
      </c>
      <c r="W136" s="53">
        <f>COUNTIFS('00 Encuesta'!$B$2:$B$511,"*e)*",'00 Encuesta'!$C$2:$C$511,"*c)*",'00 Encuesta'!$E$2:$E$511,"*a)*",'00 Encuesta'!$R$2:$R$511,"*g)*")</f>
        <v>0</v>
      </c>
      <c r="X136" s="52" t="e">
        <f t="shared" si="159"/>
        <v>#DIV/0!</v>
      </c>
      <c r="Y136" s="53">
        <f>COUNTIFS('00 Encuesta'!$B$2:$B$511,"*e)*",'00 Encuesta'!$C$2:$C$511,"*c)*",'00 Encuesta'!$E$2:$E$511,"*b)*",'00 Encuesta'!$R$2:$R$511,"*g)*")</f>
        <v>0</v>
      </c>
      <c r="Z136" s="52" t="e">
        <f t="shared" si="160"/>
        <v>#DIV/0!</v>
      </c>
      <c r="AA136" s="3"/>
      <c r="AB136" s="62">
        <f t="shared" si="161"/>
        <v>0</v>
      </c>
      <c r="AC136" s="52" t="e">
        <f t="shared" si="162"/>
        <v>#DIV/0!</v>
      </c>
      <c r="AD136" s="7"/>
      <c r="AE136" s="7"/>
      <c r="AF136" s="9" t="str">
        <f t="shared" si="163"/>
        <v>g) La felicidad</v>
      </c>
      <c r="AG136" s="72" t="e">
        <f t="shared" si="164"/>
        <v>#DIV/0!</v>
      </c>
      <c r="AH136" s="72" t="e">
        <f t="shared" si="165"/>
        <v>#DIV/0!</v>
      </c>
      <c r="AI136" s="73" t="e">
        <f t="shared" si="166"/>
        <v>#DIV/0!</v>
      </c>
      <c r="AJ136" s="73"/>
      <c r="AK136" s="76" t="e">
        <f t="shared" si="167"/>
        <v>#DIV/0!</v>
      </c>
      <c r="AL136" s="76" t="e">
        <f t="shared" si="168"/>
        <v>#DIV/0!</v>
      </c>
      <c r="AM136" s="76" t="e">
        <f t="shared" si="169"/>
        <v>#DIV/0!</v>
      </c>
      <c r="AN136" s="76"/>
      <c r="AO136" s="81" t="e">
        <f t="shared" si="170"/>
        <v>#DIV/0!</v>
      </c>
      <c r="AP136" s="81" t="e">
        <f t="shared" si="171"/>
        <v>#DIV/0!</v>
      </c>
      <c r="AQ136" s="81" t="e">
        <f t="shared" si="172"/>
        <v>#DIV/0!</v>
      </c>
      <c r="AR136" s="7"/>
      <c r="AS136" s="76" t="e">
        <f t="shared" si="121"/>
        <v>#DIV/0!</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x14ac:dyDescent="0.3">
      <c r="A137" s="8" t="s">
        <v>63</v>
      </c>
      <c r="B137" s="9" t="s">
        <v>87</v>
      </c>
      <c r="C137" s="7"/>
      <c r="D137" s="7"/>
      <c r="E137" s="7"/>
      <c r="F137" s="71"/>
      <c r="G137" s="51">
        <f t="shared" si="149"/>
        <v>0</v>
      </c>
      <c r="H137" s="52" t="e">
        <f t="shared" si="150"/>
        <v>#DIV/0!</v>
      </c>
      <c r="I137" s="53">
        <f>COUNTIFS('00 Encuesta'!$B$2:$B$511,"*e)*",'00 Encuesta'!$C$2:$C$511,"*a)*",'00 Encuesta'!$E$2:$E$511,"*a)*",'00 Encuesta'!$R$2:$R$511,"*h)*")</f>
        <v>0</v>
      </c>
      <c r="J137" s="52" t="e">
        <f t="shared" si="151"/>
        <v>#DIV/0!</v>
      </c>
      <c r="K137" s="53">
        <f>COUNTIFS('00 Encuesta'!$B$2:$B$511,"*e)*",'00 Encuesta'!$C$2:$C$511,"*a)*",'00 Encuesta'!$E$2:$E$511,"*b)*",'00 Encuesta'!$R$2:$R$511,"*h)*")</f>
        <v>0</v>
      </c>
      <c r="L137" s="52" t="e">
        <f t="shared" si="152"/>
        <v>#DIV/0!</v>
      </c>
      <c r="M137" s="23"/>
      <c r="N137" s="51">
        <f t="shared" si="153"/>
        <v>0</v>
      </c>
      <c r="O137" s="52" t="e">
        <f t="shared" si="154"/>
        <v>#DIV/0!</v>
      </c>
      <c r="P137" s="53">
        <f>COUNTIFS('00 Encuesta'!$B$2:$B$511,"*e)*",'00 Encuesta'!$C$2:$C$511,"*b)*",'00 Encuesta'!$E$2:$E$511,"*a)*",'00 Encuesta'!$R$2:$R$511,"*h)*")</f>
        <v>0</v>
      </c>
      <c r="Q137" s="52" t="e">
        <f t="shared" si="155"/>
        <v>#DIV/0!</v>
      </c>
      <c r="R137" s="53">
        <f>COUNTIFS('00 Encuesta'!$B$2:$B$511,"*e)*",'00 Encuesta'!$C$2:$C$511,"*b)*",'00 Encuesta'!$E$2:$E$511,"*b)*",'00 Encuesta'!$R$2:$R$511,"*h)*")</f>
        <v>0</v>
      </c>
      <c r="S137" s="52" t="e">
        <f t="shared" si="156"/>
        <v>#DIV/0!</v>
      </c>
      <c r="T137" s="3"/>
      <c r="U137" s="51">
        <f t="shared" si="157"/>
        <v>0</v>
      </c>
      <c r="V137" s="52" t="e">
        <f t="shared" si="158"/>
        <v>#DIV/0!</v>
      </c>
      <c r="W137" s="53">
        <f>COUNTIFS('00 Encuesta'!$B$2:$B$511,"*e)*",'00 Encuesta'!$C$2:$C$511,"*c)*",'00 Encuesta'!$E$2:$E$511,"*a)*",'00 Encuesta'!$R$2:$R$511,"*h)*")</f>
        <v>0</v>
      </c>
      <c r="X137" s="52" t="e">
        <f t="shared" si="159"/>
        <v>#DIV/0!</v>
      </c>
      <c r="Y137" s="53">
        <f>COUNTIFS('00 Encuesta'!$B$2:$B$511,"*e)*",'00 Encuesta'!$C$2:$C$511,"*c)*",'00 Encuesta'!$E$2:$E$511,"*b)*",'00 Encuesta'!$R$2:$R$511,"*h)*")</f>
        <v>0</v>
      </c>
      <c r="Z137" s="52" t="e">
        <f t="shared" si="160"/>
        <v>#DIV/0!</v>
      </c>
      <c r="AA137" s="3"/>
      <c r="AB137" s="62">
        <f t="shared" si="161"/>
        <v>0</v>
      </c>
      <c r="AC137" s="52" t="e">
        <f t="shared" si="162"/>
        <v>#DIV/0!</v>
      </c>
      <c r="AD137" s="7"/>
      <c r="AE137" s="7"/>
      <c r="AF137" s="9" t="str">
        <f t="shared" si="163"/>
        <v>h) La sexualidad</v>
      </c>
      <c r="AG137" s="72" t="e">
        <f t="shared" si="164"/>
        <v>#DIV/0!</v>
      </c>
      <c r="AH137" s="72" t="e">
        <f t="shared" si="165"/>
        <v>#DIV/0!</v>
      </c>
      <c r="AI137" s="73" t="e">
        <f t="shared" si="166"/>
        <v>#DIV/0!</v>
      </c>
      <c r="AJ137" s="73"/>
      <c r="AK137" s="76" t="e">
        <f t="shared" si="167"/>
        <v>#DIV/0!</v>
      </c>
      <c r="AL137" s="76" t="e">
        <f t="shared" si="168"/>
        <v>#DIV/0!</v>
      </c>
      <c r="AM137" s="76" t="e">
        <f t="shared" si="169"/>
        <v>#DIV/0!</v>
      </c>
      <c r="AN137" s="76"/>
      <c r="AO137" s="81" t="e">
        <f t="shared" si="170"/>
        <v>#DIV/0!</v>
      </c>
      <c r="AP137" s="81" t="e">
        <f t="shared" si="171"/>
        <v>#DIV/0!</v>
      </c>
      <c r="AQ137" s="81" t="e">
        <f t="shared" si="172"/>
        <v>#DIV/0!</v>
      </c>
      <c r="AR137" s="7"/>
      <c r="AS137" s="76" t="e">
        <f t="shared" si="121"/>
        <v>#DIV/0!</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t="e">
        <f t="shared" si="150"/>
        <v>#DIV/0!</v>
      </c>
      <c r="I138" s="53">
        <f>COUNTIFS('00 Encuesta'!$B$2:$B$511,"*e)*",'00 Encuesta'!$C$2:$C$511,"*a)*",'00 Encuesta'!$E$2:$E$511,"*a)*",'00 Encuesta'!$R$2:$R$511,"*i)*")</f>
        <v>0</v>
      </c>
      <c r="J138" s="52" t="e">
        <f t="shared" si="151"/>
        <v>#DIV/0!</v>
      </c>
      <c r="K138" s="53">
        <f>COUNTIFS('00 Encuesta'!$B$2:$B$511,"*e)*",'00 Encuesta'!$C$2:$C$511,"*a)*",'00 Encuesta'!$E$2:$E$511,"*b)*",'00 Encuesta'!$R$2:$R$511,"*i)*")</f>
        <v>0</v>
      </c>
      <c r="L138" s="52" t="e">
        <f t="shared" si="152"/>
        <v>#DIV/0!</v>
      </c>
      <c r="M138" s="23"/>
      <c r="N138" s="51">
        <f t="shared" si="153"/>
        <v>0</v>
      </c>
      <c r="O138" s="52" t="e">
        <f t="shared" si="154"/>
        <v>#DIV/0!</v>
      </c>
      <c r="P138" s="53">
        <f>COUNTIFS('00 Encuesta'!$B$2:$B$511,"*e)*",'00 Encuesta'!$C$2:$C$511,"*b)*",'00 Encuesta'!$E$2:$E$511,"*a)*",'00 Encuesta'!$R$2:$R$511,"*i)*")</f>
        <v>0</v>
      </c>
      <c r="Q138" s="52" t="e">
        <f t="shared" si="155"/>
        <v>#DIV/0!</v>
      </c>
      <c r="R138" s="53">
        <f>COUNTIFS('00 Encuesta'!$B$2:$B$511,"*e)*",'00 Encuesta'!$C$2:$C$511,"*b)*",'00 Encuesta'!$E$2:$E$511,"*b)*",'00 Encuesta'!$R$2:$R$511,"*i)*")</f>
        <v>0</v>
      </c>
      <c r="S138" s="52" t="e">
        <f t="shared" si="156"/>
        <v>#DIV/0!</v>
      </c>
      <c r="T138" s="3"/>
      <c r="U138" s="51">
        <f t="shared" si="157"/>
        <v>0</v>
      </c>
      <c r="V138" s="52" t="e">
        <f t="shared" si="158"/>
        <v>#DIV/0!</v>
      </c>
      <c r="W138" s="53">
        <f>COUNTIFS('00 Encuesta'!$B$2:$B$511,"*e)*",'00 Encuesta'!$C$2:$C$511,"*c)*",'00 Encuesta'!$E$2:$E$511,"*a)*",'00 Encuesta'!$R$2:$R$511,"*i)*")</f>
        <v>0</v>
      </c>
      <c r="X138" s="52" t="e">
        <f t="shared" si="159"/>
        <v>#DIV/0!</v>
      </c>
      <c r="Y138" s="53">
        <f>COUNTIFS('00 Encuesta'!$B$2:$B$511,"*e)*",'00 Encuesta'!$C$2:$C$511,"*c)*",'00 Encuesta'!$E$2:$E$511,"*b)*",'00 Encuesta'!$R$2:$R$511,"*i)*")</f>
        <v>0</v>
      </c>
      <c r="Z138" s="52" t="e">
        <f t="shared" si="160"/>
        <v>#DIV/0!</v>
      </c>
      <c r="AA138" s="3"/>
      <c r="AB138" s="62">
        <f t="shared" si="161"/>
        <v>0</v>
      </c>
      <c r="AC138" s="52" t="e">
        <f t="shared" si="162"/>
        <v>#DIV/0!</v>
      </c>
      <c r="AD138" s="7"/>
      <c r="AE138" s="7"/>
      <c r="AF138" s="9" t="str">
        <f t="shared" si="163"/>
        <v>i) La música</v>
      </c>
      <c r="AG138" s="72" t="e">
        <f t="shared" si="164"/>
        <v>#DIV/0!</v>
      </c>
      <c r="AH138" s="72" t="e">
        <f t="shared" si="165"/>
        <v>#DIV/0!</v>
      </c>
      <c r="AI138" s="73" t="e">
        <f t="shared" si="166"/>
        <v>#DIV/0!</v>
      </c>
      <c r="AJ138" s="73"/>
      <c r="AK138" s="76" t="e">
        <f t="shared" si="167"/>
        <v>#DIV/0!</v>
      </c>
      <c r="AL138" s="76" t="e">
        <f t="shared" si="168"/>
        <v>#DIV/0!</v>
      </c>
      <c r="AM138" s="76" t="e">
        <f t="shared" si="169"/>
        <v>#DIV/0!</v>
      </c>
      <c r="AN138" s="76"/>
      <c r="AO138" s="81" t="e">
        <f t="shared" si="170"/>
        <v>#DIV/0!</v>
      </c>
      <c r="AP138" s="81" t="e">
        <f t="shared" si="171"/>
        <v>#DIV/0!</v>
      </c>
      <c r="AQ138" s="81" t="e">
        <f t="shared" si="172"/>
        <v>#DIV/0!</v>
      </c>
      <c r="AR138" s="7"/>
      <c r="AS138" s="76" t="e">
        <f t="shared" si="121"/>
        <v>#DIV/0!</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x14ac:dyDescent="0.3">
      <c r="A139" s="1" t="s">
        <v>67</v>
      </c>
      <c r="B139" s="2" t="s">
        <v>89</v>
      </c>
      <c r="C139" s="3"/>
      <c r="D139" s="7"/>
      <c r="E139" s="7"/>
      <c r="F139" s="71"/>
      <c r="G139" s="51">
        <f t="shared" si="149"/>
        <v>0</v>
      </c>
      <c r="H139" s="52" t="e">
        <f t="shared" si="150"/>
        <v>#DIV/0!</v>
      </c>
      <c r="I139" s="53">
        <f>COUNTIFS('00 Encuesta'!$B$2:$B$511,"*e)*",'00 Encuesta'!$C$2:$C$511,"*a)*",'00 Encuesta'!$E$2:$E$511,"*a)*",'00 Encuesta'!$R$2:$R$511,"*j)*")</f>
        <v>0</v>
      </c>
      <c r="J139" s="52" t="e">
        <f t="shared" si="151"/>
        <v>#DIV/0!</v>
      </c>
      <c r="K139" s="53">
        <f>COUNTIFS('00 Encuesta'!$B$2:$B$511,"*e)*",'00 Encuesta'!$C$2:$C$511,"*a)*",'00 Encuesta'!$E$2:$E$511,"*b)*",'00 Encuesta'!$R$2:$R$511,"*j)*")</f>
        <v>0</v>
      </c>
      <c r="L139" s="52" t="e">
        <f t="shared" si="152"/>
        <v>#DIV/0!</v>
      </c>
      <c r="M139" s="23"/>
      <c r="N139" s="51">
        <f t="shared" si="153"/>
        <v>0</v>
      </c>
      <c r="O139" s="52" t="e">
        <f t="shared" si="154"/>
        <v>#DIV/0!</v>
      </c>
      <c r="P139" s="53">
        <f>COUNTIFS('00 Encuesta'!$B$2:$B$511,"*e)*",'00 Encuesta'!$C$2:$C$511,"*b)*",'00 Encuesta'!$E$2:$E$511,"*a)*",'00 Encuesta'!$R$2:$R$511,"*j)*")</f>
        <v>0</v>
      </c>
      <c r="Q139" s="52" t="e">
        <f t="shared" si="155"/>
        <v>#DIV/0!</v>
      </c>
      <c r="R139" s="53">
        <f>COUNTIFS('00 Encuesta'!$B$2:$B$511,"*e)*",'00 Encuesta'!$C$2:$C$511,"*b)*",'00 Encuesta'!$E$2:$E$511,"*b)*",'00 Encuesta'!$R$2:$R$511,"*j)*")</f>
        <v>0</v>
      </c>
      <c r="S139" s="52" t="e">
        <f t="shared" si="156"/>
        <v>#DIV/0!</v>
      </c>
      <c r="T139" s="3"/>
      <c r="U139" s="51">
        <f t="shared" si="157"/>
        <v>0</v>
      </c>
      <c r="V139" s="52" t="e">
        <f t="shared" si="158"/>
        <v>#DIV/0!</v>
      </c>
      <c r="W139" s="53">
        <f>COUNTIFS('00 Encuesta'!$B$2:$B$511,"*e)*",'00 Encuesta'!$C$2:$C$511,"*c)*",'00 Encuesta'!$E$2:$E$511,"*a)*",'00 Encuesta'!$R$2:$R$511,"*j)*")</f>
        <v>0</v>
      </c>
      <c r="X139" s="52" t="e">
        <f t="shared" si="159"/>
        <v>#DIV/0!</v>
      </c>
      <c r="Y139" s="53">
        <f>COUNTIFS('00 Encuesta'!$B$2:$B$511,"*e)*",'00 Encuesta'!$C$2:$C$511,"*c)*",'00 Encuesta'!$E$2:$E$511,"*b)*",'00 Encuesta'!$R$2:$R$511,"*j)*")</f>
        <v>0</v>
      </c>
      <c r="Z139" s="52" t="e">
        <f t="shared" si="160"/>
        <v>#DIV/0!</v>
      </c>
      <c r="AA139" s="3"/>
      <c r="AB139" s="62">
        <f t="shared" si="161"/>
        <v>0</v>
      </c>
      <c r="AC139" s="52" t="e">
        <f t="shared" si="162"/>
        <v>#DIV/0!</v>
      </c>
      <c r="AD139" s="7"/>
      <c r="AE139" s="7"/>
      <c r="AF139" s="9" t="str">
        <f t="shared" si="163"/>
        <v>j) El deporte</v>
      </c>
      <c r="AG139" s="72" t="e">
        <f t="shared" si="164"/>
        <v>#DIV/0!</v>
      </c>
      <c r="AH139" s="72" t="e">
        <f t="shared" si="165"/>
        <v>#DIV/0!</v>
      </c>
      <c r="AI139" s="73" t="e">
        <f t="shared" si="166"/>
        <v>#DIV/0!</v>
      </c>
      <c r="AJ139" s="73"/>
      <c r="AK139" s="76" t="e">
        <f t="shared" si="167"/>
        <v>#DIV/0!</v>
      </c>
      <c r="AL139" s="76" t="e">
        <f t="shared" si="168"/>
        <v>#DIV/0!</v>
      </c>
      <c r="AM139" s="76" t="e">
        <f t="shared" si="169"/>
        <v>#DIV/0!</v>
      </c>
      <c r="AN139" s="76"/>
      <c r="AO139" s="81" t="e">
        <f t="shared" si="170"/>
        <v>#DIV/0!</v>
      </c>
      <c r="AP139" s="81" t="e">
        <f t="shared" si="171"/>
        <v>#DIV/0!</v>
      </c>
      <c r="AQ139" s="81" t="e">
        <f t="shared" si="172"/>
        <v>#DIV/0!</v>
      </c>
      <c r="AR139" s="7"/>
      <c r="AS139" s="76" t="e">
        <f t="shared" si="121"/>
        <v>#DIV/0!</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x14ac:dyDescent="0.3">
      <c r="A140" s="8" t="s">
        <v>69</v>
      </c>
      <c r="B140" s="9" t="s">
        <v>90</v>
      </c>
      <c r="C140" s="7"/>
      <c r="D140" s="7"/>
      <c r="E140" s="7"/>
      <c r="F140" s="71"/>
      <c r="G140" s="51">
        <f t="shared" si="149"/>
        <v>0</v>
      </c>
      <c r="H140" s="52" t="e">
        <f t="shared" si="150"/>
        <v>#DIV/0!</v>
      </c>
      <c r="I140" s="53">
        <f>COUNTIFS('00 Encuesta'!$B$2:$B$511,"*e)*",'00 Encuesta'!$C$2:$C$511,"*a)*",'00 Encuesta'!$E$2:$E$511,"*a)*",'00 Encuesta'!$R$2:$R$511,"*k)*")</f>
        <v>0</v>
      </c>
      <c r="J140" s="52" t="e">
        <f t="shared" si="151"/>
        <v>#DIV/0!</v>
      </c>
      <c r="K140" s="53">
        <f>COUNTIFS('00 Encuesta'!$B$2:$B$511,"*e)*",'00 Encuesta'!$C$2:$C$511,"*a)*",'00 Encuesta'!$E$2:$E$511,"*b)*",'00 Encuesta'!$R$2:$R$511,"*k)*")</f>
        <v>0</v>
      </c>
      <c r="L140" s="52" t="e">
        <f t="shared" si="152"/>
        <v>#DIV/0!</v>
      </c>
      <c r="M140" s="23"/>
      <c r="N140" s="51">
        <f t="shared" si="153"/>
        <v>0</v>
      </c>
      <c r="O140" s="52" t="e">
        <f t="shared" si="154"/>
        <v>#DIV/0!</v>
      </c>
      <c r="P140" s="53">
        <f>COUNTIFS('00 Encuesta'!$B$2:$B$511,"*e)*",'00 Encuesta'!$C$2:$C$511,"*b)*",'00 Encuesta'!$E$2:$E$511,"*a)*",'00 Encuesta'!$R$2:$R$511,"*k)*")</f>
        <v>0</v>
      </c>
      <c r="Q140" s="52" t="e">
        <f t="shared" si="155"/>
        <v>#DIV/0!</v>
      </c>
      <c r="R140" s="53">
        <f>COUNTIFS('00 Encuesta'!$B$2:$B$511,"*e)*",'00 Encuesta'!$C$2:$C$511,"*b)*",'00 Encuesta'!$E$2:$E$511,"*b)*",'00 Encuesta'!$R$2:$R$511,"*k)*")</f>
        <v>0</v>
      </c>
      <c r="S140" s="52" t="e">
        <f t="shared" si="156"/>
        <v>#DIV/0!</v>
      </c>
      <c r="T140" s="3"/>
      <c r="U140" s="51">
        <f t="shared" si="157"/>
        <v>0</v>
      </c>
      <c r="V140" s="52" t="e">
        <f t="shared" si="158"/>
        <v>#DIV/0!</v>
      </c>
      <c r="W140" s="53">
        <f>COUNTIFS('00 Encuesta'!$B$2:$B$511,"*e)*",'00 Encuesta'!$C$2:$C$511,"*c)*",'00 Encuesta'!$E$2:$E$511,"*a)*",'00 Encuesta'!$R$2:$R$511,"*k)*")</f>
        <v>0</v>
      </c>
      <c r="X140" s="52" t="e">
        <f t="shared" si="159"/>
        <v>#DIV/0!</v>
      </c>
      <c r="Y140" s="53">
        <f>COUNTIFS('00 Encuesta'!$B$2:$B$511,"*e)*",'00 Encuesta'!$C$2:$C$511,"*c)*",'00 Encuesta'!$E$2:$E$511,"*b)*",'00 Encuesta'!$R$2:$R$511,"*k)*")</f>
        <v>0</v>
      </c>
      <c r="Z140" s="52" t="e">
        <f t="shared" si="160"/>
        <v>#DIV/0!</v>
      </c>
      <c r="AA140" s="3"/>
      <c r="AB140" s="62">
        <f t="shared" si="161"/>
        <v>0</v>
      </c>
      <c r="AC140" s="52" t="e">
        <f t="shared" si="162"/>
        <v>#DIV/0!</v>
      </c>
      <c r="AD140" s="7"/>
      <c r="AE140" s="7"/>
      <c r="AF140" s="9" t="str">
        <f t="shared" si="163"/>
        <v>k) Internet</v>
      </c>
      <c r="AG140" s="72" t="e">
        <f t="shared" si="164"/>
        <v>#DIV/0!</v>
      </c>
      <c r="AH140" s="72" t="e">
        <f t="shared" si="165"/>
        <v>#DIV/0!</v>
      </c>
      <c r="AI140" s="73" t="e">
        <f t="shared" si="166"/>
        <v>#DIV/0!</v>
      </c>
      <c r="AJ140" s="73"/>
      <c r="AK140" s="76" t="e">
        <f t="shared" si="167"/>
        <v>#DIV/0!</v>
      </c>
      <c r="AL140" s="76" t="e">
        <f t="shared" si="168"/>
        <v>#DIV/0!</v>
      </c>
      <c r="AM140" s="76" t="e">
        <f t="shared" si="169"/>
        <v>#DIV/0!</v>
      </c>
      <c r="AN140" s="76"/>
      <c r="AO140" s="81" t="e">
        <f t="shared" si="170"/>
        <v>#DIV/0!</v>
      </c>
      <c r="AP140" s="81" t="e">
        <f t="shared" si="171"/>
        <v>#DIV/0!</v>
      </c>
      <c r="AQ140" s="81" t="e">
        <f t="shared" si="172"/>
        <v>#DIV/0!</v>
      </c>
      <c r="AR140" s="7"/>
      <c r="AS140" s="76" t="e">
        <f t="shared" si="121"/>
        <v>#DIV/0!</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x14ac:dyDescent="0.3">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x14ac:dyDescent="0.3">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x14ac:dyDescent="0.3">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x14ac:dyDescent="0.3">
      <c r="A144" s="8" t="s">
        <v>17</v>
      </c>
      <c r="B144" s="9" t="s">
        <v>102</v>
      </c>
      <c r="C144" s="7"/>
      <c r="D144" s="7"/>
      <c r="E144" s="7"/>
      <c r="F144" s="71">
        <v>100</v>
      </c>
      <c r="G144" s="51">
        <f>I144+K144</f>
        <v>0</v>
      </c>
      <c r="H144" s="52" t="e">
        <f>G144/$J$5*100</f>
        <v>#DIV/0!</v>
      </c>
      <c r="I144" s="53">
        <f>COUNTIFS('00 Encuesta'!$B$2:$B$511,"*e)*",'00 Encuesta'!$C$2:$C$511,"*a)*",'00 Encuesta'!$E$2:$E$511,"*a)*",'00 Encuesta'!$T$2:$T$511,"*a)*")</f>
        <v>0</v>
      </c>
      <c r="J144" s="52" t="e">
        <f>I144/$J$6*100</f>
        <v>#DIV/0!</v>
      </c>
      <c r="K144" s="53">
        <f>COUNTIFS('00 Encuesta'!$B$2:$B$511,"*e)*",'00 Encuesta'!$C$2:$C$511,"*a)*",'00 Encuesta'!$E$2:$E$511,"*b)*",'00 Encuesta'!$T$2:$T$511,"*a)*")</f>
        <v>0</v>
      </c>
      <c r="L144" s="52" t="e">
        <f>K144/$J$7*100</f>
        <v>#DIV/0!</v>
      </c>
      <c r="M144" s="23"/>
      <c r="N144" s="51">
        <f>P144+R144</f>
        <v>0</v>
      </c>
      <c r="O144" s="52" t="e">
        <f>N144/$Q$5*100</f>
        <v>#DIV/0!</v>
      </c>
      <c r="P144" s="53">
        <f>COUNTIFS('00 Encuesta'!$B$2:$B$511,"*e)*",'00 Encuesta'!$C$2:$C$511,"*b)*",'00 Encuesta'!$E$2:$E$511,"*a)*",'00 Encuesta'!$T$2:$T$511,"*a)*")</f>
        <v>0</v>
      </c>
      <c r="Q144" s="52" t="e">
        <f>P144/$Q$6*100</f>
        <v>#DIV/0!</v>
      </c>
      <c r="R144" s="53">
        <f>COUNTIFS('00 Encuesta'!$B$2:$B$511,"*e)*",'00 Encuesta'!$C$2:$C$511,"*b)*",'00 Encuesta'!$E$2:$E$511,"*b)*",'00 Encuesta'!$T$2:$T$511,"*a)*")</f>
        <v>0</v>
      </c>
      <c r="S144" s="52" t="e">
        <f>R144/$Q$7*100</f>
        <v>#DIV/0!</v>
      </c>
      <c r="T144" s="3"/>
      <c r="U144" s="51">
        <f>W144+Y144</f>
        <v>0</v>
      </c>
      <c r="V144" s="52" t="e">
        <f>U144/$X$5*100</f>
        <v>#DIV/0!</v>
      </c>
      <c r="W144" s="53">
        <f>COUNTIFS('00 Encuesta'!$B$2:$B$511,"*e)*",'00 Encuesta'!$C$2:$C$511,"*c)*",'00 Encuesta'!$E$2:$E$511,"*a)*",'00 Encuesta'!$T$2:$T$511,"*a)*")</f>
        <v>0</v>
      </c>
      <c r="X144" s="52" t="e">
        <f>W144/$X$6*100</f>
        <v>#DIV/0!</v>
      </c>
      <c r="Y144" s="53">
        <f>COUNTIFS('00 Encuesta'!$B$2:$B$511,"*e)*",'00 Encuesta'!$C$2:$C$511,"*c)*",'00 Encuesta'!$E$2:$E$511,"*b)*",'00 Encuesta'!$T$2:$T$511,"*a)*")</f>
        <v>0</v>
      </c>
      <c r="Z144" s="52" t="e">
        <f>Y144/$X$7*100</f>
        <v>#DIV/0!</v>
      </c>
      <c r="AA144" s="3"/>
      <c r="AB144" s="62">
        <f>G144+N144+U144</f>
        <v>0</v>
      </c>
      <c r="AC144" s="52" t="e">
        <f>AB144*100/$AC$5</f>
        <v>#DIV/0!</v>
      </c>
      <c r="AD144" s="7"/>
      <c r="AE144" s="7"/>
      <c r="AF144" s="9" t="str">
        <f t="shared" si="173"/>
        <v>a) Mucho</v>
      </c>
      <c r="AG144" s="72" t="e">
        <f>J144</f>
        <v>#DIV/0!</v>
      </c>
      <c r="AH144" s="72" t="e">
        <f>L144</f>
        <v>#DIV/0!</v>
      </c>
      <c r="AI144" s="73" t="e">
        <f>H144</f>
        <v>#DIV/0!</v>
      </c>
      <c r="AJ144" s="73"/>
      <c r="AK144" s="76" t="e">
        <f>Q144</f>
        <v>#DIV/0!</v>
      </c>
      <c r="AL144" s="76" t="e">
        <f>S144</f>
        <v>#DIV/0!</v>
      </c>
      <c r="AM144" s="76" t="e">
        <f>O144</f>
        <v>#DIV/0!</v>
      </c>
      <c r="AN144" s="76"/>
      <c r="AO144" s="81" t="e">
        <f>X144</f>
        <v>#DIV/0!</v>
      </c>
      <c r="AP144" s="81" t="e">
        <f>Z144</f>
        <v>#DIV/0!</v>
      </c>
      <c r="AQ144" s="81" t="e">
        <f>V144</f>
        <v>#DIV/0!</v>
      </c>
      <c r="AR144" s="7"/>
      <c r="AS144" s="76" t="e">
        <f t="shared" ref="AS144:AS206" si="174">AC144</f>
        <v>#DIV/0!</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x14ac:dyDescent="0.3">
      <c r="A145" s="8" t="s">
        <v>18</v>
      </c>
      <c r="B145" s="9" t="s">
        <v>103</v>
      </c>
      <c r="C145" s="7"/>
      <c r="D145" s="7"/>
      <c r="E145" s="7"/>
      <c r="F145" s="71">
        <v>66.66</v>
      </c>
      <c r="G145" s="51">
        <f>I145+K145</f>
        <v>0</v>
      </c>
      <c r="H145" s="52" t="e">
        <f>G145/$J$5*100</f>
        <v>#DIV/0!</v>
      </c>
      <c r="I145" s="53">
        <f>COUNTIFS('00 Encuesta'!$B$2:$B$511,"*e)*",'00 Encuesta'!$C$2:$C$511,"*a)*",'00 Encuesta'!$E$2:$E$511,"*a)*",'00 Encuesta'!$T$2:$T$511,"*b)*")</f>
        <v>0</v>
      </c>
      <c r="J145" s="52" t="e">
        <f>I145/$J$6*100</f>
        <v>#DIV/0!</v>
      </c>
      <c r="K145" s="53">
        <f>COUNTIFS('00 Encuesta'!$B$2:$B$511,"*e)*",'00 Encuesta'!$C$2:$C$511,"*a)*",'00 Encuesta'!$E$2:$E$511,"*b)*",'00 Encuesta'!$T$2:$T$511,"*b)*")</f>
        <v>0</v>
      </c>
      <c r="L145" s="52" t="e">
        <f>K145/$J$7*100</f>
        <v>#DIV/0!</v>
      </c>
      <c r="M145" s="23"/>
      <c r="N145" s="51">
        <f>P145+R145</f>
        <v>0</v>
      </c>
      <c r="O145" s="52" t="e">
        <f>N145/$Q$5*100</f>
        <v>#DIV/0!</v>
      </c>
      <c r="P145" s="53">
        <f>COUNTIFS('00 Encuesta'!$B$2:$B$511,"*e)*",'00 Encuesta'!$C$2:$C$511,"*b)*",'00 Encuesta'!$E$2:$E$511,"*a)*",'00 Encuesta'!$T$2:$T$511,"*b)*")</f>
        <v>0</v>
      </c>
      <c r="Q145" s="52" t="e">
        <f>P145/$Q$6*100</f>
        <v>#DIV/0!</v>
      </c>
      <c r="R145" s="53">
        <f>COUNTIFS('00 Encuesta'!$B$2:$B$511,"*e)*",'00 Encuesta'!$C$2:$C$511,"*b)*",'00 Encuesta'!$E$2:$E$511,"*b)*",'00 Encuesta'!$T$2:$T$511,"*b)*")</f>
        <v>0</v>
      </c>
      <c r="S145" s="52" t="e">
        <f>R145/$Q$7*100</f>
        <v>#DIV/0!</v>
      </c>
      <c r="T145" s="3"/>
      <c r="U145" s="51">
        <f>W145+Y145</f>
        <v>0</v>
      </c>
      <c r="V145" s="52" t="e">
        <f>U145/$X$5*100</f>
        <v>#DIV/0!</v>
      </c>
      <c r="W145" s="53">
        <f>COUNTIFS('00 Encuesta'!$B$2:$B$511,"*e)*",'00 Encuesta'!$C$2:$C$511,"*c)*",'00 Encuesta'!$E$2:$E$511,"*a)*",'00 Encuesta'!$T$2:$T$511,"*b)*")</f>
        <v>0</v>
      </c>
      <c r="X145" s="52" t="e">
        <f>W145/$X$6*100</f>
        <v>#DIV/0!</v>
      </c>
      <c r="Y145" s="53">
        <f>COUNTIFS('00 Encuesta'!$B$2:$B$511,"*e)*",'00 Encuesta'!$C$2:$C$511,"*c)*",'00 Encuesta'!$E$2:$E$511,"*b)*",'00 Encuesta'!$T$2:$T$511,"*b)*")</f>
        <v>0</v>
      </c>
      <c r="Z145" s="52" t="e">
        <f>Y145/$X$7*100</f>
        <v>#DIV/0!</v>
      </c>
      <c r="AA145" s="3"/>
      <c r="AB145" s="62">
        <f>G145+N145+U145</f>
        <v>0</v>
      </c>
      <c r="AC145" s="52" t="e">
        <f>AB145*100/$AC$5</f>
        <v>#DIV/0!</v>
      </c>
      <c r="AD145" s="7"/>
      <c r="AE145" s="7"/>
      <c r="AF145" s="9" t="str">
        <f t="shared" si="173"/>
        <v>b) Suficiente</v>
      </c>
      <c r="AG145" s="72" t="e">
        <f>J145</f>
        <v>#DIV/0!</v>
      </c>
      <c r="AH145" s="72" t="e">
        <f>L145</f>
        <v>#DIV/0!</v>
      </c>
      <c r="AI145" s="73" t="e">
        <f>H145</f>
        <v>#DIV/0!</v>
      </c>
      <c r="AJ145" s="73"/>
      <c r="AK145" s="76" t="e">
        <f>Q145</f>
        <v>#DIV/0!</v>
      </c>
      <c r="AL145" s="76" t="e">
        <f>S145</f>
        <v>#DIV/0!</v>
      </c>
      <c r="AM145" s="76" t="e">
        <f>O145</f>
        <v>#DIV/0!</v>
      </c>
      <c r="AN145" s="76"/>
      <c r="AO145" s="81" t="e">
        <f>X145</f>
        <v>#DIV/0!</v>
      </c>
      <c r="AP145" s="81" t="e">
        <f>Z145</f>
        <v>#DIV/0!</v>
      </c>
      <c r="AQ145" s="81" t="e">
        <f>V145</f>
        <v>#DIV/0!</v>
      </c>
      <c r="AR145" s="7"/>
      <c r="AS145" s="76" t="e">
        <f t="shared" si="174"/>
        <v>#DIV/0!</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x14ac:dyDescent="0.3">
      <c r="A146" s="8" t="s">
        <v>20</v>
      </c>
      <c r="B146" s="9" t="s">
        <v>104</v>
      </c>
      <c r="C146" s="7"/>
      <c r="D146" s="7"/>
      <c r="E146" s="7"/>
      <c r="F146" s="71">
        <v>33.33</v>
      </c>
      <c r="G146" s="51">
        <f>I146+K146</f>
        <v>0</v>
      </c>
      <c r="H146" s="52" t="e">
        <f>G146/$J$5*100</f>
        <v>#DIV/0!</v>
      </c>
      <c r="I146" s="53">
        <f>COUNTIFS('00 Encuesta'!$B$2:$B$511,"*e)*",'00 Encuesta'!$C$2:$C$511,"*a)*",'00 Encuesta'!$E$2:$E$511,"*a)*",'00 Encuesta'!$T$2:$T$511,"*c)*")</f>
        <v>0</v>
      </c>
      <c r="J146" s="52" t="e">
        <f>I146/$J$6*100</f>
        <v>#DIV/0!</v>
      </c>
      <c r="K146" s="53">
        <f>COUNTIFS('00 Encuesta'!$B$2:$B$511,"*e)*",'00 Encuesta'!$C$2:$C$511,"*a)*",'00 Encuesta'!$E$2:$E$511,"*b)*",'00 Encuesta'!$T$2:$T$511,"*c)*")</f>
        <v>0</v>
      </c>
      <c r="L146" s="52" t="e">
        <f>K146/$J$7*100</f>
        <v>#DIV/0!</v>
      </c>
      <c r="M146" s="23"/>
      <c r="N146" s="51">
        <f>P146+R146</f>
        <v>0</v>
      </c>
      <c r="O146" s="52" t="e">
        <f>N146/$Q$5*100</f>
        <v>#DIV/0!</v>
      </c>
      <c r="P146" s="53">
        <f>COUNTIFS('00 Encuesta'!$B$2:$B$511,"*e)*",'00 Encuesta'!$C$2:$C$511,"*b)*",'00 Encuesta'!$E$2:$E$511,"*a)*",'00 Encuesta'!$T$2:$T$511,"*c)*")</f>
        <v>0</v>
      </c>
      <c r="Q146" s="52" t="e">
        <f>P146/$Q$6*100</f>
        <v>#DIV/0!</v>
      </c>
      <c r="R146" s="53">
        <f>COUNTIFS('00 Encuesta'!$B$2:$B$511,"*e)*",'00 Encuesta'!$C$2:$C$511,"*b)*",'00 Encuesta'!$E$2:$E$511,"*b)*",'00 Encuesta'!$T$2:$T$511,"*c)*")</f>
        <v>0</v>
      </c>
      <c r="S146" s="52" t="e">
        <f>R146/$Q$7*100</f>
        <v>#DIV/0!</v>
      </c>
      <c r="T146" s="3"/>
      <c r="U146" s="51">
        <f>W146+Y146</f>
        <v>0</v>
      </c>
      <c r="V146" s="52" t="e">
        <f>U146/$X$5*100</f>
        <v>#DIV/0!</v>
      </c>
      <c r="W146" s="53">
        <f>COUNTIFS('00 Encuesta'!$B$2:$B$511,"*e)*",'00 Encuesta'!$C$2:$C$511,"*c)*",'00 Encuesta'!$E$2:$E$511,"*a)*",'00 Encuesta'!$T$2:$T$511,"*c)*")</f>
        <v>0</v>
      </c>
      <c r="X146" s="52" t="e">
        <f>W146/$X$6*100</f>
        <v>#DIV/0!</v>
      </c>
      <c r="Y146" s="53">
        <f>COUNTIFS('00 Encuesta'!$B$2:$B$511,"*e)*",'00 Encuesta'!$C$2:$C$511,"*c)*",'00 Encuesta'!$E$2:$E$511,"*b)*",'00 Encuesta'!$T$2:$T$511,"*c)*")</f>
        <v>0</v>
      </c>
      <c r="Z146" s="52" t="e">
        <f>Y146/$X$7*100</f>
        <v>#DIV/0!</v>
      </c>
      <c r="AA146" s="3"/>
      <c r="AB146" s="62">
        <f>G146+N146+U146</f>
        <v>0</v>
      </c>
      <c r="AC146" s="52" t="e">
        <f>AB146*100/$AC$5</f>
        <v>#DIV/0!</v>
      </c>
      <c r="AD146" s="7"/>
      <c r="AE146" s="7"/>
      <c r="AF146" s="9" t="str">
        <f t="shared" si="173"/>
        <v>c) Poco</v>
      </c>
      <c r="AG146" s="72" t="e">
        <f>J146</f>
        <v>#DIV/0!</v>
      </c>
      <c r="AH146" s="72" t="e">
        <f>L146</f>
        <v>#DIV/0!</v>
      </c>
      <c r="AI146" s="73" t="e">
        <f>H146</f>
        <v>#DIV/0!</v>
      </c>
      <c r="AJ146" s="73"/>
      <c r="AK146" s="76" t="e">
        <f>Q146</f>
        <v>#DIV/0!</v>
      </c>
      <c r="AL146" s="76" t="e">
        <f>S146</f>
        <v>#DIV/0!</v>
      </c>
      <c r="AM146" s="76" t="e">
        <f>O146</f>
        <v>#DIV/0!</v>
      </c>
      <c r="AN146" s="76"/>
      <c r="AO146" s="81" t="e">
        <f>X146</f>
        <v>#DIV/0!</v>
      </c>
      <c r="AP146" s="81" t="e">
        <f>Z146</f>
        <v>#DIV/0!</v>
      </c>
      <c r="AQ146" s="81" t="e">
        <f>V146</f>
        <v>#DIV/0!</v>
      </c>
      <c r="AR146" s="7"/>
      <c r="AS146" s="76" t="e">
        <f t="shared" si="174"/>
        <v>#DIV/0!</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x14ac:dyDescent="0.3">
      <c r="A147" s="8" t="s">
        <v>21</v>
      </c>
      <c r="B147" s="9" t="s">
        <v>105</v>
      </c>
      <c r="C147" s="7"/>
      <c r="D147" s="7"/>
      <c r="E147" s="7"/>
      <c r="F147" s="71">
        <v>0</v>
      </c>
      <c r="G147" s="51">
        <f>I147+K147</f>
        <v>0</v>
      </c>
      <c r="H147" s="52" t="e">
        <f>G147/$J$5*100</f>
        <v>#DIV/0!</v>
      </c>
      <c r="I147" s="53">
        <f>COUNTIFS('00 Encuesta'!$B$2:$B$511,"*e)*",'00 Encuesta'!$C$2:$C$511,"*a)*",'00 Encuesta'!$E$2:$E$511,"*a)*",'00 Encuesta'!$T$2:$T$511,"*d)*")</f>
        <v>0</v>
      </c>
      <c r="J147" s="52" t="e">
        <f>I147/$J$6*100</f>
        <v>#DIV/0!</v>
      </c>
      <c r="K147" s="53">
        <f>COUNTIFS('00 Encuesta'!$B$2:$B$511,"*e)*",'00 Encuesta'!$C$2:$C$511,"*a)*",'00 Encuesta'!$E$2:$E$511,"*b)*",'00 Encuesta'!$T$2:$T$511,"*d)*")</f>
        <v>0</v>
      </c>
      <c r="L147" s="52" t="e">
        <f>K147/$J$7*100</f>
        <v>#DIV/0!</v>
      </c>
      <c r="M147" s="23"/>
      <c r="N147" s="51">
        <f>P147+R147</f>
        <v>0</v>
      </c>
      <c r="O147" s="52" t="e">
        <f>N147/$Q$5*100</f>
        <v>#DIV/0!</v>
      </c>
      <c r="P147" s="53">
        <f>COUNTIFS('00 Encuesta'!$B$2:$B$511,"*e)*",'00 Encuesta'!$C$2:$C$511,"*b)*",'00 Encuesta'!$E$2:$E$511,"*a)*",'00 Encuesta'!$T$2:$T$511,"*d)*")</f>
        <v>0</v>
      </c>
      <c r="Q147" s="52" t="e">
        <f>P147/$Q$6*100</f>
        <v>#DIV/0!</v>
      </c>
      <c r="R147" s="53">
        <f>COUNTIFS('00 Encuesta'!$B$2:$B$511,"*e)*",'00 Encuesta'!$C$2:$C$511,"*b)*",'00 Encuesta'!$E$2:$E$511,"*b)*",'00 Encuesta'!$T$2:$T$511,"*d)*")</f>
        <v>0</v>
      </c>
      <c r="S147" s="52" t="e">
        <f>R147/$Q$7*100</f>
        <v>#DIV/0!</v>
      </c>
      <c r="T147" s="3"/>
      <c r="U147" s="51">
        <f>W147+Y147</f>
        <v>0</v>
      </c>
      <c r="V147" s="52" t="e">
        <f>U147/$X$5*100</f>
        <v>#DIV/0!</v>
      </c>
      <c r="W147" s="53">
        <f>COUNTIFS('00 Encuesta'!$B$2:$B$511,"*e)*",'00 Encuesta'!$C$2:$C$511,"*c)*",'00 Encuesta'!$E$2:$E$511,"*a)*",'00 Encuesta'!$T$2:$T$511,"*d)*")</f>
        <v>0</v>
      </c>
      <c r="X147" s="52" t="e">
        <f>W147/$X$6*100</f>
        <v>#DIV/0!</v>
      </c>
      <c r="Y147" s="53">
        <f>COUNTIFS('00 Encuesta'!$B$2:$B$511,"*e)*",'00 Encuesta'!$C$2:$C$511,"*c)*",'00 Encuesta'!$E$2:$E$511,"*b)*",'00 Encuesta'!$T$2:$T$511,"*d)*")</f>
        <v>0</v>
      </c>
      <c r="Z147" s="52" t="e">
        <f>Y147/$X$7*100</f>
        <v>#DIV/0!</v>
      </c>
      <c r="AA147" s="3"/>
      <c r="AB147" s="62">
        <f>G147+N147+U147</f>
        <v>0</v>
      </c>
      <c r="AC147" s="52" t="e">
        <f>AB147*100/$AC$5</f>
        <v>#DIV/0!</v>
      </c>
      <c r="AD147" s="7"/>
      <c r="AE147" s="7"/>
      <c r="AF147" s="9" t="str">
        <f t="shared" si="173"/>
        <v>d) Nada</v>
      </c>
      <c r="AG147" s="72" t="e">
        <f>J147</f>
        <v>#DIV/0!</v>
      </c>
      <c r="AH147" s="72" t="e">
        <f>L147</f>
        <v>#DIV/0!</v>
      </c>
      <c r="AI147" s="73" t="e">
        <f>H147</f>
        <v>#DIV/0!</v>
      </c>
      <c r="AJ147" s="73"/>
      <c r="AK147" s="76" t="e">
        <f>Q147</f>
        <v>#DIV/0!</v>
      </c>
      <c r="AL147" s="76" t="e">
        <f>S147</f>
        <v>#DIV/0!</v>
      </c>
      <c r="AM147" s="76" t="e">
        <f>O147</f>
        <v>#DIV/0!</v>
      </c>
      <c r="AN147" s="76"/>
      <c r="AO147" s="81" t="e">
        <f>X147</f>
        <v>#DIV/0!</v>
      </c>
      <c r="AP147" s="81" t="e">
        <f>Z147</f>
        <v>#DIV/0!</v>
      </c>
      <c r="AQ147" s="81" t="e">
        <f>V147</f>
        <v>#DIV/0!</v>
      </c>
      <c r="AR147" s="7"/>
      <c r="AS147" s="76" t="e">
        <f t="shared" si="174"/>
        <v>#DIV/0!</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x14ac:dyDescent="0.3">
      <c r="A148" s="8" t="s">
        <v>23</v>
      </c>
      <c r="B148" s="9" t="s">
        <v>24</v>
      </c>
      <c r="C148" s="7"/>
      <c r="D148" s="7"/>
      <c r="E148" s="7"/>
      <c r="F148" s="71"/>
      <c r="G148" s="51">
        <f>I148+K148</f>
        <v>0</v>
      </c>
      <c r="H148" s="52" t="e">
        <f>G148/$J$5*100</f>
        <v>#DIV/0!</v>
      </c>
      <c r="I148" s="53"/>
      <c r="J148" s="52" t="e">
        <f>I148/$J$6*100</f>
        <v>#DIV/0!</v>
      </c>
      <c r="K148" s="53"/>
      <c r="L148" s="52" t="e">
        <f>K148/$J$7*100</f>
        <v>#DIV/0!</v>
      </c>
      <c r="M148" s="23"/>
      <c r="N148" s="51">
        <f>P148+R148</f>
        <v>0</v>
      </c>
      <c r="O148" s="52" t="e">
        <f>N148/$Q$5*100</f>
        <v>#DIV/0!</v>
      </c>
      <c r="P148" s="53"/>
      <c r="Q148" s="52" t="e">
        <f>P148/$Q$6*100</f>
        <v>#DIV/0!</v>
      </c>
      <c r="R148" s="53"/>
      <c r="S148" s="52" t="e">
        <f>R148/$Q$7*100</f>
        <v>#DIV/0!</v>
      </c>
      <c r="T148" s="3"/>
      <c r="U148" s="51">
        <f>W148+Y148</f>
        <v>0</v>
      </c>
      <c r="V148" s="52" t="e">
        <f>U148/$X$5*100</f>
        <v>#DIV/0!</v>
      </c>
      <c r="W148" s="53"/>
      <c r="X148" s="52" t="e">
        <f>W148/$X$6*100</f>
        <v>#DIV/0!</v>
      </c>
      <c r="Y148" s="53"/>
      <c r="Z148" s="52" t="e">
        <f>Y148/$X$7*100</f>
        <v>#DIV/0!</v>
      </c>
      <c r="AA148" s="3"/>
      <c r="AB148" s="62">
        <f>G148+N148+U148</f>
        <v>0</v>
      </c>
      <c r="AC148" s="52" t="e">
        <f>AB148*100/$AC$5</f>
        <v>#DIV/0!</v>
      </c>
      <c r="AD148" s="7"/>
      <c r="AE148" s="7"/>
      <c r="AF148" s="9" t="str">
        <f t="shared" si="173"/>
        <v>S/R Sin Respuesta</v>
      </c>
      <c r="AG148" s="72" t="e">
        <f>J148</f>
        <v>#DIV/0!</v>
      </c>
      <c r="AH148" s="72" t="e">
        <f>L148</f>
        <v>#DIV/0!</v>
      </c>
      <c r="AI148" s="73" t="e">
        <f>H148</f>
        <v>#DIV/0!</v>
      </c>
      <c r="AJ148" s="73"/>
      <c r="AK148" s="76" t="e">
        <f>Q148</f>
        <v>#DIV/0!</v>
      </c>
      <c r="AL148" s="76" t="e">
        <f>S148</f>
        <v>#DIV/0!</v>
      </c>
      <c r="AM148" s="76" t="e">
        <f>O148</f>
        <v>#DIV/0!</v>
      </c>
      <c r="AN148" s="76"/>
      <c r="AO148" s="81" t="e">
        <f>X148</f>
        <v>#DIV/0!</v>
      </c>
      <c r="AP148" s="81" t="e">
        <f>Z148</f>
        <v>#DIV/0!</v>
      </c>
      <c r="AQ148" s="81" t="e">
        <f>V148</f>
        <v>#DIV/0!</v>
      </c>
      <c r="AR148" s="7"/>
      <c r="AS148" s="76" t="e">
        <f t="shared" si="174"/>
        <v>#DIV/0!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x14ac:dyDescent="0.3">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t="e">
        <f>(+$F144*I144+$F145*I145+$F146*I146+$F147*I147)/(+I144+I145+I146+I147)</f>
        <v>#DIV/0!</v>
      </c>
      <c r="AH149" s="82" t="e">
        <f>($F144*K144+$F145*K145+$F146*K146+$F147*K147)/(+K144+K145+K146+K147)</f>
        <v>#DIV/0!</v>
      </c>
      <c r="AI149" s="82" t="e">
        <f>($F144*G144+$F145*G145+$F146*G146+$F147*G147)/(G144+G145+G146+G147)</f>
        <v>#DIV/0!</v>
      </c>
      <c r="AJ149" s="82"/>
      <c r="AK149" s="82" t="e">
        <f>($F144*P144+$F145*P145+$F146*P146+$F147*P147)/(P144+P145+P146+P147)</f>
        <v>#DIV/0!</v>
      </c>
      <c r="AL149" s="82" t="e">
        <f>($F144*R144+$F145*R145+$F146*R146+$F147*R147)/(R144+R145+R146+R147)</f>
        <v>#DIV/0!</v>
      </c>
      <c r="AM149" s="82" t="e">
        <f>($F144*N144+$F145*N145+$F146*N146+$F147*N147)/(N144+N145+N146+N147)</f>
        <v>#DIV/0!</v>
      </c>
      <c r="AN149" s="82"/>
      <c r="AO149" s="82" t="e">
        <f>($F144*W144+$F145*W145+$F146*W146+$F147*W147)/(W144+W145+W146+W147)</f>
        <v>#DIV/0!</v>
      </c>
      <c r="AP149" s="82" t="e">
        <f>($F144*Y144+$F145*Y145+$F146*Y146+$F147*Y147)/(Y144+Y145+Y146+Y147)</f>
        <v>#DIV/0!</v>
      </c>
      <c r="AQ149" s="82" t="e">
        <f>($F144*U144+$F145*U145+$F146*U146+$F147*U147)/(U144+U145+U146+U147)</f>
        <v>#DIV/0!</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x14ac:dyDescent="0.3">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x14ac:dyDescent="0.3">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x14ac:dyDescent="0.3">
      <c r="A153" s="8" t="s">
        <v>17</v>
      </c>
      <c r="B153" s="9" t="s">
        <v>114</v>
      </c>
      <c r="C153" s="7"/>
      <c r="D153" s="7"/>
      <c r="E153" s="7"/>
      <c r="F153" s="71"/>
      <c r="G153" s="51">
        <f t="shared" ref="G153:G164" si="175">I153+K153</f>
        <v>0</v>
      </c>
      <c r="H153" s="52" t="e">
        <f t="shared" ref="H153:H164" si="176">G153/$J$5*100</f>
        <v>#DIV/0!</v>
      </c>
      <c r="I153" s="53">
        <f>COUNTIFS('00 Encuesta'!$B$2:$B$511,"*e)*",'00 Encuesta'!$C$2:$C$511,"*a)*",'00 Encuesta'!$E$2:$E$511,"*a)*",'00 Encuesta'!$U$2:$U$511,"*a)*")</f>
        <v>0</v>
      </c>
      <c r="J153" s="52" t="e">
        <f t="shared" ref="J153:J164" si="177">I153/$J$6*100</f>
        <v>#DIV/0!</v>
      </c>
      <c r="K153" s="53">
        <f>COUNTIFS('00 Encuesta'!$B$2:$B$511,"*e)*",'00 Encuesta'!$C$2:$C$511,"*a)*",'00 Encuesta'!$E$2:$E$511,"*b)*",'00 Encuesta'!$U$2:$U$511,"*a)*")</f>
        <v>0</v>
      </c>
      <c r="L153" s="52" t="e">
        <f t="shared" ref="L153:L164" si="178">K153/$J$7*100</f>
        <v>#DIV/0!</v>
      </c>
      <c r="M153" s="23"/>
      <c r="N153" s="51">
        <f t="shared" ref="N153:N164" si="179">P153+R153</f>
        <v>0</v>
      </c>
      <c r="O153" s="52" t="e">
        <f t="shared" ref="O153:O164" si="180">N153/$Q$5*100</f>
        <v>#DIV/0!</v>
      </c>
      <c r="P153" s="53">
        <f>COUNTIFS('00 Encuesta'!$B$2:$B$511,"*e)*",'00 Encuesta'!$C$2:$C$511,"*b)*",'00 Encuesta'!$E$2:$E$511,"*a)*",'00 Encuesta'!$U$2:$U$511,"*a)*")</f>
        <v>0</v>
      </c>
      <c r="Q153" s="52" t="e">
        <f t="shared" ref="Q153:Q164" si="181">P153/$Q$6*100</f>
        <v>#DIV/0!</v>
      </c>
      <c r="R153" s="53">
        <f>COUNTIFS('00 Encuesta'!$B$2:$B$511,"*e)*",'00 Encuesta'!$C$2:$C$511,"*b)*",'00 Encuesta'!$E$2:$E$511,"*b)*",'00 Encuesta'!$U$2:$U$511,"*a)*")</f>
        <v>0</v>
      </c>
      <c r="S153" s="52" t="e">
        <f t="shared" ref="S153:S164" si="182">R153/$Q$7*100</f>
        <v>#DIV/0!</v>
      </c>
      <c r="T153" s="3"/>
      <c r="U153" s="51">
        <f t="shared" ref="U153:U164" si="183">W153+Y153</f>
        <v>0</v>
      </c>
      <c r="V153" s="52" t="e">
        <f t="shared" ref="V153:V164" si="184">U153/$X$5*100</f>
        <v>#DIV/0!</v>
      </c>
      <c r="W153" s="53">
        <f>COUNTIFS('00 Encuesta'!$B$2:$B$511,"*e)*",'00 Encuesta'!$C$2:$C$511,"*c)*",'00 Encuesta'!$E$2:$E$511,"*a)*",'00 Encuesta'!$U$2:$U$511,"*a)*")</f>
        <v>0</v>
      </c>
      <c r="X153" s="52" t="e">
        <f t="shared" ref="X153:X164" si="185">W153/$X$6*100</f>
        <v>#DIV/0!</v>
      </c>
      <c r="Y153" s="53">
        <f>COUNTIFS('00 Encuesta'!$B$2:$B$511,"*e)*",'00 Encuesta'!$C$2:$C$511,"*c)*",'00 Encuesta'!$E$2:$E$511,"*b)*",'00 Encuesta'!$U$2:$U$511,"*a)*")</f>
        <v>0</v>
      </c>
      <c r="Z153" s="52" t="e">
        <f t="shared" ref="Z153:Z164" si="186">Y153/$X$7*100</f>
        <v>#DIV/0!</v>
      </c>
      <c r="AA153" s="3"/>
      <c r="AB153" s="62">
        <f t="shared" ref="AB153:AB164" si="187">G153+N153+U153</f>
        <v>0</v>
      </c>
      <c r="AC153" s="52" t="e">
        <f t="shared" ref="AC153:AC164" si="188">AB153*100/$AC$5</f>
        <v>#DIV/0!</v>
      </c>
      <c r="AD153" s="7"/>
      <c r="AE153" s="7"/>
      <c r="AF153" s="9" t="str">
        <f t="shared" ref="AF153:AF165" si="189">A153&amp;" "&amp;B153</f>
        <v>a) La iglesia</v>
      </c>
      <c r="AG153" s="72" t="e">
        <f t="shared" ref="AG153:AG165" si="190">J153</f>
        <v>#DIV/0!</v>
      </c>
      <c r="AH153" s="72" t="e">
        <f t="shared" ref="AH153:AH165" si="191">L153</f>
        <v>#DIV/0!</v>
      </c>
      <c r="AI153" s="73" t="e">
        <f t="shared" ref="AI153:AI165" si="192">H153</f>
        <v>#DIV/0!</v>
      </c>
      <c r="AJ153" s="73"/>
      <c r="AK153" s="76" t="e">
        <f t="shared" ref="AK153:AK165" si="193">Q153</f>
        <v>#DIV/0!</v>
      </c>
      <c r="AL153" s="76" t="e">
        <f t="shared" ref="AL153:AL165" si="194">S153</f>
        <v>#DIV/0!</v>
      </c>
      <c r="AM153" s="76" t="e">
        <f t="shared" ref="AM153:AM165" si="195">O153</f>
        <v>#DIV/0!</v>
      </c>
      <c r="AN153" s="76"/>
      <c r="AO153" s="81" t="e">
        <f t="shared" ref="AO153:AO165" si="196">X153</f>
        <v>#DIV/0!</v>
      </c>
      <c r="AP153" s="81" t="e">
        <f t="shared" ref="AP153:AP165" si="197">Z153</f>
        <v>#DIV/0!</v>
      </c>
      <c r="AQ153" s="81" t="e">
        <f t="shared" ref="AQ153:AQ165" si="198">V153</f>
        <v>#DIV/0!</v>
      </c>
      <c r="AR153" s="7"/>
      <c r="AS153" s="76" t="e">
        <f t="shared" si="174"/>
        <v>#DIV/0!</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x14ac:dyDescent="0.3">
      <c r="A154" s="8" t="s">
        <v>18</v>
      </c>
      <c r="B154" s="9" t="s">
        <v>115</v>
      </c>
      <c r="C154" s="7"/>
      <c r="D154" s="7"/>
      <c r="E154" s="7"/>
      <c r="F154" s="71"/>
      <c r="G154" s="51">
        <f t="shared" si="175"/>
        <v>0</v>
      </c>
      <c r="H154" s="52" t="e">
        <f t="shared" si="176"/>
        <v>#DIV/0!</v>
      </c>
      <c r="I154" s="53">
        <f>COUNTIFS('00 Encuesta'!$B$2:$B$511,"*e)*",'00 Encuesta'!$C$2:$C$511,"*a)*",'00 Encuesta'!$E$2:$E$511,"*a)*",'00 Encuesta'!$U$2:$U$511,"*b)*")</f>
        <v>0</v>
      </c>
      <c r="J154" s="52" t="e">
        <f t="shared" si="177"/>
        <v>#DIV/0!</v>
      </c>
      <c r="K154" s="53">
        <f>COUNTIFS('00 Encuesta'!$B$2:$B$511,"*e)*",'00 Encuesta'!$C$2:$C$511,"*a)*",'00 Encuesta'!$E$2:$E$511,"*b)*",'00 Encuesta'!$U$2:$U$511,"*b)*")</f>
        <v>0</v>
      </c>
      <c r="L154" s="52" t="e">
        <f t="shared" si="178"/>
        <v>#DIV/0!</v>
      </c>
      <c r="M154" s="23"/>
      <c r="N154" s="51">
        <f t="shared" si="179"/>
        <v>0</v>
      </c>
      <c r="O154" s="52" t="e">
        <f t="shared" si="180"/>
        <v>#DIV/0!</v>
      </c>
      <c r="P154" s="53">
        <f>COUNTIFS('00 Encuesta'!$B$2:$B$511,"*e)*",'00 Encuesta'!$C$2:$C$511,"*b)*",'00 Encuesta'!$E$2:$E$511,"*a)*",'00 Encuesta'!$U$2:$U$511,"*b)*")</f>
        <v>0</v>
      </c>
      <c r="Q154" s="52" t="e">
        <f t="shared" si="181"/>
        <v>#DIV/0!</v>
      </c>
      <c r="R154" s="53">
        <f>COUNTIFS('00 Encuesta'!$B$2:$B$511,"*e)*",'00 Encuesta'!$C$2:$C$511,"*b)*",'00 Encuesta'!$E$2:$E$511,"*b)*",'00 Encuesta'!$U$2:$U$511,"*b)*")</f>
        <v>0</v>
      </c>
      <c r="S154" s="52" t="e">
        <f t="shared" si="182"/>
        <v>#DIV/0!</v>
      </c>
      <c r="T154" s="3"/>
      <c r="U154" s="51">
        <f t="shared" si="183"/>
        <v>0</v>
      </c>
      <c r="V154" s="52" t="e">
        <f t="shared" si="184"/>
        <v>#DIV/0!</v>
      </c>
      <c r="W154" s="53">
        <f>COUNTIFS('00 Encuesta'!$B$2:$B$511,"*e)*",'00 Encuesta'!$C$2:$C$511,"*c)*",'00 Encuesta'!$E$2:$E$511,"*a)*",'00 Encuesta'!$U$2:$U$511,"*b)*")</f>
        <v>0</v>
      </c>
      <c r="X154" s="52" t="e">
        <f t="shared" si="185"/>
        <v>#DIV/0!</v>
      </c>
      <c r="Y154" s="53">
        <f>COUNTIFS('00 Encuesta'!$B$2:$B$511,"*e)*",'00 Encuesta'!$C$2:$C$511,"*c)*",'00 Encuesta'!$E$2:$E$511,"*b)*",'00 Encuesta'!$U$2:$U$511,"*b)*")</f>
        <v>0</v>
      </c>
      <c r="Z154" s="52" t="e">
        <f t="shared" si="186"/>
        <v>#DIV/0!</v>
      </c>
      <c r="AA154" s="3"/>
      <c r="AB154" s="62">
        <f t="shared" si="187"/>
        <v>0</v>
      </c>
      <c r="AC154" s="52" t="e">
        <f t="shared" si="188"/>
        <v>#DIV/0!</v>
      </c>
      <c r="AD154" s="7"/>
      <c r="AE154" s="7"/>
      <c r="AF154" s="9" t="str">
        <f t="shared" si="189"/>
        <v>b) La naturaleza</v>
      </c>
      <c r="AG154" s="72" t="e">
        <f t="shared" si="190"/>
        <v>#DIV/0!</v>
      </c>
      <c r="AH154" s="72" t="e">
        <f t="shared" si="191"/>
        <v>#DIV/0!</v>
      </c>
      <c r="AI154" s="73" t="e">
        <f t="shared" si="192"/>
        <v>#DIV/0!</v>
      </c>
      <c r="AJ154" s="73"/>
      <c r="AK154" s="76" t="e">
        <f t="shared" si="193"/>
        <v>#DIV/0!</v>
      </c>
      <c r="AL154" s="76" t="e">
        <f t="shared" si="194"/>
        <v>#DIV/0!</v>
      </c>
      <c r="AM154" s="76" t="e">
        <f t="shared" si="195"/>
        <v>#DIV/0!</v>
      </c>
      <c r="AN154" s="76"/>
      <c r="AO154" s="81" t="e">
        <f t="shared" si="196"/>
        <v>#DIV/0!</v>
      </c>
      <c r="AP154" s="81" t="e">
        <f t="shared" si="197"/>
        <v>#DIV/0!</v>
      </c>
      <c r="AQ154" s="81" t="e">
        <f t="shared" si="198"/>
        <v>#DIV/0!</v>
      </c>
      <c r="AR154" s="7"/>
      <c r="AS154" s="76" t="e">
        <f t="shared" si="174"/>
        <v>#DIV/0!</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0</v>
      </c>
      <c r="H155" s="52" t="e">
        <f t="shared" si="176"/>
        <v>#DIV/0!</v>
      </c>
      <c r="I155" s="53">
        <f>COUNTIFS('00 Encuesta'!$B$2:$B$511,"*e)*",'00 Encuesta'!$C$2:$C$511,"*a)*",'00 Encuesta'!$E$2:$E$511,"*a)*",'00 Encuesta'!$U$2:$U$511,"*c)*")</f>
        <v>0</v>
      </c>
      <c r="J155" s="52" t="e">
        <f t="shared" si="177"/>
        <v>#DIV/0!</v>
      </c>
      <c r="K155" s="53">
        <f>COUNTIFS('00 Encuesta'!$B$2:$B$511,"*e)*",'00 Encuesta'!$C$2:$C$511,"*a)*",'00 Encuesta'!$E$2:$E$511,"*b)*",'00 Encuesta'!$U$2:$U$511,"*c)*")</f>
        <v>0</v>
      </c>
      <c r="L155" s="52" t="e">
        <f t="shared" si="178"/>
        <v>#DIV/0!</v>
      </c>
      <c r="M155" s="23"/>
      <c r="N155" s="51">
        <f t="shared" si="179"/>
        <v>0</v>
      </c>
      <c r="O155" s="52" t="e">
        <f t="shared" si="180"/>
        <v>#DIV/0!</v>
      </c>
      <c r="P155" s="53">
        <f>COUNTIFS('00 Encuesta'!$B$2:$B$511,"*e)*",'00 Encuesta'!$C$2:$C$511,"*b)*",'00 Encuesta'!$E$2:$E$511,"*a)*",'00 Encuesta'!$U$2:$U$511,"*c)*")</f>
        <v>0</v>
      </c>
      <c r="Q155" s="52" t="e">
        <f t="shared" si="181"/>
        <v>#DIV/0!</v>
      </c>
      <c r="R155" s="53">
        <f>COUNTIFS('00 Encuesta'!$B$2:$B$511,"*e)*",'00 Encuesta'!$C$2:$C$511,"*b)*",'00 Encuesta'!$E$2:$E$511,"*b)*",'00 Encuesta'!$U$2:$U$511,"*c)*")</f>
        <v>0</v>
      </c>
      <c r="S155" s="52" t="e">
        <f t="shared" si="182"/>
        <v>#DIV/0!</v>
      </c>
      <c r="T155" s="3"/>
      <c r="U155" s="51">
        <f t="shared" si="183"/>
        <v>0</v>
      </c>
      <c r="V155" s="52" t="e">
        <f t="shared" si="184"/>
        <v>#DIV/0!</v>
      </c>
      <c r="W155" s="53">
        <f>COUNTIFS('00 Encuesta'!$B$2:$B$511,"*e)*",'00 Encuesta'!$C$2:$C$511,"*c)*",'00 Encuesta'!$E$2:$E$511,"*a)*",'00 Encuesta'!$U$2:$U$511,"*c)*")</f>
        <v>0</v>
      </c>
      <c r="X155" s="52" t="e">
        <f t="shared" si="185"/>
        <v>#DIV/0!</v>
      </c>
      <c r="Y155" s="53">
        <f>COUNTIFS('00 Encuesta'!$B$2:$B$511,"*e)*",'00 Encuesta'!$C$2:$C$511,"*c)*",'00 Encuesta'!$E$2:$E$511,"*b)*",'00 Encuesta'!$U$2:$U$511,"*c)*")</f>
        <v>0</v>
      </c>
      <c r="Z155" s="52" t="e">
        <f t="shared" si="186"/>
        <v>#DIV/0!</v>
      </c>
      <c r="AA155" s="3"/>
      <c r="AB155" s="62">
        <f t="shared" si="187"/>
        <v>0</v>
      </c>
      <c r="AC155" s="52" t="e">
        <f t="shared" si="188"/>
        <v>#DIV/0!</v>
      </c>
      <c r="AD155" s="7"/>
      <c r="AE155" s="7"/>
      <c r="AF155" s="9" t="str">
        <f t="shared" si="189"/>
        <v>c) El salón de clase</v>
      </c>
      <c r="AG155" s="72" t="e">
        <f t="shared" si="190"/>
        <v>#DIV/0!</v>
      </c>
      <c r="AH155" s="72" t="e">
        <f t="shared" si="191"/>
        <v>#DIV/0!</v>
      </c>
      <c r="AI155" s="73" t="e">
        <f t="shared" si="192"/>
        <v>#DIV/0!</v>
      </c>
      <c r="AJ155" s="73"/>
      <c r="AK155" s="76" t="e">
        <f t="shared" si="193"/>
        <v>#DIV/0!</v>
      </c>
      <c r="AL155" s="76" t="e">
        <f t="shared" si="194"/>
        <v>#DIV/0!</v>
      </c>
      <c r="AM155" s="76" t="e">
        <f t="shared" si="195"/>
        <v>#DIV/0!</v>
      </c>
      <c r="AN155" s="76"/>
      <c r="AO155" s="81" t="e">
        <f t="shared" si="196"/>
        <v>#DIV/0!</v>
      </c>
      <c r="AP155" s="81" t="e">
        <f t="shared" si="197"/>
        <v>#DIV/0!</v>
      </c>
      <c r="AQ155" s="81" t="e">
        <f t="shared" si="198"/>
        <v>#DIV/0!</v>
      </c>
      <c r="AR155" s="7"/>
      <c r="AS155" s="76" t="e">
        <f t="shared" si="174"/>
        <v>#DIV/0!</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x14ac:dyDescent="0.3">
      <c r="A156" s="8" t="s">
        <v>21</v>
      </c>
      <c r="B156" s="9" t="s">
        <v>117</v>
      </c>
      <c r="C156" s="7"/>
      <c r="D156" s="7"/>
      <c r="E156" s="7"/>
      <c r="F156" s="71"/>
      <c r="G156" s="51">
        <f t="shared" si="175"/>
        <v>0</v>
      </c>
      <c r="H156" s="52" t="e">
        <f t="shared" si="176"/>
        <v>#DIV/0!</v>
      </c>
      <c r="I156" s="53">
        <f>COUNTIFS('00 Encuesta'!$B$2:$B$511,"*e)*",'00 Encuesta'!$C$2:$C$511,"*a)*",'00 Encuesta'!$E$2:$E$511,"*a)*",'00 Encuesta'!$U$2:$U$511,"*d)*")</f>
        <v>0</v>
      </c>
      <c r="J156" s="52" t="e">
        <f t="shared" si="177"/>
        <v>#DIV/0!</v>
      </c>
      <c r="K156" s="53">
        <f>COUNTIFS('00 Encuesta'!$B$2:$B$511,"*e)*",'00 Encuesta'!$C$2:$C$511,"*a)*",'00 Encuesta'!$E$2:$E$511,"*b)*",'00 Encuesta'!$U$2:$U$511,"*d)*")</f>
        <v>0</v>
      </c>
      <c r="L156" s="52" t="e">
        <f t="shared" si="178"/>
        <v>#DIV/0!</v>
      </c>
      <c r="M156" s="23"/>
      <c r="N156" s="51">
        <f t="shared" si="179"/>
        <v>0</v>
      </c>
      <c r="O156" s="52" t="e">
        <f t="shared" si="180"/>
        <v>#DIV/0!</v>
      </c>
      <c r="P156" s="53">
        <f>COUNTIFS('00 Encuesta'!$B$2:$B$511,"*e)*",'00 Encuesta'!$C$2:$C$511,"*b)*",'00 Encuesta'!$E$2:$E$511,"*a)*",'00 Encuesta'!$U$2:$U$511,"*d)*")</f>
        <v>0</v>
      </c>
      <c r="Q156" s="52" t="e">
        <f t="shared" si="181"/>
        <v>#DIV/0!</v>
      </c>
      <c r="R156" s="53">
        <f>COUNTIFS('00 Encuesta'!$B$2:$B$511,"*e)*",'00 Encuesta'!$C$2:$C$511,"*b)*",'00 Encuesta'!$E$2:$E$511,"*b)*",'00 Encuesta'!$U$2:$U$511,"*d)*")</f>
        <v>0</v>
      </c>
      <c r="S156" s="52" t="e">
        <f t="shared" si="182"/>
        <v>#DIV/0!</v>
      </c>
      <c r="T156" s="3"/>
      <c r="U156" s="51">
        <f t="shared" si="183"/>
        <v>0</v>
      </c>
      <c r="V156" s="52" t="e">
        <f t="shared" si="184"/>
        <v>#DIV/0!</v>
      </c>
      <c r="W156" s="53">
        <f>COUNTIFS('00 Encuesta'!$B$2:$B$511,"*e)*",'00 Encuesta'!$C$2:$C$511,"*c)*",'00 Encuesta'!$E$2:$E$511,"*a)*",'00 Encuesta'!$U$2:$U$511,"*d)*")</f>
        <v>0</v>
      </c>
      <c r="X156" s="52" t="e">
        <f t="shared" si="185"/>
        <v>#DIV/0!</v>
      </c>
      <c r="Y156" s="53">
        <f>COUNTIFS('00 Encuesta'!$B$2:$B$511,"*e)*",'00 Encuesta'!$C$2:$C$511,"*c)*",'00 Encuesta'!$E$2:$E$511,"*b)*",'00 Encuesta'!$U$2:$U$511,"*d)*")</f>
        <v>0</v>
      </c>
      <c r="Z156" s="52" t="e">
        <f t="shared" si="186"/>
        <v>#DIV/0!</v>
      </c>
      <c r="AA156" s="3"/>
      <c r="AB156" s="62">
        <f t="shared" si="187"/>
        <v>0</v>
      </c>
      <c r="AC156" s="52" t="e">
        <f t="shared" si="188"/>
        <v>#DIV/0!</v>
      </c>
      <c r="AD156" s="7"/>
      <c r="AE156" s="7"/>
      <c r="AF156" s="9" t="str">
        <f t="shared" si="189"/>
        <v>d) Las convivencias</v>
      </c>
      <c r="AG156" s="72" t="e">
        <f t="shared" si="190"/>
        <v>#DIV/0!</v>
      </c>
      <c r="AH156" s="72" t="e">
        <f t="shared" si="191"/>
        <v>#DIV/0!</v>
      </c>
      <c r="AI156" s="73" t="e">
        <f t="shared" si="192"/>
        <v>#DIV/0!</v>
      </c>
      <c r="AJ156" s="73"/>
      <c r="AK156" s="76" t="e">
        <f t="shared" si="193"/>
        <v>#DIV/0!</v>
      </c>
      <c r="AL156" s="76" t="e">
        <f t="shared" si="194"/>
        <v>#DIV/0!</v>
      </c>
      <c r="AM156" s="76" t="e">
        <f t="shared" si="195"/>
        <v>#DIV/0!</v>
      </c>
      <c r="AN156" s="76"/>
      <c r="AO156" s="81" t="e">
        <f t="shared" si="196"/>
        <v>#DIV/0!</v>
      </c>
      <c r="AP156" s="81" t="e">
        <f t="shared" si="197"/>
        <v>#DIV/0!</v>
      </c>
      <c r="AQ156" s="81" t="e">
        <f t="shared" si="198"/>
        <v>#DIV/0!</v>
      </c>
      <c r="AR156" s="7"/>
      <c r="AS156" s="76" t="e">
        <f t="shared" si="174"/>
        <v>#DIV/0!</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x14ac:dyDescent="0.3">
      <c r="A157" s="8" t="s">
        <v>22</v>
      </c>
      <c r="B157" s="9" t="s">
        <v>81</v>
      </c>
      <c r="C157" s="7"/>
      <c r="D157" s="7"/>
      <c r="E157" s="7"/>
      <c r="F157" s="71"/>
      <c r="G157" s="51">
        <f t="shared" si="175"/>
        <v>0</v>
      </c>
      <c r="H157" s="52" t="e">
        <f t="shared" si="176"/>
        <v>#DIV/0!</v>
      </c>
      <c r="I157" s="53">
        <f>COUNTIFS('00 Encuesta'!$B$2:$B$511,"*e)*",'00 Encuesta'!$C$2:$C$511,"*a)*",'00 Encuesta'!$E$2:$E$511,"*a)*",'00 Encuesta'!$U$2:$U$511,"*e)*")</f>
        <v>0</v>
      </c>
      <c r="J157" s="52" t="e">
        <f t="shared" si="177"/>
        <v>#DIV/0!</v>
      </c>
      <c r="K157" s="53">
        <f>COUNTIFS('00 Encuesta'!$B$2:$B$511,"*e)*",'00 Encuesta'!$C$2:$C$511,"*a)*",'00 Encuesta'!$E$2:$E$511,"*b)*",'00 Encuesta'!$U$2:$U$511,"*e)*")</f>
        <v>0</v>
      </c>
      <c r="L157" s="52" t="e">
        <f t="shared" si="178"/>
        <v>#DIV/0!</v>
      </c>
      <c r="M157" s="23"/>
      <c r="N157" s="51">
        <f t="shared" si="179"/>
        <v>0</v>
      </c>
      <c r="O157" s="52" t="e">
        <f t="shared" si="180"/>
        <v>#DIV/0!</v>
      </c>
      <c r="P157" s="53">
        <f>COUNTIFS('00 Encuesta'!$B$2:$B$511,"*e)*",'00 Encuesta'!$C$2:$C$511,"*b)*",'00 Encuesta'!$E$2:$E$511,"*a)*",'00 Encuesta'!$U$2:$U$511,"*e)*")</f>
        <v>0</v>
      </c>
      <c r="Q157" s="52" t="e">
        <f t="shared" si="181"/>
        <v>#DIV/0!</v>
      </c>
      <c r="R157" s="53">
        <f>COUNTIFS('00 Encuesta'!$B$2:$B$511,"*e)*",'00 Encuesta'!$C$2:$C$511,"*b)*",'00 Encuesta'!$E$2:$E$511,"*b)*",'00 Encuesta'!$U$2:$U$511,"*e)*")</f>
        <v>0</v>
      </c>
      <c r="S157" s="52" t="e">
        <f t="shared" si="182"/>
        <v>#DIV/0!</v>
      </c>
      <c r="T157" s="3"/>
      <c r="U157" s="51">
        <f t="shared" si="183"/>
        <v>0</v>
      </c>
      <c r="V157" s="52" t="e">
        <f t="shared" si="184"/>
        <v>#DIV/0!</v>
      </c>
      <c r="W157" s="53">
        <f>COUNTIFS('00 Encuesta'!$B$2:$B$511,"*e)*",'00 Encuesta'!$C$2:$C$511,"*c)*",'00 Encuesta'!$E$2:$E$511,"*a)*",'00 Encuesta'!$U$2:$U$511,"*e)*")</f>
        <v>0</v>
      </c>
      <c r="X157" s="52" t="e">
        <f t="shared" si="185"/>
        <v>#DIV/0!</v>
      </c>
      <c r="Y157" s="53">
        <f>COUNTIFS('00 Encuesta'!$B$2:$B$511,"*e)*",'00 Encuesta'!$C$2:$C$511,"*c)*",'00 Encuesta'!$E$2:$E$511,"*b)*",'00 Encuesta'!$U$2:$U$511,"*e)*")</f>
        <v>0</v>
      </c>
      <c r="Z157" s="52" t="e">
        <f t="shared" si="186"/>
        <v>#DIV/0!</v>
      </c>
      <c r="AA157" s="3"/>
      <c r="AB157" s="62">
        <f t="shared" si="187"/>
        <v>0</v>
      </c>
      <c r="AC157" s="52" t="e">
        <f t="shared" si="188"/>
        <v>#DIV/0!</v>
      </c>
      <c r="AD157" s="7"/>
      <c r="AE157" s="7"/>
      <c r="AF157" s="9" t="str">
        <f t="shared" si="189"/>
        <v>e) Los amigos</v>
      </c>
      <c r="AG157" s="72" t="e">
        <f t="shared" si="190"/>
        <v>#DIV/0!</v>
      </c>
      <c r="AH157" s="72" t="e">
        <f t="shared" si="191"/>
        <v>#DIV/0!</v>
      </c>
      <c r="AI157" s="73" t="e">
        <f t="shared" si="192"/>
        <v>#DIV/0!</v>
      </c>
      <c r="AJ157" s="73"/>
      <c r="AK157" s="76" t="e">
        <f t="shared" si="193"/>
        <v>#DIV/0!</v>
      </c>
      <c r="AL157" s="76" t="e">
        <f t="shared" si="194"/>
        <v>#DIV/0!</v>
      </c>
      <c r="AM157" s="76" t="e">
        <f t="shared" si="195"/>
        <v>#DIV/0!</v>
      </c>
      <c r="AN157" s="76"/>
      <c r="AO157" s="81" t="e">
        <f t="shared" si="196"/>
        <v>#DIV/0!</v>
      </c>
      <c r="AP157" s="81" t="e">
        <f t="shared" si="197"/>
        <v>#DIV/0!</v>
      </c>
      <c r="AQ157" s="81" t="e">
        <f t="shared" si="198"/>
        <v>#DIV/0!</v>
      </c>
      <c r="AR157" s="7"/>
      <c r="AS157" s="76" t="e">
        <f t="shared" si="174"/>
        <v>#DIV/0!</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x14ac:dyDescent="0.3">
      <c r="A158" s="8" t="s">
        <v>45</v>
      </c>
      <c r="B158" s="9" t="s">
        <v>118</v>
      </c>
      <c r="C158" s="7"/>
      <c r="D158" s="7"/>
      <c r="E158" s="7"/>
      <c r="F158" s="71"/>
      <c r="G158" s="51">
        <f t="shared" si="175"/>
        <v>0</v>
      </c>
      <c r="H158" s="52" t="e">
        <f t="shared" si="176"/>
        <v>#DIV/0!</v>
      </c>
      <c r="I158" s="53">
        <f>COUNTIFS('00 Encuesta'!$B$2:$B$511,"*e)*",'00 Encuesta'!$C$2:$C$511,"*a)*",'00 Encuesta'!$E$2:$E$511,"*a)*",'00 Encuesta'!$U$2:$U$511,"*f)*")</f>
        <v>0</v>
      </c>
      <c r="J158" s="52" t="e">
        <f t="shared" si="177"/>
        <v>#DIV/0!</v>
      </c>
      <c r="K158" s="53">
        <f>COUNTIFS('00 Encuesta'!$B$2:$B$511,"*e)*",'00 Encuesta'!$C$2:$C$511,"*a)*",'00 Encuesta'!$E$2:$E$511,"*b)*",'00 Encuesta'!$U$2:$U$511,"*f)*")</f>
        <v>0</v>
      </c>
      <c r="L158" s="52" t="e">
        <f t="shared" si="178"/>
        <v>#DIV/0!</v>
      </c>
      <c r="M158" s="23"/>
      <c r="N158" s="51">
        <f t="shared" si="179"/>
        <v>0</v>
      </c>
      <c r="O158" s="52" t="e">
        <f t="shared" si="180"/>
        <v>#DIV/0!</v>
      </c>
      <c r="P158" s="53">
        <f>COUNTIFS('00 Encuesta'!$B$2:$B$511,"*e)*",'00 Encuesta'!$C$2:$C$511,"*b)*",'00 Encuesta'!$E$2:$E$511,"*a)*",'00 Encuesta'!$U$2:$U$511,"*f)*")</f>
        <v>0</v>
      </c>
      <c r="Q158" s="52" t="e">
        <f t="shared" si="181"/>
        <v>#DIV/0!</v>
      </c>
      <c r="R158" s="53">
        <f>COUNTIFS('00 Encuesta'!$B$2:$B$511,"*e)*",'00 Encuesta'!$C$2:$C$511,"*b)*",'00 Encuesta'!$E$2:$E$511,"*b)*",'00 Encuesta'!$U$2:$U$511,"*f)*")</f>
        <v>0</v>
      </c>
      <c r="S158" s="52" t="e">
        <f t="shared" si="182"/>
        <v>#DIV/0!</v>
      </c>
      <c r="T158" s="3"/>
      <c r="U158" s="51">
        <f t="shared" si="183"/>
        <v>0</v>
      </c>
      <c r="V158" s="52" t="e">
        <f t="shared" si="184"/>
        <v>#DIV/0!</v>
      </c>
      <c r="W158" s="53">
        <f>COUNTIFS('00 Encuesta'!$B$2:$B$511,"*e)*",'00 Encuesta'!$C$2:$C$511,"*c)*",'00 Encuesta'!$E$2:$E$511,"*a)*",'00 Encuesta'!$U$2:$U$511,"*f)*")</f>
        <v>0</v>
      </c>
      <c r="X158" s="52" t="e">
        <f t="shared" si="185"/>
        <v>#DIV/0!</v>
      </c>
      <c r="Y158" s="53">
        <f>COUNTIFS('00 Encuesta'!$B$2:$B$511,"*e)*",'00 Encuesta'!$C$2:$C$511,"*c)*",'00 Encuesta'!$E$2:$E$511,"*b)*",'00 Encuesta'!$U$2:$U$511,"*f)*")</f>
        <v>0</v>
      </c>
      <c r="Z158" s="52" t="e">
        <f t="shared" si="186"/>
        <v>#DIV/0!</v>
      </c>
      <c r="AA158" s="3"/>
      <c r="AB158" s="62">
        <f t="shared" si="187"/>
        <v>0</v>
      </c>
      <c r="AC158" s="52" t="e">
        <f t="shared" si="188"/>
        <v>#DIV/0!</v>
      </c>
      <c r="AD158" s="7"/>
      <c r="AE158" s="7"/>
      <c r="AF158" s="9" t="str">
        <f t="shared" si="189"/>
        <v>f) Todas las personas</v>
      </c>
      <c r="AG158" s="72" t="e">
        <f t="shared" si="190"/>
        <v>#DIV/0!</v>
      </c>
      <c r="AH158" s="72" t="e">
        <f t="shared" si="191"/>
        <v>#DIV/0!</v>
      </c>
      <c r="AI158" s="73" t="e">
        <f t="shared" si="192"/>
        <v>#DIV/0!</v>
      </c>
      <c r="AJ158" s="73"/>
      <c r="AK158" s="76" t="e">
        <f t="shared" si="193"/>
        <v>#DIV/0!</v>
      </c>
      <c r="AL158" s="76" t="e">
        <f t="shared" si="194"/>
        <v>#DIV/0!</v>
      </c>
      <c r="AM158" s="76" t="e">
        <f t="shared" si="195"/>
        <v>#DIV/0!</v>
      </c>
      <c r="AN158" s="76"/>
      <c r="AO158" s="81" t="e">
        <f t="shared" si="196"/>
        <v>#DIV/0!</v>
      </c>
      <c r="AP158" s="81" t="e">
        <f t="shared" si="197"/>
        <v>#DIV/0!</v>
      </c>
      <c r="AQ158" s="81" t="e">
        <f t="shared" si="198"/>
        <v>#DIV/0!</v>
      </c>
      <c r="AR158" s="7"/>
      <c r="AS158" s="76" t="e">
        <f t="shared" si="174"/>
        <v>#DIV/0!</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x14ac:dyDescent="0.3">
      <c r="A159" s="8" t="s">
        <v>61</v>
      </c>
      <c r="B159" s="9" t="s">
        <v>119</v>
      </c>
      <c r="C159" s="7"/>
      <c r="D159" s="7"/>
      <c r="E159" s="56"/>
      <c r="F159" s="71"/>
      <c r="G159" s="51">
        <f t="shared" si="175"/>
        <v>0</v>
      </c>
      <c r="H159" s="52" t="e">
        <f t="shared" si="176"/>
        <v>#DIV/0!</v>
      </c>
      <c r="I159" s="53">
        <f>COUNTIFS('00 Encuesta'!$B$2:$B$511,"*e)*",'00 Encuesta'!$C$2:$C$511,"*a)*",'00 Encuesta'!$E$2:$E$511,"*a)*",'00 Encuesta'!$U$2:$U$511,"*g)*")</f>
        <v>0</v>
      </c>
      <c r="J159" s="52" t="e">
        <f t="shared" si="177"/>
        <v>#DIV/0!</v>
      </c>
      <c r="K159" s="53">
        <f>COUNTIFS('00 Encuesta'!$B$2:$B$511,"*e)*",'00 Encuesta'!$C$2:$C$511,"*a)*",'00 Encuesta'!$E$2:$E$511,"*b)*",'00 Encuesta'!$U$2:$U$511,"*g)*")</f>
        <v>0</v>
      </c>
      <c r="L159" s="52" t="e">
        <f t="shared" si="178"/>
        <v>#DIV/0!</v>
      </c>
      <c r="M159" s="23"/>
      <c r="N159" s="51">
        <f t="shared" si="179"/>
        <v>0</v>
      </c>
      <c r="O159" s="52" t="e">
        <f t="shared" si="180"/>
        <v>#DIV/0!</v>
      </c>
      <c r="P159" s="53">
        <f>COUNTIFS('00 Encuesta'!$B$2:$B$511,"*e)*",'00 Encuesta'!$C$2:$C$511,"*b)*",'00 Encuesta'!$E$2:$E$511,"*a)*",'00 Encuesta'!$U$2:$U$511,"*g)*")</f>
        <v>0</v>
      </c>
      <c r="Q159" s="52" t="e">
        <f t="shared" si="181"/>
        <v>#DIV/0!</v>
      </c>
      <c r="R159" s="53">
        <f>COUNTIFS('00 Encuesta'!$B$2:$B$511,"*e)*",'00 Encuesta'!$C$2:$C$511,"*b)*",'00 Encuesta'!$E$2:$E$511,"*b)*",'00 Encuesta'!$U$2:$U$511,"*g)*")</f>
        <v>0</v>
      </c>
      <c r="S159" s="52" t="e">
        <f t="shared" si="182"/>
        <v>#DIV/0!</v>
      </c>
      <c r="T159" s="3"/>
      <c r="U159" s="51">
        <f t="shared" si="183"/>
        <v>0</v>
      </c>
      <c r="V159" s="52" t="e">
        <f t="shared" si="184"/>
        <v>#DIV/0!</v>
      </c>
      <c r="W159" s="53">
        <f>COUNTIFS('00 Encuesta'!$B$2:$B$511,"*e)*",'00 Encuesta'!$C$2:$C$511,"*c)*",'00 Encuesta'!$E$2:$E$511,"*a)*",'00 Encuesta'!$U$2:$U$511,"*g)*")</f>
        <v>0</v>
      </c>
      <c r="X159" s="52" t="e">
        <f t="shared" si="185"/>
        <v>#DIV/0!</v>
      </c>
      <c r="Y159" s="53">
        <f>COUNTIFS('00 Encuesta'!$B$2:$B$511,"*e)*",'00 Encuesta'!$C$2:$C$511,"*c)*",'00 Encuesta'!$E$2:$E$511,"*b)*",'00 Encuesta'!$U$2:$U$511,"*g)*")</f>
        <v>0</v>
      </c>
      <c r="Z159" s="52" t="e">
        <f t="shared" si="186"/>
        <v>#DIV/0!</v>
      </c>
      <c r="AA159" s="3"/>
      <c r="AB159" s="62">
        <f t="shared" si="187"/>
        <v>0</v>
      </c>
      <c r="AC159" s="52" t="e">
        <f t="shared" si="188"/>
        <v>#DIV/0!</v>
      </c>
      <c r="AD159" s="7"/>
      <c r="AE159" s="7"/>
      <c r="AF159" s="9" t="str">
        <f t="shared" si="189"/>
        <v>g) Mi familia</v>
      </c>
      <c r="AG159" s="72" t="e">
        <f t="shared" si="190"/>
        <v>#DIV/0!</v>
      </c>
      <c r="AH159" s="72" t="e">
        <f t="shared" si="191"/>
        <v>#DIV/0!</v>
      </c>
      <c r="AI159" s="73" t="e">
        <f t="shared" si="192"/>
        <v>#DIV/0!</v>
      </c>
      <c r="AJ159" s="73"/>
      <c r="AK159" s="76" t="e">
        <f t="shared" si="193"/>
        <v>#DIV/0!</v>
      </c>
      <c r="AL159" s="76" t="e">
        <f t="shared" si="194"/>
        <v>#DIV/0!</v>
      </c>
      <c r="AM159" s="76" t="e">
        <f t="shared" si="195"/>
        <v>#DIV/0!</v>
      </c>
      <c r="AN159" s="76"/>
      <c r="AO159" s="81" t="e">
        <f t="shared" si="196"/>
        <v>#DIV/0!</v>
      </c>
      <c r="AP159" s="81" t="e">
        <f t="shared" si="197"/>
        <v>#DIV/0!</v>
      </c>
      <c r="AQ159" s="81" t="e">
        <f t="shared" si="198"/>
        <v>#DIV/0!</v>
      </c>
      <c r="AR159" s="7"/>
      <c r="AS159" s="76" t="e">
        <f t="shared" si="174"/>
        <v>#DIV/0!</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x14ac:dyDescent="0.3">
      <c r="A160" s="8" t="s">
        <v>63</v>
      </c>
      <c r="B160" s="9" t="s">
        <v>120</v>
      </c>
      <c r="C160" s="7"/>
      <c r="D160" s="7"/>
      <c r="E160" s="7"/>
      <c r="F160" s="71"/>
      <c r="G160" s="51">
        <f t="shared" si="175"/>
        <v>0</v>
      </c>
      <c r="H160" s="52" t="e">
        <f t="shared" si="176"/>
        <v>#DIV/0!</v>
      </c>
      <c r="I160" s="53">
        <f>COUNTIFS('00 Encuesta'!$B$2:$B$511,"*e)*",'00 Encuesta'!$C$2:$C$511,"*a)*",'00 Encuesta'!$E$2:$E$511,"*a)*",'00 Encuesta'!$U$2:$U$511,"*h)*")</f>
        <v>0</v>
      </c>
      <c r="J160" s="52" t="e">
        <f t="shared" si="177"/>
        <v>#DIV/0!</v>
      </c>
      <c r="K160" s="53">
        <f>COUNTIFS('00 Encuesta'!$B$2:$B$511,"*e)*",'00 Encuesta'!$C$2:$C$511,"*a)*",'00 Encuesta'!$E$2:$E$511,"*b)*",'00 Encuesta'!$U$2:$U$511,"*h)*")</f>
        <v>0</v>
      </c>
      <c r="L160" s="52" t="e">
        <f t="shared" si="178"/>
        <v>#DIV/0!</v>
      </c>
      <c r="M160" s="23"/>
      <c r="N160" s="51">
        <f t="shared" si="179"/>
        <v>0</v>
      </c>
      <c r="O160" s="52" t="e">
        <f t="shared" si="180"/>
        <v>#DIV/0!</v>
      </c>
      <c r="P160" s="53">
        <f>COUNTIFS('00 Encuesta'!$B$2:$B$511,"*e)*",'00 Encuesta'!$C$2:$C$511,"*b)*",'00 Encuesta'!$E$2:$E$511,"*a)*",'00 Encuesta'!$U$2:$U$511,"*h)*")</f>
        <v>0</v>
      </c>
      <c r="Q160" s="52" t="e">
        <f t="shared" si="181"/>
        <v>#DIV/0!</v>
      </c>
      <c r="R160" s="53">
        <f>COUNTIFS('00 Encuesta'!$B$2:$B$511,"*e)*",'00 Encuesta'!$C$2:$C$511,"*b)*",'00 Encuesta'!$E$2:$E$511,"*b)*",'00 Encuesta'!$U$2:$U$511,"*h)*")</f>
        <v>0</v>
      </c>
      <c r="S160" s="52" t="e">
        <f t="shared" si="182"/>
        <v>#DIV/0!</v>
      </c>
      <c r="T160" s="3"/>
      <c r="U160" s="51">
        <f t="shared" si="183"/>
        <v>0</v>
      </c>
      <c r="V160" s="52" t="e">
        <f t="shared" si="184"/>
        <v>#DIV/0!</v>
      </c>
      <c r="W160" s="53">
        <f>COUNTIFS('00 Encuesta'!$B$2:$B$511,"*e)*",'00 Encuesta'!$C$2:$C$511,"*c)*",'00 Encuesta'!$E$2:$E$511,"*a)*",'00 Encuesta'!$U$2:$U$511,"*h)*")</f>
        <v>0</v>
      </c>
      <c r="X160" s="52" t="e">
        <f t="shared" si="185"/>
        <v>#DIV/0!</v>
      </c>
      <c r="Y160" s="53">
        <f>COUNTIFS('00 Encuesta'!$B$2:$B$511,"*e)*",'00 Encuesta'!$C$2:$C$511,"*c)*",'00 Encuesta'!$E$2:$E$511,"*b)*",'00 Encuesta'!$U$2:$U$511,"*h)*")</f>
        <v>0</v>
      </c>
      <c r="Z160" s="52" t="e">
        <f t="shared" si="186"/>
        <v>#DIV/0!</v>
      </c>
      <c r="AA160" s="3"/>
      <c r="AB160" s="62">
        <f t="shared" si="187"/>
        <v>0</v>
      </c>
      <c r="AC160" s="52" t="e">
        <f t="shared" si="188"/>
        <v>#DIV/0!</v>
      </c>
      <c r="AD160" s="7"/>
      <c r="AE160" s="7"/>
      <c r="AF160" s="9" t="str">
        <f t="shared" si="189"/>
        <v>h) Algunas personas cercanas a dios</v>
      </c>
      <c r="AG160" s="72" t="e">
        <f t="shared" si="190"/>
        <v>#DIV/0!</v>
      </c>
      <c r="AH160" s="72" t="e">
        <f t="shared" si="191"/>
        <v>#DIV/0!</v>
      </c>
      <c r="AI160" s="73" t="e">
        <f t="shared" si="192"/>
        <v>#DIV/0!</v>
      </c>
      <c r="AJ160" s="73"/>
      <c r="AK160" s="76" t="e">
        <f t="shared" si="193"/>
        <v>#DIV/0!</v>
      </c>
      <c r="AL160" s="76" t="e">
        <f t="shared" si="194"/>
        <v>#DIV/0!</v>
      </c>
      <c r="AM160" s="76" t="e">
        <f t="shared" si="195"/>
        <v>#DIV/0!</v>
      </c>
      <c r="AN160" s="76"/>
      <c r="AO160" s="81" t="e">
        <f t="shared" si="196"/>
        <v>#DIV/0!</v>
      </c>
      <c r="AP160" s="81" t="e">
        <f t="shared" si="197"/>
        <v>#DIV/0!</v>
      </c>
      <c r="AQ160" s="81" t="e">
        <f t="shared" si="198"/>
        <v>#DIV/0!</v>
      </c>
      <c r="AR160" s="7"/>
      <c r="AS160" s="76" t="e">
        <f t="shared" si="174"/>
        <v>#DIV/0!</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x14ac:dyDescent="0.3">
      <c r="A161" s="8" t="s">
        <v>65</v>
      </c>
      <c r="B161" s="9" t="s">
        <v>121</v>
      </c>
      <c r="C161" s="7"/>
      <c r="D161" s="7"/>
      <c r="E161" s="7"/>
      <c r="F161" s="71"/>
      <c r="G161" s="51">
        <f t="shared" si="175"/>
        <v>0</v>
      </c>
      <c r="H161" s="52" t="e">
        <f t="shared" si="176"/>
        <v>#DIV/0!</v>
      </c>
      <c r="I161" s="53">
        <f>COUNTIFS('00 Encuesta'!$B$2:$B$511,"*e)*",'00 Encuesta'!$C$2:$C$511,"*a)*",'00 Encuesta'!$E$2:$E$511,"*a)*",'00 Encuesta'!$U$2:$U$511,"*i)*")</f>
        <v>0</v>
      </c>
      <c r="J161" s="52" t="e">
        <f t="shared" si="177"/>
        <v>#DIV/0!</v>
      </c>
      <c r="K161" s="53">
        <f>COUNTIFS('00 Encuesta'!$B$2:$B$511,"*e)*",'00 Encuesta'!$C$2:$C$511,"*a)*",'00 Encuesta'!$E$2:$E$511,"*b)*",'00 Encuesta'!$U$2:$U$511,"*i)*")</f>
        <v>0</v>
      </c>
      <c r="L161" s="52" t="e">
        <f t="shared" si="178"/>
        <v>#DIV/0!</v>
      </c>
      <c r="M161" s="23"/>
      <c r="N161" s="51">
        <f t="shared" si="179"/>
        <v>0</v>
      </c>
      <c r="O161" s="52" t="e">
        <f t="shared" si="180"/>
        <v>#DIV/0!</v>
      </c>
      <c r="P161" s="53">
        <f>COUNTIFS('00 Encuesta'!$B$2:$B$511,"*e)*",'00 Encuesta'!$C$2:$C$511,"*b)*",'00 Encuesta'!$E$2:$E$511,"*a)*",'00 Encuesta'!$U$2:$U$511,"*i)*")</f>
        <v>0</v>
      </c>
      <c r="Q161" s="52" t="e">
        <f t="shared" si="181"/>
        <v>#DIV/0!</v>
      </c>
      <c r="R161" s="53">
        <f>COUNTIFS('00 Encuesta'!$B$2:$B$511,"*e)*",'00 Encuesta'!$C$2:$C$511,"*b)*",'00 Encuesta'!$E$2:$E$511,"*b)*",'00 Encuesta'!$U$2:$U$511,"*i)*")</f>
        <v>0</v>
      </c>
      <c r="S161" s="52" t="e">
        <f t="shared" si="182"/>
        <v>#DIV/0!</v>
      </c>
      <c r="T161" s="3"/>
      <c r="U161" s="51">
        <f t="shared" si="183"/>
        <v>0</v>
      </c>
      <c r="V161" s="52" t="e">
        <f t="shared" si="184"/>
        <v>#DIV/0!</v>
      </c>
      <c r="W161" s="53">
        <f>COUNTIFS('00 Encuesta'!$B$2:$B$511,"*e)*",'00 Encuesta'!$C$2:$C$511,"*c)*",'00 Encuesta'!$E$2:$E$511,"*a)*",'00 Encuesta'!$U$2:$U$511,"*i)*")</f>
        <v>0</v>
      </c>
      <c r="X161" s="52" t="e">
        <f t="shared" si="185"/>
        <v>#DIV/0!</v>
      </c>
      <c r="Y161" s="53">
        <f>COUNTIFS('00 Encuesta'!$B$2:$B$511,"*e)*",'00 Encuesta'!$C$2:$C$511,"*c)*",'00 Encuesta'!$E$2:$E$511,"*b)*",'00 Encuesta'!$U$2:$U$511,"*i)*")</f>
        <v>0</v>
      </c>
      <c r="Z161" s="52" t="e">
        <f t="shared" si="186"/>
        <v>#DIV/0!</v>
      </c>
      <c r="AA161" s="3"/>
      <c r="AB161" s="62">
        <f t="shared" si="187"/>
        <v>0</v>
      </c>
      <c r="AC161" s="52" t="e">
        <f t="shared" si="188"/>
        <v>#DIV/0!</v>
      </c>
      <c r="AD161" s="7"/>
      <c r="AE161" s="7"/>
      <c r="AF161" s="9" t="str">
        <f t="shared" si="189"/>
        <v>i) Los necesitados</v>
      </c>
      <c r="AG161" s="72" t="e">
        <f t="shared" si="190"/>
        <v>#DIV/0!</v>
      </c>
      <c r="AH161" s="72" t="e">
        <f t="shared" si="191"/>
        <v>#DIV/0!</v>
      </c>
      <c r="AI161" s="73" t="e">
        <f t="shared" si="192"/>
        <v>#DIV/0!</v>
      </c>
      <c r="AJ161" s="73"/>
      <c r="AK161" s="76" t="e">
        <f t="shared" si="193"/>
        <v>#DIV/0!</v>
      </c>
      <c r="AL161" s="76" t="e">
        <f t="shared" si="194"/>
        <v>#DIV/0!</v>
      </c>
      <c r="AM161" s="76" t="e">
        <f t="shared" si="195"/>
        <v>#DIV/0!</v>
      </c>
      <c r="AN161" s="76"/>
      <c r="AO161" s="81" t="e">
        <f t="shared" si="196"/>
        <v>#DIV/0!</v>
      </c>
      <c r="AP161" s="81" t="e">
        <f t="shared" si="197"/>
        <v>#DIV/0!</v>
      </c>
      <c r="AQ161" s="81" t="e">
        <f t="shared" si="198"/>
        <v>#DIV/0!</v>
      </c>
      <c r="AR161" s="7"/>
      <c r="AS161" s="76" t="e">
        <f t="shared" si="174"/>
        <v>#DIV/0!</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x14ac:dyDescent="0.3">
      <c r="A162" s="8" t="s">
        <v>67</v>
      </c>
      <c r="B162" s="9" t="s">
        <v>122</v>
      </c>
      <c r="C162" s="7"/>
      <c r="D162" s="7"/>
      <c r="E162" s="7"/>
      <c r="F162" s="71"/>
      <c r="G162" s="51">
        <f t="shared" si="175"/>
        <v>0</v>
      </c>
      <c r="H162" s="52" t="e">
        <f t="shared" si="176"/>
        <v>#DIV/0!</v>
      </c>
      <c r="I162" s="53">
        <f>COUNTIFS('00 Encuesta'!$B$2:$B$511,"*e)*",'00 Encuesta'!$C$2:$C$511,"*a)*",'00 Encuesta'!$E$2:$E$511,"*a)*",'00 Encuesta'!$U$2:$U$511,"*j)*")</f>
        <v>0</v>
      </c>
      <c r="J162" s="52" t="e">
        <f t="shared" si="177"/>
        <v>#DIV/0!</v>
      </c>
      <c r="K162" s="53">
        <f>COUNTIFS('00 Encuesta'!$B$2:$B$511,"*e)*",'00 Encuesta'!$C$2:$C$511,"*a)*",'00 Encuesta'!$E$2:$E$511,"*b)*",'00 Encuesta'!$U$2:$U$511,"*j)*")</f>
        <v>0</v>
      </c>
      <c r="L162" s="52" t="e">
        <f t="shared" si="178"/>
        <v>#DIV/0!</v>
      </c>
      <c r="M162" s="23"/>
      <c r="N162" s="51">
        <f t="shared" si="179"/>
        <v>0</v>
      </c>
      <c r="O162" s="52" t="e">
        <f t="shared" si="180"/>
        <v>#DIV/0!</v>
      </c>
      <c r="P162" s="53">
        <f>COUNTIFS('00 Encuesta'!$B$2:$B$511,"*e)*",'00 Encuesta'!$C$2:$C$511,"*b)*",'00 Encuesta'!$E$2:$E$511,"*a)*",'00 Encuesta'!$U$2:$U$511,"*j)*")</f>
        <v>0</v>
      </c>
      <c r="Q162" s="52" t="e">
        <f t="shared" si="181"/>
        <v>#DIV/0!</v>
      </c>
      <c r="R162" s="53">
        <f>COUNTIFS('00 Encuesta'!$B$2:$B$511,"*e)*",'00 Encuesta'!$C$2:$C$511,"*b)*",'00 Encuesta'!$E$2:$E$511,"*b)*",'00 Encuesta'!$U$2:$U$511,"*j)*")</f>
        <v>0</v>
      </c>
      <c r="S162" s="52" t="e">
        <f t="shared" si="182"/>
        <v>#DIV/0!</v>
      </c>
      <c r="T162" s="3"/>
      <c r="U162" s="51">
        <f t="shared" si="183"/>
        <v>0</v>
      </c>
      <c r="V162" s="52" t="e">
        <f t="shared" si="184"/>
        <v>#DIV/0!</v>
      </c>
      <c r="W162" s="53">
        <f>COUNTIFS('00 Encuesta'!$B$2:$B$511,"*e)*",'00 Encuesta'!$C$2:$C$511,"*c)*",'00 Encuesta'!$E$2:$E$511,"*a)*",'00 Encuesta'!$U$2:$U$511,"*j)*")</f>
        <v>0</v>
      </c>
      <c r="X162" s="52" t="e">
        <f t="shared" si="185"/>
        <v>#DIV/0!</v>
      </c>
      <c r="Y162" s="53">
        <f>COUNTIFS('00 Encuesta'!$B$2:$B$511,"*e)*",'00 Encuesta'!$C$2:$C$511,"*c)*",'00 Encuesta'!$E$2:$E$511,"*b)*",'00 Encuesta'!$U$2:$U$511,"*j)*")</f>
        <v>0</v>
      </c>
      <c r="Z162" s="52" t="e">
        <f t="shared" si="186"/>
        <v>#DIV/0!</v>
      </c>
      <c r="AA162" s="3"/>
      <c r="AB162" s="62">
        <f t="shared" si="187"/>
        <v>0</v>
      </c>
      <c r="AC162" s="52" t="e">
        <f t="shared" si="188"/>
        <v>#DIV/0!</v>
      </c>
      <c r="AD162" s="7"/>
      <c r="AE162" s="7"/>
      <c r="AF162" s="9" t="str">
        <f t="shared" si="189"/>
        <v>j) Todas partes</v>
      </c>
      <c r="AG162" s="72" t="e">
        <f t="shared" si="190"/>
        <v>#DIV/0!</v>
      </c>
      <c r="AH162" s="72" t="e">
        <f t="shared" si="191"/>
        <v>#DIV/0!</v>
      </c>
      <c r="AI162" s="73" t="e">
        <f t="shared" si="192"/>
        <v>#DIV/0!</v>
      </c>
      <c r="AJ162" s="73"/>
      <c r="AK162" s="76" t="e">
        <f t="shared" si="193"/>
        <v>#DIV/0!</v>
      </c>
      <c r="AL162" s="76" t="e">
        <f t="shared" si="194"/>
        <v>#DIV/0!</v>
      </c>
      <c r="AM162" s="76" t="e">
        <f t="shared" si="195"/>
        <v>#DIV/0!</v>
      </c>
      <c r="AN162" s="76"/>
      <c r="AO162" s="81" t="e">
        <f t="shared" si="196"/>
        <v>#DIV/0!</v>
      </c>
      <c r="AP162" s="81" t="e">
        <f t="shared" si="197"/>
        <v>#DIV/0!</v>
      </c>
      <c r="AQ162" s="81" t="e">
        <f t="shared" si="198"/>
        <v>#DIV/0!</v>
      </c>
      <c r="AR162" s="7"/>
      <c r="AS162" s="76" t="e">
        <f t="shared" si="174"/>
        <v>#DIV/0!</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0</v>
      </c>
      <c r="H163" s="52" t="e">
        <f t="shared" si="176"/>
        <v>#DIV/0!</v>
      </c>
      <c r="I163" s="53">
        <f>COUNTIFS('00 Encuesta'!$B$2:$B$511,"*e)*",'00 Encuesta'!$C$2:$C$511,"*a)*",'00 Encuesta'!$E$2:$E$511,"*a)*",'00 Encuesta'!$U$2:$U$511,"*k)*")</f>
        <v>0</v>
      </c>
      <c r="J163" s="52" t="e">
        <f t="shared" si="177"/>
        <v>#DIV/0!</v>
      </c>
      <c r="K163" s="53">
        <f>COUNTIFS('00 Encuesta'!$B$2:$B$511,"*e)*",'00 Encuesta'!$C$2:$C$511,"*a)*",'00 Encuesta'!$E$2:$E$511,"*b)*",'00 Encuesta'!$U$2:$U$511,"*k)*")</f>
        <v>0</v>
      </c>
      <c r="L163" s="52" t="e">
        <f t="shared" si="178"/>
        <v>#DIV/0!</v>
      </c>
      <c r="M163" s="23"/>
      <c r="N163" s="51">
        <f t="shared" si="179"/>
        <v>0</v>
      </c>
      <c r="O163" s="52" t="e">
        <f t="shared" si="180"/>
        <v>#DIV/0!</v>
      </c>
      <c r="P163" s="53">
        <f>COUNTIFS('00 Encuesta'!$B$2:$B$511,"*e)*",'00 Encuesta'!$C$2:$C$511,"*b)*",'00 Encuesta'!$E$2:$E$511,"*a)*",'00 Encuesta'!$U$2:$U$511,"*k)*")</f>
        <v>0</v>
      </c>
      <c r="Q163" s="52" t="e">
        <f t="shared" si="181"/>
        <v>#DIV/0!</v>
      </c>
      <c r="R163" s="53">
        <f>COUNTIFS('00 Encuesta'!$B$2:$B$511,"*e)*",'00 Encuesta'!$C$2:$C$511,"*b)*",'00 Encuesta'!$E$2:$E$511,"*b)*",'00 Encuesta'!$U$2:$U$511,"*k)*")</f>
        <v>0</v>
      </c>
      <c r="S163" s="52" t="e">
        <f t="shared" si="182"/>
        <v>#DIV/0!</v>
      </c>
      <c r="T163" s="3"/>
      <c r="U163" s="51">
        <f t="shared" si="183"/>
        <v>0</v>
      </c>
      <c r="V163" s="52" t="e">
        <f t="shared" si="184"/>
        <v>#DIV/0!</v>
      </c>
      <c r="W163" s="53">
        <f>COUNTIFS('00 Encuesta'!$B$2:$B$511,"*e)*",'00 Encuesta'!$C$2:$C$511,"*c)*",'00 Encuesta'!$E$2:$E$511,"*a)*",'00 Encuesta'!$U$2:$U$511,"*k)*")</f>
        <v>0</v>
      </c>
      <c r="X163" s="52" t="e">
        <f t="shared" si="185"/>
        <v>#DIV/0!</v>
      </c>
      <c r="Y163" s="53">
        <f>COUNTIFS('00 Encuesta'!$B$2:$B$511,"*e)*",'00 Encuesta'!$C$2:$C$511,"*c)*",'00 Encuesta'!$E$2:$E$511,"*b)*",'00 Encuesta'!$U$2:$U$511,"*k)*")</f>
        <v>0</v>
      </c>
      <c r="Z163" s="52" t="e">
        <f t="shared" si="186"/>
        <v>#DIV/0!</v>
      </c>
      <c r="AA163" s="3"/>
      <c r="AB163" s="62">
        <f t="shared" si="187"/>
        <v>0</v>
      </c>
      <c r="AC163" s="52" t="e">
        <f t="shared" si="188"/>
        <v>#DIV/0!</v>
      </c>
      <c r="AD163" s="7"/>
      <c r="AE163" s="7"/>
      <c r="AF163" s="9" t="str">
        <f t="shared" si="189"/>
        <v>k) Oración</v>
      </c>
      <c r="AG163" s="72" t="e">
        <f t="shared" si="190"/>
        <v>#DIV/0!</v>
      </c>
      <c r="AH163" s="72" t="e">
        <f t="shared" si="191"/>
        <v>#DIV/0!</v>
      </c>
      <c r="AI163" s="73" t="e">
        <f t="shared" si="192"/>
        <v>#DIV/0!</v>
      </c>
      <c r="AJ163" s="73"/>
      <c r="AK163" s="76" t="e">
        <f t="shared" si="193"/>
        <v>#DIV/0!</v>
      </c>
      <c r="AL163" s="76" t="e">
        <f t="shared" si="194"/>
        <v>#DIV/0!</v>
      </c>
      <c r="AM163" s="76" t="e">
        <f t="shared" si="195"/>
        <v>#DIV/0!</v>
      </c>
      <c r="AN163" s="76"/>
      <c r="AO163" s="81" t="e">
        <f t="shared" si="196"/>
        <v>#DIV/0!</v>
      </c>
      <c r="AP163" s="81" t="e">
        <f t="shared" si="197"/>
        <v>#DIV/0!</v>
      </c>
      <c r="AQ163" s="81" t="e">
        <f t="shared" si="198"/>
        <v>#DIV/0!</v>
      </c>
      <c r="AR163" s="7"/>
      <c r="AS163" s="76" t="e">
        <f t="shared" si="174"/>
        <v>#DIV/0!</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x14ac:dyDescent="0.3">
      <c r="A164" s="1" t="s">
        <v>124</v>
      </c>
      <c r="B164" s="2" t="s">
        <v>125</v>
      </c>
      <c r="C164" s="3"/>
      <c r="D164" s="7"/>
      <c r="E164" s="7"/>
      <c r="F164" s="71"/>
      <c r="G164" s="51">
        <f t="shared" si="175"/>
        <v>0</v>
      </c>
      <c r="H164" s="52" t="e">
        <f t="shared" si="176"/>
        <v>#DIV/0!</v>
      </c>
      <c r="I164" s="53">
        <f>COUNTIFS('00 Encuesta'!$B$2:$B$511,"*e)*",'00 Encuesta'!$C$2:$C$511,"*a)*",'00 Encuesta'!$E$2:$E$511,"*a)*",'00 Encuesta'!$U$2:$U$511,"*l)*")</f>
        <v>0</v>
      </c>
      <c r="J164" s="52" t="e">
        <f t="shared" si="177"/>
        <v>#DIV/0!</v>
      </c>
      <c r="K164" s="53">
        <f>COUNTIFS('00 Encuesta'!$B$2:$B$511,"*e)*",'00 Encuesta'!$C$2:$C$511,"*a)*",'00 Encuesta'!$E$2:$E$511,"*b)*",'00 Encuesta'!$U$2:$U$511,"*l)*")</f>
        <v>0</v>
      </c>
      <c r="L164" s="52" t="e">
        <f t="shared" si="178"/>
        <v>#DIV/0!</v>
      </c>
      <c r="M164" s="23"/>
      <c r="N164" s="51">
        <f t="shared" si="179"/>
        <v>0</v>
      </c>
      <c r="O164" s="52" t="e">
        <f t="shared" si="180"/>
        <v>#DIV/0!</v>
      </c>
      <c r="P164" s="53">
        <f>COUNTIFS('00 Encuesta'!$B$2:$B$511,"*e)*",'00 Encuesta'!$C$2:$C$511,"*b)*",'00 Encuesta'!$E$2:$E$511,"*a)*",'00 Encuesta'!$U$2:$U$511,"*l)*")</f>
        <v>0</v>
      </c>
      <c r="Q164" s="52" t="e">
        <f t="shared" si="181"/>
        <v>#DIV/0!</v>
      </c>
      <c r="R164" s="53">
        <f>COUNTIFS('00 Encuesta'!$B$2:$B$511,"*e)*",'00 Encuesta'!$C$2:$C$511,"*b)*",'00 Encuesta'!$E$2:$E$511,"*b)*",'00 Encuesta'!$U$2:$U$511,"*l)*")</f>
        <v>0</v>
      </c>
      <c r="S164" s="52" t="e">
        <f t="shared" si="182"/>
        <v>#DIV/0!</v>
      </c>
      <c r="T164" s="3"/>
      <c r="U164" s="51">
        <f t="shared" si="183"/>
        <v>0</v>
      </c>
      <c r="V164" s="52" t="e">
        <f t="shared" si="184"/>
        <v>#DIV/0!</v>
      </c>
      <c r="W164" s="53">
        <f>COUNTIFS('00 Encuesta'!$B$2:$B$511,"*e)*",'00 Encuesta'!$C$2:$C$511,"*c)*",'00 Encuesta'!$E$2:$E$511,"*a)*",'00 Encuesta'!$U$2:$U$511,"*l)*")</f>
        <v>0</v>
      </c>
      <c r="X164" s="52" t="e">
        <f t="shared" si="185"/>
        <v>#DIV/0!</v>
      </c>
      <c r="Y164" s="53">
        <f>COUNTIFS('00 Encuesta'!$B$2:$B$511,"*e)*",'00 Encuesta'!$C$2:$C$511,"*c)*",'00 Encuesta'!$E$2:$E$511,"*b)*",'00 Encuesta'!$U$2:$U$511,"*l)*")</f>
        <v>0</v>
      </c>
      <c r="Z164" s="52" t="e">
        <f t="shared" si="186"/>
        <v>#DIV/0!</v>
      </c>
      <c r="AA164" s="3"/>
      <c r="AB164" s="62">
        <f t="shared" si="187"/>
        <v>0</v>
      </c>
      <c r="AC164" s="52" t="e">
        <f t="shared" si="188"/>
        <v>#DIV/0!</v>
      </c>
      <c r="AD164" s="7"/>
      <c r="AE164" s="7"/>
      <c r="AF164" s="9" t="str">
        <f t="shared" si="189"/>
        <v>l) Sacramentos</v>
      </c>
      <c r="AG164" s="72" t="e">
        <f t="shared" si="190"/>
        <v>#DIV/0!</v>
      </c>
      <c r="AH164" s="72" t="e">
        <f t="shared" si="191"/>
        <v>#DIV/0!</v>
      </c>
      <c r="AI164" s="73" t="e">
        <f t="shared" si="192"/>
        <v>#DIV/0!</v>
      </c>
      <c r="AJ164" s="73"/>
      <c r="AK164" s="76" t="e">
        <f t="shared" si="193"/>
        <v>#DIV/0!</v>
      </c>
      <c r="AL164" s="76" t="e">
        <f t="shared" si="194"/>
        <v>#DIV/0!</v>
      </c>
      <c r="AM164" s="76" t="e">
        <f t="shared" si="195"/>
        <v>#DIV/0!</v>
      </c>
      <c r="AN164" s="76"/>
      <c r="AO164" s="81" t="e">
        <f t="shared" si="196"/>
        <v>#DIV/0!</v>
      </c>
      <c r="AP164" s="81" t="e">
        <f t="shared" si="197"/>
        <v>#DIV/0!</v>
      </c>
      <c r="AQ164" s="81" t="e">
        <f t="shared" si="198"/>
        <v>#DIV/0!</v>
      </c>
      <c r="AR164" s="7"/>
      <c r="AS164" s="76" t="e">
        <f t="shared" si="174"/>
        <v>#DIV/0!</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x14ac:dyDescent="0.3">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x14ac:dyDescent="0.3">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0</v>
      </c>
      <c r="H168" s="52" t="e">
        <f>G168/$J$5*100</f>
        <v>#DIV/0!</v>
      </c>
      <c r="I168" s="53">
        <f>COUNTIFS('00 Encuesta'!$B$2:$B$511,"*e)*",'00 Encuesta'!$C$2:$C$511,"*a)*",'00 Encuesta'!$E$2:$E$511,"*a)*",'00 Encuesta'!$V$2:$V$511,"*a)*")</f>
        <v>0</v>
      </c>
      <c r="J168" s="52" t="e">
        <f>I168/$J$6*100</f>
        <v>#DIV/0!</v>
      </c>
      <c r="K168" s="53">
        <f>COUNTIFS('00 Encuesta'!$B$2:$B$511,"*e)*",'00 Encuesta'!$C$2:$C$511,"*a)*",'00 Encuesta'!$E$2:$E$511,"*b)*",'00 Encuesta'!$V$2:$V$511,"*a)*")</f>
        <v>0</v>
      </c>
      <c r="L168" s="52" t="e">
        <f>K168/$J$7*100</f>
        <v>#DIV/0!</v>
      </c>
      <c r="M168" s="23"/>
      <c r="N168" s="51">
        <f>P168+R168</f>
        <v>0</v>
      </c>
      <c r="O168" s="52" t="e">
        <f>N168/$Q$5*100</f>
        <v>#DIV/0!</v>
      </c>
      <c r="P168" s="53">
        <f>COUNTIFS('00 Encuesta'!$B$2:$B$511,"*e)*",'00 Encuesta'!$C$2:$C$511,"*b)*",'00 Encuesta'!$E$2:$E$511,"*a)*",'00 Encuesta'!$V$2:$V$511,"*a)*")</f>
        <v>0</v>
      </c>
      <c r="Q168" s="52" t="e">
        <f>P168/$Q$6*100</f>
        <v>#DIV/0!</v>
      </c>
      <c r="R168" s="53">
        <f>COUNTIFS('00 Encuesta'!$B$2:$B$511,"*e)*",'00 Encuesta'!$C$2:$C$511,"*b)*",'00 Encuesta'!$E$2:$E$511,"*b)*",'00 Encuesta'!$V$2:$V$511,"*a)*")</f>
        <v>0</v>
      </c>
      <c r="S168" s="52" t="e">
        <f>R168/$Q$7*100</f>
        <v>#DIV/0!</v>
      </c>
      <c r="T168" s="3"/>
      <c r="U168" s="51">
        <f>W168+Y168</f>
        <v>0</v>
      </c>
      <c r="V168" s="52" t="e">
        <f>U168/$X$5*100</f>
        <v>#DIV/0!</v>
      </c>
      <c r="W168" s="53">
        <f>COUNTIFS('00 Encuesta'!$B$2:$B$511,"*e)*",'00 Encuesta'!$C$2:$C$511,"*c)*",'00 Encuesta'!$E$2:$E$511,"*a)*",'00 Encuesta'!$V$2:$V$511,"*a)*")</f>
        <v>0</v>
      </c>
      <c r="X168" s="52" t="e">
        <f>W168/$X$6*100</f>
        <v>#DIV/0!</v>
      </c>
      <c r="Y168" s="53">
        <f>COUNTIFS('00 Encuesta'!$B$2:$B$511,"*e)*",'00 Encuesta'!$C$2:$C$511,"*c)*",'00 Encuesta'!$E$2:$E$511,"*b)*",'00 Encuesta'!$V$2:$V$511,"*a)*")</f>
        <v>0</v>
      </c>
      <c r="Z168" s="52" t="e">
        <f>Y168/$X$7*100</f>
        <v>#DIV/0!</v>
      </c>
      <c r="AA168" s="3"/>
      <c r="AB168" s="62">
        <f>G168+N168+U168</f>
        <v>0</v>
      </c>
      <c r="AC168" s="52" t="e">
        <f>AB168*100/$AC$5</f>
        <v>#DIV/0!</v>
      </c>
      <c r="AD168" s="3"/>
      <c r="AE168" s="3"/>
      <c r="AF168" s="9" t="str">
        <f t="shared" si="199"/>
        <v>a) Suelo rezar por convicción o porque me gusta</v>
      </c>
      <c r="AG168" s="72" t="e">
        <f>J168</f>
        <v>#DIV/0!</v>
      </c>
      <c r="AH168" s="72" t="e">
        <f>L168</f>
        <v>#DIV/0!</v>
      </c>
      <c r="AI168" s="73" t="e">
        <f>H168</f>
        <v>#DIV/0!</v>
      </c>
      <c r="AJ168" s="73"/>
      <c r="AK168" s="76" t="e">
        <f>Q168</f>
        <v>#DIV/0!</v>
      </c>
      <c r="AL168" s="76" t="e">
        <f>S168</f>
        <v>#DIV/0!</v>
      </c>
      <c r="AM168" s="76" t="e">
        <f>O168</f>
        <v>#DIV/0!</v>
      </c>
      <c r="AN168" s="76"/>
      <c r="AO168" s="81" t="e">
        <f>X168</f>
        <v>#DIV/0!</v>
      </c>
      <c r="AP168" s="81" t="e">
        <f>Z168</f>
        <v>#DIV/0!</v>
      </c>
      <c r="AQ168" s="81" t="e">
        <f>V168</f>
        <v>#DIV/0!</v>
      </c>
      <c r="AR168" s="3"/>
      <c r="AS168" s="76" t="e">
        <f t="shared" si="174"/>
        <v>#DIV/0!</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x14ac:dyDescent="0.3">
      <c r="A169" s="8" t="s">
        <v>18</v>
      </c>
      <c r="B169" s="9" t="s">
        <v>128</v>
      </c>
      <c r="C169" s="7"/>
      <c r="D169" s="7"/>
      <c r="E169" s="7"/>
      <c r="F169" s="71"/>
      <c r="G169" s="51">
        <f>I169+K169</f>
        <v>0</v>
      </c>
      <c r="H169" s="52" t="e">
        <f>G169/$J$5*100</f>
        <v>#DIV/0!</v>
      </c>
      <c r="I169" s="53">
        <f>COUNTIFS('00 Encuesta'!$B$2:$B$511,"*e)*",'00 Encuesta'!$C$2:$C$511,"*a)*",'00 Encuesta'!$E$2:$E$511,"*a)*",'00 Encuesta'!$V$2:$V$511,"*b)*")</f>
        <v>0</v>
      </c>
      <c r="J169" s="52" t="e">
        <f>I169/$J$6*100</f>
        <v>#DIV/0!</v>
      </c>
      <c r="K169" s="53">
        <f>COUNTIFS('00 Encuesta'!$B$2:$B$511,"*e)*",'00 Encuesta'!$C$2:$C$511,"*a)*",'00 Encuesta'!$E$2:$E$511,"*b)*",'00 Encuesta'!$V$2:$V$511,"*b)*")</f>
        <v>0</v>
      </c>
      <c r="L169" s="52" t="e">
        <f>K169/$J$7*100</f>
        <v>#DIV/0!</v>
      </c>
      <c r="M169" s="23"/>
      <c r="N169" s="51">
        <f>P169+R169</f>
        <v>0</v>
      </c>
      <c r="O169" s="52" t="e">
        <f>N169/$Q$5*100</f>
        <v>#DIV/0!</v>
      </c>
      <c r="P169" s="53">
        <f>COUNTIFS('00 Encuesta'!$B$2:$B$511,"*e)*",'00 Encuesta'!$C$2:$C$511,"*b)*",'00 Encuesta'!$E$2:$E$511,"*a)*",'00 Encuesta'!$V$2:$V$511,"*b)*")</f>
        <v>0</v>
      </c>
      <c r="Q169" s="52" t="e">
        <f>P169/$Q$6*100</f>
        <v>#DIV/0!</v>
      </c>
      <c r="R169" s="53">
        <f>COUNTIFS('00 Encuesta'!$B$2:$B$511,"*e)*",'00 Encuesta'!$C$2:$C$511,"*b)*",'00 Encuesta'!$E$2:$E$511,"*b)*",'00 Encuesta'!$V$2:$V$511,"*b)*")</f>
        <v>0</v>
      </c>
      <c r="S169" s="52" t="e">
        <f>R169/$Q$7*100</f>
        <v>#DIV/0!</v>
      </c>
      <c r="T169" s="3"/>
      <c r="U169" s="51">
        <f>W169+Y169</f>
        <v>0</v>
      </c>
      <c r="V169" s="52" t="e">
        <f>U169/$X$5*100</f>
        <v>#DIV/0!</v>
      </c>
      <c r="W169" s="53">
        <f>COUNTIFS('00 Encuesta'!$B$2:$B$511,"*e)*",'00 Encuesta'!$C$2:$C$511,"*c)*",'00 Encuesta'!$E$2:$E$511,"*a)*",'00 Encuesta'!$V$2:$V$511,"*b)*")</f>
        <v>0</v>
      </c>
      <c r="X169" s="52" t="e">
        <f>W169/$X$6*100</f>
        <v>#DIV/0!</v>
      </c>
      <c r="Y169" s="53">
        <f>COUNTIFS('00 Encuesta'!$B$2:$B$511,"*e)*",'00 Encuesta'!$C$2:$C$511,"*c)*",'00 Encuesta'!$E$2:$E$511,"*b)*",'00 Encuesta'!$V$2:$V$511,"*b)*")</f>
        <v>0</v>
      </c>
      <c r="Z169" s="52" t="e">
        <f>Y169/$X$7*100</f>
        <v>#DIV/0!</v>
      </c>
      <c r="AA169" s="3"/>
      <c r="AB169" s="62">
        <f>G169+N169+U169</f>
        <v>0</v>
      </c>
      <c r="AC169" s="52" t="e">
        <f>AB169*100/$AC$5</f>
        <v>#DIV/0!</v>
      </c>
      <c r="AD169" s="7"/>
      <c r="AE169" s="7"/>
      <c r="AF169" s="9" t="str">
        <f t="shared" si="199"/>
        <v>b) Rezo por costumbre</v>
      </c>
      <c r="AG169" s="72" t="e">
        <f>J169</f>
        <v>#DIV/0!</v>
      </c>
      <c r="AH169" s="72" t="e">
        <f>L169</f>
        <v>#DIV/0!</v>
      </c>
      <c r="AI169" s="73" t="e">
        <f>H169</f>
        <v>#DIV/0!</v>
      </c>
      <c r="AJ169" s="73"/>
      <c r="AK169" s="76" t="e">
        <f>Q169</f>
        <v>#DIV/0!</v>
      </c>
      <c r="AL169" s="76" t="e">
        <f>S169</f>
        <v>#DIV/0!</v>
      </c>
      <c r="AM169" s="76" t="e">
        <f>O169</f>
        <v>#DIV/0!</v>
      </c>
      <c r="AN169" s="76"/>
      <c r="AO169" s="81" t="e">
        <f>X169</f>
        <v>#DIV/0!</v>
      </c>
      <c r="AP169" s="81" t="e">
        <f>Z169</f>
        <v>#DIV/0!</v>
      </c>
      <c r="AQ169" s="81" t="e">
        <f>V169</f>
        <v>#DIV/0!</v>
      </c>
      <c r="AR169" s="3"/>
      <c r="AS169" s="76" t="e">
        <f t="shared" si="174"/>
        <v>#DIV/0!</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0</v>
      </c>
      <c r="H170" s="52" t="e">
        <f>G170/$J$5*100</f>
        <v>#DIV/0!</v>
      </c>
      <c r="I170" s="53">
        <f>COUNTIFS('00 Encuesta'!$B$2:$B$511,"*e)*",'00 Encuesta'!$C$2:$C$511,"*a)*",'00 Encuesta'!$E$2:$E$511,"*a)*",'00 Encuesta'!$V$2:$V$511,"*c)*")</f>
        <v>0</v>
      </c>
      <c r="J170" s="52" t="e">
        <f>I170/$J$6*100</f>
        <v>#DIV/0!</v>
      </c>
      <c r="K170" s="53">
        <f>COUNTIFS('00 Encuesta'!$B$2:$B$511,"*e)*",'00 Encuesta'!$C$2:$C$511,"*a)*",'00 Encuesta'!$E$2:$E$511,"*b)*",'00 Encuesta'!$V$2:$V$511,"*c)*")</f>
        <v>0</v>
      </c>
      <c r="L170" s="52" t="e">
        <f>K170/$J$7*100</f>
        <v>#DIV/0!</v>
      </c>
      <c r="M170" s="23"/>
      <c r="N170" s="51">
        <f>P170+R170</f>
        <v>0</v>
      </c>
      <c r="O170" s="52" t="e">
        <f>N170/$Q$5*100</f>
        <v>#DIV/0!</v>
      </c>
      <c r="P170" s="53">
        <f>COUNTIFS('00 Encuesta'!$B$2:$B$511,"*e)*",'00 Encuesta'!$C$2:$C$511,"*b)*",'00 Encuesta'!$E$2:$E$511,"*a)*",'00 Encuesta'!$V$2:$V$511,"*c)*")</f>
        <v>0</v>
      </c>
      <c r="Q170" s="52" t="e">
        <f>P170/$Q$6*100</f>
        <v>#DIV/0!</v>
      </c>
      <c r="R170" s="53">
        <f>COUNTIFS('00 Encuesta'!$B$2:$B$511,"*e)*",'00 Encuesta'!$C$2:$C$511,"*b)*",'00 Encuesta'!$E$2:$E$511,"*b)*",'00 Encuesta'!$V$2:$V$511,"*c)*")</f>
        <v>0</v>
      </c>
      <c r="S170" s="52" t="e">
        <f>R170/$Q$7*100</f>
        <v>#DIV/0!</v>
      </c>
      <c r="T170" s="3"/>
      <c r="U170" s="51">
        <f>W170+Y170</f>
        <v>0</v>
      </c>
      <c r="V170" s="52" t="e">
        <f>U170/$X$5*100</f>
        <v>#DIV/0!</v>
      </c>
      <c r="W170" s="53">
        <f>COUNTIFS('00 Encuesta'!$B$2:$B$511,"*e)*",'00 Encuesta'!$C$2:$C$511,"*c)*",'00 Encuesta'!$E$2:$E$511,"*a)*",'00 Encuesta'!$V$2:$V$511,"*c)*")</f>
        <v>0</v>
      </c>
      <c r="X170" s="52" t="e">
        <f>W170/$X$6*100</f>
        <v>#DIV/0!</v>
      </c>
      <c r="Y170" s="53">
        <f>COUNTIFS('00 Encuesta'!$B$2:$B$511,"*e)*",'00 Encuesta'!$C$2:$C$511,"*c)*",'00 Encuesta'!$E$2:$E$511,"*b)*",'00 Encuesta'!$V$2:$V$511,"*c)*")</f>
        <v>0</v>
      </c>
      <c r="Z170" s="52" t="e">
        <f>Y170/$X$7*100</f>
        <v>#DIV/0!</v>
      </c>
      <c r="AA170" s="3"/>
      <c r="AB170" s="62">
        <f>G170+N170+U170</f>
        <v>0</v>
      </c>
      <c r="AC170" s="52" t="e">
        <f>AB170*100/$AC$5</f>
        <v>#DIV/0!</v>
      </c>
      <c r="AD170" s="7"/>
      <c r="AE170" s="7"/>
      <c r="AF170" s="9" t="str">
        <f t="shared" si="199"/>
        <v>c) Rezo solo en situación de dificultad</v>
      </c>
      <c r="AG170" s="72" t="e">
        <f>J170</f>
        <v>#DIV/0!</v>
      </c>
      <c r="AH170" s="72" t="e">
        <f>L170</f>
        <v>#DIV/0!</v>
      </c>
      <c r="AI170" s="73" t="e">
        <f>H170</f>
        <v>#DIV/0!</v>
      </c>
      <c r="AJ170" s="73"/>
      <c r="AK170" s="76" t="e">
        <f>Q170</f>
        <v>#DIV/0!</v>
      </c>
      <c r="AL170" s="76" t="e">
        <f>S170</f>
        <v>#DIV/0!</v>
      </c>
      <c r="AM170" s="76" t="e">
        <f>O170</f>
        <v>#DIV/0!</v>
      </c>
      <c r="AN170" s="76"/>
      <c r="AO170" s="81" t="e">
        <f>X170</f>
        <v>#DIV/0!</v>
      </c>
      <c r="AP170" s="81" t="e">
        <f>Z170</f>
        <v>#DIV/0!</v>
      </c>
      <c r="AQ170" s="81" t="e">
        <f>V170</f>
        <v>#DIV/0!</v>
      </c>
      <c r="AR170" s="7"/>
      <c r="AS170" s="76" t="e">
        <f t="shared" si="174"/>
        <v>#DIV/0!</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x14ac:dyDescent="0.3">
      <c r="A171" s="8" t="s">
        <v>21</v>
      </c>
      <c r="B171" s="9" t="s">
        <v>130</v>
      </c>
      <c r="C171" s="7"/>
      <c r="D171" s="7"/>
      <c r="E171" s="7"/>
      <c r="F171" s="71"/>
      <c r="G171" s="51">
        <f>I171+K171</f>
        <v>0</v>
      </c>
      <c r="H171" s="52" t="e">
        <f>G171/$J$5*100</f>
        <v>#DIV/0!</v>
      </c>
      <c r="I171" s="53">
        <f>COUNTIFS('00 Encuesta'!$B$2:$B$511,"*e)*",'00 Encuesta'!$C$2:$C$511,"*a)*",'00 Encuesta'!$E$2:$E$511,"*a)*",'00 Encuesta'!$V$2:$V$511,"*d)*")</f>
        <v>0</v>
      </c>
      <c r="J171" s="52" t="e">
        <f>I171/$J$6*100</f>
        <v>#DIV/0!</v>
      </c>
      <c r="K171" s="53">
        <f>COUNTIFS('00 Encuesta'!$B$2:$B$511,"*e)*",'00 Encuesta'!$C$2:$C$511,"*a)*",'00 Encuesta'!$E$2:$E$511,"*b)*",'00 Encuesta'!$V$2:$V$511,"*d)*")</f>
        <v>0</v>
      </c>
      <c r="L171" s="52" t="e">
        <f>K171/$J$7*100</f>
        <v>#DIV/0!</v>
      </c>
      <c r="M171" s="23"/>
      <c r="N171" s="51">
        <f>P171+R171</f>
        <v>0</v>
      </c>
      <c r="O171" s="52" t="e">
        <f>N171/$Q$5*100</f>
        <v>#DIV/0!</v>
      </c>
      <c r="P171" s="53">
        <f>COUNTIFS('00 Encuesta'!$B$2:$B$511,"*e)*",'00 Encuesta'!$C$2:$C$511,"*b)*",'00 Encuesta'!$E$2:$E$511,"*a)*",'00 Encuesta'!$V$2:$V$511,"*d)*")</f>
        <v>0</v>
      </c>
      <c r="Q171" s="52" t="e">
        <f>P171/$Q$6*100</f>
        <v>#DIV/0!</v>
      </c>
      <c r="R171" s="53">
        <f>COUNTIFS('00 Encuesta'!$B$2:$B$511,"*e)*",'00 Encuesta'!$C$2:$C$511,"*b)*",'00 Encuesta'!$E$2:$E$511,"*b)*",'00 Encuesta'!$V$2:$V$511,"*d)*")</f>
        <v>0</v>
      </c>
      <c r="S171" s="52" t="e">
        <f>R171/$Q$7*100</f>
        <v>#DIV/0!</v>
      </c>
      <c r="T171" s="3"/>
      <c r="U171" s="51">
        <f>W171+Y171</f>
        <v>0</v>
      </c>
      <c r="V171" s="52" t="e">
        <f>U171/$X$5*100</f>
        <v>#DIV/0!</v>
      </c>
      <c r="W171" s="53">
        <f>COUNTIFS('00 Encuesta'!$B$2:$B$511,"*e)*",'00 Encuesta'!$C$2:$C$511,"*c)*",'00 Encuesta'!$E$2:$E$511,"*a)*",'00 Encuesta'!$V$2:$V$511,"*d)*")</f>
        <v>0</v>
      </c>
      <c r="X171" s="52" t="e">
        <f>W171/$X$6*100</f>
        <v>#DIV/0!</v>
      </c>
      <c r="Y171" s="53">
        <f>COUNTIFS('00 Encuesta'!$B$2:$B$511,"*e)*",'00 Encuesta'!$C$2:$C$511,"*c)*",'00 Encuesta'!$E$2:$E$511,"*b)*",'00 Encuesta'!$V$2:$V$511,"*d)*")</f>
        <v>0</v>
      </c>
      <c r="Z171" s="52" t="e">
        <f>Y171/$X$7*100</f>
        <v>#DIV/0!</v>
      </c>
      <c r="AA171" s="3"/>
      <c r="AB171" s="62">
        <f>G171+N171+U171</f>
        <v>0</v>
      </c>
      <c r="AC171" s="52" t="e">
        <f>AB171*100/$AC$5</f>
        <v>#DIV/0!</v>
      </c>
      <c r="AD171" s="3"/>
      <c r="AE171" s="3"/>
      <c r="AF171" s="9" t="str">
        <f t="shared" si="199"/>
        <v>d) No rezo nunca</v>
      </c>
      <c r="AG171" s="72" t="e">
        <f>J171</f>
        <v>#DIV/0!</v>
      </c>
      <c r="AH171" s="72" t="e">
        <f>L171</f>
        <v>#DIV/0!</v>
      </c>
      <c r="AI171" s="73" t="e">
        <f>H171</f>
        <v>#DIV/0!</v>
      </c>
      <c r="AJ171" s="73"/>
      <c r="AK171" s="76" t="e">
        <f>Q171</f>
        <v>#DIV/0!</v>
      </c>
      <c r="AL171" s="76" t="e">
        <f>S171</f>
        <v>#DIV/0!</v>
      </c>
      <c r="AM171" s="76" t="e">
        <f>O171</f>
        <v>#DIV/0!</v>
      </c>
      <c r="AN171" s="76"/>
      <c r="AO171" s="81" t="e">
        <f>X171</f>
        <v>#DIV/0!</v>
      </c>
      <c r="AP171" s="81" t="e">
        <f>Z171</f>
        <v>#DIV/0!</v>
      </c>
      <c r="AQ171" s="81" t="e">
        <f>V171</f>
        <v>#DIV/0!</v>
      </c>
      <c r="AR171" s="7"/>
      <c r="AS171" s="76" t="e">
        <f t="shared" si="174"/>
        <v>#DIV/0!</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x14ac:dyDescent="0.3">
      <c r="A172" s="8" t="s">
        <v>23</v>
      </c>
      <c r="B172" s="9" t="s">
        <v>24</v>
      </c>
      <c r="C172" s="7"/>
      <c r="D172" s="7"/>
      <c r="E172" s="7"/>
      <c r="F172" s="71"/>
      <c r="G172" s="51">
        <f>I172+K172</f>
        <v>0</v>
      </c>
      <c r="H172" s="52" t="e">
        <f>G172/$J$5*100</f>
        <v>#DIV/0!</v>
      </c>
      <c r="I172" s="53"/>
      <c r="J172" s="52" t="e">
        <f>I172/$J$6*100</f>
        <v>#DIV/0!</v>
      </c>
      <c r="K172" s="53"/>
      <c r="L172" s="52" t="e">
        <f>K172/$J$7*100</f>
        <v>#DIV/0!</v>
      </c>
      <c r="M172" s="23"/>
      <c r="N172" s="51">
        <f>P172+R172</f>
        <v>0</v>
      </c>
      <c r="O172" s="52" t="e">
        <f>N172/$Q$5*100</f>
        <v>#DIV/0!</v>
      </c>
      <c r="P172" s="53"/>
      <c r="Q172" s="52" t="e">
        <f>P172/$Q$6*100</f>
        <v>#DIV/0!</v>
      </c>
      <c r="R172" s="53"/>
      <c r="S172" s="52" t="e">
        <f>R172/$Q$7*100</f>
        <v>#DIV/0!</v>
      </c>
      <c r="T172" s="3"/>
      <c r="U172" s="51">
        <f>W172+Y172</f>
        <v>0</v>
      </c>
      <c r="V172" s="52" t="e">
        <f>U172/$X$5*100</f>
        <v>#DIV/0!</v>
      </c>
      <c r="W172" s="53"/>
      <c r="X172" s="52" t="e">
        <f>W172/$X$6*100</f>
        <v>#DIV/0!</v>
      </c>
      <c r="Y172" s="53"/>
      <c r="Z172" s="52" t="e">
        <f>Y172/$X$7*100</f>
        <v>#DIV/0!</v>
      </c>
      <c r="AA172" s="3"/>
      <c r="AB172" s="62">
        <f>G172+N172+U172</f>
        <v>0</v>
      </c>
      <c r="AC172" s="52" t="e">
        <f>AB172*100/$AC$5</f>
        <v>#DIV/0!</v>
      </c>
      <c r="AD172" s="3"/>
      <c r="AE172" s="3"/>
      <c r="AF172" s="9" t="str">
        <f t="shared" si="199"/>
        <v>S/R Sin Respuesta</v>
      </c>
      <c r="AG172" s="72" t="e">
        <f>J172</f>
        <v>#DIV/0!</v>
      </c>
      <c r="AH172" s="72" t="e">
        <f>L172</f>
        <v>#DIV/0!</v>
      </c>
      <c r="AI172" s="73" t="e">
        <f>H172</f>
        <v>#DIV/0!</v>
      </c>
      <c r="AJ172" s="73"/>
      <c r="AK172" s="76" t="e">
        <f>Q172</f>
        <v>#DIV/0!</v>
      </c>
      <c r="AL172" s="76" t="e">
        <f>S172</f>
        <v>#DIV/0!</v>
      </c>
      <c r="AM172" s="76" t="e">
        <f>O172</f>
        <v>#DIV/0!</v>
      </c>
      <c r="AN172" s="76"/>
      <c r="AO172" s="81" t="e">
        <f>X172</f>
        <v>#DIV/0!</v>
      </c>
      <c r="AP172" s="81" t="e">
        <f>Z172</f>
        <v>#DIV/0!</v>
      </c>
      <c r="AQ172" s="81" t="e">
        <f>V172</f>
        <v>#DIV/0!</v>
      </c>
      <c r="AR172" s="3"/>
      <c r="AS172" s="76" t="e">
        <f t="shared" si="174"/>
        <v>#DIV/0!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x14ac:dyDescent="0.3">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x14ac:dyDescent="0.3">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x14ac:dyDescent="0.3">
      <c r="A175" s="8" t="s">
        <v>17</v>
      </c>
      <c r="B175" s="9" t="s">
        <v>132</v>
      </c>
      <c r="C175" s="7"/>
      <c r="D175" s="7"/>
      <c r="E175" s="7"/>
      <c r="F175" s="71"/>
      <c r="G175" s="51">
        <f>I175+K175</f>
        <v>0</v>
      </c>
      <c r="H175" s="52" t="e">
        <f>G175/$J$5*100</f>
        <v>#DIV/0!</v>
      </c>
      <c r="I175" s="53">
        <f>COUNTIFS('00 Encuesta'!$B$2:$B$511,"*e)*",'00 Encuesta'!$C$2:$C$511,"*a)*",'00 Encuesta'!$E$2:$E$511,"*a)*",'00 Encuesta'!$W$2:$W$511,"*a)*")</f>
        <v>0</v>
      </c>
      <c r="J175" s="52" t="e">
        <f>I175/$J$6*100</f>
        <v>#DIV/0!</v>
      </c>
      <c r="K175" s="53">
        <f>COUNTIFS('00 Encuesta'!$B$2:$B$511,"*e)*",'00 Encuesta'!$C$2:$C$511,"*a)*",'00 Encuesta'!$E$2:$E$511,"*b)*",'00 Encuesta'!$W$2:$W$511,"*a)*")</f>
        <v>0</v>
      </c>
      <c r="L175" s="52" t="e">
        <f>K175/$J$7*100</f>
        <v>#DIV/0!</v>
      </c>
      <c r="M175" s="23"/>
      <c r="N175" s="51">
        <f>P175+R175</f>
        <v>0</v>
      </c>
      <c r="O175" s="52" t="e">
        <f>N175/$Q$5*100</f>
        <v>#DIV/0!</v>
      </c>
      <c r="P175" s="53">
        <f>COUNTIFS('00 Encuesta'!$B$2:$B$511,"*e)*",'00 Encuesta'!$C$2:$C$511,"*b)*",'00 Encuesta'!$E$2:$E$511,"*a)*",'00 Encuesta'!$W$2:$W$511,"*a)*")</f>
        <v>0</v>
      </c>
      <c r="Q175" s="52" t="e">
        <f>P175/$Q$6*100</f>
        <v>#DIV/0!</v>
      </c>
      <c r="R175" s="53">
        <f>COUNTIFS('00 Encuesta'!$B$2:$B$511,"*e)*",'00 Encuesta'!$C$2:$C$511,"*b)*",'00 Encuesta'!$E$2:$E$511,"*b)*",'00 Encuesta'!$W$2:$W$511,"*a)*")</f>
        <v>0</v>
      </c>
      <c r="S175" s="52" t="e">
        <f>R175/$Q$7*100</f>
        <v>#DIV/0!</v>
      </c>
      <c r="T175" s="3"/>
      <c r="U175" s="51">
        <f>W175+Y175</f>
        <v>0</v>
      </c>
      <c r="V175" s="52" t="e">
        <f>U175/$X$5*100</f>
        <v>#DIV/0!</v>
      </c>
      <c r="W175" s="53">
        <f>COUNTIFS('00 Encuesta'!$B$2:$B$511,"*e)*",'00 Encuesta'!$C$2:$C$511,"*c)*",'00 Encuesta'!$E$2:$E$511,"*a)*",'00 Encuesta'!$W$2:$W$511,"*a)*")</f>
        <v>0</v>
      </c>
      <c r="X175" s="52" t="e">
        <f>W175/$X$6*100</f>
        <v>#DIV/0!</v>
      </c>
      <c r="Y175" s="53">
        <f>COUNTIFS('00 Encuesta'!$B$2:$B$511,"*e)*",'00 Encuesta'!$C$2:$C$511,"*c)*",'00 Encuesta'!$E$2:$E$511,"*b)*",'00 Encuesta'!$W$2:$W$511,"*a)*")</f>
        <v>0</v>
      </c>
      <c r="Z175" s="52" t="e">
        <f>Y175/$X$7*100</f>
        <v>#DIV/0!</v>
      </c>
      <c r="AA175" s="3"/>
      <c r="AB175" s="62">
        <f>G175+N175+U175</f>
        <v>0</v>
      </c>
      <c r="AC175" s="52" t="e">
        <f>AB175*100/$AC$5</f>
        <v>#DIV/0!</v>
      </c>
      <c r="AD175" s="3"/>
      <c r="AE175" s="3"/>
      <c r="AF175" s="9" t="str">
        <f t="shared" si="200"/>
        <v>a) Todos los domingos</v>
      </c>
      <c r="AG175" s="72" t="e">
        <f>J175</f>
        <v>#DIV/0!</v>
      </c>
      <c r="AH175" s="72" t="e">
        <f>L175</f>
        <v>#DIV/0!</v>
      </c>
      <c r="AI175" s="73" t="e">
        <f>H175</f>
        <v>#DIV/0!</v>
      </c>
      <c r="AJ175" s="73"/>
      <c r="AK175" s="76" t="e">
        <f>Q175</f>
        <v>#DIV/0!</v>
      </c>
      <c r="AL175" s="76" t="e">
        <f>S175</f>
        <v>#DIV/0!</v>
      </c>
      <c r="AM175" s="76" t="e">
        <f>O175</f>
        <v>#DIV/0!</v>
      </c>
      <c r="AN175" s="76"/>
      <c r="AO175" s="81" t="e">
        <f>X175</f>
        <v>#DIV/0!</v>
      </c>
      <c r="AP175" s="81" t="e">
        <f>Z175</f>
        <v>#DIV/0!</v>
      </c>
      <c r="AQ175" s="81" t="e">
        <f>V175</f>
        <v>#DIV/0!</v>
      </c>
      <c r="AR175" s="3"/>
      <c r="AS175" s="76" t="e">
        <f t="shared" si="174"/>
        <v>#DIV/0!</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x14ac:dyDescent="0.3">
      <c r="A176" s="8" t="s">
        <v>18</v>
      </c>
      <c r="B176" s="9" t="s">
        <v>133</v>
      </c>
      <c r="C176" s="7"/>
      <c r="D176" s="7"/>
      <c r="E176" s="7"/>
      <c r="F176" s="71"/>
      <c r="G176" s="51">
        <f>I176+K176</f>
        <v>0</v>
      </c>
      <c r="H176" s="52" t="e">
        <f>G176/$J$5*100</f>
        <v>#DIV/0!</v>
      </c>
      <c r="I176" s="53">
        <f>COUNTIFS('00 Encuesta'!$B$2:$B$511,"*e)*",'00 Encuesta'!$C$2:$C$511,"*a)*",'00 Encuesta'!$E$2:$E$511,"*a)*",'00 Encuesta'!$W$2:$W$511,"*b)*")</f>
        <v>0</v>
      </c>
      <c r="J176" s="52" t="e">
        <f>I176/$J$6*100</f>
        <v>#DIV/0!</v>
      </c>
      <c r="K176" s="53">
        <f>COUNTIFS('00 Encuesta'!$B$2:$B$511,"*e)*",'00 Encuesta'!$C$2:$C$511,"*a)*",'00 Encuesta'!$E$2:$E$511,"*b)*",'00 Encuesta'!$W$2:$W$511,"*b)*")</f>
        <v>0</v>
      </c>
      <c r="L176" s="52" t="e">
        <f>K176/$J$7*100</f>
        <v>#DIV/0!</v>
      </c>
      <c r="M176" s="23"/>
      <c r="N176" s="51">
        <f>P176+R176</f>
        <v>0</v>
      </c>
      <c r="O176" s="52" t="e">
        <f>N176/$Q$5*100</f>
        <v>#DIV/0!</v>
      </c>
      <c r="P176" s="53">
        <f>COUNTIFS('00 Encuesta'!$B$2:$B$511,"*e)*",'00 Encuesta'!$C$2:$C$511,"*b)*",'00 Encuesta'!$E$2:$E$511,"*a)*",'00 Encuesta'!$W$2:$W$511,"*b)*")</f>
        <v>0</v>
      </c>
      <c r="Q176" s="52" t="e">
        <f>P176/$Q$6*100</f>
        <v>#DIV/0!</v>
      </c>
      <c r="R176" s="53">
        <f>COUNTIFS('00 Encuesta'!$B$2:$B$511,"*e)*",'00 Encuesta'!$C$2:$C$511,"*b)*",'00 Encuesta'!$E$2:$E$511,"*b)*",'00 Encuesta'!$W$2:$W$511,"*b)*")</f>
        <v>0</v>
      </c>
      <c r="S176" s="52" t="e">
        <f>R176/$Q$7*100</f>
        <v>#DIV/0!</v>
      </c>
      <c r="T176" s="3"/>
      <c r="U176" s="51">
        <f>W176+Y176</f>
        <v>0</v>
      </c>
      <c r="V176" s="52" t="e">
        <f>U176/$X$5*100</f>
        <v>#DIV/0!</v>
      </c>
      <c r="W176" s="53">
        <f>COUNTIFS('00 Encuesta'!$B$2:$B$511,"*e)*",'00 Encuesta'!$C$2:$C$511,"*c)*",'00 Encuesta'!$E$2:$E$511,"*a)*",'00 Encuesta'!$W$2:$W$511,"*b)*")</f>
        <v>0</v>
      </c>
      <c r="X176" s="52" t="e">
        <f>W176/$X$6*100</f>
        <v>#DIV/0!</v>
      </c>
      <c r="Y176" s="53">
        <f>COUNTIFS('00 Encuesta'!$B$2:$B$511,"*e)*",'00 Encuesta'!$C$2:$C$511,"*c)*",'00 Encuesta'!$E$2:$E$511,"*b)*",'00 Encuesta'!$W$2:$W$511,"*b)*")</f>
        <v>0</v>
      </c>
      <c r="Z176" s="52" t="e">
        <f>Y176/$X$7*100</f>
        <v>#DIV/0!</v>
      </c>
      <c r="AA176" s="3"/>
      <c r="AB176" s="62">
        <f>G176+N176+U176</f>
        <v>0</v>
      </c>
      <c r="AC176" s="52" t="e">
        <f>AB176*100/$AC$5</f>
        <v>#DIV/0!</v>
      </c>
      <c r="AD176" s="3"/>
      <c r="AE176" s="3"/>
      <c r="AF176" s="9" t="str">
        <f t="shared" si="200"/>
        <v>b) Algunos domingos</v>
      </c>
      <c r="AG176" s="72" t="e">
        <f>J176</f>
        <v>#DIV/0!</v>
      </c>
      <c r="AH176" s="72" t="e">
        <f>L176</f>
        <v>#DIV/0!</v>
      </c>
      <c r="AI176" s="73" t="e">
        <f>H176</f>
        <v>#DIV/0!</v>
      </c>
      <c r="AJ176" s="73"/>
      <c r="AK176" s="76" t="e">
        <f>Q176</f>
        <v>#DIV/0!</v>
      </c>
      <c r="AL176" s="76" t="e">
        <f>S176</f>
        <v>#DIV/0!</v>
      </c>
      <c r="AM176" s="76" t="e">
        <f>O176</f>
        <v>#DIV/0!</v>
      </c>
      <c r="AN176" s="76"/>
      <c r="AO176" s="81" t="e">
        <f>X176</f>
        <v>#DIV/0!</v>
      </c>
      <c r="AP176" s="81" t="e">
        <f>Z176</f>
        <v>#DIV/0!</v>
      </c>
      <c r="AQ176" s="81" t="e">
        <f>V176</f>
        <v>#DIV/0!</v>
      </c>
      <c r="AR176" s="3"/>
      <c r="AS176" s="76" t="e">
        <f t="shared" si="174"/>
        <v>#DIV/0!</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0</v>
      </c>
      <c r="H177" s="52" t="e">
        <f>G177/$J$5*100</f>
        <v>#DIV/0!</v>
      </c>
      <c r="I177" s="53">
        <f>COUNTIFS('00 Encuesta'!$B$2:$B$511,"*e)*",'00 Encuesta'!$C$2:$C$511,"*a)*",'00 Encuesta'!$E$2:$E$511,"*a)*",'00 Encuesta'!$W$2:$W$511,"*c)*")</f>
        <v>0</v>
      </c>
      <c r="J177" s="52" t="e">
        <f>I177/$J$6*100</f>
        <v>#DIV/0!</v>
      </c>
      <c r="K177" s="53">
        <f>COUNTIFS('00 Encuesta'!$B$2:$B$511,"*e)*",'00 Encuesta'!$C$2:$C$511,"*a)*",'00 Encuesta'!$E$2:$E$511,"*b)*",'00 Encuesta'!$W$2:$W$511,"*c)*")</f>
        <v>0</v>
      </c>
      <c r="L177" s="52" t="e">
        <f>K177/$J$7*100</f>
        <v>#DIV/0!</v>
      </c>
      <c r="M177" s="23"/>
      <c r="N177" s="51">
        <f>P177+R177</f>
        <v>0</v>
      </c>
      <c r="O177" s="52" t="e">
        <f>N177/$Q$5*100</f>
        <v>#DIV/0!</v>
      </c>
      <c r="P177" s="53">
        <f>COUNTIFS('00 Encuesta'!$B$2:$B$511,"*e)*",'00 Encuesta'!$C$2:$C$511,"*b)*",'00 Encuesta'!$E$2:$E$511,"*a)*",'00 Encuesta'!$W$2:$W$511,"*c)*")</f>
        <v>0</v>
      </c>
      <c r="Q177" s="52" t="e">
        <f>P177/$Q$6*100</f>
        <v>#DIV/0!</v>
      </c>
      <c r="R177" s="53">
        <f>COUNTIFS('00 Encuesta'!$B$2:$B$511,"*e)*",'00 Encuesta'!$C$2:$C$511,"*b)*",'00 Encuesta'!$E$2:$E$511,"*b)*",'00 Encuesta'!$W$2:$W$511,"*c)*")</f>
        <v>0</v>
      </c>
      <c r="S177" s="52" t="e">
        <f>R177/$Q$7*100</f>
        <v>#DIV/0!</v>
      </c>
      <c r="T177" s="3"/>
      <c r="U177" s="51">
        <f>W177+Y177</f>
        <v>0</v>
      </c>
      <c r="V177" s="52" t="e">
        <f>U177/$X$5*100</f>
        <v>#DIV/0!</v>
      </c>
      <c r="W177" s="53">
        <f>COUNTIFS('00 Encuesta'!$B$2:$B$511,"*e)*",'00 Encuesta'!$C$2:$C$511,"*c)*",'00 Encuesta'!$E$2:$E$511,"*a)*",'00 Encuesta'!$W$2:$W$511,"*c)*")</f>
        <v>0</v>
      </c>
      <c r="X177" s="52" t="e">
        <f>W177/$X$6*100</f>
        <v>#DIV/0!</v>
      </c>
      <c r="Y177" s="53">
        <f>COUNTIFS('00 Encuesta'!$B$2:$B$511,"*e)*",'00 Encuesta'!$C$2:$C$511,"*c)*",'00 Encuesta'!$E$2:$E$511,"*b)*",'00 Encuesta'!$W$2:$W$511,"*c)*")</f>
        <v>0</v>
      </c>
      <c r="Z177" s="52" t="e">
        <f>Y177/$X$7*100</f>
        <v>#DIV/0!</v>
      </c>
      <c r="AA177" s="3"/>
      <c r="AB177" s="62">
        <f>G177+N177+U177</f>
        <v>0</v>
      </c>
      <c r="AC177" s="52" t="e">
        <f>AB177*100/$AC$5</f>
        <v>#DIV/0!</v>
      </c>
      <c r="AD177" s="3"/>
      <c r="AE177" s="3"/>
      <c r="AF177" s="9" t="str">
        <f t="shared" si="200"/>
        <v>c) Sólo en fechas especiales</v>
      </c>
      <c r="AG177" s="72" t="e">
        <f>J177</f>
        <v>#DIV/0!</v>
      </c>
      <c r="AH177" s="72" t="e">
        <f>L177</f>
        <v>#DIV/0!</v>
      </c>
      <c r="AI177" s="73" t="e">
        <f>H177</f>
        <v>#DIV/0!</v>
      </c>
      <c r="AJ177" s="73"/>
      <c r="AK177" s="76" t="e">
        <f>Q177</f>
        <v>#DIV/0!</v>
      </c>
      <c r="AL177" s="76" t="e">
        <f>S177</f>
        <v>#DIV/0!</v>
      </c>
      <c r="AM177" s="76" t="e">
        <f>O177</f>
        <v>#DIV/0!</v>
      </c>
      <c r="AN177" s="76"/>
      <c r="AO177" s="81" t="e">
        <f>X177</f>
        <v>#DIV/0!</v>
      </c>
      <c r="AP177" s="81" t="e">
        <f>Z177</f>
        <v>#DIV/0!</v>
      </c>
      <c r="AQ177" s="81" t="e">
        <f>V177</f>
        <v>#DIV/0!</v>
      </c>
      <c r="AR177" s="3"/>
      <c r="AS177" s="76" t="e">
        <f t="shared" si="174"/>
        <v>#DIV/0!</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x14ac:dyDescent="0.3">
      <c r="A178" s="8" t="s">
        <v>21</v>
      </c>
      <c r="B178" s="9" t="s">
        <v>135</v>
      </c>
      <c r="C178" s="7"/>
      <c r="D178" s="7"/>
      <c r="E178" s="7"/>
      <c r="F178" s="71"/>
      <c r="G178" s="51">
        <f>I178+K178</f>
        <v>0</v>
      </c>
      <c r="H178" s="52" t="e">
        <f>G178/$J$5*100</f>
        <v>#DIV/0!</v>
      </c>
      <c r="I178" s="53">
        <f>COUNTIFS('00 Encuesta'!$B$2:$B$511,"*e)*",'00 Encuesta'!$C$2:$C$511,"*a)*",'00 Encuesta'!$E$2:$E$511,"*a)*",'00 Encuesta'!$W$2:$W$511,"*d)*")</f>
        <v>0</v>
      </c>
      <c r="J178" s="52" t="e">
        <f>I178/$J$6*100</f>
        <v>#DIV/0!</v>
      </c>
      <c r="K178" s="53">
        <f>COUNTIFS('00 Encuesta'!$B$2:$B$511,"*e)*",'00 Encuesta'!$C$2:$C$511,"*a)*",'00 Encuesta'!$E$2:$E$511,"*b)*",'00 Encuesta'!$W$2:$W$511,"*d)*")</f>
        <v>0</v>
      </c>
      <c r="L178" s="52" t="e">
        <f>K178/$J$7*100</f>
        <v>#DIV/0!</v>
      </c>
      <c r="M178" s="23"/>
      <c r="N178" s="51">
        <f>P178+R178</f>
        <v>0</v>
      </c>
      <c r="O178" s="52" t="e">
        <f>N178/$Q$5*100</f>
        <v>#DIV/0!</v>
      </c>
      <c r="P178" s="53">
        <f>COUNTIFS('00 Encuesta'!$B$2:$B$511,"*e)*",'00 Encuesta'!$C$2:$C$511,"*b)*",'00 Encuesta'!$E$2:$E$511,"*a)*",'00 Encuesta'!$W$2:$W$511,"*d)*")</f>
        <v>0</v>
      </c>
      <c r="Q178" s="52" t="e">
        <f>P178/$Q$6*100</f>
        <v>#DIV/0!</v>
      </c>
      <c r="R178" s="53">
        <f>COUNTIFS('00 Encuesta'!$B$2:$B$511,"*e)*",'00 Encuesta'!$C$2:$C$511,"*b)*",'00 Encuesta'!$E$2:$E$511,"*b)*",'00 Encuesta'!$W$2:$W$511,"*d)*")</f>
        <v>0</v>
      </c>
      <c r="S178" s="52" t="e">
        <f>R178/$Q$7*100</f>
        <v>#DIV/0!</v>
      </c>
      <c r="T178" s="3"/>
      <c r="U178" s="51">
        <f>W178+Y178</f>
        <v>0</v>
      </c>
      <c r="V178" s="52" t="e">
        <f>U178/$X$5*100</f>
        <v>#DIV/0!</v>
      </c>
      <c r="W178" s="53">
        <f>COUNTIFS('00 Encuesta'!$B$2:$B$511,"*e)*",'00 Encuesta'!$C$2:$C$511,"*c)*",'00 Encuesta'!$E$2:$E$511,"*a)*",'00 Encuesta'!$W$2:$W$511,"*d)*")</f>
        <v>0</v>
      </c>
      <c r="X178" s="52" t="e">
        <f>W178/$X$6*100</f>
        <v>#DIV/0!</v>
      </c>
      <c r="Y178" s="53">
        <f>COUNTIFS('00 Encuesta'!$B$2:$B$511,"*e)*",'00 Encuesta'!$C$2:$C$511,"*c)*",'00 Encuesta'!$E$2:$E$511,"*b)*",'00 Encuesta'!$W$2:$W$511,"*d)*")</f>
        <v>0</v>
      </c>
      <c r="Z178" s="52" t="e">
        <f>Y178/$X$7*100</f>
        <v>#DIV/0!</v>
      </c>
      <c r="AA178" s="3"/>
      <c r="AB178" s="62">
        <f>G178+N178+U178</f>
        <v>0</v>
      </c>
      <c r="AC178" s="52" t="e">
        <f>AB178*100/$AC$5</f>
        <v>#DIV/0!</v>
      </c>
      <c r="AD178" s="7"/>
      <c r="AE178" s="7"/>
      <c r="AF178" s="9" t="str">
        <f t="shared" si="200"/>
        <v>d) Nunca</v>
      </c>
      <c r="AG178" s="72" t="e">
        <f>J178</f>
        <v>#DIV/0!</v>
      </c>
      <c r="AH178" s="72" t="e">
        <f>L178</f>
        <v>#DIV/0!</v>
      </c>
      <c r="AI178" s="73" t="e">
        <f>H178</f>
        <v>#DIV/0!</v>
      </c>
      <c r="AJ178" s="73"/>
      <c r="AK178" s="76" t="e">
        <f>Q178</f>
        <v>#DIV/0!</v>
      </c>
      <c r="AL178" s="76" t="e">
        <f>S178</f>
        <v>#DIV/0!</v>
      </c>
      <c r="AM178" s="76" t="e">
        <f>O178</f>
        <v>#DIV/0!</v>
      </c>
      <c r="AN178" s="76"/>
      <c r="AO178" s="81" t="e">
        <f>X178</f>
        <v>#DIV/0!</v>
      </c>
      <c r="AP178" s="81" t="e">
        <f>Z178</f>
        <v>#DIV/0!</v>
      </c>
      <c r="AQ178" s="81" t="e">
        <f>V178</f>
        <v>#DIV/0!</v>
      </c>
      <c r="AR178" s="3"/>
      <c r="AS178" s="76" t="e">
        <f t="shared" si="174"/>
        <v>#DIV/0!</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x14ac:dyDescent="0.3">
      <c r="A179" s="8" t="s">
        <v>23</v>
      </c>
      <c r="B179" s="9" t="s">
        <v>24</v>
      </c>
      <c r="C179" s="7"/>
      <c r="D179" s="7"/>
      <c r="E179" s="7"/>
      <c r="F179" s="71"/>
      <c r="G179" s="51">
        <f>I179+K179</f>
        <v>0</v>
      </c>
      <c r="H179" s="52" t="e">
        <f>G179/$J$5*100</f>
        <v>#DIV/0!</v>
      </c>
      <c r="I179" s="53"/>
      <c r="J179" s="52" t="e">
        <f>I179/$J$6*100</f>
        <v>#DIV/0!</v>
      </c>
      <c r="K179" s="53"/>
      <c r="L179" s="52" t="e">
        <f>K179/$J$7*100</f>
        <v>#DIV/0!</v>
      </c>
      <c r="M179" s="23"/>
      <c r="N179" s="51">
        <f>P179+R179</f>
        <v>0</v>
      </c>
      <c r="O179" s="52" t="e">
        <f>N179/$Q$5*100</f>
        <v>#DIV/0!</v>
      </c>
      <c r="P179" s="53"/>
      <c r="Q179" s="52" t="e">
        <f>P179/$Q$6*100</f>
        <v>#DIV/0!</v>
      </c>
      <c r="R179" s="53"/>
      <c r="S179" s="52" t="e">
        <f>R179/$Q$7*100</f>
        <v>#DIV/0!</v>
      </c>
      <c r="T179" s="3"/>
      <c r="U179" s="51">
        <f>W179+Y179</f>
        <v>0</v>
      </c>
      <c r="V179" s="52" t="e">
        <f>U179/$X$5*100</f>
        <v>#DIV/0!</v>
      </c>
      <c r="W179" s="53"/>
      <c r="X179" s="52" t="e">
        <f>W179/$X$6*100</f>
        <v>#DIV/0!</v>
      </c>
      <c r="Y179" s="53"/>
      <c r="Z179" s="52" t="e">
        <f>Y179/$X$7*100</f>
        <v>#DIV/0!</v>
      </c>
      <c r="AA179" s="3"/>
      <c r="AB179" s="62">
        <f>G179+N179+U179</f>
        <v>0</v>
      </c>
      <c r="AC179" s="52" t="e">
        <f>AB179*100/$AC$5</f>
        <v>#DIV/0!</v>
      </c>
      <c r="AD179" s="3"/>
      <c r="AE179" s="3"/>
      <c r="AF179" s="9" t="str">
        <f t="shared" si="200"/>
        <v>S/R Sin Respuesta</v>
      </c>
      <c r="AG179" s="72" t="e">
        <f>J179</f>
        <v>#DIV/0!</v>
      </c>
      <c r="AH179" s="72" t="e">
        <f>L179</f>
        <v>#DIV/0!</v>
      </c>
      <c r="AI179" s="73" t="e">
        <f>H179</f>
        <v>#DIV/0!</v>
      </c>
      <c r="AJ179" s="73"/>
      <c r="AK179" s="76" t="e">
        <f>Q179</f>
        <v>#DIV/0!</v>
      </c>
      <c r="AL179" s="76" t="e">
        <f>S179</f>
        <v>#DIV/0!</v>
      </c>
      <c r="AM179" s="76" t="e">
        <f>O179</f>
        <v>#DIV/0!</v>
      </c>
      <c r="AN179" s="76"/>
      <c r="AO179" s="81" t="e">
        <f>X179</f>
        <v>#DIV/0!</v>
      </c>
      <c r="AP179" s="81" t="e">
        <f>Z179</f>
        <v>#DIV/0!</v>
      </c>
      <c r="AQ179" s="81" t="e">
        <f>V179</f>
        <v>#DIV/0!</v>
      </c>
      <c r="AR179" s="7"/>
      <c r="AS179" s="76" t="e">
        <f t="shared" si="174"/>
        <v>#DIV/0!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x14ac:dyDescent="0.3">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x14ac:dyDescent="0.3">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0</v>
      </c>
      <c r="H182" s="52" t="e">
        <f t="shared" ref="H182:H191" si="202">G182/$J$5*100</f>
        <v>#DIV/0!</v>
      </c>
      <c r="I182" s="53">
        <f>COUNTIFS('00 Encuesta'!$B$2:$B$511,"*e)*",'00 Encuesta'!$C$2:$C$511,"*a)*",'00 Encuesta'!$E$2:$E$511,"*a)*",'00 Encuesta'!$X$2:$X$511,"*a)*")</f>
        <v>0</v>
      </c>
      <c r="J182" s="52" t="e">
        <f t="shared" ref="J182:J191" si="203">I182/$J$6*100</f>
        <v>#DIV/0!</v>
      </c>
      <c r="K182" s="53">
        <f>COUNTIFS('00 Encuesta'!$B$2:$B$511,"*e)*",'00 Encuesta'!$C$2:$C$511,"*a)*",'00 Encuesta'!$E$2:$E$511,"*b)*",'00 Encuesta'!$X$2:$X$511,"*a)*")</f>
        <v>0</v>
      </c>
      <c r="L182" s="52" t="e">
        <f t="shared" ref="L182:L191" si="204">K182/$J$7*100</f>
        <v>#DIV/0!</v>
      </c>
      <c r="M182" s="23"/>
      <c r="N182" s="51">
        <f t="shared" ref="N182:N191" si="205">P182+R182</f>
        <v>0</v>
      </c>
      <c r="O182" s="52" t="e">
        <f t="shared" ref="O182:O191" si="206">N182/$Q$5*100</f>
        <v>#DIV/0!</v>
      </c>
      <c r="P182" s="53">
        <f>COUNTIFS('00 Encuesta'!$B$2:$B$511,"*e)*",'00 Encuesta'!$C$2:$C$511,"*b)*",'00 Encuesta'!$E$2:$E$511,"*a)*",'00 Encuesta'!$X$2:$X$511,"*a)*")</f>
        <v>0</v>
      </c>
      <c r="Q182" s="52" t="e">
        <f t="shared" ref="Q182:Q191" si="207">P182/$Q$6*100</f>
        <v>#DIV/0!</v>
      </c>
      <c r="R182" s="53">
        <f>COUNTIFS('00 Encuesta'!$B$2:$B$511,"*e)*",'00 Encuesta'!$C$2:$C$511,"*b)*",'00 Encuesta'!$E$2:$E$511,"*b)*",'00 Encuesta'!$X$2:$X$511,"*a)*")</f>
        <v>0</v>
      </c>
      <c r="S182" s="52" t="e">
        <f t="shared" ref="S182:S191" si="208">R182/$Q$7*100</f>
        <v>#DIV/0!</v>
      </c>
      <c r="T182" s="3"/>
      <c r="U182" s="51">
        <f t="shared" ref="U182:U191" si="209">W182+Y182</f>
        <v>0</v>
      </c>
      <c r="V182" s="52" t="e">
        <f t="shared" ref="V182:V191" si="210">U182/$X$5*100</f>
        <v>#DIV/0!</v>
      </c>
      <c r="W182" s="53">
        <f>COUNTIFS('00 Encuesta'!$B$2:$B$511,"*e)*",'00 Encuesta'!$C$2:$C$511,"*c)*",'00 Encuesta'!$E$2:$E$511,"*a)*",'00 Encuesta'!$X$2:$X$511,"*a)*")</f>
        <v>0</v>
      </c>
      <c r="X182" s="52" t="e">
        <f t="shared" ref="X182:X191" si="211">W182/$X$6*100</f>
        <v>#DIV/0!</v>
      </c>
      <c r="Y182" s="53">
        <f>COUNTIFS('00 Encuesta'!$B$2:$B$511,"*e)*",'00 Encuesta'!$C$2:$C$511,"*c)*",'00 Encuesta'!$E$2:$E$511,"*b)*",'00 Encuesta'!$X$2:$X$511,"*a)*")</f>
        <v>0</v>
      </c>
      <c r="Z182" s="52" t="e">
        <f t="shared" ref="Z182:Z191" si="212">Y182/$X$7*100</f>
        <v>#DIV/0!</v>
      </c>
      <c r="AA182" s="3"/>
      <c r="AB182" s="62">
        <f t="shared" ref="AB182:AB191" si="213">G182+N182+U182</f>
        <v>0</v>
      </c>
      <c r="AC182" s="52" t="e">
        <f t="shared" ref="AC182:AC191" si="214">AB182*100/$AC$5</f>
        <v>#DIV/0!</v>
      </c>
      <c r="AD182" s="3"/>
      <c r="AE182" s="3"/>
      <c r="AF182" s="9" t="str">
        <f t="shared" ref="AF182:AF191" si="215">A182&amp;" "&amp;B182</f>
        <v>a) Suelo llevar una cruz o algún objeto religioso</v>
      </c>
      <c r="AG182" s="72" t="e">
        <f t="shared" ref="AG182:AG191" si="216">J182</f>
        <v>#DIV/0!</v>
      </c>
      <c r="AH182" s="72" t="e">
        <f t="shared" ref="AH182:AH191" si="217">L182</f>
        <v>#DIV/0!</v>
      </c>
      <c r="AI182" s="73" t="e">
        <f t="shared" ref="AI182:AI191" si="218">H182</f>
        <v>#DIV/0!</v>
      </c>
      <c r="AJ182" s="73"/>
      <c r="AK182" s="76" t="e">
        <f t="shared" ref="AK182:AK191" si="219">Q182</f>
        <v>#DIV/0!</v>
      </c>
      <c r="AL182" s="76" t="e">
        <f t="shared" ref="AL182:AL191" si="220">S182</f>
        <v>#DIV/0!</v>
      </c>
      <c r="AM182" s="76" t="e">
        <f t="shared" ref="AM182:AM191" si="221">O182</f>
        <v>#DIV/0!</v>
      </c>
      <c r="AN182" s="76"/>
      <c r="AO182" s="81" t="e">
        <f t="shared" ref="AO182:AO191" si="222">X182</f>
        <v>#DIV/0!</v>
      </c>
      <c r="AP182" s="81" t="e">
        <f t="shared" ref="AP182:AP191" si="223">Z182</f>
        <v>#DIV/0!</v>
      </c>
      <c r="AQ182" s="81" t="e">
        <f t="shared" ref="AQ182:AQ191" si="224">V182</f>
        <v>#DIV/0!</v>
      </c>
      <c r="AR182" s="3"/>
      <c r="AS182" s="76" t="e">
        <f t="shared" si="174"/>
        <v>#DIV/0!</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x14ac:dyDescent="0.3">
      <c r="A183" s="8" t="s">
        <v>18</v>
      </c>
      <c r="B183" s="9" t="s">
        <v>138</v>
      </c>
      <c r="C183" s="7"/>
      <c r="D183" s="7"/>
      <c r="E183" s="7"/>
      <c r="F183" s="71"/>
      <c r="G183" s="51">
        <f t="shared" si="201"/>
        <v>0</v>
      </c>
      <c r="H183" s="52" t="e">
        <f t="shared" si="202"/>
        <v>#DIV/0!</v>
      </c>
      <c r="I183" s="53">
        <f>COUNTIFS('00 Encuesta'!$B$2:$B$511,"*e)*",'00 Encuesta'!$C$2:$C$511,"*a)*",'00 Encuesta'!$E$2:$E$511,"*a)*",'00 Encuesta'!$X$2:$X$511,"*b)*")</f>
        <v>0</v>
      </c>
      <c r="J183" s="52" t="e">
        <f t="shared" si="203"/>
        <v>#DIV/0!</v>
      </c>
      <c r="K183" s="53">
        <f>COUNTIFS('00 Encuesta'!$B$2:$B$511,"*e)*",'00 Encuesta'!$C$2:$C$511,"*a)*",'00 Encuesta'!$E$2:$E$511,"*b)*",'00 Encuesta'!$X$2:$X$511,"*b)*")</f>
        <v>0</v>
      </c>
      <c r="L183" s="52" t="e">
        <f t="shared" si="204"/>
        <v>#DIV/0!</v>
      </c>
      <c r="M183" s="23"/>
      <c r="N183" s="51">
        <f t="shared" si="205"/>
        <v>0</v>
      </c>
      <c r="O183" s="52" t="e">
        <f t="shared" si="206"/>
        <v>#DIV/0!</v>
      </c>
      <c r="P183" s="53">
        <f>COUNTIFS('00 Encuesta'!$B$2:$B$511,"*e)*",'00 Encuesta'!$C$2:$C$511,"*b)*",'00 Encuesta'!$E$2:$E$511,"*a)*",'00 Encuesta'!$X$2:$X$511,"*b)*")</f>
        <v>0</v>
      </c>
      <c r="Q183" s="52" t="e">
        <f t="shared" si="207"/>
        <v>#DIV/0!</v>
      </c>
      <c r="R183" s="53">
        <f>COUNTIFS('00 Encuesta'!$B$2:$B$511,"*e)*",'00 Encuesta'!$C$2:$C$511,"*b)*",'00 Encuesta'!$E$2:$E$511,"*b)*",'00 Encuesta'!$X$2:$X$511,"*b)*")</f>
        <v>0</v>
      </c>
      <c r="S183" s="52" t="e">
        <f t="shared" si="208"/>
        <v>#DIV/0!</v>
      </c>
      <c r="T183" s="3"/>
      <c r="U183" s="51">
        <f t="shared" si="209"/>
        <v>0</v>
      </c>
      <c r="V183" s="52" t="e">
        <f t="shared" si="210"/>
        <v>#DIV/0!</v>
      </c>
      <c r="W183" s="53">
        <f>COUNTIFS('00 Encuesta'!$B$2:$B$511,"*e)*",'00 Encuesta'!$C$2:$C$511,"*c)*",'00 Encuesta'!$E$2:$E$511,"*a)*",'00 Encuesta'!$X$2:$X$511,"*b)*")</f>
        <v>0</v>
      </c>
      <c r="X183" s="52" t="e">
        <f t="shared" si="211"/>
        <v>#DIV/0!</v>
      </c>
      <c r="Y183" s="53">
        <f>COUNTIFS('00 Encuesta'!$B$2:$B$511,"*e)*",'00 Encuesta'!$C$2:$C$511,"*c)*",'00 Encuesta'!$E$2:$E$511,"*b)*",'00 Encuesta'!$X$2:$X$511,"*b)*")</f>
        <v>0</v>
      </c>
      <c r="Z183" s="52" t="e">
        <f t="shared" si="212"/>
        <v>#DIV/0!</v>
      </c>
      <c r="AA183" s="3"/>
      <c r="AB183" s="62">
        <f t="shared" si="213"/>
        <v>0</v>
      </c>
      <c r="AC183" s="52" t="e">
        <f t="shared" si="214"/>
        <v>#DIV/0!</v>
      </c>
      <c r="AD183" s="3"/>
      <c r="AE183" s="3"/>
      <c r="AF183" s="9" t="str">
        <f t="shared" si="215"/>
        <v>b) Suelo bendecir los alimentos antes de comer</v>
      </c>
      <c r="AG183" s="72" t="e">
        <f t="shared" si="216"/>
        <v>#DIV/0!</v>
      </c>
      <c r="AH183" s="72" t="e">
        <f t="shared" si="217"/>
        <v>#DIV/0!</v>
      </c>
      <c r="AI183" s="73" t="e">
        <f t="shared" si="218"/>
        <v>#DIV/0!</v>
      </c>
      <c r="AJ183" s="73"/>
      <c r="AK183" s="76" t="e">
        <f t="shared" si="219"/>
        <v>#DIV/0!</v>
      </c>
      <c r="AL183" s="76" t="e">
        <f t="shared" si="220"/>
        <v>#DIV/0!</v>
      </c>
      <c r="AM183" s="76" t="e">
        <f t="shared" si="221"/>
        <v>#DIV/0!</v>
      </c>
      <c r="AN183" s="76"/>
      <c r="AO183" s="81" t="e">
        <f t="shared" si="222"/>
        <v>#DIV/0!</v>
      </c>
      <c r="AP183" s="81" t="e">
        <f t="shared" si="223"/>
        <v>#DIV/0!</v>
      </c>
      <c r="AQ183" s="81" t="e">
        <f t="shared" si="224"/>
        <v>#DIV/0!</v>
      </c>
      <c r="AR183" s="3"/>
      <c r="AS183" s="76" t="e">
        <f t="shared" si="174"/>
        <v>#DIV/0!</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x14ac:dyDescent="0.3">
      <c r="A184" s="8" t="s">
        <v>20</v>
      </c>
      <c r="B184" s="9" t="s">
        <v>139</v>
      </c>
      <c r="C184" s="7"/>
      <c r="D184" s="7"/>
      <c r="E184" s="7"/>
      <c r="F184" s="71"/>
      <c r="G184" s="51">
        <f t="shared" si="201"/>
        <v>0</v>
      </c>
      <c r="H184" s="52" t="e">
        <f t="shared" si="202"/>
        <v>#DIV/0!</v>
      </c>
      <c r="I184" s="53">
        <f>COUNTIFS('00 Encuesta'!$B$2:$B$511,"*e)*",'00 Encuesta'!$C$2:$C$511,"*a)*",'00 Encuesta'!$E$2:$E$511,"*a)*",'00 Encuesta'!$X$2:$X$511,"*c)*")</f>
        <v>0</v>
      </c>
      <c r="J184" s="52" t="e">
        <f t="shared" si="203"/>
        <v>#DIV/0!</v>
      </c>
      <c r="K184" s="53">
        <f>COUNTIFS('00 Encuesta'!$B$2:$B$511,"*e)*",'00 Encuesta'!$C$2:$C$511,"*a)*",'00 Encuesta'!$E$2:$E$511,"*b)*",'00 Encuesta'!$X$2:$X$511,"*c)*")</f>
        <v>0</v>
      </c>
      <c r="L184" s="52" t="e">
        <f t="shared" si="204"/>
        <v>#DIV/0!</v>
      </c>
      <c r="M184" s="23"/>
      <c r="N184" s="51">
        <f t="shared" si="205"/>
        <v>0</v>
      </c>
      <c r="O184" s="52" t="e">
        <f t="shared" si="206"/>
        <v>#DIV/0!</v>
      </c>
      <c r="P184" s="53">
        <f>COUNTIFS('00 Encuesta'!$B$2:$B$511,"*e)*",'00 Encuesta'!$C$2:$C$511,"*b)*",'00 Encuesta'!$E$2:$E$511,"*a)*",'00 Encuesta'!$X$2:$X$511,"*c)*")</f>
        <v>0</v>
      </c>
      <c r="Q184" s="52" t="e">
        <f t="shared" si="207"/>
        <v>#DIV/0!</v>
      </c>
      <c r="R184" s="53">
        <f>COUNTIFS('00 Encuesta'!$B$2:$B$511,"*e)*",'00 Encuesta'!$C$2:$C$511,"*b)*",'00 Encuesta'!$E$2:$E$511,"*b)*",'00 Encuesta'!$X$2:$X$511,"*c)*")</f>
        <v>0</v>
      </c>
      <c r="S184" s="52" t="e">
        <f t="shared" si="208"/>
        <v>#DIV/0!</v>
      </c>
      <c r="T184" s="3"/>
      <c r="U184" s="51">
        <f t="shared" si="209"/>
        <v>0</v>
      </c>
      <c r="V184" s="52" t="e">
        <f t="shared" si="210"/>
        <v>#DIV/0!</v>
      </c>
      <c r="W184" s="53">
        <f>COUNTIFS('00 Encuesta'!$B$2:$B$511,"*e)*",'00 Encuesta'!$C$2:$C$511,"*c)*",'00 Encuesta'!$E$2:$E$511,"*a)*",'00 Encuesta'!$X$2:$X$511,"*c)*")</f>
        <v>0</v>
      </c>
      <c r="X184" s="52" t="e">
        <f t="shared" si="211"/>
        <v>#DIV/0!</v>
      </c>
      <c r="Y184" s="53">
        <f>COUNTIFS('00 Encuesta'!$B$2:$B$511,"*e)*",'00 Encuesta'!$C$2:$C$511,"*c)*",'00 Encuesta'!$E$2:$E$511,"*b)*",'00 Encuesta'!$X$2:$X$511,"*c)*")</f>
        <v>0</v>
      </c>
      <c r="Z184" s="52" t="e">
        <f t="shared" si="212"/>
        <v>#DIV/0!</v>
      </c>
      <c r="AA184" s="3"/>
      <c r="AB184" s="62">
        <f t="shared" si="213"/>
        <v>0</v>
      </c>
      <c r="AC184" s="52" t="e">
        <f t="shared" si="214"/>
        <v>#DIV/0!</v>
      </c>
      <c r="AD184" s="3"/>
      <c r="AE184" s="3"/>
      <c r="AF184" s="9" t="str">
        <f t="shared" si="215"/>
        <v>c) Suelo ir los domingos y otras fechas especiales a la iglesia</v>
      </c>
      <c r="AG184" s="72" t="e">
        <f t="shared" si="216"/>
        <v>#DIV/0!</v>
      </c>
      <c r="AH184" s="72" t="e">
        <f t="shared" si="217"/>
        <v>#DIV/0!</v>
      </c>
      <c r="AI184" s="73" t="e">
        <f t="shared" si="218"/>
        <v>#DIV/0!</v>
      </c>
      <c r="AJ184" s="73"/>
      <c r="AK184" s="76" t="e">
        <f t="shared" si="219"/>
        <v>#DIV/0!</v>
      </c>
      <c r="AL184" s="76" t="e">
        <f t="shared" si="220"/>
        <v>#DIV/0!</v>
      </c>
      <c r="AM184" s="76" t="e">
        <f t="shared" si="221"/>
        <v>#DIV/0!</v>
      </c>
      <c r="AN184" s="76"/>
      <c r="AO184" s="81" t="e">
        <f t="shared" si="222"/>
        <v>#DIV/0!</v>
      </c>
      <c r="AP184" s="81" t="e">
        <f t="shared" si="223"/>
        <v>#DIV/0!</v>
      </c>
      <c r="AQ184" s="81" t="e">
        <f t="shared" si="224"/>
        <v>#DIV/0!</v>
      </c>
      <c r="AR184" s="3"/>
      <c r="AS184" s="76" t="e">
        <f t="shared" si="174"/>
        <v>#DIV/0!</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0</v>
      </c>
      <c r="H185" s="52" t="e">
        <f t="shared" si="202"/>
        <v>#DIV/0!</v>
      </c>
      <c r="I185" s="53">
        <f>COUNTIFS('00 Encuesta'!$B$2:$B$511,"*e)*",'00 Encuesta'!$C$2:$C$511,"*a)*",'00 Encuesta'!$E$2:$E$511,"*a)*",'00 Encuesta'!$X$2:$X$511,"*d)*")</f>
        <v>0</v>
      </c>
      <c r="J185" s="52" t="e">
        <f t="shared" si="203"/>
        <v>#DIV/0!</v>
      </c>
      <c r="K185" s="53">
        <f>COUNTIFS('00 Encuesta'!$B$2:$B$511,"*e)*",'00 Encuesta'!$C$2:$C$511,"*a)*",'00 Encuesta'!$E$2:$E$511,"*b)*",'00 Encuesta'!$X$2:$X$511,"*d)*")</f>
        <v>0</v>
      </c>
      <c r="L185" s="52" t="e">
        <f t="shared" si="204"/>
        <v>#DIV/0!</v>
      </c>
      <c r="M185" s="23"/>
      <c r="N185" s="51">
        <f t="shared" si="205"/>
        <v>0</v>
      </c>
      <c r="O185" s="52" t="e">
        <f t="shared" si="206"/>
        <v>#DIV/0!</v>
      </c>
      <c r="P185" s="53">
        <f>COUNTIFS('00 Encuesta'!$B$2:$B$511,"*e)*",'00 Encuesta'!$C$2:$C$511,"*b)*",'00 Encuesta'!$E$2:$E$511,"*a)*",'00 Encuesta'!$X$2:$X$511,"*d)*")</f>
        <v>0</v>
      </c>
      <c r="Q185" s="52" t="e">
        <f t="shared" si="207"/>
        <v>#DIV/0!</v>
      </c>
      <c r="R185" s="53">
        <f>COUNTIFS('00 Encuesta'!$B$2:$B$511,"*e)*",'00 Encuesta'!$C$2:$C$511,"*b)*",'00 Encuesta'!$E$2:$E$511,"*b)*",'00 Encuesta'!$X$2:$X$511,"*d)*")</f>
        <v>0</v>
      </c>
      <c r="S185" s="52" t="e">
        <f t="shared" si="208"/>
        <v>#DIV/0!</v>
      </c>
      <c r="T185" s="3"/>
      <c r="U185" s="51">
        <f t="shared" si="209"/>
        <v>0</v>
      </c>
      <c r="V185" s="52" t="e">
        <f t="shared" si="210"/>
        <v>#DIV/0!</v>
      </c>
      <c r="W185" s="53">
        <f>COUNTIFS('00 Encuesta'!$B$2:$B$511,"*e)*",'00 Encuesta'!$C$2:$C$511,"*c)*",'00 Encuesta'!$E$2:$E$511,"*a)*",'00 Encuesta'!$X$2:$X$511,"*d)*")</f>
        <v>0</v>
      </c>
      <c r="X185" s="52" t="e">
        <f t="shared" si="211"/>
        <v>#DIV/0!</v>
      </c>
      <c r="Y185" s="53">
        <f>COUNTIFS('00 Encuesta'!$B$2:$B$511,"*e)*",'00 Encuesta'!$C$2:$C$511,"*c)*",'00 Encuesta'!$E$2:$E$511,"*b)*",'00 Encuesta'!$X$2:$X$511,"*d)*")</f>
        <v>0</v>
      </c>
      <c r="Z185" s="52" t="e">
        <f t="shared" si="212"/>
        <v>#DIV/0!</v>
      </c>
      <c r="AA185" s="3"/>
      <c r="AB185" s="62">
        <f t="shared" si="213"/>
        <v>0</v>
      </c>
      <c r="AC185" s="52" t="e">
        <f t="shared" si="214"/>
        <v>#DIV/0!</v>
      </c>
      <c r="AD185" s="3"/>
      <c r="AE185" s="3"/>
      <c r="AF185" s="9" t="str">
        <f t="shared" si="215"/>
        <v>d) Suelo orar todos los días</v>
      </c>
      <c r="AG185" s="72" t="e">
        <f t="shared" si="216"/>
        <v>#DIV/0!</v>
      </c>
      <c r="AH185" s="72" t="e">
        <f t="shared" si="217"/>
        <v>#DIV/0!</v>
      </c>
      <c r="AI185" s="73" t="e">
        <f t="shared" si="218"/>
        <v>#DIV/0!</v>
      </c>
      <c r="AJ185" s="73"/>
      <c r="AK185" s="76" t="e">
        <f t="shared" si="219"/>
        <v>#DIV/0!</v>
      </c>
      <c r="AL185" s="76" t="e">
        <f t="shared" si="220"/>
        <v>#DIV/0!</v>
      </c>
      <c r="AM185" s="76" t="e">
        <f t="shared" si="221"/>
        <v>#DIV/0!</v>
      </c>
      <c r="AN185" s="76"/>
      <c r="AO185" s="81" t="e">
        <f t="shared" si="222"/>
        <v>#DIV/0!</v>
      </c>
      <c r="AP185" s="81" t="e">
        <f t="shared" si="223"/>
        <v>#DIV/0!</v>
      </c>
      <c r="AQ185" s="81" t="e">
        <f t="shared" si="224"/>
        <v>#DIV/0!</v>
      </c>
      <c r="AR185" s="3"/>
      <c r="AS185" s="76" t="e">
        <f t="shared" si="174"/>
        <v>#DIV/0!</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x14ac:dyDescent="0.3">
      <c r="A186" s="1" t="s">
        <v>22</v>
      </c>
      <c r="B186" s="2" t="s">
        <v>141</v>
      </c>
      <c r="C186" s="3"/>
      <c r="D186" s="7"/>
      <c r="E186" s="7"/>
      <c r="F186" s="71"/>
      <c r="G186" s="51">
        <f t="shared" si="201"/>
        <v>0</v>
      </c>
      <c r="H186" s="52" t="e">
        <f t="shared" si="202"/>
        <v>#DIV/0!</v>
      </c>
      <c r="I186" s="53">
        <f>COUNTIFS('00 Encuesta'!$B$2:$B$511,"*e)*",'00 Encuesta'!$C$2:$C$511,"*a)*",'00 Encuesta'!$E$2:$E$511,"*a)*",'00 Encuesta'!$X$2:$X$511,"*e)*")</f>
        <v>0</v>
      </c>
      <c r="J186" s="52" t="e">
        <f t="shared" si="203"/>
        <v>#DIV/0!</v>
      </c>
      <c r="K186" s="53">
        <f>COUNTIFS('00 Encuesta'!$B$2:$B$511,"*e)*",'00 Encuesta'!$C$2:$C$511,"*a)*",'00 Encuesta'!$E$2:$E$511,"*b)*",'00 Encuesta'!$X$2:$X$511,"*e)*")</f>
        <v>0</v>
      </c>
      <c r="L186" s="52" t="e">
        <f t="shared" si="204"/>
        <v>#DIV/0!</v>
      </c>
      <c r="M186" s="23"/>
      <c r="N186" s="51">
        <f t="shared" si="205"/>
        <v>0</v>
      </c>
      <c r="O186" s="52" t="e">
        <f t="shared" si="206"/>
        <v>#DIV/0!</v>
      </c>
      <c r="P186" s="53">
        <f>COUNTIFS('00 Encuesta'!$B$2:$B$511,"*e)*",'00 Encuesta'!$C$2:$C$511,"*b)*",'00 Encuesta'!$E$2:$E$511,"*a)*",'00 Encuesta'!$X$2:$X$511,"*e)*")</f>
        <v>0</v>
      </c>
      <c r="Q186" s="52" t="e">
        <f t="shared" si="207"/>
        <v>#DIV/0!</v>
      </c>
      <c r="R186" s="53">
        <f>COUNTIFS('00 Encuesta'!$B$2:$B$511,"*e)*",'00 Encuesta'!$C$2:$C$511,"*b)*",'00 Encuesta'!$E$2:$E$511,"*b)*",'00 Encuesta'!$X$2:$X$511,"*e)*")</f>
        <v>0</v>
      </c>
      <c r="S186" s="52" t="e">
        <f t="shared" si="208"/>
        <v>#DIV/0!</v>
      </c>
      <c r="T186" s="3"/>
      <c r="U186" s="51">
        <f t="shared" si="209"/>
        <v>0</v>
      </c>
      <c r="V186" s="52" t="e">
        <f t="shared" si="210"/>
        <v>#DIV/0!</v>
      </c>
      <c r="W186" s="53">
        <f>COUNTIFS('00 Encuesta'!$B$2:$B$511,"*e)*",'00 Encuesta'!$C$2:$C$511,"*c)*",'00 Encuesta'!$E$2:$E$511,"*a)*",'00 Encuesta'!$X$2:$X$511,"*e)*")</f>
        <v>0</v>
      </c>
      <c r="X186" s="52" t="e">
        <f t="shared" si="211"/>
        <v>#DIV/0!</v>
      </c>
      <c r="Y186" s="53">
        <f>COUNTIFS('00 Encuesta'!$B$2:$B$511,"*e)*",'00 Encuesta'!$C$2:$C$511,"*c)*",'00 Encuesta'!$E$2:$E$511,"*b)*",'00 Encuesta'!$X$2:$X$511,"*e)*")</f>
        <v>0</v>
      </c>
      <c r="Z186" s="52" t="e">
        <f t="shared" si="212"/>
        <v>#DIV/0!</v>
      </c>
      <c r="AA186" s="3"/>
      <c r="AB186" s="62">
        <f t="shared" si="213"/>
        <v>0</v>
      </c>
      <c r="AC186" s="52" t="e">
        <f t="shared" si="214"/>
        <v>#DIV/0!</v>
      </c>
      <c r="AD186" s="7"/>
      <c r="AE186" s="7"/>
      <c r="AF186" s="9" t="str">
        <f t="shared" si="215"/>
        <v>e) Voy a misa en las fechas de mis familiares difuntos</v>
      </c>
      <c r="AG186" s="72" t="e">
        <f t="shared" si="216"/>
        <v>#DIV/0!</v>
      </c>
      <c r="AH186" s="72" t="e">
        <f t="shared" si="217"/>
        <v>#DIV/0!</v>
      </c>
      <c r="AI186" s="73" t="e">
        <f t="shared" si="218"/>
        <v>#DIV/0!</v>
      </c>
      <c r="AJ186" s="73"/>
      <c r="AK186" s="76" t="e">
        <f t="shared" si="219"/>
        <v>#DIV/0!</v>
      </c>
      <c r="AL186" s="76" t="e">
        <f t="shared" si="220"/>
        <v>#DIV/0!</v>
      </c>
      <c r="AM186" s="76" t="e">
        <f t="shared" si="221"/>
        <v>#DIV/0!</v>
      </c>
      <c r="AN186" s="76"/>
      <c r="AO186" s="81" t="e">
        <f t="shared" si="222"/>
        <v>#DIV/0!</v>
      </c>
      <c r="AP186" s="81" t="e">
        <f t="shared" si="223"/>
        <v>#DIV/0!</v>
      </c>
      <c r="AQ186" s="81" t="e">
        <f t="shared" si="224"/>
        <v>#DIV/0!</v>
      </c>
      <c r="AR186" s="3"/>
      <c r="AS186" s="76" t="e">
        <f t="shared" si="174"/>
        <v>#DIV/0!</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0</v>
      </c>
      <c r="H187" s="52" t="e">
        <f t="shared" si="202"/>
        <v>#DIV/0!</v>
      </c>
      <c r="I187" s="53">
        <f>COUNTIFS('00 Encuesta'!$B$2:$B$511,"*e)*",'00 Encuesta'!$C$2:$C$511,"*a)*",'00 Encuesta'!$E$2:$E$511,"*a)*",'00 Encuesta'!$X$2:$X$511,"*f)*")</f>
        <v>0</v>
      </c>
      <c r="J187" s="52" t="e">
        <f t="shared" si="203"/>
        <v>#DIV/0!</v>
      </c>
      <c r="K187" s="53">
        <f>COUNTIFS('00 Encuesta'!$B$2:$B$511,"*e)*",'00 Encuesta'!$C$2:$C$511,"*a)*",'00 Encuesta'!$E$2:$E$511,"*b)*",'00 Encuesta'!$X$2:$X$511,"*f)*")</f>
        <v>0</v>
      </c>
      <c r="L187" s="52" t="e">
        <f t="shared" si="204"/>
        <v>#DIV/0!</v>
      </c>
      <c r="M187" s="23"/>
      <c r="N187" s="51">
        <f t="shared" si="205"/>
        <v>0</v>
      </c>
      <c r="O187" s="52" t="e">
        <f t="shared" si="206"/>
        <v>#DIV/0!</v>
      </c>
      <c r="P187" s="53">
        <f>COUNTIFS('00 Encuesta'!$B$2:$B$511,"*e)*",'00 Encuesta'!$C$2:$C$511,"*b)*",'00 Encuesta'!$E$2:$E$511,"*a)*",'00 Encuesta'!$X$2:$X$511,"*f)*")</f>
        <v>0</v>
      </c>
      <c r="Q187" s="52" t="e">
        <f t="shared" si="207"/>
        <v>#DIV/0!</v>
      </c>
      <c r="R187" s="53">
        <f>COUNTIFS('00 Encuesta'!$B$2:$B$511,"*e)*",'00 Encuesta'!$C$2:$C$511,"*b)*",'00 Encuesta'!$E$2:$E$511,"*b)*",'00 Encuesta'!$X$2:$X$511,"*f)*")</f>
        <v>0</v>
      </c>
      <c r="S187" s="52" t="e">
        <f t="shared" si="208"/>
        <v>#DIV/0!</v>
      </c>
      <c r="T187" s="3"/>
      <c r="U187" s="51">
        <f t="shared" si="209"/>
        <v>0</v>
      </c>
      <c r="V187" s="52" t="e">
        <f t="shared" si="210"/>
        <v>#DIV/0!</v>
      </c>
      <c r="W187" s="53">
        <f>COUNTIFS('00 Encuesta'!$B$2:$B$511,"*e)*",'00 Encuesta'!$C$2:$C$511,"*c)*",'00 Encuesta'!$E$2:$E$511,"*a)*",'00 Encuesta'!$X$2:$X$511,"*f)*")</f>
        <v>0</v>
      </c>
      <c r="X187" s="52" t="e">
        <f t="shared" si="211"/>
        <v>#DIV/0!</v>
      </c>
      <c r="Y187" s="53">
        <f>COUNTIFS('00 Encuesta'!$B$2:$B$511,"*e)*",'00 Encuesta'!$C$2:$C$511,"*c)*",'00 Encuesta'!$E$2:$E$511,"*b)*",'00 Encuesta'!$X$2:$X$511,"*f)*")</f>
        <v>0</v>
      </c>
      <c r="Z187" s="52" t="e">
        <f t="shared" si="212"/>
        <v>#DIV/0!</v>
      </c>
      <c r="AA187" s="3"/>
      <c r="AB187" s="62">
        <f t="shared" si="213"/>
        <v>0</v>
      </c>
      <c r="AC187" s="52" t="e">
        <f t="shared" si="214"/>
        <v>#DIV/0!</v>
      </c>
      <c r="AD187" s="7"/>
      <c r="AE187" s="7"/>
      <c r="AF187" s="9" t="str">
        <f t="shared" si="215"/>
        <v>f) En alguna ocasión he rezado el rosario</v>
      </c>
      <c r="AG187" s="72" t="e">
        <f t="shared" si="216"/>
        <v>#DIV/0!</v>
      </c>
      <c r="AH187" s="72" t="e">
        <f t="shared" si="217"/>
        <v>#DIV/0!</v>
      </c>
      <c r="AI187" s="73" t="e">
        <f t="shared" si="218"/>
        <v>#DIV/0!</v>
      </c>
      <c r="AJ187" s="73"/>
      <c r="AK187" s="76" t="e">
        <f t="shared" si="219"/>
        <v>#DIV/0!</v>
      </c>
      <c r="AL187" s="76" t="e">
        <f t="shared" si="220"/>
        <v>#DIV/0!</v>
      </c>
      <c r="AM187" s="76" t="e">
        <f t="shared" si="221"/>
        <v>#DIV/0!</v>
      </c>
      <c r="AN187" s="76"/>
      <c r="AO187" s="81" t="e">
        <f t="shared" si="222"/>
        <v>#DIV/0!</v>
      </c>
      <c r="AP187" s="81" t="e">
        <f t="shared" si="223"/>
        <v>#DIV/0!</v>
      </c>
      <c r="AQ187" s="81" t="e">
        <f t="shared" si="224"/>
        <v>#DIV/0!</v>
      </c>
      <c r="AR187" s="7"/>
      <c r="AS187" s="76" t="e">
        <f t="shared" si="174"/>
        <v>#DIV/0!</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0</v>
      </c>
      <c r="H188" s="52" t="e">
        <f t="shared" si="202"/>
        <v>#DIV/0!</v>
      </c>
      <c r="I188" s="53">
        <f>COUNTIFS('00 Encuesta'!$B$2:$B$511,"*e)*",'00 Encuesta'!$C$2:$C$511,"*a)*",'00 Encuesta'!$E$2:$E$511,"*a)*",'00 Encuesta'!$X$2:$X$511,"*g)*")</f>
        <v>0</v>
      </c>
      <c r="J188" s="52" t="e">
        <f t="shared" si="203"/>
        <v>#DIV/0!</v>
      </c>
      <c r="K188" s="53">
        <f>COUNTIFS('00 Encuesta'!$B$2:$B$511,"*e)*",'00 Encuesta'!$C$2:$C$511,"*a)*",'00 Encuesta'!$E$2:$E$511,"*b)*",'00 Encuesta'!$X$2:$X$511,"*g)*")</f>
        <v>0</v>
      </c>
      <c r="L188" s="52" t="e">
        <f t="shared" si="204"/>
        <v>#DIV/0!</v>
      </c>
      <c r="M188" s="23"/>
      <c r="N188" s="51">
        <f t="shared" si="205"/>
        <v>0</v>
      </c>
      <c r="O188" s="52" t="e">
        <f t="shared" si="206"/>
        <v>#DIV/0!</v>
      </c>
      <c r="P188" s="53">
        <f>COUNTIFS('00 Encuesta'!$B$2:$B$511,"*e)*",'00 Encuesta'!$C$2:$C$511,"*b)*",'00 Encuesta'!$E$2:$E$511,"*a)*",'00 Encuesta'!$X$2:$X$511,"*g)*")</f>
        <v>0</v>
      </c>
      <c r="Q188" s="52" t="e">
        <f t="shared" si="207"/>
        <v>#DIV/0!</v>
      </c>
      <c r="R188" s="53">
        <f>COUNTIFS('00 Encuesta'!$B$2:$B$511,"*e)*",'00 Encuesta'!$C$2:$C$511,"*b)*",'00 Encuesta'!$E$2:$E$511,"*b)*",'00 Encuesta'!$X$2:$X$511,"*g)*")</f>
        <v>0</v>
      </c>
      <c r="S188" s="52" t="e">
        <f t="shared" si="208"/>
        <v>#DIV/0!</v>
      </c>
      <c r="T188" s="3"/>
      <c r="U188" s="51">
        <f t="shared" si="209"/>
        <v>0</v>
      </c>
      <c r="V188" s="52" t="e">
        <f t="shared" si="210"/>
        <v>#DIV/0!</v>
      </c>
      <c r="W188" s="53">
        <f>COUNTIFS('00 Encuesta'!$B$2:$B$511,"*e)*",'00 Encuesta'!$C$2:$C$511,"*c)*",'00 Encuesta'!$E$2:$E$511,"*a)*",'00 Encuesta'!$X$2:$X$511,"*g)*")</f>
        <v>0</v>
      </c>
      <c r="X188" s="52" t="e">
        <f t="shared" si="211"/>
        <v>#DIV/0!</v>
      </c>
      <c r="Y188" s="53">
        <f>COUNTIFS('00 Encuesta'!$B$2:$B$511,"*e)*",'00 Encuesta'!$C$2:$C$511,"*c)*",'00 Encuesta'!$E$2:$E$511,"*b)*",'00 Encuesta'!$X$2:$X$511,"*g)*")</f>
        <v>0</v>
      </c>
      <c r="Z188" s="52" t="e">
        <f t="shared" si="212"/>
        <v>#DIV/0!</v>
      </c>
      <c r="AA188" s="3"/>
      <c r="AB188" s="62">
        <f t="shared" si="213"/>
        <v>0</v>
      </c>
      <c r="AC188" s="52" t="e">
        <f t="shared" si="214"/>
        <v>#DIV/0!</v>
      </c>
      <c r="AD188" s="7"/>
      <c r="AE188" s="7"/>
      <c r="AF188" s="9" t="str">
        <f t="shared" si="215"/>
        <v>g) En ocasiones, en mi casa tenemos una oración familiar</v>
      </c>
      <c r="AG188" s="72" t="e">
        <f t="shared" si="216"/>
        <v>#DIV/0!</v>
      </c>
      <c r="AH188" s="72" t="e">
        <f t="shared" si="217"/>
        <v>#DIV/0!</v>
      </c>
      <c r="AI188" s="73" t="e">
        <f t="shared" si="218"/>
        <v>#DIV/0!</v>
      </c>
      <c r="AJ188" s="73"/>
      <c r="AK188" s="76" t="e">
        <f t="shared" si="219"/>
        <v>#DIV/0!</v>
      </c>
      <c r="AL188" s="76" t="e">
        <f t="shared" si="220"/>
        <v>#DIV/0!</v>
      </c>
      <c r="AM188" s="76" t="e">
        <f t="shared" si="221"/>
        <v>#DIV/0!</v>
      </c>
      <c r="AN188" s="76"/>
      <c r="AO188" s="81" t="e">
        <f t="shared" si="222"/>
        <v>#DIV/0!</v>
      </c>
      <c r="AP188" s="81" t="e">
        <f t="shared" si="223"/>
        <v>#DIV/0!</v>
      </c>
      <c r="AQ188" s="81" t="e">
        <f t="shared" si="224"/>
        <v>#DIV/0!</v>
      </c>
      <c r="AR188" s="7"/>
      <c r="AS188" s="76" t="e">
        <f t="shared" si="174"/>
        <v>#DIV/0!</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x14ac:dyDescent="0.3">
      <c r="A189" s="8" t="s">
        <v>63</v>
      </c>
      <c r="B189" s="9" t="s">
        <v>144</v>
      </c>
      <c r="C189" s="7"/>
      <c r="D189" s="7"/>
      <c r="E189" s="7"/>
      <c r="F189" s="71"/>
      <c r="G189" s="51">
        <f t="shared" si="201"/>
        <v>0</v>
      </c>
      <c r="H189" s="52" t="e">
        <f t="shared" si="202"/>
        <v>#DIV/0!</v>
      </c>
      <c r="I189" s="53">
        <f>COUNTIFS('00 Encuesta'!$B$2:$B$511,"*e)*",'00 Encuesta'!$C$2:$C$511,"*a)*",'00 Encuesta'!$E$2:$E$511,"*a)*",'00 Encuesta'!$X$2:$X$511,"*h)*")</f>
        <v>0</v>
      </c>
      <c r="J189" s="52" t="e">
        <f t="shared" si="203"/>
        <v>#DIV/0!</v>
      </c>
      <c r="K189" s="53">
        <f>COUNTIFS('00 Encuesta'!$B$2:$B$511,"*e)*",'00 Encuesta'!$C$2:$C$511,"*a)*",'00 Encuesta'!$E$2:$E$511,"*b)*",'00 Encuesta'!$X$2:$X$511,"*h)*")</f>
        <v>0</v>
      </c>
      <c r="L189" s="52" t="e">
        <f t="shared" si="204"/>
        <v>#DIV/0!</v>
      </c>
      <c r="M189" s="23"/>
      <c r="N189" s="51">
        <f t="shared" si="205"/>
        <v>0</v>
      </c>
      <c r="O189" s="52" t="e">
        <f t="shared" si="206"/>
        <v>#DIV/0!</v>
      </c>
      <c r="P189" s="53">
        <f>COUNTIFS('00 Encuesta'!$B$2:$B$511,"*e)*",'00 Encuesta'!$C$2:$C$511,"*b)*",'00 Encuesta'!$E$2:$E$511,"*a)*",'00 Encuesta'!$X$2:$X$511,"*h)*")</f>
        <v>0</v>
      </c>
      <c r="Q189" s="52" t="e">
        <f t="shared" si="207"/>
        <v>#DIV/0!</v>
      </c>
      <c r="R189" s="53">
        <f>COUNTIFS('00 Encuesta'!$B$2:$B$511,"*e)*",'00 Encuesta'!$C$2:$C$511,"*b)*",'00 Encuesta'!$E$2:$E$511,"*b)*",'00 Encuesta'!$X$2:$X$511,"*h)*")</f>
        <v>0</v>
      </c>
      <c r="S189" s="52" t="e">
        <f t="shared" si="208"/>
        <v>#DIV/0!</v>
      </c>
      <c r="T189" s="3"/>
      <c r="U189" s="51">
        <f t="shared" si="209"/>
        <v>0</v>
      </c>
      <c r="V189" s="52" t="e">
        <f t="shared" si="210"/>
        <v>#DIV/0!</v>
      </c>
      <c r="W189" s="53">
        <f>COUNTIFS('00 Encuesta'!$B$2:$B$511,"*e)*",'00 Encuesta'!$C$2:$C$511,"*c)*",'00 Encuesta'!$E$2:$E$511,"*a)*",'00 Encuesta'!$X$2:$X$511,"*h)*")</f>
        <v>0</v>
      </c>
      <c r="X189" s="52" t="e">
        <f t="shared" si="211"/>
        <v>#DIV/0!</v>
      </c>
      <c r="Y189" s="53">
        <f>COUNTIFS('00 Encuesta'!$B$2:$B$511,"*e)*",'00 Encuesta'!$C$2:$C$511,"*c)*",'00 Encuesta'!$E$2:$E$511,"*b)*",'00 Encuesta'!$X$2:$X$511,"*h)*")</f>
        <v>0</v>
      </c>
      <c r="Z189" s="52" t="e">
        <f t="shared" si="212"/>
        <v>#DIV/0!</v>
      </c>
      <c r="AA189" s="3"/>
      <c r="AB189" s="62">
        <f t="shared" si="213"/>
        <v>0</v>
      </c>
      <c r="AC189" s="52" t="e">
        <f t="shared" si="214"/>
        <v>#DIV/0!</v>
      </c>
      <c r="AD189" s="7"/>
      <c r="AE189" s="7"/>
      <c r="AF189" s="9" t="str">
        <f t="shared" si="215"/>
        <v>h) En Semana Santa asisto a las procesiones</v>
      </c>
      <c r="AG189" s="72" t="e">
        <f t="shared" si="216"/>
        <v>#DIV/0!</v>
      </c>
      <c r="AH189" s="72" t="e">
        <f t="shared" si="217"/>
        <v>#DIV/0!</v>
      </c>
      <c r="AI189" s="73" t="e">
        <f t="shared" si="218"/>
        <v>#DIV/0!</v>
      </c>
      <c r="AJ189" s="73"/>
      <c r="AK189" s="76" t="e">
        <f t="shared" si="219"/>
        <v>#DIV/0!</v>
      </c>
      <c r="AL189" s="76" t="e">
        <f t="shared" si="220"/>
        <v>#DIV/0!</v>
      </c>
      <c r="AM189" s="76" t="e">
        <f t="shared" si="221"/>
        <v>#DIV/0!</v>
      </c>
      <c r="AN189" s="76"/>
      <c r="AO189" s="81" t="e">
        <f t="shared" si="222"/>
        <v>#DIV/0!</v>
      </c>
      <c r="AP189" s="81" t="e">
        <f t="shared" si="223"/>
        <v>#DIV/0!</v>
      </c>
      <c r="AQ189" s="81" t="e">
        <f t="shared" si="224"/>
        <v>#DIV/0!</v>
      </c>
      <c r="AR189" s="7"/>
      <c r="AS189" s="76" t="e">
        <f t="shared" si="174"/>
        <v>#DIV/0!</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x14ac:dyDescent="0.3">
      <c r="A190" s="8" t="s">
        <v>65</v>
      </c>
      <c r="B190" s="9" t="s">
        <v>145</v>
      </c>
      <c r="C190" s="7"/>
      <c r="D190" s="7"/>
      <c r="E190" s="7"/>
      <c r="F190" s="71"/>
      <c r="G190" s="51">
        <f t="shared" si="201"/>
        <v>0</v>
      </c>
      <c r="H190" s="52" t="e">
        <f t="shared" si="202"/>
        <v>#DIV/0!</v>
      </c>
      <c r="I190" s="53">
        <f>COUNTIFS('00 Encuesta'!$B$2:$B$511,"*e)*",'00 Encuesta'!$C$2:$C$511,"*a)*",'00 Encuesta'!$E$2:$E$511,"*a)*",'00 Encuesta'!$X$2:$X$511,"*i)*")</f>
        <v>0</v>
      </c>
      <c r="J190" s="52" t="e">
        <f t="shared" si="203"/>
        <v>#DIV/0!</v>
      </c>
      <c r="K190" s="53">
        <f>COUNTIFS('00 Encuesta'!$B$2:$B$511,"*e)*",'00 Encuesta'!$C$2:$C$511,"*a)*",'00 Encuesta'!$E$2:$E$511,"*b)*",'00 Encuesta'!$X$2:$X$511,"*i)*")</f>
        <v>0</v>
      </c>
      <c r="L190" s="52" t="e">
        <f t="shared" si="204"/>
        <v>#DIV/0!</v>
      </c>
      <c r="M190" s="23"/>
      <c r="N190" s="51">
        <f t="shared" si="205"/>
        <v>0</v>
      </c>
      <c r="O190" s="52" t="e">
        <f t="shared" si="206"/>
        <v>#DIV/0!</v>
      </c>
      <c r="P190" s="53">
        <f>COUNTIFS('00 Encuesta'!$B$2:$B$511,"*e)*",'00 Encuesta'!$C$2:$C$511,"*b)*",'00 Encuesta'!$E$2:$E$511,"*a)*",'00 Encuesta'!$X$2:$X$511,"*i)*")</f>
        <v>0</v>
      </c>
      <c r="Q190" s="52" t="e">
        <f t="shared" si="207"/>
        <v>#DIV/0!</v>
      </c>
      <c r="R190" s="53">
        <f>COUNTIFS('00 Encuesta'!$B$2:$B$511,"*e)*",'00 Encuesta'!$C$2:$C$511,"*b)*",'00 Encuesta'!$E$2:$E$511,"*b)*",'00 Encuesta'!$X$2:$X$511,"*i)*")</f>
        <v>0</v>
      </c>
      <c r="S190" s="52" t="e">
        <f t="shared" si="208"/>
        <v>#DIV/0!</v>
      </c>
      <c r="T190" s="3"/>
      <c r="U190" s="51">
        <f t="shared" si="209"/>
        <v>0</v>
      </c>
      <c r="V190" s="52" t="e">
        <f t="shared" si="210"/>
        <v>#DIV/0!</v>
      </c>
      <c r="W190" s="53">
        <f>COUNTIFS('00 Encuesta'!$B$2:$B$511,"*e)*",'00 Encuesta'!$C$2:$C$511,"*c)*",'00 Encuesta'!$E$2:$E$511,"*a)*",'00 Encuesta'!$X$2:$X$511,"*i)*")</f>
        <v>0</v>
      </c>
      <c r="X190" s="52" t="e">
        <f t="shared" si="211"/>
        <v>#DIV/0!</v>
      </c>
      <c r="Y190" s="53">
        <f>COUNTIFS('00 Encuesta'!$B$2:$B$511,"*e)*",'00 Encuesta'!$C$2:$C$511,"*c)*",'00 Encuesta'!$E$2:$E$511,"*b)*",'00 Encuesta'!$X$2:$X$511,"*i)*")</f>
        <v>0</v>
      </c>
      <c r="Z190" s="52" t="e">
        <f t="shared" si="212"/>
        <v>#DIV/0!</v>
      </c>
      <c r="AA190" s="3"/>
      <c r="AB190" s="62">
        <f t="shared" si="213"/>
        <v>0</v>
      </c>
      <c r="AC190" s="52" t="e">
        <f t="shared" si="214"/>
        <v>#DIV/0!</v>
      </c>
      <c r="AD190" s="7"/>
      <c r="AE190" s="7"/>
      <c r="AF190" s="9" t="str">
        <f t="shared" si="215"/>
        <v>i) Tengo en mi cuarto alguna imagen religiosa</v>
      </c>
      <c r="AG190" s="72" t="e">
        <f t="shared" si="216"/>
        <v>#DIV/0!</v>
      </c>
      <c r="AH190" s="72" t="e">
        <f t="shared" si="217"/>
        <v>#DIV/0!</v>
      </c>
      <c r="AI190" s="73" t="e">
        <f t="shared" si="218"/>
        <v>#DIV/0!</v>
      </c>
      <c r="AJ190" s="73"/>
      <c r="AK190" s="76" t="e">
        <f t="shared" si="219"/>
        <v>#DIV/0!</v>
      </c>
      <c r="AL190" s="76" t="e">
        <f t="shared" si="220"/>
        <v>#DIV/0!</v>
      </c>
      <c r="AM190" s="76" t="e">
        <f t="shared" si="221"/>
        <v>#DIV/0!</v>
      </c>
      <c r="AN190" s="76"/>
      <c r="AO190" s="81" t="e">
        <f t="shared" si="222"/>
        <v>#DIV/0!</v>
      </c>
      <c r="AP190" s="81" t="e">
        <f t="shared" si="223"/>
        <v>#DIV/0!</v>
      </c>
      <c r="AQ190" s="81" t="e">
        <f t="shared" si="224"/>
        <v>#DIV/0!</v>
      </c>
      <c r="AR190" s="7"/>
      <c r="AS190" s="76" t="e">
        <f t="shared" si="174"/>
        <v>#DIV/0!</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x14ac:dyDescent="0.3">
      <c r="A191" s="8" t="s">
        <v>23</v>
      </c>
      <c r="B191" s="9" t="s">
        <v>24</v>
      </c>
      <c r="C191" s="7"/>
      <c r="D191" s="7"/>
      <c r="E191" s="7"/>
      <c r="F191" s="71"/>
      <c r="G191" s="51">
        <f t="shared" si="201"/>
        <v>0</v>
      </c>
      <c r="H191" s="52" t="e">
        <f t="shared" si="202"/>
        <v>#DIV/0!</v>
      </c>
      <c r="I191" s="53"/>
      <c r="J191" s="52" t="e">
        <f t="shared" si="203"/>
        <v>#DIV/0!</v>
      </c>
      <c r="K191" s="53"/>
      <c r="L191" s="52" t="e">
        <f t="shared" si="204"/>
        <v>#DIV/0!</v>
      </c>
      <c r="M191" s="23"/>
      <c r="N191" s="51">
        <f t="shared" si="205"/>
        <v>0</v>
      </c>
      <c r="O191" s="52" t="e">
        <f t="shared" si="206"/>
        <v>#DIV/0!</v>
      </c>
      <c r="P191" s="53"/>
      <c r="Q191" s="52" t="e">
        <f t="shared" si="207"/>
        <v>#DIV/0!</v>
      </c>
      <c r="R191" s="53"/>
      <c r="S191" s="52" t="e">
        <f t="shared" si="208"/>
        <v>#DIV/0!</v>
      </c>
      <c r="T191" s="3"/>
      <c r="U191" s="51">
        <f t="shared" si="209"/>
        <v>0</v>
      </c>
      <c r="V191" s="52" t="e">
        <f t="shared" si="210"/>
        <v>#DIV/0!</v>
      </c>
      <c r="W191" s="53"/>
      <c r="X191" s="52" t="e">
        <f t="shared" si="211"/>
        <v>#DIV/0!</v>
      </c>
      <c r="Y191" s="53"/>
      <c r="Z191" s="52" t="e">
        <f t="shared" si="212"/>
        <v>#DIV/0!</v>
      </c>
      <c r="AA191" s="3"/>
      <c r="AB191" s="62">
        <f t="shared" si="213"/>
        <v>0</v>
      </c>
      <c r="AC191" s="52" t="e">
        <f t="shared" si="214"/>
        <v>#DIV/0!</v>
      </c>
      <c r="AD191" s="7"/>
      <c r="AE191" s="7"/>
      <c r="AF191" s="9" t="str">
        <f t="shared" si="215"/>
        <v>S/R Sin Respuesta</v>
      </c>
      <c r="AG191" s="72" t="e">
        <f t="shared" si="216"/>
        <v>#DIV/0!</v>
      </c>
      <c r="AH191" s="72" t="e">
        <f t="shared" si="217"/>
        <v>#DIV/0!</v>
      </c>
      <c r="AI191" s="73" t="e">
        <f t="shared" si="218"/>
        <v>#DIV/0!</v>
      </c>
      <c r="AJ191" s="73"/>
      <c r="AK191" s="76" t="e">
        <f t="shared" si="219"/>
        <v>#DIV/0!</v>
      </c>
      <c r="AL191" s="76" t="e">
        <f t="shared" si="220"/>
        <v>#DIV/0!</v>
      </c>
      <c r="AM191" s="76" t="e">
        <f t="shared" si="221"/>
        <v>#DIV/0!</v>
      </c>
      <c r="AN191" s="76"/>
      <c r="AO191" s="81" t="e">
        <f t="shared" si="222"/>
        <v>#DIV/0!</v>
      </c>
      <c r="AP191" s="81" t="e">
        <f t="shared" si="223"/>
        <v>#DIV/0!</v>
      </c>
      <c r="AQ191" s="81" t="e">
        <f t="shared" si="224"/>
        <v>#DIV/0!</v>
      </c>
      <c r="AR191" s="7"/>
      <c r="AS191" s="76" t="e">
        <f t="shared" si="174"/>
        <v>#DIV/0!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x14ac:dyDescent="0.3">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x14ac:dyDescent="0.3">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x14ac:dyDescent="0.3">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x14ac:dyDescent="0.3">
      <c r="A195" s="8" t="s">
        <v>17</v>
      </c>
      <c r="B195" s="9" t="s">
        <v>147</v>
      </c>
      <c r="C195" s="7"/>
      <c r="D195" s="7"/>
      <c r="E195" s="7"/>
      <c r="F195" s="71"/>
      <c r="G195" s="51">
        <f>I195+K195</f>
        <v>0</v>
      </c>
      <c r="H195" s="52" t="e">
        <f>G195/$J$5*100</f>
        <v>#DIV/0!</v>
      </c>
      <c r="I195" s="53">
        <f>COUNTIFS('00 Encuesta'!$B$2:$B$511,"*e)*",'00 Encuesta'!$C$2:$C$511,"*a)*",'00 Encuesta'!$E$2:$E$511,"*a)*",'00 Encuesta'!$Y$2:$Y$511,"*a)*")</f>
        <v>0</v>
      </c>
      <c r="J195" s="52" t="e">
        <f>I195/$J$6*100</f>
        <v>#DIV/0!</v>
      </c>
      <c r="K195" s="53">
        <f>COUNTIFS('00 Encuesta'!$B$2:$B$511,"*e)*",'00 Encuesta'!$C$2:$C$511,"*a)*",'00 Encuesta'!$E$2:$E$511,"*b)*",'00 Encuesta'!$Y$2:$Y$511,"*a)*")</f>
        <v>0</v>
      </c>
      <c r="L195" s="52" t="e">
        <f>K195/$J$7*100</f>
        <v>#DIV/0!</v>
      </c>
      <c r="M195" s="23"/>
      <c r="N195" s="51">
        <f>P195+R195</f>
        <v>0</v>
      </c>
      <c r="O195" s="52" t="e">
        <f>N195/$Q$5*100</f>
        <v>#DIV/0!</v>
      </c>
      <c r="P195" s="53">
        <f>COUNTIFS('00 Encuesta'!$B$2:$B$511,"*e)*",'00 Encuesta'!$C$2:$C$511,"*b)*",'00 Encuesta'!$E$2:$E$511,"*a)*",'00 Encuesta'!$Y$2:$Y$511,"*a)*")</f>
        <v>0</v>
      </c>
      <c r="Q195" s="52" t="e">
        <f>P195/$Q$6*100</f>
        <v>#DIV/0!</v>
      </c>
      <c r="R195" s="53">
        <f>COUNTIFS('00 Encuesta'!$B$2:$B$511,"*e)*",'00 Encuesta'!$C$2:$C$511,"*b)*",'00 Encuesta'!$E$2:$E$511,"*b)*",'00 Encuesta'!$Y$2:$Y$511,"*a)*")</f>
        <v>0</v>
      </c>
      <c r="S195" s="52" t="e">
        <f>R195/$Q$7*100</f>
        <v>#DIV/0!</v>
      </c>
      <c r="T195" s="3"/>
      <c r="U195" s="51">
        <f>W195+Y195</f>
        <v>0</v>
      </c>
      <c r="V195" s="52" t="e">
        <f>U195/$X$5*100</f>
        <v>#DIV/0!</v>
      </c>
      <c r="W195" s="53">
        <f>COUNTIFS('00 Encuesta'!$B$2:$B$511,"*e)*",'00 Encuesta'!$C$2:$C$511,"*c)*",'00 Encuesta'!$E$2:$E$511,"*a)*",'00 Encuesta'!$Y$2:$Y$511,"*a)*")</f>
        <v>0</v>
      </c>
      <c r="X195" s="52" t="e">
        <f>W195/$X$6*100</f>
        <v>#DIV/0!</v>
      </c>
      <c r="Y195" s="53">
        <f>COUNTIFS('00 Encuesta'!$B$2:$B$511,"*e)*",'00 Encuesta'!$C$2:$C$511,"*c)*",'00 Encuesta'!$E$2:$E$511,"*b)*",'00 Encuesta'!$Y$2:$Y$511,"*a)*")</f>
        <v>0</v>
      </c>
      <c r="Z195" s="52" t="e">
        <f>Y195/$X$7*100</f>
        <v>#DIV/0!</v>
      </c>
      <c r="AA195" s="3"/>
      <c r="AB195" s="62">
        <f>G195+N195+U195</f>
        <v>0</v>
      </c>
      <c r="AC195" s="52" t="e">
        <f>AB195*100/$AC$5</f>
        <v>#DIV/0!</v>
      </c>
      <c r="AD195" s="3"/>
      <c r="AE195" s="3"/>
      <c r="AF195" s="9" t="str">
        <f t="shared" si="225"/>
        <v>a) Deportivo</v>
      </c>
      <c r="AG195" s="72" t="e">
        <f>J195</f>
        <v>#DIV/0!</v>
      </c>
      <c r="AH195" s="72" t="e">
        <f>L195</f>
        <v>#DIV/0!</v>
      </c>
      <c r="AI195" s="73" t="e">
        <f>H195</f>
        <v>#DIV/0!</v>
      </c>
      <c r="AJ195" s="73"/>
      <c r="AK195" s="76" t="e">
        <f>Q195</f>
        <v>#DIV/0!</v>
      </c>
      <c r="AL195" s="76" t="e">
        <f>S195</f>
        <v>#DIV/0!</v>
      </c>
      <c r="AM195" s="76" t="e">
        <f>O195</f>
        <v>#DIV/0!</v>
      </c>
      <c r="AN195" s="76"/>
      <c r="AO195" s="81" t="e">
        <f>X195</f>
        <v>#DIV/0!</v>
      </c>
      <c r="AP195" s="81" t="e">
        <f>Z195</f>
        <v>#DIV/0!</v>
      </c>
      <c r="AQ195" s="81" t="e">
        <f>V195</f>
        <v>#DIV/0!</v>
      </c>
      <c r="AR195" s="3"/>
      <c r="AS195" s="76" t="e">
        <f t="shared" si="174"/>
        <v>#DIV/0!</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0</v>
      </c>
      <c r="H196" s="52" t="e">
        <f>G196/$J$5*100</f>
        <v>#DIV/0!</v>
      </c>
      <c r="I196" s="53">
        <f>COUNTIFS('00 Encuesta'!$B$2:$B$511,"*e)*",'00 Encuesta'!$C$2:$C$511,"*a)*",'00 Encuesta'!$E$2:$E$511,"*a)*",'00 Encuesta'!$Y$2:$Y$511,"*b)*")</f>
        <v>0</v>
      </c>
      <c r="J196" s="52" t="e">
        <f>I196/$J$6*100</f>
        <v>#DIV/0!</v>
      </c>
      <c r="K196" s="53">
        <f>COUNTIFS('00 Encuesta'!$B$2:$B$511,"*e)*",'00 Encuesta'!$C$2:$C$511,"*a)*",'00 Encuesta'!$E$2:$E$511,"*b)*",'00 Encuesta'!$Y$2:$Y$511,"*b)*")</f>
        <v>0</v>
      </c>
      <c r="L196" s="52" t="e">
        <f>K196/$J$7*100</f>
        <v>#DIV/0!</v>
      </c>
      <c r="M196" s="23"/>
      <c r="N196" s="51">
        <f>P196+R196</f>
        <v>0</v>
      </c>
      <c r="O196" s="52" t="e">
        <f>N196/$Q$5*100</f>
        <v>#DIV/0!</v>
      </c>
      <c r="P196" s="53">
        <f>COUNTIFS('00 Encuesta'!$B$2:$B$511,"*e)*",'00 Encuesta'!$C$2:$C$511,"*b)*",'00 Encuesta'!$E$2:$E$511,"*a)*",'00 Encuesta'!$Y$2:$Y$511,"*b)*")</f>
        <v>0</v>
      </c>
      <c r="Q196" s="52" t="e">
        <f>P196/$Q$6*100</f>
        <v>#DIV/0!</v>
      </c>
      <c r="R196" s="53">
        <f>COUNTIFS('00 Encuesta'!$B$2:$B$511,"*e)*",'00 Encuesta'!$C$2:$C$511,"*b)*",'00 Encuesta'!$E$2:$E$511,"*b)*",'00 Encuesta'!$Y$2:$Y$511,"*b)*")</f>
        <v>0</v>
      </c>
      <c r="S196" s="52" t="e">
        <f>R196/$Q$7*100</f>
        <v>#DIV/0!</v>
      </c>
      <c r="T196" s="3"/>
      <c r="U196" s="51">
        <f>W196+Y196</f>
        <v>0</v>
      </c>
      <c r="V196" s="52" t="e">
        <f>U196/$X$5*100</f>
        <v>#DIV/0!</v>
      </c>
      <c r="W196" s="53">
        <f>COUNTIFS('00 Encuesta'!$B$2:$B$511,"*e)*",'00 Encuesta'!$C$2:$C$511,"*c)*",'00 Encuesta'!$E$2:$E$511,"*a)*",'00 Encuesta'!$Y$2:$Y$511,"*b)*")</f>
        <v>0</v>
      </c>
      <c r="X196" s="52" t="e">
        <f>W196/$X$6*100</f>
        <v>#DIV/0!</v>
      </c>
      <c r="Y196" s="53">
        <f>COUNTIFS('00 Encuesta'!$B$2:$B$511,"*e)*",'00 Encuesta'!$C$2:$C$511,"*c)*",'00 Encuesta'!$E$2:$E$511,"*b)*",'00 Encuesta'!$Y$2:$Y$511,"*b)*")</f>
        <v>0</v>
      </c>
      <c r="Z196" s="52" t="e">
        <f>Y196/$X$7*100</f>
        <v>#DIV/0!</v>
      </c>
      <c r="AA196" s="3"/>
      <c r="AB196" s="62">
        <f>G196+N196+U196</f>
        <v>0</v>
      </c>
      <c r="AC196" s="52" t="e">
        <f>AB196*100/$AC$5</f>
        <v>#DIV/0!</v>
      </c>
      <c r="AD196" s="3"/>
      <c r="AE196" s="3"/>
      <c r="AF196" s="9" t="str">
        <f t="shared" si="225"/>
        <v>b) Cultural (folklórico, musicales, danzas, scout, banda marcial...)</v>
      </c>
      <c r="AG196" s="72" t="e">
        <f>J196</f>
        <v>#DIV/0!</v>
      </c>
      <c r="AH196" s="72" t="e">
        <f>L196</f>
        <v>#DIV/0!</v>
      </c>
      <c r="AI196" s="73" t="e">
        <f>H196</f>
        <v>#DIV/0!</v>
      </c>
      <c r="AJ196" s="73"/>
      <c r="AK196" s="76" t="e">
        <f>Q196</f>
        <v>#DIV/0!</v>
      </c>
      <c r="AL196" s="76" t="e">
        <f>S196</f>
        <v>#DIV/0!</v>
      </c>
      <c r="AM196" s="76" t="e">
        <f>O196</f>
        <v>#DIV/0!</v>
      </c>
      <c r="AN196" s="76"/>
      <c r="AO196" s="81" t="e">
        <f>X196</f>
        <v>#DIV/0!</v>
      </c>
      <c r="AP196" s="81" t="e">
        <f>Z196</f>
        <v>#DIV/0!</v>
      </c>
      <c r="AQ196" s="81" t="e">
        <f>V196</f>
        <v>#DIV/0!</v>
      </c>
      <c r="AR196" s="3"/>
      <c r="AS196" s="76" t="e">
        <f t="shared" si="174"/>
        <v>#DIV/0!</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x14ac:dyDescent="0.3">
      <c r="A197" s="8" t="s">
        <v>20</v>
      </c>
      <c r="B197" s="9" t="s">
        <v>149</v>
      </c>
      <c r="C197" s="7"/>
      <c r="D197" s="7"/>
      <c r="E197" s="7"/>
      <c r="F197" s="71"/>
      <c r="G197" s="51">
        <f>I197+K197</f>
        <v>0</v>
      </c>
      <c r="H197" s="52" t="e">
        <f>G197/$J$5*100</f>
        <v>#DIV/0!</v>
      </c>
      <c r="I197" s="53">
        <f>COUNTIFS('00 Encuesta'!$B$2:$B$511,"*e)*",'00 Encuesta'!$C$2:$C$511,"*a)*",'00 Encuesta'!$E$2:$E$511,"*a)*",'00 Encuesta'!$Y$2:$Y$511,"*c)*")</f>
        <v>0</v>
      </c>
      <c r="J197" s="52" t="e">
        <f>I197/$J$6*100</f>
        <v>#DIV/0!</v>
      </c>
      <c r="K197" s="53">
        <f>COUNTIFS('00 Encuesta'!$B$2:$B$511,"*e)*",'00 Encuesta'!$C$2:$C$511,"*a)*",'00 Encuesta'!$E$2:$E$511,"*b)*",'00 Encuesta'!$Y$2:$Y$511,"*c)*")</f>
        <v>0</v>
      </c>
      <c r="L197" s="52" t="e">
        <f>K197/$J$7*100</f>
        <v>#DIV/0!</v>
      </c>
      <c r="M197" s="23"/>
      <c r="N197" s="51">
        <f>P197+R197</f>
        <v>0</v>
      </c>
      <c r="O197" s="52" t="e">
        <f>N197/$Q$5*100</f>
        <v>#DIV/0!</v>
      </c>
      <c r="P197" s="53">
        <f>COUNTIFS('00 Encuesta'!$B$2:$B$511,"*e)*",'00 Encuesta'!$C$2:$C$511,"*b)*",'00 Encuesta'!$E$2:$E$511,"*a)*",'00 Encuesta'!$Y$2:$Y$511,"*c)*")</f>
        <v>0</v>
      </c>
      <c r="Q197" s="52" t="e">
        <f>P197/$Q$6*100</f>
        <v>#DIV/0!</v>
      </c>
      <c r="R197" s="53">
        <f>COUNTIFS('00 Encuesta'!$B$2:$B$511,"*e)*",'00 Encuesta'!$C$2:$C$511,"*b)*",'00 Encuesta'!$E$2:$E$511,"*b)*",'00 Encuesta'!$Y$2:$Y$511,"*c)*")</f>
        <v>0</v>
      </c>
      <c r="S197" s="52" t="e">
        <f>R197/$Q$7*100</f>
        <v>#DIV/0!</v>
      </c>
      <c r="T197" s="3"/>
      <c r="U197" s="51">
        <f>W197+Y197</f>
        <v>0</v>
      </c>
      <c r="V197" s="52" t="e">
        <f>U197/$X$5*100</f>
        <v>#DIV/0!</v>
      </c>
      <c r="W197" s="53">
        <f>COUNTIFS('00 Encuesta'!$B$2:$B$511,"*e)*",'00 Encuesta'!$C$2:$C$511,"*c)*",'00 Encuesta'!$E$2:$E$511,"*a)*",'00 Encuesta'!$Y$2:$Y$511,"*c)*")</f>
        <v>0</v>
      </c>
      <c r="X197" s="52" t="e">
        <f>W197/$X$6*100</f>
        <v>#DIV/0!</v>
      </c>
      <c r="Y197" s="53">
        <f>COUNTIFS('00 Encuesta'!$B$2:$B$511,"*e)*",'00 Encuesta'!$C$2:$C$511,"*c)*",'00 Encuesta'!$E$2:$E$511,"*b)*",'00 Encuesta'!$Y$2:$Y$511,"*c)*")</f>
        <v>0</v>
      </c>
      <c r="Z197" s="52" t="e">
        <f>Y197/$X$7*100</f>
        <v>#DIV/0!</v>
      </c>
      <c r="AA197" s="3"/>
      <c r="AB197" s="62">
        <f>G197+N197+U197</f>
        <v>0</v>
      </c>
      <c r="AC197" s="52" t="e">
        <f>AB197*100/$AC$5</f>
        <v>#DIV/0!</v>
      </c>
      <c r="AD197" s="3"/>
      <c r="AE197" s="3"/>
      <c r="AF197" s="9" t="str">
        <f t="shared" si="225"/>
        <v>c) Religioso o parroquial</v>
      </c>
      <c r="AG197" s="72" t="e">
        <f>J197</f>
        <v>#DIV/0!</v>
      </c>
      <c r="AH197" s="72" t="e">
        <f>L197</f>
        <v>#DIV/0!</v>
      </c>
      <c r="AI197" s="73" t="e">
        <f>H197</f>
        <v>#DIV/0!</v>
      </c>
      <c r="AJ197" s="73"/>
      <c r="AK197" s="76" t="e">
        <f>Q197</f>
        <v>#DIV/0!</v>
      </c>
      <c r="AL197" s="76" t="e">
        <f>S197</f>
        <v>#DIV/0!</v>
      </c>
      <c r="AM197" s="76" t="e">
        <f>O197</f>
        <v>#DIV/0!</v>
      </c>
      <c r="AN197" s="76"/>
      <c r="AO197" s="81" t="e">
        <f>X197</f>
        <v>#DIV/0!</v>
      </c>
      <c r="AP197" s="81" t="e">
        <f>Z197</f>
        <v>#DIV/0!</v>
      </c>
      <c r="AQ197" s="81" t="e">
        <f>V197</f>
        <v>#DIV/0!</v>
      </c>
      <c r="AR197" s="3"/>
      <c r="AS197" s="76" t="e">
        <f t="shared" si="174"/>
        <v>#DIV/0!</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x14ac:dyDescent="0.3">
      <c r="A198" s="8" t="s">
        <v>21</v>
      </c>
      <c r="B198" s="9" t="s">
        <v>150</v>
      </c>
      <c r="C198" s="7"/>
      <c r="D198" s="7"/>
      <c r="E198" s="7"/>
      <c r="F198" s="71"/>
      <c r="G198" s="51">
        <f>I198+K198</f>
        <v>0</v>
      </c>
      <c r="H198" s="52" t="e">
        <f>G198/$J$5*100</f>
        <v>#DIV/0!</v>
      </c>
      <c r="I198" s="53">
        <f>COUNTIFS('00 Encuesta'!$B$2:$B$511,"*e)*",'00 Encuesta'!$C$2:$C$511,"*a)*",'00 Encuesta'!$E$2:$E$511,"*a)*",'00 Encuesta'!$Y$2:$Y$511,"*d)*")</f>
        <v>0</v>
      </c>
      <c r="J198" s="52" t="e">
        <f>I198/$J$6*100</f>
        <v>#DIV/0!</v>
      </c>
      <c r="K198" s="53">
        <f>COUNTIFS('00 Encuesta'!$B$2:$B$511,"*e)*",'00 Encuesta'!$C$2:$C$511,"*a)*",'00 Encuesta'!$E$2:$E$511,"*b)*",'00 Encuesta'!$Y$2:$Y$511,"*d)*")</f>
        <v>0</v>
      </c>
      <c r="L198" s="52" t="e">
        <f>K198/$J$7*100</f>
        <v>#DIV/0!</v>
      </c>
      <c r="M198" s="23"/>
      <c r="N198" s="51">
        <f>P198+R198</f>
        <v>0</v>
      </c>
      <c r="O198" s="52" t="e">
        <f>N198/$Q$5*100</f>
        <v>#DIV/0!</v>
      </c>
      <c r="P198" s="53">
        <f>COUNTIFS('00 Encuesta'!$B$2:$B$511,"*e)*",'00 Encuesta'!$C$2:$C$511,"*b)*",'00 Encuesta'!$E$2:$E$511,"*a)*",'00 Encuesta'!$Y$2:$Y$511,"*d)*")</f>
        <v>0</v>
      </c>
      <c r="Q198" s="52" t="e">
        <f>P198/$Q$6*100</f>
        <v>#DIV/0!</v>
      </c>
      <c r="R198" s="53">
        <f>COUNTIFS('00 Encuesta'!$B$2:$B$511,"*e)*",'00 Encuesta'!$C$2:$C$511,"*b)*",'00 Encuesta'!$E$2:$E$511,"*b)*",'00 Encuesta'!$Y$2:$Y$511,"*d)*")</f>
        <v>0</v>
      </c>
      <c r="S198" s="52" t="e">
        <f>R198/$Q$7*100</f>
        <v>#DIV/0!</v>
      </c>
      <c r="T198" s="3"/>
      <c r="U198" s="51">
        <f>W198+Y198</f>
        <v>0</v>
      </c>
      <c r="V198" s="52" t="e">
        <f>U198/$X$5*100</f>
        <v>#DIV/0!</v>
      </c>
      <c r="W198" s="53">
        <f>COUNTIFS('00 Encuesta'!$B$2:$B$511,"*e)*",'00 Encuesta'!$C$2:$C$511,"*c)*",'00 Encuesta'!$E$2:$E$511,"*a)*",'00 Encuesta'!$Y$2:$Y$511,"*d)*")</f>
        <v>0</v>
      </c>
      <c r="X198" s="52" t="e">
        <f>W198/$X$6*100</f>
        <v>#DIV/0!</v>
      </c>
      <c r="Y198" s="53">
        <f>COUNTIFS('00 Encuesta'!$B$2:$B$511,"*e)*",'00 Encuesta'!$C$2:$C$511,"*c)*",'00 Encuesta'!$E$2:$E$511,"*b)*",'00 Encuesta'!$Y$2:$Y$511,"*d)*")</f>
        <v>0</v>
      </c>
      <c r="Z198" s="52" t="e">
        <f>Y198/$X$7*100</f>
        <v>#DIV/0!</v>
      </c>
      <c r="AA198" s="3"/>
      <c r="AB198" s="62">
        <f>G198+N198+U198</f>
        <v>0</v>
      </c>
      <c r="AC198" s="52" t="e">
        <f>AB198*100/$AC$5</f>
        <v>#DIV/0!</v>
      </c>
      <c r="AD198" s="3"/>
      <c r="AE198" s="3"/>
      <c r="AF198" s="9" t="str">
        <f t="shared" si="225"/>
        <v>d) No pertenezco a ninguno.</v>
      </c>
      <c r="AG198" s="72" t="e">
        <f>J198</f>
        <v>#DIV/0!</v>
      </c>
      <c r="AH198" s="72" t="e">
        <f>L198</f>
        <v>#DIV/0!</v>
      </c>
      <c r="AI198" s="73" t="e">
        <f>H198</f>
        <v>#DIV/0!</v>
      </c>
      <c r="AJ198" s="73"/>
      <c r="AK198" s="76" t="e">
        <f>Q198</f>
        <v>#DIV/0!</v>
      </c>
      <c r="AL198" s="76" t="e">
        <f>S198</f>
        <v>#DIV/0!</v>
      </c>
      <c r="AM198" s="76" t="e">
        <f>O198</f>
        <v>#DIV/0!</v>
      </c>
      <c r="AN198" s="76"/>
      <c r="AO198" s="81" t="e">
        <f>X198</f>
        <v>#DIV/0!</v>
      </c>
      <c r="AP198" s="81" t="e">
        <f>Z198</f>
        <v>#DIV/0!</v>
      </c>
      <c r="AQ198" s="81" t="e">
        <f>V198</f>
        <v>#DIV/0!</v>
      </c>
      <c r="AR198" s="3"/>
      <c r="AS198" s="76" t="e">
        <f t="shared" si="174"/>
        <v>#DIV/0!</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x14ac:dyDescent="0.3">
      <c r="A199" s="8" t="s">
        <v>23</v>
      </c>
      <c r="B199" s="9" t="s">
        <v>24</v>
      </c>
      <c r="C199" s="7"/>
      <c r="D199" s="7"/>
      <c r="E199" s="7"/>
      <c r="F199" s="71"/>
      <c r="G199" s="51">
        <f>I199+K199</f>
        <v>0</v>
      </c>
      <c r="H199" s="52" t="e">
        <f>G199/$J$5*100</f>
        <v>#DIV/0!</v>
      </c>
      <c r="I199" s="53"/>
      <c r="J199" s="52" t="e">
        <f>I199/$J$6*100</f>
        <v>#DIV/0!</v>
      </c>
      <c r="K199" s="53"/>
      <c r="L199" s="52" t="e">
        <f>K199/$J$7*100</f>
        <v>#DIV/0!</v>
      </c>
      <c r="M199" s="23"/>
      <c r="N199" s="51">
        <f>P199+R199</f>
        <v>0</v>
      </c>
      <c r="O199" s="52" t="e">
        <f>N199/$Q$5*100</f>
        <v>#DIV/0!</v>
      </c>
      <c r="P199" s="53"/>
      <c r="Q199" s="52" t="e">
        <f>P199/$Q$6*100</f>
        <v>#DIV/0!</v>
      </c>
      <c r="R199" s="53"/>
      <c r="S199" s="52" t="e">
        <f>R199/$Q$7*100</f>
        <v>#DIV/0!</v>
      </c>
      <c r="T199" s="3"/>
      <c r="U199" s="51">
        <f>W199+Y199</f>
        <v>0</v>
      </c>
      <c r="V199" s="52" t="e">
        <f>U199/$X$5*100</f>
        <v>#DIV/0!</v>
      </c>
      <c r="W199" s="53"/>
      <c r="X199" s="52" t="e">
        <f>W199/$X$6*100</f>
        <v>#DIV/0!</v>
      </c>
      <c r="Y199" s="53"/>
      <c r="Z199" s="52" t="e">
        <f>Y199/$X$7*100</f>
        <v>#DIV/0!</v>
      </c>
      <c r="AA199" s="3"/>
      <c r="AB199" s="62">
        <f>G199+N199+U199</f>
        <v>0</v>
      </c>
      <c r="AC199" s="52" t="e">
        <f>AB199*100/$AC$5</f>
        <v>#DIV/0!</v>
      </c>
      <c r="AD199" s="3"/>
      <c r="AE199" s="3"/>
      <c r="AF199" s="9" t="str">
        <f t="shared" si="225"/>
        <v>S/R Sin Respuesta</v>
      </c>
      <c r="AG199" s="72" t="e">
        <f>J199</f>
        <v>#DIV/0!</v>
      </c>
      <c r="AH199" s="72" t="e">
        <f>L199</f>
        <v>#DIV/0!</v>
      </c>
      <c r="AI199" s="73" t="e">
        <f>H199</f>
        <v>#DIV/0!</v>
      </c>
      <c r="AJ199" s="73"/>
      <c r="AK199" s="76" t="e">
        <f>Q199</f>
        <v>#DIV/0!</v>
      </c>
      <c r="AL199" s="76" t="e">
        <f>S199</f>
        <v>#DIV/0!</v>
      </c>
      <c r="AM199" s="76" t="e">
        <f>O199</f>
        <v>#DIV/0!</v>
      </c>
      <c r="AN199" s="76"/>
      <c r="AO199" s="81" t="e">
        <f>X199</f>
        <v>#DIV/0!</v>
      </c>
      <c r="AP199" s="81" t="e">
        <f>Z199</f>
        <v>#DIV/0!</v>
      </c>
      <c r="AQ199" s="81" t="e">
        <f>V199</f>
        <v>#DIV/0!</v>
      </c>
      <c r="AR199" s="3"/>
      <c r="AS199" s="76" t="e">
        <f t="shared" si="174"/>
        <v>#DIV/0!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x14ac:dyDescent="0.3">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x14ac:dyDescent="0.3">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x14ac:dyDescent="0.3">
      <c r="A202" s="8" t="s">
        <v>17</v>
      </c>
      <c r="B202" s="9" t="s">
        <v>152</v>
      </c>
      <c r="C202" s="7"/>
      <c r="D202" s="7"/>
      <c r="E202" s="7"/>
      <c r="F202" s="71"/>
      <c r="G202" s="51">
        <f>I202+K202</f>
        <v>0</v>
      </c>
      <c r="H202" s="52" t="e">
        <f>G202/$J$5*100</f>
        <v>#DIV/0!</v>
      </c>
      <c r="I202" s="53">
        <f>COUNTIFS('00 Encuesta'!$B$2:$B$511,"*e)*",'00 Encuesta'!$C$2:$C$511,"*a)*",'00 Encuesta'!$E$2:$E$511,"*a)*",'00 Encuesta'!$Z$2:$Z$511,"*a)*")</f>
        <v>0</v>
      </c>
      <c r="J202" s="52" t="e">
        <f>I202/$J$6*100</f>
        <v>#DIV/0!</v>
      </c>
      <c r="K202" s="53">
        <f>COUNTIFS('00 Encuesta'!$B$2:$B$511,"*e)*",'00 Encuesta'!$C$2:$C$511,"*a)*",'00 Encuesta'!$E$2:$E$511,"*b)*",'00 Encuesta'!$Z$2:$Z$511,"*a)*")</f>
        <v>0</v>
      </c>
      <c r="L202" s="52" t="e">
        <f>K202/$J$7*100</f>
        <v>#DIV/0!</v>
      </c>
      <c r="M202" s="23"/>
      <c r="N202" s="51">
        <f>P202+R202</f>
        <v>0</v>
      </c>
      <c r="O202" s="52" t="e">
        <f>N202/$Q$5*100</f>
        <v>#DIV/0!</v>
      </c>
      <c r="P202" s="53">
        <f>COUNTIFS('00 Encuesta'!$B$2:$B$511,"*e)*",'00 Encuesta'!$C$2:$C$511,"*b)*",'00 Encuesta'!$E$2:$E$511,"*a)*",'00 Encuesta'!$Z$2:$Z$511,"*a)*")</f>
        <v>0</v>
      </c>
      <c r="Q202" s="52" t="e">
        <f>P202/$Q$6*100</f>
        <v>#DIV/0!</v>
      </c>
      <c r="R202" s="53">
        <f>COUNTIFS('00 Encuesta'!$B$2:$B$511,"*e)*",'00 Encuesta'!$C$2:$C$511,"*b)*",'00 Encuesta'!$E$2:$E$511,"*b)*",'00 Encuesta'!$Z$2:$Z$511,"*a)*")</f>
        <v>0</v>
      </c>
      <c r="S202" s="52" t="e">
        <f>R202/$Q$7*100</f>
        <v>#DIV/0!</v>
      </c>
      <c r="T202" s="3"/>
      <c r="U202" s="51">
        <f>W202+Y202</f>
        <v>0</v>
      </c>
      <c r="V202" s="52" t="e">
        <f>U202/$X$5*100</f>
        <v>#DIV/0!</v>
      </c>
      <c r="W202" s="53">
        <f>COUNTIFS('00 Encuesta'!$B$2:$B$511,"*e)*",'00 Encuesta'!$C$2:$C$511,"*c)*",'00 Encuesta'!$E$2:$E$511,"*a)*",'00 Encuesta'!$Z$2:$Z$511,"*a)*")</f>
        <v>0</v>
      </c>
      <c r="X202" s="52" t="e">
        <f>W202/$X$6*100</f>
        <v>#DIV/0!</v>
      </c>
      <c r="Y202" s="53">
        <f>COUNTIFS('00 Encuesta'!$B$2:$B$511,"*e)*",'00 Encuesta'!$C$2:$C$511,"*c)*",'00 Encuesta'!$E$2:$E$511,"*b)*",'00 Encuesta'!$Z$2:$Z$511,"*a)*")</f>
        <v>0</v>
      </c>
      <c r="Z202" s="52" t="e">
        <f>Y202/$X$7*100</f>
        <v>#DIV/0!</v>
      </c>
      <c r="AA202" s="3"/>
      <c r="AB202" s="62">
        <f>G202+N202+U202</f>
        <v>0</v>
      </c>
      <c r="AC202" s="52" t="e">
        <f>AB202*100/$AC$5</f>
        <v>#DIV/0!</v>
      </c>
      <c r="AD202" s="3"/>
      <c r="AE202" s="3"/>
      <c r="AF202" s="9" t="str">
        <f t="shared" si="226"/>
        <v>a) Un grupo donde profundizo mi fe</v>
      </c>
      <c r="AG202" s="72" t="e">
        <f>J202</f>
        <v>#DIV/0!</v>
      </c>
      <c r="AH202" s="72" t="e">
        <f>L202</f>
        <v>#DIV/0!</v>
      </c>
      <c r="AI202" s="73" t="e">
        <f>H202</f>
        <v>#DIV/0!</v>
      </c>
      <c r="AJ202" s="73"/>
      <c r="AK202" s="76" t="e">
        <f>Q202</f>
        <v>#DIV/0!</v>
      </c>
      <c r="AL202" s="76" t="e">
        <f>S202</f>
        <v>#DIV/0!</v>
      </c>
      <c r="AM202" s="76" t="e">
        <f>O202</f>
        <v>#DIV/0!</v>
      </c>
      <c r="AN202" s="76"/>
      <c r="AO202" s="81" t="e">
        <f>X202</f>
        <v>#DIV/0!</v>
      </c>
      <c r="AP202" s="81" t="e">
        <f>Z202</f>
        <v>#DIV/0!</v>
      </c>
      <c r="AQ202" s="81" t="e">
        <f>V202</f>
        <v>#DIV/0!</v>
      </c>
      <c r="AR202" s="3"/>
      <c r="AS202" s="76" t="e">
        <f t="shared" si="174"/>
        <v>#DIV/0!</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0</v>
      </c>
      <c r="H203" s="52" t="e">
        <f>G203/$J$5*100</f>
        <v>#DIV/0!</v>
      </c>
      <c r="I203" s="53">
        <f>COUNTIFS('00 Encuesta'!$B$2:$B$511,"*e)*",'00 Encuesta'!$C$2:$C$511,"*a)*",'00 Encuesta'!$E$2:$E$511,"*a)*",'00 Encuesta'!$Z$2:$Z$511,"*b)*")</f>
        <v>0</v>
      </c>
      <c r="J203" s="52" t="e">
        <f>I203/$J$6*100</f>
        <v>#DIV/0!</v>
      </c>
      <c r="K203" s="53">
        <f>COUNTIFS('00 Encuesta'!$B$2:$B$511,"*e)*",'00 Encuesta'!$C$2:$C$511,"*a)*",'00 Encuesta'!$E$2:$E$511,"*b)*",'00 Encuesta'!$Z$2:$Z$511,"*b)*")</f>
        <v>0</v>
      </c>
      <c r="L203" s="52" t="e">
        <f>K203/$J$7*100</f>
        <v>#DIV/0!</v>
      </c>
      <c r="M203" s="23"/>
      <c r="N203" s="51">
        <f>P203+R203</f>
        <v>0</v>
      </c>
      <c r="O203" s="52" t="e">
        <f>N203/$Q$5*100</f>
        <v>#DIV/0!</v>
      </c>
      <c r="P203" s="53">
        <f>COUNTIFS('00 Encuesta'!$B$2:$B$511,"*e)*",'00 Encuesta'!$C$2:$C$511,"*b)*",'00 Encuesta'!$E$2:$E$511,"*a)*",'00 Encuesta'!$Z$2:$Z$511,"*b)*")</f>
        <v>0</v>
      </c>
      <c r="Q203" s="52" t="e">
        <f>P203/$Q$6*100</f>
        <v>#DIV/0!</v>
      </c>
      <c r="R203" s="53">
        <f>COUNTIFS('00 Encuesta'!$B$2:$B$511,"*e)*",'00 Encuesta'!$C$2:$C$511,"*b)*",'00 Encuesta'!$E$2:$E$511,"*b)*",'00 Encuesta'!$Z$2:$Z$511,"*b)*")</f>
        <v>0</v>
      </c>
      <c r="S203" s="52" t="e">
        <f>R203/$Q$7*100</f>
        <v>#DIV/0!</v>
      </c>
      <c r="T203" s="3"/>
      <c r="U203" s="51">
        <f>W203+Y203</f>
        <v>0</v>
      </c>
      <c r="V203" s="52" t="e">
        <f>U203/$X$5*100</f>
        <v>#DIV/0!</v>
      </c>
      <c r="W203" s="53">
        <f>COUNTIFS('00 Encuesta'!$B$2:$B$511,"*e)*",'00 Encuesta'!$C$2:$C$511,"*c)*",'00 Encuesta'!$E$2:$E$511,"*a)*",'00 Encuesta'!$Z$2:$Z$511,"*b)*")</f>
        <v>0</v>
      </c>
      <c r="X203" s="52" t="e">
        <f>W203/$X$6*100</f>
        <v>#DIV/0!</v>
      </c>
      <c r="Y203" s="53">
        <f>COUNTIFS('00 Encuesta'!$B$2:$B$511,"*e)*",'00 Encuesta'!$C$2:$C$511,"*c)*",'00 Encuesta'!$E$2:$E$511,"*b)*",'00 Encuesta'!$Z$2:$Z$511,"*b)*")</f>
        <v>0</v>
      </c>
      <c r="Z203" s="52" t="e">
        <f>Y203/$X$7*100</f>
        <v>#DIV/0!</v>
      </c>
      <c r="AA203" s="3"/>
      <c r="AB203" s="62">
        <f>G203+N203+U203</f>
        <v>0</v>
      </c>
      <c r="AC203" s="52" t="e">
        <f>AB203*100/$AC$5</f>
        <v>#DIV/0!</v>
      </c>
      <c r="AD203" s="3"/>
      <c r="AE203" s="3"/>
      <c r="AF203" s="9" t="str">
        <f t="shared" si="226"/>
        <v>b) Un lugar donde comparto con mis compañeros</v>
      </c>
      <c r="AG203" s="72" t="e">
        <f>J203</f>
        <v>#DIV/0!</v>
      </c>
      <c r="AH203" s="72" t="e">
        <f>L203</f>
        <v>#DIV/0!</v>
      </c>
      <c r="AI203" s="73" t="e">
        <f>H203</f>
        <v>#DIV/0!</v>
      </c>
      <c r="AJ203" s="73"/>
      <c r="AK203" s="76" t="e">
        <f>Q203</f>
        <v>#DIV/0!</v>
      </c>
      <c r="AL203" s="76" t="e">
        <f>S203</f>
        <v>#DIV/0!</v>
      </c>
      <c r="AM203" s="76" t="e">
        <f>O203</f>
        <v>#DIV/0!</v>
      </c>
      <c r="AN203" s="76"/>
      <c r="AO203" s="81" t="e">
        <f>X203</f>
        <v>#DIV/0!</v>
      </c>
      <c r="AP203" s="81" t="e">
        <f>Z203</f>
        <v>#DIV/0!</v>
      </c>
      <c r="AQ203" s="81" t="e">
        <f>V203</f>
        <v>#DIV/0!</v>
      </c>
      <c r="AR203" s="3"/>
      <c r="AS203" s="76" t="e">
        <f t="shared" si="174"/>
        <v>#DIV/0!</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x14ac:dyDescent="0.3">
      <c r="A204" s="8" t="s">
        <v>20</v>
      </c>
      <c r="B204" s="9" t="s">
        <v>154</v>
      </c>
      <c r="C204" s="7"/>
      <c r="D204" s="7"/>
      <c r="E204" s="7"/>
      <c r="F204" s="71"/>
      <c r="G204" s="51">
        <f>I204+K204</f>
        <v>0</v>
      </c>
      <c r="H204" s="52" t="e">
        <f>G204/$J$5*100</f>
        <v>#DIV/0!</v>
      </c>
      <c r="I204" s="53">
        <f>COUNTIFS('00 Encuesta'!$B$2:$B$511,"*e)*",'00 Encuesta'!$C$2:$C$511,"*a)*",'00 Encuesta'!$E$2:$E$511,"*a)*",'00 Encuesta'!$Z$2:$Z$511,"*c)*")</f>
        <v>0</v>
      </c>
      <c r="J204" s="52" t="e">
        <f>I204/$J$6*100</f>
        <v>#DIV/0!</v>
      </c>
      <c r="K204" s="53">
        <f>COUNTIFS('00 Encuesta'!$B$2:$B$511,"*e)*",'00 Encuesta'!$C$2:$C$511,"*a)*",'00 Encuesta'!$E$2:$E$511,"*b)*",'00 Encuesta'!$Z$2:$Z$511,"*c)*")</f>
        <v>0</v>
      </c>
      <c r="L204" s="52" t="e">
        <f>K204/$J$7*100</f>
        <v>#DIV/0!</v>
      </c>
      <c r="M204" s="23"/>
      <c r="N204" s="51">
        <f>P204+R204</f>
        <v>0</v>
      </c>
      <c r="O204" s="52" t="e">
        <f>N204/$Q$5*100</f>
        <v>#DIV/0!</v>
      </c>
      <c r="P204" s="53">
        <f>COUNTIFS('00 Encuesta'!$B$2:$B$511,"*e)*",'00 Encuesta'!$C$2:$C$511,"*b)*",'00 Encuesta'!$E$2:$E$511,"*a)*",'00 Encuesta'!$Z$2:$Z$511,"*c)*")</f>
        <v>0</v>
      </c>
      <c r="Q204" s="52" t="e">
        <f>P204/$Q$6*100</f>
        <v>#DIV/0!</v>
      </c>
      <c r="R204" s="53">
        <f>COUNTIFS('00 Encuesta'!$B$2:$B$511,"*e)*",'00 Encuesta'!$C$2:$C$511,"*b)*",'00 Encuesta'!$E$2:$E$511,"*b)*",'00 Encuesta'!$Z$2:$Z$511,"*c)*")</f>
        <v>0</v>
      </c>
      <c r="S204" s="52" t="e">
        <f>R204/$Q$7*100</f>
        <v>#DIV/0!</v>
      </c>
      <c r="T204" s="3"/>
      <c r="U204" s="51">
        <f>W204+Y204</f>
        <v>0</v>
      </c>
      <c r="V204" s="52" t="e">
        <f>U204/$X$5*100</f>
        <v>#DIV/0!</v>
      </c>
      <c r="W204" s="53">
        <f>COUNTIFS('00 Encuesta'!$B$2:$B$511,"*e)*",'00 Encuesta'!$C$2:$C$511,"*c)*",'00 Encuesta'!$E$2:$E$511,"*a)*",'00 Encuesta'!$Z$2:$Z$511,"*c)*")</f>
        <v>0</v>
      </c>
      <c r="X204" s="52" t="e">
        <f>W204/$X$6*100</f>
        <v>#DIV/0!</v>
      </c>
      <c r="Y204" s="53">
        <f>COUNTIFS('00 Encuesta'!$B$2:$B$511,"*e)*",'00 Encuesta'!$C$2:$C$511,"*c)*",'00 Encuesta'!$E$2:$E$511,"*b)*",'00 Encuesta'!$Z$2:$Z$511,"*c)*")</f>
        <v>0</v>
      </c>
      <c r="Z204" s="52" t="e">
        <f>Y204/$X$7*100</f>
        <v>#DIV/0!</v>
      </c>
      <c r="AA204" s="3"/>
      <c r="AB204" s="62">
        <f>G204+N204+U204</f>
        <v>0</v>
      </c>
      <c r="AC204" s="52" t="e">
        <f>AB204*100/$AC$5</f>
        <v>#DIV/0!</v>
      </c>
      <c r="AD204" s="3"/>
      <c r="AE204" s="3"/>
      <c r="AF204" s="9" t="str">
        <f t="shared" si="226"/>
        <v>c) Un lugar donde me lo paso bien</v>
      </c>
      <c r="AG204" s="72" t="e">
        <f>J204</f>
        <v>#DIV/0!</v>
      </c>
      <c r="AH204" s="72" t="e">
        <f>L204</f>
        <v>#DIV/0!</v>
      </c>
      <c r="AI204" s="73" t="e">
        <f>H204</f>
        <v>#DIV/0!</v>
      </c>
      <c r="AJ204" s="73"/>
      <c r="AK204" s="76" t="e">
        <f>Q204</f>
        <v>#DIV/0!</v>
      </c>
      <c r="AL204" s="76" t="e">
        <f>S204</f>
        <v>#DIV/0!</v>
      </c>
      <c r="AM204" s="76" t="e">
        <f>O204</f>
        <v>#DIV/0!</v>
      </c>
      <c r="AN204" s="76"/>
      <c r="AO204" s="81" t="e">
        <f>X204</f>
        <v>#DIV/0!</v>
      </c>
      <c r="AP204" s="81" t="e">
        <f>Z204</f>
        <v>#DIV/0!</v>
      </c>
      <c r="AQ204" s="81" t="e">
        <f>V204</f>
        <v>#DIV/0!</v>
      </c>
      <c r="AR204" s="3"/>
      <c r="AS204" s="76" t="e">
        <f t="shared" si="174"/>
        <v>#DIV/0!</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x14ac:dyDescent="0.3">
      <c r="A205" s="8" t="s">
        <v>21</v>
      </c>
      <c r="B205" s="9" t="s">
        <v>155</v>
      </c>
      <c r="C205" s="7"/>
      <c r="D205" s="7"/>
      <c r="E205" s="7"/>
      <c r="F205" s="71"/>
      <c r="G205" s="51">
        <f>I205+K205</f>
        <v>0</v>
      </c>
      <c r="H205" s="52" t="e">
        <f>G205/$J$5*100</f>
        <v>#DIV/0!</v>
      </c>
      <c r="I205" s="53">
        <f>COUNTIFS('00 Encuesta'!$B$2:$B$511,"*e)*",'00 Encuesta'!$C$2:$C$511,"*a)*",'00 Encuesta'!$E$2:$E$511,"*a)*",'00 Encuesta'!$Z$2:$Z$511,"*d)*")</f>
        <v>0</v>
      </c>
      <c r="J205" s="52" t="e">
        <f>I205/$J$6*100</f>
        <v>#DIV/0!</v>
      </c>
      <c r="K205" s="53">
        <f>COUNTIFS('00 Encuesta'!$B$2:$B$511,"*e)*",'00 Encuesta'!$C$2:$C$511,"*a)*",'00 Encuesta'!$E$2:$E$511,"*b)*",'00 Encuesta'!$Z$2:$Z$511,"*d)*")</f>
        <v>0</v>
      </c>
      <c r="L205" s="52" t="e">
        <f>K205/$J$7*100</f>
        <v>#DIV/0!</v>
      </c>
      <c r="M205" s="23"/>
      <c r="N205" s="51">
        <f>P205+R205</f>
        <v>0</v>
      </c>
      <c r="O205" s="52" t="e">
        <f>N205/$Q$5*100</f>
        <v>#DIV/0!</v>
      </c>
      <c r="P205" s="53">
        <f>COUNTIFS('00 Encuesta'!$B$2:$B$511,"*e)*",'00 Encuesta'!$C$2:$C$511,"*b)*",'00 Encuesta'!$E$2:$E$511,"*a)*",'00 Encuesta'!$Z$2:$Z$511,"*d)*")</f>
        <v>0</v>
      </c>
      <c r="Q205" s="52" t="e">
        <f>P205/$Q$6*100</f>
        <v>#DIV/0!</v>
      </c>
      <c r="R205" s="53">
        <f>COUNTIFS('00 Encuesta'!$B$2:$B$511,"*e)*",'00 Encuesta'!$C$2:$C$511,"*b)*",'00 Encuesta'!$E$2:$E$511,"*b)*",'00 Encuesta'!$Z$2:$Z$511,"*d)*")</f>
        <v>0</v>
      </c>
      <c r="S205" s="52" t="e">
        <f>R205/$Q$7*100</f>
        <v>#DIV/0!</v>
      </c>
      <c r="T205" s="3"/>
      <c r="U205" s="51">
        <f>W205+Y205</f>
        <v>0</v>
      </c>
      <c r="V205" s="52" t="e">
        <f>U205/$X$5*100</f>
        <v>#DIV/0!</v>
      </c>
      <c r="W205" s="53">
        <f>COUNTIFS('00 Encuesta'!$B$2:$B$511,"*e)*",'00 Encuesta'!$C$2:$C$511,"*c)*",'00 Encuesta'!$E$2:$E$511,"*a)*",'00 Encuesta'!$Z$2:$Z$511,"*d)*")</f>
        <v>0</v>
      </c>
      <c r="X205" s="52" t="e">
        <f>W205/$X$6*100</f>
        <v>#DIV/0!</v>
      </c>
      <c r="Y205" s="53">
        <f>COUNTIFS('00 Encuesta'!$B$2:$B$511,"*e)*",'00 Encuesta'!$C$2:$C$511,"*c)*",'00 Encuesta'!$E$2:$E$511,"*b)*",'00 Encuesta'!$Z$2:$Z$511,"*d)*")</f>
        <v>0</v>
      </c>
      <c r="Z205" s="52" t="e">
        <f>Y205/$X$7*100</f>
        <v>#DIV/0!</v>
      </c>
      <c r="AA205" s="3"/>
      <c r="AB205" s="62">
        <f>G205+N205+U205</f>
        <v>0</v>
      </c>
      <c r="AC205" s="52" t="e">
        <f>AB205*100/$AC$5</f>
        <v>#DIV/0!</v>
      </c>
      <c r="AD205" s="3"/>
      <c r="AE205" s="3"/>
      <c r="AF205" s="9" t="str">
        <f t="shared" si="226"/>
        <v>d) No pertenezco a grupos juveniles cristianos</v>
      </c>
      <c r="AG205" s="72" t="e">
        <f>J205</f>
        <v>#DIV/0!</v>
      </c>
      <c r="AH205" s="72" t="e">
        <f>L205</f>
        <v>#DIV/0!</v>
      </c>
      <c r="AI205" s="73" t="e">
        <f>H205</f>
        <v>#DIV/0!</v>
      </c>
      <c r="AJ205" s="73"/>
      <c r="AK205" s="76" t="e">
        <f>Q205</f>
        <v>#DIV/0!</v>
      </c>
      <c r="AL205" s="76" t="e">
        <f>S205</f>
        <v>#DIV/0!</v>
      </c>
      <c r="AM205" s="76" t="e">
        <f>O205</f>
        <v>#DIV/0!</v>
      </c>
      <c r="AN205" s="76"/>
      <c r="AO205" s="81" t="e">
        <f>X205</f>
        <v>#DIV/0!</v>
      </c>
      <c r="AP205" s="81" t="e">
        <f>Z205</f>
        <v>#DIV/0!</v>
      </c>
      <c r="AQ205" s="81" t="e">
        <f>V205</f>
        <v>#DIV/0!</v>
      </c>
      <c r="AR205" s="3"/>
      <c r="AS205" s="76" t="e">
        <f t="shared" si="174"/>
        <v>#DIV/0!</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x14ac:dyDescent="0.3">
      <c r="A206" s="8" t="s">
        <v>23</v>
      </c>
      <c r="B206" s="9" t="s">
        <v>24</v>
      </c>
      <c r="C206" s="7"/>
      <c r="D206" s="7"/>
      <c r="E206" s="7"/>
      <c r="F206" s="71"/>
      <c r="G206" s="51">
        <f>I206+K206</f>
        <v>0</v>
      </c>
      <c r="H206" s="52" t="e">
        <f>G206/$J$5*100</f>
        <v>#DIV/0!</v>
      </c>
      <c r="I206" s="53"/>
      <c r="J206" s="52" t="e">
        <f>I206/$J$6*100</f>
        <v>#DIV/0!</v>
      </c>
      <c r="K206" s="53"/>
      <c r="L206" s="52" t="e">
        <f>K206/$J$7*100</f>
        <v>#DIV/0!</v>
      </c>
      <c r="M206" s="23"/>
      <c r="N206" s="51">
        <f>P206+R206</f>
        <v>0</v>
      </c>
      <c r="O206" s="52" t="e">
        <f>N206/$Q$5*100</f>
        <v>#DIV/0!</v>
      </c>
      <c r="P206" s="53"/>
      <c r="Q206" s="52" t="e">
        <f>P206/$Q$6*100</f>
        <v>#DIV/0!</v>
      </c>
      <c r="R206" s="53"/>
      <c r="S206" s="52" t="e">
        <f>R206/$Q$7*100</f>
        <v>#DIV/0!</v>
      </c>
      <c r="T206" s="3"/>
      <c r="U206" s="51">
        <f>W206+Y206</f>
        <v>0</v>
      </c>
      <c r="V206" s="52" t="e">
        <f>U206/$X$5*100</f>
        <v>#DIV/0!</v>
      </c>
      <c r="W206" s="53"/>
      <c r="X206" s="52" t="e">
        <f>W206/$X$6*100</f>
        <v>#DIV/0!</v>
      </c>
      <c r="Y206" s="53"/>
      <c r="Z206" s="52" t="e">
        <f>Y206/$X$7*100</f>
        <v>#DIV/0!</v>
      </c>
      <c r="AA206" s="3"/>
      <c r="AB206" s="62">
        <f>G206+N206+U206</f>
        <v>0</v>
      </c>
      <c r="AC206" s="52" t="e">
        <f>AB206*100/$AC$5</f>
        <v>#DIV/0!</v>
      </c>
      <c r="AD206" s="3"/>
      <c r="AE206" s="3"/>
      <c r="AF206" s="9" t="str">
        <f t="shared" si="226"/>
        <v>S/R Sin Respuesta</v>
      </c>
      <c r="AG206" s="72" t="e">
        <f>J206</f>
        <v>#DIV/0!</v>
      </c>
      <c r="AH206" s="72" t="e">
        <f>L206</f>
        <v>#DIV/0!</v>
      </c>
      <c r="AI206" s="73" t="e">
        <f>H206</f>
        <v>#DIV/0!</v>
      </c>
      <c r="AJ206" s="73"/>
      <c r="AK206" s="76" t="e">
        <f>Q206</f>
        <v>#DIV/0!</v>
      </c>
      <c r="AL206" s="76" t="e">
        <f>S206</f>
        <v>#DIV/0!</v>
      </c>
      <c r="AM206" s="76" t="e">
        <f>O206</f>
        <v>#DIV/0!</v>
      </c>
      <c r="AN206" s="76"/>
      <c r="AO206" s="81" t="e">
        <f>X206</f>
        <v>#DIV/0!</v>
      </c>
      <c r="AP206" s="81" t="e">
        <f>Z206</f>
        <v>#DIV/0!</v>
      </c>
      <c r="AQ206" s="81" t="e">
        <f>V206</f>
        <v>#DIV/0!</v>
      </c>
      <c r="AR206" s="3"/>
      <c r="AS206" s="76" t="e">
        <f t="shared" si="174"/>
        <v>#DIV/0!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x14ac:dyDescent="0.3">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x14ac:dyDescent="0.3">
      <c r="A209" s="8" t="s">
        <v>17</v>
      </c>
      <c r="B209" s="9" t="s">
        <v>49</v>
      </c>
      <c r="C209" s="7"/>
      <c r="D209" s="7"/>
      <c r="E209" s="7"/>
      <c r="F209" s="71"/>
      <c r="G209" s="51">
        <f>I209+K209</f>
        <v>0</v>
      </c>
      <c r="H209" s="52" t="e">
        <f>G209/$J$5*100</f>
        <v>#DIV/0!</v>
      </c>
      <c r="I209" s="53">
        <f>COUNTIFS('00 Encuesta'!$B$2:$B$511,"*e)*",'00 Encuesta'!$C$2:$C$511,"*a)*",'00 Encuesta'!$E$2:$E$511,"*a)*",'00 Encuesta'!$AA$2:$AA$511,"*a)*")</f>
        <v>0</v>
      </c>
      <c r="J209" s="52" t="e">
        <f>I209/$J$6*100</f>
        <v>#DIV/0!</v>
      </c>
      <c r="K209" s="53">
        <f>COUNTIFS('00 Encuesta'!$B$2:$B$511,"*e)*",'00 Encuesta'!$C$2:$C$511,"*a)*",'00 Encuesta'!$E$2:$E$511,"*b)*",'00 Encuesta'!$AA$2:$AA$511,"*a)*")</f>
        <v>0</v>
      </c>
      <c r="L209" s="52" t="e">
        <f>K209/$J$7*100</f>
        <v>#DIV/0!</v>
      </c>
      <c r="M209" s="23"/>
      <c r="N209" s="51">
        <f>P209+R209</f>
        <v>0</v>
      </c>
      <c r="O209" s="52" t="e">
        <f>N209/$Q$5*100</f>
        <v>#DIV/0!</v>
      </c>
      <c r="P209" s="53">
        <f>COUNTIFS('00 Encuesta'!$B$2:$B$511,"*e)*",'00 Encuesta'!$C$2:$C$511,"*b)*",'00 Encuesta'!$E$2:$E$511,"*a)*",'00 Encuesta'!$AA$2:$AA$511,"*a)*")</f>
        <v>0</v>
      </c>
      <c r="Q209" s="52" t="e">
        <f>P209/$Q$6*100</f>
        <v>#DIV/0!</v>
      </c>
      <c r="R209" s="53">
        <f>COUNTIFS('00 Encuesta'!$B$2:$B$511,"*e)*",'00 Encuesta'!$C$2:$C$511,"*b)*",'00 Encuesta'!$E$2:$E$511,"*b)*",'00 Encuesta'!$AA$2:$AA$511,"*a)*")</f>
        <v>0</v>
      </c>
      <c r="S209" s="52" t="e">
        <f>R209/$Q$7*100</f>
        <v>#DIV/0!</v>
      </c>
      <c r="T209" s="3"/>
      <c r="U209" s="51">
        <f>W209+Y209</f>
        <v>0</v>
      </c>
      <c r="V209" s="52" t="e">
        <f>U209/$X$5*100</f>
        <v>#DIV/0!</v>
      </c>
      <c r="W209" s="53">
        <f>COUNTIFS('00 Encuesta'!$B$2:$B$511,"*e)*",'00 Encuesta'!$C$2:$C$511,"*c)*",'00 Encuesta'!$E$2:$E$511,"*a)*",'00 Encuesta'!$AA$2:$AA$511,"*a)*")</f>
        <v>0</v>
      </c>
      <c r="X209" s="52" t="e">
        <f>W209/$X$6*100</f>
        <v>#DIV/0!</v>
      </c>
      <c r="Y209" s="53">
        <f>COUNTIFS('00 Encuesta'!$B$2:$B$511,"*e)*",'00 Encuesta'!$C$2:$C$511,"*c)*",'00 Encuesta'!$E$2:$E$511,"*b)*",'00 Encuesta'!$AA$2:$AA$511,"*a)*")</f>
        <v>0</v>
      </c>
      <c r="Z209" s="52" t="e">
        <f>Y209/$X$7*100</f>
        <v>#DIV/0!</v>
      </c>
      <c r="AA209" s="3"/>
      <c r="AB209" s="62">
        <f>G209+N209+U209</f>
        <v>0</v>
      </c>
      <c r="AC209" s="52" t="e">
        <f>AB209*100/$AC$5</f>
        <v>#DIV/0!</v>
      </c>
      <c r="AD209" s="3"/>
      <c r="AE209" s="3"/>
      <c r="AF209" s="9" t="str">
        <f>A209&amp;" "&amp;B209</f>
        <v>a) Si</v>
      </c>
      <c r="AG209" s="72" t="e">
        <f>J209</f>
        <v>#DIV/0!</v>
      </c>
      <c r="AH209" s="72" t="e">
        <f>L209</f>
        <v>#DIV/0!</v>
      </c>
      <c r="AI209" s="73" t="e">
        <f>H209</f>
        <v>#DIV/0!</v>
      </c>
      <c r="AJ209" s="73"/>
      <c r="AK209" s="76" t="e">
        <f>Q209</f>
        <v>#DIV/0!</v>
      </c>
      <c r="AL209" s="76" t="e">
        <f>S209</f>
        <v>#DIV/0!</v>
      </c>
      <c r="AM209" s="76" t="e">
        <f>O209</f>
        <v>#DIV/0!</v>
      </c>
      <c r="AN209" s="76"/>
      <c r="AO209" s="81" t="e">
        <f>X209</f>
        <v>#DIV/0!</v>
      </c>
      <c r="AP209" s="81" t="e">
        <f>Z209</f>
        <v>#DIV/0!</v>
      </c>
      <c r="AQ209" s="81" t="e">
        <f>V209</f>
        <v>#DIV/0!</v>
      </c>
      <c r="AR209" s="3"/>
      <c r="AS209" s="76" t="e">
        <f t="shared" ref="AS209:AS270" si="227">AC209</f>
        <v>#DIV/0!</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x14ac:dyDescent="0.3">
      <c r="A210" s="8" t="s">
        <v>18</v>
      </c>
      <c r="B210" s="9" t="s">
        <v>50</v>
      </c>
      <c r="C210" s="7"/>
      <c r="D210" s="7"/>
      <c r="E210" s="7"/>
      <c r="F210" s="71"/>
      <c r="G210" s="51">
        <f>I210+K210</f>
        <v>0</v>
      </c>
      <c r="H210" s="52" t="e">
        <f>G210/$J$5*100</f>
        <v>#DIV/0!</v>
      </c>
      <c r="I210" s="53">
        <f>COUNTIFS('00 Encuesta'!$B$2:$B$511,"*e)*",'00 Encuesta'!$C$2:$C$511,"*a)*",'00 Encuesta'!$E$2:$E$511,"*a)*",'00 Encuesta'!$AA$2:$AA$511,"*b)*")</f>
        <v>0</v>
      </c>
      <c r="J210" s="52" t="e">
        <f>I210/$J$6*100</f>
        <v>#DIV/0!</v>
      </c>
      <c r="K210" s="53">
        <f>COUNTIFS('00 Encuesta'!$B$2:$B$511,"*e)*",'00 Encuesta'!$C$2:$C$511,"*a)*",'00 Encuesta'!$E$2:$E$511,"*b)*",'00 Encuesta'!$AA$2:$AA$511,"*b)*")</f>
        <v>0</v>
      </c>
      <c r="L210" s="52" t="e">
        <f>K210/$J$7*100</f>
        <v>#DIV/0!</v>
      </c>
      <c r="M210" s="23"/>
      <c r="N210" s="51">
        <f>P210+R210</f>
        <v>0</v>
      </c>
      <c r="O210" s="52" t="e">
        <f>N210/$Q$5*100</f>
        <v>#DIV/0!</v>
      </c>
      <c r="P210" s="53">
        <f>COUNTIFS('00 Encuesta'!$B$2:$B$511,"*e)*",'00 Encuesta'!$C$2:$C$511,"*b)*",'00 Encuesta'!$E$2:$E$511,"*a)*",'00 Encuesta'!$AA$2:$AA$511,"*b)*")</f>
        <v>0</v>
      </c>
      <c r="Q210" s="52" t="e">
        <f>P210/$Q$6*100</f>
        <v>#DIV/0!</v>
      </c>
      <c r="R210" s="53">
        <f>COUNTIFS('00 Encuesta'!$B$2:$B$511,"*e)*",'00 Encuesta'!$C$2:$C$511,"*b)*",'00 Encuesta'!$E$2:$E$511,"*b)*",'00 Encuesta'!$AA$2:$AA$511,"*b)*")</f>
        <v>0</v>
      </c>
      <c r="S210" s="52" t="e">
        <f>R210/$Q$7*100</f>
        <v>#DIV/0!</v>
      </c>
      <c r="T210" s="3"/>
      <c r="U210" s="51">
        <f>W210+Y210</f>
        <v>0</v>
      </c>
      <c r="V210" s="52" t="e">
        <f>U210/$X$5*100</f>
        <v>#DIV/0!</v>
      </c>
      <c r="W210" s="53">
        <f>COUNTIFS('00 Encuesta'!$B$2:$B$511,"*e)*",'00 Encuesta'!$C$2:$C$511,"*c)*",'00 Encuesta'!$E$2:$E$511,"*a)*",'00 Encuesta'!$AA$2:$AA$511,"*b)*")</f>
        <v>0</v>
      </c>
      <c r="X210" s="52" t="e">
        <f>W210/$X$6*100</f>
        <v>#DIV/0!</v>
      </c>
      <c r="Y210" s="53">
        <f>COUNTIFS('00 Encuesta'!$B$2:$B$511,"*e)*",'00 Encuesta'!$C$2:$C$511,"*c)*",'00 Encuesta'!$E$2:$E$511,"*b)*",'00 Encuesta'!$AA$2:$AA$511,"*b)*")</f>
        <v>0</v>
      </c>
      <c r="Z210" s="52" t="e">
        <f>Y210/$X$7*100</f>
        <v>#DIV/0!</v>
      </c>
      <c r="AA210" s="3"/>
      <c r="AB210" s="62">
        <f>G210+N210+U210</f>
        <v>0</v>
      </c>
      <c r="AC210" s="52" t="e">
        <f>AB210*100/$AC$5</f>
        <v>#DIV/0!</v>
      </c>
      <c r="AD210" s="3"/>
      <c r="AE210" s="3"/>
      <c r="AF210" s="9" t="str">
        <f>A210&amp;" "&amp;B210</f>
        <v>b) No</v>
      </c>
      <c r="AG210" s="72" t="e">
        <f>J210</f>
        <v>#DIV/0!</v>
      </c>
      <c r="AH210" s="72" t="e">
        <f>L210</f>
        <v>#DIV/0!</v>
      </c>
      <c r="AI210" s="73" t="e">
        <f>H210</f>
        <v>#DIV/0!</v>
      </c>
      <c r="AJ210" s="73"/>
      <c r="AK210" s="76" t="e">
        <f>Q210</f>
        <v>#DIV/0!</v>
      </c>
      <c r="AL210" s="76" t="e">
        <f>S210</f>
        <v>#DIV/0!</v>
      </c>
      <c r="AM210" s="76" t="e">
        <f>O210</f>
        <v>#DIV/0!</v>
      </c>
      <c r="AN210" s="76"/>
      <c r="AO210" s="81" t="e">
        <f>X210</f>
        <v>#DIV/0!</v>
      </c>
      <c r="AP210" s="81" t="e">
        <f>Z210</f>
        <v>#DIV/0!</v>
      </c>
      <c r="AQ210" s="81" t="e">
        <f>V210</f>
        <v>#DIV/0!</v>
      </c>
      <c r="AR210" s="3"/>
      <c r="AS210" s="76" t="e">
        <f t="shared" si="227"/>
        <v>#DIV/0!</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x14ac:dyDescent="0.3">
      <c r="A211" s="8" t="s">
        <v>20</v>
      </c>
      <c r="B211" s="9" t="s">
        <v>51</v>
      </c>
      <c r="C211" s="7"/>
      <c r="D211" s="7"/>
      <c r="E211" s="7"/>
      <c r="F211" s="71"/>
      <c r="G211" s="51">
        <f>I211+K211</f>
        <v>0</v>
      </c>
      <c r="H211" s="52" t="e">
        <f>G211/$J$5*100</f>
        <v>#DIV/0!</v>
      </c>
      <c r="I211" s="53">
        <f>COUNTIFS('00 Encuesta'!$B$2:$B$511,"*e)*",'00 Encuesta'!$C$2:$C$511,"*a)*",'00 Encuesta'!$E$2:$E$511,"*a)*",'00 Encuesta'!$AA$2:$AA$511,"*c)*")</f>
        <v>0</v>
      </c>
      <c r="J211" s="52" t="e">
        <f>I211/$J$6*100</f>
        <v>#DIV/0!</v>
      </c>
      <c r="K211" s="53">
        <f>COUNTIFS('00 Encuesta'!$B$2:$B$511,"*e)*",'00 Encuesta'!$C$2:$C$511,"*a)*",'00 Encuesta'!$E$2:$E$511,"*b)*",'00 Encuesta'!$AA$2:$AA$511,"*c)*")</f>
        <v>0</v>
      </c>
      <c r="L211" s="52" t="e">
        <f>K211/$J$7*100</f>
        <v>#DIV/0!</v>
      </c>
      <c r="M211" s="23"/>
      <c r="N211" s="51">
        <f>P211+R211</f>
        <v>0</v>
      </c>
      <c r="O211" s="52" t="e">
        <f>N211/$Q$5*100</f>
        <v>#DIV/0!</v>
      </c>
      <c r="P211" s="53">
        <f>COUNTIFS('00 Encuesta'!$B$2:$B$511,"*e)*",'00 Encuesta'!$C$2:$C$511,"*b)*",'00 Encuesta'!$E$2:$E$511,"*a)*",'00 Encuesta'!$AA$2:$AA$511,"*c)*")</f>
        <v>0</v>
      </c>
      <c r="Q211" s="52" t="e">
        <f>P211/$Q$6*100</f>
        <v>#DIV/0!</v>
      </c>
      <c r="R211" s="53">
        <f>COUNTIFS('00 Encuesta'!$B$2:$B$511,"*e)*",'00 Encuesta'!$C$2:$C$511,"*b)*",'00 Encuesta'!$E$2:$E$511,"*b)*",'00 Encuesta'!$AA$2:$AA$511,"*c)*")</f>
        <v>0</v>
      </c>
      <c r="S211" s="52" t="e">
        <f>R211/$Q$7*100</f>
        <v>#DIV/0!</v>
      </c>
      <c r="T211" s="3"/>
      <c r="U211" s="51">
        <f>W211+Y211</f>
        <v>0</v>
      </c>
      <c r="V211" s="52" t="e">
        <f>U211/$X$5*100</f>
        <v>#DIV/0!</v>
      </c>
      <c r="W211" s="53">
        <f>COUNTIFS('00 Encuesta'!$B$2:$B$511,"*e)*",'00 Encuesta'!$C$2:$C$511,"*c)*",'00 Encuesta'!$E$2:$E$511,"*a)*",'00 Encuesta'!$AA$2:$AA$511,"*c)*")</f>
        <v>0</v>
      </c>
      <c r="X211" s="52" t="e">
        <f>W211/$X$6*100</f>
        <v>#DIV/0!</v>
      </c>
      <c r="Y211" s="53">
        <f>COUNTIFS('00 Encuesta'!$B$2:$B$511,"*e)*",'00 Encuesta'!$C$2:$C$511,"*c)*",'00 Encuesta'!$E$2:$E$511,"*b)*",'00 Encuesta'!$AA$2:$AA$511,"*c)*")</f>
        <v>0</v>
      </c>
      <c r="Z211" s="52" t="e">
        <f>Y211/$X$7*100</f>
        <v>#DIV/0!</v>
      </c>
      <c r="AA211" s="3"/>
      <c r="AB211" s="62">
        <f>G211+N211+U211</f>
        <v>0</v>
      </c>
      <c r="AC211" s="52" t="e">
        <f>AB211*100/$AC$5</f>
        <v>#DIV/0!</v>
      </c>
      <c r="AD211" s="3"/>
      <c r="AE211" s="3"/>
      <c r="AF211" s="9" t="str">
        <f>A211&amp;" "&amp;B211</f>
        <v>c) Algo</v>
      </c>
      <c r="AG211" s="72" t="e">
        <f>J211</f>
        <v>#DIV/0!</v>
      </c>
      <c r="AH211" s="72" t="e">
        <f>L211</f>
        <v>#DIV/0!</v>
      </c>
      <c r="AI211" s="73" t="e">
        <f>H211</f>
        <v>#DIV/0!</v>
      </c>
      <c r="AJ211" s="73"/>
      <c r="AK211" s="76" t="e">
        <f>Q211</f>
        <v>#DIV/0!</v>
      </c>
      <c r="AL211" s="76" t="e">
        <f>S211</f>
        <v>#DIV/0!</v>
      </c>
      <c r="AM211" s="76" t="e">
        <f>O211</f>
        <v>#DIV/0!</v>
      </c>
      <c r="AN211" s="76"/>
      <c r="AO211" s="81" t="e">
        <f>X211</f>
        <v>#DIV/0!</v>
      </c>
      <c r="AP211" s="81" t="e">
        <f>Z211</f>
        <v>#DIV/0!</v>
      </c>
      <c r="AQ211" s="81" t="e">
        <f>V211</f>
        <v>#DIV/0!</v>
      </c>
      <c r="AR211" s="3"/>
      <c r="AS211" s="76" t="e">
        <f t="shared" si="227"/>
        <v>#DIV/0!</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x14ac:dyDescent="0.3">
      <c r="A212" s="8" t="s">
        <v>23</v>
      </c>
      <c r="B212" s="9" t="s">
        <v>24</v>
      </c>
      <c r="C212" s="7"/>
      <c r="D212" s="7"/>
      <c r="E212" s="7"/>
      <c r="F212" s="71"/>
      <c r="G212" s="51">
        <f>I212+K212</f>
        <v>0</v>
      </c>
      <c r="H212" s="52" t="e">
        <f>G212/$J$5*100</f>
        <v>#DIV/0!</v>
      </c>
      <c r="I212" s="53"/>
      <c r="J212" s="52" t="e">
        <f>I212/$J$6*100</f>
        <v>#DIV/0!</v>
      </c>
      <c r="K212" s="53"/>
      <c r="L212" s="52" t="e">
        <f>K212/$J$7*100</f>
        <v>#DIV/0!</v>
      </c>
      <c r="M212" s="23"/>
      <c r="N212" s="51">
        <f>P212+R212</f>
        <v>0</v>
      </c>
      <c r="O212" s="52" t="e">
        <f>N212/$Q$5*100</f>
        <v>#DIV/0!</v>
      </c>
      <c r="P212" s="53"/>
      <c r="Q212" s="52" t="e">
        <f>P212/$Q$6*100</f>
        <v>#DIV/0!</v>
      </c>
      <c r="R212" s="53"/>
      <c r="S212" s="52" t="e">
        <f>R212/$Q$7*100</f>
        <v>#DIV/0!</v>
      </c>
      <c r="T212" s="3"/>
      <c r="U212" s="51">
        <f>W212+Y212</f>
        <v>0</v>
      </c>
      <c r="V212" s="52" t="e">
        <f>U212/$X$5*100</f>
        <v>#DIV/0!</v>
      </c>
      <c r="W212" s="53"/>
      <c r="X212" s="52" t="e">
        <f>W212/$X$6*100</f>
        <v>#DIV/0!</v>
      </c>
      <c r="Y212" s="53"/>
      <c r="Z212" s="52" t="e">
        <f>Y212/$X$7*100</f>
        <v>#DIV/0!</v>
      </c>
      <c r="AA212" s="3"/>
      <c r="AB212" s="62">
        <f>G212+N212+U212</f>
        <v>0</v>
      </c>
      <c r="AC212" s="52" t="e">
        <f>AB212*100/$AC$5</f>
        <v>#DIV/0!</v>
      </c>
      <c r="AD212" s="3"/>
      <c r="AE212" s="3"/>
      <c r="AF212" s="9" t="str">
        <f>A212&amp;" "&amp;B212</f>
        <v>S/R Sin Respuesta</v>
      </c>
      <c r="AG212" s="72" t="e">
        <f>J212</f>
        <v>#DIV/0!</v>
      </c>
      <c r="AH212" s="72" t="e">
        <f>L212</f>
        <v>#DIV/0!</v>
      </c>
      <c r="AI212" s="73" t="e">
        <f>H212</f>
        <v>#DIV/0!</v>
      </c>
      <c r="AJ212" s="73"/>
      <c r="AK212" s="76" t="e">
        <f>Q212</f>
        <v>#DIV/0!</v>
      </c>
      <c r="AL212" s="76" t="e">
        <f>S212</f>
        <v>#DIV/0!</v>
      </c>
      <c r="AM212" s="76" t="e">
        <f>O212</f>
        <v>#DIV/0!</v>
      </c>
      <c r="AN212" s="76"/>
      <c r="AO212" s="81" t="e">
        <f>X212</f>
        <v>#DIV/0!</v>
      </c>
      <c r="AP212" s="81" t="e">
        <f>Z212</f>
        <v>#DIV/0!</v>
      </c>
      <c r="AQ212" s="81" t="e">
        <f>V212</f>
        <v>#DIV/0!</v>
      </c>
      <c r="AR212" s="3"/>
      <c r="AS212" s="76" t="e">
        <f t="shared" si="227"/>
        <v>#DIV/0!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x14ac:dyDescent="0.3">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x14ac:dyDescent="0.3">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x14ac:dyDescent="0.3">
      <c r="A215" s="8" t="s">
        <v>17</v>
      </c>
      <c r="B215" s="9" t="s">
        <v>49</v>
      </c>
      <c r="C215" s="7"/>
      <c r="D215" s="7"/>
      <c r="E215" s="7"/>
      <c r="F215" s="71"/>
      <c r="G215" s="51">
        <f>I215+K215</f>
        <v>0</v>
      </c>
      <c r="H215" s="52" t="e">
        <f>G215/$J$5*100</f>
        <v>#DIV/0!</v>
      </c>
      <c r="I215" s="53">
        <f>COUNTIFS('00 Encuesta'!$B$2:$B$511,"*e)*",'00 Encuesta'!$C$2:$C$511,"*a)*",'00 Encuesta'!$E$2:$E$511,"*a)*",'00 Encuesta'!$AB$2:$AB$511,"*a)*")</f>
        <v>0</v>
      </c>
      <c r="J215" s="52" t="e">
        <f>I215/$J$6*100</f>
        <v>#DIV/0!</v>
      </c>
      <c r="K215" s="53">
        <f>COUNTIFS('00 Encuesta'!$B$2:$B$511,"*e)*",'00 Encuesta'!$C$2:$C$511,"*a)*",'00 Encuesta'!$E$2:$E$511,"*b)*",'00 Encuesta'!$AB$2:$AB$511,"*a)*")</f>
        <v>0</v>
      </c>
      <c r="L215" s="52" t="e">
        <f>K215/$J$7*100</f>
        <v>#DIV/0!</v>
      </c>
      <c r="M215" s="23"/>
      <c r="N215" s="51">
        <f>P215+R215</f>
        <v>0</v>
      </c>
      <c r="O215" s="52" t="e">
        <f>N215/$Q$5*100</f>
        <v>#DIV/0!</v>
      </c>
      <c r="P215" s="53">
        <f>COUNTIFS('00 Encuesta'!$B$2:$B$511,"*e)*",'00 Encuesta'!$C$2:$C$511,"*b)*",'00 Encuesta'!$E$2:$E$511,"*a)*",'00 Encuesta'!$AB$2:$AB$511,"*a)*")</f>
        <v>0</v>
      </c>
      <c r="Q215" s="52" t="e">
        <f>P215/$Q$6*100</f>
        <v>#DIV/0!</v>
      </c>
      <c r="R215" s="53">
        <f>COUNTIFS('00 Encuesta'!$B$2:$B$511,"*e)*",'00 Encuesta'!$C$2:$C$511,"*b)*",'00 Encuesta'!$E$2:$E$511,"*b)*",'00 Encuesta'!$AB$2:$AB$511,"*a)*")</f>
        <v>0</v>
      </c>
      <c r="S215" s="52" t="e">
        <f>R215/$Q$7*100</f>
        <v>#DIV/0!</v>
      </c>
      <c r="T215" s="3"/>
      <c r="U215" s="51">
        <f>W215+Y215</f>
        <v>0</v>
      </c>
      <c r="V215" s="52" t="e">
        <f>U215/$X$5*100</f>
        <v>#DIV/0!</v>
      </c>
      <c r="W215" s="53">
        <f>COUNTIFS('00 Encuesta'!$B$2:$B$511,"*e)*",'00 Encuesta'!$C$2:$C$511,"*c)*",'00 Encuesta'!$E$2:$E$511,"*a)*",'00 Encuesta'!$AB$2:$AB$511,"*a)*")</f>
        <v>0</v>
      </c>
      <c r="X215" s="52" t="e">
        <f>W215/$X$6*100</f>
        <v>#DIV/0!</v>
      </c>
      <c r="Y215" s="53">
        <f>COUNTIFS('00 Encuesta'!$B$2:$B$511,"*e)*",'00 Encuesta'!$C$2:$C$511,"*c)*",'00 Encuesta'!$E$2:$E$511,"*b)*",'00 Encuesta'!$AB$2:$AB$511,"*a)*")</f>
        <v>0</v>
      </c>
      <c r="Z215" s="52" t="e">
        <f>Y215/$X$7*100</f>
        <v>#DIV/0!</v>
      </c>
      <c r="AA215" s="3"/>
      <c r="AB215" s="62">
        <f>G215+N215+U215</f>
        <v>0</v>
      </c>
      <c r="AC215" s="52" t="e">
        <f>AB215*100/$AC$5</f>
        <v>#DIV/0!</v>
      </c>
      <c r="AD215" s="3"/>
      <c r="AE215" s="3"/>
      <c r="AF215" s="9" t="str">
        <f>A215&amp;" "&amp;B215</f>
        <v>a) Si</v>
      </c>
      <c r="AG215" s="72" t="e">
        <f>J215</f>
        <v>#DIV/0!</v>
      </c>
      <c r="AH215" s="72" t="e">
        <f>L215</f>
        <v>#DIV/0!</v>
      </c>
      <c r="AI215" s="73" t="e">
        <f>H215</f>
        <v>#DIV/0!</v>
      </c>
      <c r="AJ215" s="73"/>
      <c r="AK215" s="76" t="e">
        <f>Q215</f>
        <v>#DIV/0!</v>
      </c>
      <c r="AL215" s="76" t="e">
        <f>S215</f>
        <v>#DIV/0!</v>
      </c>
      <c r="AM215" s="76" t="e">
        <f>O215</f>
        <v>#DIV/0!</v>
      </c>
      <c r="AN215" s="76"/>
      <c r="AO215" s="81" t="e">
        <f>X215</f>
        <v>#DIV/0!</v>
      </c>
      <c r="AP215" s="81" t="e">
        <f>Z215</f>
        <v>#DIV/0!</v>
      </c>
      <c r="AQ215" s="81" t="e">
        <f>V215</f>
        <v>#DIV/0!</v>
      </c>
      <c r="AR215" s="3"/>
      <c r="AS215" s="76" t="e">
        <f t="shared" si="227"/>
        <v>#DIV/0!</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x14ac:dyDescent="0.3">
      <c r="A216" s="8" t="s">
        <v>18</v>
      </c>
      <c r="B216" s="9" t="s">
        <v>50</v>
      </c>
      <c r="C216" s="7"/>
      <c r="D216" s="7"/>
      <c r="E216" s="7"/>
      <c r="F216" s="71"/>
      <c r="G216" s="51">
        <f>I216+K216</f>
        <v>0</v>
      </c>
      <c r="H216" s="52" t="e">
        <f>G216/$J$5*100</f>
        <v>#DIV/0!</v>
      </c>
      <c r="I216" s="53">
        <f>COUNTIFS('00 Encuesta'!$B$2:$B$511,"*e)*",'00 Encuesta'!$C$2:$C$511,"*a)*",'00 Encuesta'!$E$2:$E$511,"*a)*",'00 Encuesta'!$AB$2:$AB$511,"*b)*")</f>
        <v>0</v>
      </c>
      <c r="J216" s="52" t="e">
        <f>I216/$J$6*100</f>
        <v>#DIV/0!</v>
      </c>
      <c r="K216" s="53">
        <f>COUNTIFS('00 Encuesta'!$B$2:$B$511,"*e)*",'00 Encuesta'!$C$2:$C$511,"*a)*",'00 Encuesta'!$E$2:$E$511,"*b)*",'00 Encuesta'!$AB$2:$AB$511,"*b)*")</f>
        <v>0</v>
      </c>
      <c r="L216" s="52" t="e">
        <f>K216/$J$7*100</f>
        <v>#DIV/0!</v>
      </c>
      <c r="M216" s="23"/>
      <c r="N216" s="51">
        <f>P216+R216</f>
        <v>0</v>
      </c>
      <c r="O216" s="52" t="e">
        <f>N216/$Q$5*100</f>
        <v>#DIV/0!</v>
      </c>
      <c r="P216" s="53">
        <f>COUNTIFS('00 Encuesta'!$B$2:$B$511,"*e)*",'00 Encuesta'!$C$2:$C$511,"*b)*",'00 Encuesta'!$E$2:$E$511,"*a)*",'00 Encuesta'!$AB$2:$AB$511,"*b)*")</f>
        <v>0</v>
      </c>
      <c r="Q216" s="52" t="e">
        <f>P216/$Q$6*100</f>
        <v>#DIV/0!</v>
      </c>
      <c r="R216" s="53">
        <f>COUNTIFS('00 Encuesta'!$B$2:$B$511,"*e)*",'00 Encuesta'!$C$2:$C$511,"*b)*",'00 Encuesta'!$E$2:$E$511,"*b)*",'00 Encuesta'!$AB$2:$AB$511,"*b)*")</f>
        <v>0</v>
      </c>
      <c r="S216" s="52" t="e">
        <f>R216/$Q$7*100</f>
        <v>#DIV/0!</v>
      </c>
      <c r="T216" s="3"/>
      <c r="U216" s="51">
        <f>W216+Y216</f>
        <v>0</v>
      </c>
      <c r="V216" s="52" t="e">
        <f>U216/$X$5*100</f>
        <v>#DIV/0!</v>
      </c>
      <c r="W216" s="53">
        <f>COUNTIFS('00 Encuesta'!$B$2:$B$511,"*e)*",'00 Encuesta'!$C$2:$C$511,"*c)*",'00 Encuesta'!$E$2:$E$511,"*a)*",'00 Encuesta'!$AB$2:$AB$511,"*b)*")</f>
        <v>0</v>
      </c>
      <c r="X216" s="52" t="e">
        <f>W216/$X$6*100</f>
        <v>#DIV/0!</v>
      </c>
      <c r="Y216" s="53">
        <f>COUNTIFS('00 Encuesta'!$B$2:$B$511,"*e)*",'00 Encuesta'!$C$2:$C$511,"*c)*",'00 Encuesta'!$E$2:$E$511,"*b)*",'00 Encuesta'!$AB$2:$AB$511,"*b)*")</f>
        <v>0</v>
      </c>
      <c r="Z216" s="52" t="e">
        <f>Y216/$X$7*100</f>
        <v>#DIV/0!</v>
      </c>
      <c r="AA216" s="3"/>
      <c r="AB216" s="62">
        <f>G216+N216+U216</f>
        <v>0</v>
      </c>
      <c r="AC216" s="52" t="e">
        <f>AB216*100/$AC$5</f>
        <v>#DIV/0!</v>
      </c>
      <c r="AD216" s="3"/>
      <c r="AE216" s="3"/>
      <c r="AF216" s="9" t="str">
        <f>A216&amp;" "&amp;B216</f>
        <v>b) No</v>
      </c>
      <c r="AG216" s="72" t="e">
        <f>J216</f>
        <v>#DIV/0!</v>
      </c>
      <c r="AH216" s="72" t="e">
        <f>L216</f>
        <v>#DIV/0!</v>
      </c>
      <c r="AI216" s="73" t="e">
        <f>H216</f>
        <v>#DIV/0!</v>
      </c>
      <c r="AJ216" s="73"/>
      <c r="AK216" s="76" t="e">
        <f>Q216</f>
        <v>#DIV/0!</v>
      </c>
      <c r="AL216" s="76" t="e">
        <f>S216</f>
        <v>#DIV/0!</v>
      </c>
      <c r="AM216" s="76" t="e">
        <f>O216</f>
        <v>#DIV/0!</v>
      </c>
      <c r="AN216" s="76"/>
      <c r="AO216" s="81" t="e">
        <f>X216</f>
        <v>#DIV/0!</v>
      </c>
      <c r="AP216" s="81" t="e">
        <f>Z216</f>
        <v>#DIV/0!</v>
      </c>
      <c r="AQ216" s="81" t="e">
        <f>V216</f>
        <v>#DIV/0!</v>
      </c>
      <c r="AR216" s="3"/>
      <c r="AS216" s="76" t="e">
        <f t="shared" si="227"/>
        <v>#DIV/0!</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x14ac:dyDescent="0.3">
      <c r="A217" s="8" t="s">
        <v>20</v>
      </c>
      <c r="B217" s="9" t="s">
        <v>51</v>
      </c>
      <c r="C217" s="7"/>
      <c r="D217" s="7"/>
      <c r="E217" s="7"/>
      <c r="F217" s="71"/>
      <c r="G217" s="51">
        <f>I217+K217</f>
        <v>0</v>
      </c>
      <c r="H217" s="52" t="e">
        <f>G217/$J$5*100</f>
        <v>#DIV/0!</v>
      </c>
      <c r="I217" s="53">
        <f>COUNTIFS('00 Encuesta'!$B$2:$B$511,"*e)*",'00 Encuesta'!$C$2:$C$511,"*a)*",'00 Encuesta'!$E$2:$E$511,"*a)*",'00 Encuesta'!$AB$2:$AB$511,"*c)*")</f>
        <v>0</v>
      </c>
      <c r="J217" s="52" t="e">
        <f>I217/$J$6*100</f>
        <v>#DIV/0!</v>
      </c>
      <c r="K217" s="53">
        <f>COUNTIFS('00 Encuesta'!$B$2:$B$511,"*e)*",'00 Encuesta'!$C$2:$C$511,"*a)*",'00 Encuesta'!$E$2:$E$511,"*b)*",'00 Encuesta'!$AB$2:$AB$511,"*c)*")</f>
        <v>0</v>
      </c>
      <c r="L217" s="52" t="e">
        <f>K217/$J$7*100</f>
        <v>#DIV/0!</v>
      </c>
      <c r="M217" s="23"/>
      <c r="N217" s="51">
        <f>P217+R217</f>
        <v>0</v>
      </c>
      <c r="O217" s="52" t="e">
        <f>N217/$Q$5*100</f>
        <v>#DIV/0!</v>
      </c>
      <c r="P217" s="53">
        <f>COUNTIFS('00 Encuesta'!$B$2:$B$511,"*e)*",'00 Encuesta'!$C$2:$C$511,"*b)*",'00 Encuesta'!$E$2:$E$511,"*a)*",'00 Encuesta'!$AB$2:$AB$511,"*c)*")</f>
        <v>0</v>
      </c>
      <c r="Q217" s="52" t="e">
        <f>P217/$Q$6*100</f>
        <v>#DIV/0!</v>
      </c>
      <c r="R217" s="53">
        <f>COUNTIFS('00 Encuesta'!$B$2:$B$511,"*e)*",'00 Encuesta'!$C$2:$C$511,"*b)*",'00 Encuesta'!$E$2:$E$511,"*b)*",'00 Encuesta'!$AB$2:$AB$511,"*c)*")</f>
        <v>0</v>
      </c>
      <c r="S217" s="52" t="e">
        <f>R217/$Q$7*100</f>
        <v>#DIV/0!</v>
      </c>
      <c r="T217" s="3"/>
      <c r="U217" s="51">
        <f>W217+Y217</f>
        <v>0</v>
      </c>
      <c r="V217" s="52" t="e">
        <f>U217/$X$5*100</f>
        <v>#DIV/0!</v>
      </c>
      <c r="W217" s="53">
        <f>COUNTIFS('00 Encuesta'!$B$2:$B$511,"*e)*",'00 Encuesta'!$C$2:$C$511,"*c)*",'00 Encuesta'!$E$2:$E$511,"*a)*",'00 Encuesta'!$AB$2:$AB$511,"*c)*")</f>
        <v>0</v>
      </c>
      <c r="X217" s="52" t="e">
        <f>W217/$X$6*100</f>
        <v>#DIV/0!</v>
      </c>
      <c r="Y217" s="53">
        <f>COUNTIFS('00 Encuesta'!$B$2:$B$511,"*e)*",'00 Encuesta'!$C$2:$C$511,"*c)*",'00 Encuesta'!$E$2:$E$511,"*b)*",'00 Encuesta'!$AB$2:$AB$511,"*c)*")</f>
        <v>0</v>
      </c>
      <c r="Z217" s="52" t="e">
        <f>Y217/$X$7*100</f>
        <v>#DIV/0!</v>
      </c>
      <c r="AA217" s="3"/>
      <c r="AB217" s="62">
        <f>G217+N217+U217</f>
        <v>0</v>
      </c>
      <c r="AC217" s="52" t="e">
        <f>AB217*100/$AC$5</f>
        <v>#DIV/0!</v>
      </c>
      <c r="AD217" s="3"/>
      <c r="AE217" s="3"/>
      <c r="AF217" s="9" t="str">
        <f>A217&amp;" "&amp;B217</f>
        <v>c) Algo</v>
      </c>
      <c r="AG217" s="72" t="e">
        <f>J217</f>
        <v>#DIV/0!</v>
      </c>
      <c r="AH217" s="72" t="e">
        <f>L217</f>
        <v>#DIV/0!</v>
      </c>
      <c r="AI217" s="73" t="e">
        <f>H217</f>
        <v>#DIV/0!</v>
      </c>
      <c r="AJ217" s="73"/>
      <c r="AK217" s="76" t="e">
        <f>Q217</f>
        <v>#DIV/0!</v>
      </c>
      <c r="AL217" s="76" t="e">
        <f>S217</f>
        <v>#DIV/0!</v>
      </c>
      <c r="AM217" s="76" t="e">
        <f>O217</f>
        <v>#DIV/0!</v>
      </c>
      <c r="AN217" s="76"/>
      <c r="AO217" s="81" t="e">
        <f>X217</f>
        <v>#DIV/0!</v>
      </c>
      <c r="AP217" s="81" t="e">
        <f>Z217</f>
        <v>#DIV/0!</v>
      </c>
      <c r="AQ217" s="81" t="e">
        <f>V217</f>
        <v>#DIV/0!</v>
      </c>
      <c r="AR217" s="3"/>
      <c r="AS217" s="76" t="e">
        <f t="shared" si="227"/>
        <v>#DIV/0!</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x14ac:dyDescent="0.3">
      <c r="A218" s="8" t="s">
        <v>23</v>
      </c>
      <c r="B218" s="9" t="s">
        <v>158</v>
      </c>
      <c r="C218" s="7"/>
      <c r="D218" s="7"/>
      <c r="E218" s="7"/>
      <c r="F218" s="71"/>
      <c r="G218" s="51">
        <f>I218+K218</f>
        <v>0</v>
      </c>
      <c r="H218" s="52" t="e">
        <f>G218/$J$5*100</f>
        <v>#DIV/0!</v>
      </c>
      <c r="I218" s="53"/>
      <c r="J218" s="52" t="e">
        <f>I218/$J$6*100</f>
        <v>#DIV/0!</v>
      </c>
      <c r="K218" s="53"/>
      <c r="L218" s="52" t="e">
        <f>K218/$J$7*100</f>
        <v>#DIV/0!</v>
      </c>
      <c r="M218" s="23"/>
      <c r="N218" s="51">
        <f>P218+R218</f>
        <v>0</v>
      </c>
      <c r="O218" s="52" t="e">
        <f>N218/$Q$5*100</f>
        <v>#DIV/0!</v>
      </c>
      <c r="P218" s="53"/>
      <c r="Q218" s="52" t="e">
        <f>P218/$Q$6*100</f>
        <v>#DIV/0!</v>
      </c>
      <c r="R218" s="53"/>
      <c r="S218" s="52" t="e">
        <f>R218/$Q$7*100</f>
        <v>#DIV/0!</v>
      </c>
      <c r="T218" s="3"/>
      <c r="U218" s="51">
        <f>W218+Y218</f>
        <v>0</v>
      </c>
      <c r="V218" s="52" t="e">
        <f>U218/$X$5*100</f>
        <v>#DIV/0!</v>
      </c>
      <c r="W218" s="53"/>
      <c r="X218" s="52" t="e">
        <f>W218/$X$6*100</f>
        <v>#DIV/0!</v>
      </c>
      <c r="Y218" s="53"/>
      <c r="Z218" s="52" t="e">
        <f>Y218/$X$7*100</f>
        <v>#DIV/0!</v>
      </c>
      <c r="AA218" s="3"/>
      <c r="AB218" s="62">
        <f>G218+N218+U218</f>
        <v>0</v>
      </c>
      <c r="AC218" s="52" t="e">
        <f>AB218*100/$AC$5</f>
        <v>#DIV/0!</v>
      </c>
      <c r="AD218" s="3"/>
      <c r="AE218" s="3"/>
      <c r="AF218" s="9" t="str">
        <f>A218&amp;" "&amp;B218</f>
        <v>S/R Sin respuesta</v>
      </c>
      <c r="AG218" s="72" t="e">
        <f>J218</f>
        <v>#DIV/0!</v>
      </c>
      <c r="AH218" s="72" t="e">
        <f>L218</f>
        <v>#DIV/0!</v>
      </c>
      <c r="AI218" s="73" t="e">
        <f>H218</f>
        <v>#DIV/0!</v>
      </c>
      <c r="AJ218" s="73"/>
      <c r="AK218" s="76" t="e">
        <f>Q218</f>
        <v>#DIV/0!</v>
      </c>
      <c r="AL218" s="76" t="e">
        <f>S218</f>
        <v>#DIV/0!</v>
      </c>
      <c r="AM218" s="76" t="e">
        <f>O218</f>
        <v>#DIV/0!</v>
      </c>
      <c r="AN218" s="76"/>
      <c r="AO218" s="81" t="e">
        <f>X218</f>
        <v>#DIV/0!</v>
      </c>
      <c r="AP218" s="81" t="e">
        <f>Z218</f>
        <v>#DIV/0!</v>
      </c>
      <c r="AQ218" s="81" t="e">
        <f>V218</f>
        <v>#DIV/0!</v>
      </c>
      <c r="AR218" s="3"/>
      <c r="AS218" s="76" t="e">
        <f t="shared" si="227"/>
        <v>#DIV/0!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x14ac:dyDescent="0.3">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x14ac:dyDescent="0.3">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x14ac:dyDescent="0.3">
      <c r="A222" s="8" t="s">
        <v>17</v>
      </c>
      <c r="B222" s="9" t="s">
        <v>160</v>
      </c>
      <c r="C222" s="7"/>
      <c r="D222" s="7"/>
      <c r="E222" s="7"/>
      <c r="F222" s="71"/>
      <c r="G222" s="51">
        <f t="shared" ref="G222:G232" si="228">I222+K222</f>
        <v>0</v>
      </c>
      <c r="H222" s="52" t="e">
        <f t="shared" ref="H222:H232" si="229">G222/$J$5*100</f>
        <v>#DIV/0!</v>
      </c>
      <c r="I222" s="53">
        <f>COUNTIFS('00 Encuesta'!$B$2:$B$511,"*e)*",'00 Encuesta'!$C$2:$C$511,"*a)*",'00 Encuesta'!$E$2:$E$511,"*a)*",'00 Encuesta'!$AC$2:$AC$511,"*a)*")</f>
        <v>0</v>
      </c>
      <c r="J222" s="52" t="e">
        <f t="shared" ref="J222:J232" si="230">I222/$J$6*100</f>
        <v>#DIV/0!</v>
      </c>
      <c r="K222" s="53">
        <f>COUNTIFS('00 Encuesta'!$B$2:$B$511,"*e)*",'00 Encuesta'!$C$2:$C$511,"*a)*",'00 Encuesta'!$E$2:$E$511,"*b)*",'00 Encuesta'!$AC$2:$AC$511,"*a)*")</f>
        <v>0</v>
      </c>
      <c r="L222" s="52" t="e">
        <f t="shared" ref="L222:L232" si="231">K222/$J$7*100</f>
        <v>#DIV/0!</v>
      </c>
      <c r="M222" s="23"/>
      <c r="N222" s="51">
        <f t="shared" ref="N222:N232" si="232">P222+R222</f>
        <v>0</v>
      </c>
      <c r="O222" s="52" t="e">
        <f t="shared" ref="O222:O232" si="233">N222/$Q$5*100</f>
        <v>#DIV/0!</v>
      </c>
      <c r="P222" s="53">
        <f>COUNTIFS('00 Encuesta'!$B$2:$B$511,"*e)*",'00 Encuesta'!$C$2:$C$511,"*b)*",'00 Encuesta'!$E$2:$E$511,"*a)*",'00 Encuesta'!$AC$2:$AC$511,"*a)*")</f>
        <v>0</v>
      </c>
      <c r="Q222" s="52" t="e">
        <f t="shared" ref="Q222:Q232" si="234">P222/$Q$6*100</f>
        <v>#DIV/0!</v>
      </c>
      <c r="R222" s="53">
        <f>COUNTIFS('00 Encuesta'!$B$2:$B$511,"*e)*",'00 Encuesta'!$C$2:$C$511,"*b)*",'00 Encuesta'!$E$2:$E$511,"*b)*",'00 Encuesta'!$AC$2:$AC$511,"*a)*")</f>
        <v>0</v>
      </c>
      <c r="S222" s="52" t="e">
        <f t="shared" ref="S222:S232" si="235">R222/$Q$7*100</f>
        <v>#DIV/0!</v>
      </c>
      <c r="T222" s="3"/>
      <c r="U222" s="51">
        <f t="shared" ref="U222:U232" si="236">W222+Y222</f>
        <v>0</v>
      </c>
      <c r="V222" s="52" t="e">
        <f t="shared" ref="V222:V232" si="237">U222/$X$5*100</f>
        <v>#DIV/0!</v>
      </c>
      <c r="W222" s="53">
        <f>COUNTIFS('00 Encuesta'!$B$2:$B$511,"*e)*",'00 Encuesta'!$C$2:$C$511,"*c)*",'00 Encuesta'!$E$2:$E$511,"*a)*",'00 Encuesta'!$AC$2:$AC$511,"*a)*")</f>
        <v>0</v>
      </c>
      <c r="X222" s="52" t="e">
        <f t="shared" ref="X222:X232" si="238">W222/$X$6*100</f>
        <v>#DIV/0!</v>
      </c>
      <c r="Y222" s="53">
        <f>COUNTIFS('00 Encuesta'!$B$2:$B$511,"*e)*",'00 Encuesta'!$C$2:$C$511,"*c)*",'00 Encuesta'!$E$2:$E$511,"*b)*",'00 Encuesta'!$AC$2:$AC$511,"*a)*")</f>
        <v>0</v>
      </c>
      <c r="Z222" s="52" t="e">
        <f t="shared" ref="Z222:Z232" si="239">Y222/$X$7*100</f>
        <v>#DIV/0!</v>
      </c>
      <c r="AA222" s="3"/>
      <c r="AB222" s="62">
        <f t="shared" ref="AB222:AB232" si="240">G222+N222+U222</f>
        <v>0</v>
      </c>
      <c r="AC222" s="52" t="e">
        <f t="shared" ref="AC222:AC232" si="241">AB222*100/$AC$5</f>
        <v>#DIV/0!</v>
      </c>
      <c r="AD222" s="3"/>
      <c r="AE222" s="3"/>
      <c r="AF222" s="9" t="str">
        <f t="shared" ref="AF222:AF232" si="242">A222&amp;" "&amp;B222</f>
        <v>a) Medicina</v>
      </c>
      <c r="AG222" s="72" t="e">
        <f t="shared" ref="AG222:AG232" si="243">J222</f>
        <v>#DIV/0!</v>
      </c>
      <c r="AH222" s="72" t="e">
        <f t="shared" ref="AH222:AH232" si="244">L222</f>
        <v>#DIV/0!</v>
      </c>
      <c r="AI222" s="73" t="e">
        <f t="shared" ref="AI222:AI232" si="245">H222</f>
        <v>#DIV/0!</v>
      </c>
      <c r="AJ222" s="73"/>
      <c r="AK222" s="76" t="e">
        <f t="shared" ref="AK222:AK232" si="246">Q222</f>
        <v>#DIV/0!</v>
      </c>
      <c r="AL222" s="76" t="e">
        <f t="shared" ref="AL222:AL232" si="247">S222</f>
        <v>#DIV/0!</v>
      </c>
      <c r="AM222" s="76" t="e">
        <f t="shared" ref="AM222:AM232" si="248">O222</f>
        <v>#DIV/0!</v>
      </c>
      <c r="AN222" s="76"/>
      <c r="AO222" s="81" t="e">
        <f t="shared" ref="AO222:AO232" si="249">X222</f>
        <v>#DIV/0!</v>
      </c>
      <c r="AP222" s="81" t="e">
        <f t="shared" ref="AP222:AP232" si="250">Z222</f>
        <v>#DIV/0!</v>
      </c>
      <c r="AQ222" s="81" t="e">
        <f t="shared" ref="AQ222:AQ232" si="251">V222</f>
        <v>#DIV/0!</v>
      </c>
      <c r="AR222" s="3"/>
      <c r="AS222" s="76" t="e">
        <f t="shared" si="227"/>
        <v>#DIV/0!</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x14ac:dyDescent="0.3">
      <c r="A223" s="8" t="s">
        <v>18</v>
      </c>
      <c r="B223" s="9" t="s">
        <v>161</v>
      </c>
      <c r="C223" s="7"/>
      <c r="D223" s="7"/>
      <c r="E223" s="7"/>
      <c r="F223" s="71"/>
      <c r="G223" s="51">
        <f t="shared" si="228"/>
        <v>0</v>
      </c>
      <c r="H223" s="52" t="e">
        <f t="shared" si="229"/>
        <v>#DIV/0!</v>
      </c>
      <c r="I223" s="53">
        <f>COUNTIFS('00 Encuesta'!$B$2:$B$511,"*e)*",'00 Encuesta'!$C$2:$C$511,"*a)*",'00 Encuesta'!$E$2:$E$511,"*a)*",'00 Encuesta'!$AC$2:$AC$511,"*b)*")</f>
        <v>0</v>
      </c>
      <c r="J223" s="52" t="e">
        <f t="shared" si="230"/>
        <v>#DIV/0!</v>
      </c>
      <c r="K223" s="53">
        <f>COUNTIFS('00 Encuesta'!$B$2:$B$511,"*e)*",'00 Encuesta'!$C$2:$C$511,"*a)*",'00 Encuesta'!$E$2:$E$511,"*b)*",'00 Encuesta'!$AC$2:$AC$511,"*b)*")</f>
        <v>0</v>
      </c>
      <c r="L223" s="52" t="e">
        <f t="shared" si="231"/>
        <v>#DIV/0!</v>
      </c>
      <c r="M223" s="23"/>
      <c r="N223" s="51">
        <f t="shared" si="232"/>
        <v>0</v>
      </c>
      <c r="O223" s="52" t="e">
        <f t="shared" si="233"/>
        <v>#DIV/0!</v>
      </c>
      <c r="P223" s="53">
        <f>COUNTIFS('00 Encuesta'!$B$2:$B$511,"*e)*",'00 Encuesta'!$C$2:$C$511,"*b)*",'00 Encuesta'!$E$2:$E$511,"*a)*",'00 Encuesta'!$AC$2:$AC$511,"*b)*")</f>
        <v>0</v>
      </c>
      <c r="Q223" s="52" t="e">
        <f t="shared" si="234"/>
        <v>#DIV/0!</v>
      </c>
      <c r="R223" s="53">
        <f>COUNTIFS('00 Encuesta'!$B$2:$B$511,"*e)*",'00 Encuesta'!$C$2:$C$511,"*b)*",'00 Encuesta'!$E$2:$E$511,"*b)*",'00 Encuesta'!$AC$2:$AC$511,"*b)*")</f>
        <v>0</v>
      </c>
      <c r="S223" s="52" t="e">
        <f t="shared" si="235"/>
        <v>#DIV/0!</v>
      </c>
      <c r="T223" s="3"/>
      <c r="U223" s="51">
        <f t="shared" si="236"/>
        <v>0</v>
      </c>
      <c r="V223" s="52" t="e">
        <f t="shared" si="237"/>
        <v>#DIV/0!</v>
      </c>
      <c r="W223" s="53">
        <f>COUNTIFS('00 Encuesta'!$B$2:$B$511,"*e)*",'00 Encuesta'!$C$2:$C$511,"*c)*",'00 Encuesta'!$E$2:$E$511,"*a)*",'00 Encuesta'!$AC$2:$AC$511,"*b)*")</f>
        <v>0</v>
      </c>
      <c r="X223" s="52" t="e">
        <f t="shared" si="238"/>
        <v>#DIV/0!</v>
      </c>
      <c r="Y223" s="53">
        <f>COUNTIFS('00 Encuesta'!$B$2:$B$511,"*e)*",'00 Encuesta'!$C$2:$C$511,"*c)*",'00 Encuesta'!$E$2:$E$511,"*b)*",'00 Encuesta'!$AC$2:$AC$511,"*b)*")</f>
        <v>0</v>
      </c>
      <c r="Z223" s="52" t="e">
        <f t="shared" si="239"/>
        <v>#DIV/0!</v>
      </c>
      <c r="AA223" s="3"/>
      <c r="AB223" s="62">
        <f t="shared" si="240"/>
        <v>0</v>
      </c>
      <c r="AC223" s="52" t="e">
        <f t="shared" si="241"/>
        <v>#DIV/0!</v>
      </c>
      <c r="AD223" s="3"/>
      <c r="AE223" s="3"/>
      <c r="AF223" s="9" t="str">
        <f t="shared" si="242"/>
        <v>b) Docencia</v>
      </c>
      <c r="AG223" s="72" t="e">
        <f t="shared" si="243"/>
        <v>#DIV/0!</v>
      </c>
      <c r="AH223" s="72" t="e">
        <f t="shared" si="244"/>
        <v>#DIV/0!</v>
      </c>
      <c r="AI223" s="73" t="e">
        <f t="shared" si="245"/>
        <v>#DIV/0!</v>
      </c>
      <c r="AJ223" s="73"/>
      <c r="AK223" s="76" t="e">
        <f t="shared" si="246"/>
        <v>#DIV/0!</v>
      </c>
      <c r="AL223" s="76" t="e">
        <f t="shared" si="247"/>
        <v>#DIV/0!</v>
      </c>
      <c r="AM223" s="76" t="e">
        <f t="shared" si="248"/>
        <v>#DIV/0!</v>
      </c>
      <c r="AN223" s="76"/>
      <c r="AO223" s="81" t="e">
        <f t="shared" si="249"/>
        <v>#DIV/0!</v>
      </c>
      <c r="AP223" s="81" t="e">
        <f t="shared" si="250"/>
        <v>#DIV/0!</v>
      </c>
      <c r="AQ223" s="81" t="e">
        <f t="shared" si="251"/>
        <v>#DIV/0!</v>
      </c>
      <c r="AR223" s="3"/>
      <c r="AS223" s="76" t="e">
        <f t="shared" si="227"/>
        <v>#DIV/0!</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x14ac:dyDescent="0.3">
      <c r="A224" s="8" t="s">
        <v>20</v>
      </c>
      <c r="B224" s="9" t="s">
        <v>162</v>
      </c>
      <c r="C224" s="7"/>
      <c r="D224" s="7"/>
      <c r="E224" s="7"/>
      <c r="F224" s="71"/>
      <c r="G224" s="51">
        <f t="shared" si="228"/>
        <v>0</v>
      </c>
      <c r="H224" s="52" t="e">
        <f t="shared" si="229"/>
        <v>#DIV/0!</v>
      </c>
      <c r="I224" s="53">
        <f>COUNTIFS('00 Encuesta'!$B$2:$B$511,"*e)*",'00 Encuesta'!$C$2:$C$511,"*a)*",'00 Encuesta'!$E$2:$E$511,"*a)*",'00 Encuesta'!$AC$2:$AC$511,"*c)*")</f>
        <v>0</v>
      </c>
      <c r="J224" s="52" t="e">
        <f t="shared" si="230"/>
        <v>#DIV/0!</v>
      </c>
      <c r="K224" s="53">
        <f>COUNTIFS('00 Encuesta'!$B$2:$B$511,"*e)*",'00 Encuesta'!$C$2:$C$511,"*a)*",'00 Encuesta'!$E$2:$E$511,"*b)*",'00 Encuesta'!$AC$2:$AC$511,"*c)*")</f>
        <v>0</v>
      </c>
      <c r="L224" s="52" t="e">
        <f t="shared" si="231"/>
        <v>#DIV/0!</v>
      </c>
      <c r="M224" s="23"/>
      <c r="N224" s="51">
        <f t="shared" si="232"/>
        <v>0</v>
      </c>
      <c r="O224" s="52" t="e">
        <f t="shared" si="233"/>
        <v>#DIV/0!</v>
      </c>
      <c r="P224" s="53">
        <f>COUNTIFS('00 Encuesta'!$B$2:$B$511,"*e)*",'00 Encuesta'!$C$2:$C$511,"*b)*",'00 Encuesta'!$E$2:$E$511,"*a)*",'00 Encuesta'!$AC$2:$AC$511,"*c)*")</f>
        <v>0</v>
      </c>
      <c r="Q224" s="52" t="e">
        <f t="shared" si="234"/>
        <v>#DIV/0!</v>
      </c>
      <c r="R224" s="53">
        <f>COUNTIFS('00 Encuesta'!$B$2:$B$511,"*e)*",'00 Encuesta'!$C$2:$C$511,"*b)*",'00 Encuesta'!$E$2:$E$511,"*b)*",'00 Encuesta'!$AC$2:$AC$511,"*c)*")</f>
        <v>0</v>
      </c>
      <c r="S224" s="52" t="e">
        <f t="shared" si="235"/>
        <v>#DIV/0!</v>
      </c>
      <c r="T224" s="3"/>
      <c r="U224" s="51">
        <f t="shared" si="236"/>
        <v>0</v>
      </c>
      <c r="V224" s="52" t="e">
        <f t="shared" si="237"/>
        <v>#DIV/0!</v>
      </c>
      <c r="W224" s="53">
        <f>COUNTIFS('00 Encuesta'!$B$2:$B$511,"*e)*",'00 Encuesta'!$C$2:$C$511,"*c)*",'00 Encuesta'!$E$2:$E$511,"*a)*",'00 Encuesta'!$AC$2:$AC$511,"*c)*")</f>
        <v>0</v>
      </c>
      <c r="X224" s="52" t="e">
        <f t="shared" si="238"/>
        <v>#DIV/0!</v>
      </c>
      <c r="Y224" s="53">
        <f>COUNTIFS('00 Encuesta'!$B$2:$B$511,"*e)*",'00 Encuesta'!$C$2:$C$511,"*c)*",'00 Encuesta'!$E$2:$E$511,"*b)*",'00 Encuesta'!$AC$2:$AC$511,"*c)*")</f>
        <v>0</v>
      </c>
      <c r="Z224" s="52" t="e">
        <f t="shared" si="239"/>
        <v>#DIV/0!</v>
      </c>
      <c r="AA224" s="3"/>
      <c r="AB224" s="62">
        <f t="shared" si="240"/>
        <v>0</v>
      </c>
      <c r="AC224" s="52" t="e">
        <f t="shared" si="241"/>
        <v>#DIV/0!</v>
      </c>
      <c r="AD224" s="3"/>
      <c r="AE224" s="3"/>
      <c r="AF224" s="9" t="str">
        <f t="shared" si="242"/>
        <v>c) Sacerdocio o hermana religiosa</v>
      </c>
      <c r="AG224" s="72" t="e">
        <f t="shared" si="243"/>
        <v>#DIV/0!</v>
      </c>
      <c r="AH224" s="72" t="e">
        <f t="shared" si="244"/>
        <v>#DIV/0!</v>
      </c>
      <c r="AI224" s="73" t="e">
        <f t="shared" si="245"/>
        <v>#DIV/0!</v>
      </c>
      <c r="AJ224" s="73"/>
      <c r="AK224" s="76" t="e">
        <f t="shared" si="246"/>
        <v>#DIV/0!</v>
      </c>
      <c r="AL224" s="76" t="e">
        <f t="shared" si="247"/>
        <v>#DIV/0!</v>
      </c>
      <c r="AM224" s="76" t="e">
        <f t="shared" si="248"/>
        <v>#DIV/0!</v>
      </c>
      <c r="AN224" s="76"/>
      <c r="AO224" s="81" t="e">
        <f t="shared" si="249"/>
        <v>#DIV/0!</v>
      </c>
      <c r="AP224" s="81" t="e">
        <f t="shared" si="250"/>
        <v>#DIV/0!</v>
      </c>
      <c r="AQ224" s="81" t="e">
        <f t="shared" si="251"/>
        <v>#DIV/0!</v>
      </c>
      <c r="AR224" s="3"/>
      <c r="AS224" s="76" t="e">
        <f t="shared" si="227"/>
        <v>#DIV/0!</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0</v>
      </c>
      <c r="H225" s="52" t="e">
        <f t="shared" si="229"/>
        <v>#DIV/0!</v>
      </c>
      <c r="I225" s="53">
        <f>COUNTIFS('00 Encuesta'!$B$2:$B$511,"*e)*",'00 Encuesta'!$C$2:$C$511,"*a)*",'00 Encuesta'!$E$2:$E$511,"*a)*",'00 Encuesta'!$AC$2:$AC$511,"*d)*")</f>
        <v>0</v>
      </c>
      <c r="J225" s="52" t="e">
        <f t="shared" si="230"/>
        <v>#DIV/0!</v>
      </c>
      <c r="K225" s="53">
        <f>COUNTIFS('00 Encuesta'!$B$2:$B$511,"*e)*",'00 Encuesta'!$C$2:$C$511,"*a)*",'00 Encuesta'!$E$2:$E$511,"*b)*",'00 Encuesta'!$AC$2:$AC$511,"*d)*")</f>
        <v>0</v>
      </c>
      <c r="L225" s="52" t="e">
        <f t="shared" si="231"/>
        <v>#DIV/0!</v>
      </c>
      <c r="M225" s="23"/>
      <c r="N225" s="51">
        <f t="shared" si="232"/>
        <v>0</v>
      </c>
      <c r="O225" s="52" t="e">
        <f t="shared" si="233"/>
        <v>#DIV/0!</v>
      </c>
      <c r="P225" s="53">
        <f>COUNTIFS('00 Encuesta'!$B$2:$B$511,"*e)*",'00 Encuesta'!$C$2:$C$511,"*b)*",'00 Encuesta'!$E$2:$E$511,"*a)*",'00 Encuesta'!$AC$2:$AC$511,"*d)*")</f>
        <v>0</v>
      </c>
      <c r="Q225" s="52" t="e">
        <f t="shared" si="234"/>
        <v>#DIV/0!</v>
      </c>
      <c r="R225" s="53">
        <f>COUNTIFS('00 Encuesta'!$B$2:$B$511,"*e)*",'00 Encuesta'!$C$2:$C$511,"*b)*",'00 Encuesta'!$E$2:$E$511,"*b)*",'00 Encuesta'!$AC$2:$AC$511,"*d)*")</f>
        <v>0</v>
      </c>
      <c r="S225" s="52" t="e">
        <f t="shared" si="235"/>
        <v>#DIV/0!</v>
      </c>
      <c r="T225" s="3"/>
      <c r="U225" s="51">
        <f t="shared" si="236"/>
        <v>0</v>
      </c>
      <c r="V225" s="52" t="e">
        <f t="shared" si="237"/>
        <v>#DIV/0!</v>
      </c>
      <c r="W225" s="53">
        <f>COUNTIFS('00 Encuesta'!$B$2:$B$511,"*e)*",'00 Encuesta'!$C$2:$C$511,"*c)*",'00 Encuesta'!$E$2:$E$511,"*a)*",'00 Encuesta'!$AC$2:$AC$511,"*d)*")</f>
        <v>0</v>
      </c>
      <c r="X225" s="52" t="e">
        <f t="shared" si="238"/>
        <v>#DIV/0!</v>
      </c>
      <c r="Y225" s="53">
        <f>COUNTIFS('00 Encuesta'!$B$2:$B$511,"*e)*",'00 Encuesta'!$C$2:$C$511,"*c)*",'00 Encuesta'!$E$2:$E$511,"*b)*",'00 Encuesta'!$AC$2:$AC$511,"*d)*")</f>
        <v>0</v>
      </c>
      <c r="Z225" s="52" t="e">
        <f t="shared" si="239"/>
        <v>#DIV/0!</v>
      </c>
      <c r="AA225" s="3"/>
      <c r="AB225" s="62">
        <f t="shared" si="240"/>
        <v>0</v>
      </c>
      <c r="AC225" s="52" t="e">
        <f t="shared" si="241"/>
        <v>#DIV/0!</v>
      </c>
      <c r="AD225" s="3"/>
      <c r="AE225" s="3"/>
      <c r="AF225" s="9" t="str">
        <f t="shared" si="242"/>
        <v>d) Ingeniería</v>
      </c>
      <c r="AG225" s="72" t="e">
        <f t="shared" si="243"/>
        <v>#DIV/0!</v>
      </c>
      <c r="AH225" s="72" t="e">
        <f t="shared" si="244"/>
        <v>#DIV/0!</v>
      </c>
      <c r="AI225" s="73" t="e">
        <f t="shared" si="245"/>
        <v>#DIV/0!</v>
      </c>
      <c r="AJ225" s="73"/>
      <c r="AK225" s="76" t="e">
        <f t="shared" si="246"/>
        <v>#DIV/0!</v>
      </c>
      <c r="AL225" s="76" t="e">
        <f t="shared" si="247"/>
        <v>#DIV/0!</v>
      </c>
      <c r="AM225" s="76" t="e">
        <f t="shared" si="248"/>
        <v>#DIV/0!</v>
      </c>
      <c r="AN225" s="76"/>
      <c r="AO225" s="81" t="e">
        <f t="shared" si="249"/>
        <v>#DIV/0!</v>
      </c>
      <c r="AP225" s="81" t="e">
        <f t="shared" si="250"/>
        <v>#DIV/0!</v>
      </c>
      <c r="AQ225" s="81" t="e">
        <f t="shared" si="251"/>
        <v>#DIV/0!</v>
      </c>
      <c r="AR225" s="3"/>
      <c r="AS225" s="76" t="e">
        <f t="shared" si="227"/>
        <v>#DIV/0!</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x14ac:dyDescent="0.3">
      <c r="A226" s="8" t="s">
        <v>22</v>
      </c>
      <c r="B226" s="9" t="s">
        <v>164</v>
      </c>
      <c r="C226" s="7"/>
      <c r="D226" s="7"/>
      <c r="E226" s="7"/>
      <c r="F226" s="71"/>
      <c r="G226" s="51">
        <f t="shared" si="228"/>
        <v>0</v>
      </c>
      <c r="H226" s="52" t="e">
        <f t="shared" si="229"/>
        <v>#DIV/0!</v>
      </c>
      <c r="I226" s="53">
        <f>COUNTIFS('00 Encuesta'!$B$2:$B$511,"*e)*",'00 Encuesta'!$C$2:$C$511,"*a)*",'00 Encuesta'!$E$2:$E$511,"*a)*",'00 Encuesta'!$AC$2:$AC$511,"*e)*")</f>
        <v>0</v>
      </c>
      <c r="J226" s="52" t="e">
        <f t="shared" si="230"/>
        <v>#DIV/0!</v>
      </c>
      <c r="K226" s="53">
        <f>COUNTIFS('00 Encuesta'!$B$2:$B$511,"*e)*",'00 Encuesta'!$C$2:$C$511,"*a)*",'00 Encuesta'!$E$2:$E$511,"*b)*",'00 Encuesta'!$AC$2:$AC$511,"*e)*")</f>
        <v>0</v>
      </c>
      <c r="L226" s="52" t="e">
        <f t="shared" si="231"/>
        <v>#DIV/0!</v>
      </c>
      <c r="M226" s="23"/>
      <c r="N226" s="51">
        <f t="shared" si="232"/>
        <v>0</v>
      </c>
      <c r="O226" s="52" t="e">
        <f t="shared" si="233"/>
        <v>#DIV/0!</v>
      </c>
      <c r="P226" s="53">
        <f>COUNTIFS('00 Encuesta'!$B$2:$B$511,"*e)*",'00 Encuesta'!$C$2:$C$511,"*b)*",'00 Encuesta'!$E$2:$E$511,"*a)*",'00 Encuesta'!$AC$2:$AC$511,"*e)*")</f>
        <v>0</v>
      </c>
      <c r="Q226" s="52" t="e">
        <f t="shared" si="234"/>
        <v>#DIV/0!</v>
      </c>
      <c r="R226" s="53">
        <f>COUNTIFS('00 Encuesta'!$B$2:$B$511,"*e)*",'00 Encuesta'!$C$2:$C$511,"*b)*",'00 Encuesta'!$E$2:$E$511,"*b)*",'00 Encuesta'!$AC$2:$AC$511,"*e)*")</f>
        <v>0</v>
      </c>
      <c r="S226" s="52" t="e">
        <f t="shared" si="235"/>
        <v>#DIV/0!</v>
      </c>
      <c r="T226" s="3"/>
      <c r="U226" s="51">
        <f t="shared" si="236"/>
        <v>0</v>
      </c>
      <c r="V226" s="52" t="e">
        <f t="shared" si="237"/>
        <v>#DIV/0!</v>
      </c>
      <c r="W226" s="53">
        <f>COUNTIFS('00 Encuesta'!$B$2:$B$511,"*e)*",'00 Encuesta'!$C$2:$C$511,"*c)*",'00 Encuesta'!$E$2:$E$511,"*a)*",'00 Encuesta'!$AC$2:$AC$511,"*e)*")</f>
        <v>0</v>
      </c>
      <c r="X226" s="52" t="e">
        <f t="shared" si="238"/>
        <v>#DIV/0!</v>
      </c>
      <c r="Y226" s="53">
        <f>COUNTIFS('00 Encuesta'!$B$2:$B$511,"*e)*",'00 Encuesta'!$C$2:$C$511,"*c)*",'00 Encuesta'!$E$2:$E$511,"*b)*",'00 Encuesta'!$AC$2:$AC$511,"*e)*")</f>
        <v>0</v>
      </c>
      <c r="Z226" s="52" t="e">
        <f t="shared" si="239"/>
        <v>#DIV/0!</v>
      </c>
      <c r="AA226" s="3"/>
      <c r="AB226" s="62">
        <f t="shared" si="240"/>
        <v>0</v>
      </c>
      <c r="AC226" s="52" t="e">
        <f t="shared" si="241"/>
        <v>#DIV/0!</v>
      </c>
      <c r="AD226" s="3"/>
      <c r="AE226" s="3"/>
      <c r="AF226" s="9" t="str">
        <f t="shared" si="242"/>
        <v>e) Derecho</v>
      </c>
      <c r="AG226" s="72" t="e">
        <f t="shared" si="243"/>
        <v>#DIV/0!</v>
      </c>
      <c r="AH226" s="72" t="e">
        <f t="shared" si="244"/>
        <v>#DIV/0!</v>
      </c>
      <c r="AI226" s="73" t="e">
        <f t="shared" si="245"/>
        <v>#DIV/0!</v>
      </c>
      <c r="AJ226" s="73"/>
      <c r="AK226" s="76" t="e">
        <f t="shared" si="246"/>
        <v>#DIV/0!</v>
      </c>
      <c r="AL226" s="76" t="e">
        <f t="shared" si="247"/>
        <v>#DIV/0!</v>
      </c>
      <c r="AM226" s="76" t="e">
        <f t="shared" si="248"/>
        <v>#DIV/0!</v>
      </c>
      <c r="AN226" s="76"/>
      <c r="AO226" s="81" t="e">
        <f t="shared" si="249"/>
        <v>#DIV/0!</v>
      </c>
      <c r="AP226" s="81" t="e">
        <f t="shared" si="250"/>
        <v>#DIV/0!</v>
      </c>
      <c r="AQ226" s="81" t="e">
        <f t="shared" si="251"/>
        <v>#DIV/0!</v>
      </c>
      <c r="AR226" s="3"/>
      <c r="AS226" s="76" t="e">
        <f t="shared" si="227"/>
        <v>#DIV/0!</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x14ac:dyDescent="0.3">
      <c r="A227" s="1" t="s">
        <v>45</v>
      </c>
      <c r="B227" s="2" t="s">
        <v>165</v>
      </c>
      <c r="C227" s="3"/>
      <c r="D227" s="7"/>
      <c r="E227" s="7"/>
      <c r="F227" s="71"/>
      <c r="G227" s="51">
        <f t="shared" si="228"/>
        <v>0</v>
      </c>
      <c r="H227" s="52" t="e">
        <f t="shared" si="229"/>
        <v>#DIV/0!</v>
      </c>
      <c r="I227" s="53">
        <f>COUNTIFS('00 Encuesta'!$B$2:$B$511,"*e)*",'00 Encuesta'!$C$2:$C$511,"*a)*",'00 Encuesta'!$E$2:$E$511,"*a)*",'00 Encuesta'!$AC$2:$AC$511,"*f)*")</f>
        <v>0</v>
      </c>
      <c r="J227" s="52" t="e">
        <f t="shared" si="230"/>
        <v>#DIV/0!</v>
      </c>
      <c r="K227" s="53">
        <f>COUNTIFS('00 Encuesta'!$B$2:$B$511,"*e)*",'00 Encuesta'!$C$2:$C$511,"*a)*",'00 Encuesta'!$E$2:$E$511,"*b)*",'00 Encuesta'!$AC$2:$AC$511,"*f)*")</f>
        <v>0</v>
      </c>
      <c r="L227" s="52" t="e">
        <f t="shared" si="231"/>
        <v>#DIV/0!</v>
      </c>
      <c r="M227" s="23"/>
      <c r="N227" s="51">
        <f t="shared" si="232"/>
        <v>0</v>
      </c>
      <c r="O227" s="52" t="e">
        <f t="shared" si="233"/>
        <v>#DIV/0!</v>
      </c>
      <c r="P227" s="53">
        <f>COUNTIFS('00 Encuesta'!$B$2:$B$511,"*e)*",'00 Encuesta'!$C$2:$C$511,"*b)*",'00 Encuesta'!$E$2:$E$511,"*a)*",'00 Encuesta'!$AC$2:$AC$511,"*f)*")</f>
        <v>0</v>
      </c>
      <c r="Q227" s="52" t="e">
        <f t="shared" si="234"/>
        <v>#DIV/0!</v>
      </c>
      <c r="R227" s="53">
        <f>COUNTIFS('00 Encuesta'!$B$2:$B$511,"*e)*",'00 Encuesta'!$C$2:$C$511,"*b)*",'00 Encuesta'!$E$2:$E$511,"*b)*",'00 Encuesta'!$AC$2:$AC$511,"*f)*")</f>
        <v>0</v>
      </c>
      <c r="S227" s="52" t="e">
        <f t="shared" si="235"/>
        <v>#DIV/0!</v>
      </c>
      <c r="T227" s="3"/>
      <c r="U227" s="51">
        <f t="shared" si="236"/>
        <v>0</v>
      </c>
      <c r="V227" s="52" t="e">
        <f t="shared" si="237"/>
        <v>#DIV/0!</v>
      </c>
      <c r="W227" s="53">
        <f>COUNTIFS('00 Encuesta'!$B$2:$B$511,"*e)*",'00 Encuesta'!$C$2:$C$511,"*c)*",'00 Encuesta'!$E$2:$E$511,"*a)*",'00 Encuesta'!$AC$2:$AC$511,"*f)*")</f>
        <v>0</v>
      </c>
      <c r="X227" s="52" t="e">
        <f t="shared" si="238"/>
        <v>#DIV/0!</v>
      </c>
      <c r="Y227" s="53">
        <f>COUNTIFS('00 Encuesta'!$B$2:$B$511,"*e)*",'00 Encuesta'!$C$2:$C$511,"*c)*",'00 Encuesta'!$E$2:$E$511,"*b)*",'00 Encuesta'!$AC$2:$AC$511,"*f)*")</f>
        <v>0</v>
      </c>
      <c r="Z227" s="52" t="e">
        <f t="shared" si="239"/>
        <v>#DIV/0!</v>
      </c>
      <c r="AA227" s="3"/>
      <c r="AB227" s="62">
        <f t="shared" si="240"/>
        <v>0</v>
      </c>
      <c r="AC227" s="52" t="e">
        <f t="shared" si="241"/>
        <v>#DIV/0!</v>
      </c>
      <c r="AD227" s="3"/>
      <c r="AE227" s="3"/>
      <c r="AF227" s="9" t="str">
        <f t="shared" si="242"/>
        <v>f) Ciencias policiales o artes militares</v>
      </c>
      <c r="AG227" s="72" t="e">
        <f t="shared" si="243"/>
        <v>#DIV/0!</v>
      </c>
      <c r="AH227" s="72" t="e">
        <f t="shared" si="244"/>
        <v>#DIV/0!</v>
      </c>
      <c r="AI227" s="73" t="e">
        <f t="shared" si="245"/>
        <v>#DIV/0!</v>
      </c>
      <c r="AJ227" s="73"/>
      <c r="AK227" s="76" t="e">
        <f t="shared" si="246"/>
        <v>#DIV/0!</v>
      </c>
      <c r="AL227" s="76" t="e">
        <f t="shared" si="247"/>
        <v>#DIV/0!</v>
      </c>
      <c r="AM227" s="76" t="e">
        <f t="shared" si="248"/>
        <v>#DIV/0!</v>
      </c>
      <c r="AN227" s="76"/>
      <c r="AO227" s="81" t="e">
        <f t="shared" si="249"/>
        <v>#DIV/0!</v>
      </c>
      <c r="AP227" s="81" t="e">
        <f t="shared" si="250"/>
        <v>#DIV/0!</v>
      </c>
      <c r="AQ227" s="81" t="e">
        <f t="shared" si="251"/>
        <v>#DIV/0!</v>
      </c>
      <c r="AR227" s="3"/>
      <c r="AS227" s="76" t="e">
        <f t="shared" si="227"/>
        <v>#DIV/0!</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x14ac:dyDescent="0.3">
      <c r="A228" s="1" t="s">
        <v>61</v>
      </c>
      <c r="B228" s="2" t="s">
        <v>166</v>
      </c>
      <c r="C228" s="3"/>
      <c r="D228" s="7"/>
      <c r="E228" s="7"/>
      <c r="F228" s="71"/>
      <c r="G228" s="51">
        <f t="shared" si="228"/>
        <v>0</v>
      </c>
      <c r="H228" s="52" t="e">
        <f t="shared" si="229"/>
        <v>#DIV/0!</v>
      </c>
      <c r="I228" s="53">
        <f>COUNTIFS('00 Encuesta'!$B$2:$B$511,"*e)*",'00 Encuesta'!$C$2:$C$511,"*a)*",'00 Encuesta'!$E$2:$E$511,"*a)*",'00 Encuesta'!$AC$2:$AC$511,"*g)*")</f>
        <v>0</v>
      </c>
      <c r="J228" s="52" t="e">
        <f t="shared" si="230"/>
        <v>#DIV/0!</v>
      </c>
      <c r="K228" s="53">
        <f>COUNTIFS('00 Encuesta'!$B$2:$B$511,"*e)*",'00 Encuesta'!$C$2:$C$511,"*a)*",'00 Encuesta'!$E$2:$E$511,"*b)*",'00 Encuesta'!$AC$2:$AC$511,"*g)*")</f>
        <v>0</v>
      </c>
      <c r="L228" s="52" t="e">
        <f t="shared" si="231"/>
        <v>#DIV/0!</v>
      </c>
      <c r="M228" s="23"/>
      <c r="N228" s="51">
        <f t="shared" si="232"/>
        <v>0</v>
      </c>
      <c r="O228" s="52" t="e">
        <f t="shared" si="233"/>
        <v>#DIV/0!</v>
      </c>
      <c r="P228" s="53">
        <f>COUNTIFS('00 Encuesta'!$B$2:$B$511,"*e)*",'00 Encuesta'!$C$2:$C$511,"*b)*",'00 Encuesta'!$E$2:$E$511,"*a)*",'00 Encuesta'!$AC$2:$AC$511,"*g)*")</f>
        <v>0</v>
      </c>
      <c r="Q228" s="52" t="e">
        <f t="shared" si="234"/>
        <v>#DIV/0!</v>
      </c>
      <c r="R228" s="53">
        <f>COUNTIFS('00 Encuesta'!$B$2:$B$511,"*e)*",'00 Encuesta'!$C$2:$C$511,"*b)*",'00 Encuesta'!$E$2:$E$511,"*b)*",'00 Encuesta'!$AC$2:$AC$511,"*g)*")</f>
        <v>0</v>
      </c>
      <c r="S228" s="52" t="e">
        <f t="shared" si="235"/>
        <v>#DIV/0!</v>
      </c>
      <c r="T228" s="3"/>
      <c r="U228" s="51">
        <f t="shared" si="236"/>
        <v>0</v>
      </c>
      <c r="V228" s="52" t="e">
        <f t="shared" si="237"/>
        <v>#DIV/0!</v>
      </c>
      <c r="W228" s="53">
        <f>COUNTIFS('00 Encuesta'!$B$2:$B$511,"*e)*",'00 Encuesta'!$C$2:$C$511,"*c)*",'00 Encuesta'!$E$2:$E$511,"*a)*",'00 Encuesta'!$AC$2:$AC$511,"*g)*")</f>
        <v>0</v>
      </c>
      <c r="X228" s="52" t="e">
        <f t="shared" si="238"/>
        <v>#DIV/0!</v>
      </c>
      <c r="Y228" s="53">
        <f>COUNTIFS('00 Encuesta'!$B$2:$B$511,"*e)*",'00 Encuesta'!$C$2:$C$511,"*c)*",'00 Encuesta'!$E$2:$E$511,"*b)*",'00 Encuesta'!$AC$2:$AC$511,"*g)*")</f>
        <v>0</v>
      </c>
      <c r="Z228" s="52" t="e">
        <f t="shared" si="239"/>
        <v>#DIV/0!</v>
      </c>
      <c r="AA228" s="3"/>
      <c r="AB228" s="62">
        <f t="shared" si="240"/>
        <v>0</v>
      </c>
      <c r="AC228" s="52" t="e">
        <f t="shared" si="241"/>
        <v>#DIV/0!</v>
      </c>
      <c r="AD228" s="3"/>
      <c r="AE228" s="3"/>
      <c r="AF228" s="9" t="str">
        <f t="shared" si="242"/>
        <v>g) Artista</v>
      </c>
      <c r="AG228" s="72" t="e">
        <f t="shared" si="243"/>
        <v>#DIV/0!</v>
      </c>
      <c r="AH228" s="72" t="e">
        <f t="shared" si="244"/>
        <v>#DIV/0!</v>
      </c>
      <c r="AI228" s="73" t="e">
        <f t="shared" si="245"/>
        <v>#DIV/0!</v>
      </c>
      <c r="AJ228" s="73"/>
      <c r="AK228" s="76" t="e">
        <f t="shared" si="246"/>
        <v>#DIV/0!</v>
      </c>
      <c r="AL228" s="76" t="e">
        <f t="shared" si="247"/>
        <v>#DIV/0!</v>
      </c>
      <c r="AM228" s="76" t="e">
        <f t="shared" si="248"/>
        <v>#DIV/0!</v>
      </c>
      <c r="AN228" s="76"/>
      <c r="AO228" s="81" t="e">
        <f t="shared" si="249"/>
        <v>#DIV/0!</v>
      </c>
      <c r="AP228" s="81" t="e">
        <f t="shared" si="250"/>
        <v>#DIV/0!</v>
      </c>
      <c r="AQ228" s="81" t="e">
        <f t="shared" si="251"/>
        <v>#DIV/0!</v>
      </c>
      <c r="AR228" s="3"/>
      <c r="AS228" s="76" t="e">
        <f t="shared" si="227"/>
        <v>#DIV/0!</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0</v>
      </c>
      <c r="H229" s="52" t="e">
        <f t="shared" si="229"/>
        <v>#DIV/0!</v>
      </c>
      <c r="I229" s="53">
        <f>COUNTIFS('00 Encuesta'!$B$2:$B$511,"*e)*",'00 Encuesta'!$C$2:$C$511,"*a)*",'00 Encuesta'!$E$2:$E$511,"*a)*",'00 Encuesta'!$AC$2:$AC$511,"*h)*")</f>
        <v>0</v>
      </c>
      <c r="J229" s="52" t="e">
        <f t="shared" si="230"/>
        <v>#DIV/0!</v>
      </c>
      <c r="K229" s="53">
        <f>COUNTIFS('00 Encuesta'!$B$2:$B$511,"*e)*",'00 Encuesta'!$C$2:$C$511,"*a)*",'00 Encuesta'!$E$2:$E$511,"*b)*",'00 Encuesta'!$AC$2:$AC$511,"*h)*")</f>
        <v>0</v>
      </c>
      <c r="L229" s="52" t="e">
        <f t="shared" si="231"/>
        <v>#DIV/0!</v>
      </c>
      <c r="M229" s="23"/>
      <c r="N229" s="51">
        <f t="shared" si="232"/>
        <v>0</v>
      </c>
      <c r="O229" s="52" t="e">
        <f t="shared" si="233"/>
        <v>#DIV/0!</v>
      </c>
      <c r="P229" s="53">
        <f>COUNTIFS('00 Encuesta'!$B$2:$B$511,"*e)*",'00 Encuesta'!$C$2:$C$511,"*b)*",'00 Encuesta'!$E$2:$E$511,"*a)*",'00 Encuesta'!$AC$2:$AC$511,"*h)*")</f>
        <v>0</v>
      </c>
      <c r="Q229" s="52" t="e">
        <f t="shared" si="234"/>
        <v>#DIV/0!</v>
      </c>
      <c r="R229" s="53">
        <f>COUNTIFS('00 Encuesta'!$B$2:$B$511,"*e)*",'00 Encuesta'!$C$2:$C$511,"*b)*",'00 Encuesta'!$E$2:$E$511,"*b)*",'00 Encuesta'!$AC$2:$AC$511,"*h)*")</f>
        <v>0</v>
      </c>
      <c r="S229" s="52" t="e">
        <f t="shared" si="235"/>
        <v>#DIV/0!</v>
      </c>
      <c r="T229" s="3"/>
      <c r="U229" s="51">
        <f t="shared" si="236"/>
        <v>0</v>
      </c>
      <c r="V229" s="52" t="e">
        <f t="shared" si="237"/>
        <v>#DIV/0!</v>
      </c>
      <c r="W229" s="53">
        <f>COUNTIFS('00 Encuesta'!$B$2:$B$511,"*e)*",'00 Encuesta'!$C$2:$C$511,"*c)*",'00 Encuesta'!$E$2:$E$511,"*a)*",'00 Encuesta'!$AC$2:$AC$511,"*h)*")</f>
        <v>0</v>
      </c>
      <c r="X229" s="52" t="e">
        <f t="shared" si="238"/>
        <v>#DIV/0!</v>
      </c>
      <c r="Y229" s="53">
        <f>COUNTIFS('00 Encuesta'!$B$2:$B$511,"*e)*",'00 Encuesta'!$C$2:$C$511,"*c)*",'00 Encuesta'!$E$2:$E$511,"*b)*",'00 Encuesta'!$AC$2:$AC$511,"*h)*")</f>
        <v>0</v>
      </c>
      <c r="Z229" s="52" t="e">
        <f t="shared" si="239"/>
        <v>#DIV/0!</v>
      </c>
      <c r="AA229" s="3"/>
      <c r="AB229" s="62">
        <f t="shared" si="240"/>
        <v>0</v>
      </c>
      <c r="AC229" s="52" t="e">
        <f t="shared" si="241"/>
        <v>#DIV/0!</v>
      </c>
      <c r="AD229" s="3"/>
      <c r="AE229" s="3"/>
      <c r="AF229" s="9" t="str">
        <f t="shared" si="242"/>
        <v>h) Ciencias Políticas</v>
      </c>
      <c r="AG229" s="72" t="e">
        <f t="shared" si="243"/>
        <v>#DIV/0!</v>
      </c>
      <c r="AH229" s="72" t="e">
        <f t="shared" si="244"/>
        <v>#DIV/0!</v>
      </c>
      <c r="AI229" s="73" t="e">
        <f t="shared" si="245"/>
        <v>#DIV/0!</v>
      </c>
      <c r="AJ229" s="73"/>
      <c r="AK229" s="76" t="e">
        <f t="shared" si="246"/>
        <v>#DIV/0!</v>
      </c>
      <c r="AL229" s="76" t="e">
        <f t="shared" si="247"/>
        <v>#DIV/0!</v>
      </c>
      <c r="AM229" s="76" t="e">
        <f t="shared" si="248"/>
        <v>#DIV/0!</v>
      </c>
      <c r="AN229" s="76"/>
      <c r="AO229" s="81" t="e">
        <f t="shared" si="249"/>
        <v>#DIV/0!</v>
      </c>
      <c r="AP229" s="81" t="e">
        <f t="shared" si="250"/>
        <v>#DIV/0!</v>
      </c>
      <c r="AQ229" s="81" t="e">
        <f t="shared" si="251"/>
        <v>#DIV/0!</v>
      </c>
      <c r="AR229" s="3"/>
      <c r="AS229" s="76" t="e">
        <f t="shared" si="227"/>
        <v>#DIV/0!</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x14ac:dyDescent="0.3">
      <c r="A230" s="84" t="s">
        <v>65</v>
      </c>
      <c r="B230" s="9" t="s">
        <v>168</v>
      </c>
      <c r="C230" s="7"/>
      <c r="D230" s="7"/>
      <c r="E230" s="7"/>
      <c r="F230" s="71"/>
      <c r="G230" s="51">
        <f t="shared" si="228"/>
        <v>0</v>
      </c>
      <c r="H230" s="52" t="e">
        <f t="shared" si="229"/>
        <v>#DIV/0!</v>
      </c>
      <c r="I230" s="53">
        <f>COUNTIFS('00 Encuesta'!$B$2:$B$511,"*e)*",'00 Encuesta'!$C$2:$C$511,"*a)*",'00 Encuesta'!$E$2:$E$511,"*a)*",'00 Encuesta'!$AC$2:$AC$511,"*i)*")</f>
        <v>0</v>
      </c>
      <c r="J230" s="52" t="e">
        <f t="shared" si="230"/>
        <v>#DIV/0!</v>
      </c>
      <c r="K230" s="53">
        <f>COUNTIFS('00 Encuesta'!$B$2:$B$511,"*e)*",'00 Encuesta'!$C$2:$C$511,"*a)*",'00 Encuesta'!$E$2:$E$511,"*b)*",'00 Encuesta'!$AC$2:$AC$511,"*i)*")</f>
        <v>0</v>
      </c>
      <c r="L230" s="52" t="e">
        <f t="shared" si="231"/>
        <v>#DIV/0!</v>
      </c>
      <c r="M230" s="23"/>
      <c r="N230" s="51">
        <f t="shared" si="232"/>
        <v>0</v>
      </c>
      <c r="O230" s="52" t="e">
        <f t="shared" si="233"/>
        <v>#DIV/0!</v>
      </c>
      <c r="P230" s="53">
        <f>COUNTIFS('00 Encuesta'!$B$2:$B$511,"*e)*",'00 Encuesta'!$C$2:$C$511,"*b)*",'00 Encuesta'!$E$2:$E$511,"*a)*",'00 Encuesta'!$AC$2:$AC$511,"*i)*")</f>
        <v>0</v>
      </c>
      <c r="Q230" s="52" t="e">
        <f t="shared" si="234"/>
        <v>#DIV/0!</v>
      </c>
      <c r="R230" s="53">
        <f>COUNTIFS('00 Encuesta'!$B$2:$B$511,"*e)*",'00 Encuesta'!$C$2:$C$511,"*b)*",'00 Encuesta'!$E$2:$E$511,"*b)*",'00 Encuesta'!$AC$2:$AC$511,"*i)*")</f>
        <v>0</v>
      </c>
      <c r="S230" s="52" t="e">
        <f t="shared" si="235"/>
        <v>#DIV/0!</v>
      </c>
      <c r="T230" s="3"/>
      <c r="U230" s="51">
        <f t="shared" si="236"/>
        <v>0</v>
      </c>
      <c r="V230" s="52" t="e">
        <f t="shared" si="237"/>
        <v>#DIV/0!</v>
      </c>
      <c r="W230" s="53">
        <f>COUNTIFS('00 Encuesta'!$B$2:$B$511,"*e)*",'00 Encuesta'!$C$2:$C$511,"*c)*",'00 Encuesta'!$E$2:$E$511,"*a)*",'00 Encuesta'!$AC$2:$AC$511,"*i)*")</f>
        <v>0</v>
      </c>
      <c r="X230" s="52" t="e">
        <f t="shared" si="238"/>
        <v>#DIV/0!</v>
      </c>
      <c r="Y230" s="53">
        <f>COUNTIFS('00 Encuesta'!$B$2:$B$511,"*e)*",'00 Encuesta'!$C$2:$C$511,"*c)*",'00 Encuesta'!$E$2:$E$511,"*b)*",'00 Encuesta'!$AC$2:$AC$511,"*i)*")</f>
        <v>0</v>
      </c>
      <c r="Z230" s="52" t="e">
        <f t="shared" si="239"/>
        <v>#DIV/0!</v>
      </c>
      <c r="AA230" s="3"/>
      <c r="AB230" s="62">
        <f t="shared" si="240"/>
        <v>0</v>
      </c>
      <c r="AC230" s="52" t="e">
        <f t="shared" si="241"/>
        <v>#DIV/0!</v>
      </c>
      <c r="AD230" s="3"/>
      <c r="AE230" s="3"/>
      <c r="AF230" s="9" t="str">
        <f t="shared" si="242"/>
        <v>i) Comerciante</v>
      </c>
      <c r="AG230" s="72" t="e">
        <f t="shared" si="243"/>
        <v>#DIV/0!</v>
      </c>
      <c r="AH230" s="72" t="e">
        <f t="shared" si="244"/>
        <v>#DIV/0!</v>
      </c>
      <c r="AI230" s="73" t="e">
        <f t="shared" si="245"/>
        <v>#DIV/0!</v>
      </c>
      <c r="AJ230" s="73"/>
      <c r="AK230" s="76" t="e">
        <f t="shared" si="246"/>
        <v>#DIV/0!</v>
      </c>
      <c r="AL230" s="76" t="e">
        <f t="shared" si="247"/>
        <v>#DIV/0!</v>
      </c>
      <c r="AM230" s="76" t="e">
        <f t="shared" si="248"/>
        <v>#DIV/0!</v>
      </c>
      <c r="AN230" s="76"/>
      <c r="AO230" s="81" t="e">
        <f t="shared" si="249"/>
        <v>#DIV/0!</v>
      </c>
      <c r="AP230" s="81" t="e">
        <f t="shared" si="250"/>
        <v>#DIV/0!</v>
      </c>
      <c r="AQ230" s="81" t="e">
        <f t="shared" si="251"/>
        <v>#DIV/0!</v>
      </c>
      <c r="AR230" s="3"/>
      <c r="AS230" s="76" t="e">
        <f t="shared" si="227"/>
        <v>#DIV/0!</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x14ac:dyDescent="0.3">
      <c r="A231" s="84" t="s">
        <v>67</v>
      </c>
      <c r="B231" s="9" t="s">
        <v>169</v>
      </c>
      <c r="C231" s="7"/>
      <c r="D231" s="7"/>
      <c r="E231" s="7"/>
      <c r="F231" s="71"/>
      <c r="G231" s="51">
        <f t="shared" si="228"/>
        <v>0</v>
      </c>
      <c r="H231" s="52" t="e">
        <f t="shared" si="229"/>
        <v>#DIV/0!</v>
      </c>
      <c r="I231" s="53">
        <f>COUNTIFS('00 Encuesta'!$B$2:$B$511,"*e)*",'00 Encuesta'!$C$2:$C$511,"*a)*",'00 Encuesta'!$E$2:$E$511,"*a)*",'00 Encuesta'!$AC$2:$AC$511,"*j)*")</f>
        <v>0</v>
      </c>
      <c r="J231" s="52" t="e">
        <f t="shared" si="230"/>
        <v>#DIV/0!</v>
      </c>
      <c r="K231" s="53">
        <f>COUNTIFS('00 Encuesta'!$B$2:$B$511,"*e)*",'00 Encuesta'!$C$2:$C$511,"*a)*",'00 Encuesta'!$E$2:$E$511,"*b)*",'00 Encuesta'!$AC$2:$AC$511,"*j)*")</f>
        <v>0</v>
      </c>
      <c r="L231" s="52" t="e">
        <f t="shared" si="231"/>
        <v>#DIV/0!</v>
      </c>
      <c r="M231" s="23"/>
      <c r="N231" s="51">
        <f t="shared" si="232"/>
        <v>0</v>
      </c>
      <c r="O231" s="52" t="e">
        <f t="shared" si="233"/>
        <v>#DIV/0!</v>
      </c>
      <c r="P231" s="53">
        <f>COUNTIFS('00 Encuesta'!$B$2:$B$511,"*e)*",'00 Encuesta'!$C$2:$C$511,"*b)*",'00 Encuesta'!$E$2:$E$511,"*a)*",'00 Encuesta'!$AC$2:$AC$511,"*j)*")</f>
        <v>0</v>
      </c>
      <c r="Q231" s="52" t="e">
        <f t="shared" si="234"/>
        <v>#DIV/0!</v>
      </c>
      <c r="R231" s="53">
        <f>COUNTIFS('00 Encuesta'!$B$2:$B$511,"*e)*",'00 Encuesta'!$C$2:$C$511,"*b)*",'00 Encuesta'!$E$2:$E$511,"*b)*",'00 Encuesta'!$AC$2:$AC$511,"*j)*")</f>
        <v>0</v>
      </c>
      <c r="S231" s="52" t="e">
        <f t="shared" si="235"/>
        <v>#DIV/0!</v>
      </c>
      <c r="T231" s="3"/>
      <c r="U231" s="51">
        <f t="shared" si="236"/>
        <v>0</v>
      </c>
      <c r="V231" s="52" t="e">
        <f t="shared" si="237"/>
        <v>#DIV/0!</v>
      </c>
      <c r="W231" s="53">
        <f>COUNTIFS('00 Encuesta'!$B$2:$B$511,"*e)*",'00 Encuesta'!$C$2:$C$511,"*c)*",'00 Encuesta'!$E$2:$E$511,"*a)*",'00 Encuesta'!$AC$2:$AC$511,"*j)*")</f>
        <v>0</v>
      </c>
      <c r="X231" s="52" t="e">
        <f t="shared" si="238"/>
        <v>#DIV/0!</v>
      </c>
      <c r="Y231" s="53">
        <f>COUNTIFS('00 Encuesta'!$B$2:$B$511,"*e)*",'00 Encuesta'!$C$2:$C$511,"*c)*",'00 Encuesta'!$E$2:$E$511,"*b)*",'00 Encuesta'!$AC$2:$AC$511,"*j)*")</f>
        <v>0</v>
      </c>
      <c r="Z231" s="52" t="e">
        <f t="shared" si="239"/>
        <v>#DIV/0!</v>
      </c>
      <c r="AA231" s="3"/>
      <c r="AB231" s="62">
        <f t="shared" si="240"/>
        <v>0</v>
      </c>
      <c r="AC231" s="52" t="e">
        <f t="shared" si="241"/>
        <v>#DIV/0!</v>
      </c>
      <c r="AD231" s="3"/>
      <c r="AE231" s="3"/>
      <c r="AF231" s="9" t="str">
        <f t="shared" si="242"/>
        <v>j) Trabajador calificado</v>
      </c>
      <c r="AG231" s="72" t="e">
        <f t="shared" si="243"/>
        <v>#DIV/0!</v>
      </c>
      <c r="AH231" s="72" t="e">
        <f t="shared" si="244"/>
        <v>#DIV/0!</v>
      </c>
      <c r="AI231" s="73" t="e">
        <f t="shared" si="245"/>
        <v>#DIV/0!</v>
      </c>
      <c r="AJ231" s="73"/>
      <c r="AK231" s="76" t="e">
        <f t="shared" si="246"/>
        <v>#DIV/0!</v>
      </c>
      <c r="AL231" s="76" t="e">
        <f t="shared" si="247"/>
        <v>#DIV/0!</v>
      </c>
      <c r="AM231" s="76" t="e">
        <f t="shared" si="248"/>
        <v>#DIV/0!</v>
      </c>
      <c r="AN231" s="76"/>
      <c r="AO231" s="81" t="e">
        <f t="shared" si="249"/>
        <v>#DIV/0!</v>
      </c>
      <c r="AP231" s="81" t="e">
        <f t="shared" si="250"/>
        <v>#DIV/0!</v>
      </c>
      <c r="AQ231" s="81" t="e">
        <f t="shared" si="251"/>
        <v>#DIV/0!</v>
      </c>
      <c r="AR231" s="3"/>
      <c r="AS231" s="76" t="e">
        <f t="shared" si="227"/>
        <v>#DIV/0!</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x14ac:dyDescent="0.3">
      <c r="A232" s="8" t="s">
        <v>23</v>
      </c>
      <c r="B232" s="9" t="s">
        <v>158</v>
      </c>
      <c r="C232" s="7"/>
      <c r="D232" s="7"/>
      <c r="E232" s="7"/>
      <c r="F232" s="71"/>
      <c r="G232" s="51">
        <f t="shared" si="228"/>
        <v>0</v>
      </c>
      <c r="H232" s="52" t="e">
        <f t="shared" si="229"/>
        <v>#DIV/0!</v>
      </c>
      <c r="I232" s="53"/>
      <c r="J232" s="52" t="e">
        <f t="shared" si="230"/>
        <v>#DIV/0!</v>
      </c>
      <c r="K232" s="53"/>
      <c r="L232" s="52" t="e">
        <f t="shared" si="231"/>
        <v>#DIV/0!</v>
      </c>
      <c r="M232" s="23"/>
      <c r="N232" s="51">
        <f t="shared" si="232"/>
        <v>0</v>
      </c>
      <c r="O232" s="52" t="e">
        <f t="shared" si="233"/>
        <v>#DIV/0!</v>
      </c>
      <c r="P232" s="53"/>
      <c r="Q232" s="52" t="e">
        <f t="shared" si="234"/>
        <v>#DIV/0!</v>
      </c>
      <c r="R232" s="53"/>
      <c r="S232" s="52" t="e">
        <f t="shared" si="235"/>
        <v>#DIV/0!</v>
      </c>
      <c r="T232" s="3"/>
      <c r="U232" s="51">
        <f t="shared" si="236"/>
        <v>0</v>
      </c>
      <c r="V232" s="52" t="e">
        <f t="shared" si="237"/>
        <v>#DIV/0!</v>
      </c>
      <c r="W232" s="53"/>
      <c r="X232" s="52" t="e">
        <f t="shared" si="238"/>
        <v>#DIV/0!</v>
      </c>
      <c r="Y232" s="53"/>
      <c r="Z232" s="52" t="e">
        <f t="shared" si="239"/>
        <v>#DIV/0!</v>
      </c>
      <c r="AA232" s="3"/>
      <c r="AB232" s="62">
        <f t="shared" si="240"/>
        <v>0</v>
      </c>
      <c r="AC232" s="52" t="e">
        <f t="shared" si="241"/>
        <v>#DIV/0!</v>
      </c>
      <c r="AD232" s="3"/>
      <c r="AE232" s="3"/>
      <c r="AF232" s="9" t="str">
        <f t="shared" si="242"/>
        <v>S/R Sin respuesta</v>
      </c>
      <c r="AG232" s="72" t="e">
        <f t="shared" si="243"/>
        <v>#DIV/0!</v>
      </c>
      <c r="AH232" s="72" t="e">
        <f t="shared" si="244"/>
        <v>#DIV/0!</v>
      </c>
      <c r="AI232" s="73" t="e">
        <f t="shared" si="245"/>
        <v>#DIV/0!</v>
      </c>
      <c r="AJ232" s="73"/>
      <c r="AK232" s="76" t="e">
        <f t="shared" si="246"/>
        <v>#DIV/0!</v>
      </c>
      <c r="AL232" s="76" t="e">
        <f t="shared" si="247"/>
        <v>#DIV/0!</v>
      </c>
      <c r="AM232" s="76" t="e">
        <f t="shared" si="248"/>
        <v>#DIV/0!</v>
      </c>
      <c r="AN232" s="76"/>
      <c r="AO232" s="81" t="e">
        <f t="shared" si="249"/>
        <v>#DIV/0!</v>
      </c>
      <c r="AP232" s="81" t="e">
        <f t="shared" si="250"/>
        <v>#DIV/0!</v>
      </c>
      <c r="AQ232" s="81" t="e">
        <f t="shared" si="251"/>
        <v>#DIV/0!</v>
      </c>
      <c r="AR232" s="3"/>
      <c r="AS232" s="76" t="e">
        <f t="shared" si="227"/>
        <v>#DIV/0!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x14ac:dyDescent="0.3">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x14ac:dyDescent="0.3">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x14ac:dyDescent="0.3">
      <c r="A235" s="8" t="s">
        <v>17</v>
      </c>
      <c r="B235" s="9" t="s">
        <v>171</v>
      </c>
      <c r="C235" s="7"/>
      <c r="D235" s="7"/>
      <c r="E235" s="7"/>
      <c r="F235" s="71"/>
      <c r="G235" s="51">
        <f t="shared" ref="G235:G241" si="252">I235+K235</f>
        <v>0</v>
      </c>
      <c r="H235" s="52" t="e">
        <f t="shared" ref="H235:H241" si="253">G235/$J$5*100</f>
        <v>#DIV/0!</v>
      </c>
      <c r="I235" s="53">
        <f>COUNTIFS('00 Encuesta'!$B$2:$B$511,"*e)*",'00 Encuesta'!$C$2:$C$511,"*a)*",'00 Encuesta'!$E$2:$E$511,"*a)*",'00 Encuesta'!$AE$2:$AE$511,"*a)*")</f>
        <v>0</v>
      </c>
      <c r="J235" s="52" t="e">
        <f t="shared" ref="J235:J241" si="254">I235/$J$6*100</f>
        <v>#DIV/0!</v>
      </c>
      <c r="K235" s="53">
        <f>COUNTIFS('00 Encuesta'!$B$2:$B$511,"*e)*",'00 Encuesta'!$C$2:$C$511,"*a)*",'00 Encuesta'!$E$2:$E$511,"*b)*",'00 Encuesta'!$AE$2:$AE$511,"*a)*")</f>
        <v>0</v>
      </c>
      <c r="L235" s="52" t="e">
        <f t="shared" ref="L235:L241" si="255">K235/$J$7*100</f>
        <v>#DIV/0!</v>
      </c>
      <c r="M235" s="23"/>
      <c r="N235" s="51">
        <f t="shared" ref="N235:N241" si="256">P235+R235</f>
        <v>0</v>
      </c>
      <c r="O235" s="52" t="e">
        <f t="shared" ref="O235:O241" si="257">N235/$Q$5*100</f>
        <v>#DIV/0!</v>
      </c>
      <c r="P235" s="53">
        <f>COUNTIFS('00 Encuesta'!$B$2:$B$511,"*e)*",'00 Encuesta'!$C$2:$C$511,"*b)*",'00 Encuesta'!$E$2:$E$511,"*a)*",'00 Encuesta'!$AE$2:$AE$511,"*a)*")</f>
        <v>0</v>
      </c>
      <c r="Q235" s="52" t="e">
        <f t="shared" ref="Q235:Q241" si="258">P235/$Q$6*100</f>
        <v>#DIV/0!</v>
      </c>
      <c r="R235" s="53">
        <f>COUNTIFS('00 Encuesta'!$B$2:$B$511,"*e)*",'00 Encuesta'!$C$2:$C$511,"*b)*",'00 Encuesta'!$E$2:$E$511,"*b)*",'00 Encuesta'!$AE$2:$AE$511,"*a)*")</f>
        <v>0</v>
      </c>
      <c r="S235" s="52" t="e">
        <f t="shared" ref="S235:S241" si="259">R235/$Q$7*100</f>
        <v>#DIV/0!</v>
      </c>
      <c r="T235" s="3"/>
      <c r="U235" s="51">
        <f t="shared" ref="U235:U241" si="260">W235+Y235</f>
        <v>0</v>
      </c>
      <c r="V235" s="52" t="e">
        <f t="shared" ref="V235:V241" si="261">U235/$X$5*100</f>
        <v>#DIV/0!</v>
      </c>
      <c r="W235" s="53">
        <f>COUNTIFS('00 Encuesta'!$B$2:$B$511,"*e)*",'00 Encuesta'!$C$2:$C$511,"*c)*",'00 Encuesta'!$E$2:$E$511,"*a)*",'00 Encuesta'!$AE$2:$AE$511,"*a)*")</f>
        <v>0</v>
      </c>
      <c r="X235" s="52" t="e">
        <f t="shared" ref="X235:X241" si="262">W235/$X$6*100</f>
        <v>#DIV/0!</v>
      </c>
      <c r="Y235" s="53">
        <f>COUNTIFS('00 Encuesta'!$B$2:$B$511,"*e)*",'00 Encuesta'!$C$2:$C$511,"*c)*",'00 Encuesta'!$E$2:$E$511,"*b)*",'00 Encuesta'!$AE$2:$AE$511,"*a)*")</f>
        <v>0</v>
      </c>
      <c r="Z235" s="52" t="e">
        <f t="shared" ref="Z235:Z241" si="263">Y235/$X$7*100</f>
        <v>#DIV/0!</v>
      </c>
      <c r="AA235" s="3"/>
      <c r="AB235" s="62">
        <f t="shared" ref="AB235:AB241" si="264">G235+N235+U235</f>
        <v>0</v>
      </c>
      <c r="AC235" s="52" t="e">
        <f t="shared" ref="AC235:AC241" si="265">AB235*100/$AC$5</f>
        <v>#DIV/0!</v>
      </c>
      <c r="AD235" s="3"/>
      <c r="AE235" s="3"/>
      <c r="AF235" s="9" t="str">
        <f t="shared" ref="AF235:AF241" si="266">A235&amp;" "&amp;B235</f>
        <v>a) Ganar mucho dinero</v>
      </c>
      <c r="AG235" s="72" t="e">
        <f t="shared" ref="AG235:AG241" si="267">J235</f>
        <v>#DIV/0!</v>
      </c>
      <c r="AH235" s="72" t="e">
        <f t="shared" ref="AH235:AH241" si="268">L235</f>
        <v>#DIV/0!</v>
      </c>
      <c r="AI235" s="73" t="e">
        <f t="shared" ref="AI235:AI241" si="269">H235</f>
        <v>#DIV/0!</v>
      </c>
      <c r="AJ235" s="73"/>
      <c r="AK235" s="76" t="e">
        <f t="shared" ref="AK235:AK241" si="270">Q235</f>
        <v>#DIV/0!</v>
      </c>
      <c r="AL235" s="76" t="e">
        <f t="shared" ref="AL235:AL241" si="271">S235</f>
        <v>#DIV/0!</v>
      </c>
      <c r="AM235" s="76" t="e">
        <f t="shared" ref="AM235:AM241" si="272">O235</f>
        <v>#DIV/0!</v>
      </c>
      <c r="AN235" s="76"/>
      <c r="AO235" s="81" t="e">
        <f t="shared" ref="AO235:AO241" si="273">X235</f>
        <v>#DIV/0!</v>
      </c>
      <c r="AP235" s="81" t="e">
        <f t="shared" ref="AP235:AP241" si="274">Z235</f>
        <v>#DIV/0!</v>
      </c>
      <c r="AQ235" s="81" t="e">
        <f t="shared" ref="AQ235:AQ241" si="275">V235</f>
        <v>#DIV/0!</v>
      </c>
      <c r="AR235" s="3"/>
      <c r="AS235" s="76" t="e">
        <f t="shared" si="227"/>
        <v>#DIV/0!</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0</v>
      </c>
      <c r="H236" s="52" t="e">
        <f t="shared" si="253"/>
        <v>#DIV/0!</v>
      </c>
      <c r="I236" s="53">
        <f>COUNTIFS('00 Encuesta'!$B$2:$B$511,"*e)*",'00 Encuesta'!$C$2:$C$511,"*a)*",'00 Encuesta'!$E$2:$E$511,"*a)*",'00 Encuesta'!$AE$2:$AE$511,"*b)*")</f>
        <v>0</v>
      </c>
      <c r="J236" s="52" t="e">
        <f t="shared" si="254"/>
        <v>#DIV/0!</v>
      </c>
      <c r="K236" s="53">
        <f>COUNTIFS('00 Encuesta'!$B$2:$B$511,"*e)*",'00 Encuesta'!$C$2:$C$511,"*a)*",'00 Encuesta'!$E$2:$E$511,"*b)*",'00 Encuesta'!$AE$2:$AE$511,"*b)*")</f>
        <v>0</v>
      </c>
      <c r="L236" s="52" t="e">
        <f t="shared" si="255"/>
        <v>#DIV/0!</v>
      </c>
      <c r="M236" s="23"/>
      <c r="N236" s="51">
        <f t="shared" si="256"/>
        <v>0</v>
      </c>
      <c r="O236" s="52" t="e">
        <f t="shared" si="257"/>
        <v>#DIV/0!</v>
      </c>
      <c r="P236" s="53">
        <f>COUNTIFS('00 Encuesta'!$B$2:$B$511,"*e)*",'00 Encuesta'!$C$2:$C$511,"*b)*",'00 Encuesta'!$E$2:$E$511,"*a)*",'00 Encuesta'!$AE$2:$AE$511,"*b)*")</f>
        <v>0</v>
      </c>
      <c r="Q236" s="52" t="e">
        <f t="shared" si="258"/>
        <v>#DIV/0!</v>
      </c>
      <c r="R236" s="53">
        <f>COUNTIFS('00 Encuesta'!$B$2:$B$511,"*e)*",'00 Encuesta'!$C$2:$C$511,"*b)*",'00 Encuesta'!$E$2:$E$511,"*b)*",'00 Encuesta'!$AE$2:$AE$511,"*b)*")</f>
        <v>0</v>
      </c>
      <c r="S236" s="52" t="e">
        <f t="shared" si="259"/>
        <v>#DIV/0!</v>
      </c>
      <c r="T236" s="3"/>
      <c r="U236" s="51">
        <f t="shared" si="260"/>
        <v>0</v>
      </c>
      <c r="V236" s="52" t="e">
        <f t="shared" si="261"/>
        <v>#DIV/0!</v>
      </c>
      <c r="W236" s="53">
        <f>COUNTIFS('00 Encuesta'!$B$2:$B$511,"*e)*",'00 Encuesta'!$C$2:$C$511,"*c)*",'00 Encuesta'!$E$2:$E$511,"*a)*",'00 Encuesta'!$AE$2:$AE$511,"*b)*")</f>
        <v>0</v>
      </c>
      <c r="X236" s="52" t="e">
        <f t="shared" si="262"/>
        <v>#DIV/0!</v>
      </c>
      <c r="Y236" s="53">
        <f>COUNTIFS('00 Encuesta'!$B$2:$B$511,"*e)*",'00 Encuesta'!$C$2:$C$511,"*c)*",'00 Encuesta'!$E$2:$E$511,"*b)*",'00 Encuesta'!$AE$2:$AE$511,"*b)*")</f>
        <v>0</v>
      </c>
      <c r="Z236" s="52" t="e">
        <f t="shared" si="263"/>
        <v>#DIV/0!</v>
      </c>
      <c r="AA236" s="3"/>
      <c r="AB236" s="62">
        <f t="shared" si="264"/>
        <v>0</v>
      </c>
      <c r="AC236" s="52" t="e">
        <f t="shared" si="265"/>
        <v>#DIV/0!</v>
      </c>
      <c r="AD236" s="3"/>
      <c r="AE236" s="3"/>
      <c r="AF236" s="9" t="str">
        <f t="shared" si="266"/>
        <v>b) Tener una buena posición social, ser importante</v>
      </c>
      <c r="AG236" s="72" t="e">
        <f t="shared" si="267"/>
        <v>#DIV/0!</v>
      </c>
      <c r="AH236" s="72" t="e">
        <f t="shared" si="268"/>
        <v>#DIV/0!</v>
      </c>
      <c r="AI236" s="73" t="e">
        <f t="shared" si="269"/>
        <v>#DIV/0!</v>
      </c>
      <c r="AJ236" s="73"/>
      <c r="AK236" s="76" t="e">
        <f t="shared" si="270"/>
        <v>#DIV/0!</v>
      </c>
      <c r="AL236" s="76" t="e">
        <f t="shared" si="271"/>
        <v>#DIV/0!</v>
      </c>
      <c r="AM236" s="76" t="e">
        <f t="shared" si="272"/>
        <v>#DIV/0!</v>
      </c>
      <c r="AN236" s="76"/>
      <c r="AO236" s="81" t="e">
        <f t="shared" si="273"/>
        <v>#DIV/0!</v>
      </c>
      <c r="AP236" s="81" t="e">
        <f t="shared" si="274"/>
        <v>#DIV/0!</v>
      </c>
      <c r="AQ236" s="81" t="e">
        <f t="shared" si="275"/>
        <v>#DIV/0!</v>
      </c>
      <c r="AR236" s="3"/>
      <c r="AS236" s="76" t="e">
        <f t="shared" si="227"/>
        <v>#DIV/0!</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x14ac:dyDescent="0.3">
      <c r="A237" s="8" t="s">
        <v>20</v>
      </c>
      <c r="B237" s="9" t="s">
        <v>173</v>
      </c>
      <c r="C237" s="7"/>
      <c r="D237" s="7"/>
      <c r="E237" s="7"/>
      <c r="F237" s="71"/>
      <c r="G237" s="51">
        <f t="shared" si="252"/>
        <v>0</v>
      </c>
      <c r="H237" s="52" t="e">
        <f t="shared" si="253"/>
        <v>#DIV/0!</v>
      </c>
      <c r="I237" s="53">
        <f>COUNTIFS('00 Encuesta'!$B$2:$B$511,"*e)*",'00 Encuesta'!$C$2:$C$511,"*a)*",'00 Encuesta'!$E$2:$E$511,"*a)*",'00 Encuesta'!$AE$2:$AE$511,"*c)*")</f>
        <v>0</v>
      </c>
      <c r="J237" s="52" t="e">
        <f t="shared" si="254"/>
        <v>#DIV/0!</v>
      </c>
      <c r="K237" s="53">
        <f>COUNTIFS('00 Encuesta'!$B$2:$B$511,"*e)*",'00 Encuesta'!$C$2:$C$511,"*a)*",'00 Encuesta'!$E$2:$E$511,"*b)*",'00 Encuesta'!$AE$2:$AE$511,"*c)*")</f>
        <v>0</v>
      </c>
      <c r="L237" s="52" t="e">
        <f t="shared" si="255"/>
        <v>#DIV/0!</v>
      </c>
      <c r="M237" s="23"/>
      <c r="N237" s="51">
        <f t="shared" si="256"/>
        <v>0</v>
      </c>
      <c r="O237" s="52" t="e">
        <f t="shared" si="257"/>
        <v>#DIV/0!</v>
      </c>
      <c r="P237" s="53">
        <f>COUNTIFS('00 Encuesta'!$B$2:$B$511,"*e)*",'00 Encuesta'!$C$2:$C$511,"*b)*",'00 Encuesta'!$E$2:$E$511,"*a)*",'00 Encuesta'!$AE$2:$AE$511,"*c)*")</f>
        <v>0</v>
      </c>
      <c r="Q237" s="52" t="e">
        <f t="shared" si="258"/>
        <v>#DIV/0!</v>
      </c>
      <c r="R237" s="53">
        <f>COUNTIFS('00 Encuesta'!$B$2:$B$511,"*e)*",'00 Encuesta'!$C$2:$C$511,"*b)*",'00 Encuesta'!$E$2:$E$511,"*b)*",'00 Encuesta'!$AE$2:$AE$511,"*c)*")</f>
        <v>0</v>
      </c>
      <c r="S237" s="52" t="e">
        <f t="shared" si="259"/>
        <v>#DIV/0!</v>
      </c>
      <c r="T237" s="3"/>
      <c r="U237" s="51">
        <f t="shared" si="260"/>
        <v>0</v>
      </c>
      <c r="V237" s="52" t="e">
        <f t="shared" si="261"/>
        <v>#DIV/0!</v>
      </c>
      <c r="W237" s="53">
        <f>COUNTIFS('00 Encuesta'!$B$2:$B$511,"*e)*",'00 Encuesta'!$C$2:$C$511,"*c)*",'00 Encuesta'!$E$2:$E$511,"*a)*",'00 Encuesta'!$AE$2:$AE$511,"*c)*")</f>
        <v>0</v>
      </c>
      <c r="X237" s="52" t="e">
        <f t="shared" si="262"/>
        <v>#DIV/0!</v>
      </c>
      <c r="Y237" s="53">
        <f>COUNTIFS('00 Encuesta'!$B$2:$B$511,"*e)*",'00 Encuesta'!$C$2:$C$511,"*c)*",'00 Encuesta'!$E$2:$E$511,"*b)*",'00 Encuesta'!$AE$2:$AE$511,"*c)*")</f>
        <v>0</v>
      </c>
      <c r="Z237" s="52" t="e">
        <f t="shared" si="263"/>
        <v>#DIV/0!</v>
      </c>
      <c r="AA237" s="3"/>
      <c r="AB237" s="62">
        <f t="shared" si="264"/>
        <v>0</v>
      </c>
      <c r="AC237" s="52" t="e">
        <f t="shared" si="265"/>
        <v>#DIV/0!</v>
      </c>
      <c r="AD237" s="3"/>
      <c r="AE237" s="3"/>
      <c r="AF237" s="9" t="str">
        <f t="shared" si="266"/>
        <v>c) Ser un excelente profesional</v>
      </c>
      <c r="AG237" s="72" t="e">
        <f t="shared" si="267"/>
        <v>#DIV/0!</v>
      </c>
      <c r="AH237" s="72" t="e">
        <f t="shared" si="268"/>
        <v>#DIV/0!</v>
      </c>
      <c r="AI237" s="73" t="e">
        <f t="shared" si="269"/>
        <v>#DIV/0!</v>
      </c>
      <c r="AJ237" s="73"/>
      <c r="AK237" s="76" t="e">
        <f t="shared" si="270"/>
        <v>#DIV/0!</v>
      </c>
      <c r="AL237" s="76" t="e">
        <f t="shared" si="271"/>
        <v>#DIV/0!</v>
      </c>
      <c r="AM237" s="76" t="e">
        <f t="shared" si="272"/>
        <v>#DIV/0!</v>
      </c>
      <c r="AN237" s="76"/>
      <c r="AO237" s="81" t="e">
        <f t="shared" si="273"/>
        <v>#DIV/0!</v>
      </c>
      <c r="AP237" s="81" t="e">
        <f t="shared" si="274"/>
        <v>#DIV/0!</v>
      </c>
      <c r="AQ237" s="81" t="e">
        <f t="shared" si="275"/>
        <v>#DIV/0!</v>
      </c>
      <c r="AR237" s="3"/>
      <c r="AS237" s="76" t="e">
        <f t="shared" si="227"/>
        <v>#DIV/0!</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x14ac:dyDescent="0.3">
      <c r="A238" s="8" t="s">
        <v>21</v>
      </c>
      <c r="B238" s="9" t="s">
        <v>174</v>
      </c>
      <c r="C238" s="7"/>
      <c r="D238" s="7"/>
      <c r="E238" s="7"/>
      <c r="F238" s="71"/>
      <c r="G238" s="51">
        <f t="shared" si="252"/>
        <v>0</v>
      </c>
      <c r="H238" s="52" t="e">
        <f t="shared" si="253"/>
        <v>#DIV/0!</v>
      </c>
      <c r="I238" s="53">
        <f>COUNTIFS('00 Encuesta'!$B$2:$B$511,"*e)*",'00 Encuesta'!$C$2:$C$511,"*a)*",'00 Encuesta'!$E$2:$E$511,"*a)*",'00 Encuesta'!$AE$2:$AE$511,"*d)*")</f>
        <v>0</v>
      </c>
      <c r="J238" s="52" t="e">
        <f t="shared" si="254"/>
        <v>#DIV/0!</v>
      </c>
      <c r="K238" s="53">
        <f>COUNTIFS('00 Encuesta'!$B$2:$B$511,"*e)*",'00 Encuesta'!$C$2:$C$511,"*a)*",'00 Encuesta'!$E$2:$E$511,"*b)*",'00 Encuesta'!$AE$2:$AE$511,"*d)*")</f>
        <v>0</v>
      </c>
      <c r="L238" s="52" t="e">
        <f t="shared" si="255"/>
        <v>#DIV/0!</v>
      </c>
      <c r="M238" s="23"/>
      <c r="N238" s="51">
        <f t="shared" si="256"/>
        <v>0</v>
      </c>
      <c r="O238" s="52" t="e">
        <f t="shared" si="257"/>
        <v>#DIV/0!</v>
      </c>
      <c r="P238" s="53">
        <f>COUNTIFS('00 Encuesta'!$B$2:$B$511,"*e)*",'00 Encuesta'!$C$2:$C$511,"*b)*",'00 Encuesta'!$E$2:$E$511,"*a)*",'00 Encuesta'!$AE$2:$AE$511,"*d)*")</f>
        <v>0</v>
      </c>
      <c r="Q238" s="52" t="e">
        <f t="shared" si="258"/>
        <v>#DIV/0!</v>
      </c>
      <c r="R238" s="53">
        <f>COUNTIFS('00 Encuesta'!$B$2:$B$511,"*e)*",'00 Encuesta'!$C$2:$C$511,"*b)*",'00 Encuesta'!$E$2:$E$511,"*b)*",'00 Encuesta'!$AE$2:$AE$511,"*d)*")</f>
        <v>0</v>
      </c>
      <c r="S238" s="52" t="e">
        <f t="shared" si="259"/>
        <v>#DIV/0!</v>
      </c>
      <c r="T238" s="3"/>
      <c r="U238" s="51">
        <f t="shared" si="260"/>
        <v>0</v>
      </c>
      <c r="V238" s="52" t="e">
        <f t="shared" si="261"/>
        <v>#DIV/0!</v>
      </c>
      <c r="W238" s="53">
        <f>COUNTIFS('00 Encuesta'!$B$2:$B$511,"*e)*",'00 Encuesta'!$C$2:$C$511,"*c)*",'00 Encuesta'!$E$2:$E$511,"*a)*",'00 Encuesta'!$AE$2:$AE$511,"*d)*")</f>
        <v>0</v>
      </c>
      <c r="X238" s="52" t="e">
        <f t="shared" si="262"/>
        <v>#DIV/0!</v>
      </c>
      <c r="Y238" s="53">
        <f>COUNTIFS('00 Encuesta'!$B$2:$B$511,"*e)*",'00 Encuesta'!$C$2:$C$511,"*c)*",'00 Encuesta'!$E$2:$E$511,"*b)*",'00 Encuesta'!$AE$2:$AE$511,"*d)*")</f>
        <v>0</v>
      </c>
      <c r="Z238" s="52" t="e">
        <f t="shared" si="263"/>
        <v>#DIV/0!</v>
      </c>
      <c r="AA238" s="3"/>
      <c r="AB238" s="62">
        <f t="shared" si="264"/>
        <v>0</v>
      </c>
      <c r="AC238" s="52" t="e">
        <f t="shared" si="265"/>
        <v>#DIV/0!</v>
      </c>
      <c r="AD238" s="3"/>
      <c r="AE238" s="3"/>
      <c r="AF238" s="9" t="str">
        <f t="shared" si="266"/>
        <v>d) Desarrollarme personalmente</v>
      </c>
      <c r="AG238" s="72" t="e">
        <f t="shared" si="267"/>
        <v>#DIV/0!</v>
      </c>
      <c r="AH238" s="72" t="e">
        <f t="shared" si="268"/>
        <v>#DIV/0!</v>
      </c>
      <c r="AI238" s="73" t="e">
        <f t="shared" si="269"/>
        <v>#DIV/0!</v>
      </c>
      <c r="AJ238" s="73"/>
      <c r="AK238" s="76" t="e">
        <f t="shared" si="270"/>
        <v>#DIV/0!</v>
      </c>
      <c r="AL238" s="76" t="e">
        <f t="shared" si="271"/>
        <v>#DIV/0!</v>
      </c>
      <c r="AM238" s="76" t="e">
        <f t="shared" si="272"/>
        <v>#DIV/0!</v>
      </c>
      <c r="AN238" s="76"/>
      <c r="AO238" s="81" t="e">
        <f t="shared" si="273"/>
        <v>#DIV/0!</v>
      </c>
      <c r="AP238" s="81" t="e">
        <f t="shared" si="274"/>
        <v>#DIV/0!</v>
      </c>
      <c r="AQ238" s="81" t="e">
        <f t="shared" si="275"/>
        <v>#DIV/0!</v>
      </c>
      <c r="AR238" s="3"/>
      <c r="AS238" s="76" t="e">
        <f t="shared" si="227"/>
        <v>#DIV/0!</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0</v>
      </c>
      <c r="H239" s="52" t="e">
        <f t="shared" si="253"/>
        <v>#DIV/0!</v>
      </c>
      <c r="I239" s="53">
        <f>COUNTIFS('00 Encuesta'!$B$2:$B$511,"*e)*",'00 Encuesta'!$C$2:$C$511,"*a)*",'00 Encuesta'!$E$2:$E$511,"*a)*",'00 Encuesta'!$AE$2:$AE$511,"*e)*")</f>
        <v>0</v>
      </c>
      <c r="J239" s="52" t="e">
        <f t="shared" si="254"/>
        <v>#DIV/0!</v>
      </c>
      <c r="K239" s="53">
        <f>COUNTIFS('00 Encuesta'!$B$2:$B$511,"*e)*",'00 Encuesta'!$C$2:$C$511,"*a)*",'00 Encuesta'!$E$2:$E$511,"*b)*",'00 Encuesta'!$AE$2:$AE$511,"*e)*")</f>
        <v>0</v>
      </c>
      <c r="L239" s="52" t="e">
        <f t="shared" si="255"/>
        <v>#DIV/0!</v>
      </c>
      <c r="M239" s="23"/>
      <c r="N239" s="51">
        <f t="shared" si="256"/>
        <v>0</v>
      </c>
      <c r="O239" s="52" t="e">
        <f t="shared" si="257"/>
        <v>#DIV/0!</v>
      </c>
      <c r="P239" s="53">
        <f>COUNTIFS('00 Encuesta'!$B$2:$B$511,"*e)*",'00 Encuesta'!$C$2:$C$511,"*b)*",'00 Encuesta'!$E$2:$E$511,"*a)*",'00 Encuesta'!$AE$2:$AE$511,"*e)*")</f>
        <v>0</v>
      </c>
      <c r="Q239" s="52" t="e">
        <f t="shared" si="258"/>
        <v>#DIV/0!</v>
      </c>
      <c r="R239" s="53">
        <f>COUNTIFS('00 Encuesta'!$B$2:$B$511,"*e)*",'00 Encuesta'!$C$2:$C$511,"*b)*",'00 Encuesta'!$E$2:$E$511,"*b)*",'00 Encuesta'!$AE$2:$AE$511,"*e)*")</f>
        <v>0</v>
      </c>
      <c r="S239" s="52" t="e">
        <f t="shared" si="259"/>
        <v>#DIV/0!</v>
      </c>
      <c r="T239" s="3"/>
      <c r="U239" s="51">
        <f t="shared" si="260"/>
        <v>0</v>
      </c>
      <c r="V239" s="52" t="e">
        <f t="shared" si="261"/>
        <v>#DIV/0!</v>
      </c>
      <c r="W239" s="53">
        <f>COUNTIFS('00 Encuesta'!$B$2:$B$511,"*e)*",'00 Encuesta'!$C$2:$C$511,"*c)*",'00 Encuesta'!$E$2:$E$511,"*a)*",'00 Encuesta'!$AE$2:$AE$511,"*e)*")</f>
        <v>0</v>
      </c>
      <c r="X239" s="52" t="e">
        <f t="shared" si="262"/>
        <v>#DIV/0!</v>
      </c>
      <c r="Y239" s="53">
        <f>COUNTIFS('00 Encuesta'!$B$2:$B$511,"*e)*",'00 Encuesta'!$C$2:$C$511,"*c)*",'00 Encuesta'!$E$2:$E$511,"*b)*",'00 Encuesta'!$AE$2:$AE$511,"*e)*")</f>
        <v>0</v>
      </c>
      <c r="Z239" s="52" t="e">
        <f t="shared" si="263"/>
        <v>#DIV/0!</v>
      </c>
      <c r="AA239" s="3"/>
      <c r="AB239" s="62">
        <f t="shared" si="264"/>
        <v>0</v>
      </c>
      <c r="AC239" s="52" t="e">
        <f t="shared" si="265"/>
        <v>#DIV/0!</v>
      </c>
      <c r="AD239" s="3"/>
      <c r="AE239" s="3"/>
      <c r="AF239" s="9" t="str">
        <f t="shared" si="266"/>
        <v>e) Servir a los demás</v>
      </c>
      <c r="AG239" s="72" t="e">
        <f t="shared" si="267"/>
        <v>#DIV/0!</v>
      </c>
      <c r="AH239" s="72" t="e">
        <f t="shared" si="268"/>
        <v>#DIV/0!</v>
      </c>
      <c r="AI239" s="73" t="e">
        <f t="shared" si="269"/>
        <v>#DIV/0!</v>
      </c>
      <c r="AJ239" s="73"/>
      <c r="AK239" s="76" t="e">
        <f t="shared" si="270"/>
        <v>#DIV/0!</v>
      </c>
      <c r="AL239" s="76" t="e">
        <f t="shared" si="271"/>
        <v>#DIV/0!</v>
      </c>
      <c r="AM239" s="76" t="e">
        <f t="shared" si="272"/>
        <v>#DIV/0!</v>
      </c>
      <c r="AN239" s="76"/>
      <c r="AO239" s="81" t="e">
        <f t="shared" si="273"/>
        <v>#DIV/0!</v>
      </c>
      <c r="AP239" s="81" t="e">
        <f t="shared" si="274"/>
        <v>#DIV/0!</v>
      </c>
      <c r="AQ239" s="81" t="e">
        <f t="shared" si="275"/>
        <v>#DIV/0!</v>
      </c>
      <c r="AR239" s="3"/>
      <c r="AS239" s="76" t="e">
        <f t="shared" si="227"/>
        <v>#DIV/0!</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x14ac:dyDescent="0.3">
      <c r="A240" s="8" t="s">
        <v>45</v>
      </c>
      <c r="B240" s="9" t="s">
        <v>176</v>
      </c>
      <c r="C240" s="7"/>
      <c r="D240" s="7"/>
      <c r="E240" s="7"/>
      <c r="F240" s="71"/>
      <c r="G240" s="51">
        <f t="shared" si="252"/>
        <v>0</v>
      </c>
      <c r="H240" s="52" t="e">
        <f t="shared" si="253"/>
        <v>#DIV/0!</v>
      </c>
      <c r="I240" s="53">
        <f>COUNTIFS('00 Encuesta'!$B$2:$B$511,"*e)*",'00 Encuesta'!$C$2:$C$511,"*a)*",'00 Encuesta'!$E$2:$E$511,"*a)*",'00 Encuesta'!$AE$2:$AE$511,"*f)*")</f>
        <v>0</v>
      </c>
      <c r="J240" s="52" t="e">
        <f t="shared" si="254"/>
        <v>#DIV/0!</v>
      </c>
      <c r="K240" s="53">
        <f>COUNTIFS('00 Encuesta'!$B$2:$B$511,"*e)*",'00 Encuesta'!$C$2:$C$511,"*a)*",'00 Encuesta'!$E$2:$E$511,"*b)*",'00 Encuesta'!$AE$2:$AE$511,"*f)*")</f>
        <v>0</v>
      </c>
      <c r="L240" s="52" t="e">
        <f t="shared" si="255"/>
        <v>#DIV/0!</v>
      </c>
      <c r="M240" s="23"/>
      <c r="N240" s="51">
        <f t="shared" si="256"/>
        <v>0</v>
      </c>
      <c r="O240" s="52" t="e">
        <f t="shared" si="257"/>
        <v>#DIV/0!</v>
      </c>
      <c r="P240" s="53">
        <f>COUNTIFS('00 Encuesta'!$B$2:$B$511,"*e)*",'00 Encuesta'!$C$2:$C$511,"*b)*",'00 Encuesta'!$E$2:$E$511,"*a)*",'00 Encuesta'!$AE$2:$AE$511,"*f)*")</f>
        <v>0</v>
      </c>
      <c r="Q240" s="52" t="e">
        <f t="shared" si="258"/>
        <v>#DIV/0!</v>
      </c>
      <c r="R240" s="53">
        <f>COUNTIFS('00 Encuesta'!$B$2:$B$511,"*e)*",'00 Encuesta'!$C$2:$C$511,"*b)*",'00 Encuesta'!$E$2:$E$511,"*b)*",'00 Encuesta'!$AE$2:$AE$511,"*f)*")</f>
        <v>0</v>
      </c>
      <c r="S240" s="52" t="e">
        <f t="shared" si="259"/>
        <v>#DIV/0!</v>
      </c>
      <c r="T240" s="3"/>
      <c r="U240" s="51">
        <f t="shared" si="260"/>
        <v>0</v>
      </c>
      <c r="V240" s="52" t="e">
        <f t="shared" si="261"/>
        <v>#DIV/0!</v>
      </c>
      <c r="W240" s="53">
        <f>COUNTIFS('00 Encuesta'!$B$2:$B$511,"*e)*",'00 Encuesta'!$C$2:$C$511,"*c)*",'00 Encuesta'!$E$2:$E$511,"*a)*",'00 Encuesta'!$AE$2:$AE$511,"*f)*")</f>
        <v>0</v>
      </c>
      <c r="X240" s="52" t="e">
        <f t="shared" si="262"/>
        <v>#DIV/0!</v>
      </c>
      <c r="Y240" s="53">
        <f>COUNTIFS('00 Encuesta'!$B$2:$B$511,"*e)*",'00 Encuesta'!$C$2:$C$511,"*c)*",'00 Encuesta'!$E$2:$E$511,"*b)*",'00 Encuesta'!$AE$2:$AE$511,"*f)*")</f>
        <v>0</v>
      </c>
      <c r="Z240" s="52" t="e">
        <f t="shared" si="263"/>
        <v>#DIV/0!</v>
      </c>
      <c r="AA240" s="3"/>
      <c r="AB240" s="62">
        <f t="shared" si="264"/>
        <v>0</v>
      </c>
      <c r="AC240" s="52" t="e">
        <f t="shared" si="265"/>
        <v>#DIV/0!</v>
      </c>
      <c r="AD240" s="3"/>
      <c r="AE240" s="3"/>
      <c r="AF240" s="9" t="str">
        <f t="shared" si="266"/>
        <v>f) Ejecutar una tarea conforme a mi fe</v>
      </c>
      <c r="AG240" s="72" t="e">
        <f t="shared" si="267"/>
        <v>#DIV/0!</v>
      </c>
      <c r="AH240" s="72" t="e">
        <f t="shared" si="268"/>
        <v>#DIV/0!</v>
      </c>
      <c r="AI240" s="73" t="e">
        <f t="shared" si="269"/>
        <v>#DIV/0!</v>
      </c>
      <c r="AJ240" s="73"/>
      <c r="AK240" s="76" t="e">
        <f t="shared" si="270"/>
        <v>#DIV/0!</v>
      </c>
      <c r="AL240" s="76" t="e">
        <f t="shared" si="271"/>
        <v>#DIV/0!</v>
      </c>
      <c r="AM240" s="76" t="e">
        <f t="shared" si="272"/>
        <v>#DIV/0!</v>
      </c>
      <c r="AN240" s="76"/>
      <c r="AO240" s="81" t="e">
        <f t="shared" si="273"/>
        <v>#DIV/0!</v>
      </c>
      <c r="AP240" s="81" t="e">
        <f t="shared" si="274"/>
        <v>#DIV/0!</v>
      </c>
      <c r="AQ240" s="81" t="e">
        <f t="shared" si="275"/>
        <v>#DIV/0!</v>
      </c>
      <c r="AR240" s="3"/>
      <c r="AS240" s="76" t="e">
        <f t="shared" si="227"/>
        <v>#DIV/0!</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x14ac:dyDescent="0.3">
      <c r="A241" s="8" t="s">
        <v>23</v>
      </c>
      <c r="B241" s="9" t="s">
        <v>24</v>
      </c>
      <c r="C241" s="7"/>
      <c r="D241" s="7"/>
      <c r="E241" s="7"/>
      <c r="F241" s="71"/>
      <c r="G241" s="51">
        <f t="shared" si="252"/>
        <v>0</v>
      </c>
      <c r="H241" s="52" t="e">
        <f t="shared" si="253"/>
        <v>#DIV/0!</v>
      </c>
      <c r="I241" s="53"/>
      <c r="J241" s="52" t="e">
        <f t="shared" si="254"/>
        <v>#DIV/0!</v>
      </c>
      <c r="K241" s="53"/>
      <c r="L241" s="52" t="e">
        <f t="shared" si="255"/>
        <v>#DIV/0!</v>
      </c>
      <c r="M241" s="23"/>
      <c r="N241" s="51">
        <f t="shared" si="256"/>
        <v>0</v>
      </c>
      <c r="O241" s="52" t="e">
        <f t="shared" si="257"/>
        <v>#DIV/0!</v>
      </c>
      <c r="P241" s="53"/>
      <c r="Q241" s="52" t="e">
        <f t="shared" si="258"/>
        <v>#DIV/0!</v>
      </c>
      <c r="R241" s="53"/>
      <c r="S241" s="52" t="e">
        <f t="shared" si="259"/>
        <v>#DIV/0!</v>
      </c>
      <c r="T241" s="3"/>
      <c r="U241" s="51">
        <f t="shared" si="260"/>
        <v>0</v>
      </c>
      <c r="V241" s="52" t="e">
        <f t="shared" si="261"/>
        <v>#DIV/0!</v>
      </c>
      <c r="W241" s="53"/>
      <c r="X241" s="52" t="e">
        <f t="shared" si="262"/>
        <v>#DIV/0!</v>
      </c>
      <c r="Y241" s="53"/>
      <c r="Z241" s="52" t="e">
        <f t="shared" si="263"/>
        <v>#DIV/0!</v>
      </c>
      <c r="AA241" s="3"/>
      <c r="AB241" s="62">
        <f t="shared" si="264"/>
        <v>0</v>
      </c>
      <c r="AC241" s="52" t="e">
        <f t="shared" si="265"/>
        <v>#DIV/0!</v>
      </c>
      <c r="AD241" s="3"/>
      <c r="AE241" s="3"/>
      <c r="AF241" s="9" t="str">
        <f t="shared" si="266"/>
        <v>S/R Sin Respuesta</v>
      </c>
      <c r="AG241" s="72" t="e">
        <f t="shared" si="267"/>
        <v>#DIV/0!</v>
      </c>
      <c r="AH241" s="72" t="e">
        <f t="shared" si="268"/>
        <v>#DIV/0!</v>
      </c>
      <c r="AI241" s="73" t="e">
        <f t="shared" si="269"/>
        <v>#DIV/0!</v>
      </c>
      <c r="AJ241" s="73"/>
      <c r="AK241" s="76" t="e">
        <f t="shared" si="270"/>
        <v>#DIV/0!</v>
      </c>
      <c r="AL241" s="76" t="e">
        <f t="shared" si="271"/>
        <v>#DIV/0!</v>
      </c>
      <c r="AM241" s="76" t="e">
        <f t="shared" si="272"/>
        <v>#DIV/0!</v>
      </c>
      <c r="AN241" s="76"/>
      <c r="AO241" s="81" t="e">
        <f t="shared" si="273"/>
        <v>#DIV/0!</v>
      </c>
      <c r="AP241" s="81" t="e">
        <f t="shared" si="274"/>
        <v>#DIV/0!</v>
      </c>
      <c r="AQ241" s="81" t="e">
        <f t="shared" si="275"/>
        <v>#DIV/0!</v>
      </c>
      <c r="AR241" s="3"/>
      <c r="AS241" s="76" t="e">
        <f t="shared" si="227"/>
        <v>#DIV/0!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x14ac:dyDescent="0.3">
      <c r="A244" s="8" t="s">
        <v>17</v>
      </c>
      <c r="B244" s="9" t="s">
        <v>178</v>
      </c>
      <c r="C244" s="7"/>
      <c r="D244" s="7"/>
      <c r="E244" s="7"/>
      <c r="F244" s="71">
        <v>0</v>
      </c>
      <c r="G244" s="51">
        <f t="shared" ref="G244:G249" si="276">I244+K244</f>
        <v>0</v>
      </c>
      <c r="H244" s="52" t="e">
        <f t="shared" ref="H244:H249" si="277">G244/$J$5*100</f>
        <v>#DIV/0!</v>
      </c>
      <c r="I244" s="53">
        <f>COUNTIFS('00 Encuesta'!$B$2:$B$511,"*e)*",'00 Encuesta'!$C$2:$C$511,"*a)*",'00 Encuesta'!$E$2:$E$511,"*a)*",'00 Encuesta'!$AF$2:$AF$511,"*a)*")</f>
        <v>0</v>
      </c>
      <c r="J244" s="52" t="e">
        <f t="shared" ref="J244:J249" si="278">I244/$J$6*100</f>
        <v>#DIV/0!</v>
      </c>
      <c r="K244" s="53">
        <f>COUNTIFS('00 Encuesta'!$B$2:$B$511,"*e)*",'00 Encuesta'!$C$2:$C$511,"*a)*",'00 Encuesta'!$E$2:$E$511,"*b)*",'00 Encuesta'!$AF$2:$AF$511,"*a)*")</f>
        <v>0</v>
      </c>
      <c r="L244" s="52" t="e">
        <f>K244/$J$7*100</f>
        <v>#DIV/0!</v>
      </c>
      <c r="M244" s="23"/>
      <c r="N244" s="51">
        <f>P244+R244</f>
        <v>0</v>
      </c>
      <c r="O244" s="52" t="e">
        <f>N244/$Q$5*100</f>
        <v>#DIV/0!</v>
      </c>
      <c r="P244" s="53">
        <f>COUNTIFS('00 Encuesta'!$B$2:$B$511,"*e)*",'00 Encuesta'!$C$2:$C$511,"*b)*",'00 Encuesta'!$E$2:$E$511,"*a)*",'00 Encuesta'!$AF$2:$AF$511,"*a)*")</f>
        <v>0</v>
      </c>
      <c r="Q244" s="52" t="e">
        <f>P244/$Q$6*100</f>
        <v>#DIV/0!</v>
      </c>
      <c r="R244" s="53">
        <f>COUNTIFS('00 Encuesta'!$B$2:$B$511,"*e)*",'00 Encuesta'!$C$2:$C$511,"*b)*",'00 Encuesta'!$E$2:$E$511,"*b)*",'00 Encuesta'!$AF$2:$AF$511,"*a)*")</f>
        <v>0</v>
      </c>
      <c r="S244" s="52" t="e">
        <f>R244/$Q$7*100</f>
        <v>#DIV/0!</v>
      </c>
      <c r="T244" s="3"/>
      <c r="U244" s="51">
        <f>W244+Y244</f>
        <v>0</v>
      </c>
      <c r="V244" s="52" t="e">
        <f>U244/$X$5*100</f>
        <v>#DIV/0!</v>
      </c>
      <c r="W244" s="53">
        <f>COUNTIFS('00 Encuesta'!$B$2:$B$511,"*e)*",'00 Encuesta'!$C$2:$C$511,"*c)*",'00 Encuesta'!$E$2:$E$511,"*a)*",'00 Encuesta'!$AF$2:$AF$511,"*a)*")</f>
        <v>0</v>
      </c>
      <c r="X244" s="52" t="e">
        <f>W244/$X$6*100</f>
        <v>#DIV/0!</v>
      </c>
      <c r="Y244" s="53">
        <f>COUNTIFS('00 Encuesta'!$B$2:$B$511,"*e)*",'00 Encuesta'!$C$2:$C$511,"*c)*",'00 Encuesta'!$E$2:$E$511,"*b)*",'00 Encuesta'!$AF$2:$AF$511,"*a)*")</f>
        <v>0</v>
      </c>
      <c r="Z244" s="52" t="e">
        <f t="shared" ref="Z244:Z249" si="279">Y244/$X$7*100</f>
        <v>#DIV/0!</v>
      </c>
      <c r="AA244" s="3"/>
      <c r="AB244" s="62">
        <f t="shared" ref="AB244:AB249" si="280">G244+N244+U244</f>
        <v>0</v>
      </c>
      <c r="AC244" s="52" t="e">
        <f t="shared" ref="AC244:AC249" si="281">AB244*100/$AC$5</f>
        <v>#DIV/0!</v>
      </c>
      <c r="AD244" s="3"/>
      <c r="AE244" s="3"/>
      <c r="AF244" s="9" t="str">
        <f t="shared" ref="AF244:AF249" si="282">A244&amp;" "&amp;B244</f>
        <v>a) No, en absoluto</v>
      </c>
      <c r="AG244" s="72" t="e">
        <f t="shared" ref="AG244:AG249" si="283">J244</f>
        <v>#DIV/0!</v>
      </c>
      <c r="AH244" s="72" t="e">
        <f t="shared" ref="AH244:AH249" si="284">L244</f>
        <v>#DIV/0!</v>
      </c>
      <c r="AI244" s="73" t="e">
        <f t="shared" ref="AI244:AI249" si="285">H244</f>
        <v>#DIV/0!</v>
      </c>
      <c r="AJ244" s="73"/>
      <c r="AK244" s="76" t="e">
        <f t="shared" ref="AK244:AK249" si="286">Q244</f>
        <v>#DIV/0!</v>
      </c>
      <c r="AL244" s="76" t="e">
        <f t="shared" ref="AL244:AL249" si="287">S244</f>
        <v>#DIV/0!</v>
      </c>
      <c r="AM244" s="76" t="e">
        <f t="shared" ref="AM244:AM249" si="288">O244</f>
        <v>#DIV/0!</v>
      </c>
      <c r="AN244" s="76"/>
      <c r="AO244" s="81" t="e">
        <f t="shared" ref="AO244:AO249" si="289">X244</f>
        <v>#DIV/0!</v>
      </c>
      <c r="AP244" s="81" t="e">
        <f t="shared" ref="AP244:AP249" si="290">Z244</f>
        <v>#DIV/0!</v>
      </c>
      <c r="AQ244" s="81" t="e">
        <f t="shared" ref="AQ244:AQ249" si="291">V244</f>
        <v>#DIV/0!</v>
      </c>
      <c r="AR244" s="3"/>
      <c r="AS244" s="76" t="e">
        <f t="shared" si="227"/>
        <v>#DIV/0!</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x14ac:dyDescent="0.3">
      <c r="A245" s="8" t="s">
        <v>18</v>
      </c>
      <c r="B245" s="9" t="s">
        <v>104</v>
      </c>
      <c r="C245" s="7"/>
      <c r="D245" s="7"/>
      <c r="E245" s="7"/>
      <c r="F245" s="71">
        <v>33.33</v>
      </c>
      <c r="G245" s="51">
        <f t="shared" si="276"/>
        <v>0</v>
      </c>
      <c r="H245" s="52" t="e">
        <f t="shared" si="277"/>
        <v>#DIV/0!</v>
      </c>
      <c r="I245" s="53">
        <f>COUNTIFS('00 Encuesta'!$B$2:$B$511,"*e)*",'00 Encuesta'!$C$2:$C$511,"*a)*",'00 Encuesta'!$E$2:$E$511,"*a)*",'00 Encuesta'!$AF$2:$AF$511,"*b)*")</f>
        <v>0</v>
      </c>
      <c r="J245" s="52" t="e">
        <f t="shared" si="278"/>
        <v>#DIV/0!</v>
      </c>
      <c r="K245" s="53">
        <f>COUNTIFS('00 Encuesta'!$B$2:$B$511,"*e)*",'00 Encuesta'!$C$2:$C$511,"*a)*",'00 Encuesta'!$E$2:$E$511,"*b)*",'00 Encuesta'!$AF$2:$AF$511,"*b)*")</f>
        <v>0</v>
      </c>
      <c r="L245" s="52" t="e">
        <f>K245/$J$7*100</f>
        <v>#DIV/0!</v>
      </c>
      <c r="M245" s="23"/>
      <c r="N245" s="51">
        <f>P245+R245</f>
        <v>0</v>
      </c>
      <c r="O245" s="52" t="e">
        <f>N245/$Q$5*100</f>
        <v>#DIV/0!</v>
      </c>
      <c r="P245" s="53">
        <f>COUNTIFS('00 Encuesta'!$B$2:$B$511,"*e)*",'00 Encuesta'!$C$2:$C$511,"*b)*",'00 Encuesta'!$E$2:$E$511,"*a)*",'00 Encuesta'!$AF$2:$AF$511,"*b)*")</f>
        <v>0</v>
      </c>
      <c r="Q245" s="52" t="e">
        <f>P245/$Q$6*100</f>
        <v>#DIV/0!</v>
      </c>
      <c r="R245" s="53">
        <f>COUNTIFS('00 Encuesta'!$B$2:$B$511,"*e)*",'00 Encuesta'!$C$2:$C$511,"*b)*",'00 Encuesta'!$E$2:$E$511,"*b)*",'00 Encuesta'!$AF$2:$AF$511,"*b)*")</f>
        <v>0</v>
      </c>
      <c r="S245" s="52" t="e">
        <f>R245/$Q$7*100</f>
        <v>#DIV/0!</v>
      </c>
      <c r="T245" s="3"/>
      <c r="U245" s="51">
        <f>W245+Y245</f>
        <v>0</v>
      </c>
      <c r="V245" s="52" t="e">
        <f>U245/$X$5*100</f>
        <v>#DIV/0!</v>
      </c>
      <c r="W245" s="53">
        <f>COUNTIFS('00 Encuesta'!$B$2:$B$511,"*e)*",'00 Encuesta'!$C$2:$C$511,"*c)*",'00 Encuesta'!$E$2:$E$511,"*a)*",'00 Encuesta'!$AF$2:$AF$511,"*b)*")</f>
        <v>0</v>
      </c>
      <c r="X245" s="52" t="e">
        <f>W245/$X$6*100</f>
        <v>#DIV/0!</v>
      </c>
      <c r="Y245" s="53">
        <f>COUNTIFS('00 Encuesta'!$B$2:$B$511,"*e)*",'00 Encuesta'!$C$2:$C$511,"*c)*",'00 Encuesta'!$E$2:$E$511,"*b)*",'00 Encuesta'!$AF$2:$AF$511,"*b)*")</f>
        <v>0</v>
      </c>
      <c r="Z245" s="52" t="e">
        <f t="shared" si="279"/>
        <v>#DIV/0!</v>
      </c>
      <c r="AA245" s="3"/>
      <c r="AB245" s="62">
        <f t="shared" si="280"/>
        <v>0</v>
      </c>
      <c r="AC245" s="52" t="e">
        <f t="shared" si="281"/>
        <v>#DIV/0!</v>
      </c>
      <c r="AD245" s="3"/>
      <c r="AE245" s="3"/>
      <c r="AF245" s="9" t="str">
        <f t="shared" si="282"/>
        <v>b) Poco</v>
      </c>
      <c r="AG245" s="72" t="e">
        <f t="shared" si="283"/>
        <v>#DIV/0!</v>
      </c>
      <c r="AH245" s="72" t="e">
        <f t="shared" si="284"/>
        <v>#DIV/0!</v>
      </c>
      <c r="AI245" s="73" t="e">
        <f t="shared" si="285"/>
        <v>#DIV/0!</v>
      </c>
      <c r="AJ245" s="73"/>
      <c r="AK245" s="76" t="e">
        <f t="shared" si="286"/>
        <v>#DIV/0!</v>
      </c>
      <c r="AL245" s="76" t="e">
        <f t="shared" si="287"/>
        <v>#DIV/0!</v>
      </c>
      <c r="AM245" s="76" t="e">
        <f t="shared" si="288"/>
        <v>#DIV/0!</v>
      </c>
      <c r="AN245" s="76"/>
      <c r="AO245" s="81" t="e">
        <f t="shared" si="289"/>
        <v>#DIV/0!</v>
      </c>
      <c r="AP245" s="81" t="e">
        <f t="shared" si="290"/>
        <v>#DIV/0!</v>
      </c>
      <c r="AQ245" s="81" t="e">
        <f t="shared" si="291"/>
        <v>#DIV/0!</v>
      </c>
      <c r="AR245" s="3"/>
      <c r="AS245" s="76" t="e">
        <f t="shared" si="227"/>
        <v>#DIV/0!</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x14ac:dyDescent="0.3">
      <c r="A246" s="8" t="s">
        <v>20</v>
      </c>
      <c r="B246" s="9" t="s">
        <v>179</v>
      </c>
      <c r="C246" s="7"/>
      <c r="D246" s="7"/>
      <c r="E246" s="7"/>
      <c r="F246" s="71">
        <v>66.66</v>
      </c>
      <c r="G246" s="51">
        <f t="shared" si="276"/>
        <v>0</v>
      </c>
      <c r="H246" s="52" t="e">
        <f t="shared" si="277"/>
        <v>#DIV/0!</v>
      </c>
      <c r="I246" s="53">
        <f>COUNTIFS('00 Encuesta'!$B$2:$B$511,"*e)*",'00 Encuesta'!$C$2:$C$511,"*a)*",'00 Encuesta'!$E$2:$E$511,"*a)*",'00 Encuesta'!$AF$2:$AF$511,"*c)*")</f>
        <v>0</v>
      </c>
      <c r="J246" s="52" t="e">
        <f t="shared" si="278"/>
        <v>#DIV/0!</v>
      </c>
      <c r="K246" s="53">
        <f>COUNTIFS('00 Encuesta'!$B$2:$B$511,"*e)*",'00 Encuesta'!$C$2:$C$511,"*a)*",'00 Encuesta'!$E$2:$E$511,"*b)*",'00 Encuesta'!$AF$2:$AF$511,"*c)*")</f>
        <v>0</v>
      </c>
      <c r="L246" s="52" t="e">
        <f>K246/$J$7*100</f>
        <v>#DIV/0!</v>
      </c>
      <c r="M246" s="23"/>
      <c r="N246" s="51">
        <f>P246+R246</f>
        <v>0</v>
      </c>
      <c r="O246" s="52" t="e">
        <f>N246/$Q$5*100</f>
        <v>#DIV/0!</v>
      </c>
      <c r="P246" s="53">
        <f>COUNTIFS('00 Encuesta'!$B$2:$B$511,"*e)*",'00 Encuesta'!$C$2:$C$511,"*b)*",'00 Encuesta'!$E$2:$E$511,"*a)*",'00 Encuesta'!$AF$2:$AF$511,"*c)*")</f>
        <v>0</v>
      </c>
      <c r="Q246" s="52" t="e">
        <f>P246/$Q$6*100</f>
        <v>#DIV/0!</v>
      </c>
      <c r="R246" s="53">
        <f>COUNTIFS('00 Encuesta'!$B$2:$B$511,"*e)*",'00 Encuesta'!$C$2:$C$511,"*b)*",'00 Encuesta'!$E$2:$E$511,"*b)*",'00 Encuesta'!$AF$2:$AF$511,"*c)*")</f>
        <v>0</v>
      </c>
      <c r="S246" s="52" t="e">
        <f>R246/$Q$7*100</f>
        <v>#DIV/0!</v>
      </c>
      <c r="T246" s="3"/>
      <c r="U246" s="51">
        <f>W246+Y246</f>
        <v>0</v>
      </c>
      <c r="V246" s="52" t="e">
        <f>U246/$X$5*100</f>
        <v>#DIV/0!</v>
      </c>
      <c r="W246" s="53">
        <f>COUNTIFS('00 Encuesta'!$B$2:$B$511,"*e)*",'00 Encuesta'!$C$2:$C$511,"*c)*",'00 Encuesta'!$E$2:$E$511,"*a)*",'00 Encuesta'!$AF$2:$AF$511,"*c)*")</f>
        <v>0</v>
      </c>
      <c r="X246" s="52" t="e">
        <f>W246/$X$6*100</f>
        <v>#DIV/0!</v>
      </c>
      <c r="Y246" s="53">
        <f>COUNTIFS('00 Encuesta'!$B$2:$B$511,"*e)*",'00 Encuesta'!$C$2:$C$511,"*c)*",'00 Encuesta'!$E$2:$E$511,"*b)*",'00 Encuesta'!$AF$2:$AF$511,"*c)*")</f>
        <v>0</v>
      </c>
      <c r="Z246" s="52" t="e">
        <f t="shared" si="279"/>
        <v>#DIV/0!</v>
      </c>
      <c r="AA246" s="3"/>
      <c r="AB246" s="62">
        <f t="shared" si="280"/>
        <v>0</v>
      </c>
      <c r="AC246" s="52" t="e">
        <f t="shared" si="281"/>
        <v>#DIV/0!</v>
      </c>
      <c r="AD246" s="3"/>
      <c r="AE246" s="3"/>
      <c r="AF246" s="9" t="str">
        <f t="shared" si="282"/>
        <v>c) Bastante</v>
      </c>
      <c r="AG246" s="72" t="e">
        <f t="shared" si="283"/>
        <v>#DIV/0!</v>
      </c>
      <c r="AH246" s="72" t="e">
        <f t="shared" si="284"/>
        <v>#DIV/0!</v>
      </c>
      <c r="AI246" s="73" t="e">
        <f t="shared" si="285"/>
        <v>#DIV/0!</v>
      </c>
      <c r="AJ246" s="73"/>
      <c r="AK246" s="76" t="e">
        <f t="shared" si="286"/>
        <v>#DIV/0!</v>
      </c>
      <c r="AL246" s="76" t="e">
        <f t="shared" si="287"/>
        <v>#DIV/0!</v>
      </c>
      <c r="AM246" s="76" t="e">
        <f t="shared" si="288"/>
        <v>#DIV/0!</v>
      </c>
      <c r="AN246" s="76"/>
      <c r="AO246" s="81" t="e">
        <f t="shared" si="289"/>
        <v>#DIV/0!</v>
      </c>
      <c r="AP246" s="81" t="e">
        <f t="shared" si="290"/>
        <v>#DIV/0!</v>
      </c>
      <c r="AQ246" s="81" t="e">
        <f t="shared" si="291"/>
        <v>#DIV/0!</v>
      </c>
      <c r="AR246" s="3"/>
      <c r="AS246" s="76" t="e">
        <f t="shared" si="227"/>
        <v>#DIV/0!</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0</v>
      </c>
      <c r="H247" s="52" t="e">
        <f t="shared" si="277"/>
        <v>#DIV/0!</v>
      </c>
      <c r="I247" s="53">
        <f>COUNTIFS('00 Encuesta'!$B$2:$B$511,"*e)*",'00 Encuesta'!$C$2:$C$511,"*a)*",'00 Encuesta'!$E$2:$E$511,"*a)*",'00 Encuesta'!$AF$2:$AF$511,"*d)*")</f>
        <v>0</v>
      </c>
      <c r="J247" s="52" t="e">
        <f t="shared" si="278"/>
        <v>#DIV/0!</v>
      </c>
      <c r="K247" s="53">
        <f>COUNTIFS('00 Encuesta'!$B$2:$B$511,"*e)*",'00 Encuesta'!$C$2:$C$511,"*a)*",'00 Encuesta'!$E$2:$E$511,"*b)*",'00 Encuesta'!$AF$2:$AF$511,"*d)*")</f>
        <v>0</v>
      </c>
      <c r="L247" s="52" t="e">
        <f>K247/$J$7*100</f>
        <v>#DIV/0!</v>
      </c>
      <c r="M247" s="23"/>
      <c r="N247" s="51">
        <f>P247+R247</f>
        <v>0</v>
      </c>
      <c r="O247" s="52" t="e">
        <f>N247/$Q$5*100</f>
        <v>#DIV/0!</v>
      </c>
      <c r="P247" s="53">
        <f>COUNTIFS('00 Encuesta'!$B$2:$B$511,"*e)*",'00 Encuesta'!$C$2:$C$511,"*b)*",'00 Encuesta'!$E$2:$E$511,"*a)*",'00 Encuesta'!$AF$2:$AF$511,"*d)*")</f>
        <v>0</v>
      </c>
      <c r="Q247" s="52" t="e">
        <f>P247/$Q$6*100</f>
        <v>#DIV/0!</v>
      </c>
      <c r="R247" s="53">
        <f>COUNTIFS('00 Encuesta'!$B$2:$B$511,"*e)*",'00 Encuesta'!$C$2:$C$511,"*b)*",'00 Encuesta'!$E$2:$E$511,"*b)*",'00 Encuesta'!$AF$2:$AF$511,"*d)*")</f>
        <v>0</v>
      </c>
      <c r="S247" s="52" t="e">
        <f>R247/$Q$7*100</f>
        <v>#DIV/0!</v>
      </c>
      <c r="T247" s="3"/>
      <c r="U247" s="51">
        <f>W247+Y247</f>
        <v>0</v>
      </c>
      <c r="V247" s="52" t="e">
        <f>U247/$X$5*100</f>
        <v>#DIV/0!</v>
      </c>
      <c r="W247" s="53">
        <f>COUNTIFS('00 Encuesta'!$B$2:$B$511,"*e)*",'00 Encuesta'!$C$2:$C$511,"*c)*",'00 Encuesta'!$E$2:$E$511,"*a)*",'00 Encuesta'!$AF$2:$AF$511,"*d)*")</f>
        <v>0</v>
      </c>
      <c r="X247" s="52" t="e">
        <f>W247/$X$6*100</f>
        <v>#DIV/0!</v>
      </c>
      <c r="Y247" s="53">
        <f>COUNTIFS('00 Encuesta'!$B$2:$B$511,"*e)*",'00 Encuesta'!$C$2:$C$511,"*c)*",'00 Encuesta'!$E$2:$E$511,"*b)*",'00 Encuesta'!$AF$2:$AF$511,"*d)*")</f>
        <v>0</v>
      </c>
      <c r="Z247" s="52" t="e">
        <f t="shared" si="279"/>
        <v>#DIV/0!</v>
      </c>
      <c r="AA247" s="3"/>
      <c r="AB247" s="62">
        <f t="shared" si="280"/>
        <v>0</v>
      </c>
      <c r="AC247" s="52" t="e">
        <f t="shared" si="281"/>
        <v>#DIV/0!</v>
      </c>
      <c r="AD247" s="3"/>
      <c r="AE247" s="3"/>
      <c r="AF247" s="9" t="str">
        <f t="shared" si="282"/>
        <v>d) Mucho o muchísimo</v>
      </c>
      <c r="AG247" s="72" t="e">
        <f t="shared" si="283"/>
        <v>#DIV/0!</v>
      </c>
      <c r="AH247" s="72" t="e">
        <f t="shared" si="284"/>
        <v>#DIV/0!</v>
      </c>
      <c r="AI247" s="73" t="e">
        <f t="shared" si="285"/>
        <v>#DIV/0!</v>
      </c>
      <c r="AJ247" s="73"/>
      <c r="AK247" s="76" t="e">
        <f t="shared" si="286"/>
        <v>#DIV/0!</v>
      </c>
      <c r="AL247" s="76" t="e">
        <f t="shared" si="287"/>
        <v>#DIV/0!</v>
      </c>
      <c r="AM247" s="76" t="e">
        <f t="shared" si="288"/>
        <v>#DIV/0!</v>
      </c>
      <c r="AN247" s="76"/>
      <c r="AO247" s="81" t="e">
        <f t="shared" si="289"/>
        <v>#DIV/0!</v>
      </c>
      <c r="AP247" s="81" t="e">
        <f t="shared" si="290"/>
        <v>#DIV/0!</v>
      </c>
      <c r="AQ247" s="81" t="e">
        <f t="shared" si="291"/>
        <v>#DIV/0!</v>
      </c>
      <c r="AR247" s="3"/>
      <c r="AS247" s="76" t="e">
        <f t="shared" si="227"/>
        <v>#DIV/0!</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0</v>
      </c>
      <c r="H248" s="52" t="e">
        <f t="shared" si="277"/>
        <v>#DIV/0!</v>
      </c>
      <c r="I248" s="53">
        <f>COUNTIFS('00 Encuesta'!$B$2:$B$511,"*e)*",'00 Encuesta'!$C$2:$C$511,"*a)*",'00 Encuesta'!$E$2:$E$511,"*a)*",'00 Encuesta'!$AF$2:$AF$511,"*e)*")</f>
        <v>0</v>
      </c>
      <c r="J248" s="52" t="e">
        <f t="shared" si="278"/>
        <v>#DIV/0!</v>
      </c>
      <c r="K248" s="53">
        <f>COUNTIFS('00 Encuesta'!$B$2:$B$511,"*e)*",'00 Encuesta'!$C$2:$C$511,"*a)*",'00 Encuesta'!$E$2:$E$511,"*b)*",'00 Encuesta'!$AF$2:$AF$511,"*e)*")</f>
        <v>0</v>
      </c>
      <c r="L248" s="52" t="e">
        <f>K248/$J$7*100</f>
        <v>#DIV/0!</v>
      </c>
      <c r="M248" s="23"/>
      <c r="N248" s="51">
        <f>P248+R248</f>
        <v>0</v>
      </c>
      <c r="O248" s="52" t="e">
        <f>N248/$Q$5*100</f>
        <v>#DIV/0!</v>
      </c>
      <c r="P248" s="53">
        <f>COUNTIFS('00 Encuesta'!$B$2:$B$511,"*e)*",'00 Encuesta'!$C$2:$C$511,"*b)*",'00 Encuesta'!$E$2:$E$511,"*a)*",'00 Encuesta'!$AF$2:$AF$511,"*e)*")</f>
        <v>0</v>
      </c>
      <c r="Q248" s="52" t="e">
        <f>P248/$Q$6*100</f>
        <v>#DIV/0!</v>
      </c>
      <c r="R248" s="53">
        <f>COUNTIFS('00 Encuesta'!$B$2:$B$511,"*e)*",'00 Encuesta'!$C$2:$C$511,"*b)*",'00 Encuesta'!$E$2:$E$511,"*b)*",'00 Encuesta'!$AF$2:$AF$511,"*e)*")</f>
        <v>0</v>
      </c>
      <c r="S248" s="52" t="e">
        <f>R248/$Q$7*100</f>
        <v>#DIV/0!</v>
      </c>
      <c r="T248" s="3"/>
      <c r="U248" s="51">
        <f>W248+Y248</f>
        <v>0</v>
      </c>
      <c r="V248" s="52" t="e">
        <f>U248/$X$5*100</f>
        <v>#DIV/0!</v>
      </c>
      <c r="W248" s="53">
        <f>COUNTIFS('00 Encuesta'!$B$2:$B$511,"*e)*",'00 Encuesta'!$C$2:$C$511,"*c)*",'00 Encuesta'!$E$2:$E$511,"*a)*",'00 Encuesta'!$AF$2:$AF$511,"*e)*")</f>
        <v>0</v>
      </c>
      <c r="X248" s="52" t="e">
        <f>W248/$X$6*100</f>
        <v>#DIV/0!</v>
      </c>
      <c r="Y248" s="53">
        <f>COUNTIFS('00 Encuesta'!$B$2:$B$511,"*e)*",'00 Encuesta'!$C$2:$C$511,"*c)*",'00 Encuesta'!$E$2:$E$511,"*b)*",'00 Encuesta'!$AF$2:$AF$511,"*e)*")</f>
        <v>0</v>
      </c>
      <c r="Z248" s="52" t="e">
        <f t="shared" si="279"/>
        <v>#DIV/0!</v>
      </c>
      <c r="AA248" s="3"/>
      <c r="AB248" s="62">
        <f t="shared" si="280"/>
        <v>0</v>
      </c>
      <c r="AC248" s="52" t="e">
        <f t="shared" si="281"/>
        <v>#DIV/0!</v>
      </c>
      <c r="AD248" s="3"/>
      <c r="AE248" s="3"/>
      <c r="AF248" s="9" t="str">
        <f t="shared" si="282"/>
        <v>e) No sé</v>
      </c>
      <c r="AG248" s="72" t="e">
        <f t="shared" si="283"/>
        <v>#DIV/0!</v>
      </c>
      <c r="AH248" s="72" t="e">
        <f t="shared" si="284"/>
        <v>#DIV/0!</v>
      </c>
      <c r="AI248" s="73" t="e">
        <f t="shared" si="285"/>
        <v>#DIV/0!</v>
      </c>
      <c r="AJ248" s="73"/>
      <c r="AK248" s="76" t="e">
        <f t="shared" si="286"/>
        <v>#DIV/0!</v>
      </c>
      <c r="AL248" s="76" t="e">
        <f t="shared" si="287"/>
        <v>#DIV/0!</v>
      </c>
      <c r="AM248" s="76" t="e">
        <f t="shared" si="288"/>
        <v>#DIV/0!</v>
      </c>
      <c r="AN248" s="76"/>
      <c r="AO248" s="81" t="e">
        <f t="shared" si="289"/>
        <v>#DIV/0!</v>
      </c>
      <c r="AP248" s="81" t="e">
        <f t="shared" si="290"/>
        <v>#DIV/0!</v>
      </c>
      <c r="AQ248" s="81" t="e">
        <f t="shared" si="291"/>
        <v>#DIV/0!</v>
      </c>
      <c r="AR248" s="3"/>
      <c r="AS248" s="76" t="e">
        <f t="shared" si="227"/>
        <v>#DIV/0!</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x14ac:dyDescent="0.3">
      <c r="A249" s="8" t="s">
        <v>23</v>
      </c>
      <c r="B249" s="9" t="s">
        <v>24</v>
      </c>
      <c r="C249" s="7"/>
      <c r="D249" s="7"/>
      <c r="E249" s="7"/>
      <c r="F249" s="71"/>
      <c r="G249" s="51">
        <f t="shared" si="276"/>
        <v>0</v>
      </c>
      <c r="H249" s="52" t="e">
        <f t="shared" si="277"/>
        <v>#DIV/0!</v>
      </c>
      <c r="I249" s="53"/>
      <c r="J249" s="52" t="e">
        <f t="shared" si="278"/>
        <v>#DIV/0!</v>
      </c>
      <c r="K249" s="53"/>
      <c r="L249" s="52" t="e">
        <f t="shared" ref="L249" si="292">K249/$J$7*100</f>
        <v>#DIV/0!</v>
      </c>
      <c r="M249" s="23"/>
      <c r="N249" s="51">
        <f t="shared" ref="N249" si="293">P249+R249</f>
        <v>0</v>
      </c>
      <c r="O249" s="52" t="e">
        <f t="shared" ref="O249" si="294">N249/$Q$5*100</f>
        <v>#DIV/0!</v>
      </c>
      <c r="P249" s="53"/>
      <c r="Q249" s="52" t="e">
        <f t="shared" ref="Q249" si="295">P249/$Q$6*100</f>
        <v>#DIV/0!</v>
      </c>
      <c r="R249" s="53"/>
      <c r="S249" s="52" t="e">
        <f t="shared" ref="S249" si="296">R249/$Q$7*100</f>
        <v>#DIV/0!</v>
      </c>
      <c r="T249" s="3"/>
      <c r="U249" s="51">
        <f t="shared" ref="U249" si="297">W249+Y249</f>
        <v>0</v>
      </c>
      <c r="V249" s="52" t="e">
        <f t="shared" ref="V249" si="298">U249/$X$5*100</f>
        <v>#DIV/0!</v>
      </c>
      <c r="W249" s="53"/>
      <c r="X249" s="52" t="e">
        <f t="shared" ref="X249" si="299">W249/$X$6*100</f>
        <v>#DIV/0!</v>
      </c>
      <c r="Y249" s="53"/>
      <c r="Z249" s="52" t="e">
        <f t="shared" si="279"/>
        <v>#DIV/0!</v>
      </c>
      <c r="AA249" s="3"/>
      <c r="AB249" s="62">
        <f t="shared" si="280"/>
        <v>0</v>
      </c>
      <c r="AC249" s="52" t="e">
        <f t="shared" si="281"/>
        <v>#DIV/0!</v>
      </c>
      <c r="AD249" s="3"/>
      <c r="AE249" s="3"/>
      <c r="AF249" s="9" t="str">
        <f t="shared" si="282"/>
        <v>S/R Sin Respuesta</v>
      </c>
      <c r="AG249" s="72" t="e">
        <f t="shared" si="283"/>
        <v>#DIV/0!</v>
      </c>
      <c r="AH249" s="72" t="e">
        <f t="shared" si="284"/>
        <v>#DIV/0!</v>
      </c>
      <c r="AI249" s="73" t="e">
        <f t="shared" si="285"/>
        <v>#DIV/0!</v>
      </c>
      <c r="AJ249" s="73"/>
      <c r="AK249" s="76" t="e">
        <f t="shared" si="286"/>
        <v>#DIV/0!</v>
      </c>
      <c r="AL249" s="76" t="e">
        <f t="shared" si="287"/>
        <v>#DIV/0!</v>
      </c>
      <c r="AM249" s="76" t="e">
        <f t="shared" si="288"/>
        <v>#DIV/0!</v>
      </c>
      <c r="AN249" s="76"/>
      <c r="AO249" s="81" t="e">
        <f t="shared" si="289"/>
        <v>#DIV/0!</v>
      </c>
      <c r="AP249" s="81" t="e">
        <f t="shared" si="290"/>
        <v>#DIV/0!</v>
      </c>
      <c r="AQ249" s="81" t="e">
        <f t="shared" si="291"/>
        <v>#DIV/0!</v>
      </c>
      <c r="AR249" s="3"/>
      <c r="AS249" s="76" t="e">
        <f t="shared" si="227"/>
        <v>#DIV/0!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x14ac:dyDescent="0.3">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t="e">
        <f>(+$F245*I245+$F246*I246+$F247*I247+$F244*I244)/(+I245+I246+I247+I244)</f>
        <v>#DIV/0!</v>
      </c>
      <c r="AH250" s="82" t="e">
        <f>($F245*K245+$F246*K246+$F247*K247+$F244*K244)/(+K245+K246+K247+K244)</f>
        <v>#DIV/0!</v>
      </c>
      <c r="AI250" s="82" t="e">
        <f>($F245*G245+$F246*G246+$F247*G247+$F244*G244)/(G245+G246+G247+G244)</f>
        <v>#DIV/0!</v>
      </c>
      <c r="AJ250" s="82"/>
      <c r="AK250" s="82" t="e">
        <f>($F245*P245+$F246*P246+$F247*P247+$F248*P248)/(P245+P246+P247+P248)</f>
        <v>#DIV/0!</v>
      </c>
      <c r="AL250" s="82" t="e">
        <f>($F245*R245+$F246*R246+$F247*R247+$F248*R248)/(R245+R246+R247+R248)</f>
        <v>#DIV/0!</v>
      </c>
      <c r="AM250" s="82" t="e">
        <f>($F245*N245+$F246*N246+$F247*N247+$F248*N248)/(N245+N246+N247+N248)</f>
        <v>#DIV/0!</v>
      </c>
      <c r="AN250" s="82"/>
      <c r="AO250" s="82" t="e">
        <f>($F245*W245+$F246*W246+$F247*W247+$F244*W244)/(W245+W246+W247+W244)</f>
        <v>#DIV/0!</v>
      </c>
      <c r="AP250" s="82" t="e">
        <f>($F245*Y245+$F246*Y246+$F247*Y247+$F244*Y244)/(Y245+Y246+Y247+Y244)</f>
        <v>#DIV/0!</v>
      </c>
      <c r="AQ250" s="82" t="e">
        <f>($F245*U245+$F246*U246+$F247*U247+$F244*U244)/(U245+U246+U247+U244)</f>
        <v>#DIV/0!</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x14ac:dyDescent="0.3">
      <c r="A252" s="8" t="s">
        <v>17</v>
      </c>
      <c r="B252" s="9" t="s">
        <v>182</v>
      </c>
      <c r="C252" s="7"/>
      <c r="D252" s="7"/>
      <c r="E252" s="7"/>
      <c r="F252" s="71"/>
      <c r="G252" s="51">
        <f t="shared" ref="G252:G261" si="300">I252+K252</f>
        <v>0</v>
      </c>
      <c r="H252" s="52" t="e">
        <f t="shared" ref="H252:H261" si="301">G252/$J$5*100</f>
        <v>#DIV/0!</v>
      </c>
      <c r="I252" s="53">
        <f>COUNTIFS('00 Encuesta'!$B$2:$B$511,"*e)*",'00 Encuesta'!$C$2:$C$511,"*a)*",'00 Encuesta'!$E$2:$E$511,"*a)*",'00 Encuesta'!$AG$2:$AG$511,"*a)*")</f>
        <v>0</v>
      </c>
      <c r="J252" s="52" t="e">
        <f t="shared" ref="J252:J261" si="302">I252/$J$6*100</f>
        <v>#DIV/0!</v>
      </c>
      <c r="K252" s="53">
        <f>COUNTIFS('00 Encuesta'!$B$2:$B$511,"*e)*",'00 Encuesta'!$C$2:$C$511,"*a)*",'00 Encuesta'!$E$2:$E$511,"*b)*",'00 Encuesta'!$AG$2:$AG$511,"*a)*")</f>
        <v>0</v>
      </c>
      <c r="L252" s="52" t="e">
        <f t="shared" ref="L252:L261" si="303">K252/$J$7*100</f>
        <v>#DIV/0!</v>
      </c>
      <c r="M252" s="23"/>
      <c r="N252" s="51">
        <f t="shared" ref="N252:N261" si="304">P252+R252</f>
        <v>0</v>
      </c>
      <c r="O252" s="52" t="e">
        <f t="shared" ref="O252:O261" si="305">N252/$Q$5*100</f>
        <v>#DIV/0!</v>
      </c>
      <c r="P252" s="53">
        <f>COUNTIFS('00 Encuesta'!$B$2:$B$511,"*e)*",'00 Encuesta'!$C$2:$C$511,"*b)*",'00 Encuesta'!$E$2:$E$511,"*a)*",'00 Encuesta'!$AG$2:$AG$511,"*a)*")</f>
        <v>0</v>
      </c>
      <c r="Q252" s="52" t="e">
        <f t="shared" ref="Q252:Q261" si="306">P252/$Q$6*100</f>
        <v>#DIV/0!</v>
      </c>
      <c r="R252" s="53">
        <f>COUNTIFS('00 Encuesta'!$B$2:$B$511,"*e)*",'00 Encuesta'!$C$2:$C$511,"*b)*",'00 Encuesta'!$E$2:$E$511,"*b)*",'00 Encuesta'!$AG$2:$AG$511,"*a)*")</f>
        <v>0</v>
      </c>
      <c r="S252" s="52" t="e">
        <f t="shared" ref="S252:S261" si="307">R252/$Q$7*100</f>
        <v>#DIV/0!</v>
      </c>
      <c r="T252" s="3"/>
      <c r="U252" s="51">
        <f t="shared" ref="U252:U261" si="308">W252+Y252</f>
        <v>0</v>
      </c>
      <c r="V252" s="52" t="e">
        <f t="shared" ref="V252:V261" si="309">U252/$X$5*100</f>
        <v>#DIV/0!</v>
      </c>
      <c r="W252" s="53">
        <f>COUNTIFS('00 Encuesta'!$B$2:$B$511,"*e)*",'00 Encuesta'!$C$2:$C$511,"*c)*",'00 Encuesta'!$E$2:$E$511,"*a)*",'00 Encuesta'!$AG$2:$AG$511,"*a)*")</f>
        <v>0</v>
      </c>
      <c r="X252" s="52" t="e">
        <f t="shared" ref="X252:X261" si="310">W252/$X$6*100</f>
        <v>#DIV/0!</v>
      </c>
      <c r="Y252" s="53">
        <f>COUNTIFS('00 Encuesta'!$B$2:$B$511,"*e)*",'00 Encuesta'!$C$2:$C$511,"*c)*",'00 Encuesta'!$E$2:$E$511,"*b)*",'00 Encuesta'!$AG$2:$AG$511,"*a)*")</f>
        <v>0</v>
      </c>
      <c r="Z252" s="52" t="e">
        <f t="shared" ref="Z252:Z261" si="311">Y252/$X$7*100</f>
        <v>#DIV/0!</v>
      </c>
      <c r="AA252" s="3"/>
      <c r="AB252" s="62">
        <f t="shared" ref="AB252:AB261" si="312">G252+N252+U252</f>
        <v>0</v>
      </c>
      <c r="AC252" s="52" t="e">
        <f t="shared" ref="AC252:AC261" si="313">AB252*100/$AC$5</f>
        <v>#DIV/0!</v>
      </c>
      <c r="AD252" s="3"/>
      <c r="AE252" s="3"/>
      <c r="AF252" s="9" t="str">
        <f t="shared" ref="AF252:AF261" si="314">A252&amp;" "&amp;B252</f>
        <v>a) Los deportes y diversiones</v>
      </c>
      <c r="AG252" s="72" t="e">
        <f t="shared" ref="AG252:AG261" si="315">J252</f>
        <v>#DIV/0!</v>
      </c>
      <c r="AH252" s="72" t="e">
        <f t="shared" ref="AH252:AH261" si="316">L252</f>
        <v>#DIV/0!</v>
      </c>
      <c r="AI252" s="73" t="e">
        <f t="shared" ref="AI252:AI261" si="317">H252</f>
        <v>#DIV/0!</v>
      </c>
      <c r="AJ252" s="73"/>
      <c r="AK252" s="76" t="e">
        <f t="shared" ref="AK252:AK261" si="318">Q252</f>
        <v>#DIV/0!</v>
      </c>
      <c r="AL252" s="76" t="e">
        <f t="shared" ref="AL252:AL261" si="319">S252</f>
        <v>#DIV/0!</v>
      </c>
      <c r="AM252" s="76" t="e">
        <f t="shared" ref="AM252:AM261" si="320">O252</f>
        <v>#DIV/0!</v>
      </c>
      <c r="AN252" s="76"/>
      <c r="AO252" s="81" t="e">
        <f t="shared" ref="AO252:AO261" si="321">X252</f>
        <v>#DIV/0!</v>
      </c>
      <c r="AP252" s="81" t="e">
        <f t="shared" ref="AP252:AP261" si="322">Z252</f>
        <v>#DIV/0!</v>
      </c>
      <c r="AQ252" s="81" t="e">
        <f t="shared" ref="AQ252:AQ261" si="323">V252</f>
        <v>#DIV/0!</v>
      </c>
      <c r="AR252" s="3"/>
      <c r="AS252" s="76" t="e">
        <f t="shared" si="227"/>
        <v>#DIV/0!</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x14ac:dyDescent="0.3">
      <c r="A253" s="8" t="s">
        <v>18</v>
      </c>
      <c r="B253" s="9" t="s">
        <v>183</v>
      </c>
      <c r="C253" s="7"/>
      <c r="D253" s="7"/>
      <c r="E253" s="7"/>
      <c r="F253" s="71"/>
      <c r="G253" s="51">
        <f t="shared" si="300"/>
        <v>0</v>
      </c>
      <c r="H253" s="52" t="e">
        <f t="shared" si="301"/>
        <v>#DIV/0!</v>
      </c>
      <c r="I253" s="53">
        <f>COUNTIFS('00 Encuesta'!$B$2:$B$511,"*e)*",'00 Encuesta'!$C$2:$C$511,"*a)*",'00 Encuesta'!$E$2:$E$511,"*a)*",'00 Encuesta'!$AG$2:$AG$511,"*b)*")</f>
        <v>0</v>
      </c>
      <c r="J253" s="52" t="e">
        <f t="shared" si="302"/>
        <v>#DIV/0!</v>
      </c>
      <c r="K253" s="53">
        <f>COUNTIFS('00 Encuesta'!$B$2:$B$511,"*e)*",'00 Encuesta'!$C$2:$C$511,"*a)*",'00 Encuesta'!$E$2:$E$511,"*b)*",'00 Encuesta'!$AG$2:$AG$511,"*b)*")</f>
        <v>0</v>
      </c>
      <c r="L253" s="52" t="e">
        <f t="shared" si="303"/>
        <v>#DIV/0!</v>
      </c>
      <c r="M253" s="23"/>
      <c r="N253" s="51">
        <f t="shared" si="304"/>
        <v>0</v>
      </c>
      <c r="O253" s="52" t="e">
        <f t="shared" si="305"/>
        <v>#DIV/0!</v>
      </c>
      <c r="P253" s="53">
        <f>COUNTIFS('00 Encuesta'!$B$2:$B$511,"*e)*",'00 Encuesta'!$C$2:$C$511,"*b)*",'00 Encuesta'!$E$2:$E$511,"*a)*",'00 Encuesta'!$AG$2:$AG$511,"*b)*")</f>
        <v>0</v>
      </c>
      <c r="Q253" s="52" t="e">
        <f t="shared" si="306"/>
        <v>#DIV/0!</v>
      </c>
      <c r="R253" s="53">
        <f>COUNTIFS('00 Encuesta'!$B$2:$B$511,"*e)*",'00 Encuesta'!$C$2:$C$511,"*b)*",'00 Encuesta'!$E$2:$E$511,"*b)*",'00 Encuesta'!$AG$2:$AG$511,"*b)*")</f>
        <v>0</v>
      </c>
      <c r="S253" s="52" t="e">
        <f t="shared" si="307"/>
        <v>#DIV/0!</v>
      </c>
      <c r="T253" s="3"/>
      <c r="U253" s="51">
        <f t="shared" si="308"/>
        <v>0</v>
      </c>
      <c r="V253" s="52" t="e">
        <f t="shared" si="309"/>
        <v>#DIV/0!</v>
      </c>
      <c r="W253" s="53">
        <f>COUNTIFS('00 Encuesta'!$B$2:$B$511,"*e)*",'00 Encuesta'!$C$2:$C$511,"*c)*",'00 Encuesta'!$E$2:$E$511,"*a)*",'00 Encuesta'!$AG$2:$AG$511,"*b)*")</f>
        <v>0</v>
      </c>
      <c r="X253" s="52" t="e">
        <f t="shared" si="310"/>
        <v>#DIV/0!</v>
      </c>
      <c r="Y253" s="53">
        <f>COUNTIFS('00 Encuesta'!$B$2:$B$511,"*e)*",'00 Encuesta'!$C$2:$C$511,"*c)*",'00 Encuesta'!$E$2:$E$511,"*b)*",'00 Encuesta'!$AG$2:$AG$511,"*b)*")</f>
        <v>0</v>
      </c>
      <c r="Z253" s="52" t="e">
        <f t="shared" si="311"/>
        <v>#DIV/0!</v>
      </c>
      <c r="AA253" s="3"/>
      <c r="AB253" s="62">
        <f t="shared" si="312"/>
        <v>0</v>
      </c>
      <c r="AC253" s="52" t="e">
        <f t="shared" si="313"/>
        <v>#DIV/0!</v>
      </c>
      <c r="AD253" s="3"/>
      <c r="AE253" s="3"/>
      <c r="AF253" s="9" t="str">
        <f t="shared" si="314"/>
        <v>b) El ambiente de estudio y de trabajo</v>
      </c>
      <c r="AG253" s="72" t="e">
        <f t="shared" si="315"/>
        <v>#DIV/0!</v>
      </c>
      <c r="AH253" s="72" t="e">
        <f t="shared" si="316"/>
        <v>#DIV/0!</v>
      </c>
      <c r="AI253" s="73" t="e">
        <f t="shared" si="317"/>
        <v>#DIV/0!</v>
      </c>
      <c r="AJ253" s="73"/>
      <c r="AK253" s="76" t="e">
        <f t="shared" si="318"/>
        <v>#DIV/0!</v>
      </c>
      <c r="AL253" s="76" t="e">
        <f t="shared" si="319"/>
        <v>#DIV/0!</v>
      </c>
      <c r="AM253" s="76" t="e">
        <f t="shared" si="320"/>
        <v>#DIV/0!</v>
      </c>
      <c r="AN253" s="76"/>
      <c r="AO253" s="81" t="e">
        <f t="shared" si="321"/>
        <v>#DIV/0!</v>
      </c>
      <c r="AP253" s="81" t="e">
        <f t="shared" si="322"/>
        <v>#DIV/0!</v>
      </c>
      <c r="AQ253" s="81" t="e">
        <f t="shared" si="323"/>
        <v>#DIV/0!</v>
      </c>
      <c r="AR253" s="3"/>
      <c r="AS253" s="76" t="e">
        <f t="shared" si="227"/>
        <v>#DIV/0!</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x14ac:dyDescent="0.3">
      <c r="A254" s="8" t="s">
        <v>20</v>
      </c>
      <c r="B254" s="9" t="s">
        <v>184</v>
      </c>
      <c r="C254" s="7"/>
      <c r="D254" s="7"/>
      <c r="E254" s="7"/>
      <c r="F254" s="71"/>
      <c r="G254" s="51">
        <f t="shared" si="300"/>
        <v>0</v>
      </c>
      <c r="H254" s="52" t="e">
        <f t="shared" si="301"/>
        <v>#DIV/0!</v>
      </c>
      <c r="I254" s="53">
        <f>COUNTIFS('00 Encuesta'!$B$2:$B$511,"*e)*",'00 Encuesta'!$C$2:$C$511,"*a)*",'00 Encuesta'!$E$2:$E$511,"*a)*",'00 Encuesta'!$AG$2:$AG$511,"*c)*")</f>
        <v>0</v>
      </c>
      <c r="J254" s="52" t="e">
        <f t="shared" si="302"/>
        <v>#DIV/0!</v>
      </c>
      <c r="K254" s="53">
        <f>COUNTIFS('00 Encuesta'!$B$2:$B$511,"*e)*",'00 Encuesta'!$C$2:$C$511,"*a)*",'00 Encuesta'!$E$2:$E$511,"*b)*",'00 Encuesta'!$AG$2:$AG$511,"*c)*")</f>
        <v>0</v>
      </c>
      <c r="L254" s="52" t="e">
        <f t="shared" si="303"/>
        <v>#DIV/0!</v>
      </c>
      <c r="M254" s="23"/>
      <c r="N254" s="51">
        <f t="shared" si="304"/>
        <v>0</v>
      </c>
      <c r="O254" s="52" t="e">
        <f t="shared" si="305"/>
        <v>#DIV/0!</v>
      </c>
      <c r="P254" s="53">
        <f>COUNTIFS('00 Encuesta'!$B$2:$B$511,"*e)*",'00 Encuesta'!$C$2:$C$511,"*b)*",'00 Encuesta'!$E$2:$E$511,"*a)*",'00 Encuesta'!$AG$2:$AG$511,"*c)*")</f>
        <v>0</v>
      </c>
      <c r="Q254" s="52" t="e">
        <f t="shared" si="306"/>
        <v>#DIV/0!</v>
      </c>
      <c r="R254" s="53">
        <f>COUNTIFS('00 Encuesta'!$B$2:$B$511,"*e)*",'00 Encuesta'!$C$2:$C$511,"*b)*",'00 Encuesta'!$E$2:$E$511,"*b)*",'00 Encuesta'!$AG$2:$AG$511,"*c)*")</f>
        <v>0</v>
      </c>
      <c r="S254" s="52" t="e">
        <f t="shared" si="307"/>
        <v>#DIV/0!</v>
      </c>
      <c r="T254" s="3"/>
      <c r="U254" s="51">
        <f t="shared" si="308"/>
        <v>0</v>
      </c>
      <c r="V254" s="52" t="e">
        <f t="shared" si="309"/>
        <v>#DIV/0!</v>
      </c>
      <c r="W254" s="53">
        <f>COUNTIFS('00 Encuesta'!$B$2:$B$511,"*e)*",'00 Encuesta'!$C$2:$C$511,"*c)*",'00 Encuesta'!$E$2:$E$511,"*a)*",'00 Encuesta'!$AG$2:$AG$511,"*c)*")</f>
        <v>0</v>
      </c>
      <c r="X254" s="52" t="e">
        <f t="shared" si="310"/>
        <v>#DIV/0!</v>
      </c>
      <c r="Y254" s="53">
        <f>COUNTIFS('00 Encuesta'!$B$2:$B$511,"*e)*",'00 Encuesta'!$C$2:$C$511,"*c)*",'00 Encuesta'!$E$2:$E$511,"*b)*",'00 Encuesta'!$AG$2:$AG$511,"*c)*")</f>
        <v>0</v>
      </c>
      <c r="Z254" s="52" t="e">
        <f t="shared" si="311"/>
        <v>#DIV/0!</v>
      </c>
      <c r="AA254" s="3"/>
      <c r="AB254" s="62">
        <f t="shared" si="312"/>
        <v>0</v>
      </c>
      <c r="AC254" s="52" t="e">
        <f t="shared" si="313"/>
        <v>#DIV/0!</v>
      </c>
      <c r="AD254" s="3"/>
      <c r="AE254" s="3"/>
      <c r="AF254" s="9" t="str">
        <f t="shared" si="314"/>
        <v>c) Las instalaciones del colegio</v>
      </c>
      <c r="AG254" s="72" t="e">
        <f t="shared" si="315"/>
        <v>#DIV/0!</v>
      </c>
      <c r="AH254" s="72" t="e">
        <f t="shared" si="316"/>
        <v>#DIV/0!</v>
      </c>
      <c r="AI254" s="73" t="e">
        <f t="shared" si="317"/>
        <v>#DIV/0!</v>
      </c>
      <c r="AJ254" s="73"/>
      <c r="AK254" s="76" t="e">
        <f t="shared" si="318"/>
        <v>#DIV/0!</v>
      </c>
      <c r="AL254" s="76" t="e">
        <f t="shared" si="319"/>
        <v>#DIV/0!</v>
      </c>
      <c r="AM254" s="76" t="e">
        <f t="shared" si="320"/>
        <v>#DIV/0!</v>
      </c>
      <c r="AN254" s="76"/>
      <c r="AO254" s="81" t="e">
        <f t="shared" si="321"/>
        <v>#DIV/0!</v>
      </c>
      <c r="AP254" s="81" t="e">
        <f t="shared" si="322"/>
        <v>#DIV/0!</v>
      </c>
      <c r="AQ254" s="81" t="e">
        <f t="shared" si="323"/>
        <v>#DIV/0!</v>
      </c>
      <c r="AR254" s="3"/>
      <c r="AS254" s="76" t="e">
        <f t="shared" si="227"/>
        <v>#DIV/0!</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x14ac:dyDescent="0.3">
      <c r="A255" s="8" t="s">
        <v>21</v>
      </c>
      <c r="B255" s="9" t="s">
        <v>185</v>
      </c>
      <c r="C255" s="7"/>
      <c r="D255" s="7"/>
      <c r="E255" s="7"/>
      <c r="F255" s="71"/>
      <c r="G255" s="51">
        <f t="shared" si="300"/>
        <v>0</v>
      </c>
      <c r="H255" s="52" t="e">
        <f t="shared" si="301"/>
        <v>#DIV/0!</v>
      </c>
      <c r="I255" s="53">
        <f>COUNTIFS('00 Encuesta'!$B$2:$B$511,"*e)*",'00 Encuesta'!$C$2:$C$511,"*a)*",'00 Encuesta'!$E$2:$E$511,"*a)*",'00 Encuesta'!$AG$2:$AG$511,"*d)*")</f>
        <v>0</v>
      </c>
      <c r="J255" s="52" t="e">
        <f t="shared" si="302"/>
        <v>#DIV/0!</v>
      </c>
      <c r="K255" s="53">
        <f>COUNTIFS('00 Encuesta'!$B$2:$B$511,"*e)*",'00 Encuesta'!$C$2:$C$511,"*a)*",'00 Encuesta'!$E$2:$E$511,"*b)*",'00 Encuesta'!$AG$2:$AG$511,"*d)*")</f>
        <v>0</v>
      </c>
      <c r="L255" s="52" t="e">
        <f t="shared" si="303"/>
        <v>#DIV/0!</v>
      </c>
      <c r="M255" s="23"/>
      <c r="N255" s="51">
        <f t="shared" si="304"/>
        <v>0</v>
      </c>
      <c r="O255" s="52" t="e">
        <f t="shared" si="305"/>
        <v>#DIV/0!</v>
      </c>
      <c r="P255" s="53">
        <f>COUNTIFS('00 Encuesta'!$B$2:$B$511,"*e)*",'00 Encuesta'!$C$2:$C$511,"*b)*",'00 Encuesta'!$E$2:$E$511,"*a)*",'00 Encuesta'!$AG$2:$AG$511,"*d)*")</f>
        <v>0</v>
      </c>
      <c r="Q255" s="52" t="e">
        <f t="shared" si="306"/>
        <v>#DIV/0!</v>
      </c>
      <c r="R255" s="53">
        <f>COUNTIFS('00 Encuesta'!$B$2:$B$511,"*e)*",'00 Encuesta'!$C$2:$C$511,"*b)*",'00 Encuesta'!$E$2:$E$511,"*b)*",'00 Encuesta'!$AG$2:$AG$511,"*d)*")</f>
        <v>0</v>
      </c>
      <c r="S255" s="52" t="e">
        <f t="shared" si="307"/>
        <v>#DIV/0!</v>
      </c>
      <c r="T255" s="3"/>
      <c r="U255" s="51">
        <f t="shared" si="308"/>
        <v>0</v>
      </c>
      <c r="V255" s="52" t="e">
        <f t="shared" si="309"/>
        <v>#DIV/0!</v>
      </c>
      <c r="W255" s="53">
        <f>COUNTIFS('00 Encuesta'!$B$2:$B$511,"*e)*",'00 Encuesta'!$C$2:$C$511,"*c)*",'00 Encuesta'!$E$2:$E$511,"*a)*",'00 Encuesta'!$AG$2:$AG$511,"*d)*")</f>
        <v>0</v>
      </c>
      <c r="X255" s="52" t="e">
        <f t="shared" si="310"/>
        <v>#DIV/0!</v>
      </c>
      <c r="Y255" s="53">
        <f>COUNTIFS('00 Encuesta'!$B$2:$B$511,"*e)*",'00 Encuesta'!$C$2:$C$511,"*c)*",'00 Encuesta'!$E$2:$E$511,"*b)*",'00 Encuesta'!$AG$2:$AG$511,"*d)*")</f>
        <v>0</v>
      </c>
      <c r="Z255" s="52" t="e">
        <f t="shared" si="311"/>
        <v>#DIV/0!</v>
      </c>
      <c r="AA255" s="3"/>
      <c r="AB255" s="62">
        <f t="shared" si="312"/>
        <v>0</v>
      </c>
      <c r="AC255" s="52" t="e">
        <f t="shared" si="313"/>
        <v>#DIV/0!</v>
      </c>
      <c r="AD255" s="3"/>
      <c r="AE255" s="3"/>
      <c r="AF255" s="9" t="str">
        <f t="shared" si="314"/>
        <v>d) Los grupos juveniles cristianos</v>
      </c>
      <c r="AG255" s="72" t="e">
        <f t="shared" si="315"/>
        <v>#DIV/0!</v>
      </c>
      <c r="AH255" s="72" t="e">
        <f t="shared" si="316"/>
        <v>#DIV/0!</v>
      </c>
      <c r="AI255" s="73" t="e">
        <f t="shared" si="317"/>
        <v>#DIV/0!</v>
      </c>
      <c r="AJ255" s="73"/>
      <c r="AK255" s="76" t="e">
        <f t="shared" si="318"/>
        <v>#DIV/0!</v>
      </c>
      <c r="AL255" s="76" t="e">
        <f t="shared" si="319"/>
        <v>#DIV/0!</v>
      </c>
      <c r="AM255" s="76" t="e">
        <f t="shared" si="320"/>
        <v>#DIV/0!</v>
      </c>
      <c r="AN255" s="76"/>
      <c r="AO255" s="81" t="e">
        <f t="shared" si="321"/>
        <v>#DIV/0!</v>
      </c>
      <c r="AP255" s="81" t="e">
        <f t="shared" si="322"/>
        <v>#DIV/0!</v>
      </c>
      <c r="AQ255" s="81" t="e">
        <f t="shared" si="323"/>
        <v>#DIV/0!</v>
      </c>
      <c r="AR255" s="3"/>
      <c r="AS255" s="76" t="e">
        <f t="shared" si="227"/>
        <v>#DIV/0!</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x14ac:dyDescent="0.3">
      <c r="A256" s="8" t="s">
        <v>22</v>
      </c>
      <c r="B256" s="9" t="s">
        <v>186</v>
      </c>
      <c r="C256" s="7"/>
      <c r="D256" s="7"/>
      <c r="E256" s="7"/>
      <c r="F256" s="71"/>
      <c r="G256" s="51">
        <f t="shared" si="300"/>
        <v>0</v>
      </c>
      <c r="H256" s="52" t="e">
        <f t="shared" si="301"/>
        <v>#DIV/0!</v>
      </c>
      <c r="I256" s="53">
        <f>COUNTIFS('00 Encuesta'!$B$2:$B$511,"*e)*",'00 Encuesta'!$C$2:$C$511,"*a)*",'00 Encuesta'!$E$2:$E$511,"*a)*",'00 Encuesta'!$AG$2:$AG$511,"*e)*")</f>
        <v>0</v>
      </c>
      <c r="J256" s="52" t="e">
        <f t="shared" si="302"/>
        <v>#DIV/0!</v>
      </c>
      <c r="K256" s="53">
        <f>COUNTIFS('00 Encuesta'!$B$2:$B$511,"*e)*",'00 Encuesta'!$C$2:$C$511,"*a)*",'00 Encuesta'!$E$2:$E$511,"*b)*",'00 Encuesta'!$AG$2:$AG$511,"*e)*")</f>
        <v>0</v>
      </c>
      <c r="L256" s="52" t="e">
        <f t="shared" si="303"/>
        <v>#DIV/0!</v>
      </c>
      <c r="M256" s="23"/>
      <c r="N256" s="51">
        <f t="shared" si="304"/>
        <v>0</v>
      </c>
      <c r="O256" s="52" t="e">
        <f t="shared" si="305"/>
        <v>#DIV/0!</v>
      </c>
      <c r="P256" s="53">
        <f>COUNTIFS('00 Encuesta'!$B$2:$B$511,"*e)*",'00 Encuesta'!$C$2:$C$511,"*b)*",'00 Encuesta'!$E$2:$E$511,"*a)*",'00 Encuesta'!$AG$2:$AG$511,"*e)*")</f>
        <v>0</v>
      </c>
      <c r="Q256" s="52" t="e">
        <f t="shared" si="306"/>
        <v>#DIV/0!</v>
      </c>
      <c r="R256" s="53">
        <f>COUNTIFS('00 Encuesta'!$B$2:$B$511,"*e)*",'00 Encuesta'!$C$2:$C$511,"*b)*",'00 Encuesta'!$E$2:$E$511,"*b)*",'00 Encuesta'!$AG$2:$AG$511,"*e)*")</f>
        <v>0</v>
      </c>
      <c r="S256" s="52" t="e">
        <f t="shared" si="307"/>
        <v>#DIV/0!</v>
      </c>
      <c r="T256" s="3"/>
      <c r="U256" s="51">
        <f t="shared" si="308"/>
        <v>0</v>
      </c>
      <c r="V256" s="52" t="e">
        <f t="shared" si="309"/>
        <v>#DIV/0!</v>
      </c>
      <c r="W256" s="53">
        <f>COUNTIFS('00 Encuesta'!$B$2:$B$511,"*e)*",'00 Encuesta'!$C$2:$C$511,"*c)*",'00 Encuesta'!$E$2:$E$511,"*a)*",'00 Encuesta'!$AG$2:$AG$511,"*e)*")</f>
        <v>0</v>
      </c>
      <c r="X256" s="52" t="e">
        <f t="shared" si="310"/>
        <v>#DIV/0!</v>
      </c>
      <c r="Y256" s="53">
        <f>COUNTIFS('00 Encuesta'!$B$2:$B$511,"*e)*",'00 Encuesta'!$C$2:$C$511,"*c)*",'00 Encuesta'!$E$2:$E$511,"*b)*",'00 Encuesta'!$AG$2:$AG$511,"*e)*")</f>
        <v>0</v>
      </c>
      <c r="Z256" s="52" t="e">
        <f t="shared" si="311"/>
        <v>#DIV/0!</v>
      </c>
      <c r="AA256" s="3"/>
      <c r="AB256" s="62">
        <f t="shared" si="312"/>
        <v>0</v>
      </c>
      <c r="AC256" s="52" t="e">
        <f t="shared" si="313"/>
        <v>#DIV/0!</v>
      </c>
      <c r="AD256" s="3"/>
      <c r="AE256" s="3"/>
      <c r="AF256" s="9" t="str">
        <f t="shared" si="314"/>
        <v>e) La mayor posibilidad de vivir mi fe</v>
      </c>
      <c r="AG256" s="72" t="e">
        <f t="shared" si="315"/>
        <v>#DIV/0!</v>
      </c>
      <c r="AH256" s="72" t="e">
        <f t="shared" si="316"/>
        <v>#DIV/0!</v>
      </c>
      <c r="AI256" s="73" t="e">
        <f t="shared" si="317"/>
        <v>#DIV/0!</v>
      </c>
      <c r="AJ256" s="73"/>
      <c r="AK256" s="76" t="e">
        <f t="shared" si="318"/>
        <v>#DIV/0!</v>
      </c>
      <c r="AL256" s="76" t="e">
        <f t="shared" si="319"/>
        <v>#DIV/0!</v>
      </c>
      <c r="AM256" s="76" t="e">
        <f t="shared" si="320"/>
        <v>#DIV/0!</v>
      </c>
      <c r="AN256" s="76"/>
      <c r="AO256" s="81" t="e">
        <f t="shared" si="321"/>
        <v>#DIV/0!</v>
      </c>
      <c r="AP256" s="81" t="e">
        <f t="shared" si="322"/>
        <v>#DIV/0!</v>
      </c>
      <c r="AQ256" s="81" t="e">
        <f t="shared" si="323"/>
        <v>#DIV/0!</v>
      </c>
      <c r="AR256" s="3"/>
      <c r="AS256" s="76" t="e">
        <f t="shared" si="227"/>
        <v>#DIV/0!</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x14ac:dyDescent="0.3">
      <c r="A257" s="8" t="s">
        <v>45</v>
      </c>
      <c r="B257" s="9" t="s">
        <v>187</v>
      </c>
      <c r="C257" s="7"/>
      <c r="D257" s="7"/>
      <c r="E257" s="7"/>
      <c r="F257" s="71"/>
      <c r="G257" s="51">
        <f t="shared" si="300"/>
        <v>0</v>
      </c>
      <c r="H257" s="52" t="e">
        <f t="shared" si="301"/>
        <v>#DIV/0!</v>
      </c>
      <c r="I257" s="53">
        <f>COUNTIFS('00 Encuesta'!$B$2:$B$511,"*e)*",'00 Encuesta'!$C$2:$C$511,"*a)*",'00 Encuesta'!$E$2:$E$511,"*a)*",'00 Encuesta'!$AG$2:$AG$511,"*f)*")</f>
        <v>0</v>
      </c>
      <c r="J257" s="52" t="e">
        <f t="shared" si="302"/>
        <v>#DIV/0!</v>
      </c>
      <c r="K257" s="53">
        <f>COUNTIFS('00 Encuesta'!$B$2:$B$511,"*e)*",'00 Encuesta'!$C$2:$C$511,"*a)*",'00 Encuesta'!$E$2:$E$511,"*b)*",'00 Encuesta'!$AG$2:$AG$511,"*f)*")</f>
        <v>0</v>
      </c>
      <c r="L257" s="52" t="e">
        <f t="shared" si="303"/>
        <v>#DIV/0!</v>
      </c>
      <c r="M257" s="23"/>
      <c r="N257" s="51">
        <f t="shared" si="304"/>
        <v>0</v>
      </c>
      <c r="O257" s="52" t="e">
        <f t="shared" si="305"/>
        <v>#DIV/0!</v>
      </c>
      <c r="P257" s="53">
        <f>COUNTIFS('00 Encuesta'!$B$2:$B$511,"*e)*",'00 Encuesta'!$C$2:$C$511,"*b)*",'00 Encuesta'!$E$2:$E$511,"*a)*",'00 Encuesta'!$AG$2:$AG$511,"*f)*")</f>
        <v>0</v>
      </c>
      <c r="Q257" s="52" t="e">
        <f t="shared" si="306"/>
        <v>#DIV/0!</v>
      </c>
      <c r="R257" s="53">
        <f>COUNTIFS('00 Encuesta'!$B$2:$B$511,"*e)*",'00 Encuesta'!$C$2:$C$511,"*b)*",'00 Encuesta'!$E$2:$E$511,"*b)*",'00 Encuesta'!$AG$2:$AG$511,"*f)*")</f>
        <v>0</v>
      </c>
      <c r="S257" s="52" t="e">
        <f t="shared" si="307"/>
        <v>#DIV/0!</v>
      </c>
      <c r="T257" s="3"/>
      <c r="U257" s="51">
        <f t="shared" si="308"/>
        <v>0</v>
      </c>
      <c r="V257" s="52" t="e">
        <f t="shared" si="309"/>
        <v>#DIV/0!</v>
      </c>
      <c r="W257" s="53">
        <f>COUNTIFS('00 Encuesta'!$B$2:$B$511,"*e)*",'00 Encuesta'!$C$2:$C$511,"*c)*",'00 Encuesta'!$E$2:$E$511,"*a)*",'00 Encuesta'!$AG$2:$AG$511,"*f)*")</f>
        <v>0</v>
      </c>
      <c r="X257" s="52" t="e">
        <f t="shared" si="310"/>
        <v>#DIV/0!</v>
      </c>
      <c r="Y257" s="53">
        <f>COUNTIFS('00 Encuesta'!$B$2:$B$511,"*e)*",'00 Encuesta'!$C$2:$C$511,"*c)*",'00 Encuesta'!$E$2:$E$511,"*b)*",'00 Encuesta'!$AG$2:$AG$511,"*f)*")</f>
        <v>0</v>
      </c>
      <c r="Z257" s="52" t="e">
        <f t="shared" si="311"/>
        <v>#DIV/0!</v>
      </c>
      <c r="AA257" s="3"/>
      <c r="AB257" s="62">
        <f t="shared" si="312"/>
        <v>0</v>
      </c>
      <c r="AC257" s="52" t="e">
        <f t="shared" si="313"/>
        <v>#DIV/0!</v>
      </c>
      <c r="AD257" s="3"/>
      <c r="AE257" s="3"/>
      <c r="AF257" s="9" t="str">
        <f t="shared" si="314"/>
        <v>f) La igualdad de trato que se da a todos</v>
      </c>
      <c r="AG257" s="72" t="e">
        <f t="shared" si="315"/>
        <v>#DIV/0!</v>
      </c>
      <c r="AH257" s="72" t="e">
        <f t="shared" si="316"/>
        <v>#DIV/0!</v>
      </c>
      <c r="AI257" s="73" t="e">
        <f t="shared" si="317"/>
        <v>#DIV/0!</v>
      </c>
      <c r="AJ257" s="73"/>
      <c r="AK257" s="76" t="e">
        <f t="shared" si="318"/>
        <v>#DIV/0!</v>
      </c>
      <c r="AL257" s="76" t="e">
        <f t="shared" si="319"/>
        <v>#DIV/0!</v>
      </c>
      <c r="AM257" s="76" t="e">
        <f t="shared" si="320"/>
        <v>#DIV/0!</v>
      </c>
      <c r="AN257" s="76"/>
      <c r="AO257" s="81" t="e">
        <f t="shared" si="321"/>
        <v>#DIV/0!</v>
      </c>
      <c r="AP257" s="81" t="e">
        <f t="shared" si="322"/>
        <v>#DIV/0!</v>
      </c>
      <c r="AQ257" s="81" t="e">
        <f t="shared" si="323"/>
        <v>#DIV/0!</v>
      </c>
      <c r="AR257" s="3"/>
      <c r="AS257" s="76" t="e">
        <f t="shared" si="227"/>
        <v>#DIV/0!</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0</v>
      </c>
      <c r="H258" s="52" t="e">
        <f t="shared" si="301"/>
        <v>#DIV/0!</v>
      </c>
      <c r="I258" s="53">
        <f>COUNTIFS('00 Encuesta'!$B$2:$B$511,"*e)*",'00 Encuesta'!$C$2:$C$511,"*a)*",'00 Encuesta'!$E$2:$E$511,"*a)*",'00 Encuesta'!$AG$2:$AG$511,"*g)*")</f>
        <v>0</v>
      </c>
      <c r="J258" s="52" t="e">
        <f t="shared" si="302"/>
        <v>#DIV/0!</v>
      </c>
      <c r="K258" s="53">
        <f>COUNTIFS('00 Encuesta'!$B$2:$B$511,"*e)*",'00 Encuesta'!$C$2:$C$511,"*a)*",'00 Encuesta'!$E$2:$E$511,"*b)*",'00 Encuesta'!$AG$2:$AG$511,"*g)*")</f>
        <v>0</v>
      </c>
      <c r="L258" s="52" t="e">
        <f t="shared" si="303"/>
        <v>#DIV/0!</v>
      </c>
      <c r="M258" s="23"/>
      <c r="N258" s="51">
        <f t="shared" si="304"/>
        <v>0</v>
      </c>
      <c r="O258" s="52" t="e">
        <f t="shared" si="305"/>
        <v>#DIV/0!</v>
      </c>
      <c r="P258" s="53">
        <f>COUNTIFS('00 Encuesta'!$B$2:$B$511,"*e)*",'00 Encuesta'!$C$2:$C$511,"*b)*",'00 Encuesta'!$E$2:$E$511,"*a)*",'00 Encuesta'!$AG$2:$AG$511,"*g)*")</f>
        <v>0</v>
      </c>
      <c r="Q258" s="52" t="e">
        <f t="shared" si="306"/>
        <v>#DIV/0!</v>
      </c>
      <c r="R258" s="53">
        <f>COUNTIFS('00 Encuesta'!$B$2:$B$511,"*e)*",'00 Encuesta'!$C$2:$C$511,"*b)*",'00 Encuesta'!$E$2:$E$511,"*b)*",'00 Encuesta'!$AG$2:$AG$511,"*g)*")</f>
        <v>0</v>
      </c>
      <c r="S258" s="52" t="e">
        <f t="shared" si="307"/>
        <v>#DIV/0!</v>
      </c>
      <c r="T258" s="3"/>
      <c r="U258" s="51">
        <f t="shared" si="308"/>
        <v>0</v>
      </c>
      <c r="V258" s="52" t="e">
        <f t="shared" si="309"/>
        <v>#DIV/0!</v>
      </c>
      <c r="W258" s="53">
        <f>COUNTIFS('00 Encuesta'!$B$2:$B$511,"*e)*",'00 Encuesta'!$C$2:$C$511,"*c)*",'00 Encuesta'!$E$2:$E$511,"*a)*",'00 Encuesta'!$AG$2:$AG$511,"*g)*")</f>
        <v>0</v>
      </c>
      <c r="X258" s="52" t="e">
        <f t="shared" si="310"/>
        <v>#DIV/0!</v>
      </c>
      <c r="Y258" s="53">
        <f>COUNTIFS('00 Encuesta'!$B$2:$B$511,"*e)*",'00 Encuesta'!$C$2:$C$511,"*c)*",'00 Encuesta'!$E$2:$E$511,"*b)*",'00 Encuesta'!$AG$2:$AG$511,"*g)*")</f>
        <v>0</v>
      </c>
      <c r="Z258" s="52" t="e">
        <f t="shared" si="311"/>
        <v>#DIV/0!</v>
      </c>
      <c r="AA258" s="3"/>
      <c r="AB258" s="62">
        <f t="shared" si="312"/>
        <v>0</v>
      </c>
      <c r="AC258" s="52" t="e">
        <f t="shared" si="313"/>
        <v>#DIV/0!</v>
      </c>
      <c r="AD258" s="3"/>
      <c r="AE258" s="3"/>
      <c r="AF258" s="9" t="str">
        <f t="shared" si="314"/>
        <v>g) La relación con los docentes</v>
      </c>
      <c r="AG258" s="72" t="e">
        <f t="shared" si="315"/>
        <v>#DIV/0!</v>
      </c>
      <c r="AH258" s="72" t="e">
        <f t="shared" si="316"/>
        <v>#DIV/0!</v>
      </c>
      <c r="AI258" s="73" t="e">
        <f t="shared" si="317"/>
        <v>#DIV/0!</v>
      </c>
      <c r="AJ258" s="73"/>
      <c r="AK258" s="76" t="e">
        <f t="shared" si="318"/>
        <v>#DIV/0!</v>
      </c>
      <c r="AL258" s="76" t="e">
        <f t="shared" si="319"/>
        <v>#DIV/0!</v>
      </c>
      <c r="AM258" s="76" t="e">
        <f t="shared" si="320"/>
        <v>#DIV/0!</v>
      </c>
      <c r="AN258" s="76"/>
      <c r="AO258" s="81" t="e">
        <f t="shared" si="321"/>
        <v>#DIV/0!</v>
      </c>
      <c r="AP258" s="81" t="e">
        <f t="shared" si="322"/>
        <v>#DIV/0!</v>
      </c>
      <c r="AQ258" s="81" t="e">
        <f t="shared" si="323"/>
        <v>#DIV/0!</v>
      </c>
      <c r="AR258" s="3"/>
      <c r="AS258" s="76" t="e">
        <f t="shared" si="227"/>
        <v>#DIV/0!</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x14ac:dyDescent="0.3">
      <c r="A259" s="8" t="s">
        <v>63</v>
      </c>
      <c r="B259" s="9" t="s">
        <v>189</v>
      </c>
      <c r="C259" s="7"/>
      <c r="D259" s="7"/>
      <c r="E259" s="7"/>
      <c r="F259" s="71"/>
      <c r="G259" s="51">
        <f t="shared" si="300"/>
        <v>0</v>
      </c>
      <c r="H259" s="52" t="e">
        <f t="shared" si="301"/>
        <v>#DIV/0!</v>
      </c>
      <c r="I259" s="53">
        <f>COUNTIFS('00 Encuesta'!$B$2:$B$511,"*e)*",'00 Encuesta'!$C$2:$C$511,"*a)*",'00 Encuesta'!$E$2:$E$511,"*a)*",'00 Encuesta'!$AG$2:$AG$511,"*h)*")</f>
        <v>0</v>
      </c>
      <c r="J259" s="52" t="e">
        <f t="shared" si="302"/>
        <v>#DIV/0!</v>
      </c>
      <c r="K259" s="53">
        <f>COUNTIFS('00 Encuesta'!$B$2:$B$511,"*e)*",'00 Encuesta'!$C$2:$C$511,"*a)*",'00 Encuesta'!$E$2:$E$511,"*b)*",'00 Encuesta'!$AG$2:$AG$511,"*h)*")</f>
        <v>0</v>
      </c>
      <c r="L259" s="52" t="e">
        <f t="shared" si="303"/>
        <v>#DIV/0!</v>
      </c>
      <c r="M259" s="23"/>
      <c r="N259" s="51">
        <f t="shared" si="304"/>
        <v>0</v>
      </c>
      <c r="O259" s="52" t="e">
        <f t="shared" si="305"/>
        <v>#DIV/0!</v>
      </c>
      <c r="P259" s="53">
        <f>COUNTIFS('00 Encuesta'!$B$2:$B$511,"*e)*",'00 Encuesta'!$C$2:$C$511,"*b)*",'00 Encuesta'!$E$2:$E$511,"*a)*",'00 Encuesta'!$AG$2:$AG$511,"*h)*")</f>
        <v>0</v>
      </c>
      <c r="Q259" s="52" t="e">
        <f t="shared" si="306"/>
        <v>#DIV/0!</v>
      </c>
      <c r="R259" s="53">
        <f>COUNTIFS('00 Encuesta'!$B$2:$B$511,"*e)*",'00 Encuesta'!$C$2:$C$511,"*b)*",'00 Encuesta'!$E$2:$E$511,"*b)*",'00 Encuesta'!$AG$2:$AG$511,"*h)*")</f>
        <v>0</v>
      </c>
      <c r="S259" s="52" t="e">
        <f t="shared" si="307"/>
        <v>#DIV/0!</v>
      </c>
      <c r="T259" s="3"/>
      <c r="U259" s="51">
        <f t="shared" si="308"/>
        <v>0</v>
      </c>
      <c r="V259" s="52" t="e">
        <f t="shared" si="309"/>
        <v>#DIV/0!</v>
      </c>
      <c r="W259" s="53">
        <f>COUNTIFS('00 Encuesta'!$B$2:$B$511,"*e)*",'00 Encuesta'!$C$2:$C$511,"*c)*",'00 Encuesta'!$E$2:$E$511,"*a)*",'00 Encuesta'!$AG$2:$AG$511,"*h)*")</f>
        <v>0</v>
      </c>
      <c r="X259" s="52" t="e">
        <f t="shared" si="310"/>
        <v>#DIV/0!</v>
      </c>
      <c r="Y259" s="53">
        <f>COUNTIFS('00 Encuesta'!$B$2:$B$511,"*e)*",'00 Encuesta'!$C$2:$C$511,"*c)*",'00 Encuesta'!$E$2:$E$511,"*b)*",'00 Encuesta'!$AG$2:$AG$511,"*h)*")</f>
        <v>0</v>
      </c>
      <c r="Z259" s="52" t="e">
        <f t="shared" si="311"/>
        <v>#DIV/0!</v>
      </c>
      <c r="AA259" s="3"/>
      <c r="AB259" s="62">
        <f t="shared" si="312"/>
        <v>0</v>
      </c>
      <c r="AC259" s="52" t="e">
        <f t="shared" si="313"/>
        <v>#DIV/0!</v>
      </c>
      <c r="AD259" s="3"/>
      <c r="AE259" s="3"/>
      <c r="AF259" s="9" t="str">
        <f t="shared" si="314"/>
        <v>h) Las actividades extraescolares</v>
      </c>
      <c r="AG259" s="72" t="e">
        <f t="shared" si="315"/>
        <v>#DIV/0!</v>
      </c>
      <c r="AH259" s="72" t="e">
        <f t="shared" si="316"/>
        <v>#DIV/0!</v>
      </c>
      <c r="AI259" s="73" t="e">
        <f t="shared" si="317"/>
        <v>#DIV/0!</v>
      </c>
      <c r="AJ259" s="73"/>
      <c r="AK259" s="76" t="e">
        <f t="shared" si="318"/>
        <v>#DIV/0!</v>
      </c>
      <c r="AL259" s="76" t="e">
        <f t="shared" si="319"/>
        <v>#DIV/0!</v>
      </c>
      <c r="AM259" s="76" t="e">
        <f t="shared" si="320"/>
        <v>#DIV/0!</v>
      </c>
      <c r="AN259" s="76"/>
      <c r="AO259" s="81" t="e">
        <f t="shared" si="321"/>
        <v>#DIV/0!</v>
      </c>
      <c r="AP259" s="81" t="e">
        <f t="shared" si="322"/>
        <v>#DIV/0!</v>
      </c>
      <c r="AQ259" s="81" t="e">
        <f t="shared" si="323"/>
        <v>#DIV/0!</v>
      </c>
      <c r="AR259" s="3"/>
      <c r="AS259" s="76" t="e">
        <f t="shared" si="227"/>
        <v>#DIV/0!</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x14ac:dyDescent="0.3">
      <c r="A260" s="8" t="s">
        <v>65</v>
      </c>
      <c r="B260" s="9" t="s">
        <v>190</v>
      </c>
      <c r="C260" s="7"/>
      <c r="D260" s="7"/>
      <c r="E260" s="7"/>
      <c r="F260" s="71"/>
      <c r="G260" s="51">
        <f t="shared" si="300"/>
        <v>0</v>
      </c>
      <c r="H260" s="52" t="e">
        <f t="shared" si="301"/>
        <v>#DIV/0!</v>
      </c>
      <c r="I260" s="53">
        <f>COUNTIFS('00 Encuesta'!$B$2:$B$511,"*e)*",'00 Encuesta'!$C$2:$C$511,"*a)*",'00 Encuesta'!$E$2:$E$511,"*a)*",'00 Encuesta'!$AG$2:$AG$511,"*i)*")</f>
        <v>0</v>
      </c>
      <c r="J260" s="52" t="e">
        <f t="shared" si="302"/>
        <v>#DIV/0!</v>
      </c>
      <c r="K260" s="53">
        <f>COUNTIFS('00 Encuesta'!$B$2:$B$511,"*e)*",'00 Encuesta'!$C$2:$C$511,"*a)*",'00 Encuesta'!$E$2:$E$511,"*b)*",'00 Encuesta'!$AG$2:$AG$511,"*i)*")</f>
        <v>0</v>
      </c>
      <c r="L260" s="52" t="e">
        <f t="shared" si="303"/>
        <v>#DIV/0!</v>
      </c>
      <c r="M260" s="23"/>
      <c r="N260" s="51">
        <f t="shared" si="304"/>
        <v>0</v>
      </c>
      <c r="O260" s="52" t="e">
        <f t="shared" si="305"/>
        <v>#DIV/0!</v>
      </c>
      <c r="P260" s="53">
        <f>COUNTIFS('00 Encuesta'!$B$2:$B$511,"*e)*",'00 Encuesta'!$C$2:$C$511,"*b)*",'00 Encuesta'!$E$2:$E$511,"*a)*",'00 Encuesta'!$AG$2:$AG$511,"*i)*")</f>
        <v>0</v>
      </c>
      <c r="Q260" s="52" t="e">
        <f t="shared" si="306"/>
        <v>#DIV/0!</v>
      </c>
      <c r="R260" s="53">
        <f>COUNTIFS('00 Encuesta'!$B$2:$B$511,"*e)*",'00 Encuesta'!$C$2:$C$511,"*b)*",'00 Encuesta'!$E$2:$E$511,"*b)*",'00 Encuesta'!$AG$2:$AG$511,"*i)*")</f>
        <v>0</v>
      </c>
      <c r="S260" s="52" t="e">
        <f t="shared" si="307"/>
        <v>#DIV/0!</v>
      </c>
      <c r="T260" s="3"/>
      <c r="U260" s="51">
        <f t="shared" si="308"/>
        <v>0</v>
      </c>
      <c r="V260" s="52" t="e">
        <f t="shared" si="309"/>
        <v>#DIV/0!</v>
      </c>
      <c r="W260" s="53">
        <f>COUNTIFS('00 Encuesta'!$B$2:$B$511,"*e)*",'00 Encuesta'!$C$2:$C$511,"*c)*",'00 Encuesta'!$E$2:$E$511,"*a)*",'00 Encuesta'!$AG$2:$AG$511,"*i)*")</f>
        <v>0</v>
      </c>
      <c r="X260" s="52" t="e">
        <f t="shared" si="310"/>
        <v>#DIV/0!</v>
      </c>
      <c r="Y260" s="53">
        <f>COUNTIFS('00 Encuesta'!$B$2:$B$511,"*e)*",'00 Encuesta'!$C$2:$C$511,"*c)*",'00 Encuesta'!$E$2:$E$511,"*b)*",'00 Encuesta'!$AG$2:$AG$511,"*i)*")</f>
        <v>0</v>
      </c>
      <c r="Z260" s="52" t="e">
        <f t="shared" si="311"/>
        <v>#DIV/0!</v>
      </c>
      <c r="AA260" s="3"/>
      <c r="AB260" s="62">
        <f t="shared" si="312"/>
        <v>0</v>
      </c>
      <c r="AC260" s="52" t="e">
        <f t="shared" si="313"/>
        <v>#DIV/0!</v>
      </c>
      <c r="AD260" s="3"/>
      <c r="AE260" s="3"/>
      <c r="AF260" s="9" t="str">
        <f t="shared" si="314"/>
        <v>i) No me gusta nada</v>
      </c>
      <c r="AG260" s="72" t="e">
        <f t="shared" si="315"/>
        <v>#DIV/0!</v>
      </c>
      <c r="AH260" s="72" t="e">
        <f t="shared" si="316"/>
        <v>#DIV/0!</v>
      </c>
      <c r="AI260" s="73" t="e">
        <f t="shared" si="317"/>
        <v>#DIV/0!</v>
      </c>
      <c r="AJ260" s="73"/>
      <c r="AK260" s="76" t="e">
        <f t="shared" si="318"/>
        <v>#DIV/0!</v>
      </c>
      <c r="AL260" s="76" t="e">
        <f t="shared" si="319"/>
        <v>#DIV/0!</v>
      </c>
      <c r="AM260" s="76" t="e">
        <f t="shared" si="320"/>
        <v>#DIV/0!</v>
      </c>
      <c r="AN260" s="76"/>
      <c r="AO260" s="81" t="e">
        <f t="shared" si="321"/>
        <v>#DIV/0!</v>
      </c>
      <c r="AP260" s="81" t="e">
        <f t="shared" si="322"/>
        <v>#DIV/0!</v>
      </c>
      <c r="AQ260" s="81" t="e">
        <f t="shared" si="323"/>
        <v>#DIV/0!</v>
      </c>
      <c r="AR260" s="3"/>
      <c r="AS260" s="76" t="e">
        <f t="shared" si="227"/>
        <v>#DIV/0!</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x14ac:dyDescent="0.3">
      <c r="A261" s="8" t="s">
        <v>23</v>
      </c>
      <c r="B261" s="9" t="s">
        <v>24</v>
      </c>
      <c r="C261" s="7"/>
      <c r="D261" s="7"/>
      <c r="E261" s="7"/>
      <c r="F261" s="71"/>
      <c r="G261" s="51">
        <f t="shared" si="300"/>
        <v>0</v>
      </c>
      <c r="H261" s="52" t="e">
        <f t="shared" si="301"/>
        <v>#DIV/0!</v>
      </c>
      <c r="I261" s="53"/>
      <c r="J261" s="52" t="e">
        <f t="shared" si="302"/>
        <v>#DIV/0!</v>
      </c>
      <c r="K261" s="53"/>
      <c r="L261" s="52" t="e">
        <f t="shared" si="303"/>
        <v>#DIV/0!</v>
      </c>
      <c r="M261" s="23"/>
      <c r="N261" s="51">
        <f t="shared" si="304"/>
        <v>0</v>
      </c>
      <c r="O261" s="52" t="e">
        <f t="shared" si="305"/>
        <v>#DIV/0!</v>
      </c>
      <c r="P261" s="53"/>
      <c r="Q261" s="52" t="e">
        <f t="shared" si="306"/>
        <v>#DIV/0!</v>
      </c>
      <c r="R261" s="53"/>
      <c r="S261" s="52" t="e">
        <f t="shared" si="307"/>
        <v>#DIV/0!</v>
      </c>
      <c r="T261" s="3"/>
      <c r="U261" s="51">
        <f t="shared" si="308"/>
        <v>0</v>
      </c>
      <c r="V261" s="52" t="e">
        <f t="shared" si="309"/>
        <v>#DIV/0!</v>
      </c>
      <c r="W261" s="53"/>
      <c r="X261" s="52" t="e">
        <f t="shared" si="310"/>
        <v>#DIV/0!</v>
      </c>
      <c r="Y261" s="53"/>
      <c r="Z261" s="52" t="e">
        <f t="shared" si="311"/>
        <v>#DIV/0!</v>
      </c>
      <c r="AA261" s="3"/>
      <c r="AB261" s="62">
        <f t="shared" si="312"/>
        <v>0</v>
      </c>
      <c r="AC261" s="52" t="e">
        <f t="shared" si="313"/>
        <v>#DIV/0!</v>
      </c>
      <c r="AD261" s="3"/>
      <c r="AE261" s="3"/>
      <c r="AF261" s="9" t="str">
        <f t="shared" si="314"/>
        <v>S/R Sin Respuesta</v>
      </c>
      <c r="AG261" s="72" t="e">
        <f t="shared" si="315"/>
        <v>#DIV/0!</v>
      </c>
      <c r="AH261" s="72" t="e">
        <f t="shared" si="316"/>
        <v>#DIV/0!</v>
      </c>
      <c r="AI261" s="73" t="e">
        <f t="shared" si="317"/>
        <v>#DIV/0!</v>
      </c>
      <c r="AJ261" s="73"/>
      <c r="AK261" s="76" t="e">
        <f t="shared" si="318"/>
        <v>#DIV/0!</v>
      </c>
      <c r="AL261" s="76" t="e">
        <f t="shared" si="319"/>
        <v>#DIV/0!</v>
      </c>
      <c r="AM261" s="76" t="e">
        <f t="shared" si="320"/>
        <v>#DIV/0!</v>
      </c>
      <c r="AN261" s="76"/>
      <c r="AO261" s="81" t="e">
        <f t="shared" si="321"/>
        <v>#DIV/0!</v>
      </c>
      <c r="AP261" s="81" t="e">
        <f t="shared" si="322"/>
        <v>#DIV/0!</v>
      </c>
      <c r="AQ261" s="81" t="e">
        <f t="shared" si="323"/>
        <v>#DIV/0!</v>
      </c>
      <c r="AR261" s="3"/>
      <c r="AS261" s="76" t="e">
        <f t="shared" si="227"/>
        <v>#DIV/0!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x14ac:dyDescent="0.3">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x14ac:dyDescent="0.3">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x14ac:dyDescent="0.3">
      <c r="A264" s="8" t="s">
        <v>17</v>
      </c>
      <c r="B264" s="9" t="s">
        <v>192</v>
      </c>
      <c r="C264" s="7"/>
      <c r="D264" s="7"/>
      <c r="E264" s="7"/>
      <c r="F264" s="71"/>
      <c r="G264" s="51">
        <f t="shared" ref="G264:G270" si="324">I264+K264</f>
        <v>0</v>
      </c>
      <c r="H264" s="52" t="e">
        <f t="shared" ref="H264:H270" si="325">G264/$J$5*100</f>
        <v>#DIV/0!</v>
      </c>
      <c r="I264" s="53">
        <f>COUNTIFS('00 Encuesta'!$B$2:$B$511,"*e)*",'00 Encuesta'!$C$2:$C$511,"*a)*",'00 Encuesta'!$E$2:$E$511,"*a)*",'00 Encuesta'!$AI$2:$AI$511,"*a)*")</f>
        <v>0</v>
      </c>
      <c r="J264" s="52" t="e">
        <f t="shared" ref="J264:J270" si="326">I264/$J$6*100</f>
        <v>#DIV/0!</v>
      </c>
      <c r="K264" s="53">
        <f>COUNTIFS('00 Encuesta'!$B$2:$B$511,"*e)*",'00 Encuesta'!$C$2:$C$511,"*a)*",'00 Encuesta'!$E$2:$E$511,"*b)*",'00 Encuesta'!$AI$2:$AI$511,"*a)*")</f>
        <v>0</v>
      </c>
      <c r="L264" s="52" t="e">
        <f t="shared" ref="L264:L270" si="327">K264/$J$7*100</f>
        <v>#DIV/0!</v>
      </c>
      <c r="M264" s="23"/>
      <c r="N264" s="51">
        <f t="shared" ref="N264:N270" si="328">P264+R264</f>
        <v>0</v>
      </c>
      <c r="O264" s="52" t="e">
        <f t="shared" ref="O264:O270" si="329">N264/$Q$5*100</f>
        <v>#DIV/0!</v>
      </c>
      <c r="P264" s="53">
        <f>COUNTIFS('00 Encuesta'!$B$2:$B$511,"*e)*",'00 Encuesta'!$C$2:$C$511,"*b)*",'00 Encuesta'!$E$2:$E$511,"*a)*",'00 Encuesta'!$AI$2:$AI$511,"*a)*")</f>
        <v>0</v>
      </c>
      <c r="Q264" s="52" t="e">
        <f t="shared" ref="Q264:Q270" si="330">P264/$Q$6*100</f>
        <v>#DIV/0!</v>
      </c>
      <c r="R264" s="53">
        <f>COUNTIFS('00 Encuesta'!$B$2:$B$511,"*e)*",'00 Encuesta'!$C$2:$C$511,"*b)*",'00 Encuesta'!$E$2:$E$511,"*b)*",'00 Encuesta'!$AI$2:$AI$511,"*a)*")</f>
        <v>0</v>
      </c>
      <c r="S264" s="52" t="e">
        <f t="shared" ref="S264:S270" si="331">R264/$Q$7*100</f>
        <v>#DIV/0!</v>
      </c>
      <c r="T264" s="3"/>
      <c r="U264" s="51">
        <f t="shared" ref="U264:U270" si="332">W264+Y264</f>
        <v>0</v>
      </c>
      <c r="V264" s="52" t="e">
        <f t="shared" ref="V264:V270" si="333">U264/$X$5*100</f>
        <v>#DIV/0!</v>
      </c>
      <c r="W264" s="53">
        <f>COUNTIFS('00 Encuesta'!$B$2:$B$511,"*e)*",'00 Encuesta'!$C$2:$C$511,"*c)*",'00 Encuesta'!$E$2:$E$511,"*a)*",'00 Encuesta'!$AI$2:$AI$511,"*a)*")</f>
        <v>0</v>
      </c>
      <c r="X264" s="52" t="e">
        <f t="shared" ref="X264:X270" si="334">W264/$X$6*100</f>
        <v>#DIV/0!</v>
      </c>
      <c r="Y264" s="53">
        <f>COUNTIFS('00 Encuesta'!$B$2:$B$511,"*e)*",'00 Encuesta'!$C$2:$C$511,"*c)*",'00 Encuesta'!$E$2:$E$511,"*b)*",'00 Encuesta'!$AI$2:$AI$511,"*a)*")</f>
        <v>0</v>
      </c>
      <c r="Z264" s="52" t="e">
        <f t="shared" ref="Z264:Z270" si="335">Y264/$X$7*100</f>
        <v>#DIV/0!</v>
      </c>
      <c r="AA264" s="3"/>
      <c r="AB264" s="62">
        <f t="shared" ref="AB264:AB270" si="336">G264+N264+U264</f>
        <v>0</v>
      </c>
      <c r="AC264" s="52" t="e">
        <f t="shared" ref="AC264:AC270" si="337">AB264*100/$AC$5</f>
        <v>#DIV/0!</v>
      </c>
      <c r="AD264" s="3"/>
      <c r="AE264" s="3"/>
      <c r="AF264" s="9" t="str">
        <f t="shared" ref="AF264:AF270" si="338">A264&amp;" "&amp;B264</f>
        <v>a) De 0 a 2 horas</v>
      </c>
      <c r="AG264" s="72" t="e">
        <f t="shared" ref="AG264:AG270" si="339">J264</f>
        <v>#DIV/0!</v>
      </c>
      <c r="AH264" s="72" t="e">
        <f t="shared" ref="AH264:AH270" si="340">L264</f>
        <v>#DIV/0!</v>
      </c>
      <c r="AI264" s="73" t="e">
        <f t="shared" ref="AI264:AI270" si="341">H264</f>
        <v>#DIV/0!</v>
      </c>
      <c r="AJ264" s="73"/>
      <c r="AK264" s="76" t="e">
        <f t="shared" ref="AK264:AK270" si="342">Q264</f>
        <v>#DIV/0!</v>
      </c>
      <c r="AL264" s="76" t="e">
        <f t="shared" ref="AL264:AL270" si="343">S264</f>
        <v>#DIV/0!</v>
      </c>
      <c r="AM264" s="76" t="e">
        <f t="shared" ref="AM264:AM270" si="344">O264</f>
        <v>#DIV/0!</v>
      </c>
      <c r="AN264" s="76"/>
      <c r="AO264" s="81" t="e">
        <f t="shared" ref="AO264:AO270" si="345">X264</f>
        <v>#DIV/0!</v>
      </c>
      <c r="AP264" s="81" t="e">
        <f t="shared" ref="AP264:AP270" si="346">Z264</f>
        <v>#DIV/0!</v>
      </c>
      <c r="AQ264" s="81" t="e">
        <f t="shared" ref="AQ264:AQ270" si="347">V264</f>
        <v>#DIV/0!</v>
      </c>
      <c r="AR264" s="3"/>
      <c r="AS264" s="76" t="e">
        <f t="shared" si="227"/>
        <v>#DIV/0!</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x14ac:dyDescent="0.3">
      <c r="A265" s="8" t="s">
        <v>18</v>
      </c>
      <c r="B265" s="9" t="s">
        <v>193</v>
      </c>
      <c r="C265" s="7"/>
      <c r="D265" s="7"/>
      <c r="E265" s="7"/>
      <c r="F265" s="71"/>
      <c r="G265" s="51">
        <f t="shared" si="324"/>
        <v>0</v>
      </c>
      <c r="H265" s="52" t="e">
        <f t="shared" si="325"/>
        <v>#DIV/0!</v>
      </c>
      <c r="I265" s="53">
        <f>COUNTIFS('00 Encuesta'!$B$2:$B$511,"*e)*",'00 Encuesta'!$C$2:$C$511,"*a)*",'00 Encuesta'!$E$2:$E$511,"*a)*",'00 Encuesta'!$AI$2:$AI$511,"*b)*")</f>
        <v>0</v>
      </c>
      <c r="J265" s="52" t="e">
        <f t="shared" si="326"/>
        <v>#DIV/0!</v>
      </c>
      <c r="K265" s="53">
        <f>COUNTIFS('00 Encuesta'!$B$2:$B$511,"*e)*",'00 Encuesta'!$C$2:$C$511,"*a)*",'00 Encuesta'!$E$2:$E$511,"*b)*",'00 Encuesta'!$AI$2:$AI$511,"*b)*")</f>
        <v>0</v>
      </c>
      <c r="L265" s="52" t="e">
        <f t="shared" si="327"/>
        <v>#DIV/0!</v>
      </c>
      <c r="M265" s="23"/>
      <c r="N265" s="51">
        <f t="shared" si="328"/>
        <v>0</v>
      </c>
      <c r="O265" s="52" t="e">
        <f t="shared" si="329"/>
        <v>#DIV/0!</v>
      </c>
      <c r="P265" s="53">
        <f>COUNTIFS('00 Encuesta'!$B$2:$B$511,"*e)*",'00 Encuesta'!$C$2:$C$511,"*b)*",'00 Encuesta'!$E$2:$E$511,"*a)*",'00 Encuesta'!$AI$2:$AI$511,"*b)*")</f>
        <v>0</v>
      </c>
      <c r="Q265" s="52" t="e">
        <f t="shared" si="330"/>
        <v>#DIV/0!</v>
      </c>
      <c r="R265" s="53">
        <f>COUNTIFS('00 Encuesta'!$B$2:$B$511,"*e)*",'00 Encuesta'!$C$2:$C$511,"*b)*",'00 Encuesta'!$E$2:$E$511,"*b)*",'00 Encuesta'!$AI$2:$AI$511,"*b)*")</f>
        <v>0</v>
      </c>
      <c r="S265" s="52" t="e">
        <f t="shared" si="331"/>
        <v>#DIV/0!</v>
      </c>
      <c r="T265" s="3"/>
      <c r="U265" s="51">
        <f t="shared" si="332"/>
        <v>0</v>
      </c>
      <c r="V265" s="52" t="e">
        <f t="shared" si="333"/>
        <v>#DIV/0!</v>
      </c>
      <c r="W265" s="53">
        <f>COUNTIFS('00 Encuesta'!$B$2:$B$511,"*e)*",'00 Encuesta'!$C$2:$C$511,"*c)*",'00 Encuesta'!$E$2:$E$511,"*a)*",'00 Encuesta'!$AI$2:$AI$511,"*b)*")</f>
        <v>0</v>
      </c>
      <c r="X265" s="52" t="e">
        <f t="shared" si="334"/>
        <v>#DIV/0!</v>
      </c>
      <c r="Y265" s="53">
        <f>COUNTIFS('00 Encuesta'!$B$2:$B$511,"*e)*",'00 Encuesta'!$C$2:$C$511,"*c)*",'00 Encuesta'!$E$2:$E$511,"*b)*",'00 Encuesta'!$AI$2:$AI$511,"*b)*")</f>
        <v>0</v>
      </c>
      <c r="Z265" s="52" t="e">
        <f t="shared" si="335"/>
        <v>#DIV/0!</v>
      </c>
      <c r="AA265" s="3"/>
      <c r="AB265" s="62">
        <f t="shared" si="336"/>
        <v>0</v>
      </c>
      <c r="AC265" s="52" t="e">
        <f t="shared" si="337"/>
        <v>#DIV/0!</v>
      </c>
      <c r="AD265" s="3"/>
      <c r="AE265" s="3"/>
      <c r="AF265" s="9" t="str">
        <f t="shared" si="338"/>
        <v>b) De 3 a 4 horas</v>
      </c>
      <c r="AG265" s="72" t="e">
        <f t="shared" si="339"/>
        <v>#DIV/0!</v>
      </c>
      <c r="AH265" s="72" t="e">
        <f t="shared" si="340"/>
        <v>#DIV/0!</v>
      </c>
      <c r="AI265" s="73" t="e">
        <f t="shared" si="341"/>
        <v>#DIV/0!</v>
      </c>
      <c r="AJ265" s="73"/>
      <c r="AK265" s="76" t="e">
        <f t="shared" si="342"/>
        <v>#DIV/0!</v>
      </c>
      <c r="AL265" s="76" t="e">
        <f t="shared" si="343"/>
        <v>#DIV/0!</v>
      </c>
      <c r="AM265" s="76" t="e">
        <f t="shared" si="344"/>
        <v>#DIV/0!</v>
      </c>
      <c r="AN265" s="76"/>
      <c r="AO265" s="81" t="e">
        <f t="shared" si="345"/>
        <v>#DIV/0!</v>
      </c>
      <c r="AP265" s="81" t="e">
        <f t="shared" si="346"/>
        <v>#DIV/0!</v>
      </c>
      <c r="AQ265" s="81" t="e">
        <f t="shared" si="347"/>
        <v>#DIV/0!</v>
      </c>
      <c r="AR265" s="3"/>
      <c r="AS265" s="76" t="e">
        <f t="shared" si="227"/>
        <v>#DIV/0!</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x14ac:dyDescent="0.3">
      <c r="A266" s="8" t="s">
        <v>20</v>
      </c>
      <c r="B266" s="9" t="s">
        <v>194</v>
      </c>
      <c r="C266" s="7"/>
      <c r="D266" s="7"/>
      <c r="E266" s="7"/>
      <c r="F266" s="71"/>
      <c r="G266" s="51">
        <f t="shared" si="324"/>
        <v>0</v>
      </c>
      <c r="H266" s="52" t="e">
        <f t="shared" si="325"/>
        <v>#DIV/0!</v>
      </c>
      <c r="I266" s="53">
        <f>COUNTIFS('00 Encuesta'!$B$2:$B$511,"*e)*",'00 Encuesta'!$C$2:$C$511,"*a)*",'00 Encuesta'!$E$2:$E$511,"*a)*",'00 Encuesta'!$AI$2:$AI$511,"*c)*")</f>
        <v>0</v>
      </c>
      <c r="J266" s="52" t="e">
        <f t="shared" si="326"/>
        <v>#DIV/0!</v>
      </c>
      <c r="K266" s="53">
        <f>COUNTIFS('00 Encuesta'!$B$2:$B$511,"*e)*",'00 Encuesta'!$C$2:$C$511,"*a)*",'00 Encuesta'!$E$2:$E$511,"*b)*",'00 Encuesta'!$AI$2:$AI$511,"*c)*")</f>
        <v>0</v>
      </c>
      <c r="L266" s="52" t="e">
        <f t="shared" si="327"/>
        <v>#DIV/0!</v>
      </c>
      <c r="M266" s="23"/>
      <c r="N266" s="51">
        <f t="shared" si="328"/>
        <v>0</v>
      </c>
      <c r="O266" s="52" t="e">
        <f t="shared" si="329"/>
        <v>#DIV/0!</v>
      </c>
      <c r="P266" s="53">
        <f>COUNTIFS('00 Encuesta'!$B$2:$B$511,"*e)*",'00 Encuesta'!$C$2:$C$511,"*b)*",'00 Encuesta'!$E$2:$E$511,"*a)*",'00 Encuesta'!$AI$2:$AI$511,"*c)*")</f>
        <v>0</v>
      </c>
      <c r="Q266" s="52" t="e">
        <f t="shared" si="330"/>
        <v>#DIV/0!</v>
      </c>
      <c r="R266" s="53">
        <f>COUNTIFS('00 Encuesta'!$B$2:$B$511,"*e)*",'00 Encuesta'!$C$2:$C$511,"*b)*",'00 Encuesta'!$E$2:$E$511,"*b)*",'00 Encuesta'!$AI$2:$AI$511,"*c)*")</f>
        <v>0</v>
      </c>
      <c r="S266" s="52" t="e">
        <f t="shared" si="331"/>
        <v>#DIV/0!</v>
      </c>
      <c r="T266" s="3"/>
      <c r="U266" s="51">
        <f t="shared" si="332"/>
        <v>0</v>
      </c>
      <c r="V266" s="52" t="e">
        <f t="shared" si="333"/>
        <v>#DIV/0!</v>
      </c>
      <c r="W266" s="53">
        <f>COUNTIFS('00 Encuesta'!$B$2:$B$511,"*e)*",'00 Encuesta'!$C$2:$C$511,"*c)*",'00 Encuesta'!$E$2:$E$511,"*a)*",'00 Encuesta'!$AI$2:$AI$511,"*c)*")</f>
        <v>0</v>
      </c>
      <c r="X266" s="52" t="e">
        <f t="shared" si="334"/>
        <v>#DIV/0!</v>
      </c>
      <c r="Y266" s="53">
        <f>COUNTIFS('00 Encuesta'!$B$2:$B$511,"*e)*",'00 Encuesta'!$C$2:$C$511,"*c)*",'00 Encuesta'!$E$2:$E$511,"*b)*",'00 Encuesta'!$AI$2:$AI$511,"*c)*")</f>
        <v>0</v>
      </c>
      <c r="Z266" s="52" t="e">
        <f t="shared" si="335"/>
        <v>#DIV/0!</v>
      </c>
      <c r="AA266" s="3"/>
      <c r="AB266" s="62">
        <f t="shared" si="336"/>
        <v>0</v>
      </c>
      <c r="AC266" s="52" t="e">
        <f t="shared" si="337"/>
        <v>#DIV/0!</v>
      </c>
      <c r="AD266" s="3"/>
      <c r="AE266" s="3"/>
      <c r="AF266" s="9" t="str">
        <f t="shared" si="338"/>
        <v>c) De 5 a 6 horas</v>
      </c>
      <c r="AG266" s="72" t="e">
        <f t="shared" si="339"/>
        <v>#DIV/0!</v>
      </c>
      <c r="AH266" s="72" t="e">
        <f t="shared" si="340"/>
        <v>#DIV/0!</v>
      </c>
      <c r="AI266" s="73" t="e">
        <f t="shared" si="341"/>
        <v>#DIV/0!</v>
      </c>
      <c r="AJ266" s="73"/>
      <c r="AK266" s="76" t="e">
        <f t="shared" si="342"/>
        <v>#DIV/0!</v>
      </c>
      <c r="AL266" s="76" t="e">
        <f t="shared" si="343"/>
        <v>#DIV/0!</v>
      </c>
      <c r="AM266" s="76" t="e">
        <f t="shared" si="344"/>
        <v>#DIV/0!</v>
      </c>
      <c r="AN266" s="76"/>
      <c r="AO266" s="81" t="e">
        <f t="shared" si="345"/>
        <v>#DIV/0!</v>
      </c>
      <c r="AP266" s="81" t="e">
        <f t="shared" si="346"/>
        <v>#DIV/0!</v>
      </c>
      <c r="AQ266" s="81" t="e">
        <f t="shared" si="347"/>
        <v>#DIV/0!</v>
      </c>
      <c r="AR266" s="3"/>
      <c r="AS266" s="76" t="e">
        <f t="shared" si="227"/>
        <v>#DIV/0!</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x14ac:dyDescent="0.3">
      <c r="A267" s="8" t="s">
        <v>21</v>
      </c>
      <c r="B267" s="9" t="s">
        <v>195</v>
      </c>
      <c r="C267" s="7"/>
      <c r="D267" s="7"/>
      <c r="E267" s="7"/>
      <c r="F267" s="71"/>
      <c r="G267" s="51">
        <f t="shared" si="324"/>
        <v>0</v>
      </c>
      <c r="H267" s="52" t="e">
        <f t="shared" si="325"/>
        <v>#DIV/0!</v>
      </c>
      <c r="I267" s="53">
        <f>COUNTIFS('00 Encuesta'!$B$2:$B$511,"*e)*",'00 Encuesta'!$C$2:$C$511,"*a)*",'00 Encuesta'!$E$2:$E$511,"*a)*",'00 Encuesta'!$AI$2:$AI$511,"*d)*")</f>
        <v>0</v>
      </c>
      <c r="J267" s="52" t="e">
        <f t="shared" si="326"/>
        <v>#DIV/0!</v>
      </c>
      <c r="K267" s="53">
        <f>COUNTIFS('00 Encuesta'!$B$2:$B$511,"*e)*",'00 Encuesta'!$C$2:$C$511,"*a)*",'00 Encuesta'!$E$2:$E$511,"*b)*",'00 Encuesta'!$AI$2:$AI$511,"*d)*")</f>
        <v>0</v>
      </c>
      <c r="L267" s="52" t="e">
        <f t="shared" si="327"/>
        <v>#DIV/0!</v>
      </c>
      <c r="M267" s="23"/>
      <c r="N267" s="51">
        <f t="shared" si="328"/>
        <v>0</v>
      </c>
      <c r="O267" s="52" t="e">
        <f t="shared" si="329"/>
        <v>#DIV/0!</v>
      </c>
      <c r="P267" s="53">
        <f>COUNTIFS('00 Encuesta'!$B$2:$B$511,"*e)*",'00 Encuesta'!$C$2:$C$511,"*b)*",'00 Encuesta'!$E$2:$E$511,"*a)*",'00 Encuesta'!$AI$2:$AI$511,"*d)*")</f>
        <v>0</v>
      </c>
      <c r="Q267" s="52" t="e">
        <f t="shared" si="330"/>
        <v>#DIV/0!</v>
      </c>
      <c r="R267" s="53">
        <f>COUNTIFS('00 Encuesta'!$B$2:$B$511,"*e)*",'00 Encuesta'!$C$2:$C$511,"*b)*",'00 Encuesta'!$E$2:$E$511,"*b)*",'00 Encuesta'!$AI$2:$AI$511,"*d)*")</f>
        <v>0</v>
      </c>
      <c r="S267" s="52" t="e">
        <f t="shared" si="331"/>
        <v>#DIV/0!</v>
      </c>
      <c r="T267" s="3"/>
      <c r="U267" s="51">
        <f t="shared" si="332"/>
        <v>0</v>
      </c>
      <c r="V267" s="52" t="e">
        <f t="shared" si="333"/>
        <v>#DIV/0!</v>
      </c>
      <c r="W267" s="53">
        <f>COUNTIFS('00 Encuesta'!$B$2:$B$511,"*e)*",'00 Encuesta'!$C$2:$C$511,"*c)*",'00 Encuesta'!$E$2:$E$511,"*a)*",'00 Encuesta'!$AI$2:$AI$511,"*d)*")</f>
        <v>0</v>
      </c>
      <c r="X267" s="52" t="e">
        <f t="shared" si="334"/>
        <v>#DIV/0!</v>
      </c>
      <c r="Y267" s="53">
        <f>COUNTIFS('00 Encuesta'!$B$2:$B$511,"*e)*",'00 Encuesta'!$C$2:$C$511,"*c)*",'00 Encuesta'!$E$2:$E$511,"*b)*",'00 Encuesta'!$AI$2:$AI$511,"*d)*")</f>
        <v>0</v>
      </c>
      <c r="Z267" s="52" t="e">
        <f t="shared" si="335"/>
        <v>#DIV/0!</v>
      </c>
      <c r="AA267" s="3"/>
      <c r="AB267" s="62">
        <f t="shared" si="336"/>
        <v>0</v>
      </c>
      <c r="AC267" s="52" t="e">
        <f t="shared" si="337"/>
        <v>#DIV/0!</v>
      </c>
      <c r="AD267" s="3"/>
      <c r="AE267" s="3"/>
      <c r="AF267" s="9" t="str">
        <f t="shared" si="338"/>
        <v>d) De 7 a 8 horas</v>
      </c>
      <c r="AG267" s="72" t="e">
        <f t="shared" si="339"/>
        <v>#DIV/0!</v>
      </c>
      <c r="AH267" s="72" t="e">
        <f t="shared" si="340"/>
        <v>#DIV/0!</v>
      </c>
      <c r="AI267" s="73" t="e">
        <f t="shared" si="341"/>
        <v>#DIV/0!</v>
      </c>
      <c r="AJ267" s="73"/>
      <c r="AK267" s="76" t="e">
        <f t="shared" si="342"/>
        <v>#DIV/0!</v>
      </c>
      <c r="AL267" s="76" t="e">
        <f t="shared" si="343"/>
        <v>#DIV/0!</v>
      </c>
      <c r="AM267" s="76" t="e">
        <f t="shared" si="344"/>
        <v>#DIV/0!</v>
      </c>
      <c r="AN267" s="76"/>
      <c r="AO267" s="81" t="e">
        <f t="shared" si="345"/>
        <v>#DIV/0!</v>
      </c>
      <c r="AP267" s="81" t="e">
        <f t="shared" si="346"/>
        <v>#DIV/0!</v>
      </c>
      <c r="AQ267" s="81" t="e">
        <f t="shared" si="347"/>
        <v>#DIV/0!</v>
      </c>
      <c r="AR267" s="3"/>
      <c r="AS267" s="76" t="e">
        <f t="shared" si="227"/>
        <v>#DIV/0!</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x14ac:dyDescent="0.3">
      <c r="A268" s="8" t="s">
        <v>22</v>
      </c>
      <c r="B268" s="9" t="s">
        <v>196</v>
      </c>
      <c r="C268" s="7"/>
      <c r="D268" s="7"/>
      <c r="E268" s="7"/>
      <c r="F268" s="71"/>
      <c r="G268" s="51">
        <f t="shared" si="324"/>
        <v>0</v>
      </c>
      <c r="H268" s="52" t="e">
        <f t="shared" si="325"/>
        <v>#DIV/0!</v>
      </c>
      <c r="I268" s="53">
        <f>COUNTIFS('00 Encuesta'!$B$2:$B$511,"*e)*",'00 Encuesta'!$C$2:$C$511,"*a)*",'00 Encuesta'!$E$2:$E$511,"*a)*",'00 Encuesta'!$AI$2:$AI$511,"*e)*")</f>
        <v>0</v>
      </c>
      <c r="J268" s="52" t="e">
        <f t="shared" si="326"/>
        <v>#DIV/0!</v>
      </c>
      <c r="K268" s="53">
        <f>COUNTIFS('00 Encuesta'!$B$2:$B$511,"*e)*",'00 Encuesta'!$C$2:$C$511,"*a)*",'00 Encuesta'!$E$2:$E$511,"*b)*",'00 Encuesta'!$AI$2:$AI$511,"*e)*")</f>
        <v>0</v>
      </c>
      <c r="L268" s="52" t="e">
        <f t="shared" si="327"/>
        <v>#DIV/0!</v>
      </c>
      <c r="M268" s="23"/>
      <c r="N268" s="51">
        <f t="shared" si="328"/>
        <v>0</v>
      </c>
      <c r="O268" s="52" t="e">
        <f t="shared" si="329"/>
        <v>#DIV/0!</v>
      </c>
      <c r="P268" s="53">
        <f>COUNTIFS('00 Encuesta'!$B$2:$B$511,"*e)*",'00 Encuesta'!$C$2:$C$511,"*b)*",'00 Encuesta'!$E$2:$E$511,"*a)*",'00 Encuesta'!$AI$2:$AI$511,"*e)*")</f>
        <v>0</v>
      </c>
      <c r="Q268" s="52" t="e">
        <f t="shared" si="330"/>
        <v>#DIV/0!</v>
      </c>
      <c r="R268" s="53">
        <f>COUNTIFS('00 Encuesta'!$B$2:$B$511,"*e)*",'00 Encuesta'!$C$2:$C$511,"*b)*",'00 Encuesta'!$E$2:$E$511,"*b)*",'00 Encuesta'!$AI$2:$AI$511,"*e)*")</f>
        <v>0</v>
      </c>
      <c r="S268" s="52" t="e">
        <f t="shared" si="331"/>
        <v>#DIV/0!</v>
      </c>
      <c r="T268" s="3"/>
      <c r="U268" s="51">
        <f t="shared" si="332"/>
        <v>0</v>
      </c>
      <c r="V268" s="52" t="e">
        <f t="shared" si="333"/>
        <v>#DIV/0!</v>
      </c>
      <c r="W268" s="53">
        <f>COUNTIFS('00 Encuesta'!$B$2:$B$511,"*e)*",'00 Encuesta'!$C$2:$C$511,"*c)*",'00 Encuesta'!$E$2:$E$511,"*a)*",'00 Encuesta'!$AI$2:$AI$511,"*e)*")</f>
        <v>0</v>
      </c>
      <c r="X268" s="52" t="e">
        <f t="shared" si="334"/>
        <v>#DIV/0!</v>
      </c>
      <c r="Y268" s="53">
        <f>COUNTIFS('00 Encuesta'!$B$2:$B$511,"*e)*",'00 Encuesta'!$C$2:$C$511,"*c)*",'00 Encuesta'!$E$2:$E$511,"*b)*",'00 Encuesta'!$AI$2:$AI$511,"*e)*")</f>
        <v>0</v>
      </c>
      <c r="Z268" s="52" t="e">
        <f t="shared" si="335"/>
        <v>#DIV/0!</v>
      </c>
      <c r="AA268" s="3"/>
      <c r="AB268" s="62">
        <f t="shared" si="336"/>
        <v>0</v>
      </c>
      <c r="AC268" s="52" t="e">
        <f t="shared" si="337"/>
        <v>#DIV/0!</v>
      </c>
      <c r="AD268" s="3"/>
      <c r="AE268" s="3"/>
      <c r="AF268" s="9" t="str">
        <f t="shared" si="338"/>
        <v>e) De 9 a 10 horas</v>
      </c>
      <c r="AG268" s="72" t="e">
        <f t="shared" si="339"/>
        <v>#DIV/0!</v>
      </c>
      <c r="AH268" s="72" t="e">
        <f t="shared" si="340"/>
        <v>#DIV/0!</v>
      </c>
      <c r="AI268" s="73" t="e">
        <f t="shared" si="341"/>
        <v>#DIV/0!</v>
      </c>
      <c r="AJ268" s="73"/>
      <c r="AK268" s="76" t="e">
        <f t="shared" si="342"/>
        <v>#DIV/0!</v>
      </c>
      <c r="AL268" s="76" t="e">
        <f t="shared" si="343"/>
        <v>#DIV/0!</v>
      </c>
      <c r="AM268" s="76" t="e">
        <f t="shared" si="344"/>
        <v>#DIV/0!</v>
      </c>
      <c r="AN268" s="76"/>
      <c r="AO268" s="81" t="e">
        <f t="shared" si="345"/>
        <v>#DIV/0!</v>
      </c>
      <c r="AP268" s="81" t="e">
        <f t="shared" si="346"/>
        <v>#DIV/0!</v>
      </c>
      <c r="AQ268" s="81" t="e">
        <f t="shared" si="347"/>
        <v>#DIV/0!</v>
      </c>
      <c r="AR268" s="3"/>
      <c r="AS268" s="76" t="e">
        <f t="shared" si="227"/>
        <v>#DIV/0!</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x14ac:dyDescent="0.3">
      <c r="A269" s="8" t="s">
        <v>45</v>
      </c>
      <c r="B269" s="9" t="s">
        <v>197</v>
      </c>
      <c r="C269" s="7"/>
      <c r="D269" s="7"/>
      <c r="E269" s="7"/>
      <c r="F269" s="71"/>
      <c r="G269" s="51">
        <f t="shared" si="324"/>
        <v>0</v>
      </c>
      <c r="H269" s="52" t="e">
        <f t="shared" si="325"/>
        <v>#DIV/0!</v>
      </c>
      <c r="I269" s="53">
        <f>COUNTIFS('00 Encuesta'!$B$2:$B$511,"*e)*",'00 Encuesta'!$C$2:$C$511,"*a)*",'00 Encuesta'!$E$2:$E$511,"*a)*",'00 Encuesta'!$AI$2:$AI$511,"*f)*")</f>
        <v>0</v>
      </c>
      <c r="J269" s="52" t="e">
        <f t="shared" si="326"/>
        <v>#DIV/0!</v>
      </c>
      <c r="K269" s="53">
        <f>COUNTIFS('00 Encuesta'!$B$2:$B$511,"*e)*",'00 Encuesta'!$C$2:$C$511,"*a)*",'00 Encuesta'!$E$2:$E$511,"*b)*",'00 Encuesta'!$AI$2:$AI$511,"*f)*")</f>
        <v>0</v>
      </c>
      <c r="L269" s="52" t="e">
        <f t="shared" si="327"/>
        <v>#DIV/0!</v>
      </c>
      <c r="M269" s="23"/>
      <c r="N269" s="51">
        <f t="shared" si="328"/>
        <v>0</v>
      </c>
      <c r="O269" s="52" t="e">
        <f t="shared" si="329"/>
        <v>#DIV/0!</v>
      </c>
      <c r="P269" s="53">
        <f>COUNTIFS('00 Encuesta'!$B$2:$B$511,"*e)*",'00 Encuesta'!$C$2:$C$511,"*b)*",'00 Encuesta'!$E$2:$E$511,"*a)*",'00 Encuesta'!$AI$2:$AI$511,"*f)*")</f>
        <v>0</v>
      </c>
      <c r="Q269" s="52" t="e">
        <f t="shared" si="330"/>
        <v>#DIV/0!</v>
      </c>
      <c r="R269" s="53">
        <f>COUNTIFS('00 Encuesta'!$B$2:$B$511,"*e)*",'00 Encuesta'!$C$2:$C$511,"*b)*",'00 Encuesta'!$E$2:$E$511,"*b)*",'00 Encuesta'!$AI$2:$AI$511,"*f)*")</f>
        <v>0</v>
      </c>
      <c r="S269" s="52" t="e">
        <f t="shared" si="331"/>
        <v>#DIV/0!</v>
      </c>
      <c r="T269" s="3"/>
      <c r="U269" s="51">
        <f t="shared" si="332"/>
        <v>0</v>
      </c>
      <c r="V269" s="52" t="e">
        <f t="shared" si="333"/>
        <v>#DIV/0!</v>
      </c>
      <c r="W269" s="53">
        <f>COUNTIFS('00 Encuesta'!$B$2:$B$511,"*e)*",'00 Encuesta'!$C$2:$C$511,"*c)*",'00 Encuesta'!$E$2:$E$511,"*a)*",'00 Encuesta'!$AI$2:$AI$511,"*f)*")</f>
        <v>0</v>
      </c>
      <c r="X269" s="52" t="e">
        <f t="shared" si="334"/>
        <v>#DIV/0!</v>
      </c>
      <c r="Y269" s="53">
        <f>COUNTIFS('00 Encuesta'!$B$2:$B$511,"*e)*",'00 Encuesta'!$C$2:$C$511,"*c)*",'00 Encuesta'!$E$2:$E$511,"*b)*",'00 Encuesta'!$AI$2:$AI$511,"*f)*")</f>
        <v>0</v>
      </c>
      <c r="Z269" s="52" t="e">
        <f t="shared" si="335"/>
        <v>#DIV/0!</v>
      </c>
      <c r="AA269" s="3"/>
      <c r="AB269" s="62">
        <f t="shared" si="336"/>
        <v>0</v>
      </c>
      <c r="AC269" s="52" t="e">
        <f t="shared" si="337"/>
        <v>#DIV/0!</v>
      </c>
      <c r="AD269" s="3"/>
      <c r="AE269" s="3"/>
      <c r="AF269" s="9" t="str">
        <f t="shared" si="338"/>
        <v>f) Mas de 11 horas</v>
      </c>
      <c r="AG269" s="72" t="e">
        <f t="shared" si="339"/>
        <v>#DIV/0!</v>
      </c>
      <c r="AH269" s="72" t="e">
        <f t="shared" si="340"/>
        <v>#DIV/0!</v>
      </c>
      <c r="AI269" s="73" t="e">
        <f t="shared" si="341"/>
        <v>#DIV/0!</v>
      </c>
      <c r="AJ269" s="73"/>
      <c r="AK269" s="76" t="e">
        <f t="shared" si="342"/>
        <v>#DIV/0!</v>
      </c>
      <c r="AL269" s="76" t="e">
        <f t="shared" si="343"/>
        <v>#DIV/0!</v>
      </c>
      <c r="AM269" s="76" t="e">
        <f t="shared" si="344"/>
        <v>#DIV/0!</v>
      </c>
      <c r="AN269" s="76"/>
      <c r="AO269" s="81" t="e">
        <f t="shared" si="345"/>
        <v>#DIV/0!</v>
      </c>
      <c r="AP269" s="81" t="e">
        <f t="shared" si="346"/>
        <v>#DIV/0!</v>
      </c>
      <c r="AQ269" s="81" t="e">
        <f t="shared" si="347"/>
        <v>#DIV/0!</v>
      </c>
      <c r="AR269" s="3"/>
      <c r="AS269" s="76" t="e">
        <f t="shared" si="227"/>
        <v>#DIV/0!</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x14ac:dyDescent="0.3">
      <c r="A270" s="8" t="s">
        <v>23</v>
      </c>
      <c r="B270" s="9" t="s">
        <v>24</v>
      </c>
      <c r="C270" s="7"/>
      <c r="D270" s="7"/>
      <c r="E270" s="7"/>
      <c r="F270" s="71"/>
      <c r="G270" s="51">
        <f t="shared" si="324"/>
        <v>0</v>
      </c>
      <c r="H270" s="52" t="e">
        <f t="shared" si="325"/>
        <v>#DIV/0!</v>
      </c>
      <c r="I270" s="53"/>
      <c r="J270" s="52" t="e">
        <f t="shared" si="326"/>
        <v>#DIV/0!</v>
      </c>
      <c r="K270" s="53"/>
      <c r="L270" s="52" t="e">
        <f t="shared" si="327"/>
        <v>#DIV/0!</v>
      </c>
      <c r="M270" s="23"/>
      <c r="N270" s="51">
        <f t="shared" si="328"/>
        <v>0</v>
      </c>
      <c r="O270" s="52" t="e">
        <f t="shared" si="329"/>
        <v>#DIV/0!</v>
      </c>
      <c r="P270" s="53"/>
      <c r="Q270" s="52" t="e">
        <f t="shared" si="330"/>
        <v>#DIV/0!</v>
      </c>
      <c r="R270" s="53"/>
      <c r="S270" s="52" t="e">
        <f t="shared" si="331"/>
        <v>#DIV/0!</v>
      </c>
      <c r="T270" s="3"/>
      <c r="U270" s="51">
        <f t="shared" si="332"/>
        <v>0</v>
      </c>
      <c r="V270" s="52" t="e">
        <f t="shared" si="333"/>
        <v>#DIV/0!</v>
      </c>
      <c r="W270" s="53"/>
      <c r="X270" s="52" t="e">
        <f t="shared" si="334"/>
        <v>#DIV/0!</v>
      </c>
      <c r="Y270" s="53"/>
      <c r="Z270" s="52" t="e">
        <f t="shared" si="335"/>
        <v>#DIV/0!</v>
      </c>
      <c r="AA270" s="3"/>
      <c r="AB270" s="62">
        <f t="shared" si="336"/>
        <v>0</v>
      </c>
      <c r="AC270" s="52" t="e">
        <f t="shared" si="337"/>
        <v>#DIV/0!</v>
      </c>
      <c r="AD270" s="3"/>
      <c r="AE270" s="3"/>
      <c r="AF270" s="9" t="str">
        <f t="shared" si="338"/>
        <v>S/R Sin Respuesta</v>
      </c>
      <c r="AG270" s="72" t="e">
        <f t="shared" si="339"/>
        <v>#DIV/0!</v>
      </c>
      <c r="AH270" s="72" t="e">
        <f t="shared" si="340"/>
        <v>#DIV/0!</v>
      </c>
      <c r="AI270" s="73" t="e">
        <f t="shared" si="341"/>
        <v>#DIV/0!</v>
      </c>
      <c r="AJ270" s="73"/>
      <c r="AK270" s="76" t="e">
        <f t="shared" si="342"/>
        <v>#DIV/0!</v>
      </c>
      <c r="AL270" s="76" t="e">
        <f t="shared" si="343"/>
        <v>#DIV/0!</v>
      </c>
      <c r="AM270" s="76" t="e">
        <f t="shared" si="344"/>
        <v>#DIV/0!</v>
      </c>
      <c r="AN270" s="76"/>
      <c r="AO270" s="81" t="e">
        <f t="shared" si="345"/>
        <v>#DIV/0!</v>
      </c>
      <c r="AP270" s="81" t="e">
        <f t="shared" si="346"/>
        <v>#DIV/0!</v>
      </c>
      <c r="AQ270" s="81" t="e">
        <f t="shared" si="347"/>
        <v>#DIV/0!</v>
      </c>
      <c r="AR270" s="3"/>
      <c r="AS270" s="76" t="e">
        <f t="shared" si="227"/>
        <v>#DIV/0!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x14ac:dyDescent="0.3">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x14ac:dyDescent="0.3">
      <c r="A273" s="8" t="s">
        <v>17</v>
      </c>
      <c r="B273" s="85" t="s">
        <v>199</v>
      </c>
      <c r="C273" s="7"/>
      <c r="D273" s="7"/>
      <c r="E273" s="7"/>
      <c r="F273" s="71"/>
      <c r="G273" s="51">
        <f t="shared" ref="G273:G286" si="348">I273+K273</f>
        <v>0</v>
      </c>
      <c r="H273" s="52" t="e">
        <f t="shared" ref="H273:H286" si="349">G273/$J$5*100</f>
        <v>#DIV/0!</v>
      </c>
      <c r="I273" s="53">
        <f>COUNTIFS('00 Encuesta'!$B$2:$B$511,"*e)*",'00 Encuesta'!$C$2:$C$511,"*a)*",'00 Encuesta'!$E$2:$E$511,"*a)*",'00 Encuesta'!$AJ$2:$AJ$511,"*a)*")</f>
        <v>0</v>
      </c>
      <c r="J273" s="52" t="e">
        <f t="shared" ref="J273:J286" si="350">I273/$J$6*100</f>
        <v>#DIV/0!</v>
      </c>
      <c r="K273" s="53">
        <f>COUNTIFS('00 Encuesta'!$B$2:$B$511,"*e)*",'00 Encuesta'!$C$2:$C$511,"*a)*",'00 Encuesta'!$E$2:$E$511,"*b)*",'00 Encuesta'!$AJ$2:$AJ$511,"*a)*")</f>
        <v>0</v>
      </c>
      <c r="L273" s="52" t="e">
        <f t="shared" ref="L273:L286" si="351">K273/$J$7*100</f>
        <v>#DIV/0!</v>
      </c>
      <c r="M273" s="23"/>
      <c r="N273" s="51">
        <f t="shared" ref="N273:N286" si="352">P273+R273</f>
        <v>0</v>
      </c>
      <c r="O273" s="52" t="e">
        <f t="shared" ref="O273:O286" si="353">N273/$Q$5*100</f>
        <v>#DIV/0!</v>
      </c>
      <c r="P273" s="53">
        <f>COUNTIFS('00 Encuesta'!$B$2:$B$511,"*e)*",'00 Encuesta'!$C$2:$C$511,"*b)*",'00 Encuesta'!$E$2:$E$511,"*a)*",'00 Encuesta'!$AJ$2:$AJ$511,"*a)*")</f>
        <v>0</v>
      </c>
      <c r="Q273" s="52" t="e">
        <f t="shared" ref="Q273:Q286" si="354">P273/$Q$6*100</f>
        <v>#DIV/0!</v>
      </c>
      <c r="R273" s="53">
        <f>COUNTIFS('00 Encuesta'!$B$2:$B$511,"*e)*",'00 Encuesta'!$C$2:$C$511,"*b)*",'00 Encuesta'!$E$2:$E$511,"*b)*",'00 Encuesta'!$AJ$2:$AJ$511,"*a)*")</f>
        <v>0</v>
      </c>
      <c r="S273" s="52" t="e">
        <f t="shared" ref="S273:S286" si="355">R273/$Q$7*100</f>
        <v>#DIV/0!</v>
      </c>
      <c r="T273" s="3"/>
      <c r="U273" s="51">
        <f t="shared" ref="U273:U286" si="356">W273+Y273</f>
        <v>0</v>
      </c>
      <c r="V273" s="52" t="e">
        <f t="shared" ref="V273:V286" si="357">U273/$X$5*100</f>
        <v>#DIV/0!</v>
      </c>
      <c r="W273" s="53">
        <f>COUNTIFS('00 Encuesta'!$B$2:$B$511,"*e)*",'00 Encuesta'!$C$2:$C$511,"*c)*",'00 Encuesta'!$E$2:$E$511,"*a)*",'00 Encuesta'!$AJ$2:$AJ$511,"*a)*")</f>
        <v>0</v>
      </c>
      <c r="X273" s="52" t="e">
        <f t="shared" ref="X273:X286" si="358">W273/$X$6*100</f>
        <v>#DIV/0!</v>
      </c>
      <c r="Y273" s="53">
        <f>COUNTIFS('00 Encuesta'!$B$2:$B$511,"*e)*",'00 Encuesta'!$C$2:$C$511,"*c)*",'00 Encuesta'!$E$2:$E$511,"*b)*",'00 Encuesta'!$AJ$2:$AJ$511,"*a)*")</f>
        <v>0</v>
      </c>
      <c r="Z273" s="52" t="e">
        <f t="shared" ref="Z273:Z286" si="359">Y273/$X$7*100</f>
        <v>#DIV/0!</v>
      </c>
      <c r="AA273" s="3"/>
      <c r="AB273" s="62">
        <f t="shared" ref="AB273:AB286" si="360">G273+N273+U273</f>
        <v>0</v>
      </c>
      <c r="AC273" s="52" t="e">
        <f t="shared" ref="AC273:AC286" si="361">AB273*100/$AC$5</f>
        <v>#DIV/0!</v>
      </c>
      <c r="AD273" s="3"/>
      <c r="AE273" s="3"/>
      <c r="AF273" s="9" t="str">
        <f t="shared" ref="AF273:AF287" si="362">A273&amp;" "&amp;B273</f>
        <v>a) Me divierto con juegos para computadoras</v>
      </c>
      <c r="AG273" s="72" t="e">
        <f>J273</f>
        <v>#DIV/0!</v>
      </c>
      <c r="AH273" s="72" t="e">
        <f>L273</f>
        <v>#DIV/0!</v>
      </c>
      <c r="AI273" s="73" t="e">
        <f>H273</f>
        <v>#DIV/0!</v>
      </c>
      <c r="AJ273" s="73"/>
      <c r="AK273" s="76" t="e">
        <f t="shared" ref="AK273:AK287" si="363">Q273</f>
        <v>#DIV/0!</v>
      </c>
      <c r="AL273" s="76" t="e">
        <f t="shared" ref="AL273:AL287" si="364">S273</f>
        <v>#DIV/0!</v>
      </c>
      <c r="AM273" s="76" t="e">
        <f t="shared" ref="AM273:AM287" si="365">O273</f>
        <v>#DIV/0!</v>
      </c>
      <c r="AN273" s="76"/>
      <c r="AO273" s="81" t="e">
        <f t="shared" ref="AO273:AO287" si="366">X273</f>
        <v>#DIV/0!</v>
      </c>
      <c r="AP273" s="81" t="e">
        <f t="shared" ref="AP273:AP287" si="367">Z273</f>
        <v>#DIV/0!</v>
      </c>
      <c r="AQ273" s="81" t="e">
        <f t="shared" ref="AQ273:AQ287" si="368">V273</f>
        <v>#DIV/0!</v>
      </c>
      <c r="AR273" s="3"/>
      <c r="AS273" s="76" t="e">
        <f t="shared" ref="AS273:AS342" si="369">AC273</f>
        <v>#DIV/0!</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x14ac:dyDescent="0.3">
      <c r="A274" s="8" t="s">
        <v>18</v>
      </c>
      <c r="B274" s="85" t="s">
        <v>200</v>
      </c>
      <c r="C274" s="7"/>
      <c r="D274" s="7"/>
      <c r="E274" s="7"/>
      <c r="F274" s="71"/>
      <c r="G274" s="51">
        <f t="shared" si="348"/>
        <v>0</v>
      </c>
      <c r="H274" s="52" t="e">
        <f t="shared" si="349"/>
        <v>#DIV/0!</v>
      </c>
      <c r="I274" s="53">
        <f>COUNTIFS('00 Encuesta'!$B$2:$B$511,"*e)*",'00 Encuesta'!$C$2:$C$511,"*a)*",'00 Encuesta'!$E$2:$E$511,"*a)*",'00 Encuesta'!$AJ$2:$AJ$511,"*b)*")</f>
        <v>0</v>
      </c>
      <c r="J274" s="52" t="e">
        <f t="shared" si="350"/>
        <v>#DIV/0!</v>
      </c>
      <c r="K274" s="53">
        <f>COUNTIFS('00 Encuesta'!$B$2:$B$511,"*e)*",'00 Encuesta'!$C$2:$C$511,"*a)*",'00 Encuesta'!$E$2:$E$511,"*b)*",'00 Encuesta'!$AJ$2:$AJ$511,"*b)*")</f>
        <v>0</v>
      </c>
      <c r="L274" s="52" t="e">
        <f t="shared" si="351"/>
        <v>#DIV/0!</v>
      </c>
      <c r="M274" s="23"/>
      <c r="N274" s="51">
        <f t="shared" si="352"/>
        <v>0</v>
      </c>
      <c r="O274" s="52" t="e">
        <f t="shared" si="353"/>
        <v>#DIV/0!</v>
      </c>
      <c r="P274" s="53">
        <f>COUNTIFS('00 Encuesta'!$B$2:$B$511,"*e)*",'00 Encuesta'!$C$2:$C$511,"*b)*",'00 Encuesta'!$E$2:$E$511,"*a)*",'00 Encuesta'!$AJ$2:$AJ$511,"*b)*")</f>
        <v>0</v>
      </c>
      <c r="Q274" s="52" t="e">
        <f t="shared" si="354"/>
        <v>#DIV/0!</v>
      </c>
      <c r="R274" s="53">
        <f>COUNTIFS('00 Encuesta'!$B$2:$B$511,"*e)*",'00 Encuesta'!$C$2:$C$511,"*b)*",'00 Encuesta'!$E$2:$E$511,"*b)*",'00 Encuesta'!$AJ$2:$AJ$511,"*b)*")</f>
        <v>0</v>
      </c>
      <c r="S274" s="52" t="e">
        <f t="shared" si="355"/>
        <v>#DIV/0!</v>
      </c>
      <c r="T274" s="3"/>
      <c r="U274" s="51">
        <f t="shared" si="356"/>
        <v>0</v>
      </c>
      <c r="V274" s="52" t="e">
        <f t="shared" si="357"/>
        <v>#DIV/0!</v>
      </c>
      <c r="W274" s="53">
        <f>COUNTIFS('00 Encuesta'!$B$2:$B$511,"*e)*",'00 Encuesta'!$C$2:$C$511,"*c)*",'00 Encuesta'!$E$2:$E$511,"*a)*",'00 Encuesta'!$AJ$2:$AJ$511,"*b)*")</f>
        <v>0</v>
      </c>
      <c r="X274" s="52" t="e">
        <f t="shared" si="358"/>
        <v>#DIV/0!</v>
      </c>
      <c r="Y274" s="53">
        <f>COUNTIFS('00 Encuesta'!$B$2:$B$511,"*e)*",'00 Encuesta'!$C$2:$C$511,"*c)*",'00 Encuesta'!$E$2:$E$511,"*b)*",'00 Encuesta'!$AJ$2:$AJ$511,"*b)*")</f>
        <v>0</v>
      </c>
      <c r="Z274" s="52" t="e">
        <f t="shared" si="359"/>
        <v>#DIV/0!</v>
      </c>
      <c r="AA274" s="3"/>
      <c r="AB274" s="62">
        <f t="shared" si="360"/>
        <v>0</v>
      </c>
      <c r="AC274" s="52" t="e">
        <f t="shared" si="361"/>
        <v>#DIV/0!</v>
      </c>
      <c r="AD274" s="3"/>
      <c r="AE274" s="3"/>
      <c r="AF274" s="9" t="str">
        <f t="shared" si="362"/>
        <v>b) Navego en Internet</v>
      </c>
      <c r="AG274" s="72" t="e">
        <f t="shared" ref="AG274:AG287" si="370">J274</f>
        <v>#DIV/0!</v>
      </c>
      <c r="AH274" s="72" t="e">
        <f t="shared" ref="AH274:AH287" si="371">L274</f>
        <v>#DIV/0!</v>
      </c>
      <c r="AI274" s="73" t="e">
        <f t="shared" ref="AI274:AI287" si="372">H274</f>
        <v>#DIV/0!</v>
      </c>
      <c r="AJ274" s="73"/>
      <c r="AK274" s="76" t="e">
        <f t="shared" si="363"/>
        <v>#DIV/0!</v>
      </c>
      <c r="AL274" s="76" t="e">
        <f t="shared" si="364"/>
        <v>#DIV/0!</v>
      </c>
      <c r="AM274" s="76" t="e">
        <f t="shared" si="365"/>
        <v>#DIV/0!</v>
      </c>
      <c r="AN274" s="76"/>
      <c r="AO274" s="81" t="e">
        <f t="shared" si="366"/>
        <v>#DIV/0!</v>
      </c>
      <c r="AP274" s="81" t="e">
        <f t="shared" si="367"/>
        <v>#DIV/0!</v>
      </c>
      <c r="AQ274" s="81" t="e">
        <f t="shared" si="368"/>
        <v>#DIV/0!</v>
      </c>
      <c r="AR274" s="3"/>
      <c r="AS274" s="76" t="e">
        <f t="shared" si="369"/>
        <v>#DIV/0!</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0</v>
      </c>
      <c r="H275" s="52" t="e">
        <f t="shared" si="349"/>
        <v>#DIV/0!</v>
      </c>
      <c r="I275" s="53">
        <f>COUNTIFS('00 Encuesta'!$B$2:$B$511,"*e)*",'00 Encuesta'!$C$2:$C$511,"*a)*",'00 Encuesta'!$E$2:$E$511,"*a)*",'00 Encuesta'!$AJ$2:$AJ$511,"*c)*")</f>
        <v>0</v>
      </c>
      <c r="J275" s="52" t="e">
        <f t="shared" si="350"/>
        <v>#DIV/0!</v>
      </c>
      <c r="K275" s="53">
        <f>COUNTIFS('00 Encuesta'!$B$2:$B$511,"*e)*",'00 Encuesta'!$C$2:$C$511,"*a)*",'00 Encuesta'!$E$2:$E$511,"*b)*",'00 Encuesta'!$AJ$2:$AJ$511,"*c)*")</f>
        <v>0</v>
      </c>
      <c r="L275" s="52" t="e">
        <f t="shared" si="351"/>
        <v>#DIV/0!</v>
      </c>
      <c r="M275" s="23"/>
      <c r="N275" s="51">
        <f t="shared" si="352"/>
        <v>0</v>
      </c>
      <c r="O275" s="52" t="e">
        <f t="shared" si="353"/>
        <v>#DIV/0!</v>
      </c>
      <c r="P275" s="53">
        <f>COUNTIFS('00 Encuesta'!$B$2:$B$511,"*e)*",'00 Encuesta'!$C$2:$C$511,"*b)*",'00 Encuesta'!$E$2:$E$511,"*a)*",'00 Encuesta'!$AJ$2:$AJ$511,"*c)*")</f>
        <v>0</v>
      </c>
      <c r="Q275" s="52" t="e">
        <f t="shared" si="354"/>
        <v>#DIV/0!</v>
      </c>
      <c r="R275" s="53">
        <f>COUNTIFS('00 Encuesta'!$B$2:$B$511,"*e)*",'00 Encuesta'!$C$2:$C$511,"*b)*",'00 Encuesta'!$E$2:$E$511,"*b)*",'00 Encuesta'!$AJ$2:$AJ$511,"*c)*")</f>
        <v>0</v>
      </c>
      <c r="S275" s="52" t="e">
        <f t="shared" si="355"/>
        <v>#DIV/0!</v>
      </c>
      <c r="T275" s="3"/>
      <c r="U275" s="51">
        <f t="shared" si="356"/>
        <v>0</v>
      </c>
      <c r="V275" s="52" t="e">
        <f t="shared" si="357"/>
        <v>#DIV/0!</v>
      </c>
      <c r="W275" s="53">
        <f>COUNTIFS('00 Encuesta'!$B$2:$B$511,"*e)*",'00 Encuesta'!$C$2:$C$511,"*c)*",'00 Encuesta'!$E$2:$E$511,"*a)*",'00 Encuesta'!$AJ$2:$AJ$511,"*c)*")</f>
        <v>0</v>
      </c>
      <c r="X275" s="52" t="e">
        <f t="shared" si="358"/>
        <v>#DIV/0!</v>
      </c>
      <c r="Y275" s="53">
        <f>COUNTIFS('00 Encuesta'!$B$2:$B$511,"*e)*",'00 Encuesta'!$C$2:$C$511,"*c)*",'00 Encuesta'!$E$2:$E$511,"*b)*",'00 Encuesta'!$AJ$2:$AJ$511,"*c)*")</f>
        <v>0</v>
      </c>
      <c r="Z275" s="52" t="e">
        <f t="shared" si="359"/>
        <v>#DIV/0!</v>
      </c>
      <c r="AA275" s="3"/>
      <c r="AB275" s="62">
        <f t="shared" si="360"/>
        <v>0</v>
      </c>
      <c r="AC275" s="52" t="e">
        <f t="shared" si="361"/>
        <v>#DIV/0!</v>
      </c>
      <c r="AD275" s="3"/>
      <c r="AE275" s="3"/>
      <c r="AF275" s="9" t="str">
        <f t="shared" si="362"/>
        <v>c) Suelo ir a centros de video (máquinas de juegos)</v>
      </c>
      <c r="AG275" s="72" t="e">
        <f t="shared" si="370"/>
        <v>#DIV/0!</v>
      </c>
      <c r="AH275" s="72" t="e">
        <f t="shared" si="371"/>
        <v>#DIV/0!</v>
      </c>
      <c r="AI275" s="73" t="e">
        <f t="shared" si="372"/>
        <v>#DIV/0!</v>
      </c>
      <c r="AJ275" s="73"/>
      <c r="AK275" s="76" t="e">
        <f t="shared" si="363"/>
        <v>#DIV/0!</v>
      </c>
      <c r="AL275" s="76" t="e">
        <f t="shared" si="364"/>
        <v>#DIV/0!</v>
      </c>
      <c r="AM275" s="76" t="e">
        <f t="shared" si="365"/>
        <v>#DIV/0!</v>
      </c>
      <c r="AN275" s="76"/>
      <c r="AO275" s="81" t="e">
        <f t="shared" si="366"/>
        <v>#DIV/0!</v>
      </c>
      <c r="AP275" s="81" t="e">
        <f t="shared" si="367"/>
        <v>#DIV/0!</v>
      </c>
      <c r="AQ275" s="81" t="e">
        <f t="shared" si="368"/>
        <v>#DIV/0!</v>
      </c>
      <c r="AR275" s="3"/>
      <c r="AS275" s="76" t="e">
        <f t="shared" si="369"/>
        <v>#DIV/0!</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x14ac:dyDescent="0.3">
      <c r="A276" s="8" t="s">
        <v>21</v>
      </c>
      <c r="B276" s="85" t="s">
        <v>202</v>
      </c>
      <c r="C276" s="7"/>
      <c r="D276" s="7"/>
      <c r="E276" s="7"/>
      <c r="F276" s="71"/>
      <c r="G276" s="51">
        <f t="shared" si="348"/>
        <v>0</v>
      </c>
      <c r="H276" s="52" t="e">
        <f t="shared" si="349"/>
        <v>#DIV/0!</v>
      </c>
      <c r="I276" s="53">
        <f>COUNTIFS('00 Encuesta'!$B$2:$B$511,"*e)*",'00 Encuesta'!$C$2:$C$511,"*a)*",'00 Encuesta'!$E$2:$E$511,"*a)*",'00 Encuesta'!$AJ$2:$AJ$511,"*d)*")</f>
        <v>0</v>
      </c>
      <c r="J276" s="52" t="e">
        <f t="shared" si="350"/>
        <v>#DIV/0!</v>
      </c>
      <c r="K276" s="53">
        <f>COUNTIFS('00 Encuesta'!$B$2:$B$511,"*e)*",'00 Encuesta'!$C$2:$C$511,"*a)*",'00 Encuesta'!$E$2:$E$511,"*b)*",'00 Encuesta'!$AJ$2:$AJ$511,"*d)*")</f>
        <v>0</v>
      </c>
      <c r="L276" s="52" t="e">
        <f t="shared" si="351"/>
        <v>#DIV/0!</v>
      </c>
      <c r="M276" s="23"/>
      <c r="N276" s="51">
        <f t="shared" si="352"/>
        <v>0</v>
      </c>
      <c r="O276" s="52" t="e">
        <f t="shared" si="353"/>
        <v>#DIV/0!</v>
      </c>
      <c r="P276" s="53">
        <f>COUNTIFS('00 Encuesta'!$B$2:$B$511,"*e)*",'00 Encuesta'!$C$2:$C$511,"*b)*",'00 Encuesta'!$E$2:$E$511,"*a)*",'00 Encuesta'!$AJ$2:$AJ$511,"*d)*")</f>
        <v>0</v>
      </c>
      <c r="Q276" s="52" t="e">
        <f t="shared" si="354"/>
        <v>#DIV/0!</v>
      </c>
      <c r="R276" s="53">
        <f>COUNTIFS('00 Encuesta'!$B$2:$B$511,"*e)*",'00 Encuesta'!$C$2:$C$511,"*b)*",'00 Encuesta'!$E$2:$E$511,"*b)*",'00 Encuesta'!$AJ$2:$AJ$511,"*d)*")</f>
        <v>0</v>
      </c>
      <c r="S276" s="52" t="e">
        <f t="shared" si="355"/>
        <v>#DIV/0!</v>
      </c>
      <c r="T276" s="3"/>
      <c r="U276" s="51">
        <f t="shared" si="356"/>
        <v>0</v>
      </c>
      <c r="V276" s="52" t="e">
        <f t="shared" si="357"/>
        <v>#DIV/0!</v>
      </c>
      <c r="W276" s="53">
        <f>COUNTIFS('00 Encuesta'!$B$2:$B$511,"*e)*",'00 Encuesta'!$C$2:$C$511,"*c)*",'00 Encuesta'!$E$2:$E$511,"*a)*",'00 Encuesta'!$AJ$2:$AJ$511,"*d)*")</f>
        <v>0</v>
      </c>
      <c r="X276" s="52" t="e">
        <f t="shared" si="358"/>
        <v>#DIV/0!</v>
      </c>
      <c r="Y276" s="53">
        <f>COUNTIFS('00 Encuesta'!$B$2:$B$511,"*e)*",'00 Encuesta'!$C$2:$C$511,"*c)*",'00 Encuesta'!$E$2:$E$511,"*b)*",'00 Encuesta'!$AJ$2:$AJ$511,"*d)*")</f>
        <v>0</v>
      </c>
      <c r="Z276" s="52" t="e">
        <f t="shared" si="359"/>
        <v>#DIV/0!</v>
      </c>
      <c r="AA276" s="3"/>
      <c r="AB276" s="62">
        <f t="shared" si="360"/>
        <v>0</v>
      </c>
      <c r="AC276" s="52" t="e">
        <f t="shared" si="361"/>
        <v>#DIV/0!</v>
      </c>
      <c r="AD276" s="3"/>
      <c r="AE276" s="3"/>
      <c r="AF276" s="9" t="str">
        <f t="shared" si="362"/>
        <v>d) Estoy la mayor parte del tiempo en la casa sin hacer nada</v>
      </c>
      <c r="AG276" s="72" t="e">
        <f t="shared" si="370"/>
        <v>#DIV/0!</v>
      </c>
      <c r="AH276" s="72" t="e">
        <f t="shared" si="371"/>
        <v>#DIV/0!</v>
      </c>
      <c r="AI276" s="73" t="e">
        <f t="shared" si="372"/>
        <v>#DIV/0!</v>
      </c>
      <c r="AJ276" s="73"/>
      <c r="AK276" s="76" t="e">
        <f t="shared" si="363"/>
        <v>#DIV/0!</v>
      </c>
      <c r="AL276" s="76" t="e">
        <f t="shared" si="364"/>
        <v>#DIV/0!</v>
      </c>
      <c r="AM276" s="76" t="e">
        <f t="shared" si="365"/>
        <v>#DIV/0!</v>
      </c>
      <c r="AN276" s="76"/>
      <c r="AO276" s="81" t="e">
        <f t="shared" si="366"/>
        <v>#DIV/0!</v>
      </c>
      <c r="AP276" s="81" t="e">
        <f t="shared" si="367"/>
        <v>#DIV/0!</v>
      </c>
      <c r="AQ276" s="81" t="e">
        <f t="shared" si="368"/>
        <v>#DIV/0!</v>
      </c>
      <c r="AR276" s="3"/>
      <c r="AS276" s="76" t="e">
        <f t="shared" si="369"/>
        <v>#DIV/0!</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0</v>
      </c>
      <c r="H277" s="52" t="e">
        <f t="shared" si="349"/>
        <v>#DIV/0!</v>
      </c>
      <c r="I277" s="53">
        <f>COUNTIFS('00 Encuesta'!$B$2:$B$511,"*e)*",'00 Encuesta'!$C$2:$C$511,"*a)*",'00 Encuesta'!$E$2:$E$511,"*a)*",'00 Encuesta'!$AJ$2:$AJ$511,"*e)*")</f>
        <v>0</v>
      </c>
      <c r="J277" s="52" t="e">
        <f t="shared" si="350"/>
        <v>#DIV/0!</v>
      </c>
      <c r="K277" s="53">
        <f>COUNTIFS('00 Encuesta'!$B$2:$B$511,"*e)*",'00 Encuesta'!$C$2:$C$511,"*a)*",'00 Encuesta'!$E$2:$E$511,"*b)*",'00 Encuesta'!$AJ$2:$AJ$511,"*e)*")</f>
        <v>0</v>
      </c>
      <c r="L277" s="52" t="e">
        <f t="shared" si="351"/>
        <v>#DIV/0!</v>
      </c>
      <c r="M277" s="23"/>
      <c r="N277" s="51">
        <f t="shared" si="352"/>
        <v>0</v>
      </c>
      <c r="O277" s="52" t="e">
        <f t="shared" si="353"/>
        <v>#DIV/0!</v>
      </c>
      <c r="P277" s="53">
        <f>COUNTIFS('00 Encuesta'!$B$2:$B$511,"*e)*",'00 Encuesta'!$C$2:$C$511,"*b)*",'00 Encuesta'!$E$2:$E$511,"*a)*",'00 Encuesta'!$AJ$2:$AJ$511,"*e)*")</f>
        <v>0</v>
      </c>
      <c r="Q277" s="52" t="e">
        <f t="shared" si="354"/>
        <v>#DIV/0!</v>
      </c>
      <c r="R277" s="53">
        <f>COUNTIFS('00 Encuesta'!$B$2:$B$511,"*e)*",'00 Encuesta'!$C$2:$C$511,"*b)*",'00 Encuesta'!$E$2:$E$511,"*b)*",'00 Encuesta'!$AJ$2:$AJ$511,"*e)*")</f>
        <v>0</v>
      </c>
      <c r="S277" s="52" t="e">
        <f t="shared" si="355"/>
        <v>#DIV/0!</v>
      </c>
      <c r="T277" s="3"/>
      <c r="U277" s="51">
        <f t="shared" si="356"/>
        <v>0</v>
      </c>
      <c r="V277" s="52" t="e">
        <f t="shared" si="357"/>
        <v>#DIV/0!</v>
      </c>
      <c r="W277" s="53">
        <f>COUNTIFS('00 Encuesta'!$B$2:$B$511,"*e)*",'00 Encuesta'!$C$2:$C$511,"*c)*",'00 Encuesta'!$E$2:$E$511,"*a)*",'00 Encuesta'!$AJ$2:$AJ$511,"*e)*")</f>
        <v>0</v>
      </c>
      <c r="X277" s="52" t="e">
        <f t="shared" si="358"/>
        <v>#DIV/0!</v>
      </c>
      <c r="Y277" s="53">
        <f>COUNTIFS('00 Encuesta'!$B$2:$B$511,"*e)*",'00 Encuesta'!$C$2:$C$511,"*c)*",'00 Encuesta'!$E$2:$E$511,"*b)*",'00 Encuesta'!$AJ$2:$AJ$511,"*e)*")</f>
        <v>0</v>
      </c>
      <c r="Z277" s="52" t="e">
        <f t="shared" si="359"/>
        <v>#DIV/0!</v>
      </c>
      <c r="AA277" s="3"/>
      <c r="AB277" s="62">
        <f t="shared" si="360"/>
        <v>0</v>
      </c>
      <c r="AC277" s="52" t="e">
        <f t="shared" si="361"/>
        <v>#DIV/0!</v>
      </c>
      <c r="AD277" s="3"/>
      <c r="AE277" s="3"/>
      <c r="AF277" s="9" t="str">
        <f t="shared" si="362"/>
        <v>e) Suelo ir a algún parque</v>
      </c>
      <c r="AG277" s="72" t="e">
        <f t="shared" si="370"/>
        <v>#DIV/0!</v>
      </c>
      <c r="AH277" s="72" t="e">
        <f t="shared" si="371"/>
        <v>#DIV/0!</v>
      </c>
      <c r="AI277" s="73" t="e">
        <f t="shared" si="372"/>
        <v>#DIV/0!</v>
      </c>
      <c r="AJ277" s="73"/>
      <c r="AK277" s="76" t="e">
        <f t="shared" si="363"/>
        <v>#DIV/0!</v>
      </c>
      <c r="AL277" s="76" t="e">
        <f t="shared" si="364"/>
        <v>#DIV/0!</v>
      </c>
      <c r="AM277" s="76" t="e">
        <f t="shared" si="365"/>
        <v>#DIV/0!</v>
      </c>
      <c r="AN277" s="76"/>
      <c r="AO277" s="81" t="e">
        <f t="shared" si="366"/>
        <v>#DIV/0!</v>
      </c>
      <c r="AP277" s="81" t="e">
        <f t="shared" si="367"/>
        <v>#DIV/0!</v>
      </c>
      <c r="AQ277" s="81" t="e">
        <f t="shared" si="368"/>
        <v>#DIV/0!</v>
      </c>
      <c r="AR277" s="3"/>
      <c r="AS277" s="76" t="e">
        <f t="shared" si="369"/>
        <v>#DIV/0!</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x14ac:dyDescent="0.3">
      <c r="A278" s="8" t="s">
        <v>45</v>
      </c>
      <c r="B278" s="85" t="s">
        <v>204</v>
      </c>
      <c r="C278" s="7"/>
      <c r="D278" s="7"/>
      <c r="E278" s="7"/>
      <c r="F278" s="71"/>
      <c r="G278" s="51">
        <f t="shared" si="348"/>
        <v>0</v>
      </c>
      <c r="H278" s="52" t="e">
        <f t="shared" si="349"/>
        <v>#DIV/0!</v>
      </c>
      <c r="I278" s="53">
        <f>COUNTIFS('00 Encuesta'!$B$2:$B$511,"*e)*",'00 Encuesta'!$C$2:$C$511,"*a)*",'00 Encuesta'!$E$2:$E$511,"*a)*",'00 Encuesta'!$AJ$2:$AJ$511,"*f)*")</f>
        <v>0</v>
      </c>
      <c r="J278" s="52" t="e">
        <f t="shared" si="350"/>
        <v>#DIV/0!</v>
      </c>
      <c r="K278" s="53">
        <f>COUNTIFS('00 Encuesta'!$B$2:$B$511,"*e)*",'00 Encuesta'!$C$2:$C$511,"*a)*",'00 Encuesta'!$E$2:$E$511,"*b)*",'00 Encuesta'!$AJ$2:$AJ$511,"*f)*")</f>
        <v>0</v>
      </c>
      <c r="L278" s="52" t="e">
        <f t="shared" si="351"/>
        <v>#DIV/0!</v>
      </c>
      <c r="M278" s="23"/>
      <c r="N278" s="51">
        <f t="shared" si="352"/>
        <v>0</v>
      </c>
      <c r="O278" s="52" t="e">
        <f t="shared" si="353"/>
        <v>#DIV/0!</v>
      </c>
      <c r="P278" s="53">
        <f>COUNTIFS('00 Encuesta'!$B$2:$B$511,"*e)*",'00 Encuesta'!$C$2:$C$511,"*b)*",'00 Encuesta'!$E$2:$E$511,"*a)*",'00 Encuesta'!$AJ$2:$AJ$511,"*f)*")</f>
        <v>0</v>
      </c>
      <c r="Q278" s="52" t="e">
        <f t="shared" si="354"/>
        <v>#DIV/0!</v>
      </c>
      <c r="R278" s="53">
        <f>COUNTIFS('00 Encuesta'!$B$2:$B$511,"*e)*",'00 Encuesta'!$C$2:$C$511,"*b)*",'00 Encuesta'!$E$2:$E$511,"*b)*",'00 Encuesta'!$AJ$2:$AJ$511,"*f)*")</f>
        <v>0</v>
      </c>
      <c r="S278" s="52" t="e">
        <f t="shared" si="355"/>
        <v>#DIV/0!</v>
      </c>
      <c r="T278" s="3"/>
      <c r="U278" s="51">
        <f t="shared" si="356"/>
        <v>0</v>
      </c>
      <c r="V278" s="52" t="e">
        <f t="shared" si="357"/>
        <v>#DIV/0!</v>
      </c>
      <c r="W278" s="53">
        <f>COUNTIFS('00 Encuesta'!$B$2:$B$511,"*e)*",'00 Encuesta'!$C$2:$C$511,"*c)*",'00 Encuesta'!$E$2:$E$511,"*a)*",'00 Encuesta'!$AJ$2:$AJ$511,"*f)*")</f>
        <v>0</v>
      </c>
      <c r="X278" s="52" t="e">
        <f t="shared" si="358"/>
        <v>#DIV/0!</v>
      </c>
      <c r="Y278" s="53">
        <f>COUNTIFS('00 Encuesta'!$B$2:$B$511,"*e)*",'00 Encuesta'!$C$2:$C$511,"*c)*",'00 Encuesta'!$E$2:$E$511,"*b)*",'00 Encuesta'!$AJ$2:$AJ$511,"*f)*")</f>
        <v>0</v>
      </c>
      <c r="Z278" s="52" t="e">
        <f t="shared" si="359"/>
        <v>#DIV/0!</v>
      </c>
      <c r="AA278" s="3"/>
      <c r="AB278" s="62">
        <f t="shared" si="360"/>
        <v>0</v>
      </c>
      <c r="AC278" s="52" t="e">
        <f t="shared" si="361"/>
        <v>#DIV/0!</v>
      </c>
      <c r="AD278" s="3"/>
      <c r="AE278" s="3"/>
      <c r="AF278" s="9" t="str">
        <f t="shared" si="362"/>
        <v>f) Toco un instrumento musical</v>
      </c>
      <c r="AG278" s="72" t="e">
        <f t="shared" si="370"/>
        <v>#DIV/0!</v>
      </c>
      <c r="AH278" s="72" t="e">
        <f t="shared" si="371"/>
        <v>#DIV/0!</v>
      </c>
      <c r="AI278" s="73" t="e">
        <f t="shared" si="372"/>
        <v>#DIV/0!</v>
      </c>
      <c r="AJ278" s="73"/>
      <c r="AK278" s="76" t="e">
        <f t="shared" si="363"/>
        <v>#DIV/0!</v>
      </c>
      <c r="AL278" s="76" t="e">
        <f t="shared" si="364"/>
        <v>#DIV/0!</v>
      </c>
      <c r="AM278" s="76" t="e">
        <f t="shared" si="365"/>
        <v>#DIV/0!</v>
      </c>
      <c r="AN278" s="76"/>
      <c r="AO278" s="81" t="e">
        <f t="shared" si="366"/>
        <v>#DIV/0!</v>
      </c>
      <c r="AP278" s="81" t="e">
        <f t="shared" si="367"/>
        <v>#DIV/0!</v>
      </c>
      <c r="AQ278" s="81" t="e">
        <f t="shared" si="368"/>
        <v>#DIV/0!</v>
      </c>
      <c r="AR278" s="3"/>
      <c r="AS278" s="76" t="e">
        <f t="shared" si="369"/>
        <v>#DIV/0!</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x14ac:dyDescent="0.3">
      <c r="A279" s="1" t="s">
        <v>61</v>
      </c>
      <c r="B279" s="2" t="s">
        <v>205</v>
      </c>
      <c r="C279" s="3"/>
      <c r="D279" s="7"/>
      <c r="E279" s="7"/>
      <c r="F279" s="71"/>
      <c r="G279" s="51">
        <f t="shared" si="348"/>
        <v>0</v>
      </c>
      <c r="H279" s="52" t="e">
        <f t="shared" si="349"/>
        <v>#DIV/0!</v>
      </c>
      <c r="I279" s="53">
        <f>COUNTIFS('00 Encuesta'!$B$2:$B$511,"*e)*",'00 Encuesta'!$C$2:$C$511,"*a)*",'00 Encuesta'!$E$2:$E$511,"*a)*",'00 Encuesta'!$AJ$2:$AJ$511,"*g)*")</f>
        <v>0</v>
      </c>
      <c r="J279" s="52" t="e">
        <f t="shared" si="350"/>
        <v>#DIV/0!</v>
      </c>
      <c r="K279" s="53">
        <f>COUNTIFS('00 Encuesta'!$B$2:$B$511,"*e)*",'00 Encuesta'!$C$2:$C$511,"*a)*",'00 Encuesta'!$E$2:$E$511,"*b)*",'00 Encuesta'!$AJ$2:$AJ$511,"*g)*")</f>
        <v>0</v>
      </c>
      <c r="L279" s="52" t="e">
        <f t="shared" si="351"/>
        <v>#DIV/0!</v>
      </c>
      <c r="M279" s="23"/>
      <c r="N279" s="51">
        <f t="shared" si="352"/>
        <v>0</v>
      </c>
      <c r="O279" s="52" t="e">
        <f t="shared" si="353"/>
        <v>#DIV/0!</v>
      </c>
      <c r="P279" s="53">
        <f>COUNTIFS('00 Encuesta'!$B$2:$B$511,"*e)*",'00 Encuesta'!$C$2:$C$511,"*b)*",'00 Encuesta'!$E$2:$E$511,"*a)*",'00 Encuesta'!$AJ$2:$AJ$511,"*g)*")</f>
        <v>0</v>
      </c>
      <c r="Q279" s="52" t="e">
        <f t="shared" si="354"/>
        <v>#DIV/0!</v>
      </c>
      <c r="R279" s="53">
        <f>COUNTIFS('00 Encuesta'!$B$2:$B$511,"*e)*",'00 Encuesta'!$C$2:$C$511,"*b)*",'00 Encuesta'!$E$2:$E$511,"*b)*",'00 Encuesta'!$AJ$2:$AJ$511,"*g)*")</f>
        <v>0</v>
      </c>
      <c r="S279" s="52" t="e">
        <f t="shared" si="355"/>
        <v>#DIV/0!</v>
      </c>
      <c r="T279" s="3"/>
      <c r="U279" s="51">
        <f t="shared" si="356"/>
        <v>0</v>
      </c>
      <c r="V279" s="52" t="e">
        <f t="shared" si="357"/>
        <v>#DIV/0!</v>
      </c>
      <c r="W279" s="53">
        <f>COUNTIFS('00 Encuesta'!$B$2:$B$511,"*e)*",'00 Encuesta'!$C$2:$C$511,"*c)*",'00 Encuesta'!$E$2:$E$511,"*a)*",'00 Encuesta'!$AJ$2:$AJ$511,"*g)*")</f>
        <v>0</v>
      </c>
      <c r="X279" s="52" t="e">
        <f t="shared" si="358"/>
        <v>#DIV/0!</v>
      </c>
      <c r="Y279" s="53">
        <f>COUNTIFS('00 Encuesta'!$B$2:$B$511,"*e)*",'00 Encuesta'!$C$2:$C$511,"*c)*",'00 Encuesta'!$E$2:$E$511,"*b)*",'00 Encuesta'!$AJ$2:$AJ$511,"*g)*")</f>
        <v>0</v>
      </c>
      <c r="Z279" s="52" t="e">
        <f t="shared" si="359"/>
        <v>#DIV/0!</v>
      </c>
      <c r="AA279" s="3"/>
      <c r="AB279" s="62">
        <f t="shared" si="360"/>
        <v>0</v>
      </c>
      <c r="AC279" s="52" t="e">
        <f t="shared" si="361"/>
        <v>#DIV/0!</v>
      </c>
      <c r="AD279" s="3"/>
      <c r="AE279" s="3"/>
      <c r="AF279" s="9" t="str">
        <f t="shared" si="362"/>
        <v>g) Suelo ir a discotecas o fiestas</v>
      </c>
      <c r="AG279" s="72" t="e">
        <f t="shared" si="370"/>
        <v>#DIV/0!</v>
      </c>
      <c r="AH279" s="72" t="e">
        <f t="shared" si="371"/>
        <v>#DIV/0!</v>
      </c>
      <c r="AI279" s="73" t="e">
        <f t="shared" si="372"/>
        <v>#DIV/0!</v>
      </c>
      <c r="AJ279" s="73"/>
      <c r="AK279" s="76" t="e">
        <f t="shared" si="363"/>
        <v>#DIV/0!</v>
      </c>
      <c r="AL279" s="76" t="e">
        <f t="shared" si="364"/>
        <v>#DIV/0!</v>
      </c>
      <c r="AM279" s="76" t="e">
        <f t="shared" si="365"/>
        <v>#DIV/0!</v>
      </c>
      <c r="AN279" s="76"/>
      <c r="AO279" s="81" t="e">
        <f t="shared" si="366"/>
        <v>#DIV/0!</v>
      </c>
      <c r="AP279" s="81" t="e">
        <f t="shared" si="367"/>
        <v>#DIV/0!</v>
      </c>
      <c r="AQ279" s="81" t="e">
        <f t="shared" si="368"/>
        <v>#DIV/0!</v>
      </c>
      <c r="AR279" s="3"/>
      <c r="AS279" s="76" t="e">
        <f t="shared" si="369"/>
        <v>#DIV/0!</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x14ac:dyDescent="0.3">
      <c r="A280" s="1" t="s">
        <v>63</v>
      </c>
      <c r="B280" s="2" t="s">
        <v>206</v>
      </c>
      <c r="C280" s="3"/>
      <c r="D280" s="7"/>
      <c r="E280" s="7"/>
      <c r="F280" s="71"/>
      <c r="G280" s="51">
        <f t="shared" si="348"/>
        <v>0</v>
      </c>
      <c r="H280" s="52" t="e">
        <f t="shared" si="349"/>
        <v>#DIV/0!</v>
      </c>
      <c r="I280" s="53">
        <f>COUNTIFS('00 Encuesta'!$B$2:$B$511,"*e)*",'00 Encuesta'!$C$2:$C$511,"*a)*",'00 Encuesta'!$E$2:$E$511,"*a)*",'00 Encuesta'!$AJ$2:$AJ$511,"*h)*")</f>
        <v>0</v>
      </c>
      <c r="J280" s="52" t="e">
        <f t="shared" si="350"/>
        <v>#DIV/0!</v>
      </c>
      <c r="K280" s="53">
        <f>COUNTIFS('00 Encuesta'!$B$2:$B$511,"*e)*",'00 Encuesta'!$C$2:$C$511,"*a)*",'00 Encuesta'!$E$2:$E$511,"*b)*",'00 Encuesta'!$AJ$2:$AJ$511,"*h)*")</f>
        <v>0</v>
      </c>
      <c r="L280" s="52" t="e">
        <f t="shared" si="351"/>
        <v>#DIV/0!</v>
      </c>
      <c r="M280" s="23"/>
      <c r="N280" s="51">
        <f t="shared" si="352"/>
        <v>0</v>
      </c>
      <c r="O280" s="52" t="e">
        <f t="shared" si="353"/>
        <v>#DIV/0!</v>
      </c>
      <c r="P280" s="53">
        <f>COUNTIFS('00 Encuesta'!$B$2:$B$511,"*e)*",'00 Encuesta'!$C$2:$C$511,"*b)*",'00 Encuesta'!$E$2:$E$511,"*a)*",'00 Encuesta'!$AJ$2:$AJ$511,"*h)*")</f>
        <v>0</v>
      </c>
      <c r="Q280" s="52" t="e">
        <f t="shared" si="354"/>
        <v>#DIV/0!</v>
      </c>
      <c r="R280" s="53">
        <f>COUNTIFS('00 Encuesta'!$B$2:$B$511,"*e)*",'00 Encuesta'!$C$2:$C$511,"*b)*",'00 Encuesta'!$E$2:$E$511,"*b)*",'00 Encuesta'!$AJ$2:$AJ$511,"*h)*")</f>
        <v>0</v>
      </c>
      <c r="S280" s="52" t="e">
        <f t="shared" si="355"/>
        <v>#DIV/0!</v>
      </c>
      <c r="T280" s="3"/>
      <c r="U280" s="51">
        <f t="shared" si="356"/>
        <v>0</v>
      </c>
      <c r="V280" s="52" t="e">
        <f t="shared" si="357"/>
        <v>#DIV/0!</v>
      </c>
      <c r="W280" s="53">
        <f>COUNTIFS('00 Encuesta'!$B$2:$B$511,"*e)*",'00 Encuesta'!$C$2:$C$511,"*c)*",'00 Encuesta'!$E$2:$E$511,"*a)*",'00 Encuesta'!$AJ$2:$AJ$511,"*h)*")</f>
        <v>0</v>
      </c>
      <c r="X280" s="52" t="e">
        <f t="shared" si="358"/>
        <v>#DIV/0!</v>
      </c>
      <c r="Y280" s="53">
        <f>COUNTIFS('00 Encuesta'!$B$2:$B$511,"*e)*",'00 Encuesta'!$C$2:$C$511,"*c)*",'00 Encuesta'!$E$2:$E$511,"*b)*",'00 Encuesta'!$AJ$2:$AJ$511,"*h)*")</f>
        <v>0</v>
      </c>
      <c r="Z280" s="52" t="e">
        <f t="shared" si="359"/>
        <v>#DIV/0!</v>
      </c>
      <c r="AA280" s="3"/>
      <c r="AB280" s="62">
        <f t="shared" si="360"/>
        <v>0</v>
      </c>
      <c r="AC280" s="52" t="e">
        <f t="shared" si="361"/>
        <v>#DIV/0!</v>
      </c>
      <c r="AD280" s="3"/>
      <c r="AE280" s="3"/>
      <c r="AF280" s="9" t="str">
        <f t="shared" si="362"/>
        <v>h) Suelo ir al cine</v>
      </c>
      <c r="AG280" s="72" t="e">
        <f t="shared" si="370"/>
        <v>#DIV/0!</v>
      </c>
      <c r="AH280" s="72" t="e">
        <f t="shared" si="371"/>
        <v>#DIV/0!</v>
      </c>
      <c r="AI280" s="73" t="e">
        <f t="shared" si="372"/>
        <v>#DIV/0!</v>
      </c>
      <c r="AJ280" s="73"/>
      <c r="AK280" s="76" t="e">
        <f t="shared" si="363"/>
        <v>#DIV/0!</v>
      </c>
      <c r="AL280" s="76" t="e">
        <f t="shared" si="364"/>
        <v>#DIV/0!</v>
      </c>
      <c r="AM280" s="76" t="e">
        <f t="shared" si="365"/>
        <v>#DIV/0!</v>
      </c>
      <c r="AN280" s="76"/>
      <c r="AO280" s="81" t="e">
        <f t="shared" si="366"/>
        <v>#DIV/0!</v>
      </c>
      <c r="AP280" s="81" t="e">
        <f t="shared" si="367"/>
        <v>#DIV/0!</v>
      </c>
      <c r="AQ280" s="81" t="e">
        <f t="shared" si="368"/>
        <v>#DIV/0!</v>
      </c>
      <c r="AR280" s="3"/>
      <c r="AS280" s="76" t="e">
        <f t="shared" si="369"/>
        <v>#DIV/0!</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x14ac:dyDescent="0.3">
      <c r="A281" s="8" t="s">
        <v>65</v>
      </c>
      <c r="B281" s="9" t="s">
        <v>207</v>
      </c>
      <c r="C281" s="7"/>
      <c r="D281" s="7"/>
      <c r="E281" s="7"/>
      <c r="F281" s="71"/>
      <c r="G281" s="51">
        <f t="shared" si="348"/>
        <v>0</v>
      </c>
      <c r="H281" s="52" t="e">
        <f t="shared" si="349"/>
        <v>#DIV/0!</v>
      </c>
      <c r="I281" s="53">
        <f>COUNTIFS('00 Encuesta'!$B$2:$B$511,"*e)*",'00 Encuesta'!$C$2:$C$511,"*a)*",'00 Encuesta'!$E$2:$E$511,"*a)*",'00 Encuesta'!$AJ$2:$AJ$511,"*i)*")</f>
        <v>0</v>
      </c>
      <c r="J281" s="52" t="e">
        <f t="shared" si="350"/>
        <v>#DIV/0!</v>
      </c>
      <c r="K281" s="53">
        <f>COUNTIFS('00 Encuesta'!$B$2:$B$511,"*e)*",'00 Encuesta'!$C$2:$C$511,"*a)*",'00 Encuesta'!$E$2:$E$511,"*b)*",'00 Encuesta'!$AJ$2:$AJ$511,"*i)*")</f>
        <v>0</v>
      </c>
      <c r="L281" s="52" t="e">
        <f t="shared" si="351"/>
        <v>#DIV/0!</v>
      </c>
      <c r="M281" s="23"/>
      <c r="N281" s="51">
        <f t="shared" si="352"/>
        <v>0</v>
      </c>
      <c r="O281" s="52" t="e">
        <f t="shared" si="353"/>
        <v>#DIV/0!</v>
      </c>
      <c r="P281" s="53">
        <f>COUNTIFS('00 Encuesta'!$B$2:$B$511,"*e)*",'00 Encuesta'!$C$2:$C$511,"*b)*",'00 Encuesta'!$E$2:$E$511,"*a)*",'00 Encuesta'!$AJ$2:$AJ$511,"*i)*")</f>
        <v>0</v>
      </c>
      <c r="Q281" s="52" t="e">
        <f t="shared" si="354"/>
        <v>#DIV/0!</v>
      </c>
      <c r="R281" s="53">
        <f>COUNTIFS('00 Encuesta'!$B$2:$B$511,"*e)*",'00 Encuesta'!$C$2:$C$511,"*b)*",'00 Encuesta'!$E$2:$E$511,"*b)*",'00 Encuesta'!$AJ$2:$AJ$511,"*i)*")</f>
        <v>0</v>
      </c>
      <c r="S281" s="52" t="e">
        <f t="shared" si="355"/>
        <v>#DIV/0!</v>
      </c>
      <c r="T281" s="3"/>
      <c r="U281" s="51">
        <f t="shared" si="356"/>
        <v>0</v>
      </c>
      <c r="V281" s="52" t="e">
        <f t="shared" si="357"/>
        <v>#DIV/0!</v>
      </c>
      <c r="W281" s="53">
        <f>COUNTIFS('00 Encuesta'!$B$2:$B$511,"*e)*",'00 Encuesta'!$C$2:$C$511,"*c)*",'00 Encuesta'!$E$2:$E$511,"*a)*",'00 Encuesta'!$AJ$2:$AJ$511,"*i)*")</f>
        <v>0</v>
      </c>
      <c r="X281" s="52" t="e">
        <f t="shared" si="358"/>
        <v>#DIV/0!</v>
      </c>
      <c r="Y281" s="53">
        <f>COUNTIFS('00 Encuesta'!$B$2:$B$511,"*e)*",'00 Encuesta'!$C$2:$C$511,"*c)*",'00 Encuesta'!$E$2:$E$511,"*b)*",'00 Encuesta'!$AJ$2:$AJ$511,"*i)*")</f>
        <v>0</v>
      </c>
      <c r="Z281" s="52" t="e">
        <f t="shared" si="359"/>
        <v>#DIV/0!</v>
      </c>
      <c r="AA281" s="3"/>
      <c r="AB281" s="62">
        <f t="shared" si="360"/>
        <v>0</v>
      </c>
      <c r="AC281" s="52" t="e">
        <f t="shared" si="361"/>
        <v>#DIV/0!</v>
      </c>
      <c r="AD281" s="3"/>
      <c r="AE281" s="3"/>
      <c r="AF281" s="9" t="str">
        <f t="shared" si="362"/>
        <v>i) Leo revistas o libros</v>
      </c>
      <c r="AG281" s="72" t="e">
        <f t="shared" si="370"/>
        <v>#DIV/0!</v>
      </c>
      <c r="AH281" s="72" t="e">
        <f t="shared" si="371"/>
        <v>#DIV/0!</v>
      </c>
      <c r="AI281" s="73" t="e">
        <f t="shared" si="372"/>
        <v>#DIV/0!</v>
      </c>
      <c r="AJ281" s="73"/>
      <c r="AK281" s="76" t="e">
        <f t="shared" si="363"/>
        <v>#DIV/0!</v>
      </c>
      <c r="AL281" s="76" t="e">
        <f t="shared" si="364"/>
        <v>#DIV/0!</v>
      </c>
      <c r="AM281" s="76" t="e">
        <f t="shared" si="365"/>
        <v>#DIV/0!</v>
      </c>
      <c r="AN281" s="76"/>
      <c r="AO281" s="81" t="e">
        <f t="shared" si="366"/>
        <v>#DIV/0!</v>
      </c>
      <c r="AP281" s="81" t="e">
        <f t="shared" si="367"/>
        <v>#DIV/0!</v>
      </c>
      <c r="AQ281" s="81" t="e">
        <f t="shared" si="368"/>
        <v>#DIV/0!</v>
      </c>
      <c r="AR281" s="3"/>
      <c r="AS281" s="76" t="e">
        <f t="shared" si="369"/>
        <v>#DIV/0!</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0</v>
      </c>
      <c r="H282" s="52" t="e">
        <f t="shared" si="349"/>
        <v>#DIV/0!</v>
      </c>
      <c r="I282" s="53">
        <f>COUNTIFS('00 Encuesta'!$B$2:$B$511,"*e)*",'00 Encuesta'!$C$2:$C$511,"*a)*",'00 Encuesta'!$E$2:$E$511,"*a)*",'00 Encuesta'!$AJ$2:$AJ$511,"*j)*")</f>
        <v>0</v>
      </c>
      <c r="J282" s="52" t="e">
        <f t="shared" si="350"/>
        <v>#DIV/0!</v>
      </c>
      <c r="K282" s="53">
        <f>COUNTIFS('00 Encuesta'!$B$2:$B$511,"*e)*",'00 Encuesta'!$C$2:$C$511,"*a)*",'00 Encuesta'!$E$2:$E$511,"*b)*",'00 Encuesta'!$AJ$2:$AJ$511,"*j)*")</f>
        <v>0</v>
      </c>
      <c r="L282" s="52" t="e">
        <f t="shared" si="351"/>
        <v>#DIV/0!</v>
      </c>
      <c r="M282" s="23"/>
      <c r="N282" s="51">
        <f t="shared" si="352"/>
        <v>0</v>
      </c>
      <c r="O282" s="52" t="e">
        <f t="shared" si="353"/>
        <v>#DIV/0!</v>
      </c>
      <c r="P282" s="53">
        <f>COUNTIFS('00 Encuesta'!$B$2:$B$511,"*e)*",'00 Encuesta'!$C$2:$C$511,"*b)*",'00 Encuesta'!$E$2:$E$511,"*a)*",'00 Encuesta'!$AJ$2:$AJ$511,"*j)*")</f>
        <v>0</v>
      </c>
      <c r="Q282" s="52" t="e">
        <f t="shared" si="354"/>
        <v>#DIV/0!</v>
      </c>
      <c r="R282" s="53">
        <f>COUNTIFS('00 Encuesta'!$B$2:$B$511,"*e)*",'00 Encuesta'!$C$2:$C$511,"*b)*",'00 Encuesta'!$E$2:$E$511,"*b)*",'00 Encuesta'!$AJ$2:$AJ$511,"*j)*")</f>
        <v>0</v>
      </c>
      <c r="S282" s="52" t="e">
        <f t="shared" si="355"/>
        <v>#DIV/0!</v>
      </c>
      <c r="T282" s="3"/>
      <c r="U282" s="51">
        <f t="shared" si="356"/>
        <v>0</v>
      </c>
      <c r="V282" s="52" t="e">
        <f t="shared" si="357"/>
        <v>#DIV/0!</v>
      </c>
      <c r="W282" s="53">
        <f>COUNTIFS('00 Encuesta'!$B$2:$B$511,"*e)*",'00 Encuesta'!$C$2:$C$511,"*c)*",'00 Encuesta'!$E$2:$E$511,"*a)*",'00 Encuesta'!$AJ$2:$AJ$511,"*j)*")</f>
        <v>0</v>
      </c>
      <c r="X282" s="52" t="e">
        <f t="shared" si="358"/>
        <v>#DIV/0!</v>
      </c>
      <c r="Y282" s="53">
        <f>COUNTIFS('00 Encuesta'!$B$2:$B$511,"*e)*",'00 Encuesta'!$C$2:$C$511,"*c)*",'00 Encuesta'!$E$2:$E$511,"*b)*",'00 Encuesta'!$AJ$2:$AJ$511,"*j)*")</f>
        <v>0</v>
      </c>
      <c r="Z282" s="52" t="e">
        <f t="shared" si="359"/>
        <v>#DIV/0!</v>
      </c>
      <c r="AA282" s="3"/>
      <c r="AB282" s="62">
        <f t="shared" si="360"/>
        <v>0</v>
      </c>
      <c r="AC282" s="52" t="e">
        <f t="shared" si="361"/>
        <v>#DIV/0!</v>
      </c>
      <c r="AD282" s="3"/>
      <c r="AE282" s="3"/>
      <c r="AF282" s="9" t="str">
        <f t="shared" si="362"/>
        <v>j) Estoy en algún grupo juvenil</v>
      </c>
      <c r="AG282" s="72" t="e">
        <f t="shared" si="370"/>
        <v>#DIV/0!</v>
      </c>
      <c r="AH282" s="72" t="e">
        <f t="shared" si="371"/>
        <v>#DIV/0!</v>
      </c>
      <c r="AI282" s="73" t="e">
        <f t="shared" si="372"/>
        <v>#DIV/0!</v>
      </c>
      <c r="AJ282" s="73"/>
      <c r="AK282" s="76" t="e">
        <f t="shared" si="363"/>
        <v>#DIV/0!</v>
      </c>
      <c r="AL282" s="76" t="e">
        <f t="shared" si="364"/>
        <v>#DIV/0!</v>
      </c>
      <c r="AM282" s="76" t="e">
        <f t="shared" si="365"/>
        <v>#DIV/0!</v>
      </c>
      <c r="AN282" s="76"/>
      <c r="AO282" s="81" t="e">
        <f t="shared" si="366"/>
        <v>#DIV/0!</v>
      </c>
      <c r="AP282" s="81" t="e">
        <f t="shared" si="367"/>
        <v>#DIV/0!</v>
      </c>
      <c r="AQ282" s="81" t="e">
        <f t="shared" si="368"/>
        <v>#DIV/0!</v>
      </c>
      <c r="AR282" s="3"/>
      <c r="AS282" s="76" t="e">
        <f t="shared" si="369"/>
        <v>#DIV/0!</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0</v>
      </c>
      <c r="H283" s="52" t="e">
        <f t="shared" si="349"/>
        <v>#DIV/0!</v>
      </c>
      <c r="I283" s="53">
        <f>COUNTIFS('00 Encuesta'!$B$2:$B$511,"*e)*",'00 Encuesta'!$C$2:$C$511,"*a)*",'00 Encuesta'!$E$2:$E$511,"*a)*",'00 Encuesta'!$AJ$2:$AJ$511,"*k)*")</f>
        <v>0</v>
      </c>
      <c r="J283" s="52" t="e">
        <f t="shared" si="350"/>
        <v>#DIV/0!</v>
      </c>
      <c r="K283" s="53">
        <f>COUNTIFS('00 Encuesta'!$B$2:$B$511,"*e)*",'00 Encuesta'!$C$2:$C$511,"*a)*",'00 Encuesta'!$E$2:$E$511,"*b)*",'00 Encuesta'!$AJ$2:$AJ$511,"*k)*")</f>
        <v>0</v>
      </c>
      <c r="L283" s="52" t="e">
        <f t="shared" si="351"/>
        <v>#DIV/0!</v>
      </c>
      <c r="M283" s="23"/>
      <c r="N283" s="51">
        <f t="shared" si="352"/>
        <v>0</v>
      </c>
      <c r="O283" s="52" t="e">
        <f t="shared" si="353"/>
        <v>#DIV/0!</v>
      </c>
      <c r="P283" s="53">
        <f>COUNTIFS('00 Encuesta'!$B$2:$B$511,"*e)*",'00 Encuesta'!$C$2:$C$511,"*b)*",'00 Encuesta'!$E$2:$E$511,"*a)*",'00 Encuesta'!$AJ$2:$AJ$511,"*k)*")</f>
        <v>0</v>
      </c>
      <c r="Q283" s="52" t="e">
        <f t="shared" si="354"/>
        <v>#DIV/0!</v>
      </c>
      <c r="R283" s="53">
        <f>COUNTIFS('00 Encuesta'!$B$2:$B$511,"*e)*",'00 Encuesta'!$C$2:$C$511,"*b)*",'00 Encuesta'!$E$2:$E$511,"*b)*",'00 Encuesta'!$AJ$2:$AJ$511,"*k)*")</f>
        <v>0</v>
      </c>
      <c r="S283" s="52" t="e">
        <f t="shared" si="355"/>
        <v>#DIV/0!</v>
      </c>
      <c r="T283" s="3"/>
      <c r="U283" s="51">
        <f t="shared" si="356"/>
        <v>0</v>
      </c>
      <c r="V283" s="52" t="e">
        <f t="shared" si="357"/>
        <v>#DIV/0!</v>
      </c>
      <c r="W283" s="53">
        <f>COUNTIFS('00 Encuesta'!$B$2:$B$511,"*e)*",'00 Encuesta'!$C$2:$C$511,"*c)*",'00 Encuesta'!$E$2:$E$511,"*a)*",'00 Encuesta'!$AJ$2:$AJ$511,"*k)*")</f>
        <v>0</v>
      </c>
      <c r="X283" s="52" t="e">
        <f t="shared" si="358"/>
        <v>#DIV/0!</v>
      </c>
      <c r="Y283" s="53">
        <f>COUNTIFS('00 Encuesta'!$B$2:$B$511,"*e)*",'00 Encuesta'!$C$2:$C$511,"*c)*",'00 Encuesta'!$E$2:$E$511,"*b)*",'00 Encuesta'!$AJ$2:$AJ$511,"*k)*")</f>
        <v>0</v>
      </c>
      <c r="Z283" s="52" t="e">
        <f t="shared" si="359"/>
        <v>#DIV/0!</v>
      </c>
      <c r="AA283" s="3"/>
      <c r="AB283" s="62">
        <f t="shared" si="360"/>
        <v>0</v>
      </c>
      <c r="AC283" s="52" t="e">
        <f t="shared" si="361"/>
        <v>#DIV/0!</v>
      </c>
      <c r="AD283" s="3"/>
      <c r="AE283" s="3"/>
      <c r="AF283" s="9" t="str">
        <f t="shared" si="362"/>
        <v>k) Practico algún deporte</v>
      </c>
      <c r="AG283" s="72" t="e">
        <f t="shared" si="370"/>
        <v>#DIV/0!</v>
      </c>
      <c r="AH283" s="72" t="e">
        <f t="shared" si="371"/>
        <v>#DIV/0!</v>
      </c>
      <c r="AI283" s="73" t="e">
        <f t="shared" si="372"/>
        <v>#DIV/0!</v>
      </c>
      <c r="AJ283" s="73"/>
      <c r="AK283" s="76" t="e">
        <f t="shared" si="363"/>
        <v>#DIV/0!</v>
      </c>
      <c r="AL283" s="76" t="e">
        <f t="shared" si="364"/>
        <v>#DIV/0!</v>
      </c>
      <c r="AM283" s="76" t="e">
        <f t="shared" si="365"/>
        <v>#DIV/0!</v>
      </c>
      <c r="AN283" s="76"/>
      <c r="AO283" s="81" t="e">
        <f t="shared" si="366"/>
        <v>#DIV/0!</v>
      </c>
      <c r="AP283" s="81" t="e">
        <f t="shared" si="367"/>
        <v>#DIV/0!</v>
      </c>
      <c r="AQ283" s="81" t="e">
        <f t="shared" si="368"/>
        <v>#DIV/0!</v>
      </c>
      <c r="AR283" s="3"/>
      <c r="AS283" s="76" t="e">
        <f t="shared" si="369"/>
        <v>#DIV/0!</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0</v>
      </c>
      <c r="H284" s="52" t="e">
        <f t="shared" si="349"/>
        <v>#DIV/0!</v>
      </c>
      <c r="I284" s="53">
        <f>COUNTIFS('00 Encuesta'!$B$2:$B$511,"*e)*",'00 Encuesta'!$C$2:$C$511,"*a)*",'00 Encuesta'!$E$2:$E$511,"*a)*",'00 Encuesta'!$AJ$2:$AJ$511,"*l)*")</f>
        <v>0</v>
      </c>
      <c r="J284" s="52" t="e">
        <f t="shared" si="350"/>
        <v>#DIV/0!</v>
      </c>
      <c r="K284" s="53">
        <f>COUNTIFS('00 Encuesta'!$B$2:$B$511,"*e)*",'00 Encuesta'!$C$2:$C$511,"*a)*",'00 Encuesta'!$E$2:$E$511,"*b)*",'00 Encuesta'!$AJ$2:$AJ$511,"*l)*")</f>
        <v>0</v>
      </c>
      <c r="L284" s="52" t="e">
        <f t="shared" si="351"/>
        <v>#DIV/0!</v>
      </c>
      <c r="M284" s="23"/>
      <c r="N284" s="51">
        <f t="shared" si="352"/>
        <v>0</v>
      </c>
      <c r="O284" s="52" t="e">
        <f t="shared" si="353"/>
        <v>#DIV/0!</v>
      </c>
      <c r="P284" s="53">
        <f>COUNTIFS('00 Encuesta'!$B$2:$B$511,"*e)*",'00 Encuesta'!$C$2:$C$511,"*b)*",'00 Encuesta'!$E$2:$E$511,"*a)*",'00 Encuesta'!$AJ$2:$AJ$511,"*l)*")</f>
        <v>0</v>
      </c>
      <c r="Q284" s="52" t="e">
        <f t="shared" si="354"/>
        <v>#DIV/0!</v>
      </c>
      <c r="R284" s="53">
        <f>COUNTIFS('00 Encuesta'!$B$2:$B$511,"*e)*",'00 Encuesta'!$C$2:$C$511,"*b)*",'00 Encuesta'!$E$2:$E$511,"*b)*",'00 Encuesta'!$AJ$2:$AJ$511,"*l)*")</f>
        <v>0</v>
      </c>
      <c r="S284" s="52" t="e">
        <f t="shared" si="355"/>
        <v>#DIV/0!</v>
      </c>
      <c r="T284" s="3"/>
      <c r="U284" s="51">
        <f t="shared" si="356"/>
        <v>0</v>
      </c>
      <c r="V284" s="52" t="e">
        <f t="shared" si="357"/>
        <v>#DIV/0!</v>
      </c>
      <c r="W284" s="53">
        <f>COUNTIFS('00 Encuesta'!$B$2:$B$511,"*e)*",'00 Encuesta'!$C$2:$C$511,"*c)*",'00 Encuesta'!$E$2:$E$511,"*a)*",'00 Encuesta'!$AJ$2:$AJ$511,"*l)*")</f>
        <v>0</v>
      </c>
      <c r="X284" s="52" t="e">
        <f t="shared" si="358"/>
        <v>#DIV/0!</v>
      </c>
      <c r="Y284" s="53">
        <f>COUNTIFS('00 Encuesta'!$B$2:$B$511,"*e)*",'00 Encuesta'!$C$2:$C$511,"*c)*",'00 Encuesta'!$E$2:$E$511,"*b)*",'00 Encuesta'!$AJ$2:$AJ$511,"*l)*")</f>
        <v>0</v>
      </c>
      <c r="Z284" s="52" t="e">
        <f t="shared" si="359"/>
        <v>#DIV/0!</v>
      </c>
      <c r="AA284" s="3"/>
      <c r="AB284" s="62">
        <f t="shared" si="360"/>
        <v>0</v>
      </c>
      <c r="AC284" s="52" t="e">
        <f t="shared" si="361"/>
        <v>#DIV/0!</v>
      </c>
      <c r="AD284" s="3"/>
      <c r="AE284" s="3"/>
      <c r="AF284" s="9" t="str">
        <f t="shared" si="362"/>
        <v>l) Escuho música y/o veo videos musicales</v>
      </c>
      <c r="AG284" s="72" t="e">
        <f t="shared" si="370"/>
        <v>#DIV/0!</v>
      </c>
      <c r="AH284" s="72" t="e">
        <f t="shared" si="371"/>
        <v>#DIV/0!</v>
      </c>
      <c r="AI284" s="73" t="e">
        <f t="shared" si="372"/>
        <v>#DIV/0!</v>
      </c>
      <c r="AJ284" s="73"/>
      <c r="AK284" s="76" t="e">
        <f t="shared" si="363"/>
        <v>#DIV/0!</v>
      </c>
      <c r="AL284" s="76" t="e">
        <f t="shared" si="364"/>
        <v>#DIV/0!</v>
      </c>
      <c r="AM284" s="76" t="e">
        <f t="shared" si="365"/>
        <v>#DIV/0!</v>
      </c>
      <c r="AN284" s="76"/>
      <c r="AO284" s="81" t="e">
        <f t="shared" si="366"/>
        <v>#DIV/0!</v>
      </c>
      <c r="AP284" s="81" t="e">
        <f t="shared" si="367"/>
        <v>#DIV/0!</v>
      </c>
      <c r="AQ284" s="81" t="e">
        <f t="shared" si="368"/>
        <v>#DIV/0!</v>
      </c>
      <c r="AR284" s="3"/>
      <c r="AS284" s="76" t="e">
        <f t="shared" si="369"/>
        <v>#DIV/0!</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0</v>
      </c>
      <c r="H285" s="52" t="e">
        <f t="shared" si="349"/>
        <v>#DIV/0!</v>
      </c>
      <c r="I285" s="53">
        <f>COUNTIFS('00 Encuesta'!$B$2:$B$511,"*e)*",'00 Encuesta'!$C$2:$C$511,"*a)*",'00 Encuesta'!$E$2:$E$511,"*a)*",'00 Encuesta'!$AJ$2:$AJ$511,"*m)*")</f>
        <v>0</v>
      </c>
      <c r="J285" s="52" t="e">
        <f t="shared" si="350"/>
        <v>#DIV/0!</v>
      </c>
      <c r="K285" s="53">
        <f>COUNTIFS('00 Encuesta'!$B$2:$B$511,"*e)*",'00 Encuesta'!$C$2:$C$511,"*a)*",'00 Encuesta'!$E$2:$E$511,"*b)*",'00 Encuesta'!$AJ$2:$AJ$511,"*m)*")</f>
        <v>0</v>
      </c>
      <c r="L285" s="52" t="e">
        <f t="shared" si="351"/>
        <v>#DIV/0!</v>
      </c>
      <c r="M285" s="23"/>
      <c r="N285" s="51">
        <f t="shared" si="352"/>
        <v>0</v>
      </c>
      <c r="O285" s="52" t="e">
        <f t="shared" si="353"/>
        <v>#DIV/0!</v>
      </c>
      <c r="P285" s="53">
        <f>COUNTIFS('00 Encuesta'!$B$2:$B$511,"*e)*",'00 Encuesta'!$C$2:$C$511,"*b)*",'00 Encuesta'!$E$2:$E$511,"*a)*",'00 Encuesta'!$AJ$2:$AJ$511,"*m)*")</f>
        <v>0</v>
      </c>
      <c r="Q285" s="52" t="e">
        <f t="shared" si="354"/>
        <v>#DIV/0!</v>
      </c>
      <c r="R285" s="53">
        <f>COUNTIFS('00 Encuesta'!$B$2:$B$511,"*e)*",'00 Encuesta'!$C$2:$C$511,"*b)*",'00 Encuesta'!$E$2:$E$511,"*b)*",'00 Encuesta'!$AJ$2:$AJ$511,"*m)*")</f>
        <v>0</v>
      </c>
      <c r="S285" s="52" t="e">
        <f t="shared" si="355"/>
        <v>#DIV/0!</v>
      </c>
      <c r="T285" s="3"/>
      <c r="U285" s="51">
        <f t="shared" si="356"/>
        <v>0</v>
      </c>
      <c r="V285" s="52" t="e">
        <f t="shared" si="357"/>
        <v>#DIV/0!</v>
      </c>
      <c r="W285" s="53">
        <f>COUNTIFS('00 Encuesta'!$B$2:$B$511,"*e)*",'00 Encuesta'!$C$2:$C$511,"*c)*",'00 Encuesta'!$E$2:$E$511,"*a)*",'00 Encuesta'!$AJ$2:$AJ$511,"*m)*")</f>
        <v>0</v>
      </c>
      <c r="X285" s="52" t="e">
        <f t="shared" si="358"/>
        <v>#DIV/0!</v>
      </c>
      <c r="Y285" s="53">
        <f>COUNTIFS('00 Encuesta'!$B$2:$B$511,"*e)*",'00 Encuesta'!$C$2:$C$511,"*c)*",'00 Encuesta'!$E$2:$E$511,"*b)*",'00 Encuesta'!$AJ$2:$AJ$511,"*m)*")</f>
        <v>0</v>
      </c>
      <c r="Z285" s="52" t="e">
        <f t="shared" si="359"/>
        <v>#DIV/0!</v>
      </c>
      <c r="AA285" s="3"/>
      <c r="AB285" s="62">
        <f t="shared" si="360"/>
        <v>0</v>
      </c>
      <c r="AC285" s="52" t="e">
        <f t="shared" si="361"/>
        <v>#DIV/0!</v>
      </c>
      <c r="AD285" s="3"/>
      <c r="AE285" s="3"/>
      <c r="AF285" s="9" t="str">
        <f t="shared" si="362"/>
        <v>m) Veo televisión y/o películas</v>
      </c>
      <c r="AG285" s="72" t="e">
        <f t="shared" si="370"/>
        <v>#DIV/0!</v>
      </c>
      <c r="AH285" s="72" t="e">
        <f t="shared" si="371"/>
        <v>#DIV/0!</v>
      </c>
      <c r="AI285" s="73" t="e">
        <f t="shared" si="372"/>
        <v>#DIV/0!</v>
      </c>
      <c r="AJ285" s="73"/>
      <c r="AK285" s="76" t="e">
        <f t="shared" si="363"/>
        <v>#DIV/0!</v>
      </c>
      <c r="AL285" s="76" t="e">
        <f t="shared" si="364"/>
        <v>#DIV/0!</v>
      </c>
      <c r="AM285" s="76" t="e">
        <f t="shared" si="365"/>
        <v>#DIV/0!</v>
      </c>
      <c r="AN285" s="76"/>
      <c r="AO285" s="81" t="e">
        <f t="shared" si="366"/>
        <v>#DIV/0!</v>
      </c>
      <c r="AP285" s="81" t="e">
        <f t="shared" si="367"/>
        <v>#DIV/0!</v>
      </c>
      <c r="AQ285" s="81" t="e">
        <f t="shared" si="368"/>
        <v>#DIV/0!</v>
      </c>
      <c r="AR285" s="3"/>
      <c r="AS285" s="76" t="e">
        <f t="shared" si="369"/>
        <v>#DIV/0!</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x14ac:dyDescent="0.3">
      <c r="A286" s="8" t="s">
        <v>213</v>
      </c>
      <c r="B286" s="9" t="s">
        <v>214</v>
      </c>
      <c r="C286" s="7"/>
      <c r="D286" s="7"/>
      <c r="E286" s="7"/>
      <c r="F286" s="71"/>
      <c r="G286" s="51">
        <f t="shared" si="348"/>
        <v>0</v>
      </c>
      <c r="H286" s="52" t="e">
        <f t="shared" si="349"/>
        <v>#DIV/0!</v>
      </c>
      <c r="I286" s="53">
        <f>COUNTIFS('00 Encuesta'!$B$2:$B$511,"*e)*",'00 Encuesta'!$C$2:$C$511,"*a)*",'00 Encuesta'!$E$2:$E$511,"*a)*",'00 Encuesta'!$AJ$2:$AJ$511,"*n)*")</f>
        <v>0</v>
      </c>
      <c r="J286" s="52" t="e">
        <f t="shared" si="350"/>
        <v>#DIV/0!</v>
      </c>
      <c r="K286" s="53">
        <f>COUNTIFS('00 Encuesta'!$B$2:$B$511,"*e)*",'00 Encuesta'!$C$2:$C$511,"*a)*",'00 Encuesta'!$E$2:$E$511,"*b)*",'00 Encuesta'!$AJ$2:$AJ$511,"*n)*")</f>
        <v>0</v>
      </c>
      <c r="L286" s="52" t="e">
        <f t="shared" si="351"/>
        <v>#DIV/0!</v>
      </c>
      <c r="M286" s="23"/>
      <c r="N286" s="51">
        <f t="shared" si="352"/>
        <v>0</v>
      </c>
      <c r="O286" s="52" t="e">
        <f t="shared" si="353"/>
        <v>#DIV/0!</v>
      </c>
      <c r="P286" s="53">
        <f>COUNTIFS('00 Encuesta'!$B$2:$B$511,"*e)*",'00 Encuesta'!$C$2:$C$511,"*b)*",'00 Encuesta'!$E$2:$E$511,"*a)*",'00 Encuesta'!$AJ$2:$AJ$511,"*n)*")</f>
        <v>0</v>
      </c>
      <c r="Q286" s="52" t="e">
        <f t="shared" si="354"/>
        <v>#DIV/0!</v>
      </c>
      <c r="R286" s="53">
        <f>COUNTIFS('00 Encuesta'!$B$2:$B$511,"*e)*",'00 Encuesta'!$C$2:$C$511,"*b)*",'00 Encuesta'!$E$2:$E$511,"*b)*",'00 Encuesta'!$AJ$2:$AJ$511,"*n)*")</f>
        <v>0</v>
      </c>
      <c r="S286" s="52" t="e">
        <f t="shared" si="355"/>
        <v>#DIV/0!</v>
      </c>
      <c r="T286" s="3"/>
      <c r="U286" s="51">
        <f t="shared" si="356"/>
        <v>0</v>
      </c>
      <c r="V286" s="52" t="e">
        <f t="shared" si="357"/>
        <v>#DIV/0!</v>
      </c>
      <c r="W286" s="53">
        <f>COUNTIFS('00 Encuesta'!$B$2:$B$511,"*e)*",'00 Encuesta'!$C$2:$C$511,"*c)*",'00 Encuesta'!$E$2:$E$511,"*a)*",'00 Encuesta'!$AJ$2:$AJ$511,"*n)*")</f>
        <v>0</v>
      </c>
      <c r="X286" s="52" t="e">
        <f t="shared" si="358"/>
        <v>#DIV/0!</v>
      </c>
      <c r="Y286" s="53">
        <f>COUNTIFS('00 Encuesta'!$B$2:$B$511,"*e)*",'00 Encuesta'!$C$2:$C$511,"*c)*",'00 Encuesta'!$E$2:$E$511,"*b)*",'00 Encuesta'!$AJ$2:$AJ$511,"*n)*")</f>
        <v>0</v>
      </c>
      <c r="Z286" s="52" t="e">
        <f t="shared" si="359"/>
        <v>#DIV/0!</v>
      </c>
      <c r="AA286" s="3"/>
      <c r="AB286" s="62">
        <f t="shared" si="360"/>
        <v>0</v>
      </c>
      <c r="AC286" s="52" t="e">
        <f t="shared" si="361"/>
        <v>#DIV/0!</v>
      </c>
      <c r="AD286" s="3"/>
      <c r="AE286" s="3"/>
      <c r="AF286" s="9" t="str">
        <f t="shared" si="362"/>
        <v>n) Estoy conversando con los amigos/as</v>
      </c>
      <c r="AG286" s="72" t="e">
        <f t="shared" si="370"/>
        <v>#DIV/0!</v>
      </c>
      <c r="AH286" s="72" t="e">
        <f t="shared" si="371"/>
        <v>#DIV/0!</v>
      </c>
      <c r="AI286" s="73" t="e">
        <f t="shared" si="372"/>
        <v>#DIV/0!</v>
      </c>
      <c r="AJ286" s="73"/>
      <c r="AK286" s="76" t="e">
        <f t="shared" si="363"/>
        <v>#DIV/0!</v>
      </c>
      <c r="AL286" s="76" t="e">
        <f t="shared" si="364"/>
        <v>#DIV/0!</v>
      </c>
      <c r="AM286" s="76" t="e">
        <f t="shared" si="365"/>
        <v>#DIV/0!</v>
      </c>
      <c r="AN286" s="76"/>
      <c r="AO286" s="81" t="e">
        <f t="shared" si="366"/>
        <v>#DIV/0!</v>
      </c>
      <c r="AP286" s="81" t="e">
        <f t="shared" si="367"/>
        <v>#DIV/0!</v>
      </c>
      <c r="AQ286" s="81" t="e">
        <f t="shared" si="368"/>
        <v>#DIV/0!</v>
      </c>
      <c r="AR286" s="3"/>
      <c r="AS286" s="76" t="e">
        <f t="shared" si="369"/>
        <v>#DIV/0!</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x14ac:dyDescent="0.3">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x14ac:dyDescent="0.3">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x14ac:dyDescent="0.3">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x14ac:dyDescent="0.3">
      <c r="A290" s="8" t="s">
        <v>17</v>
      </c>
      <c r="B290" s="9" t="s">
        <v>216</v>
      </c>
      <c r="C290" s="7"/>
      <c r="D290" s="7"/>
      <c r="E290" s="7"/>
      <c r="F290" s="71">
        <v>100</v>
      </c>
      <c r="G290" s="51">
        <f t="shared" ref="G290:G295" si="373">I290+K290</f>
        <v>0</v>
      </c>
      <c r="H290" s="52" t="e">
        <f t="shared" ref="H290:H295" si="374">G290/$J$5*100</f>
        <v>#DIV/0!</v>
      </c>
      <c r="I290" s="53">
        <f>COUNTIFS('00 Encuesta'!$B$2:$B$511,"*e)*",'00 Encuesta'!$C$2:$C$511,"*a)*",'00 Encuesta'!$E$2:$E$511,"*a)*",'00 Encuesta'!$AL$2:$AL$511,"*a)*")</f>
        <v>0</v>
      </c>
      <c r="J290" s="52" t="e">
        <f t="shared" ref="J290:J295" si="375">I290/$J$6*100</f>
        <v>#DIV/0!</v>
      </c>
      <c r="K290" s="53">
        <f>COUNTIFS('00 Encuesta'!$B$2:$B$511,"*e)*",'00 Encuesta'!$C$2:$C$511,"*a)*",'00 Encuesta'!$E$2:$E$511,"*b)*",'00 Encuesta'!$AL$2:$AL$511,"*a)*")</f>
        <v>0</v>
      </c>
      <c r="L290" s="52" t="e">
        <f>K290/$J$7*100</f>
        <v>#DIV/0!</v>
      </c>
      <c r="M290" s="23"/>
      <c r="N290" s="51">
        <f>P290+R290</f>
        <v>0</v>
      </c>
      <c r="O290" s="52" t="e">
        <f>N290/$Q$5*100</f>
        <v>#DIV/0!</v>
      </c>
      <c r="P290" s="53">
        <f>COUNTIFS('00 Encuesta'!$B$2:$B$511,"*e)*",'00 Encuesta'!$C$2:$C$511,"*b)*",'00 Encuesta'!$E$2:$E$511,"*a)*",'00 Encuesta'!$AL$2:$AL$511,"*a)*")</f>
        <v>0</v>
      </c>
      <c r="Q290" s="52" t="e">
        <f>P290/$Q$6*100</f>
        <v>#DIV/0!</v>
      </c>
      <c r="R290" s="53">
        <f>COUNTIFS('00 Encuesta'!$B$2:$B$511,"*e)*",'00 Encuesta'!$C$2:$C$511,"*b)*",'00 Encuesta'!$E$2:$E$511,"*b)*",'00 Encuesta'!$AL$2:$AL$511,"*a)*")</f>
        <v>0</v>
      </c>
      <c r="S290" s="52" t="e">
        <f>R290/$Q$7*100</f>
        <v>#DIV/0!</v>
      </c>
      <c r="T290" s="3"/>
      <c r="U290" s="51">
        <f>W290+Y290</f>
        <v>0</v>
      </c>
      <c r="V290" s="52" t="e">
        <f>U290/$X$5*100</f>
        <v>#DIV/0!</v>
      </c>
      <c r="W290" s="53">
        <f>COUNTIFS('00 Encuesta'!$B$2:$B$511,"*e)*",'00 Encuesta'!$C$2:$C$511,"*c)*",'00 Encuesta'!$E$2:$E$511,"*a)*",'00 Encuesta'!$AL$2:$AL$511,"*a)*")</f>
        <v>0</v>
      </c>
      <c r="X290" s="52" t="e">
        <f>W290/$X$6*100</f>
        <v>#DIV/0!</v>
      </c>
      <c r="Y290" s="53">
        <f>COUNTIFS('00 Encuesta'!$B$2:$B$511,"*e)*",'00 Encuesta'!$C$2:$C$511,"*c)*",'00 Encuesta'!$E$2:$E$511,"*b)*",'00 Encuesta'!$AL$2:$AL$511,"*a)*")</f>
        <v>0</v>
      </c>
      <c r="Z290" s="52" t="e">
        <f t="shared" ref="Z290:Z295" si="376">Y290/$X$7*100</f>
        <v>#DIV/0!</v>
      </c>
      <c r="AA290" s="3"/>
      <c r="AB290" s="62">
        <f t="shared" ref="AB290:AB295" si="377">G290+N290+U290</f>
        <v>0</v>
      </c>
      <c r="AC290" s="52" t="e">
        <f t="shared" ref="AC290:AC295" si="378">AB290*100/$AC$5</f>
        <v>#DIV/0!</v>
      </c>
      <c r="AD290" s="3"/>
      <c r="AE290" s="3"/>
      <c r="AF290" s="9" t="str">
        <f t="shared" ref="AF290:AF295" si="379">A290&amp;" "&amp;B290</f>
        <v>a) Muy bueno</v>
      </c>
      <c r="AG290" s="72" t="e">
        <f t="shared" ref="AG290:AG295" si="380">J290</f>
        <v>#DIV/0!</v>
      </c>
      <c r="AH290" s="72" t="e">
        <f t="shared" ref="AH290:AH295" si="381">L290</f>
        <v>#DIV/0!</v>
      </c>
      <c r="AI290" s="73" t="e">
        <f t="shared" ref="AI290:AI295" si="382">H290</f>
        <v>#DIV/0!</v>
      </c>
      <c r="AJ290" s="73"/>
      <c r="AK290" s="76" t="e">
        <f t="shared" ref="AK290:AK295" si="383">Q290</f>
        <v>#DIV/0!</v>
      </c>
      <c r="AL290" s="76" t="e">
        <f t="shared" ref="AL290:AL295" si="384">S290</f>
        <v>#DIV/0!</v>
      </c>
      <c r="AM290" s="76" t="e">
        <f t="shared" ref="AM290:AM295" si="385">O290</f>
        <v>#DIV/0!</v>
      </c>
      <c r="AN290" s="76"/>
      <c r="AO290" s="81" t="e">
        <f t="shared" ref="AO290:AO295" si="386">X290</f>
        <v>#DIV/0!</v>
      </c>
      <c r="AP290" s="81" t="e">
        <f t="shared" ref="AP290:AP295" si="387">Z290</f>
        <v>#DIV/0!</v>
      </c>
      <c r="AQ290" s="81" t="e">
        <f t="shared" ref="AQ290:AQ295" si="388">V290</f>
        <v>#DIV/0!</v>
      </c>
      <c r="AR290" s="3"/>
      <c r="AS290" s="76" t="e">
        <f t="shared" si="369"/>
        <v>#DIV/0!</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x14ac:dyDescent="0.3">
      <c r="A291" s="8" t="s">
        <v>18</v>
      </c>
      <c r="B291" s="9" t="s">
        <v>217</v>
      </c>
      <c r="C291" s="7"/>
      <c r="D291" s="7"/>
      <c r="E291" s="7"/>
      <c r="F291" s="71">
        <v>75</v>
      </c>
      <c r="G291" s="51">
        <f t="shared" si="373"/>
        <v>0</v>
      </c>
      <c r="H291" s="52" t="e">
        <f t="shared" si="374"/>
        <v>#DIV/0!</v>
      </c>
      <c r="I291" s="53">
        <f>COUNTIFS('00 Encuesta'!$B$2:$B$511,"*e)*",'00 Encuesta'!$C$2:$C$511,"*a)*",'00 Encuesta'!$E$2:$E$511,"*a)*",'00 Encuesta'!$AL$2:$AL$511,"*b)*")</f>
        <v>0</v>
      </c>
      <c r="J291" s="52" t="e">
        <f t="shared" si="375"/>
        <v>#DIV/0!</v>
      </c>
      <c r="K291" s="53">
        <f>COUNTIFS('00 Encuesta'!$B$2:$B$511,"*e)*",'00 Encuesta'!$C$2:$C$511,"*a)*",'00 Encuesta'!$E$2:$E$511,"*b)*",'00 Encuesta'!$AL$2:$AL$511,"*b)*")</f>
        <v>0</v>
      </c>
      <c r="L291" s="52" t="e">
        <f>K291/$J$7*100</f>
        <v>#DIV/0!</v>
      </c>
      <c r="M291" s="23"/>
      <c r="N291" s="51">
        <f>P291+R291</f>
        <v>0</v>
      </c>
      <c r="O291" s="52" t="e">
        <f>N291/$Q$5*100</f>
        <v>#DIV/0!</v>
      </c>
      <c r="P291" s="53">
        <f>COUNTIFS('00 Encuesta'!$B$2:$B$511,"*e)*",'00 Encuesta'!$C$2:$C$511,"*b)*",'00 Encuesta'!$E$2:$E$511,"*a)*",'00 Encuesta'!$AL$2:$AL$511,"*b)*")</f>
        <v>0</v>
      </c>
      <c r="Q291" s="52" t="e">
        <f>P291/$Q$6*100</f>
        <v>#DIV/0!</v>
      </c>
      <c r="R291" s="53">
        <f>COUNTIFS('00 Encuesta'!$B$2:$B$511,"*e)*",'00 Encuesta'!$C$2:$C$511,"*b)*",'00 Encuesta'!$E$2:$E$511,"*b)*",'00 Encuesta'!$AL$2:$AL$511,"*b)*")</f>
        <v>0</v>
      </c>
      <c r="S291" s="52" t="e">
        <f>R291/$Q$7*100</f>
        <v>#DIV/0!</v>
      </c>
      <c r="T291" s="3"/>
      <c r="U291" s="51">
        <f>W291+Y291</f>
        <v>0</v>
      </c>
      <c r="V291" s="52" t="e">
        <f>U291/$X$5*100</f>
        <v>#DIV/0!</v>
      </c>
      <c r="W291" s="53">
        <f>COUNTIFS('00 Encuesta'!$B$2:$B$511,"*e)*",'00 Encuesta'!$C$2:$C$511,"*c)*",'00 Encuesta'!$E$2:$E$511,"*a)*",'00 Encuesta'!$AL$2:$AL$511,"*b)*")</f>
        <v>0</v>
      </c>
      <c r="X291" s="52" t="e">
        <f>W291/$X$6*100</f>
        <v>#DIV/0!</v>
      </c>
      <c r="Y291" s="53">
        <f>COUNTIFS('00 Encuesta'!$B$2:$B$511,"*e)*",'00 Encuesta'!$C$2:$C$511,"*c)*",'00 Encuesta'!$E$2:$E$511,"*b)*",'00 Encuesta'!$AL$2:$AL$511,"*b)*")</f>
        <v>0</v>
      </c>
      <c r="Z291" s="52" t="e">
        <f t="shared" si="376"/>
        <v>#DIV/0!</v>
      </c>
      <c r="AA291" s="3"/>
      <c r="AB291" s="62">
        <f t="shared" si="377"/>
        <v>0</v>
      </c>
      <c r="AC291" s="52" t="e">
        <f t="shared" si="378"/>
        <v>#DIV/0!</v>
      </c>
      <c r="AD291" s="3"/>
      <c r="AE291" s="3"/>
      <c r="AF291" s="9" t="str">
        <f t="shared" si="379"/>
        <v>b) Bueno</v>
      </c>
      <c r="AG291" s="72" t="e">
        <f t="shared" si="380"/>
        <v>#DIV/0!</v>
      </c>
      <c r="AH291" s="72" t="e">
        <f t="shared" si="381"/>
        <v>#DIV/0!</v>
      </c>
      <c r="AI291" s="73" t="e">
        <f t="shared" si="382"/>
        <v>#DIV/0!</v>
      </c>
      <c r="AJ291" s="73"/>
      <c r="AK291" s="76" t="e">
        <f t="shared" si="383"/>
        <v>#DIV/0!</v>
      </c>
      <c r="AL291" s="76" t="e">
        <f t="shared" si="384"/>
        <v>#DIV/0!</v>
      </c>
      <c r="AM291" s="76" t="e">
        <f t="shared" si="385"/>
        <v>#DIV/0!</v>
      </c>
      <c r="AN291" s="76"/>
      <c r="AO291" s="81" t="e">
        <f t="shared" si="386"/>
        <v>#DIV/0!</v>
      </c>
      <c r="AP291" s="81" t="e">
        <f t="shared" si="387"/>
        <v>#DIV/0!</v>
      </c>
      <c r="AQ291" s="81" t="e">
        <f t="shared" si="388"/>
        <v>#DIV/0!</v>
      </c>
      <c r="AR291" s="3"/>
      <c r="AS291" s="76" t="e">
        <f t="shared" si="369"/>
        <v>#DIV/0!</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x14ac:dyDescent="0.3">
      <c r="A292" s="8" t="s">
        <v>20</v>
      </c>
      <c r="B292" s="9" t="s">
        <v>218</v>
      </c>
      <c r="C292" s="7"/>
      <c r="D292" s="7"/>
      <c r="E292" s="7"/>
      <c r="F292" s="71">
        <v>50</v>
      </c>
      <c r="G292" s="51">
        <f t="shared" si="373"/>
        <v>0</v>
      </c>
      <c r="H292" s="52" t="e">
        <f t="shared" si="374"/>
        <v>#DIV/0!</v>
      </c>
      <c r="I292" s="53">
        <f>COUNTIFS('00 Encuesta'!$B$2:$B$511,"*e)*",'00 Encuesta'!$C$2:$C$511,"*a)*",'00 Encuesta'!$E$2:$E$511,"*a)*",'00 Encuesta'!$AL$2:$AL$511,"*c)*")</f>
        <v>0</v>
      </c>
      <c r="J292" s="52" t="e">
        <f t="shared" si="375"/>
        <v>#DIV/0!</v>
      </c>
      <c r="K292" s="53">
        <f>COUNTIFS('00 Encuesta'!$B$2:$B$511,"*e)*",'00 Encuesta'!$C$2:$C$511,"*a)*",'00 Encuesta'!$E$2:$E$511,"*b)*",'00 Encuesta'!$AL$2:$AL$511,"*c)*")</f>
        <v>0</v>
      </c>
      <c r="L292" s="52" t="e">
        <f>K292/$J$7*100</f>
        <v>#DIV/0!</v>
      </c>
      <c r="M292" s="23"/>
      <c r="N292" s="51">
        <f>P292+R292</f>
        <v>0</v>
      </c>
      <c r="O292" s="52" t="e">
        <f>N292/$Q$5*100</f>
        <v>#DIV/0!</v>
      </c>
      <c r="P292" s="53">
        <f>COUNTIFS('00 Encuesta'!$B$2:$B$511,"*e)*",'00 Encuesta'!$C$2:$C$511,"*b)*",'00 Encuesta'!$E$2:$E$511,"*a)*",'00 Encuesta'!$AL$2:$AL$511,"*c)*")</f>
        <v>0</v>
      </c>
      <c r="Q292" s="52" t="e">
        <f>P292/$Q$6*100</f>
        <v>#DIV/0!</v>
      </c>
      <c r="R292" s="53">
        <f>COUNTIFS('00 Encuesta'!$B$2:$B$511,"*e)*",'00 Encuesta'!$C$2:$C$511,"*b)*",'00 Encuesta'!$E$2:$E$511,"*b)*",'00 Encuesta'!$AL$2:$AL$511,"*c)*")</f>
        <v>0</v>
      </c>
      <c r="S292" s="52" t="e">
        <f>R292/$Q$7*100</f>
        <v>#DIV/0!</v>
      </c>
      <c r="T292" s="3"/>
      <c r="U292" s="51">
        <f>W292+Y292</f>
        <v>0</v>
      </c>
      <c r="V292" s="52" t="e">
        <f>U292/$X$5*100</f>
        <v>#DIV/0!</v>
      </c>
      <c r="W292" s="53">
        <f>COUNTIFS('00 Encuesta'!$B$2:$B$511,"*e)*",'00 Encuesta'!$C$2:$C$511,"*c)*",'00 Encuesta'!$E$2:$E$511,"*a)*",'00 Encuesta'!$AL$2:$AL$511,"*c)*")</f>
        <v>0</v>
      </c>
      <c r="X292" s="52" t="e">
        <f>W292/$X$6*100</f>
        <v>#DIV/0!</v>
      </c>
      <c r="Y292" s="53">
        <f>COUNTIFS('00 Encuesta'!$B$2:$B$511,"*e)*",'00 Encuesta'!$C$2:$C$511,"*c)*",'00 Encuesta'!$E$2:$E$511,"*b)*",'00 Encuesta'!$AL$2:$AL$511,"*c)*")</f>
        <v>0</v>
      </c>
      <c r="Z292" s="52" t="e">
        <f t="shared" si="376"/>
        <v>#DIV/0!</v>
      </c>
      <c r="AA292" s="3"/>
      <c r="AB292" s="62">
        <f t="shared" si="377"/>
        <v>0</v>
      </c>
      <c r="AC292" s="52" t="e">
        <f t="shared" si="378"/>
        <v>#DIV/0!</v>
      </c>
      <c r="AD292" s="3"/>
      <c r="AE292" s="3"/>
      <c r="AF292" s="9" t="str">
        <f t="shared" si="379"/>
        <v>c) Regular</v>
      </c>
      <c r="AG292" s="72" t="e">
        <f t="shared" si="380"/>
        <v>#DIV/0!</v>
      </c>
      <c r="AH292" s="72" t="e">
        <f t="shared" si="381"/>
        <v>#DIV/0!</v>
      </c>
      <c r="AI292" s="73" t="e">
        <f t="shared" si="382"/>
        <v>#DIV/0!</v>
      </c>
      <c r="AJ292" s="73"/>
      <c r="AK292" s="76" t="e">
        <f t="shared" si="383"/>
        <v>#DIV/0!</v>
      </c>
      <c r="AL292" s="76" t="e">
        <f t="shared" si="384"/>
        <v>#DIV/0!</v>
      </c>
      <c r="AM292" s="76" t="e">
        <f t="shared" si="385"/>
        <v>#DIV/0!</v>
      </c>
      <c r="AN292" s="76"/>
      <c r="AO292" s="81" t="e">
        <f t="shared" si="386"/>
        <v>#DIV/0!</v>
      </c>
      <c r="AP292" s="81" t="e">
        <f t="shared" si="387"/>
        <v>#DIV/0!</v>
      </c>
      <c r="AQ292" s="81" t="e">
        <f t="shared" si="388"/>
        <v>#DIV/0!</v>
      </c>
      <c r="AR292" s="3"/>
      <c r="AS292" s="76" t="e">
        <f t="shared" si="369"/>
        <v>#DIV/0!</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x14ac:dyDescent="0.3">
      <c r="A293" s="8" t="s">
        <v>21</v>
      </c>
      <c r="B293" s="9" t="s">
        <v>219</v>
      </c>
      <c r="C293" s="7"/>
      <c r="D293" s="7"/>
      <c r="E293" s="7"/>
      <c r="F293" s="71">
        <v>25</v>
      </c>
      <c r="G293" s="51">
        <f t="shared" si="373"/>
        <v>0</v>
      </c>
      <c r="H293" s="52" t="e">
        <f t="shared" si="374"/>
        <v>#DIV/0!</v>
      </c>
      <c r="I293" s="53">
        <f>COUNTIFS('00 Encuesta'!$B$2:$B$511,"*e)*",'00 Encuesta'!$C$2:$C$511,"*a)*",'00 Encuesta'!$E$2:$E$511,"*a)*",'00 Encuesta'!$AL$2:$AL$511,"*d)*")</f>
        <v>0</v>
      </c>
      <c r="J293" s="52" t="e">
        <f t="shared" si="375"/>
        <v>#DIV/0!</v>
      </c>
      <c r="K293" s="53">
        <f>COUNTIFS('00 Encuesta'!$B$2:$B$511,"*e)*",'00 Encuesta'!$C$2:$C$511,"*a)*",'00 Encuesta'!$E$2:$E$511,"*b)*",'00 Encuesta'!$AL$2:$AL$511,"*d)*")</f>
        <v>0</v>
      </c>
      <c r="L293" s="52" t="e">
        <f>K293/$J$7*100</f>
        <v>#DIV/0!</v>
      </c>
      <c r="M293" s="23"/>
      <c r="N293" s="51">
        <f>P293+R293</f>
        <v>0</v>
      </c>
      <c r="O293" s="52" t="e">
        <f>N293/$Q$5*100</f>
        <v>#DIV/0!</v>
      </c>
      <c r="P293" s="53">
        <f>COUNTIFS('00 Encuesta'!$B$2:$B$511,"*e)*",'00 Encuesta'!$C$2:$C$511,"*b)*",'00 Encuesta'!$E$2:$E$511,"*a)*",'00 Encuesta'!$AL$2:$AL$511,"*d)*")</f>
        <v>0</v>
      </c>
      <c r="Q293" s="52" t="e">
        <f>P293/$Q$6*100</f>
        <v>#DIV/0!</v>
      </c>
      <c r="R293" s="53">
        <f>COUNTIFS('00 Encuesta'!$B$2:$B$511,"*e)*",'00 Encuesta'!$C$2:$C$511,"*b)*",'00 Encuesta'!$E$2:$E$511,"*b)*",'00 Encuesta'!$AL$2:$AL$511,"*d)*")</f>
        <v>0</v>
      </c>
      <c r="S293" s="52" t="e">
        <f>R293/$Q$7*100</f>
        <v>#DIV/0!</v>
      </c>
      <c r="T293" s="3"/>
      <c r="U293" s="51">
        <f>W293+Y293</f>
        <v>0</v>
      </c>
      <c r="V293" s="52" t="e">
        <f>U293/$X$5*100</f>
        <v>#DIV/0!</v>
      </c>
      <c r="W293" s="53">
        <f>COUNTIFS('00 Encuesta'!$B$2:$B$511,"*e)*",'00 Encuesta'!$C$2:$C$511,"*c)*",'00 Encuesta'!$E$2:$E$511,"*a)*",'00 Encuesta'!$AL$2:$AL$511,"*d)*")</f>
        <v>0</v>
      </c>
      <c r="X293" s="52" t="e">
        <f>W293/$X$6*100</f>
        <v>#DIV/0!</v>
      </c>
      <c r="Y293" s="53">
        <f>COUNTIFS('00 Encuesta'!$B$2:$B$511,"*e)*",'00 Encuesta'!$C$2:$C$511,"*c)*",'00 Encuesta'!$E$2:$E$511,"*b)*",'00 Encuesta'!$AL$2:$AL$511,"*d)*")</f>
        <v>0</v>
      </c>
      <c r="Z293" s="52" t="e">
        <f t="shared" si="376"/>
        <v>#DIV/0!</v>
      </c>
      <c r="AA293" s="3"/>
      <c r="AB293" s="62">
        <f t="shared" si="377"/>
        <v>0</v>
      </c>
      <c r="AC293" s="52" t="e">
        <f t="shared" si="378"/>
        <v>#DIV/0!</v>
      </c>
      <c r="AD293" s="3"/>
      <c r="AE293" s="3"/>
      <c r="AF293" s="9" t="str">
        <f t="shared" si="379"/>
        <v>d) Deficiente</v>
      </c>
      <c r="AG293" s="72" t="e">
        <f t="shared" si="380"/>
        <v>#DIV/0!</v>
      </c>
      <c r="AH293" s="72" t="e">
        <f t="shared" si="381"/>
        <v>#DIV/0!</v>
      </c>
      <c r="AI293" s="73" t="e">
        <f t="shared" si="382"/>
        <v>#DIV/0!</v>
      </c>
      <c r="AJ293" s="73"/>
      <c r="AK293" s="76" t="e">
        <f t="shared" si="383"/>
        <v>#DIV/0!</v>
      </c>
      <c r="AL293" s="76" t="e">
        <f t="shared" si="384"/>
        <v>#DIV/0!</v>
      </c>
      <c r="AM293" s="76" t="e">
        <f t="shared" si="385"/>
        <v>#DIV/0!</v>
      </c>
      <c r="AN293" s="76"/>
      <c r="AO293" s="81" t="e">
        <f t="shared" si="386"/>
        <v>#DIV/0!</v>
      </c>
      <c r="AP293" s="81" t="e">
        <f t="shared" si="387"/>
        <v>#DIV/0!</v>
      </c>
      <c r="AQ293" s="81" t="e">
        <f t="shared" si="388"/>
        <v>#DIV/0!</v>
      </c>
      <c r="AR293" s="3"/>
      <c r="AS293" s="76" t="e">
        <f t="shared" si="369"/>
        <v>#DIV/0!</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x14ac:dyDescent="0.3">
      <c r="A294" s="8" t="s">
        <v>22</v>
      </c>
      <c r="B294" s="9" t="s">
        <v>220</v>
      </c>
      <c r="C294" s="7"/>
      <c r="D294" s="7"/>
      <c r="E294" s="7"/>
      <c r="F294" s="71">
        <v>0</v>
      </c>
      <c r="G294" s="51">
        <f t="shared" si="373"/>
        <v>0</v>
      </c>
      <c r="H294" s="52" t="e">
        <f t="shared" si="374"/>
        <v>#DIV/0!</v>
      </c>
      <c r="I294" s="53">
        <f>COUNTIFS('00 Encuesta'!$B$2:$B$511,"*e)*",'00 Encuesta'!$C$2:$C$511,"*a)*",'00 Encuesta'!$E$2:$E$511,"*a)*",'00 Encuesta'!$AL$2:$AL$511,"*e)*")</f>
        <v>0</v>
      </c>
      <c r="J294" s="52" t="e">
        <f t="shared" si="375"/>
        <v>#DIV/0!</v>
      </c>
      <c r="K294" s="53">
        <f>COUNTIFS('00 Encuesta'!$B$2:$B$511,"*e)*",'00 Encuesta'!$C$2:$C$511,"*a)*",'00 Encuesta'!$E$2:$E$511,"*b)*",'00 Encuesta'!$AL$2:$AL$511,"*e)*")</f>
        <v>0</v>
      </c>
      <c r="L294" s="52" t="e">
        <f>K294/$J$7*100</f>
        <v>#DIV/0!</v>
      </c>
      <c r="M294" s="23"/>
      <c r="N294" s="51">
        <f>P294+R294</f>
        <v>0</v>
      </c>
      <c r="O294" s="52" t="e">
        <f>N294/$Q$5*100</f>
        <v>#DIV/0!</v>
      </c>
      <c r="P294" s="53">
        <f>COUNTIFS('00 Encuesta'!$B$2:$B$511,"*e)*",'00 Encuesta'!$C$2:$C$511,"*b)*",'00 Encuesta'!$E$2:$E$511,"*a)*",'00 Encuesta'!$AL$2:$AL$511,"*e)*")</f>
        <v>0</v>
      </c>
      <c r="Q294" s="52" t="e">
        <f>P294/$Q$6*100</f>
        <v>#DIV/0!</v>
      </c>
      <c r="R294" s="53">
        <f>COUNTIFS('00 Encuesta'!$B$2:$B$511,"*e)*",'00 Encuesta'!$C$2:$C$511,"*b)*",'00 Encuesta'!$E$2:$E$511,"*b)*",'00 Encuesta'!$AL$2:$AL$511,"*e)*")</f>
        <v>0</v>
      </c>
      <c r="S294" s="52" t="e">
        <f>R294/$Q$7*100</f>
        <v>#DIV/0!</v>
      </c>
      <c r="T294" s="3"/>
      <c r="U294" s="51">
        <f>W294+Y294</f>
        <v>0</v>
      </c>
      <c r="V294" s="52" t="e">
        <f>U294/$X$5*100</f>
        <v>#DIV/0!</v>
      </c>
      <c r="W294" s="53">
        <f>COUNTIFS('00 Encuesta'!$B$2:$B$511,"*e)*",'00 Encuesta'!$C$2:$C$511,"*c)*",'00 Encuesta'!$E$2:$E$511,"*a)*",'00 Encuesta'!$AL$2:$AL$511,"*e)*")</f>
        <v>0</v>
      </c>
      <c r="X294" s="52" t="e">
        <f>W294/$X$6*100</f>
        <v>#DIV/0!</v>
      </c>
      <c r="Y294" s="53">
        <f>COUNTIFS('00 Encuesta'!$B$2:$B$511,"*e)*",'00 Encuesta'!$C$2:$C$511,"*c)*",'00 Encuesta'!$E$2:$E$511,"*b)*",'00 Encuesta'!$AL$2:$AL$511,"*e)*")</f>
        <v>0</v>
      </c>
      <c r="Z294" s="52" t="e">
        <f t="shared" si="376"/>
        <v>#DIV/0!</v>
      </c>
      <c r="AA294" s="3"/>
      <c r="AB294" s="62">
        <f t="shared" si="377"/>
        <v>0</v>
      </c>
      <c r="AC294" s="52" t="e">
        <f t="shared" si="378"/>
        <v>#DIV/0!</v>
      </c>
      <c r="AD294" s="3"/>
      <c r="AE294" s="3"/>
      <c r="AF294" s="9" t="str">
        <f t="shared" si="379"/>
        <v>e) Muy deficiente</v>
      </c>
      <c r="AG294" s="72" t="e">
        <f t="shared" si="380"/>
        <v>#DIV/0!</v>
      </c>
      <c r="AH294" s="72" t="e">
        <f t="shared" si="381"/>
        <v>#DIV/0!</v>
      </c>
      <c r="AI294" s="73" t="e">
        <f t="shared" si="382"/>
        <v>#DIV/0!</v>
      </c>
      <c r="AJ294" s="73"/>
      <c r="AK294" s="76" t="e">
        <f t="shared" si="383"/>
        <v>#DIV/0!</v>
      </c>
      <c r="AL294" s="76" t="e">
        <f t="shared" si="384"/>
        <v>#DIV/0!</v>
      </c>
      <c r="AM294" s="76" t="e">
        <f t="shared" si="385"/>
        <v>#DIV/0!</v>
      </c>
      <c r="AN294" s="76"/>
      <c r="AO294" s="81" t="e">
        <f t="shared" si="386"/>
        <v>#DIV/0!</v>
      </c>
      <c r="AP294" s="81" t="e">
        <f t="shared" si="387"/>
        <v>#DIV/0!</v>
      </c>
      <c r="AQ294" s="81" t="e">
        <f t="shared" si="388"/>
        <v>#DIV/0!</v>
      </c>
      <c r="AR294" s="3"/>
      <c r="AS294" s="76" t="e">
        <f t="shared" si="369"/>
        <v>#DIV/0!</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x14ac:dyDescent="0.3">
      <c r="A295" s="8" t="s">
        <v>23</v>
      </c>
      <c r="B295" s="9" t="s">
        <v>24</v>
      </c>
      <c r="C295" s="7"/>
      <c r="D295" s="7"/>
      <c r="E295" s="7"/>
      <c r="F295" s="71"/>
      <c r="G295" s="51">
        <f t="shared" si="373"/>
        <v>0</v>
      </c>
      <c r="H295" s="52" t="e">
        <f t="shared" si="374"/>
        <v>#DIV/0!</v>
      </c>
      <c r="I295" s="53"/>
      <c r="J295" s="52" t="e">
        <f t="shared" si="375"/>
        <v>#DIV/0!</v>
      </c>
      <c r="K295" s="53"/>
      <c r="L295" s="52" t="e">
        <f t="shared" ref="L295" si="389">K295/$J$7*100</f>
        <v>#DIV/0!</v>
      </c>
      <c r="M295" s="23"/>
      <c r="N295" s="51">
        <f t="shared" ref="N295" si="390">P295+R295</f>
        <v>0</v>
      </c>
      <c r="O295" s="52" t="e">
        <f t="shared" ref="O295" si="391">N295/$Q$5*100</f>
        <v>#DIV/0!</v>
      </c>
      <c r="P295" s="53"/>
      <c r="Q295" s="52" t="e">
        <f t="shared" ref="Q295" si="392">P295/$Q$6*100</f>
        <v>#DIV/0!</v>
      </c>
      <c r="R295" s="53"/>
      <c r="S295" s="52" t="e">
        <f t="shared" ref="S295" si="393">R295/$Q$7*100</f>
        <v>#DIV/0!</v>
      </c>
      <c r="T295" s="3"/>
      <c r="U295" s="51">
        <f t="shared" ref="U295" si="394">W295+Y295</f>
        <v>0</v>
      </c>
      <c r="V295" s="52" t="e">
        <f t="shared" ref="V295" si="395">U295/$X$5*100</f>
        <v>#DIV/0!</v>
      </c>
      <c r="W295" s="53"/>
      <c r="X295" s="52" t="e">
        <f t="shared" ref="X295" si="396">W295/$X$6*100</f>
        <v>#DIV/0!</v>
      </c>
      <c r="Y295" s="53"/>
      <c r="Z295" s="52" t="e">
        <f t="shared" si="376"/>
        <v>#DIV/0!</v>
      </c>
      <c r="AA295" s="3"/>
      <c r="AB295" s="62">
        <f t="shared" si="377"/>
        <v>0</v>
      </c>
      <c r="AC295" s="52" t="e">
        <f t="shared" si="378"/>
        <v>#DIV/0!</v>
      </c>
      <c r="AD295" s="3"/>
      <c r="AE295" s="3"/>
      <c r="AF295" s="9" t="str">
        <f t="shared" si="379"/>
        <v>S/R Sin Respuesta</v>
      </c>
      <c r="AG295" s="72" t="e">
        <f t="shared" si="380"/>
        <v>#DIV/0!</v>
      </c>
      <c r="AH295" s="72" t="e">
        <f t="shared" si="381"/>
        <v>#DIV/0!</v>
      </c>
      <c r="AI295" s="73" t="e">
        <f t="shared" si="382"/>
        <v>#DIV/0!</v>
      </c>
      <c r="AJ295" s="73"/>
      <c r="AK295" s="76" t="e">
        <f t="shared" si="383"/>
        <v>#DIV/0!</v>
      </c>
      <c r="AL295" s="76" t="e">
        <f t="shared" si="384"/>
        <v>#DIV/0!</v>
      </c>
      <c r="AM295" s="76" t="e">
        <f t="shared" si="385"/>
        <v>#DIV/0!</v>
      </c>
      <c r="AN295" s="76"/>
      <c r="AO295" s="81" t="e">
        <f t="shared" si="386"/>
        <v>#DIV/0!</v>
      </c>
      <c r="AP295" s="81" t="e">
        <f t="shared" si="387"/>
        <v>#DIV/0!</v>
      </c>
      <c r="AQ295" s="81" t="e">
        <f t="shared" si="388"/>
        <v>#DIV/0!</v>
      </c>
      <c r="AR295" s="3"/>
      <c r="AS295" s="76" t="e">
        <f t="shared" si="369"/>
        <v>#DIV/0!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x14ac:dyDescent="0.3">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t="e">
        <f>($F290*I290+$F291*I291+$F292*I292+$F293*I293+$F294*I294)/(I290+I291+I292+I293+I294)</f>
        <v>#DIV/0!</v>
      </c>
      <c r="AH296" s="82" t="e">
        <f>($F290*K290+$F291*K291+$F292*K292+$F293*K293+$F294*K294)/(K290+K291+K292+K293+K294)</f>
        <v>#DIV/0!</v>
      </c>
      <c r="AI296" s="82" t="e">
        <f>($F290*G290+$F291*G291+$F292*G292+$F293*G293+$F294*G294)/(G290+G291+G292+G293+G294)</f>
        <v>#DIV/0!</v>
      </c>
      <c r="AJ296" s="82"/>
      <c r="AK296" s="82" t="e">
        <f>($F290*Q290+$F291*Q291+$F292*Q292+$F293*Q293+$F294*Q294)/(Q290+Q291+Q292+Q293+Q294)</f>
        <v>#DIV/0!</v>
      </c>
      <c r="AL296" s="82" t="e">
        <f>($F290*S290+$F291*S291+$F292*S292+$F293*S293+$F294*S294)/(S290+S291+S292+S293+S294)</f>
        <v>#DIV/0!</v>
      </c>
      <c r="AM296" s="82" t="e">
        <f>($F290*O290+$F291*O291+$F292*O292+$F293*O293+$F294*O294)/(O290+O291+O292+O293+O294)</f>
        <v>#DIV/0!</v>
      </c>
      <c r="AN296" s="82"/>
      <c r="AO296" s="82" t="e">
        <f>($F290*W290+$F291*W291+$F292*W292+$F293*W293+$F294*W294)/(W290+W291+W292+W293+W294)</f>
        <v>#DIV/0!</v>
      </c>
      <c r="AP296" s="82" t="e">
        <f>($F290*Y290+$F291*Y291+$F292*Y292+$F293*Y293+$F294*Y294)/(Y290+Y291+Y292+Y293+Y294)</f>
        <v>#DIV/0!</v>
      </c>
      <c r="AQ296" s="82" t="e">
        <f>($F290*U290+$F291*U291+$F292*U292+$F293*U293+$F294*U294)/(U290+U291+U292+U293+U294)</f>
        <v>#DIV/0!</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x14ac:dyDescent="0.3">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x14ac:dyDescent="0.3">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x14ac:dyDescent="0.3">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x14ac:dyDescent="0.3">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x14ac:dyDescent="0.3">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x14ac:dyDescent="0.3">
      <c r="A305" s="8" t="s">
        <v>17</v>
      </c>
      <c r="B305" s="9" t="s">
        <v>229</v>
      </c>
      <c r="C305" s="7"/>
      <c r="D305" s="7"/>
      <c r="E305" s="7"/>
      <c r="F305" s="71">
        <v>100</v>
      </c>
      <c r="G305" s="51">
        <f t="shared" ref="G305:G310" si="397">I305+K305</f>
        <v>0</v>
      </c>
      <c r="H305" s="52" t="e">
        <f t="shared" ref="H305:H310" si="398">G305/$J$5*100</f>
        <v>#DIV/0!</v>
      </c>
      <c r="I305" s="53">
        <f>COUNTIFS('00 Encuesta'!$B$2:$B$511,"*e)*",'00 Encuesta'!$C$2:$C$511,"*a)*",'00 Encuesta'!$E$2:$E$511,"*a)*",'00 Encuesta'!$AM$2:$AM$511,"*a)*")</f>
        <v>0</v>
      </c>
      <c r="J305" s="52" t="e">
        <f t="shared" ref="J305:J310" si="399">I305/$J$6*100</f>
        <v>#DIV/0!</v>
      </c>
      <c r="K305" s="53">
        <f>COUNTIFS('00 Encuesta'!$B$2:$B$511,"*e)*",'00 Encuesta'!$C$2:$C$511,"*a)*",'00 Encuesta'!$E$2:$E$511,"*b)*",'00 Encuesta'!$AM$2:$AM$511,"*a)*")</f>
        <v>0</v>
      </c>
      <c r="L305" s="52" t="e">
        <f t="shared" ref="L305:L310" si="400">K305/$J$7*100</f>
        <v>#DIV/0!</v>
      </c>
      <c r="M305" s="23"/>
      <c r="N305" s="51">
        <f t="shared" ref="N305:N310" si="401">P305+R305</f>
        <v>0</v>
      </c>
      <c r="O305" s="52" t="e">
        <f t="shared" ref="O305:O310" si="402">N305/$Q$5*100</f>
        <v>#DIV/0!</v>
      </c>
      <c r="P305" s="53">
        <f>COUNTIFS('00 Encuesta'!$B$2:$B$511,"*e)*",'00 Encuesta'!$C$2:$C$511,"*b)*",'00 Encuesta'!$E$2:$E$511,"*a)*",'00 Encuesta'!$AM$2:$AM$511,"*a)*")</f>
        <v>0</v>
      </c>
      <c r="Q305" s="52" t="e">
        <f t="shared" ref="Q305:Q310" si="403">P305/$Q$6*100</f>
        <v>#DIV/0!</v>
      </c>
      <c r="R305" s="53">
        <f>COUNTIFS('00 Encuesta'!$B$2:$B$511,"*e)*",'00 Encuesta'!$C$2:$C$511,"*b)*",'00 Encuesta'!$E$2:$E$511,"*b)*",'00 Encuesta'!$AM$2:$AM$511,"*a)*")</f>
        <v>0</v>
      </c>
      <c r="S305" s="52" t="e">
        <f t="shared" ref="S305:S310" si="404">R305/$Q$7*100</f>
        <v>#DIV/0!</v>
      </c>
      <c r="T305" s="3"/>
      <c r="U305" s="51">
        <f t="shared" ref="U305:U310" si="405">W305+Y305</f>
        <v>0</v>
      </c>
      <c r="V305" s="52" t="e">
        <f t="shared" ref="V305:V310" si="406">U305/$X$5*100</f>
        <v>#DIV/0!</v>
      </c>
      <c r="W305" s="53">
        <f>COUNTIFS('00 Encuesta'!$B$2:$B$511,"*e)*",'00 Encuesta'!$C$2:$C$511,"*c)*",'00 Encuesta'!$E$2:$E$511,"*a)*",'00 Encuesta'!$AM$2:$AM$511,"*a)*")</f>
        <v>0</v>
      </c>
      <c r="X305" s="52" t="e">
        <f t="shared" ref="X305:X310" si="407">W305/$X$6*100</f>
        <v>#DIV/0!</v>
      </c>
      <c r="Y305" s="53">
        <f>COUNTIFS('00 Encuesta'!$B$2:$B$511,"*e)*",'00 Encuesta'!$C$2:$C$511,"*c)*",'00 Encuesta'!$E$2:$E$511,"*b)*",'00 Encuesta'!$AM$2:$AM$511,"*a)*")</f>
        <v>0</v>
      </c>
      <c r="Z305" s="52" t="e">
        <f t="shared" ref="Z305:Z310" si="408">Y305/$X$7*100</f>
        <v>#DIV/0!</v>
      </c>
      <c r="AA305" s="3"/>
      <c r="AB305" s="62">
        <f t="shared" ref="AB305:AB310" si="409">G305+N305+U305</f>
        <v>0</v>
      </c>
      <c r="AC305" s="52" t="e">
        <f t="shared" ref="AC305:AC310" si="410">AB305*100/$AC$5</f>
        <v>#DIV/0!</v>
      </c>
      <c r="AD305" s="3"/>
      <c r="AE305" s="3"/>
      <c r="AF305" s="9" t="str">
        <f t="shared" ref="AF305:AF310" si="411">A305&amp;" "&amp;B305</f>
        <v>a) Muy buena</v>
      </c>
      <c r="AG305" s="72" t="e">
        <f t="shared" ref="AG305:AG310" si="412">J305</f>
        <v>#DIV/0!</v>
      </c>
      <c r="AH305" s="72" t="e">
        <f t="shared" ref="AH305:AH310" si="413">L305</f>
        <v>#DIV/0!</v>
      </c>
      <c r="AI305" s="73" t="e">
        <f t="shared" ref="AI305:AI310" si="414">H305</f>
        <v>#DIV/0!</v>
      </c>
      <c r="AJ305" s="73"/>
      <c r="AK305" s="76" t="e">
        <f t="shared" ref="AK305:AK310" si="415">Q305</f>
        <v>#DIV/0!</v>
      </c>
      <c r="AL305" s="76" t="e">
        <f t="shared" ref="AL305:AL310" si="416">S305</f>
        <v>#DIV/0!</v>
      </c>
      <c r="AM305" s="76" t="e">
        <f t="shared" ref="AM305:AM310" si="417">O305</f>
        <v>#DIV/0!</v>
      </c>
      <c r="AN305" s="76"/>
      <c r="AO305" s="81" t="e">
        <f t="shared" ref="AO305:AO310" si="418">X305</f>
        <v>#DIV/0!</v>
      </c>
      <c r="AP305" s="81" t="e">
        <f t="shared" ref="AP305:AP310" si="419">Z305</f>
        <v>#DIV/0!</v>
      </c>
      <c r="AQ305" s="81" t="e">
        <f t="shared" ref="AQ305:AQ310" si="420">V305</f>
        <v>#DIV/0!</v>
      </c>
      <c r="AR305" s="3"/>
      <c r="AS305" s="76" t="e">
        <f t="shared" si="369"/>
        <v>#DIV/0!</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x14ac:dyDescent="0.3">
      <c r="A306" s="8" t="s">
        <v>18</v>
      </c>
      <c r="B306" s="9" t="s">
        <v>230</v>
      </c>
      <c r="C306" s="7"/>
      <c r="D306" s="7"/>
      <c r="E306" s="7"/>
      <c r="F306" s="71">
        <v>75</v>
      </c>
      <c r="G306" s="51">
        <f t="shared" si="397"/>
        <v>0</v>
      </c>
      <c r="H306" s="52" t="e">
        <f t="shared" si="398"/>
        <v>#DIV/0!</v>
      </c>
      <c r="I306" s="53">
        <f>COUNTIFS('00 Encuesta'!$B$2:$B$511,"*e)*",'00 Encuesta'!$C$2:$C$511,"*a)*",'00 Encuesta'!$E$2:$E$511,"*a)*",'00 Encuesta'!$AM$2:$AM$511,"*b)*")</f>
        <v>0</v>
      </c>
      <c r="J306" s="52" t="e">
        <f t="shared" si="399"/>
        <v>#DIV/0!</v>
      </c>
      <c r="K306" s="53">
        <f>COUNTIFS('00 Encuesta'!$B$2:$B$511,"*e)*",'00 Encuesta'!$C$2:$C$511,"*a)*",'00 Encuesta'!$E$2:$E$511,"*b)*",'00 Encuesta'!$AM$2:$AM$511,"*b)*")</f>
        <v>0</v>
      </c>
      <c r="L306" s="52" t="e">
        <f t="shared" si="400"/>
        <v>#DIV/0!</v>
      </c>
      <c r="M306" s="23"/>
      <c r="N306" s="51">
        <f t="shared" si="401"/>
        <v>0</v>
      </c>
      <c r="O306" s="52" t="e">
        <f t="shared" si="402"/>
        <v>#DIV/0!</v>
      </c>
      <c r="P306" s="53">
        <f>COUNTIFS('00 Encuesta'!$B$2:$B$511,"*e)*",'00 Encuesta'!$C$2:$C$511,"*b)*",'00 Encuesta'!$E$2:$E$511,"*a)*",'00 Encuesta'!$AM$2:$AM$511,"*b)*")</f>
        <v>0</v>
      </c>
      <c r="Q306" s="52" t="e">
        <f t="shared" si="403"/>
        <v>#DIV/0!</v>
      </c>
      <c r="R306" s="53">
        <f>COUNTIFS('00 Encuesta'!$B$2:$B$511,"*e)*",'00 Encuesta'!$C$2:$C$511,"*b)*",'00 Encuesta'!$E$2:$E$511,"*b)*",'00 Encuesta'!$AM$2:$AM$511,"*b)*")</f>
        <v>0</v>
      </c>
      <c r="S306" s="52" t="e">
        <f t="shared" si="404"/>
        <v>#DIV/0!</v>
      </c>
      <c r="T306" s="3"/>
      <c r="U306" s="51">
        <f t="shared" si="405"/>
        <v>0</v>
      </c>
      <c r="V306" s="52" t="e">
        <f t="shared" si="406"/>
        <v>#DIV/0!</v>
      </c>
      <c r="W306" s="53">
        <f>COUNTIFS('00 Encuesta'!$B$2:$B$511,"*e)*",'00 Encuesta'!$C$2:$C$511,"*c)*",'00 Encuesta'!$E$2:$E$511,"*a)*",'00 Encuesta'!$AM$2:$AM$511,"*b)*")</f>
        <v>0</v>
      </c>
      <c r="X306" s="52" t="e">
        <f t="shared" si="407"/>
        <v>#DIV/0!</v>
      </c>
      <c r="Y306" s="53">
        <f>COUNTIFS('00 Encuesta'!$B$2:$B$511,"*e)*",'00 Encuesta'!$C$2:$C$511,"*c)*",'00 Encuesta'!$E$2:$E$511,"*b)*",'00 Encuesta'!$AM$2:$AM$511,"*b)*")</f>
        <v>0</v>
      </c>
      <c r="Z306" s="52" t="e">
        <f t="shared" si="408"/>
        <v>#DIV/0!</v>
      </c>
      <c r="AA306" s="3"/>
      <c r="AB306" s="62">
        <f t="shared" si="409"/>
        <v>0</v>
      </c>
      <c r="AC306" s="52" t="e">
        <f t="shared" si="410"/>
        <v>#DIV/0!</v>
      </c>
      <c r="AD306" s="3"/>
      <c r="AE306" s="3"/>
      <c r="AF306" s="9" t="str">
        <f t="shared" si="411"/>
        <v>b) Buena</v>
      </c>
      <c r="AG306" s="72" t="e">
        <f t="shared" si="412"/>
        <v>#DIV/0!</v>
      </c>
      <c r="AH306" s="72" t="e">
        <f t="shared" si="413"/>
        <v>#DIV/0!</v>
      </c>
      <c r="AI306" s="73" t="e">
        <f t="shared" si="414"/>
        <v>#DIV/0!</v>
      </c>
      <c r="AJ306" s="73"/>
      <c r="AK306" s="76" t="e">
        <f t="shared" si="415"/>
        <v>#DIV/0!</v>
      </c>
      <c r="AL306" s="76" t="e">
        <f t="shared" si="416"/>
        <v>#DIV/0!</v>
      </c>
      <c r="AM306" s="76" t="e">
        <f t="shared" si="417"/>
        <v>#DIV/0!</v>
      </c>
      <c r="AN306" s="76"/>
      <c r="AO306" s="81" t="e">
        <f t="shared" si="418"/>
        <v>#DIV/0!</v>
      </c>
      <c r="AP306" s="81" t="e">
        <f t="shared" si="419"/>
        <v>#DIV/0!</v>
      </c>
      <c r="AQ306" s="81" t="e">
        <f t="shared" si="420"/>
        <v>#DIV/0!</v>
      </c>
      <c r="AR306" s="3"/>
      <c r="AS306" s="76" t="e">
        <f t="shared" si="369"/>
        <v>#DIV/0!</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x14ac:dyDescent="0.3">
      <c r="A307" s="8" t="s">
        <v>20</v>
      </c>
      <c r="B307" s="9" t="s">
        <v>218</v>
      </c>
      <c r="C307" s="7"/>
      <c r="D307" s="7"/>
      <c r="E307" s="7"/>
      <c r="F307" s="71">
        <v>50</v>
      </c>
      <c r="G307" s="51">
        <f t="shared" si="397"/>
        <v>0</v>
      </c>
      <c r="H307" s="52" t="e">
        <f t="shared" si="398"/>
        <v>#DIV/0!</v>
      </c>
      <c r="I307" s="53">
        <f>COUNTIFS('00 Encuesta'!$B$2:$B$511,"*e)*",'00 Encuesta'!$C$2:$C$511,"*a)*",'00 Encuesta'!$E$2:$E$511,"*a)*",'00 Encuesta'!$AM$2:$AM$511,"*c)*")</f>
        <v>0</v>
      </c>
      <c r="J307" s="52" t="e">
        <f t="shared" si="399"/>
        <v>#DIV/0!</v>
      </c>
      <c r="K307" s="53">
        <f>COUNTIFS('00 Encuesta'!$B$2:$B$511,"*e)*",'00 Encuesta'!$C$2:$C$511,"*a)*",'00 Encuesta'!$E$2:$E$511,"*b)*",'00 Encuesta'!$AM$2:$AM$511,"*c)*")</f>
        <v>0</v>
      </c>
      <c r="L307" s="52" t="e">
        <f t="shared" si="400"/>
        <v>#DIV/0!</v>
      </c>
      <c r="M307" s="23"/>
      <c r="N307" s="51">
        <f t="shared" si="401"/>
        <v>0</v>
      </c>
      <c r="O307" s="52" t="e">
        <f t="shared" si="402"/>
        <v>#DIV/0!</v>
      </c>
      <c r="P307" s="53">
        <f>COUNTIFS('00 Encuesta'!$B$2:$B$511,"*e)*",'00 Encuesta'!$C$2:$C$511,"*b)*",'00 Encuesta'!$E$2:$E$511,"*a)*",'00 Encuesta'!$AM$2:$AM$511,"*c)*")</f>
        <v>0</v>
      </c>
      <c r="Q307" s="52" t="e">
        <f t="shared" si="403"/>
        <v>#DIV/0!</v>
      </c>
      <c r="R307" s="53">
        <f>COUNTIFS('00 Encuesta'!$B$2:$B$511,"*e)*",'00 Encuesta'!$C$2:$C$511,"*b)*",'00 Encuesta'!$E$2:$E$511,"*b)*",'00 Encuesta'!$AM$2:$AM$511,"*c)*")</f>
        <v>0</v>
      </c>
      <c r="S307" s="52" t="e">
        <f t="shared" si="404"/>
        <v>#DIV/0!</v>
      </c>
      <c r="T307" s="3"/>
      <c r="U307" s="51">
        <f t="shared" si="405"/>
        <v>0</v>
      </c>
      <c r="V307" s="52" t="e">
        <f t="shared" si="406"/>
        <v>#DIV/0!</v>
      </c>
      <c r="W307" s="53">
        <f>COUNTIFS('00 Encuesta'!$B$2:$B$511,"*e)*",'00 Encuesta'!$C$2:$C$511,"*c)*",'00 Encuesta'!$E$2:$E$511,"*a)*",'00 Encuesta'!$AM$2:$AM$511,"*c)*")</f>
        <v>0</v>
      </c>
      <c r="X307" s="52" t="e">
        <f t="shared" si="407"/>
        <v>#DIV/0!</v>
      </c>
      <c r="Y307" s="53">
        <f>COUNTIFS('00 Encuesta'!$B$2:$B$511,"*e)*",'00 Encuesta'!$C$2:$C$511,"*c)*",'00 Encuesta'!$E$2:$E$511,"*b)*",'00 Encuesta'!$AM$2:$AM$511,"*c)*")</f>
        <v>0</v>
      </c>
      <c r="Z307" s="52" t="e">
        <f t="shared" si="408"/>
        <v>#DIV/0!</v>
      </c>
      <c r="AA307" s="3"/>
      <c r="AB307" s="62">
        <f t="shared" si="409"/>
        <v>0</v>
      </c>
      <c r="AC307" s="52" t="e">
        <f t="shared" si="410"/>
        <v>#DIV/0!</v>
      </c>
      <c r="AD307" s="3"/>
      <c r="AE307" s="3"/>
      <c r="AF307" s="9" t="str">
        <f t="shared" si="411"/>
        <v>c) Regular</v>
      </c>
      <c r="AG307" s="72" t="e">
        <f t="shared" si="412"/>
        <v>#DIV/0!</v>
      </c>
      <c r="AH307" s="72" t="e">
        <f t="shared" si="413"/>
        <v>#DIV/0!</v>
      </c>
      <c r="AI307" s="73" t="e">
        <f t="shared" si="414"/>
        <v>#DIV/0!</v>
      </c>
      <c r="AJ307" s="73"/>
      <c r="AK307" s="76" t="e">
        <f t="shared" si="415"/>
        <v>#DIV/0!</v>
      </c>
      <c r="AL307" s="76" t="e">
        <f t="shared" si="416"/>
        <v>#DIV/0!</v>
      </c>
      <c r="AM307" s="76" t="e">
        <f t="shared" si="417"/>
        <v>#DIV/0!</v>
      </c>
      <c r="AN307" s="76"/>
      <c r="AO307" s="81" t="e">
        <f t="shared" si="418"/>
        <v>#DIV/0!</v>
      </c>
      <c r="AP307" s="81" t="e">
        <f t="shared" si="419"/>
        <v>#DIV/0!</v>
      </c>
      <c r="AQ307" s="81" t="e">
        <f t="shared" si="420"/>
        <v>#DIV/0!</v>
      </c>
      <c r="AR307" s="3"/>
      <c r="AS307" s="76" t="e">
        <f t="shared" si="369"/>
        <v>#DIV/0!</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x14ac:dyDescent="0.3">
      <c r="A308" s="8" t="s">
        <v>21</v>
      </c>
      <c r="B308" s="9" t="s">
        <v>231</v>
      </c>
      <c r="C308" s="7"/>
      <c r="D308" s="7"/>
      <c r="E308" s="7"/>
      <c r="F308" s="71">
        <v>25</v>
      </c>
      <c r="G308" s="51">
        <f t="shared" si="397"/>
        <v>0</v>
      </c>
      <c r="H308" s="52" t="e">
        <f t="shared" si="398"/>
        <v>#DIV/0!</v>
      </c>
      <c r="I308" s="53">
        <f>COUNTIFS('00 Encuesta'!$B$2:$B$511,"*e)*",'00 Encuesta'!$C$2:$C$511,"*a)*",'00 Encuesta'!$E$2:$E$511,"*a)*",'00 Encuesta'!$AM$2:$AM$511,"*d)*")</f>
        <v>0</v>
      </c>
      <c r="J308" s="52" t="e">
        <f t="shared" si="399"/>
        <v>#DIV/0!</v>
      </c>
      <c r="K308" s="53">
        <f>COUNTIFS('00 Encuesta'!$B$2:$B$511,"*e)*",'00 Encuesta'!$C$2:$C$511,"*a)*",'00 Encuesta'!$E$2:$E$511,"*b)*",'00 Encuesta'!$AM$2:$AM$511,"*d)*")</f>
        <v>0</v>
      </c>
      <c r="L308" s="52" t="e">
        <f t="shared" si="400"/>
        <v>#DIV/0!</v>
      </c>
      <c r="M308" s="23"/>
      <c r="N308" s="51">
        <f t="shared" si="401"/>
        <v>0</v>
      </c>
      <c r="O308" s="52" t="e">
        <f t="shared" si="402"/>
        <v>#DIV/0!</v>
      </c>
      <c r="P308" s="53">
        <f>COUNTIFS('00 Encuesta'!$B$2:$B$511,"*e)*",'00 Encuesta'!$C$2:$C$511,"*b)*",'00 Encuesta'!$E$2:$E$511,"*a)*",'00 Encuesta'!$AM$2:$AM$511,"*d)*")</f>
        <v>0</v>
      </c>
      <c r="Q308" s="52" t="e">
        <f t="shared" si="403"/>
        <v>#DIV/0!</v>
      </c>
      <c r="R308" s="53">
        <f>COUNTIFS('00 Encuesta'!$B$2:$B$511,"*e)*",'00 Encuesta'!$C$2:$C$511,"*b)*",'00 Encuesta'!$E$2:$E$511,"*b)*",'00 Encuesta'!$AM$2:$AM$511,"*d)*")</f>
        <v>0</v>
      </c>
      <c r="S308" s="52" t="e">
        <f t="shared" si="404"/>
        <v>#DIV/0!</v>
      </c>
      <c r="T308" s="3"/>
      <c r="U308" s="51">
        <f t="shared" si="405"/>
        <v>0</v>
      </c>
      <c r="V308" s="52" t="e">
        <f t="shared" si="406"/>
        <v>#DIV/0!</v>
      </c>
      <c r="W308" s="53">
        <f>COUNTIFS('00 Encuesta'!$B$2:$B$511,"*e)*",'00 Encuesta'!$C$2:$C$511,"*c)*",'00 Encuesta'!$E$2:$E$511,"*a)*",'00 Encuesta'!$AM$2:$AM$511,"*d)*")</f>
        <v>0</v>
      </c>
      <c r="X308" s="52" t="e">
        <f t="shared" si="407"/>
        <v>#DIV/0!</v>
      </c>
      <c r="Y308" s="53">
        <f>COUNTIFS('00 Encuesta'!$B$2:$B$511,"*e)*",'00 Encuesta'!$C$2:$C$511,"*c)*",'00 Encuesta'!$E$2:$E$511,"*b)*",'00 Encuesta'!$AM$2:$AM$511,"*d)*")</f>
        <v>0</v>
      </c>
      <c r="Z308" s="52" t="e">
        <f t="shared" si="408"/>
        <v>#DIV/0!</v>
      </c>
      <c r="AA308" s="3"/>
      <c r="AB308" s="62">
        <f t="shared" si="409"/>
        <v>0</v>
      </c>
      <c r="AC308" s="52" t="e">
        <f t="shared" si="410"/>
        <v>#DIV/0!</v>
      </c>
      <c r="AD308" s="3"/>
      <c r="AE308" s="3"/>
      <c r="AF308" s="9" t="str">
        <f t="shared" si="411"/>
        <v>d) Mala</v>
      </c>
      <c r="AG308" s="72" t="e">
        <f t="shared" si="412"/>
        <v>#DIV/0!</v>
      </c>
      <c r="AH308" s="72" t="e">
        <f t="shared" si="413"/>
        <v>#DIV/0!</v>
      </c>
      <c r="AI308" s="73" t="e">
        <f t="shared" si="414"/>
        <v>#DIV/0!</v>
      </c>
      <c r="AJ308" s="73"/>
      <c r="AK308" s="76" t="e">
        <f t="shared" si="415"/>
        <v>#DIV/0!</v>
      </c>
      <c r="AL308" s="76" t="e">
        <f t="shared" si="416"/>
        <v>#DIV/0!</v>
      </c>
      <c r="AM308" s="76" t="e">
        <f t="shared" si="417"/>
        <v>#DIV/0!</v>
      </c>
      <c r="AN308" s="76"/>
      <c r="AO308" s="81" t="e">
        <f t="shared" si="418"/>
        <v>#DIV/0!</v>
      </c>
      <c r="AP308" s="81" t="e">
        <f t="shared" si="419"/>
        <v>#DIV/0!</v>
      </c>
      <c r="AQ308" s="81" t="e">
        <f t="shared" si="420"/>
        <v>#DIV/0!</v>
      </c>
      <c r="AR308" s="3"/>
      <c r="AS308" s="76" t="e">
        <f t="shared" si="369"/>
        <v>#DIV/0!</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x14ac:dyDescent="0.3">
      <c r="A309" s="8" t="s">
        <v>22</v>
      </c>
      <c r="B309" s="9" t="s">
        <v>232</v>
      </c>
      <c r="C309" s="7"/>
      <c r="D309" s="7"/>
      <c r="E309" s="7"/>
      <c r="F309" s="71">
        <v>0</v>
      </c>
      <c r="G309" s="51">
        <f t="shared" si="397"/>
        <v>0</v>
      </c>
      <c r="H309" s="52" t="e">
        <f t="shared" si="398"/>
        <v>#DIV/0!</v>
      </c>
      <c r="I309" s="53">
        <f>COUNTIFS('00 Encuesta'!$B$2:$B$511,"*e)*",'00 Encuesta'!$C$2:$C$511,"*a)*",'00 Encuesta'!$E$2:$E$511,"*a)*",'00 Encuesta'!$AM$2:$AM$511,"*e)*")</f>
        <v>0</v>
      </c>
      <c r="J309" s="52" t="e">
        <f t="shared" si="399"/>
        <v>#DIV/0!</v>
      </c>
      <c r="K309" s="53">
        <f>COUNTIFS('00 Encuesta'!$B$2:$B$511,"*e)*",'00 Encuesta'!$C$2:$C$511,"*a)*",'00 Encuesta'!$E$2:$E$511,"*b)*",'00 Encuesta'!$AM$2:$AM$511,"*e)*")</f>
        <v>0</v>
      </c>
      <c r="L309" s="52" t="e">
        <f t="shared" si="400"/>
        <v>#DIV/0!</v>
      </c>
      <c r="M309" s="23"/>
      <c r="N309" s="51">
        <f t="shared" si="401"/>
        <v>0</v>
      </c>
      <c r="O309" s="52" t="e">
        <f t="shared" si="402"/>
        <v>#DIV/0!</v>
      </c>
      <c r="P309" s="53">
        <f>COUNTIFS('00 Encuesta'!$B$2:$B$511,"*e)*",'00 Encuesta'!$C$2:$C$511,"*b)*",'00 Encuesta'!$E$2:$E$511,"*a)*",'00 Encuesta'!$AM$2:$AM$511,"*e)*")</f>
        <v>0</v>
      </c>
      <c r="Q309" s="52" t="e">
        <f t="shared" si="403"/>
        <v>#DIV/0!</v>
      </c>
      <c r="R309" s="53">
        <f>COUNTIFS('00 Encuesta'!$B$2:$B$511,"*e)*",'00 Encuesta'!$C$2:$C$511,"*b)*",'00 Encuesta'!$E$2:$E$511,"*b)*",'00 Encuesta'!$AM$2:$AM$511,"*e)*")</f>
        <v>0</v>
      </c>
      <c r="S309" s="52" t="e">
        <f t="shared" si="404"/>
        <v>#DIV/0!</v>
      </c>
      <c r="T309" s="3"/>
      <c r="U309" s="51">
        <f t="shared" si="405"/>
        <v>0</v>
      </c>
      <c r="V309" s="52" t="e">
        <f t="shared" si="406"/>
        <v>#DIV/0!</v>
      </c>
      <c r="W309" s="53">
        <f>COUNTIFS('00 Encuesta'!$B$2:$B$511,"*e)*",'00 Encuesta'!$C$2:$C$511,"*c)*",'00 Encuesta'!$E$2:$E$511,"*a)*",'00 Encuesta'!$AM$2:$AM$511,"*e)*")</f>
        <v>0</v>
      </c>
      <c r="X309" s="52" t="e">
        <f t="shared" si="407"/>
        <v>#DIV/0!</v>
      </c>
      <c r="Y309" s="53">
        <f>COUNTIFS('00 Encuesta'!$B$2:$B$511,"*e)*",'00 Encuesta'!$C$2:$C$511,"*c)*",'00 Encuesta'!$E$2:$E$511,"*b)*",'00 Encuesta'!$AM$2:$AM$511,"*e)*")</f>
        <v>0</v>
      </c>
      <c r="Z309" s="52" t="e">
        <f t="shared" si="408"/>
        <v>#DIV/0!</v>
      </c>
      <c r="AA309" s="3"/>
      <c r="AB309" s="62">
        <f t="shared" si="409"/>
        <v>0</v>
      </c>
      <c r="AC309" s="52" t="e">
        <f t="shared" si="410"/>
        <v>#DIV/0!</v>
      </c>
      <c r="AD309" s="3"/>
      <c r="AE309" s="3"/>
      <c r="AF309" s="9" t="str">
        <f t="shared" si="411"/>
        <v>e) Muy mala</v>
      </c>
      <c r="AG309" s="72" t="e">
        <f t="shared" si="412"/>
        <v>#DIV/0!</v>
      </c>
      <c r="AH309" s="72" t="e">
        <f t="shared" si="413"/>
        <v>#DIV/0!</v>
      </c>
      <c r="AI309" s="73" t="e">
        <f t="shared" si="414"/>
        <v>#DIV/0!</v>
      </c>
      <c r="AJ309" s="73"/>
      <c r="AK309" s="76" t="e">
        <f t="shared" si="415"/>
        <v>#DIV/0!</v>
      </c>
      <c r="AL309" s="76" t="e">
        <f t="shared" si="416"/>
        <v>#DIV/0!</v>
      </c>
      <c r="AM309" s="76" t="e">
        <f t="shared" si="417"/>
        <v>#DIV/0!</v>
      </c>
      <c r="AN309" s="76"/>
      <c r="AO309" s="81" t="e">
        <f t="shared" si="418"/>
        <v>#DIV/0!</v>
      </c>
      <c r="AP309" s="81" t="e">
        <f t="shared" si="419"/>
        <v>#DIV/0!</v>
      </c>
      <c r="AQ309" s="81" t="e">
        <f t="shared" si="420"/>
        <v>#DIV/0!</v>
      </c>
      <c r="AR309" s="3"/>
      <c r="AS309" s="76" t="e">
        <f t="shared" si="369"/>
        <v>#DIV/0!</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x14ac:dyDescent="0.3">
      <c r="A310" s="8" t="s">
        <v>45</v>
      </c>
      <c r="B310" s="9" t="s">
        <v>233</v>
      </c>
      <c r="C310" s="7"/>
      <c r="D310" s="7"/>
      <c r="E310" s="7"/>
      <c r="F310" s="71"/>
      <c r="G310" s="51">
        <f t="shared" si="397"/>
        <v>0</v>
      </c>
      <c r="H310" s="52" t="e">
        <f t="shared" si="398"/>
        <v>#DIV/0!</v>
      </c>
      <c r="I310" s="53">
        <f>COUNTIFS('00 Encuesta'!$B$2:$B$511,"*e)*",'00 Encuesta'!$C$2:$C$511,"*a)*",'00 Encuesta'!$E$2:$E$511,"*a)*",'00 Encuesta'!$AM$2:$AM$511,"*f)*")</f>
        <v>0</v>
      </c>
      <c r="J310" s="52" t="e">
        <f t="shared" si="399"/>
        <v>#DIV/0!</v>
      </c>
      <c r="K310" s="53">
        <f>COUNTIFS('00 Encuesta'!$B$2:$B$511,"*e)*",'00 Encuesta'!$C$2:$C$511,"*a)*",'00 Encuesta'!$E$2:$E$511,"*b)*",'00 Encuesta'!$AM$2:$AM$511,"*f)*")</f>
        <v>0</v>
      </c>
      <c r="L310" s="52" t="e">
        <f t="shared" si="400"/>
        <v>#DIV/0!</v>
      </c>
      <c r="M310" s="23"/>
      <c r="N310" s="51">
        <f t="shared" si="401"/>
        <v>0</v>
      </c>
      <c r="O310" s="52" t="e">
        <f t="shared" si="402"/>
        <v>#DIV/0!</v>
      </c>
      <c r="P310" s="53">
        <f>COUNTIFS('00 Encuesta'!$B$2:$B$511,"*e)*",'00 Encuesta'!$C$2:$C$511,"*b)*",'00 Encuesta'!$E$2:$E$511,"*a)*",'00 Encuesta'!$AM$2:$AM$511,"*f)*")</f>
        <v>0</v>
      </c>
      <c r="Q310" s="52" t="e">
        <f t="shared" si="403"/>
        <v>#DIV/0!</v>
      </c>
      <c r="R310" s="53">
        <f>COUNTIFS('00 Encuesta'!$B$2:$B$511,"*e)*",'00 Encuesta'!$C$2:$C$511,"*b)*",'00 Encuesta'!$E$2:$E$511,"*b)*",'00 Encuesta'!$AM$2:$AM$511,"*f)*")</f>
        <v>0</v>
      </c>
      <c r="S310" s="52" t="e">
        <f t="shared" si="404"/>
        <v>#DIV/0!</v>
      </c>
      <c r="T310" s="3"/>
      <c r="U310" s="51">
        <f t="shared" si="405"/>
        <v>0</v>
      </c>
      <c r="V310" s="52" t="e">
        <f t="shared" si="406"/>
        <v>#DIV/0!</v>
      </c>
      <c r="W310" s="53">
        <f>COUNTIFS('00 Encuesta'!$B$2:$B$511,"*e)*",'00 Encuesta'!$C$2:$C$511,"*c)*",'00 Encuesta'!$E$2:$E$511,"*a)*",'00 Encuesta'!$AM$2:$AM$511,"*f)*")</f>
        <v>0</v>
      </c>
      <c r="X310" s="52" t="e">
        <f t="shared" si="407"/>
        <v>#DIV/0!</v>
      </c>
      <c r="Y310" s="53">
        <f>COUNTIFS('00 Encuesta'!$B$2:$B$511,"*e)*",'00 Encuesta'!$C$2:$C$511,"*c)*",'00 Encuesta'!$E$2:$E$511,"*b)*",'00 Encuesta'!$AM$2:$AM$511,"*f)*")</f>
        <v>0</v>
      </c>
      <c r="Z310" s="52" t="e">
        <f t="shared" si="408"/>
        <v>#DIV/0!</v>
      </c>
      <c r="AA310" s="3"/>
      <c r="AB310" s="62">
        <f t="shared" si="409"/>
        <v>0</v>
      </c>
      <c r="AC310" s="52" t="e">
        <f t="shared" si="410"/>
        <v>#DIV/0!</v>
      </c>
      <c r="AD310" s="3"/>
      <c r="AE310" s="3"/>
      <c r="AF310" s="9" t="str">
        <f t="shared" si="411"/>
        <v>f) No aplica</v>
      </c>
      <c r="AG310" s="72" t="e">
        <f t="shared" si="412"/>
        <v>#DIV/0!</v>
      </c>
      <c r="AH310" s="72" t="e">
        <f t="shared" si="413"/>
        <v>#DIV/0!</v>
      </c>
      <c r="AI310" s="73" t="e">
        <f t="shared" si="414"/>
        <v>#DIV/0!</v>
      </c>
      <c r="AJ310" s="73"/>
      <c r="AK310" s="76" t="e">
        <f t="shared" si="415"/>
        <v>#DIV/0!</v>
      </c>
      <c r="AL310" s="76" t="e">
        <f t="shared" si="416"/>
        <v>#DIV/0!</v>
      </c>
      <c r="AM310" s="76" t="e">
        <f t="shared" si="417"/>
        <v>#DIV/0!</v>
      </c>
      <c r="AN310" s="76"/>
      <c r="AO310" s="81" t="e">
        <f t="shared" si="418"/>
        <v>#DIV/0!</v>
      </c>
      <c r="AP310" s="81" t="e">
        <f t="shared" si="419"/>
        <v>#DIV/0!</v>
      </c>
      <c r="AQ310" s="81" t="e">
        <f t="shared" si="420"/>
        <v>#DIV/0!</v>
      </c>
      <c r="AR310" s="3"/>
      <c r="AS310" s="76" t="e">
        <f t="shared" si="369"/>
        <v>#DIV/0!</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x14ac:dyDescent="0.3">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t="e">
        <f>($F305*I305+$F306*I306+$F307*I307+$F308*I308+$F309*I309)/(I305+I306+I307+I308+I309)</f>
        <v>#DIV/0!</v>
      </c>
      <c r="AH311" s="82" t="e">
        <f>($F305*K305+$F306*K306+$F307*K307+$F308*K308+$F309*K309)/(K305+K306+K307+K308+K309)</f>
        <v>#DIV/0!</v>
      </c>
      <c r="AI311" s="82" t="e">
        <f>($F305*G305+$F306*G306+$F307*G307+$F308*G308+$F309*G309)/(G305+G306+G307+G308+G309)</f>
        <v>#DIV/0!</v>
      </c>
      <c r="AJ311" s="82"/>
      <c r="AK311" s="82" t="e">
        <f>($F305*Q305+$F306*Q306+$F307*Q307+$F308*Q308+$F309*Q309)/(Q305+Q306+Q307+Q308+Q309)</f>
        <v>#DIV/0!</v>
      </c>
      <c r="AL311" s="82" t="e">
        <f>($F305*S305+$F306*S306+$F307*S307+$F308*S308+$F309*S309)/(S305+S306+S307+S308+S309)</f>
        <v>#DIV/0!</v>
      </c>
      <c r="AM311" s="82" t="e">
        <f>($F305*O305+$F306*O306+$F307*O307+$F308*O308+$F309*O309)/(O305+O306+O307+O308+O309)</f>
        <v>#DIV/0!</v>
      </c>
      <c r="AN311" s="82"/>
      <c r="AO311" s="82" t="e">
        <f>($F305*W305+$F306*W306+$F307*W307+$F308*W308+$F309*W309)/(W305+W306+W307+W308+W309)</f>
        <v>#DIV/0!</v>
      </c>
      <c r="AP311" s="82" t="e">
        <f>($F305*Y305+$F306*Y306+$F307*Y307+$F308*Y308+$F309*Y309)/(Y305+Y306+Y307+Y308+Y309)</f>
        <v>#DIV/0!</v>
      </c>
      <c r="AQ311" s="82" t="e">
        <f>($F305*U305+$F306*U306+$F307*U307+$F308*U308+$F309*U309)/(U305+U306+U307+U308+U309)</f>
        <v>#DIV/0!</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x14ac:dyDescent="0.3">
      <c r="A313" s="8" t="s">
        <v>17</v>
      </c>
      <c r="B313" s="9" t="s">
        <v>229</v>
      </c>
      <c r="C313" s="7"/>
      <c r="D313" s="7"/>
      <c r="E313" s="7"/>
      <c r="F313" s="71">
        <v>100</v>
      </c>
      <c r="G313" s="51">
        <f t="shared" ref="G313:G318" si="421">I313+K313</f>
        <v>0</v>
      </c>
      <c r="H313" s="52" t="e">
        <f t="shared" ref="H313:H318" si="422">G313/$J$5*100</f>
        <v>#DIV/0!</v>
      </c>
      <c r="I313" s="53">
        <f>COUNTIFS('00 Encuesta'!$B$2:$B$511,"*e)*",'00 Encuesta'!$C$2:$C$511,"*a)*",'00 Encuesta'!$E$2:$E$511,"*a)*",'00 Encuesta'!$AN$2:$AN$511,"*a)*")</f>
        <v>0</v>
      </c>
      <c r="J313" s="52" t="e">
        <f t="shared" ref="J313:J318" si="423">I313/$J$6*100</f>
        <v>#DIV/0!</v>
      </c>
      <c r="K313" s="53">
        <f>COUNTIFS('00 Encuesta'!$B$2:$B$511,"*e)*",'00 Encuesta'!$C$2:$C$511,"*a)*",'00 Encuesta'!$E$2:$E$511,"*b)*",'00 Encuesta'!$AN$2:$AN$511,"*a)*")</f>
        <v>0</v>
      </c>
      <c r="L313" s="52" t="e">
        <f t="shared" ref="L313:L318" si="424">K313/$J$7*100</f>
        <v>#DIV/0!</v>
      </c>
      <c r="M313" s="23"/>
      <c r="N313" s="51">
        <f t="shared" ref="N313:N318" si="425">P313+R313</f>
        <v>0</v>
      </c>
      <c r="O313" s="52" t="e">
        <f t="shared" ref="O313:O318" si="426">N313/$Q$5*100</f>
        <v>#DIV/0!</v>
      </c>
      <c r="P313" s="53">
        <f>COUNTIFS('00 Encuesta'!$B$2:$B$511,"*e)*",'00 Encuesta'!$C$2:$C$511,"*b)*",'00 Encuesta'!$E$2:$E$511,"*a)*",'00 Encuesta'!$AN$2:$AN$511,"*a)*")</f>
        <v>0</v>
      </c>
      <c r="Q313" s="52" t="e">
        <f t="shared" ref="Q313:Q318" si="427">P313/$Q$6*100</f>
        <v>#DIV/0!</v>
      </c>
      <c r="R313" s="53">
        <f>COUNTIFS('00 Encuesta'!$B$2:$B$511,"*e)*",'00 Encuesta'!$C$2:$C$511,"*b)*",'00 Encuesta'!$E$2:$E$511,"*b)*",'00 Encuesta'!$AN$2:$AN$511,"*a)*")</f>
        <v>0</v>
      </c>
      <c r="S313" s="52" t="e">
        <f t="shared" ref="S313:S318" si="428">R313/$Q$7*100</f>
        <v>#DIV/0!</v>
      </c>
      <c r="T313" s="3"/>
      <c r="U313" s="51">
        <f t="shared" ref="U313:U318" si="429">W313+Y313</f>
        <v>0</v>
      </c>
      <c r="V313" s="52" t="e">
        <f t="shared" ref="V313:V318" si="430">U313/$X$5*100</f>
        <v>#DIV/0!</v>
      </c>
      <c r="W313" s="53">
        <f>COUNTIFS('00 Encuesta'!$B$2:$B$511,"*e)*",'00 Encuesta'!$C$2:$C$511,"*c)*",'00 Encuesta'!$E$2:$E$511,"*a)*",'00 Encuesta'!$AN$2:$AN$511,"*a)*")</f>
        <v>0</v>
      </c>
      <c r="X313" s="52" t="e">
        <f t="shared" ref="X313:X318" si="431">W313/$X$6*100</f>
        <v>#DIV/0!</v>
      </c>
      <c r="Y313" s="53">
        <f>COUNTIFS('00 Encuesta'!$B$2:$B$511,"*e)*",'00 Encuesta'!$C$2:$C$511,"*c)*",'00 Encuesta'!$E$2:$E$511,"*b)*",'00 Encuesta'!$AN$2:$AN$511,"*a)*")</f>
        <v>0</v>
      </c>
      <c r="Z313" s="52" t="e">
        <f t="shared" ref="Z313:Z318" si="432">Y313/$X$7*100</f>
        <v>#DIV/0!</v>
      </c>
      <c r="AA313" s="3"/>
      <c r="AB313" s="62">
        <f t="shared" ref="AB313:AB318" si="433">G313+N313+U313</f>
        <v>0</v>
      </c>
      <c r="AC313" s="52" t="e">
        <f t="shared" ref="AC313:AC318" si="434">AB313*100/$AC$5</f>
        <v>#DIV/0!</v>
      </c>
      <c r="AD313" s="3"/>
      <c r="AE313" s="3"/>
      <c r="AF313" s="9" t="str">
        <f t="shared" ref="AF313:AF318" si="435">A313&amp;" "&amp;B313</f>
        <v>a) Muy buena</v>
      </c>
      <c r="AG313" s="72" t="e">
        <f t="shared" ref="AG313:AG318" si="436">J313</f>
        <v>#DIV/0!</v>
      </c>
      <c r="AH313" s="72" t="e">
        <f t="shared" ref="AH313:AH318" si="437">L313</f>
        <v>#DIV/0!</v>
      </c>
      <c r="AI313" s="73" t="e">
        <f t="shared" ref="AI313:AI318" si="438">H313</f>
        <v>#DIV/0!</v>
      </c>
      <c r="AJ313" s="73"/>
      <c r="AK313" s="76" t="e">
        <f t="shared" ref="AK313:AK318" si="439">Q313</f>
        <v>#DIV/0!</v>
      </c>
      <c r="AL313" s="76" t="e">
        <f t="shared" ref="AL313:AL318" si="440">S313</f>
        <v>#DIV/0!</v>
      </c>
      <c r="AM313" s="76" t="e">
        <f t="shared" ref="AM313:AM318" si="441">O313</f>
        <v>#DIV/0!</v>
      </c>
      <c r="AN313" s="76"/>
      <c r="AO313" s="81" t="e">
        <f t="shared" ref="AO313:AO318" si="442">X313</f>
        <v>#DIV/0!</v>
      </c>
      <c r="AP313" s="81" t="e">
        <f t="shared" ref="AP313:AP318" si="443">Z313</f>
        <v>#DIV/0!</v>
      </c>
      <c r="AQ313" s="81" t="e">
        <f t="shared" ref="AQ313:AQ318" si="444">V313</f>
        <v>#DIV/0!</v>
      </c>
      <c r="AR313" s="3"/>
      <c r="AS313" s="76" t="e">
        <f t="shared" ref="AS313:AS318" si="445">AC313</f>
        <v>#DIV/0!</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x14ac:dyDescent="0.3">
      <c r="A314" s="8" t="s">
        <v>18</v>
      </c>
      <c r="B314" s="9" t="s">
        <v>230</v>
      </c>
      <c r="C314" s="7"/>
      <c r="D314" s="7"/>
      <c r="E314" s="7"/>
      <c r="F314" s="71">
        <v>75</v>
      </c>
      <c r="G314" s="51">
        <f t="shared" si="421"/>
        <v>0</v>
      </c>
      <c r="H314" s="52" t="e">
        <f t="shared" si="422"/>
        <v>#DIV/0!</v>
      </c>
      <c r="I314" s="53">
        <f>COUNTIFS('00 Encuesta'!$B$2:$B$511,"*e)*",'00 Encuesta'!$C$2:$C$511,"*a)*",'00 Encuesta'!$E$2:$E$511,"*a)*",'00 Encuesta'!$AN$2:$AN$511,"*b)*")</f>
        <v>0</v>
      </c>
      <c r="J314" s="52" t="e">
        <f t="shared" si="423"/>
        <v>#DIV/0!</v>
      </c>
      <c r="K314" s="53">
        <f>COUNTIFS('00 Encuesta'!$B$2:$B$511,"*e)*",'00 Encuesta'!$C$2:$C$511,"*a)*",'00 Encuesta'!$E$2:$E$511,"*b)*",'00 Encuesta'!$AN$2:$AN$511,"*b)*")</f>
        <v>0</v>
      </c>
      <c r="L314" s="52" t="e">
        <f t="shared" si="424"/>
        <v>#DIV/0!</v>
      </c>
      <c r="M314" s="23"/>
      <c r="N314" s="51">
        <f t="shared" si="425"/>
        <v>0</v>
      </c>
      <c r="O314" s="52" t="e">
        <f t="shared" si="426"/>
        <v>#DIV/0!</v>
      </c>
      <c r="P314" s="53">
        <f>COUNTIFS('00 Encuesta'!$B$2:$B$511,"*e)*",'00 Encuesta'!$C$2:$C$511,"*b)*",'00 Encuesta'!$E$2:$E$511,"*a)*",'00 Encuesta'!$AN$2:$AN$511,"*b)*")</f>
        <v>0</v>
      </c>
      <c r="Q314" s="52" t="e">
        <f t="shared" si="427"/>
        <v>#DIV/0!</v>
      </c>
      <c r="R314" s="53">
        <f>COUNTIFS('00 Encuesta'!$B$2:$B$511,"*e)*",'00 Encuesta'!$C$2:$C$511,"*b)*",'00 Encuesta'!$E$2:$E$511,"*b)*",'00 Encuesta'!$AN$2:$AN$511,"*b)*")</f>
        <v>0</v>
      </c>
      <c r="S314" s="52" t="e">
        <f t="shared" si="428"/>
        <v>#DIV/0!</v>
      </c>
      <c r="T314" s="3"/>
      <c r="U314" s="51">
        <f t="shared" si="429"/>
        <v>0</v>
      </c>
      <c r="V314" s="52" t="e">
        <f t="shared" si="430"/>
        <v>#DIV/0!</v>
      </c>
      <c r="W314" s="53">
        <f>COUNTIFS('00 Encuesta'!$B$2:$B$511,"*e)*",'00 Encuesta'!$C$2:$C$511,"*c)*",'00 Encuesta'!$E$2:$E$511,"*a)*",'00 Encuesta'!$AN$2:$AN$511,"*b)*")</f>
        <v>0</v>
      </c>
      <c r="X314" s="52" t="e">
        <f t="shared" si="431"/>
        <v>#DIV/0!</v>
      </c>
      <c r="Y314" s="53">
        <f>COUNTIFS('00 Encuesta'!$B$2:$B$511,"*e)*",'00 Encuesta'!$C$2:$C$511,"*c)*",'00 Encuesta'!$E$2:$E$511,"*b)*",'00 Encuesta'!$AN$2:$AN$511,"*b)*")</f>
        <v>0</v>
      </c>
      <c r="Z314" s="52" t="e">
        <f t="shared" si="432"/>
        <v>#DIV/0!</v>
      </c>
      <c r="AA314" s="3"/>
      <c r="AB314" s="62">
        <f t="shared" si="433"/>
        <v>0</v>
      </c>
      <c r="AC314" s="52" t="e">
        <f t="shared" si="434"/>
        <v>#DIV/0!</v>
      </c>
      <c r="AD314" s="3"/>
      <c r="AE314" s="3"/>
      <c r="AF314" s="9" t="str">
        <f t="shared" si="435"/>
        <v>b) Buena</v>
      </c>
      <c r="AG314" s="72" t="e">
        <f t="shared" si="436"/>
        <v>#DIV/0!</v>
      </c>
      <c r="AH314" s="72" t="e">
        <f t="shared" si="437"/>
        <v>#DIV/0!</v>
      </c>
      <c r="AI314" s="73" t="e">
        <f t="shared" si="438"/>
        <v>#DIV/0!</v>
      </c>
      <c r="AJ314" s="73"/>
      <c r="AK314" s="76" t="e">
        <f t="shared" si="439"/>
        <v>#DIV/0!</v>
      </c>
      <c r="AL314" s="76" t="e">
        <f t="shared" si="440"/>
        <v>#DIV/0!</v>
      </c>
      <c r="AM314" s="76" t="e">
        <f t="shared" si="441"/>
        <v>#DIV/0!</v>
      </c>
      <c r="AN314" s="76"/>
      <c r="AO314" s="81" t="e">
        <f t="shared" si="442"/>
        <v>#DIV/0!</v>
      </c>
      <c r="AP314" s="81" t="e">
        <f t="shared" si="443"/>
        <v>#DIV/0!</v>
      </c>
      <c r="AQ314" s="81" t="e">
        <f t="shared" si="444"/>
        <v>#DIV/0!</v>
      </c>
      <c r="AR314" s="3"/>
      <c r="AS314" s="76" t="e">
        <f t="shared" si="445"/>
        <v>#DIV/0!</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x14ac:dyDescent="0.3">
      <c r="A315" s="8" t="s">
        <v>20</v>
      </c>
      <c r="B315" s="9" t="s">
        <v>218</v>
      </c>
      <c r="C315" s="7"/>
      <c r="D315" s="7"/>
      <c r="E315" s="7"/>
      <c r="F315" s="71">
        <v>50</v>
      </c>
      <c r="G315" s="51">
        <f t="shared" si="421"/>
        <v>0</v>
      </c>
      <c r="H315" s="52" t="e">
        <f t="shared" si="422"/>
        <v>#DIV/0!</v>
      </c>
      <c r="I315" s="53">
        <f>COUNTIFS('00 Encuesta'!$B$2:$B$511,"*e)*",'00 Encuesta'!$C$2:$C$511,"*a)*",'00 Encuesta'!$E$2:$E$511,"*a)*",'00 Encuesta'!$AN$2:$AN$511,"*c)*")</f>
        <v>0</v>
      </c>
      <c r="J315" s="52" t="e">
        <f t="shared" si="423"/>
        <v>#DIV/0!</v>
      </c>
      <c r="K315" s="53">
        <f>COUNTIFS('00 Encuesta'!$B$2:$B$511,"*e)*",'00 Encuesta'!$C$2:$C$511,"*a)*",'00 Encuesta'!$E$2:$E$511,"*b)*",'00 Encuesta'!$AN$2:$AN$511,"*c)*")</f>
        <v>0</v>
      </c>
      <c r="L315" s="52" t="e">
        <f t="shared" si="424"/>
        <v>#DIV/0!</v>
      </c>
      <c r="M315" s="23"/>
      <c r="N315" s="51">
        <f t="shared" si="425"/>
        <v>0</v>
      </c>
      <c r="O315" s="52" t="e">
        <f t="shared" si="426"/>
        <v>#DIV/0!</v>
      </c>
      <c r="P315" s="53">
        <f>COUNTIFS('00 Encuesta'!$B$2:$B$511,"*e)*",'00 Encuesta'!$C$2:$C$511,"*b)*",'00 Encuesta'!$E$2:$E$511,"*a)*",'00 Encuesta'!$AN$2:$AN$511,"*c)*")</f>
        <v>0</v>
      </c>
      <c r="Q315" s="52" t="e">
        <f t="shared" si="427"/>
        <v>#DIV/0!</v>
      </c>
      <c r="R315" s="53">
        <f>COUNTIFS('00 Encuesta'!$B$2:$B$511,"*e)*",'00 Encuesta'!$C$2:$C$511,"*b)*",'00 Encuesta'!$E$2:$E$511,"*b)*",'00 Encuesta'!$AN$2:$AN$511,"*c)*")</f>
        <v>0</v>
      </c>
      <c r="S315" s="52" t="e">
        <f t="shared" si="428"/>
        <v>#DIV/0!</v>
      </c>
      <c r="T315" s="3"/>
      <c r="U315" s="51">
        <f t="shared" si="429"/>
        <v>0</v>
      </c>
      <c r="V315" s="52" t="e">
        <f t="shared" si="430"/>
        <v>#DIV/0!</v>
      </c>
      <c r="W315" s="53">
        <f>COUNTIFS('00 Encuesta'!$B$2:$B$511,"*e)*",'00 Encuesta'!$C$2:$C$511,"*c)*",'00 Encuesta'!$E$2:$E$511,"*a)*",'00 Encuesta'!$AN$2:$AN$511,"*c)*")</f>
        <v>0</v>
      </c>
      <c r="X315" s="52" t="e">
        <f t="shared" si="431"/>
        <v>#DIV/0!</v>
      </c>
      <c r="Y315" s="53">
        <f>COUNTIFS('00 Encuesta'!$B$2:$B$511,"*e)*",'00 Encuesta'!$C$2:$C$511,"*c)*",'00 Encuesta'!$E$2:$E$511,"*b)*",'00 Encuesta'!$AN$2:$AN$511,"*c)*")</f>
        <v>0</v>
      </c>
      <c r="Z315" s="52" t="e">
        <f t="shared" si="432"/>
        <v>#DIV/0!</v>
      </c>
      <c r="AA315" s="3"/>
      <c r="AB315" s="62">
        <f t="shared" si="433"/>
        <v>0</v>
      </c>
      <c r="AC315" s="52" t="e">
        <f t="shared" si="434"/>
        <v>#DIV/0!</v>
      </c>
      <c r="AD315" s="3"/>
      <c r="AE315" s="3"/>
      <c r="AF315" s="9" t="str">
        <f t="shared" si="435"/>
        <v>c) Regular</v>
      </c>
      <c r="AG315" s="72" t="e">
        <f t="shared" si="436"/>
        <v>#DIV/0!</v>
      </c>
      <c r="AH315" s="72" t="e">
        <f t="shared" si="437"/>
        <v>#DIV/0!</v>
      </c>
      <c r="AI315" s="73" t="e">
        <f t="shared" si="438"/>
        <v>#DIV/0!</v>
      </c>
      <c r="AJ315" s="73"/>
      <c r="AK315" s="76" t="e">
        <f t="shared" si="439"/>
        <v>#DIV/0!</v>
      </c>
      <c r="AL315" s="76" t="e">
        <f t="shared" si="440"/>
        <v>#DIV/0!</v>
      </c>
      <c r="AM315" s="76" t="e">
        <f t="shared" si="441"/>
        <v>#DIV/0!</v>
      </c>
      <c r="AN315" s="76"/>
      <c r="AO315" s="81" t="e">
        <f t="shared" si="442"/>
        <v>#DIV/0!</v>
      </c>
      <c r="AP315" s="81" t="e">
        <f t="shared" si="443"/>
        <v>#DIV/0!</v>
      </c>
      <c r="AQ315" s="81" t="e">
        <f t="shared" si="444"/>
        <v>#DIV/0!</v>
      </c>
      <c r="AR315" s="3"/>
      <c r="AS315" s="76" t="e">
        <f t="shared" si="445"/>
        <v>#DIV/0!</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x14ac:dyDescent="0.3">
      <c r="A316" s="8" t="s">
        <v>21</v>
      </c>
      <c r="B316" s="9" t="s">
        <v>231</v>
      </c>
      <c r="C316" s="7"/>
      <c r="D316" s="7"/>
      <c r="E316" s="7"/>
      <c r="F316" s="71">
        <v>25</v>
      </c>
      <c r="G316" s="51">
        <f t="shared" si="421"/>
        <v>0</v>
      </c>
      <c r="H316" s="52" t="e">
        <f t="shared" si="422"/>
        <v>#DIV/0!</v>
      </c>
      <c r="I316" s="53">
        <f>COUNTIFS('00 Encuesta'!$B$2:$B$511,"*e)*",'00 Encuesta'!$C$2:$C$511,"*a)*",'00 Encuesta'!$E$2:$E$511,"*a)*",'00 Encuesta'!$AN$2:$AN$511,"*d)*")</f>
        <v>0</v>
      </c>
      <c r="J316" s="52" t="e">
        <f t="shared" si="423"/>
        <v>#DIV/0!</v>
      </c>
      <c r="K316" s="53">
        <f>COUNTIFS('00 Encuesta'!$B$2:$B$511,"*e)*",'00 Encuesta'!$C$2:$C$511,"*a)*",'00 Encuesta'!$E$2:$E$511,"*b)*",'00 Encuesta'!$AN$2:$AN$511,"*d)*")</f>
        <v>0</v>
      </c>
      <c r="L316" s="52" t="e">
        <f t="shared" si="424"/>
        <v>#DIV/0!</v>
      </c>
      <c r="M316" s="23"/>
      <c r="N316" s="51">
        <f t="shared" si="425"/>
        <v>0</v>
      </c>
      <c r="O316" s="52" t="e">
        <f t="shared" si="426"/>
        <v>#DIV/0!</v>
      </c>
      <c r="P316" s="53">
        <f>COUNTIFS('00 Encuesta'!$B$2:$B$511,"*e)*",'00 Encuesta'!$C$2:$C$511,"*b)*",'00 Encuesta'!$E$2:$E$511,"*a)*",'00 Encuesta'!$AN$2:$AN$511,"*d)*")</f>
        <v>0</v>
      </c>
      <c r="Q316" s="52" t="e">
        <f t="shared" si="427"/>
        <v>#DIV/0!</v>
      </c>
      <c r="R316" s="53">
        <f>COUNTIFS('00 Encuesta'!$B$2:$B$511,"*e)*",'00 Encuesta'!$C$2:$C$511,"*b)*",'00 Encuesta'!$E$2:$E$511,"*b)*",'00 Encuesta'!$AN$2:$AN$511,"*d)*")</f>
        <v>0</v>
      </c>
      <c r="S316" s="52" t="e">
        <f t="shared" si="428"/>
        <v>#DIV/0!</v>
      </c>
      <c r="T316" s="3"/>
      <c r="U316" s="51">
        <f t="shared" si="429"/>
        <v>0</v>
      </c>
      <c r="V316" s="52" t="e">
        <f t="shared" si="430"/>
        <v>#DIV/0!</v>
      </c>
      <c r="W316" s="53">
        <f>COUNTIFS('00 Encuesta'!$B$2:$B$511,"*e)*",'00 Encuesta'!$C$2:$C$511,"*c)*",'00 Encuesta'!$E$2:$E$511,"*a)*",'00 Encuesta'!$AN$2:$AN$511,"*d)*")</f>
        <v>0</v>
      </c>
      <c r="X316" s="52" t="e">
        <f t="shared" si="431"/>
        <v>#DIV/0!</v>
      </c>
      <c r="Y316" s="53">
        <f>COUNTIFS('00 Encuesta'!$B$2:$B$511,"*e)*",'00 Encuesta'!$C$2:$C$511,"*c)*",'00 Encuesta'!$E$2:$E$511,"*b)*",'00 Encuesta'!$AN$2:$AN$511,"*d)*")</f>
        <v>0</v>
      </c>
      <c r="Z316" s="52" t="e">
        <f t="shared" si="432"/>
        <v>#DIV/0!</v>
      </c>
      <c r="AA316" s="3"/>
      <c r="AB316" s="62">
        <f t="shared" si="433"/>
        <v>0</v>
      </c>
      <c r="AC316" s="52" t="e">
        <f t="shared" si="434"/>
        <v>#DIV/0!</v>
      </c>
      <c r="AD316" s="3"/>
      <c r="AE316" s="3"/>
      <c r="AF316" s="9" t="str">
        <f t="shared" si="435"/>
        <v>d) Mala</v>
      </c>
      <c r="AG316" s="72" t="e">
        <f t="shared" si="436"/>
        <v>#DIV/0!</v>
      </c>
      <c r="AH316" s="72" t="e">
        <f t="shared" si="437"/>
        <v>#DIV/0!</v>
      </c>
      <c r="AI316" s="73" t="e">
        <f t="shared" si="438"/>
        <v>#DIV/0!</v>
      </c>
      <c r="AJ316" s="73"/>
      <c r="AK316" s="76" t="e">
        <f t="shared" si="439"/>
        <v>#DIV/0!</v>
      </c>
      <c r="AL316" s="76" t="e">
        <f t="shared" si="440"/>
        <v>#DIV/0!</v>
      </c>
      <c r="AM316" s="76" t="e">
        <f t="shared" si="441"/>
        <v>#DIV/0!</v>
      </c>
      <c r="AN316" s="76"/>
      <c r="AO316" s="81" t="e">
        <f t="shared" si="442"/>
        <v>#DIV/0!</v>
      </c>
      <c r="AP316" s="81" t="e">
        <f t="shared" si="443"/>
        <v>#DIV/0!</v>
      </c>
      <c r="AQ316" s="81" t="e">
        <f t="shared" si="444"/>
        <v>#DIV/0!</v>
      </c>
      <c r="AR316" s="3"/>
      <c r="AS316" s="76" t="e">
        <f t="shared" si="445"/>
        <v>#DIV/0!</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x14ac:dyDescent="0.3">
      <c r="A317" s="8" t="s">
        <v>22</v>
      </c>
      <c r="B317" s="9" t="s">
        <v>232</v>
      </c>
      <c r="C317" s="7"/>
      <c r="D317" s="7"/>
      <c r="E317" s="7"/>
      <c r="F317" s="71">
        <v>0</v>
      </c>
      <c r="G317" s="51">
        <f t="shared" si="421"/>
        <v>0</v>
      </c>
      <c r="H317" s="52" t="e">
        <f t="shared" si="422"/>
        <v>#DIV/0!</v>
      </c>
      <c r="I317" s="53">
        <f>COUNTIFS('00 Encuesta'!$B$2:$B$511,"*e)*",'00 Encuesta'!$C$2:$C$511,"*a)*",'00 Encuesta'!$E$2:$E$511,"*a)*",'00 Encuesta'!$AN$2:$AN$511,"*e)*")</f>
        <v>0</v>
      </c>
      <c r="J317" s="52" t="e">
        <f t="shared" si="423"/>
        <v>#DIV/0!</v>
      </c>
      <c r="K317" s="53">
        <f>COUNTIFS('00 Encuesta'!$B$2:$B$511,"*e)*",'00 Encuesta'!$C$2:$C$511,"*a)*",'00 Encuesta'!$E$2:$E$511,"*b)*",'00 Encuesta'!$AN$2:$AN$511,"*e)*")</f>
        <v>0</v>
      </c>
      <c r="L317" s="52" t="e">
        <f t="shared" si="424"/>
        <v>#DIV/0!</v>
      </c>
      <c r="M317" s="23"/>
      <c r="N317" s="51">
        <f t="shared" si="425"/>
        <v>0</v>
      </c>
      <c r="O317" s="52" t="e">
        <f t="shared" si="426"/>
        <v>#DIV/0!</v>
      </c>
      <c r="P317" s="53">
        <f>COUNTIFS('00 Encuesta'!$B$2:$B$511,"*e)*",'00 Encuesta'!$C$2:$C$511,"*b)*",'00 Encuesta'!$E$2:$E$511,"*a)*",'00 Encuesta'!$AN$2:$AN$511,"*e)*")</f>
        <v>0</v>
      </c>
      <c r="Q317" s="52" t="e">
        <f t="shared" si="427"/>
        <v>#DIV/0!</v>
      </c>
      <c r="R317" s="53">
        <f>COUNTIFS('00 Encuesta'!$B$2:$B$511,"*e)*",'00 Encuesta'!$C$2:$C$511,"*b)*",'00 Encuesta'!$E$2:$E$511,"*b)*",'00 Encuesta'!$AN$2:$AN$511,"*e)*")</f>
        <v>0</v>
      </c>
      <c r="S317" s="52" t="e">
        <f t="shared" si="428"/>
        <v>#DIV/0!</v>
      </c>
      <c r="T317" s="3"/>
      <c r="U317" s="51">
        <f t="shared" si="429"/>
        <v>0</v>
      </c>
      <c r="V317" s="52" t="e">
        <f t="shared" si="430"/>
        <v>#DIV/0!</v>
      </c>
      <c r="W317" s="53">
        <f>COUNTIFS('00 Encuesta'!$B$2:$B$511,"*e)*",'00 Encuesta'!$C$2:$C$511,"*c)*",'00 Encuesta'!$E$2:$E$511,"*a)*",'00 Encuesta'!$AN$2:$AN$511,"*e)*")</f>
        <v>0</v>
      </c>
      <c r="X317" s="52" t="e">
        <f t="shared" si="431"/>
        <v>#DIV/0!</v>
      </c>
      <c r="Y317" s="53">
        <f>COUNTIFS('00 Encuesta'!$B$2:$B$511,"*e)*",'00 Encuesta'!$C$2:$C$511,"*c)*",'00 Encuesta'!$E$2:$E$511,"*b)*",'00 Encuesta'!$AN$2:$AN$511,"*e)*")</f>
        <v>0</v>
      </c>
      <c r="Z317" s="52" t="e">
        <f t="shared" si="432"/>
        <v>#DIV/0!</v>
      </c>
      <c r="AA317" s="3"/>
      <c r="AB317" s="62">
        <f t="shared" si="433"/>
        <v>0</v>
      </c>
      <c r="AC317" s="52" t="e">
        <f t="shared" si="434"/>
        <v>#DIV/0!</v>
      </c>
      <c r="AD317" s="3"/>
      <c r="AE317" s="3"/>
      <c r="AF317" s="9" t="str">
        <f t="shared" si="435"/>
        <v>e) Muy mala</v>
      </c>
      <c r="AG317" s="72" t="e">
        <f t="shared" si="436"/>
        <v>#DIV/0!</v>
      </c>
      <c r="AH317" s="72" t="e">
        <f t="shared" si="437"/>
        <v>#DIV/0!</v>
      </c>
      <c r="AI317" s="73" t="e">
        <f t="shared" si="438"/>
        <v>#DIV/0!</v>
      </c>
      <c r="AJ317" s="73"/>
      <c r="AK317" s="76" t="e">
        <f t="shared" si="439"/>
        <v>#DIV/0!</v>
      </c>
      <c r="AL317" s="76" t="e">
        <f t="shared" si="440"/>
        <v>#DIV/0!</v>
      </c>
      <c r="AM317" s="76" t="e">
        <f t="shared" si="441"/>
        <v>#DIV/0!</v>
      </c>
      <c r="AN317" s="76"/>
      <c r="AO317" s="81" t="e">
        <f t="shared" si="442"/>
        <v>#DIV/0!</v>
      </c>
      <c r="AP317" s="81" t="e">
        <f t="shared" si="443"/>
        <v>#DIV/0!</v>
      </c>
      <c r="AQ317" s="81" t="e">
        <f t="shared" si="444"/>
        <v>#DIV/0!</v>
      </c>
      <c r="AR317" s="3"/>
      <c r="AS317" s="76" t="e">
        <f t="shared" si="445"/>
        <v>#DIV/0!</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x14ac:dyDescent="0.3">
      <c r="A318" s="8" t="s">
        <v>45</v>
      </c>
      <c r="B318" s="9" t="s">
        <v>233</v>
      </c>
      <c r="C318" s="7"/>
      <c r="D318" s="7"/>
      <c r="E318" s="7"/>
      <c r="F318" s="71"/>
      <c r="G318" s="51">
        <f t="shared" si="421"/>
        <v>0</v>
      </c>
      <c r="H318" s="52" t="e">
        <f t="shared" si="422"/>
        <v>#DIV/0!</v>
      </c>
      <c r="I318" s="53">
        <f>COUNTIFS('00 Encuesta'!$B$2:$B$511,"*e)*",'00 Encuesta'!$C$2:$C$511,"*a)*",'00 Encuesta'!$E$2:$E$511,"*a)*",'00 Encuesta'!$AN$2:$AN$511,"*f)*")</f>
        <v>0</v>
      </c>
      <c r="J318" s="52" t="e">
        <f t="shared" si="423"/>
        <v>#DIV/0!</v>
      </c>
      <c r="K318" s="53">
        <f>COUNTIFS('00 Encuesta'!$B$2:$B$511,"*e)*",'00 Encuesta'!$C$2:$C$511,"*a)*",'00 Encuesta'!$E$2:$E$511,"*b)*",'00 Encuesta'!$AN$2:$AN$511,"*f)*")</f>
        <v>0</v>
      </c>
      <c r="L318" s="52" t="e">
        <f t="shared" si="424"/>
        <v>#DIV/0!</v>
      </c>
      <c r="M318" s="23"/>
      <c r="N318" s="51">
        <f t="shared" si="425"/>
        <v>0</v>
      </c>
      <c r="O318" s="52" t="e">
        <f t="shared" si="426"/>
        <v>#DIV/0!</v>
      </c>
      <c r="P318" s="53">
        <f>COUNTIFS('00 Encuesta'!$B$2:$B$511,"*e)*",'00 Encuesta'!$C$2:$C$511,"*b)*",'00 Encuesta'!$E$2:$E$511,"*a)*",'00 Encuesta'!$AN$2:$AN$511,"*f)*")</f>
        <v>0</v>
      </c>
      <c r="Q318" s="52" t="e">
        <f t="shared" si="427"/>
        <v>#DIV/0!</v>
      </c>
      <c r="R318" s="53">
        <f>COUNTIFS('00 Encuesta'!$B$2:$B$511,"*e)*",'00 Encuesta'!$C$2:$C$511,"*b)*",'00 Encuesta'!$E$2:$E$511,"*b)*",'00 Encuesta'!$AN$2:$AN$511,"*f)*")</f>
        <v>0</v>
      </c>
      <c r="S318" s="52" t="e">
        <f t="shared" si="428"/>
        <v>#DIV/0!</v>
      </c>
      <c r="T318" s="3"/>
      <c r="U318" s="51">
        <f t="shared" si="429"/>
        <v>0</v>
      </c>
      <c r="V318" s="52" t="e">
        <f t="shared" si="430"/>
        <v>#DIV/0!</v>
      </c>
      <c r="W318" s="53">
        <f>COUNTIFS('00 Encuesta'!$B$2:$B$511,"*e)*",'00 Encuesta'!$C$2:$C$511,"*c)*",'00 Encuesta'!$E$2:$E$511,"*a)*",'00 Encuesta'!$AN$2:$AN$511,"*f)*")</f>
        <v>0</v>
      </c>
      <c r="X318" s="52" t="e">
        <f t="shared" si="431"/>
        <v>#DIV/0!</v>
      </c>
      <c r="Y318" s="53">
        <f>COUNTIFS('00 Encuesta'!$B$2:$B$511,"*e)*",'00 Encuesta'!$C$2:$C$511,"*c)*",'00 Encuesta'!$E$2:$E$511,"*b)*",'00 Encuesta'!$AN$2:$AN$511,"*f)*")</f>
        <v>0</v>
      </c>
      <c r="Z318" s="52" t="e">
        <f t="shared" si="432"/>
        <v>#DIV/0!</v>
      </c>
      <c r="AA318" s="3"/>
      <c r="AB318" s="62">
        <f t="shared" si="433"/>
        <v>0</v>
      </c>
      <c r="AC318" s="52" t="e">
        <f t="shared" si="434"/>
        <v>#DIV/0!</v>
      </c>
      <c r="AD318" s="3"/>
      <c r="AE318" s="3"/>
      <c r="AF318" s="9" t="str">
        <f t="shared" si="435"/>
        <v>f) No aplica</v>
      </c>
      <c r="AG318" s="72" t="e">
        <f t="shared" si="436"/>
        <v>#DIV/0!</v>
      </c>
      <c r="AH318" s="72" t="e">
        <f t="shared" si="437"/>
        <v>#DIV/0!</v>
      </c>
      <c r="AI318" s="73" t="e">
        <f t="shared" si="438"/>
        <v>#DIV/0!</v>
      </c>
      <c r="AJ318" s="73"/>
      <c r="AK318" s="76" t="e">
        <f t="shared" si="439"/>
        <v>#DIV/0!</v>
      </c>
      <c r="AL318" s="76" t="e">
        <f t="shared" si="440"/>
        <v>#DIV/0!</v>
      </c>
      <c r="AM318" s="76" t="e">
        <f t="shared" si="441"/>
        <v>#DIV/0!</v>
      </c>
      <c r="AN318" s="76"/>
      <c r="AO318" s="81" t="e">
        <f t="shared" si="442"/>
        <v>#DIV/0!</v>
      </c>
      <c r="AP318" s="81" t="e">
        <f t="shared" si="443"/>
        <v>#DIV/0!</v>
      </c>
      <c r="AQ318" s="81" t="e">
        <f t="shared" si="444"/>
        <v>#DIV/0!</v>
      </c>
      <c r="AR318" s="3"/>
      <c r="AS318" s="76" t="e">
        <f t="shared" si="445"/>
        <v>#DIV/0!</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x14ac:dyDescent="0.3">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t="e">
        <f>($F313*I313+$F314*I314+$F315*I315+$F316*I316+$F317*I317)/(I313+I314+I315+I316+I317)</f>
        <v>#DIV/0!</v>
      </c>
      <c r="AH319" s="82" t="e">
        <f>($F313*K313+$F314*K314+$F315*K315+$F316*K316+$F317*K317)/(K313+K314+K315+K316+K317)</f>
        <v>#DIV/0!</v>
      </c>
      <c r="AI319" s="82" t="e">
        <f>($F313*G313+$F314*G314+$F315*G315+$F316*G316+$F317*G317)/(G313+G314+G315+G316+G317)</f>
        <v>#DIV/0!</v>
      </c>
      <c r="AJ319" s="82"/>
      <c r="AK319" s="82" t="e">
        <f>($F313*Q313+$F314*Q314+$F315*Q315+$F316*Q316+$F317*Q317)/(Q313+Q314+Q315+Q316+Q317)</f>
        <v>#DIV/0!</v>
      </c>
      <c r="AL319" s="82" t="e">
        <f>($F313*S313+$F314*S314+$F315*S315+$F316*S316+$F317*S317)/(S313+S314+S315+S316+S317)</f>
        <v>#DIV/0!</v>
      </c>
      <c r="AM319" s="82" t="e">
        <f>($F313*O313+$F314*O314+$F315*O315+$F316*O316+$F317*O317)/(O313+O314+O315+O316+O317)</f>
        <v>#DIV/0!</v>
      </c>
      <c r="AN319" s="82"/>
      <c r="AO319" s="82" t="e">
        <f>($F313*W313+$F314*W314+$F315*W315+$F316*W316+$F317*W317)/(W313+W314+W315+W316+W317)</f>
        <v>#DIV/0!</v>
      </c>
      <c r="AP319" s="82" t="e">
        <f>($F313*Y313+$F314*Y314+$F315*Y315+$F316*Y316+$F317*Y317)/(Y313+Y314+Y315+Y316+Y317)</f>
        <v>#DIV/0!</v>
      </c>
      <c r="AQ319" s="82" t="e">
        <f>($F313*U313+$F314*U314+$F315*U315+$F316*U316+$F317*U317)/(U313+U314+U315+U316+U317)</f>
        <v>#DIV/0!</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x14ac:dyDescent="0.3">
      <c r="A321" s="8" t="s">
        <v>17</v>
      </c>
      <c r="B321" s="9" t="s">
        <v>229</v>
      </c>
      <c r="C321" s="7"/>
      <c r="D321" s="7"/>
      <c r="E321" s="7"/>
      <c r="F321" s="71">
        <v>100</v>
      </c>
      <c r="G321" s="51">
        <f t="shared" ref="G321:G326" si="446">I321+K321</f>
        <v>0</v>
      </c>
      <c r="H321" s="52" t="e">
        <f t="shared" ref="H321:H326" si="447">G321/$J$5*100</f>
        <v>#DIV/0!</v>
      </c>
      <c r="I321" s="53">
        <f>COUNTIFS('00 Encuesta'!$B$2:$B$511,"*e)*",'00 Encuesta'!$C$2:$C$511,"*a)*",'00 Encuesta'!$E$2:$E$511,"*a)*",'00 Encuesta'!$AO$2:$AO$511,"*a)*")</f>
        <v>0</v>
      </c>
      <c r="J321" s="52" t="e">
        <f t="shared" ref="J321:J326" si="448">I321/$J$6*100</f>
        <v>#DIV/0!</v>
      </c>
      <c r="K321" s="53">
        <f>COUNTIFS('00 Encuesta'!$B$2:$B$511,"*e)*",'00 Encuesta'!$C$2:$C$511,"*a)*",'00 Encuesta'!$E$2:$E$511,"*b)*",'00 Encuesta'!$AO$2:$AO$511,"*a)*")</f>
        <v>0</v>
      </c>
      <c r="L321" s="52" t="e">
        <f t="shared" ref="L321:L326" si="449">K321/$J$7*100</f>
        <v>#DIV/0!</v>
      </c>
      <c r="M321" s="23"/>
      <c r="N321" s="51">
        <f t="shared" ref="N321:N326" si="450">P321+R321</f>
        <v>0</v>
      </c>
      <c r="O321" s="52" t="e">
        <f t="shared" ref="O321:O326" si="451">N321/$Q$5*100</f>
        <v>#DIV/0!</v>
      </c>
      <c r="P321" s="53">
        <f>COUNTIFS('00 Encuesta'!$B$2:$B$511,"*e)*",'00 Encuesta'!$C$2:$C$511,"*b)*",'00 Encuesta'!$E$2:$E$511,"*a)*",'00 Encuesta'!$AO$2:$AO$511,"*a)*")</f>
        <v>0</v>
      </c>
      <c r="Q321" s="52" t="e">
        <f t="shared" ref="Q321:Q326" si="452">P321/$Q$6*100</f>
        <v>#DIV/0!</v>
      </c>
      <c r="R321" s="53">
        <f>COUNTIFS('00 Encuesta'!$B$2:$B$511,"*e)*",'00 Encuesta'!$C$2:$C$511,"*b)*",'00 Encuesta'!$E$2:$E$511,"*b)*",'00 Encuesta'!$AO$2:$AO$511,"*a)*")</f>
        <v>0</v>
      </c>
      <c r="S321" s="52" t="e">
        <f t="shared" ref="S321:S326" si="453">R321/$Q$7*100</f>
        <v>#DIV/0!</v>
      </c>
      <c r="T321" s="3"/>
      <c r="U321" s="51">
        <f t="shared" ref="U321:U326" si="454">W321+Y321</f>
        <v>0</v>
      </c>
      <c r="V321" s="52" t="e">
        <f t="shared" ref="V321:V326" si="455">U321/$X$5*100</f>
        <v>#DIV/0!</v>
      </c>
      <c r="W321" s="53">
        <f>COUNTIFS('00 Encuesta'!$B$2:$B$511,"*e)*",'00 Encuesta'!$C$2:$C$511,"*c)*",'00 Encuesta'!$E$2:$E$511,"*a)*",'00 Encuesta'!$AO$2:$AO$511,"*a)*")</f>
        <v>0</v>
      </c>
      <c r="X321" s="52" t="e">
        <f t="shared" ref="X321:X326" si="456">W321/$X$6*100</f>
        <v>#DIV/0!</v>
      </c>
      <c r="Y321" s="53">
        <f>COUNTIFS('00 Encuesta'!$B$2:$B$511,"*e)*",'00 Encuesta'!$C$2:$C$511,"*c)*",'00 Encuesta'!$E$2:$E$511,"*b)*",'00 Encuesta'!$AO$2:$AO$511,"*a)*")</f>
        <v>0</v>
      </c>
      <c r="Z321" s="52" t="e">
        <f t="shared" ref="Z321:Z326" si="457">Y321/$X$7*100</f>
        <v>#DIV/0!</v>
      </c>
      <c r="AA321" s="3"/>
      <c r="AB321" s="62">
        <f t="shared" ref="AB321:AB326" si="458">G321+N321+U321</f>
        <v>0</v>
      </c>
      <c r="AC321" s="52" t="e">
        <f t="shared" ref="AC321:AC326" si="459">AB321*100/$AC$5</f>
        <v>#DIV/0!</v>
      </c>
      <c r="AD321" s="3"/>
      <c r="AE321" s="3"/>
      <c r="AF321" s="9" t="str">
        <f t="shared" ref="AF321:AF326" si="460">A321&amp;" "&amp;B321</f>
        <v>a) Muy buena</v>
      </c>
      <c r="AG321" s="72" t="e">
        <f t="shared" ref="AG321:AG326" si="461">J321</f>
        <v>#DIV/0!</v>
      </c>
      <c r="AH321" s="72" t="e">
        <f t="shared" ref="AH321:AH326" si="462">L321</f>
        <v>#DIV/0!</v>
      </c>
      <c r="AI321" s="73" t="e">
        <f t="shared" ref="AI321:AI326" si="463">H321</f>
        <v>#DIV/0!</v>
      </c>
      <c r="AJ321" s="73"/>
      <c r="AK321" s="76" t="e">
        <f t="shared" ref="AK321:AK326" si="464">Q321</f>
        <v>#DIV/0!</v>
      </c>
      <c r="AL321" s="76" t="e">
        <f t="shared" ref="AL321:AL326" si="465">S321</f>
        <v>#DIV/0!</v>
      </c>
      <c r="AM321" s="76" t="e">
        <f t="shared" ref="AM321:AM326" si="466">O321</f>
        <v>#DIV/0!</v>
      </c>
      <c r="AN321" s="76"/>
      <c r="AO321" s="81" t="e">
        <f t="shared" ref="AO321:AO326" si="467">X321</f>
        <v>#DIV/0!</v>
      </c>
      <c r="AP321" s="81" t="e">
        <f t="shared" ref="AP321:AP326" si="468">Z321</f>
        <v>#DIV/0!</v>
      </c>
      <c r="AQ321" s="81" t="e">
        <f t="shared" ref="AQ321:AQ326" si="469">V321</f>
        <v>#DIV/0!</v>
      </c>
      <c r="AR321" s="3"/>
      <c r="AS321" s="76" t="e">
        <f t="shared" si="369"/>
        <v>#DIV/0!</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x14ac:dyDescent="0.3">
      <c r="A322" s="8" t="s">
        <v>18</v>
      </c>
      <c r="B322" s="9" t="s">
        <v>230</v>
      </c>
      <c r="C322" s="7"/>
      <c r="D322" s="7"/>
      <c r="E322" s="7"/>
      <c r="F322" s="71">
        <v>75</v>
      </c>
      <c r="G322" s="51">
        <f t="shared" si="446"/>
        <v>0</v>
      </c>
      <c r="H322" s="52" t="e">
        <f t="shared" si="447"/>
        <v>#DIV/0!</v>
      </c>
      <c r="I322" s="53">
        <f>COUNTIFS('00 Encuesta'!$B$2:$B$511,"*e)*",'00 Encuesta'!$C$2:$C$511,"*a)*",'00 Encuesta'!$E$2:$E$511,"*a)*",'00 Encuesta'!$AO$2:$AO$511,"*b)*")</f>
        <v>0</v>
      </c>
      <c r="J322" s="52" t="e">
        <f t="shared" si="448"/>
        <v>#DIV/0!</v>
      </c>
      <c r="K322" s="53">
        <f>COUNTIFS('00 Encuesta'!$B$2:$B$511,"*e)*",'00 Encuesta'!$C$2:$C$511,"*a)*",'00 Encuesta'!$E$2:$E$511,"*b)*",'00 Encuesta'!$AO$2:$AO$511,"*b)*")</f>
        <v>0</v>
      </c>
      <c r="L322" s="52" t="e">
        <f t="shared" si="449"/>
        <v>#DIV/0!</v>
      </c>
      <c r="M322" s="23"/>
      <c r="N322" s="51">
        <f t="shared" si="450"/>
        <v>0</v>
      </c>
      <c r="O322" s="52" t="e">
        <f t="shared" si="451"/>
        <v>#DIV/0!</v>
      </c>
      <c r="P322" s="53">
        <f>COUNTIFS('00 Encuesta'!$B$2:$B$511,"*e)*",'00 Encuesta'!$C$2:$C$511,"*b)*",'00 Encuesta'!$E$2:$E$511,"*a)*",'00 Encuesta'!$AO$2:$AO$511,"*b)*")</f>
        <v>0</v>
      </c>
      <c r="Q322" s="52" t="e">
        <f t="shared" si="452"/>
        <v>#DIV/0!</v>
      </c>
      <c r="R322" s="53">
        <f>COUNTIFS('00 Encuesta'!$B$2:$B$511,"*e)*",'00 Encuesta'!$C$2:$C$511,"*b)*",'00 Encuesta'!$E$2:$E$511,"*b)*",'00 Encuesta'!$AO$2:$AO$511,"*b)*")</f>
        <v>0</v>
      </c>
      <c r="S322" s="52" t="e">
        <f t="shared" si="453"/>
        <v>#DIV/0!</v>
      </c>
      <c r="T322" s="3"/>
      <c r="U322" s="51">
        <f t="shared" si="454"/>
        <v>0</v>
      </c>
      <c r="V322" s="52" t="e">
        <f t="shared" si="455"/>
        <v>#DIV/0!</v>
      </c>
      <c r="W322" s="53">
        <f>COUNTIFS('00 Encuesta'!$B$2:$B$511,"*e)*",'00 Encuesta'!$C$2:$C$511,"*c)*",'00 Encuesta'!$E$2:$E$511,"*a)*",'00 Encuesta'!$AO$2:$AO$511,"*b)*")</f>
        <v>0</v>
      </c>
      <c r="X322" s="52" t="e">
        <f t="shared" si="456"/>
        <v>#DIV/0!</v>
      </c>
      <c r="Y322" s="53">
        <f>COUNTIFS('00 Encuesta'!$B$2:$B$511,"*e)*",'00 Encuesta'!$C$2:$C$511,"*c)*",'00 Encuesta'!$E$2:$E$511,"*b)*",'00 Encuesta'!$AO$2:$AO$511,"*b)*")</f>
        <v>0</v>
      </c>
      <c r="Z322" s="52" t="e">
        <f t="shared" si="457"/>
        <v>#DIV/0!</v>
      </c>
      <c r="AA322" s="3"/>
      <c r="AB322" s="62">
        <f t="shared" si="458"/>
        <v>0</v>
      </c>
      <c r="AC322" s="52" t="e">
        <f t="shared" si="459"/>
        <v>#DIV/0!</v>
      </c>
      <c r="AD322" s="3"/>
      <c r="AE322" s="3"/>
      <c r="AF322" s="9" t="str">
        <f t="shared" si="460"/>
        <v>b) Buena</v>
      </c>
      <c r="AG322" s="72" t="e">
        <f t="shared" si="461"/>
        <v>#DIV/0!</v>
      </c>
      <c r="AH322" s="72" t="e">
        <f t="shared" si="462"/>
        <v>#DIV/0!</v>
      </c>
      <c r="AI322" s="73" t="e">
        <f t="shared" si="463"/>
        <v>#DIV/0!</v>
      </c>
      <c r="AJ322" s="73"/>
      <c r="AK322" s="76" t="e">
        <f t="shared" si="464"/>
        <v>#DIV/0!</v>
      </c>
      <c r="AL322" s="76" t="e">
        <f t="shared" si="465"/>
        <v>#DIV/0!</v>
      </c>
      <c r="AM322" s="76" t="e">
        <f t="shared" si="466"/>
        <v>#DIV/0!</v>
      </c>
      <c r="AN322" s="76"/>
      <c r="AO322" s="81" t="e">
        <f t="shared" si="467"/>
        <v>#DIV/0!</v>
      </c>
      <c r="AP322" s="81" t="e">
        <f t="shared" si="468"/>
        <v>#DIV/0!</v>
      </c>
      <c r="AQ322" s="81" t="e">
        <f t="shared" si="469"/>
        <v>#DIV/0!</v>
      </c>
      <c r="AR322" s="3"/>
      <c r="AS322" s="76" t="e">
        <f t="shared" si="369"/>
        <v>#DIV/0!</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x14ac:dyDescent="0.3">
      <c r="A323" s="8" t="s">
        <v>20</v>
      </c>
      <c r="B323" s="9" t="s">
        <v>218</v>
      </c>
      <c r="C323" s="7"/>
      <c r="D323" s="7"/>
      <c r="E323" s="7"/>
      <c r="F323" s="71">
        <v>50</v>
      </c>
      <c r="G323" s="51">
        <f t="shared" si="446"/>
        <v>0</v>
      </c>
      <c r="H323" s="52" t="e">
        <f t="shared" si="447"/>
        <v>#DIV/0!</v>
      </c>
      <c r="I323" s="53">
        <f>COUNTIFS('00 Encuesta'!$B$2:$B$511,"*e)*",'00 Encuesta'!$C$2:$C$511,"*a)*",'00 Encuesta'!$E$2:$E$511,"*a)*",'00 Encuesta'!$AO$2:$AO$511,"*c)*")</f>
        <v>0</v>
      </c>
      <c r="J323" s="52" t="e">
        <f t="shared" si="448"/>
        <v>#DIV/0!</v>
      </c>
      <c r="K323" s="53">
        <f>COUNTIFS('00 Encuesta'!$B$2:$B$511,"*e)*",'00 Encuesta'!$C$2:$C$511,"*a)*",'00 Encuesta'!$E$2:$E$511,"*b)*",'00 Encuesta'!$AO$2:$AO$511,"*c)*")</f>
        <v>0</v>
      </c>
      <c r="L323" s="52" t="e">
        <f t="shared" si="449"/>
        <v>#DIV/0!</v>
      </c>
      <c r="M323" s="23"/>
      <c r="N323" s="51">
        <f t="shared" si="450"/>
        <v>0</v>
      </c>
      <c r="O323" s="52" t="e">
        <f t="shared" si="451"/>
        <v>#DIV/0!</v>
      </c>
      <c r="P323" s="53">
        <f>COUNTIFS('00 Encuesta'!$B$2:$B$511,"*e)*",'00 Encuesta'!$C$2:$C$511,"*b)*",'00 Encuesta'!$E$2:$E$511,"*a)*",'00 Encuesta'!$AO$2:$AO$511,"*c)*")</f>
        <v>0</v>
      </c>
      <c r="Q323" s="52" t="e">
        <f t="shared" si="452"/>
        <v>#DIV/0!</v>
      </c>
      <c r="R323" s="53">
        <f>COUNTIFS('00 Encuesta'!$B$2:$B$511,"*e)*",'00 Encuesta'!$C$2:$C$511,"*b)*",'00 Encuesta'!$E$2:$E$511,"*b)*",'00 Encuesta'!$AO$2:$AO$511,"*c)*")</f>
        <v>0</v>
      </c>
      <c r="S323" s="52" t="e">
        <f t="shared" si="453"/>
        <v>#DIV/0!</v>
      </c>
      <c r="T323" s="3"/>
      <c r="U323" s="51">
        <f t="shared" si="454"/>
        <v>0</v>
      </c>
      <c r="V323" s="52" t="e">
        <f t="shared" si="455"/>
        <v>#DIV/0!</v>
      </c>
      <c r="W323" s="53">
        <f>COUNTIFS('00 Encuesta'!$B$2:$B$511,"*e)*",'00 Encuesta'!$C$2:$C$511,"*c)*",'00 Encuesta'!$E$2:$E$511,"*a)*",'00 Encuesta'!$AO$2:$AO$511,"*c)*")</f>
        <v>0</v>
      </c>
      <c r="X323" s="52" t="e">
        <f t="shared" si="456"/>
        <v>#DIV/0!</v>
      </c>
      <c r="Y323" s="53">
        <f>COUNTIFS('00 Encuesta'!$B$2:$B$511,"*e)*",'00 Encuesta'!$C$2:$C$511,"*c)*",'00 Encuesta'!$E$2:$E$511,"*b)*",'00 Encuesta'!$AO$2:$AO$511,"*c)*")</f>
        <v>0</v>
      </c>
      <c r="Z323" s="52" t="e">
        <f t="shared" si="457"/>
        <v>#DIV/0!</v>
      </c>
      <c r="AA323" s="3"/>
      <c r="AB323" s="62">
        <f t="shared" si="458"/>
        <v>0</v>
      </c>
      <c r="AC323" s="52" t="e">
        <f t="shared" si="459"/>
        <v>#DIV/0!</v>
      </c>
      <c r="AD323" s="3"/>
      <c r="AE323" s="3"/>
      <c r="AF323" s="9" t="str">
        <f t="shared" si="460"/>
        <v>c) Regular</v>
      </c>
      <c r="AG323" s="72" t="e">
        <f t="shared" si="461"/>
        <v>#DIV/0!</v>
      </c>
      <c r="AH323" s="72" t="e">
        <f t="shared" si="462"/>
        <v>#DIV/0!</v>
      </c>
      <c r="AI323" s="73" t="e">
        <f t="shared" si="463"/>
        <v>#DIV/0!</v>
      </c>
      <c r="AJ323" s="73"/>
      <c r="AK323" s="76" t="e">
        <f t="shared" si="464"/>
        <v>#DIV/0!</v>
      </c>
      <c r="AL323" s="76" t="e">
        <f t="shared" si="465"/>
        <v>#DIV/0!</v>
      </c>
      <c r="AM323" s="76" t="e">
        <f t="shared" si="466"/>
        <v>#DIV/0!</v>
      </c>
      <c r="AN323" s="76"/>
      <c r="AO323" s="81" t="e">
        <f t="shared" si="467"/>
        <v>#DIV/0!</v>
      </c>
      <c r="AP323" s="81" t="e">
        <f t="shared" si="468"/>
        <v>#DIV/0!</v>
      </c>
      <c r="AQ323" s="81" t="e">
        <f t="shared" si="469"/>
        <v>#DIV/0!</v>
      </c>
      <c r="AR323" s="3"/>
      <c r="AS323" s="76" t="e">
        <f t="shared" si="369"/>
        <v>#DIV/0!</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x14ac:dyDescent="0.3">
      <c r="A324" s="8" t="s">
        <v>21</v>
      </c>
      <c r="B324" s="9" t="s">
        <v>231</v>
      </c>
      <c r="C324" s="7"/>
      <c r="D324" s="7"/>
      <c r="E324" s="7"/>
      <c r="F324" s="71">
        <v>25</v>
      </c>
      <c r="G324" s="51">
        <f t="shared" si="446"/>
        <v>0</v>
      </c>
      <c r="H324" s="52" t="e">
        <f t="shared" si="447"/>
        <v>#DIV/0!</v>
      </c>
      <c r="I324" s="53">
        <f>COUNTIFS('00 Encuesta'!$B$2:$B$511,"*e)*",'00 Encuesta'!$C$2:$C$511,"*a)*",'00 Encuesta'!$E$2:$E$511,"*a)*",'00 Encuesta'!$AO$2:$AO$511,"*d)*")</f>
        <v>0</v>
      </c>
      <c r="J324" s="52" t="e">
        <f t="shared" si="448"/>
        <v>#DIV/0!</v>
      </c>
      <c r="K324" s="53">
        <f>COUNTIFS('00 Encuesta'!$B$2:$B$511,"*e)*",'00 Encuesta'!$C$2:$C$511,"*a)*",'00 Encuesta'!$E$2:$E$511,"*b)*",'00 Encuesta'!$AO$2:$AO$511,"*d)*")</f>
        <v>0</v>
      </c>
      <c r="L324" s="52" t="e">
        <f t="shared" si="449"/>
        <v>#DIV/0!</v>
      </c>
      <c r="M324" s="23"/>
      <c r="N324" s="51">
        <f t="shared" si="450"/>
        <v>0</v>
      </c>
      <c r="O324" s="52" t="e">
        <f t="shared" si="451"/>
        <v>#DIV/0!</v>
      </c>
      <c r="P324" s="53">
        <f>COUNTIFS('00 Encuesta'!$B$2:$B$511,"*e)*",'00 Encuesta'!$C$2:$C$511,"*b)*",'00 Encuesta'!$E$2:$E$511,"*a)*",'00 Encuesta'!$AO$2:$AO$511,"*d)*")</f>
        <v>0</v>
      </c>
      <c r="Q324" s="52" t="e">
        <f t="shared" si="452"/>
        <v>#DIV/0!</v>
      </c>
      <c r="R324" s="53">
        <f>COUNTIFS('00 Encuesta'!$B$2:$B$511,"*e)*",'00 Encuesta'!$C$2:$C$511,"*b)*",'00 Encuesta'!$E$2:$E$511,"*b)*",'00 Encuesta'!$AO$2:$AO$511,"*d)*")</f>
        <v>0</v>
      </c>
      <c r="S324" s="52" t="e">
        <f t="shared" si="453"/>
        <v>#DIV/0!</v>
      </c>
      <c r="T324" s="3"/>
      <c r="U324" s="51">
        <f t="shared" si="454"/>
        <v>0</v>
      </c>
      <c r="V324" s="52" t="e">
        <f t="shared" si="455"/>
        <v>#DIV/0!</v>
      </c>
      <c r="W324" s="53">
        <f>COUNTIFS('00 Encuesta'!$B$2:$B$511,"*e)*",'00 Encuesta'!$C$2:$C$511,"*c)*",'00 Encuesta'!$E$2:$E$511,"*a)*",'00 Encuesta'!$AO$2:$AO$511,"*d)*")</f>
        <v>0</v>
      </c>
      <c r="X324" s="52" t="e">
        <f t="shared" si="456"/>
        <v>#DIV/0!</v>
      </c>
      <c r="Y324" s="53">
        <f>COUNTIFS('00 Encuesta'!$B$2:$B$511,"*e)*",'00 Encuesta'!$C$2:$C$511,"*c)*",'00 Encuesta'!$E$2:$E$511,"*b)*",'00 Encuesta'!$AO$2:$AO$511,"*d)*")</f>
        <v>0</v>
      </c>
      <c r="Z324" s="52" t="e">
        <f t="shared" si="457"/>
        <v>#DIV/0!</v>
      </c>
      <c r="AA324" s="3"/>
      <c r="AB324" s="62">
        <f t="shared" si="458"/>
        <v>0</v>
      </c>
      <c r="AC324" s="52" t="e">
        <f t="shared" si="459"/>
        <v>#DIV/0!</v>
      </c>
      <c r="AD324" s="3"/>
      <c r="AE324" s="3"/>
      <c r="AF324" s="9" t="str">
        <f t="shared" si="460"/>
        <v>d) Mala</v>
      </c>
      <c r="AG324" s="72" t="e">
        <f t="shared" si="461"/>
        <v>#DIV/0!</v>
      </c>
      <c r="AH324" s="72" t="e">
        <f t="shared" si="462"/>
        <v>#DIV/0!</v>
      </c>
      <c r="AI324" s="73" t="e">
        <f t="shared" si="463"/>
        <v>#DIV/0!</v>
      </c>
      <c r="AJ324" s="73"/>
      <c r="AK324" s="76" t="e">
        <f t="shared" si="464"/>
        <v>#DIV/0!</v>
      </c>
      <c r="AL324" s="76" t="e">
        <f t="shared" si="465"/>
        <v>#DIV/0!</v>
      </c>
      <c r="AM324" s="76" t="e">
        <f t="shared" si="466"/>
        <v>#DIV/0!</v>
      </c>
      <c r="AN324" s="76"/>
      <c r="AO324" s="81" t="e">
        <f t="shared" si="467"/>
        <v>#DIV/0!</v>
      </c>
      <c r="AP324" s="81" t="e">
        <f t="shared" si="468"/>
        <v>#DIV/0!</v>
      </c>
      <c r="AQ324" s="81" t="e">
        <f t="shared" si="469"/>
        <v>#DIV/0!</v>
      </c>
      <c r="AR324" s="3"/>
      <c r="AS324" s="76" t="e">
        <f t="shared" si="369"/>
        <v>#DIV/0!</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x14ac:dyDescent="0.3">
      <c r="A325" s="8" t="s">
        <v>22</v>
      </c>
      <c r="B325" s="9" t="s">
        <v>232</v>
      </c>
      <c r="C325" s="7"/>
      <c r="D325" s="7"/>
      <c r="E325" s="7"/>
      <c r="F325" s="71">
        <v>0</v>
      </c>
      <c r="G325" s="51">
        <f t="shared" si="446"/>
        <v>0</v>
      </c>
      <c r="H325" s="52" t="e">
        <f t="shared" si="447"/>
        <v>#DIV/0!</v>
      </c>
      <c r="I325" s="53">
        <f>COUNTIFS('00 Encuesta'!$B$2:$B$511,"*e)*",'00 Encuesta'!$C$2:$C$511,"*a)*",'00 Encuesta'!$E$2:$E$511,"*a)*",'00 Encuesta'!$AO$2:$AO$511,"*e)*")</f>
        <v>0</v>
      </c>
      <c r="J325" s="52" t="e">
        <f t="shared" si="448"/>
        <v>#DIV/0!</v>
      </c>
      <c r="K325" s="53">
        <f>COUNTIFS('00 Encuesta'!$B$2:$B$511,"*e)*",'00 Encuesta'!$C$2:$C$511,"*a)*",'00 Encuesta'!$E$2:$E$511,"*b)*",'00 Encuesta'!$AO$2:$AO$511,"*e)*")</f>
        <v>0</v>
      </c>
      <c r="L325" s="52" t="e">
        <f t="shared" si="449"/>
        <v>#DIV/0!</v>
      </c>
      <c r="M325" s="23"/>
      <c r="N325" s="51">
        <f t="shared" si="450"/>
        <v>0</v>
      </c>
      <c r="O325" s="52" t="e">
        <f t="shared" si="451"/>
        <v>#DIV/0!</v>
      </c>
      <c r="P325" s="53">
        <f>COUNTIFS('00 Encuesta'!$B$2:$B$511,"*e)*",'00 Encuesta'!$C$2:$C$511,"*b)*",'00 Encuesta'!$E$2:$E$511,"*a)*",'00 Encuesta'!$AO$2:$AO$511,"*e)*")</f>
        <v>0</v>
      </c>
      <c r="Q325" s="52" t="e">
        <f t="shared" si="452"/>
        <v>#DIV/0!</v>
      </c>
      <c r="R325" s="53">
        <f>COUNTIFS('00 Encuesta'!$B$2:$B$511,"*e)*",'00 Encuesta'!$C$2:$C$511,"*b)*",'00 Encuesta'!$E$2:$E$511,"*b)*",'00 Encuesta'!$AO$2:$AO$511,"*e)*")</f>
        <v>0</v>
      </c>
      <c r="S325" s="52" t="e">
        <f t="shared" si="453"/>
        <v>#DIV/0!</v>
      </c>
      <c r="T325" s="3"/>
      <c r="U325" s="51">
        <f t="shared" si="454"/>
        <v>0</v>
      </c>
      <c r="V325" s="52" t="e">
        <f t="shared" si="455"/>
        <v>#DIV/0!</v>
      </c>
      <c r="W325" s="53">
        <f>COUNTIFS('00 Encuesta'!$B$2:$B$511,"*e)*",'00 Encuesta'!$C$2:$C$511,"*c)*",'00 Encuesta'!$E$2:$E$511,"*a)*",'00 Encuesta'!$AO$2:$AO$511,"*e)*")</f>
        <v>0</v>
      </c>
      <c r="X325" s="52" t="e">
        <f t="shared" si="456"/>
        <v>#DIV/0!</v>
      </c>
      <c r="Y325" s="53">
        <f>COUNTIFS('00 Encuesta'!$B$2:$B$511,"*e)*",'00 Encuesta'!$C$2:$C$511,"*c)*",'00 Encuesta'!$E$2:$E$511,"*b)*",'00 Encuesta'!$AO$2:$AO$511,"*e)*")</f>
        <v>0</v>
      </c>
      <c r="Z325" s="52" t="e">
        <f t="shared" si="457"/>
        <v>#DIV/0!</v>
      </c>
      <c r="AA325" s="3"/>
      <c r="AB325" s="62">
        <f t="shared" si="458"/>
        <v>0</v>
      </c>
      <c r="AC325" s="52" t="e">
        <f t="shared" si="459"/>
        <v>#DIV/0!</v>
      </c>
      <c r="AD325" s="3"/>
      <c r="AE325" s="3"/>
      <c r="AF325" s="9" t="str">
        <f t="shared" si="460"/>
        <v>e) Muy mala</v>
      </c>
      <c r="AG325" s="72" t="e">
        <f t="shared" si="461"/>
        <v>#DIV/0!</v>
      </c>
      <c r="AH325" s="72" t="e">
        <f t="shared" si="462"/>
        <v>#DIV/0!</v>
      </c>
      <c r="AI325" s="73" t="e">
        <f t="shared" si="463"/>
        <v>#DIV/0!</v>
      </c>
      <c r="AJ325" s="73"/>
      <c r="AK325" s="76" t="e">
        <f t="shared" si="464"/>
        <v>#DIV/0!</v>
      </c>
      <c r="AL325" s="76" t="e">
        <f t="shared" si="465"/>
        <v>#DIV/0!</v>
      </c>
      <c r="AM325" s="76" t="e">
        <f t="shared" si="466"/>
        <v>#DIV/0!</v>
      </c>
      <c r="AN325" s="76"/>
      <c r="AO325" s="81" t="e">
        <f t="shared" si="467"/>
        <v>#DIV/0!</v>
      </c>
      <c r="AP325" s="81" t="e">
        <f t="shared" si="468"/>
        <v>#DIV/0!</v>
      </c>
      <c r="AQ325" s="81" t="e">
        <f t="shared" si="469"/>
        <v>#DIV/0!</v>
      </c>
      <c r="AR325" s="3"/>
      <c r="AS325" s="76" t="e">
        <f t="shared" si="369"/>
        <v>#DIV/0!</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x14ac:dyDescent="0.3">
      <c r="A326" s="8" t="s">
        <v>45</v>
      </c>
      <c r="B326" s="9" t="s">
        <v>233</v>
      </c>
      <c r="C326" s="7"/>
      <c r="D326" s="7"/>
      <c r="E326" s="7"/>
      <c r="F326" s="71"/>
      <c r="G326" s="51">
        <f t="shared" si="446"/>
        <v>0</v>
      </c>
      <c r="H326" s="52" t="e">
        <f t="shared" si="447"/>
        <v>#DIV/0!</v>
      </c>
      <c r="I326" s="53">
        <f>COUNTIFS('00 Encuesta'!$B$2:$B$511,"*e)*",'00 Encuesta'!$C$2:$C$511,"*a)*",'00 Encuesta'!$E$2:$E$511,"*a)*",'00 Encuesta'!$AO$2:$AO$511,"*f)*")</f>
        <v>0</v>
      </c>
      <c r="J326" s="52" t="e">
        <f t="shared" si="448"/>
        <v>#DIV/0!</v>
      </c>
      <c r="K326" s="53">
        <f>COUNTIFS('00 Encuesta'!$B$2:$B$511,"*e)*",'00 Encuesta'!$C$2:$C$511,"*a)*",'00 Encuesta'!$E$2:$E$511,"*b)*",'00 Encuesta'!$AO$2:$AO$511,"*f)*")</f>
        <v>0</v>
      </c>
      <c r="L326" s="52" t="e">
        <f t="shared" si="449"/>
        <v>#DIV/0!</v>
      </c>
      <c r="M326" s="23"/>
      <c r="N326" s="51">
        <f t="shared" si="450"/>
        <v>0</v>
      </c>
      <c r="O326" s="52" t="e">
        <f t="shared" si="451"/>
        <v>#DIV/0!</v>
      </c>
      <c r="P326" s="53">
        <f>COUNTIFS('00 Encuesta'!$B$2:$B$511,"*e)*",'00 Encuesta'!$C$2:$C$511,"*b)*",'00 Encuesta'!$E$2:$E$511,"*a)*",'00 Encuesta'!$AO$2:$AO$511,"*f)*")</f>
        <v>0</v>
      </c>
      <c r="Q326" s="52" t="e">
        <f t="shared" si="452"/>
        <v>#DIV/0!</v>
      </c>
      <c r="R326" s="53">
        <f>COUNTIFS('00 Encuesta'!$B$2:$B$511,"*e)*",'00 Encuesta'!$C$2:$C$511,"*b)*",'00 Encuesta'!$E$2:$E$511,"*b)*",'00 Encuesta'!$AO$2:$AO$511,"*f)*")</f>
        <v>0</v>
      </c>
      <c r="S326" s="52" t="e">
        <f t="shared" si="453"/>
        <v>#DIV/0!</v>
      </c>
      <c r="T326" s="3"/>
      <c r="U326" s="51">
        <f t="shared" si="454"/>
        <v>0</v>
      </c>
      <c r="V326" s="52" t="e">
        <f t="shared" si="455"/>
        <v>#DIV/0!</v>
      </c>
      <c r="W326" s="53">
        <f>COUNTIFS('00 Encuesta'!$B$2:$B$511,"*e)*",'00 Encuesta'!$C$2:$C$511,"*c)*",'00 Encuesta'!$E$2:$E$511,"*a)*",'00 Encuesta'!$AO$2:$AO$511,"*f)*")</f>
        <v>0</v>
      </c>
      <c r="X326" s="52" t="e">
        <f t="shared" si="456"/>
        <v>#DIV/0!</v>
      </c>
      <c r="Y326" s="53">
        <f>COUNTIFS('00 Encuesta'!$B$2:$B$511,"*e)*",'00 Encuesta'!$C$2:$C$511,"*c)*",'00 Encuesta'!$E$2:$E$511,"*b)*",'00 Encuesta'!$AO$2:$AO$511,"*f)*")</f>
        <v>0</v>
      </c>
      <c r="Z326" s="52" t="e">
        <f t="shared" si="457"/>
        <v>#DIV/0!</v>
      </c>
      <c r="AA326" s="3"/>
      <c r="AB326" s="62">
        <f t="shared" si="458"/>
        <v>0</v>
      </c>
      <c r="AC326" s="52" t="e">
        <f t="shared" si="459"/>
        <v>#DIV/0!</v>
      </c>
      <c r="AD326" s="3"/>
      <c r="AE326" s="3"/>
      <c r="AF326" s="9" t="str">
        <f t="shared" si="460"/>
        <v>f) No aplica</v>
      </c>
      <c r="AG326" s="72" t="e">
        <f t="shared" si="461"/>
        <v>#DIV/0!</v>
      </c>
      <c r="AH326" s="72" t="e">
        <f t="shared" si="462"/>
        <v>#DIV/0!</v>
      </c>
      <c r="AI326" s="73" t="e">
        <f t="shared" si="463"/>
        <v>#DIV/0!</v>
      </c>
      <c r="AJ326" s="73"/>
      <c r="AK326" s="76" t="e">
        <f t="shared" si="464"/>
        <v>#DIV/0!</v>
      </c>
      <c r="AL326" s="76" t="e">
        <f t="shared" si="465"/>
        <v>#DIV/0!</v>
      </c>
      <c r="AM326" s="76" t="e">
        <f t="shared" si="466"/>
        <v>#DIV/0!</v>
      </c>
      <c r="AN326" s="76"/>
      <c r="AO326" s="81" t="e">
        <f t="shared" si="467"/>
        <v>#DIV/0!</v>
      </c>
      <c r="AP326" s="81" t="e">
        <f t="shared" si="468"/>
        <v>#DIV/0!</v>
      </c>
      <c r="AQ326" s="81" t="e">
        <f t="shared" si="469"/>
        <v>#DIV/0!</v>
      </c>
      <c r="AR326" s="3"/>
      <c r="AS326" s="76" t="e">
        <f t="shared" si="369"/>
        <v>#DIV/0!</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x14ac:dyDescent="0.3">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t="e">
        <f>($F321*I321+$F322*I322+$F323*I323+$F324*I324+$F325*I325)/(I321+I322+I323+I324+I325)</f>
        <v>#DIV/0!</v>
      </c>
      <c r="AH327" s="82" t="e">
        <f>($F321*K321+$F322*K322+$F323*K323+$F324*K324+$F325*K325)/(K321+K322+K323+K324+K325)</f>
        <v>#DIV/0!</v>
      </c>
      <c r="AI327" s="82" t="e">
        <f>($F321*G321+$F322*G322+$F323*G323+$F324*G324+$F325*G325)/(G321+G322+G323+G324+G325)</f>
        <v>#DIV/0!</v>
      </c>
      <c r="AJ327" s="82"/>
      <c r="AK327" s="82" t="e">
        <f>($F321*Q321+$F322*Q322+$F323*Q323+$F324*Q324+$F325*Q325)/(Q321+Q322+Q323+Q324+Q325)</f>
        <v>#DIV/0!</v>
      </c>
      <c r="AL327" s="82" t="e">
        <f>($F321*S321+$F322*S322+$F323*S323+$F324*S324+$F325*S325)/(S321+S322+S323+S324+S325)</f>
        <v>#DIV/0!</v>
      </c>
      <c r="AM327" s="82" t="e">
        <f>($F321*O321+$F322*O322+$F323*O323+$F324*O324+$F325*O325)/(O321+O322+O323+O324+O325)</f>
        <v>#DIV/0!</v>
      </c>
      <c r="AN327" s="82"/>
      <c r="AO327" s="82" t="e">
        <f>($F321*W321+$F322*W322+$F323*W323+$F324*W324+$F325*W325)/(W321+W322+W323+W324+W325)</f>
        <v>#DIV/0!</v>
      </c>
      <c r="AP327" s="82" t="e">
        <f>($F321*Y321+$F322*Y322+$F323*Y323+$F324*Y324+$F325*Y325)/(Y321+Y322+Y323+Y324+Y325)</f>
        <v>#DIV/0!</v>
      </c>
      <c r="AQ327" s="82" t="e">
        <f>($F321*U321+$F322*U322+$F323*U323+$F324*U324+$F325*U325)/(U321+U322+U323+U324+U325)</f>
        <v>#DIV/0!</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x14ac:dyDescent="0.3">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x14ac:dyDescent="0.3">
      <c r="A329" s="8" t="s">
        <v>17</v>
      </c>
      <c r="B329" s="9" t="s">
        <v>229</v>
      </c>
      <c r="C329" s="7"/>
      <c r="D329" s="7"/>
      <c r="E329" s="7"/>
      <c r="F329" s="71">
        <v>100</v>
      </c>
      <c r="G329" s="51">
        <f t="shared" ref="G329:G334" si="470">I329+K329</f>
        <v>0</v>
      </c>
      <c r="H329" s="52" t="e">
        <f t="shared" ref="H329:H334" si="471">G329/$J$5*100</f>
        <v>#DIV/0!</v>
      </c>
      <c r="I329" s="53">
        <f>COUNTIFS('00 Encuesta'!$B$2:$B$511,"*e)*",'00 Encuesta'!$C$2:$C$511,"*a)*",'00 Encuesta'!$E$2:$E$511,"*a)*",'00 Encuesta'!$AP$2:$AP$511,"*a)*")</f>
        <v>0</v>
      </c>
      <c r="J329" s="52" t="e">
        <f t="shared" ref="J329:J334" si="472">I329/$J$6*100</f>
        <v>#DIV/0!</v>
      </c>
      <c r="K329" s="53">
        <f>COUNTIFS('00 Encuesta'!$B$2:$B$511,"*e)*",'00 Encuesta'!$C$2:$C$511,"*a)*",'00 Encuesta'!$E$2:$E$511,"*b)*",'00 Encuesta'!$AP$2:$AP$511,"*a)*")</f>
        <v>0</v>
      </c>
      <c r="L329" s="52" t="e">
        <f t="shared" ref="L329:L334" si="473">K329/$J$7*100</f>
        <v>#DIV/0!</v>
      </c>
      <c r="M329" s="23"/>
      <c r="N329" s="51">
        <f t="shared" ref="N329:N334" si="474">P329+R329</f>
        <v>0</v>
      </c>
      <c r="O329" s="52" t="e">
        <f t="shared" ref="O329:O334" si="475">N329/$Q$5*100</f>
        <v>#DIV/0!</v>
      </c>
      <c r="P329" s="53">
        <f>COUNTIFS('00 Encuesta'!$B$2:$B$511,"*e)*",'00 Encuesta'!$C$2:$C$511,"*b)*",'00 Encuesta'!$E$2:$E$511,"*a)*",'00 Encuesta'!$AP$2:$AP$511,"*a)*")</f>
        <v>0</v>
      </c>
      <c r="Q329" s="52" t="e">
        <f t="shared" ref="Q329:Q334" si="476">P329/$Q$6*100</f>
        <v>#DIV/0!</v>
      </c>
      <c r="R329" s="53">
        <f>COUNTIFS('00 Encuesta'!$B$2:$B$511,"*e)*",'00 Encuesta'!$C$2:$C$511,"*b)*",'00 Encuesta'!$E$2:$E$511,"*b)*",'00 Encuesta'!$AP$2:$AP$511,"*a)*")</f>
        <v>0</v>
      </c>
      <c r="S329" s="52" t="e">
        <f t="shared" ref="S329:S334" si="477">R329/$Q$7*100</f>
        <v>#DIV/0!</v>
      </c>
      <c r="T329" s="3"/>
      <c r="U329" s="51">
        <f t="shared" ref="U329:U334" si="478">W329+Y329</f>
        <v>0</v>
      </c>
      <c r="V329" s="52" t="e">
        <f t="shared" ref="V329:V334" si="479">U329/$X$5*100</f>
        <v>#DIV/0!</v>
      </c>
      <c r="W329" s="53">
        <f>COUNTIFS('00 Encuesta'!$B$2:$B$511,"*e)*",'00 Encuesta'!$C$2:$C$511,"*c)*",'00 Encuesta'!$E$2:$E$511,"*a)*",'00 Encuesta'!$AP$2:$AP$511,"*a)*")</f>
        <v>0</v>
      </c>
      <c r="X329" s="52" t="e">
        <f t="shared" ref="X329:X334" si="480">W329/$X$6*100</f>
        <v>#DIV/0!</v>
      </c>
      <c r="Y329" s="53">
        <f>COUNTIFS('00 Encuesta'!$B$2:$B$511,"*e)*",'00 Encuesta'!$C$2:$C$511,"*c)*",'00 Encuesta'!$E$2:$E$511,"*b)*",'00 Encuesta'!$AP$2:$AP$511,"*a)*")</f>
        <v>0</v>
      </c>
      <c r="Z329" s="52" t="e">
        <f t="shared" ref="Z329:Z334" si="481">Y329/$X$7*100</f>
        <v>#DIV/0!</v>
      </c>
      <c r="AA329" s="3"/>
      <c r="AB329" s="62">
        <f t="shared" ref="AB329:AB334" si="482">G329+N329+U329</f>
        <v>0</v>
      </c>
      <c r="AC329" s="52" t="e">
        <f t="shared" ref="AC329:AC334" si="483">AB329*100/$AC$5</f>
        <v>#DIV/0!</v>
      </c>
      <c r="AD329" s="3"/>
      <c r="AE329" s="3"/>
      <c r="AF329" s="9" t="str">
        <f t="shared" ref="AF329:AF334" si="484">A329&amp;" "&amp;B329</f>
        <v>a) Muy buena</v>
      </c>
      <c r="AG329" s="72" t="e">
        <f t="shared" ref="AG329:AG334" si="485">J329</f>
        <v>#DIV/0!</v>
      </c>
      <c r="AH329" s="72" t="e">
        <f t="shared" ref="AH329:AH334" si="486">L329</f>
        <v>#DIV/0!</v>
      </c>
      <c r="AI329" s="73" t="e">
        <f t="shared" ref="AI329:AI334" si="487">H329</f>
        <v>#DIV/0!</v>
      </c>
      <c r="AJ329" s="73"/>
      <c r="AK329" s="76" t="e">
        <f t="shared" ref="AK329:AK334" si="488">Q329</f>
        <v>#DIV/0!</v>
      </c>
      <c r="AL329" s="76" t="e">
        <f t="shared" ref="AL329:AL334" si="489">S329</f>
        <v>#DIV/0!</v>
      </c>
      <c r="AM329" s="76" t="e">
        <f t="shared" ref="AM329:AM334" si="490">O329</f>
        <v>#DIV/0!</v>
      </c>
      <c r="AN329" s="76"/>
      <c r="AO329" s="81" t="e">
        <f t="shared" ref="AO329:AO334" si="491">X329</f>
        <v>#DIV/0!</v>
      </c>
      <c r="AP329" s="81" t="e">
        <f t="shared" ref="AP329:AP334" si="492">Z329</f>
        <v>#DIV/0!</v>
      </c>
      <c r="AQ329" s="81" t="e">
        <f t="shared" ref="AQ329:AQ334" si="493">V329</f>
        <v>#DIV/0!</v>
      </c>
      <c r="AR329" s="3"/>
      <c r="AS329" s="76" t="e">
        <f t="shared" si="369"/>
        <v>#DIV/0!</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x14ac:dyDescent="0.3">
      <c r="A330" s="8" t="s">
        <v>18</v>
      </c>
      <c r="B330" s="9" t="s">
        <v>230</v>
      </c>
      <c r="C330" s="7"/>
      <c r="D330" s="7"/>
      <c r="E330" s="7"/>
      <c r="F330" s="71">
        <v>75</v>
      </c>
      <c r="G330" s="51">
        <f t="shared" si="470"/>
        <v>0</v>
      </c>
      <c r="H330" s="52" t="e">
        <f t="shared" si="471"/>
        <v>#DIV/0!</v>
      </c>
      <c r="I330" s="53">
        <f>COUNTIFS('00 Encuesta'!$B$2:$B$511,"*e)*",'00 Encuesta'!$C$2:$C$511,"*a)*",'00 Encuesta'!$E$2:$E$511,"*a)*",'00 Encuesta'!$AP$2:$AP$511,"*b)*")</f>
        <v>0</v>
      </c>
      <c r="J330" s="52" t="e">
        <f t="shared" si="472"/>
        <v>#DIV/0!</v>
      </c>
      <c r="K330" s="53">
        <f>COUNTIFS('00 Encuesta'!$B$2:$B$511,"*e)*",'00 Encuesta'!$C$2:$C$511,"*a)*",'00 Encuesta'!$E$2:$E$511,"*b)*",'00 Encuesta'!$AP$2:$AP$511,"*b)*")</f>
        <v>0</v>
      </c>
      <c r="L330" s="52" t="e">
        <f t="shared" si="473"/>
        <v>#DIV/0!</v>
      </c>
      <c r="M330" s="23"/>
      <c r="N330" s="51">
        <f t="shared" si="474"/>
        <v>0</v>
      </c>
      <c r="O330" s="52" t="e">
        <f t="shared" si="475"/>
        <v>#DIV/0!</v>
      </c>
      <c r="P330" s="53">
        <f>COUNTIFS('00 Encuesta'!$B$2:$B$511,"*e)*",'00 Encuesta'!$C$2:$C$511,"*b)*",'00 Encuesta'!$E$2:$E$511,"*a)*",'00 Encuesta'!$AP$2:$AP$511,"*b)*")</f>
        <v>0</v>
      </c>
      <c r="Q330" s="52" t="e">
        <f t="shared" si="476"/>
        <v>#DIV/0!</v>
      </c>
      <c r="R330" s="53">
        <f>COUNTIFS('00 Encuesta'!$B$2:$B$511,"*e)*",'00 Encuesta'!$C$2:$C$511,"*b)*",'00 Encuesta'!$E$2:$E$511,"*b)*",'00 Encuesta'!$AP$2:$AP$511,"*b)*")</f>
        <v>0</v>
      </c>
      <c r="S330" s="52" t="e">
        <f t="shared" si="477"/>
        <v>#DIV/0!</v>
      </c>
      <c r="T330" s="3"/>
      <c r="U330" s="51">
        <f t="shared" si="478"/>
        <v>0</v>
      </c>
      <c r="V330" s="52" t="e">
        <f t="shared" si="479"/>
        <v>#DIV/0!</v>
      </c>
      <c r="W330" s="53">
        <f>COUNTIFS('00 Encuesta'!$B$2:$B$511,"*e)*",'00 Encuesta'!$C$2:$C$511,"*c)*",'00 Encuesta'!$E$2:$E$511,"*a)*",'00 Encuesta'!$AP$2:$AP$511,"*b)*")</f>
        <v>0</v>
      </c>
      <c r="X330" s="52" t="e">
        <f t="shared" si="480"/>
        <v>#DIV/0!</v>
      </c>
      <c r="Y330" s="53">
        <f>COUNTIFS('00 Encuesta'!$B$2:$B$511,"*e)*",'00 Encuesta'!$C$2:$C$511,"*c)*",'00 Encuesta'!$E$2:$E$511,"*b)*",'00 Encuesta'!$AP$2:$AP$511,"*b)*")</f>
        <v>0</v>
      </c>
      <c r="Z330" s="52" t="e">
        <f t="shared" si="481"/>
        <v>#DIV/0!</v>
      </c>
      <c r="AA330" s="3"/>
      <c r="AB330" s="62">
        <f t="shared" si="482"/>
        <v>0</v>
      </c>
      <c r="AC330" s="52" t="e">
        <f t="shared" si="483"/>
        <v>#DIV/0!</v>
      </c>
      <c r="AD330" s="3"/>
      <c r="AE330" s="3"/>
      <c r="AF330" s="9" t="str">
        <f t="shared" si="484"/>
        <v>b) Buena</v>
      </c>
      <c r="AG330" s="72" t="e">
        <f t="shared" si="485"/>
        <v>#DIV/0!</v>
      </c>
      <c r="AH330" s="72" t="e">
        <f t="shared" si="486"/>
        <v>#DIV/0!</v>
      </c>
      <c r="AI330" s="73" t="e">
        <f t="shared" si="487"/>
        <v>#DIV/0!</v>
      </c>
      <c r="AJ330" s="73"/>
      <c r="AK330" s="76" t="e">
        <f t="shared" si="488"/>
        <v>#DIV/0!</v>
      </c>
      <c r="AL330" s="76" t="e">
        <f t="shared" si="489"/>
        <v>#DIV/0!</v>
      </c>
      <c r="AM330" s="76" t="e">
        <f t="shared" si="490"/>
        <v>#DIV/0!</v>
      </c>
      <c r="AN330" s="76"/>
      <c r="AO330" s="81" t="e">
        <f t="shared" si="491"/>
        <v>#DIV/0!</v>
      </c>
      <c r="AP330" s="81" t="e">
        <f t="shared" si="492"/>
        <v>#DIV/0!</v>
      </c>
      <c r="AQ330" s="81" t="e">
        <f t="shared" si="493"/>
        <v>#DIV/0!</v>
      </c>
      <c r="AR330" s="3"/>
      <c r="AS330" s="76" t="e">
        <f t="shared" si="369"/>
        <v>#DIV/0!</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x14ac:dyDescent="0.3">
      <c r="A331" s="8" t="s">
        <v>20</v>
      </c>
      <c r="B331" s="9" t="s">
        <v>218</v>
      </c>
      <c r="C331" s="7"/>
      <c r="D331" s="7"/>
      <c r="E331" s="7"/>
      <c r="F331" s="71">
        <v>50</v>
      </c>
      <c r="G331" s="51">
        <f t="shared" si="470"/>
        <v>0</v>
      </c>
      <c r="H331" s="52" t="e">
        <f t="shared" si="471"/>
        <v>#DIV/0!</v>
      </c>
      <c r="I331" s="53">
        <f>COUNTIFS('00 Encuesta'!$B$2:$B$511,"*e)*",'00 Encuesta'!$C$2:$C$511,"*a)*",'00 Encuesta'!$E$2:$E$511,"*a)*",'00 Encuesta'!$AP$2:$AP$511,"*c)*")</f>
        <v>0</v>
      </c>
      <c r="J331" s="52" t="e">
        <f t="shared" si="472"/>
        <v>#DIV/0!</v>
      </c>
      <c r="K331" s="53">
        <f>COUNTIFS('00 Encuesta'!$B$2:$B$511,"*e)*",'00 Encuesta'!$C$2:$C$511,"*a)*",'00 Encuesta'!$E$2:$E$511,"*b)*",'00 Encuesta'!$AP$2:$AP$511,"*c)*")</f>
        <v>0</v>
      </c>
      <c r="L331" s="52" t="e">
        <f t="shared" si="473"/>
        <v>#DIV/0!</v>
      </c>
      <c r="M331" s="23"/>
      <c r="N331" s="51">
        <f t="shared" si="474"/>
        <v>0</v>
      </c>
      <c r="O331" s="52" t="e">
        <f t="shared" si="475"/>
        <v>#DIV/0!</v>
      </c>
      <c r="P331" s="53">
        <f>COUNTIFS('00 Encuesta'!$B$2:$B$511,"*e)*",'00 Encuesta'!$C$2:$C$511,"*b)*",'00 Encuesta'!$E$2:$E$511,"*a)*",'00 Encuesta'!$AP$2:$AP$511,"*c)*")</f>
        <v>0</v>
      </c>
      <c r="Q331" s="52" t="e">
        <f t="shared" si="476"/>
        <v>#DIV/0!</v>
      </c>
      <c r="R331" s="53">
        <f>COUNTIFS('00 Encuesta'!$B$2:$B$511,"*e)*",'00 Encuesta'!$C$2:$C$511,"*b)*",'00 Encuesta'!$E$2:$E$511,"*b)*",'00 Encuesta'!$AP$2:$AP$511,"*c)*")</f>
        <v>0</v>
      </c>
      <c r="S331" s="52" t="e">
        <f t="shared" si="477"/>
        <v>#DIV/0!</v>
      </c>
      <c r="T331" s="3"/>
      <c r="U331" s="51">
        <f t="shared" si="478"/>
        <v>0</v>
      </c>
      <c r="V331" s="52" t="e">
        <f t="shared" si="479"/>
        <v>#DIV/0!</v>
      </c>
      <c r="W331" s="53">
        <f>COUNTIFS('00 Encuesta'!$B$2:$B$511,"*e)*",'00 Encuesta'!$C$2:$C$511,"*c)*",'00 Encuesta'!$E$2:$E$511,"*a)*",'00 Encuesta'!$AP$2:$AP$511,"*c)*")</f>
        <v>0</v>
      </c>
      <c r="X331" s="52" t="e">
        <f t="shared" si="480"/>
        <v>#DIV/0!</v>
      </c>
      <c r="Y331" s="53">
        <f>COUNTIFS('00 Encuesta'!$B$2:$B$511,"*e)*",'00 Encuesta'!$C$2:$C$511,"*c)*",'00 Encuesta'!$E$2:$E$511,"*b)*",'00 Encuesta'!$AP$2:$AP$511,"*c)*")</f>
        <v>0</v>
      </c>
      <c r="Z331" s="52" t="e">
        <f t="shared" si="481"/>
        <v>#DIV/0!</v>
      </c>
      <c r="AA331" s="3"/>
      <c r="AB331" s="62">
        <f t="shared" si="482"/>
        <v>0</v>
      </c>
      <c r="AC331" s="52" t="e">
        <f t="shared" si="483"/>
        <v>#DIV/0!</v>
      </c>
      <c r="AD331" s="3"/>
      <c r="AE331" s="3"/>
      <c r="AF331" s="9" t="str">
        <f t="shared" si="484"/>
        <v>c) Regular</v>
      </c>
      <c r="AG331" s="72" t="e">
        <f t="shared" si="485"/>
        <v>#DIV/0!</v>
      </c>
      <c r="AH331" s="72" t="e">
        <f t="shared" si="486"/>
        <v>#DIV/0!</v>
      </c>
      <c r="AI331" s="73" t="e">
        <f t="shared" si="487"/>
        <v>#DIV/0!</v>
      </c>
      <c r="AJ331" s="73"/>
      <c r="AK331" s="76" t="e">
        <f t="shared" si="488"/>
        <v>#DIV/0!</v>
      </c>
      <c r="AL331" s="76" t="e">
        <f t="shared" si="489"/>
        <v>#DIV/0!</v>
      </c>
      <c r="AM331" s="76" t="e">
        <f t="shared" si="490"/>
        <v>#DIV/0!</v>
      </c>
      <c r="AN331" s="76"/>
      <c r="AO331" s="81" t="e">
        <f t="shared" si="491"/>
        <v>#DIV/0!</v>
      </c>
      <c r="AP331" s="81" t="e">
        <f t="shared" si="492"/>
        <v>#DIV/0!</v>
      </c>
      <c r="AQ331" s="81" t="e">
        <f t="shared" si="493"/>
        <v>#DIV/0!</v>
      </c>
      <c r="AR331" s="3"/>
      <c r="AS331" s="76" t="e">
        <f t="shared" si="369"/>
        <v>#DIV/0!</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x14ac:dyDescent="0.3">
      <c r="A332" s="8" t="s">
        <v>21</v>
      </c>
      <c r="B332" s="9" t="s">
        <v>231</v>
      </c>
      <c r="C332" s="7"/>
      <c r="D332" s="7"/>
      <c r="E332" s="7"/>
      <c r="F332" s="71">
        <v>25</v>
      </c>
      <c r="G332" s="51">
        <f t="shared" si="470"/>
        <v>0</v>
      </c>
      <c r="H332" s="52" t="e">
        <f t="shared" si="471"/>
        <v>#DIV/0!</v>
      </c>
      <c r="I332" s="53">
        <f>COUNTIFS('00 Encuesta'!$B$2:$B$511,"*e)*",'00 Encuesta'!$C$2:$C$511,"*a)*",'00 Encuesta'!$E$2:$E$511,"*a)*",'00 Encuesta'!$AP$2:$AP$511,"*d)*")</f>
        <v>0</v>
      </c>
      <c r="J332" s="52" t="e">
        <f t="shared" si="472"/>
        <v>#DIV/0!</v>
      </c>
      <c r="K332" s="53">
        <f>COUNTIFS('00 Encuesta'!$B$2:$B$511,"*e)*",'00 Encuesta'!$C$2:$C$511,"*a)*",'00 Encuesta'!$E$2:$E$511,"*b)*",'00 Encuesta'!$AP$2:$AP$511,"*d)*")</f>
        <v>0</v>
      </c>
      <c r="L332" s="52" t="e">
        <f t="shared" si="473"/>
        <v>#DIV/0!</v>
      </c>
      <c r="M332" s="23"/>
      <c r="N332" s="51">
        <f t="shared" si="474"/>
        <v>0</v>
      </c>
      <c r="O332" s="52" t="e">
        <f t="shared" si="475"/>
        <v>#DIV/0!</v>
      </c>
      <c r="P332" s="53">
        <f>COUNTIFS('00 Encuesta'!$B$2:$B$511,"*e)*",'00 Encuesta'!$C$2:$C$511,"*b)*",'00 Encuesta'!$E$2:$E$511,"*a)*",'00 Encuesta'!$AP$2:$AP$511,"*d)*")</f>
        <v>0</v>
      </c>
      <c r="Q332" s="52" t="e">
        <f t="shared" si="476"/>
        <v>#DIV/0!</v>
      </c>
      <c r="R332" s="53">
        <f>COUNTIFS('00 Encuesta'!$B$2:$B$511,"*e)*",'00 Encuesta'!$C$2:$C$511,"*b)*",'00 Encuesta'!$E$2:$E$511,"*b)*",'00 Encuesta'!$AP$2:$AP$511,"*d)*")</f>
        <v>0</v>
      </c>
      <c r="S332" s="52" t="e">
        <f t="shared" si="477"/>
        <v>#DIV/0!</v>
      </c>
      <c r="T332" s="3"/>
      <c r="U332" s="51">
        <f t="shared" si="478"/>
        <v>0</v>
      </c>
      <c r="V332" s="52" t="e">
        <f t="shared" si="479"/>
        <v>#DIV/0!</v>
      </c>
      <c r="W332" s="53">
        <f>COUNTIFS('00 Encuesta'!$B$2:$B$511,"*e)*",'00 Encuesta'!$C$2:$C$511,"*c)*",'00 Encuesta'!$E$2:$E$511,"*a)*",'00 Encuesta'!$AP$2:$AP$511,"*d)*")</f>
        <v>0</v>
      </c>
      <c r="X332" s="52" t="e">
        <f t="shared" si="480"/>
        <v>#DIV/0!</v>
      </c>
      <c r="Y332" s="53">
        <f>COUNTIFS('00 Encuesta'!$B$2:$B$511,"*e)*",'00 Encuesta'!$C$2:$C$511,"*c)*",'00 Encuesta'!$E$2:$E$511,"*b)*",'00 Encuesta'!$AP$2:$AP$511,"*d)*")</f>
        <v>0</v>
      </c>
      <c r="Z332" s="52" t="e">
        <f t="shared" si="481"/>
        <v>#DIV/0!</v>
      </c>
      <c r="AA332" s="3"/>
      <c r="AB332" s="62">
        <f t="shared" si="482"/>
        <v>0</v>
      </c>
      <c r="AC332" s="52" t="e">
        <f t="shared" si="483"/>
        <v>#DIV/0!</v>
      </c>
      <c r="AD332" s="3"/>
      <c r="AE332" s="3"/>
      <c r="AF332" s="9" t="str">
        <f t="shared" si="484"/>
        <v>d) Mala</v>
      </c>
      <c r="AG332" s="72" t="e">
        <f t="shared" si="485"/>
        <v>#DIV/0!</v>
      </c>
      <c r="AH332" s="72" t="e">
        <f t="shared" si="486"/>
        <v>#DIV/0!</v>
      </c>
      <c r="AI332" s="73" t="e">
        <f t="shared" si="487"/>
        <v>#DIV/0!</v>
      </c>
      <c r="AJ332" s="73"/>
      <c r="AK332" s="76" t="e">
        <f t="shared" si="488"/>
        <v>#DIV/0!</v>
      </c>
      <c r="AL332" s="76" t="e">
        <f t="shared" si="489"/>
        <v>#DIV/0!</v>
      </c>
      <c r="AM332" s="76" t="e">
        <f t="shared" si="490"/>
        <v>#DIV/0!</v>
      </c>
      <c r="AN332" s="76"/>
      <c r="AO332" s="81" t="e">
        <f t="shared" si="491"/>
        <v>#DIV/0!</v>
      </c>
      <c r="AP332" s="81" t="e">
        <f t="shared" si="492"/>
        <v>#DIV/0!</v>
      </c>
      <c r="AQ332" s="81" t="e">
        <f t="shared" si="493"/>
        <v>#DIV/0!</v>
      </c>
      <c r="AR332" s="3"/>
      <c r="AS332" s="76" t="e">
        <f t="shared" si="369"/>
        <v>#DIV/0!</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x14ac:dyDescent="0.3">
      <c r="A333" s="8" t="s">
        <v>22</v>
      </c>
      <c r="B333" s="9" t="s">
        <v>232</v>
      </c>
      <c r="C333" s="7"/>
      <c r="D333" s="7"/>
      <c r="E333" s="7"/>
      <c r="F333" s="71">
        <v>0</v>
      </c>
      <c r="G333" s="51">
        <f t="shared" si="470"/>
        <v>0</v>
      </c>
      <c r="H333" s="52" t="e">
        <f t="shared" si="471"/>
        <v>#DIV/0!</v>
      </c>
      <c r="I333" s="53">
        <f>COUNTIFS('00 Encuesta'!$B$2:$B$511,"*e)*",'00 Encuesta'!$C$2:$C$511,"*a)*",'00 Encuesta'!$E$2:$E$511,"*a)*",'00 Encuesta'!$AP$2:$AP$511,"*e)*")</f>
        <v>0</v>
      </c>
      <c r="J333" s="52" t="e">
        <f t="shared" si="472"/>
        <v>#DIV/0!</v>
      </c>
      <c r="K333" s="53">
        <f>COUNTIFS('00 Encuesta'!$B$2:$B$511,"*e)*",'00 Encuesta'!$C$2:$C$511,"*a)*",'00 Encuesta'!$E$2:$E$511,"*b)*",'00 Encuesta'!$AP$2:$AP$511,"*e)*")</f>
        <v>0</v>
      </c>
      <c r="L333" s="52" t="e">
        <f t="shared" si="473"/>
        <v>#DIV/0!</v>
      </c>
      <c r="M333" s="23"/>
      <c r="N333" s="51">
        <f t="shared" si="474"/>
        <v>0</v>
      </c>
      <c r="O333" s="52" t="e">
        <f t="shared" si="475"/>
        <v>#DIV/0!</v>
      </c>
      <c r="P333" s="53">
        <f>COUNTIFS('00 Encuesta'!$B$2:$B$511,"*e)*",'00 Encuesta'!$C$2:$C$511,"*b)*",'00 Encuesta'!$E$2:$E$511,"*a)*",'00 Encuesta'!$AP$2:$AP$511,"*e)*")</f>
        <v>0</v>
      </c>
      <c r="Q333" s="52" t="e">
        <f t="shared" si="476"/>
        <v>#DIV/0!</v>
      </c>
      <c r="R333" s="53">
        <f>COUNTIFS('00 Encuesta'!$B$2:$B$511,"*e)*",'00 Encuesta'!$C$2:$C$511,"*b)*",'00 Encuesta'!$E$2:$E$511,"*b)*",'00 Encuesta'!$AP$2:$AP$511,"*e)*")</f>
        <v>0</v>
      </c>
      <c r="S333" s="52" t="e">
        <f t="shared" si="477"/>
        <v>#DIV/0!</v>
      </c>
      <c r="T333" s="3"/>
      <c r="U333" s="51">
        <f t="shared" si="478"/>
        <v>0</v>
      </c>
      <c r="V333" s="52" t="e">
        <f t="shared" si="479"/>
        <v>#DIV/0!</v>
      </c>
      <c r="W333" s="53">
        <f>COUNTIFS('00 Encuesta'!$B$2:$B$511,"*e)*",'00 Encuesta'!$C$2:$C$511,"*c)*",'00 Encuesta'!$E$2:$E$511,"*a)*",'00 Encuesta'!$AP$2:$AP$511,"*e)*")</f>
        <v>0</v>
      </c>
      <c r="X333" s="52" t="e">
        <f t="shared" si="480"/>
        <v>#DIV/0!</v>
      </c>
      <c r="Y333" s="53">
        <f>COUNTIFS('00 Encuesta'!$B$2:$B$511,"*e)*",'00 Encuesta'!$C$2:$C$511,"*c)*",'00 Encuesta'!$E$2:$E$511,"*b)*",'00 Encuesta'!$AP$2:$AP$511,"*e)*")</f>
        <v>0</v>
      </c>
      <c r="Z333" s="52" t="e">
        <f t="shared" si="481"/>
        <v>#DIV/0!</v>
      </c>
      <c r="AA333" s="3"/>
      <c r="AB333" s="62">
        <f t="shared" si="482"/>
        <v>0</v>
      </c>
      <c r="AC333" s="52" t="e">
        <f t="shared" si="483"/>
        <v>#DIV/0!</v>
      </c>
      <c r="AD333" s="3"/>
      <c r="AE333" s="3"/>
      <c r="AF333" s="9" t="str">
        <f t="shared" si="484"/>
        <v>e) Muy mala</v>
      </c>
      <c r="AG333" s="72" t="e">
        <f t="shared" si="485"/>
        <v>#DIV/0!</v>
      </c>
      <c r="AH333" s="72" t="e">
        <f t="shared" si="486"/>
        <v>#DIV/0!</v>
      </c>
      <c r="AI333" s="73" t="e">
        <f t="shared" si="487"/>
        <v>#DIV/0!</v>
      </c>
      <c r="AJ333" s="73"/>
      <c r="AK333" s="76" t="e">
        <f t="shared" si="488"/>
        <v>#DIV/0!</v>
      </c>
      <c r="AL333" s="76" t="e">
        <f t="shared" si="489"/>
        <v>#DIV/0!</v>
      </c>
      <c r="AM333" s="76" t="e">
        <f t="shared" si="490"/>
        <v>#DIV/0!</v>
      </c>
      <c r="AN333" s="76"/>
      <c r="AO333" s="81" t="e">
        <f t="shared" si="491"/>
        <v>#DIV/0!</v>
      </c>
      <c r="AP333" s="81" t="e">
        <f t="shared" si="492"/>
        <v>#DIV/0!</v>
      </c>
      <c r="AQ333" s="81" t="e">
        <f t="shared" si="493"/>
        <v>#DIV/0!</v>
      </c>
      <c r="AR333" s="3"/>
      <c r="AS333" s="76" t="e">
        <f t="shared" si="369"/>
        <v>#DIV/0!</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x14ac:dyDescent="0.3">
      <c r="A334" s="8" t="s">
        <v>45</v>
      </c>
      <c r="B334" s="9" t="s">
        <v>233</v>
      </c>
      <c r="C334" s="7"/>
      <c r="D334" s="7"/>
      <c r="E334" s="7"/>
      <c r="F334" s="71"/>
      <c r="G334" s="51">
        <f t="shared" si="470"/>
        <v>0</v>
      </c>
      <c r="H334" s="52" t="e">
        <f t="shared" si="471"/>
        <v>#DIV/0!</v>
      </c>
      <c r="I334" s="53">
        <f>COUNTIFS('00 Encuesta'!$B$2:$B$511,"*e)*",'00 Encuesta'!$C$2:$C$511,"*a)*",'00 Encuesta'!$E$2:$E$511,"*a)*",'00 Encuesta'!$AP$2:$AP$511,"*f)*")</f>
        <v>0</v>
      </c>
      <c r="J334" s="52" t="e">
        <f t="shared" si="472"/>
        <v>#DIV/0!</v>
      </c>
      <c r="K334" s="53">
        <f>COUNTIFS('00 Encuesta'!$B$2:$B$511,"*e)*",'00 Encuesta'!$C$2:$C$511,"*a)*",'00 Encuesta'!$E$2:$E$511,"*b)*",'00 Encuesta'!$AP$2:$AP$511,"*f)*")</f>
        <v>0</v>
      </c>
      <c r="L334" s="52" t="e">
        <f t="shared" si="473"/>
        <v>#DIV/0!</v>
      </c>
      <c r="M334" s="23"/>
      <c r="N334" s="51">
        <f t="shared" si="474"/>
        <v>0</v>
      </c>
      <c r="O334" s="52" t="e">
        <f t="shared" si="475"/>
        <v>#DIV/0!</v>
      </c>
      <c r="P334" s="53">
        <f>COUNTIFS('00 Encuesta'!$B$2:$B$511,"*e)*",'00 Encuesta'!$C$2:$C$511,"*b)*",'00 Encuesta'!$E$2:$E$511,"*a)*",'00 Encuesta'!$AP$2:$AP$511,"*f)*")</f>
        <v>0</v>
      </c>
      <c r="Q334" s="52" t="e">
        <f t="shared" si="476"/>
        <v>#DIV/0!</v>
      </c>
      <c r="R334" s="53">
        <f>COUNTIFS('00 Encuesta'!$B$2:$B$511,"*e)*",'00 Encuesta'!$C$2:$C$511,"*b)*",'00 Encuesta'!$E$2:$E$511,"*b)*",'00 Encuesta'!$AP$2:$AP$511,"*f)*")</f>
        <v>0</v>
      </c>
      <c r="S334" s="52" t="e">
        <f t="shared" si="477"/>
        <v>#DIV/0!</v>
      </c>
      <c r="T334" s="3"/>
      <c r="U334" s="51">
        <f t="shared" si="478"/>
        <v>0</v>
      </c>
      <c r="V334" s="52" t="e">
        <f t="shared" si="479"/>
        <v>#DIV/0!</v>
      </c>
      <c r="W334" s="53">
        <f>COUNTIFS('00 Encuesta'!$B$2:$B$511,"*e)*",'00 Encuesta'!$C$2:$C$511,"*c)*",'00 Encuesta'!$E$2:$E$511,"*a)*",'00 Encuesta'!$AP$2:$AP$511,"*f)*")</f>
        <v>0</v>
      </c>
      <c r="X334" s="52" t="e">
        <f t="shared" si="480"/>
        <v>#DIV/0!</v>
      </c>
      <c r="Y334" s="53">
        <f>COUNTIFS('00 Encuesta'!$B$2:$B$511,"*e)*",'00 Encuesta'!$C$2:$C$511,"*c)*",'00 Encuesta'!$E$2:$E$511,"*b)*",'00 Encuesta'!$AP$2:$AP$511,"*f)*")</f>
        <v>0</v>
      </c>
      <c r="Z334" s="52" t="e">
        <f t="shared" si="481"/>
        <v>#DIV/0!</v>
      </c>
      <c r="AA334" s="3"/>
      <c r="AB334" s="62">
        <f t="shared" si="482"/>
        <v>0</v>
      </c>
      <c r="AC334" s="52" t="e">
        <f t="shared" si="483"/>
        <v>#DIV/0!</v>
      </c>
      <c r="AD334" s="3"/>
      <c r="AE334" s="3"/>
      <c r="AF334" s="9" t="str">
        <f t="shared" si="484"/>
        <v>f) No aplica</v>
      </c>
      <c r="AG334" s="72" t="e">
        <f t="shared" si="485"/>
        <v>#DIV/0!</v>
      </c>
      <c r="AH334" s="72" t="e">
        <f t="shared" si="486"/>
        <v>#DIV/0!</v>
      </c>
      <c r="AI334" s="73" t="e">
        <f t="shared" si="487"/>
        <v>#DIV/0!</v>
      </c>
      <c r="AJ334" s="73"/>
      <c r="AK334" s="76" t="e">
        <f t="shared" si="488"/>
        <v>#DIV/0!</v>
      </c>
      <c r="AL334" s="76" t="e">
        <f t="shared" si="489"/>
        <v>#DIV/0!</v>
      </c>
      <c r="AM334" s="76" t="e">
        <f t="shared" si="490"/>
        <v>#DIV/0!</v>
      </c>
      <c r="AN334" s="76"/>
      <c r="AO334" s="81" t="e">
        <f t="shared" si="491"/>
        <v>#DIV/0!</v>
      </c>
      <c r="AP334" s="81" t="e">
        <f t="shared" si="492"/>
        <v>#DIV/0!</v>
      </c>
      <c r="AQ334" s="81" t="e">
        <f t="shared" si="493"/>
        <v>#DIV/0!</v>
      </c>
      <c r="AR334" s="3"/>
      <c r="AS334" s="76" t="e">
        <f t="shared" si="369"/>
        <v>#DIV/0!</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x14ac:dyDescent="0.3">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t="e">
        <f>($F329*I329+$F330*I330+$F331*I331+$F332*I332+$F333*I333)/(I329+I330+I331+I332+I333)</f>
        <v>#DIV/0!</v>
      </c>
      <c r="AH335" s="82" t="e">
        <f>($F329*K329+$F330*K330+$F331*K331+$F332*K332+$F333*K333)/(K329+K330+K331+K332+K333)</f>
        <v>#DIV/0!</v>
      </c>
      <c r="AI335" s="82" t="e">
        <f>($F329*G329+$F330*G330+$F331*G331+$F332*G332+$F333*G333)/(G329+G330+G331+G332+G333)</f>
        <v>#DIV/0!</v>
      </c>
      <c r="AJ335" s="82"/>
      <c r="AK335" s="82" t="e">
        <f>($F329*Q329+$F330*Q330+$F331*Q331+$F332*Q332+$F333*Q333)/(Q329+Q330+Q331+Q332+Q333)</f>
        <v>#DIV/0!</v>
      </c>
      <c r="AL335" s="82" t="e">
        <f>($F329*S329+$F330*S330+$F331*S331+$F332*S332+$F333*S333)/(S329+S330+S331+S332+S333)</f>
        <v>#DIV/0!</v>
      </c>
      <c r="AM335" s="82" t="e">
        <f>($F329*O329+$F330*O330+$F331*O331+$F332*O332+$F333*O333)/(O329+O330+O331+O332+O333)</f>
        <v>#DIV/0!</v>
      </c>
      <c r="AN335" s="82"/>
      <c r="AO335" s="82" t="e">
        <f>($F329*W329+$F330*W330+$F331*W331+$F332*W332+$F333*W333)/(W329+W330+W331+W332+W333)</f>
        <v>#DIV/0!</v>
      </c>
      <c r="AP335" s="82" t="e">
        <f>($F329*Y329+$F330*Y330+$F331*Y331+$F332*Y332+$F333*Y333)/(Y329+Y330+Y331+Y332+Y333)</f>
        <v>#DIV/0!</v>
      </c>
      <c r="AQ335" s="82" t="e">
        <f>($F329*U329+$F330*U330+$F331*U331+$F332*U332+$F333*U333)/(U329+U330+U331+U332+U333)</f>
        <v>#DIV/0!</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x14ac:dyDescent="0.3">
      <c r="A337" s="8" t="s">
        <v>17</v>
      </c>
      <c r="B337" s="9" t="s">
        <v>229</v>
      </c>
      <c r="C337" s="7"/>
      <c r="D337" s="7"/>
      <c r="E337" s="7"/>
      <c r="F337" s="71">
        <v>100</v>
      </c>
      <c r="G337" s="51">
        <f t="shared" ref="G337:G342" si="494">I337+K337</f>
        <v>0</v>
      </c>
      <c r="H337" s="52" t="e">
        <f t="shared" ref="H337:H342" si="495">G337/$J$5*100</f>
        <v>#DIV/0!</v>
      </c>
      <c r="I337" s="53">
        <f>COUNTIFS('00 Encuesta'!$B$2:$B$511,"*e)*",'00 Encuesta'!$C$2:$C$511,"*a)*",'00 Encuesta'!$E$2:$E$511,"*a)*",'00 Encuesta'!$AQ$2:$AQ$511,"*a)*")</f>
        <v>0</v>
      </c>
      <c r="J337" s="52" t="e">
        <f t="shared" ref="J337:J342" si="496">I337/$J$6*100</f>
        <v>#DIV/0!</v>
      </c>
      <c r="K337" s="53">
        <f>COUNTIFS('00 Encuesta'!$B$2:$B$511,"*e)*",'00 Encuesta'!$C$2:$C$511,"*a)*",'00 Encuesta'!$E$2:$E$511,"*b)*",'00 Encuesta'!$AQ$2:$AQ$511,"*a)*")</f>
        <v>0</v>
      </c>
      <c r="L337" s="52" t="e">
        <f t="shared" ref="L337:L342" si="497">K337/$J$7*100</f>
        <v>#DIV/0!</v>
      </c>
      <c r="M337" s="23"/>
      <c r="N337" s="51">
        <f t="shared" ref="N337:N342" si="498">P337+R337</f>
        <v>0</v>
      </c>
      <c r="O337" s="52" t="e">
        <f t="shared" ref="O337:O342" si="499">N337/$Q$5*100</f>
        <v>#DIV/0!</v>
      </c>
      <c r="P337" s="53">
        <f>COUNTIFS('00 Encuesta'!$B$2:$B$511,"*e)*",'00 Encuesta'!$C$2:$C$511,"*b)*",'00 Encuesta'!$E$2:$E$511,"*a)*",'00 Encuesta'!$AQ$2:$AQ$511,"*a)*")</f>
        <v>0</v>
      </c>
      <c r="Q337" s="52" t="e">
        <f t="shared" ref="Q337:Q342" si="500">P337/$Q$6*100</f>
        <v>#DIV/0!</v>
      </c>
      <c r="R337" s="53">
        <f>COUNTIFS('00 Encuesta'!$B$2:$B$511,"*e)*",'00 Encuesta'!$C$2:$C$511,"*b)*",'00 Encuesta'!$E$2:$E$511,"*b)*",'00 Encuesta'!$AQ$2:$AQ$511,"*a)*")</f>
        <v>0</v>
      </c>
      <c r="S337" s="52" t="e">
        <f t="shared" ref="S337:S342" si="501">R337/$Q$7*100</f>
        <v>#DIV/0!</v>
      </c>
      <c r="T337" s="3"/>
      <c r="U337" s="51">
        <f t="shared" ref="U337:U342" si="502">W337+Y337</f>
        <v>0</v>
      </c>
      <c r="V337" s="52" t="e">
        <f t="shared" ref="V337:V342" si="503">U337/$X$5*100</f>
        <v>#DIV/0!</v>
      </c>
      <c r="W337" s="53">
        <f>COUNTIFS('00 Encuesta'!$B$2:$B$511,"*e)*",'00 Encuesta'!$C$2:$C$511,"*c)*",'00 Encuesta'!$E$2:$E$511,"*a)*",'00 Encuesta'!$AQ$2:$AQ$511,"*a)*")</f>
        <v>0</v>
      </c>
      <c r="X337" s="52" t="e">
        <f t="shared" ref="X337:X342" si="504">W337/$X$6*100</f>
        <v>#DIV/0!</v>
      </c>
      <c r="Y337" s="53">
        <f>COUNTIFS('00 Encuesta'!$B$2:$B$511,"*e)*",'00 Encuesta'!$C$2:$C$511,"*c)*",'00 Encuesta'!$E$2:$E$511,"*b)*",'00 Encuesta'!$AQ$2:$AQ$511,"*a)*")</f>
        <v>0</v>
      </c>
      <c r="Z337" s="52" t="e">
        <f t="shared" ref="Z337:Z342" si="505">Y337/$X$7*100</f>
        <v>#DIV/0!</v>
      </c>
      <c r="AA337" s="3"/>
      <c r="AB337" s="62">
        <f t="shared" ref="AB337:AB342" si="506">G337+N337+U337</f>
        <v>0</v>
      </c>
      <c r="AC337" s="52" t="e">
        <f t="shared" ref="AC337:AC342" si="507">AB337*100/$AC$5</f>
        <v>#DIV/0!</v>
      </c>
      <c r="AD337" s="3"/>
      <c r="AE337" s="3"/>
      <c r="AF337" s="9" t="str">
        <f t="shared" ref="AF337:AF342" si="508">A337&amp;" "&amp;B337</f>
        <v>a) Muy buena</v>
      </c>
      <c r="AG337" s="72" t="e">
        <f t="shared" ref="AG337:AG342" si="509">J337</f>
        <v>#DIV/0!</v>
      </c>
      <c r="AH337" s="72" t="e">
        <f t="shared" ref="AH337:AH342" si="510">L337</f>
        <v>#DIV/0!</v>
      </c>
      <c r="AI337" s="73" t="e">
        <f t="shared" ref="AI337:AI342" si="511">H337</f>
        <v>#DIV/0!</v>
      </c>
      <c r="AJ337" s="73"/>
      <c r="AK337" s="76" t="e">
        <f t="shared" ref="AK337:AK342" si="512">Q337</f>
        <v>#DIV/0!</v>
      </c>
      <c r="AL337" s="76" t="e">
        <f t="shared" ref="AL337:AL342" si="513">S337</f>
        <v>#DIV/0!</v>
      </c>
      <c r="AM337" s="76" t="e">
        <f t="shared" ref="AM337:AM342" si="514">O337</f>
        <v>#DIV/0!</v>
      </c>
      <c r="AN337" s="76"/>
      <c r="AO337" s="81" t="e">
        <f t="shared" ref="AO337:AO342" si="515">X337</f>
        <v>#DIV/0!</v>
      </c>
      <c r="AP337" s="81" t="e">
        <f t="shared" ref="AP337:AP342" si="516">Z337</f>
        <v>#DIV/0!</v>
      </c>
      <c r="AQ337" s="81" t="e">
        <f t="shared" ref="AQ337:AQ342" si="517">V337</f>
        <v>#DIV/0!</v>
      </c>
      <c r="AR337" s="3"/>
      <c r="AS337" s="76" t="e">
        <f t="shared" si="369"/>
        <v>#DIV/0!</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x14ac:dyDescent="0.3">
      <c r="A338" s="8" t="s">
        <v>18</v>
      </c>
      <c r="B338" s="9" t="s">
        <v>230</v>
      </c>
      <c r="C338" s="7"/>
      <c r="D338" s="7"/>
      <c r="E338" s="7"/>
      <c r="F338" s="71">
        <v>75</v>
      </c>
      <c r="G338" s="51">
        <f t="shared" si="494"/>
        <v>0</v>
      </c>
      <c r="H338" s="52" t="e">
        <f t="shared" si="495"/>
        <v>#DIV/0!</v>
      </c>
      <c r="I338" s="53">
        <f>COUNTIFS('00 Encuesta'!$B$2:$B$511,"*e)*",'00 Encuesta'!$C$2:$C$511,"*a)*",'00 Encuesta'!$E$2:$E$511,"*a)*",'00 Encuesta'!$AQ$2:$AQ$511,"*b)*")</f>
        <v>0</v>
      </c>
      <c r="J338" s="52" t="e">
        <f t="shared" si="496"/>
        <v>#DIV/0!</v>
      </c>
      <c r="K338" s="53">
        <f>COUNTIFS('00 Encuesta'!$B$2:$B$511,"*e)*",'00 Encuesta'!$C$2:$C$511,"*a)*",'00 Encuesta'!$E$2:$E$511,"*b)*",'00 Encuesta'!$AQ$2:$AQ$511,"*b)*")</f>
        <v>0</v>
      </c>
      <c r="L338" s="52" t="e">
        <f t="shared" si="497"/>
        <v>#DIV/0!</v>
      </c>
      <c r="M338" s="23"/>
      <c r="N338" s="51">
        <f t="shared" si="498"/>
        <v>0</v>
      </c>
      <c r="O338" s="52" t="e">
        <f t="shared" si="499"/>
        <v>#DIV/0!</v>
      </c>
      <c r="P338" s="53">
        <f>COUNTIFS('00 Encuesta'!$B$2:$B$511,"*e)*",'00 Encuesta'!$C$2:$C$511,"*b)*",'00 Encuesta'!$E$2:$E$511,"*a)*",'00 Encuesta'!$AQ$2:$AQ$511,"*b)*")</f>
        <v>0</v>
      </c>
      <c r="Q338" s="52" t="e">
        <f t="shared" si="500"/>
        <v>#DIV/0!</v>
      </c>
      <c r="R338" s="53">
        <f>COUNTIFS('00 Encuesta'!$B$2:$B$511,"*e)*",'00 Encuesta'!$C$2:$C$511,"*b)*",'00 Encuesta'!$E$2:$E$511,"*b)*",'00 Encuesta'!$AQ$2:$AQ$511,"*b)*")</f>
        <v>0</v>
      </c>
      <c r="S338" s="52" t="e">
        <f t="shared" si="501"/>
        <v>#DIV/0!</v>
      </c>
      <c r="T338" s="3"/>
      <c r="U338" s="51">
        <f t="shared" si="502"/>
        <v>0</v>
      </c>
      <c r="V338" s="52" t="e">
        <f t="shared" si="503"/>
        <v>#DIV/0!</v>
      </c>
      <c r="W338" s="53">
        <f>COUNTIFS('00 Encuesta'!$B$2:$B$511,"*e)*",'00 Encuesta'!$C$2:$C$511,"*c)*",'00 Encuesta'!$E$2:$E$511,"*a)*",'00 Encuesta'!$AQ$2:$AQ$511,"*b)*")</f>
        <v>0</v>
      </c>
      <c r="X338" s="52" t="e">
        <f t="shared" si="504"/>
        <v>#DIV/0!</v>
      </c>
      <c r="Y338" s="53">
        <f>COUNTIFS('00 Encuesta'!$B$2:$B$511,"*e)*",'00 Encuesta'!$C$2:$C$511,"*c)*",'00 Encuesta'!$E$2:$E$511,"*b)*",'00 Encuesta'!$AQ$2:$AQ$511,"*b)*")</f>
        <v>0</v>
      </c>
      <c r="Z338" s="52" t="e">
        <f t="shared" si="505"/>
        <v>#DIV/0!</v>
      </c>
      <c r="AA338" s="3"/>
      <c r="AB338" s="62">
        <f t="shared" si="506"/>
        <v>0</v>
      </c>
      <c r="AC338" s="52" t="e">
        <f t="shared" si="507"/>
        <v>#DIV/0!</v>
      </c>
      <c r="AD338" s="3"/>
      <c r="AE338" s="3"/>
      <c r="AF338" s="9" t="str">
        <f t="shared" si="508"/>
        <v>b) Buena</v>
      </c>
      <c r="AG338" s="72" t="e">
        <f t="shared" si="509"/>
        <v>#DIV/0!</v>
      </c>
      <c r="AH338" s="72" t="e">
        <f t="shared" si="510"/>
        <v>#DIV/0!</v>
      </c>
      <c r="AI338" s="73" t="e">
        <f t="shared" si="511"/>
        <v>#DIV/0!</v>
      </c>
      <c r="AJ338" s="73"/>
      <c r="AK338" s="76" t="e">
        <f t="shared" si="512"/>
        <v>#DIV/0!</v>
      </c>
      <c r="AL338" s="76" t="e">
        <f t="shared" si="513"/>
        <v>#DIV/0!</v>
      </c>
      <c r="AM338" s="76" t="e">
        <f t="shared" si="514"/>
        <v>#DIV/0!</v>
      </c>
      <c r="AN338" s="76"/>
      <c r="AO338" s="81" t="e">
        <f t="shared" si="515"/>
        <v>#DIV/0!</v>
      </c>
      <c r="AP338" s="81" t="e">
        <f t="shared" si="516"/>
        <v>#DIV/0!</v>
      </c>
      <c r="AQ338" s="81" t="e">
        <f t="shared" si="517"/>
        <v>#DIV/0!</v>
      </c>
      <c r="AR338" s="3"/>
      <c r="AS338" s="76" t="e">
        <f t="shared" si="369"/>
        <v>#DIV/0!</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x14ac:dyDescent="0.3">
      <c r="A339" s="8" t="s">
        <v>20</v>
      </c>
      <c r="B339" s="9" t="s">
        <v>218</v>
      </c>
      <c r="C339" s="7"/>
      <c r="D339" s="7"/>
      <c r="E339" s="7"/>
      <c r="F339" s="71">
        <v>50</v>
      </c>
      <c r="G339" s="51">
        <f t="shared" si="494"/>
        <v>0</v>
      </c>
      <c r="H339" s="52" t="e">
        <f t="shared" si="495"/>
        <v>#DIV/0!</v>
      </c>
      <c r="I339" s="53">
        <f>COUNTIFS('00 Encuesta'!$B$2:$B$511,"*e)*",'00 Encuesta'!$C$2:$C$511,"*a)*",'00 Encuesta'!$E$2:$E$511,"*a)*",'00 Encuesta'!$AQ$2:$AQ$511,"*c)*")</f>
        <v>0</v>
      </c>
      <c r="J339" s="52" t="e">
        <f t="shared" si="496"/>
        <v>#DIV/0!</v>
      </c>
      <c r="K339" s="53">
        <f>COUNTIFS('00 Encuesta'!$B$2:$B$511,"*e)*",'00 Encuesta'!$C$2:$C$511,"*a)*",'00 Encuesta'!$E$2:$E$511,"*b)*",'00 Encuesta'!$AQ$2:$AQ$511,"*c)*")</f>
        <v>0</v>
      </c>
      <c r="L339" s="52" t="e">
        <f t="shared" si="497"/>
        <v>#DIV/0!</v>
      </c>
      <c r="M339" s="23"/>
      <c r="N339" s="51">
        <f t="shared" si="498"/>
        <v>0</v>
      </c>
      <c r="O339" s="52" t="e">
        <f t="shared" si="499"/>
        <v>#DIV/0!</v>
      </c>
      <c r="P339" s="53">
        <f>COUNTIFS('00 Encuesta'!$B$2:$B$511,"*e)*",'00 Encuesta'!$C$2:$C$511,"*b)*",'00 Encuesta'!$E$2:$E$511,"*a)*",'00 Encuesta'!$AQ$2:$AQ$511,"*c)*")</f>
        <v>0</v>
      </c>
      <c r="Q339" s="52" t="e">
        <f t="shared" si="500"/>
        <v>#DIV/0!</v>
      </c>
      <c r="R339" s="53">
        <f>COUNTIFS('00 Encuesta'!$B$2:$B$511,"*e)*",'00 Encuesta'!$C$2:$C$511,"*b)*",'00 Encuesta'!$E$2:$E$511,"*b)*",'00 Encuesta'!$AQ$2:$AQ$511,"*c)*")</f>
        <v>0</v>
      </c>
      <c r="S339" s="52" t="e">
        <f t="shared" si="501"/>
        <v>#DIV/0!</v>
      </c>
      <c r="T339" s="3"/>
      <c r="U339" s="51">
        <f t="shared" si="502"/>
        <v>0</v>
      </c>
      <c r="V339" s="52" t="e">
        <f t="shared" si="503"/>
        <v>#DIV/0!</v>
      </c>
      <c r="W339" s="53">
        <f>COUNTIFS('00 Encuesta'!$B$2:$B$511,"*e)*",'00 Encuesta'!$C$2:$C$511,"*c)*",'00 Encuesta'!$E$2:$E$511,"*a)*",'00 Encuesta'!$AQ$2:$AQ$511,"*c)*")</f>
        <v>0</v>
      </c>
      <c r="X339" s="52" t="e">
        <f t="shared" si="504"/>
        <v>#DIV/0!</v>
      </c>
      <c r="Y339" s="53">
        <f>COUNTIFS('00 Encuesta'!$B$2:$B$511,"*e)*",'00 Encuesta'!$C$2:$C$511,"*c)*",'00 Encuesta'!$E$2:$E$511,"*b)*",'00 Encuesta'!$AQ$2:$AQ$511,"*c)*")</f>
        <v>0</v>
      </c>
      <c r="Z339" s="52" t="e">
        <f t="shared" si="505"/>
        <v>#DIV/0!</v>
      </c>
      <c r="AA339" s="3"/>
      <c r="AB339" s="62">
        <f t="shared" si="506"/>
        <v>0</v>
      </c>
      <c r="AC339" s="52" t="e">
        <f t="shared" si="507"/>
        <v>#DIV/0!</v>
      </c>
      <c r="AD339" s="3"/>
      <c r="AE339" s="3"/>
      <c r="AF339" s="9" t="str">
        <f t="shared" si="508"/>
        <v>c) Regular</v>
      </c>
      <c r="AG339" s="72" t="e">
        <f t="shared" si="509"/>
        <v>#DIV/0!</v>
      </c>
      <c r="AH339" s="72" t="e">
        <f t="shared" si="510"/>
        <v>#DIV/0!</v>
      </c>
      <c r="AI339" s="73" t="e">
        <f t="shared" si="511"/>
        <v>#DIV/0!</v>
      </c>
      <c r="AJ339" s="73"/>
      <c r="AK339" s="76" t="e">
        <f t="shared" si="512"/>
        <v>#DIV/0!</v>
      </c>
      <c r="AL339" s="76" t="e">
        <f t="shared" si="513"/>
        <v>#DIV/0!</v>
      </c>
      <c r="AM339" s="76" t="e">
        <f t="shared" si="514"/>
        <v>#DIV/0!</v>
      </c>
      <c r="AN339" s="76"/>
      <c r="AO339" s="81" t="e">
        <f t="shared" si="515"/>
        <v>#DIV/0!</v>
      </c>
      <c r="AP339" s="81" t="e">
        <f t="shared" si="516"/>
        <v>#DIV/0!</v>
      </c>
      <c r="AQ339" s="81" t="e">
        <f t="shared" si="517"/>
        <v>#DIV/0!</v>
      </c>
      <c r="AR339" s="3"/>
      <c r="AS339" s="76" t="e">
        <f t="shared" si="369"/>
        <v>#DIV/0!</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x14ac:dyDescent="0.3">
      <c r="A340" s="8" t="s">
        <v>21</v>
      </c>
      <c r="B340" s="9" t="s">
        <v>231</v>
      </c>
      <c r="C340" s="7"/>
      <c r="D340" s="7"/>
      <c r="E340" s="7"/>
      <c r="F340" s="71">
        <v>25</v>
      </c>
      <c r="G340" s="51">
        <f t="shared" si="494"/>
        <v>0</v>
      </c>
      <c r="H340" s="52" t="e">
        <f t="shared" si="495"/>
        <v>#DIV/0!</v>
      </c>
      <c r="I340" s="53">
        <f>COUNTIFS('00 Encuesta'!$B$2:$B$511,"*e)*",'00 Encuesta'!$C$2:$C$511,"*a)*",'00 Encuesta'!$E$2:$E$511,"*a)*",'00 Encuesta'!$AQ$2:$AQ$511,"*d)*")</f>
        <v>0</v>
      </c>
      <c r="J340" s="52" t="e">
        <f t="shared" si="496"/>
        <v>#DIV/0!</v>
      </c>
      <c r="K340" s="53">
        <f>COUNTIFS('00 Encuesta'!$B$2:$B$511,"*e)*",'00 Encuesta'!$C$2:$C$511,"*a)*",'00 Encuesta'!$E$2:$E$511,"*b)*",'00 Encuesta'!$AQ$2:$AQ$511,"*d)*")</f>
        <v>0</v>
      </c>
      <c r="L340" s="52" t="e">
        <f t="shared" si="497"/>
        <v>#DIV/0!</v>
      </c>
      <c r="M340" s="23"/>
      <c r="N340" s="51">
        <f t="shared" si="498"/>
        <v>0</v>
      </c>
      <c r="O340" s="52" t="e">
        <f t="shared" si="499"/>
        <v>#DIV/0!</v>
      </c>
      <c r="P340" s="53">
        <f>COUNTIFS('00 Encuesta'!$B$2:$B$511,"*e)*",'00 Encuesta'!$C$2:$C$511,"*b)*",'00 Encuesta'!$E$2:$E$511,"*a)*",'00 Encuesta'!$AQ$2:$AQ$511,"*d)*")</f>
        <v>0</v>
      </c>
      <c r="Q340" s="52" t="e">
        <f t="shared" si="500"/>
        <v>#DIV/0!</v>
      </c>
      <c r="R340" s="53">
        <f>COUNTIFS('00 Encuesta'!$B$2:$B$511,"*e)*",'00 Encuesta'!$C$2:$C$511,"*b)*",'00 Encuesta'!$E$2:$E$511,"*b)*",'00 Encuesta'!$AQ$2:$AQ$511,"*d)*")</f>
        <v>0</v>
      </c>
      <c r="S340" s="52" t="e">
        <f t="shared" si="501"/>
        <v>#DIV/0!</v>
      </c>
      <c r="T340" s="3"/>
      <c r="U340" s="51">
        <f t="shared" si="502"/>
        <v>0</v>
      </c>
      <c r="V340" s="52" t="e">
        <f t="shared" si="503"/>
        <v>#DIV/0!</v>
      </c>
      <c r="W340" s="53">
        <f>COUNTIFS('00 Encuesta'!$B$2:$B$511,"*e)*",'00 Encuesta'!$C$2:$C$511,"*c)*",'00 Encuesta'!$E$2:$E$511,"*a)*",'00 Encuesta'!$AQ$2:$AQ$511,"*d)*")</f>
        <v>0</v>
      </c>
      <c r="X340" s="52" t="e">
        <f t="shared" si="504"/>
        <v>#DIV/0!</v>
      </c>
      <c r="Y340" s="53">
        <f>COUNTIFS('00 Encuesta'!$B$2:$B$511,"*e)*",'00 Encuesta'!$C$2:$C$511,"*c)*",'00 Encuesta'!$E$2:$E$511,"*b)*",'00 Encuesta'!$AQ$2:$AQ$511,"*d)*")</f>
        <v>0</v>
      </c>
      <c r="Z340" s="52" t="e">
        <f t="shared" si="505"/>
        <v>#DIV/0!</v>
      </c>
      <c r="AA340" s="3"/>
      <c r="AB340" s="62">
        <f t="shared" si="506"/>
        <v>0</v>
      </c>
      <c r="AC340" s="52" t="e">
        <f t="shared" si="507"/>
        <v>#DIV/0!</v>
      </c>
      <c r="AD340" s="3"/>
      <c r="AE340" s="3"/>
      <c r="AF340" s="9" t="str">
        <f t="shared" si="508"/>
        <v>d) Mala</v>
      </c>
      <c r="AG340" s="72" t="e">
        <f t="shared" si="509"/>
        <v>#DIV/0!</v>
      </c>
      <c r="AH340" s="72" t="e">
        <f t="shared" si="510"/>
        <v>#DIV/0!</v>
      </c>
      <c r="AI340" s="73" t="e">
        <f t="shared" si="511"/>
        <v>#DIV/0!</v>
      </c>
      <c r="AJ340" s="73"/>
      <c r="AK340" s="76" t="e">
        <f t="shared" si="512"/>
        <v>#DIV/0!</v>
      </c>
      <c r="AL340" s="76" t="e">
        <f t="shared" si="513"/>
        <v>#DIV/0!</v>
      </c>
      <c r="AM340" s="76" t="e">
        <f t="shared" si="514"/>
        <v>#DIV/0!</v>
      </c>
      <c r="AN340" s="76"/>
      <c r="AO340" s="81" t="e">
        <f t="shared" si="515"/>
        <v>#DIV/0!</v>
      </c>
      <c r="AP340" s="81" t="e">
        <f t="shared" si="516"/>
        <v>#DIV/0!</v>
      </c>
      <c r="AQ340" s="81" t="e">
        <f t="shared" si="517"/>
        <v>#DIV/0!</v>
      </c>
      <c r="AR340" s="3"/>
      <c r="AS340" s="76" t="e">
        <f t="shared" si="369"/>
        <v>#DIV/0!</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x14ac:dyDescent="0.3">
      <c r="A341" s="8" t="s">
        <v>22</v>
      </c>
      <c r="B341" s="9" t="s">
        <v>232</v>
      </c>
      <c r="C341" s="7"/>
      <c r="D341" s="7"/>
      <c r="E341" s="7"/>
      <c r="F341" s="71">
        <v>0</v>
      </c>
      <c r="G341" s="51">
        <f t="shared" si="494"/>
        <v>0</v>
      </c>
      <c r="H341" s="52" t="e">
        <f t="shared" si="495"/>
        <v>#DIV/0!</v>
      </c>
      <c r="I341" s="53">
        <f>COUNTIFS('00 Encuesta'!$B$2:$B$511,"*e)*",'00 Encuesta'!$C$2:$C$511,"*a)*",'00 Encuesta'!$E$2:$E$511,"*a)*",'00 Encuesta'!$AQ$2:$AQ$511,"*e)*")</f>
        <v>0</v>
      </c>
      <c r="J341" s="52" t="e">
        <f t="shared" si="496"/>
        <v>#DIV/0!</v>
      </c>
      <c r="K341" s="53">
        <f>COUNTIFS('00 Encuesta'!$B$2:$B$511,"*e)*",'00 Encuesta'!$C$2:$C$511,"*a)*",'00 Encuesta'!$E$2:$E$511,"*b)*",'00 Encuesta'!$AQ$2:$AQ$511,"*e)*")</f>
        <v>0</v>
      </c>
      <c r="L341" s="52" t="e">
        <f t="shared" si="497"/>
        <v>#DIV/0!</v>
      </c>
      <c r="M341" s="23"/>
      <c r="N341" s="51">
        <f t="shared" si="498"/>
        <v>0</v>
      </c>
      <c r="O341" s="52" t="e">
        <f t="shared" si="499"/>
        <v>#DIV/0!</v>
      </c>
      <c r="P341" s="53">
        <f>COUNTIFS('00 Encuesta'!$B$2:$B$511,"*e)*",'00 Encuesta'!$C$2:$C$511,"*b)*",'00 Encuesta'!$E$2:$E$511,"*a)*",'00 Encuesta'!$AQ$2:$AQ$511,"*e)*")</f>
        <v>0</v>
      </c>
      <c r="Q341" s="52" t="e">
        <f t="shared" si="500"/>
        <v>#DIV/0!</v>
      </c>
      <c r="R341" s="53">
        <f>COUNTIFS('00 Encuesta'!$B$2:$B$511,"*e)*",'00 Encuesta'!$C$2:$C$511,"*b)*",'00 Encuesta'!$E$2:$E$511,"*b)*",'00 Encuesta'!$AQ$2:$AQ$511,"*e)*")</f>
        <v>0</v>
      </c>
      <c r="S341" s="52" t="e">
        <f t="shared" si="501"/>
        <v>#DIV/0!</v>
      </c>
      <c r="T341" s="3"/>
      <c r="U341" s="51">
        <f t="shared" si="502"/>
        <v>0</v>
      </c>
      <c r="V341" s="52" t="e">
        <f t="shared" si="503"/>
        <v>#DIV/0!</v>
      </c>
      <c r="W341" s="53">
        <f>COUNTIFS('00 Encuesta'!$B$2:$B$511,"*e)*",'00 Encuesta'!$C$2:$C$511,"*c)*",'00 Encuesta'!$E$2:$E$511,"*a)*",'00 Encuesta'!$AQ$2:$AQ$511,"*e)*")</f>
        <v>0</v>
      </c>
      <c r="X341" s="52" t="e">
        <f t="shared" si="504"/>
        <v>#DIV/0!</v>
      </c>
      <c r="Y341" s="53">
        <f>COUNTIFS('00 Encuesta'!$B$2:$B$511,"*e)*",'00 Encuesta'!$C$2:$C$511,"*c)*",'00 Encuesta'!$E$2:$E$511,"*b)*",'00 Encuesta'!$AQ$2:$AQ$511,"*e)*")</f>
        <v>0</v>
      </c>
      <c r="Z341" s="52" t="e">
        <f t="shared" si="505"/>
        <v>#DIV/0!</v>
      </c>
      <c r="AA341" s="3"/>
      <c r="AB341" s="62">
        <f t="shared" si="506"/>
        <v>0</v>
      </c>
      <c r="AC341" s="52" t="e">
        <f t="shared" si="507"/>
        <v>#DIV/0!</v>
      </c>
      <c r="AD341" s="3"/>
      <c r="AE341" s="3"/>
      <c r="AF341" s="9" t="str">
        <f t="shared" si="508"/>
        <v>e) Muy mala</v>
      </c>
      <c r="AG341" s="72" t="e">
        <f t="shared" si="509"/>
        <v>#DIV/0!</v>
      </c>
      <c r="AH341" s="72" t="e">
        <f t="shared" si="510"/>
        <v>#DIV/0!</v>
      </c>
      <c r="AI341" s="73" t="e">
        <f t="shared" si="511"/>
        <v>#DIV/0!</v>
      </c>
      <c r="AJ341" s="73"/>
      <c r="AK341" s="76" t="e">
        <f t="shared" si="512"/>
        <v>#DIV/0!</v>
      </c>
      <c r="AL341" s="76" t="e">
        <f t="shared" si="513"/>
        <v>#DIV/0!</v>
      </c>
      <c r="AM341" s="76" t="e">
        <f t="shared" si="514"/>
        <v>#DIV/0!</v>
      </c>
      <c r="AN341" s="76"/>
      <c r="AO341" s="81" t="e">
        <f t="shared" si="515"/>
        <v>#DIV/0!</v>
      </c>
      <c r="AP341" s="81" t="e">
        <f t="shared" si="516"/>
        <v>#DIV/0!</v>
      </c>
      <c r="AQ341" s="81" t="e">
        <f t="shared" si="517"/>
        <v>#DIV/0!</v>
      </c>
      <c r="AR341" s="3"/>
      <c r="AS341" s="76" t="e">
        <f t="shared" si="369"/>
        <v>#DIV/0!</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x14ac:dyDescent="0.3">
      <c r="A342" s="8" t="s">
        <v>45</v>
      </c>
      <c r="B342" s="9" t="s">
        <v>233</v>
      </c>
      <c r="C342" s="7"/>
      <c r="D342" s="7"/>
      <c r="E342" s="7"/>
      <c r="F342" s="71"/>
      <c r="G342" s="51">
        <f t="shared" si="494"/>
        <v>0</v>
      </c>
      <c r="H342" s="52" t="e">
        <f t="shared" si="495"/>
        <v>#DIV/0!</v>
      </c>
      <c r="I342" s="53">
        <f>COUNTIFS('00 Encuesta'!$B$2:$B$511,"*e)*",'00 Encuesta'!$C$2:$C$511,"*a)*",'00 Encuesta'!$E$2:$E$511,"*a)*",'00 Encuesta'!$AQ$2:$AQ$511,"*f)*")</f>
        <v>0</v>
      </c>
      <c r="J342" s="52" t="e">
        <f t="shared" si="496"/>
        <v>#DIV/0!</v>
      </c>
      <c r="K342" s="53">
        <f>COUNTIFS('00 Encuesta'!$B$2:$B$511,"*e)*",'00 Encuesta'!$C$2:$C$511,"*a)*",'00 Encuesta'!$E$2:$E$511,"*b)*",'00 Encuesta'!$AQ$2:$AQ$511,"*f)*")</f>
        <v>0</v>
      </c>
      <c r="L342" s="52" t="e">
        <f t="shared" si="497"/>
        <v>#DIV/0!</v>
      </c>
      <c r="M342" s="23"/>
      <c r="N342" s="51">
        <f t="shared" si="498"/>
        <v>0</v>
      </c>
      <c r="O342" s="52" t="e">
        <f t="shared" si="499"/>
        <v>#DIV/0!</v>
      </c>
      <c r="P342" s="53">
        <f>COUNTIFS('00 Encuesta'!$B$2:$B$511,"*e)*",'00 Encuesta'!$C$2:$C$511,"*b)*",'00 Encuesta'!$E$2:$E$511,"*a)*",'00 Encuesta'!$AQ$2:$AQ$511,"*f)*")</f>
        <v>0</v>
      </c>
      <c r="Q342" s="52" t="e">
        <f t="shared" si="500"/>
        <v>#DIV/0!</v>
      </c>
      <c r="R342" s="53">
        <f>COUNTIFS('00 Encuesta'!$B$2:$B$511,"*e)*",'00 Encuesta'!$C$2:$C$511,"*b)*",'00 Encuesta'!$E$2:$E$511,"*b)*",'00 Encuesta'!$AQ$2:$AQ$511,"*f)*")</f>
        <v>0</v>
      </c>
      <c r="S342" s="52" t="e">
        <f t="shared" si="501"/>
        <v>#DIV/0!</v>
      </c>
      <c r="T342" s="3"/>
      <c r="U342" s="51">
        <f t="shared" si="502"/>
        <v>0</v>
      </c>
      <c r="V342" s="52" t="e">
        <f t="shared" si="503"/>
        <v>#DIV/0!</v>
      </c>
      <c r="W342" s="53">
        <f>COUNTIFS('00 Encuesta'!$B$2:$B$511,"*e)*",'00 Encuesta'!$C$2:$C$511,"*c)*",'00 Encuesta'!$E$2:$E$511,"*a)*",'00 Encuesta'!$AQ$2:$AQ$511,"*f)*")</f>
        <v>0</v>
      </c>
      <c r="X342" s="52" t="e">
        <f t="shared" si="504"/>
        <v>#DIV/0!</v>
      </c>
      <c r="Y342" s="53">
        <f>COUNTIFS('00 Encuesta'!$B$2:$B$511,"*e)*",'00 Encuesta'!$C$2:$C$511,"*c)*",'00 Encuesta'!$E$2:$E$511,"*b)*",'00 Encuesta'!$AQ$2:$AQ$511,"*f)*")</f>
        <v>0</v>
      </c>
      <c r="Z342" s="52" t="e">
        <f t="shared" si="505"/>
        <v>#DIV/0!</v>
      </c>
      <c r="AA342" s="3"/>
      <c r="AB342" s="62">
        <f t="shared" si="506"/>
        <v>0</v>
      </c>
      <c r="AC342" s="52" t="e">
        <f t="shared" si="507"/>
        <v>#DIV/0!</v>
      </c>
      <c r="AD342" s="3"/>
      <c r="AE342" s="3"/>
      <c r="AF342" s="9" t="str">
        <f t="shared" si="508"/>
        <v>f) No aplica</v>
      </c>
      <c r="AG342" s="72" t="e">
        <f t="shared" si="509"/>
        <v>#DIV/0!</v>
      </c>
      <c r="AH342" s="72" t="e">
        <f t="shared" si="510"/>
        <v>#DIV/0!</v>
      </c>
      <c r="AI342" s="73" t="e">
        <f t="shared" si="511"/>
        <v>#DIV/0!</v>
      </c>
      <c r="AJ342" s="73"/>
      <c r="AK342" s="76" t="e">
        <f t="shared" si="512"/>
        <v>#DIV/0!</v>
      </c>
      <c r="AL342" s="76" t="e">
        <f t="shared" si="513"/>
        <v>#DIV/0!</v>
      </c>
      <c r="AM342" s="76" t="e">
        <f t="shared" si="514"/>
        <v>#DIV/0!</v>
      </c>
      <c r="AN342" s="76"/>
      <c r="AO342" s="81" t="e">
        <f t="shared" si="515"/>
        <v>#DIV/0!</v>
      </c>
      <c r="AP342" s="81" t="e">
        <f t="shared" si="516"/>
        <v>#DIV/0!</v>
      </c>
      <c r="AQ342" s="81" t="e">
        <f t="shared" si="517"/>
        <v>#DIV/0!</v>
      </c>
      <c r="AR342" s="3"/>
      <c r="AS342" s="76" t="e">
        <f t="shared" si="369"/>
        <v>#DIV/0!</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x14ac:dyDescent="0.3">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t="e">
        <f>($F337*I337+$F338*I338+$F339*I339+$F340*I340+$F341*I341)/(I337+I338+I339+I340+I341)</f>
        <v>#DIV/0!</v>
      </c>
      <c r="AH343" s="82" t="e">
        <f>($F337*K337+$F338*K338+$F339*K339+$F340*K340+$F341*K341)/(K337+K338+K339+K340+K341)</f>
        <v>#DIV/0!</v>
      </c>
      <c r="AI343" s="82" t="e">
        <f>($F337*G337+$F338*G338+$F339*G339+$F340*G340+$F341*G341)/(G337+G338+G339+G340+G341)</f>
        <v>#DIV/0!</v>
      </c>
      <c r="AJ343" s="82"/>
      <c r="AK343" s="82" t="e">
        <f>($F337*Q337+$F338*Q338+$F339*Q339+$F340*Q340+$F341*Q341)/(Q337+Q338+Q339+Q340+Q341)</f>
        <v>#DIV/0!</v>
      </c>
      <c r="AL343" s="82" t="e">
        <f>($F337*S337+$F338*S338+$F339*S339+$F340*S340+$F341*S341)/(S337+S338+S339+S340+S341)</f>
        <v>#DIV/0!</v>
      </c>
      <c r="AM343" s="82" t="e">
        <f>($F337*O337+$F338*O338+$F339*O339+$F340*O340+$F341*O341)/(O337+O338+O339+O340+O341)</f>
        <v>#DIV/0!</v>
      </c>
      <c r="AN343" s="82"/>
      <c r="AO343" s="82" t="e">
        <f>($F337*W337+$F338*W338+$F339*W339+$F340*W340+$F341*W341)/(W337+W338+W339+W340+W341)</f>
        <v>#DIV/0!</v>
      </c>
      <c r="AP343" s="82" t="e">
        <f>($F337*Y337+$F338*Y338+$F339*Y339+$F340*Y340+$F341*Y341)/(Y337+Y338+Y339+Y340+Y341)</f>
        <v>#DIV/0!</v>
      </c>
      <c r="AQ343" s="82" t="e">
        <f>($F337*U337+$F338*U338+$F339*U339+$F340*U340+$F341*U341)/(U337+U338+U339+U340+U341)</f>
        <v>#DIV/0!</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x14ac:dyDescent="0.3">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x14ac:dyDescent="0.3">
      <c r="A345" s="8" t="s">
        <v>17</v>
      </c>
      <c r="B345" s="9" t="s">
        <v>229</v>
      </c>
      <c r="C345" s="7"/>
      <c r="D345" s="7"/>
      <c r="E345" s="7"/>
      <c r="F345" s="71">
        <v>100</v>
      </c>
      <c r="G345" s="51">
        <f t="shared" ref="G345:G350" si="518">I345+K345</f>
        <v>0</v>
      </c>
      <c r="H345" s="52" t="e">
        <f t="shared" ref="H345:H350" si="519">G345/$J$5*100</f>
        <v>#DIV/0!</v>
      </c>
      <c r="I345" s="53">
        <f>COUNTIFS('00 Encuesta'!$B$2:$B$511,"*e)*",'00 Encuesta'!$C$2:$C$511,"*a)*",'00 Encuesta'!$E$2:$E$511,"*a)*",'00 Encuesta'!$AR$2:$AR$511,"*a)*")</f>
        <v>0</v>
      </c>
      <c r="J345" s="52" t="e">
        <f t="shared" ref="J345:J350" si="520">I345/$J$6*100</f>
        <v>#DIV/0!</v>
      </c>
      <c r="K345" s="53">
        <f>COUNTIFS('00 Encuesta'!$B$2:$B$511,"*e)*",'00 Encuesta'!$C$2:$C$511,"*a)*",'00 Encuesta'!$E$2:$E$511,"*b)*",'00 Encuesta'!$AR$2:$AR$511,"*a)*")</f>
        <v>0</v>
      </c>
      <c r="L345" s="52" t="e">
        <f t="shared" ref="L345:L350" si="521">K345/$J$7*100</f>
        <v>#DIV/0!</v>
      </c>
      <c r="M345" s="23"/>
      <c r="N345" s="51">
        <f t="shared" ref="N345:N350" si="522">P345+R345</f>
        <v>0</v>
      </c>
      <c r="O345" s="52" t="e">
        <f t="shared" ref="O345:O350" si="523">N345/$Q$5*100</f>
        <v>#DIV/0!</v>
      </c>
      <c r="P345" s="53">
        <f>COUNTIFS('00 Encuesta'!$B$2:$B$511,"*e)*",'00 Encuesta'!$C$2:$C$511,"*b)*",'00 Encuesta'!$E$2:$E$511,"*a)*",'00 Encuesta'!$AR$2:$AR$511,"*a)*")</f>
        <v>0</v>
      </c>
      <c r="Q345" s="52" t="e">
        <f t="shared" ref="Q345:Q350" si="524">P345/$Q$6*100</f>
        <v>#DIV/0!</v>
      </c>
      <c r="R345" s="53">
        <f>COUNTIFS('00 Encuesta'!$B$2:$B$511,"*e)*",'00 Encuesta'!$C$2:$C$511,"*b)*",'00 Encuesta'!$E$2:$E$511,"*b)*",'00 Encuesta'!$AR$2:$AR$511,"*a)*")</f>
        <v>0</v>
      </c>
      <c r="S345" s="52" t="e">
        <f t="shared" ref="S345:S350" si="525">R345/$Q$7*100</f>
        <v>#DIV/0!</v>
      </c>
      <c r="T345" s="3"/>
      <c r="U345" s="51">
        <f t="shared" ref="U345:U350" si="526">W345+Y345</f>
        <v>0</v>
      </c>
      <c r="V345" s="52" t="e">
        <f t="shared" ref="V345:V350" si="527">U345/$X$5*100</f>
        <v>#DIV/0!</v>
      </c>
      <c r="W345" s="53">
        <f>COUNTIFS('00 Encuesta'!$B$2:$B$511,"*e)*",'00 Encuesta'!$C$2:$C$511,"*c)*",'00 Encuesta'!$E$2:$E$511,"*a)*",'00 Encuesta'!$AR$2:$AR$511,"*a)*")</f>
        <v>0</v>
      </c>
      <c r="X345" s="52" t="e">
        <f t="shared" ref="X345:X350" si="528">W345/$X$6*100</f>
        <v>#DIV/0!</v>
      </c>
      <c r="Y345" s="53">
        <f>COUNTIFS('00 Encuesta'!$B$2:$B$511,"*e)*",'00 Encuesta'!$C$2:$C$511,"*c)*",'00 Encuesta'!$E$2:$E$511,"*b)*",'00 Encuesta'!$AR$2:$AR$511,"*a)*")</f>
        <v>0</v>
      </c>
      <c r="Z345" s="52" t="e">
        <f t="shared" ref="Z345:Z350" si="529">Y345/$X$7*100</f>
        <v>#DIV/0!</v>
      </c>
      <c r="AA345" s="3"/>
      <c r="AB345" s="62">
        <f t="shared" ref="AB345:AB350" si="530">G345+N345+U345</f>
        <v>0</v>
      </c>
      <c r="AC345" s="52" t="e">
        <f t="shared" ref="AC345:AC350" si="531">AB345*100/$AC$5</f>
        <v>#DIV/0!</v>
      </c>
      <c r="AD345" s="3"/>
      <c r="AE345" s="3"/>
      <c r="AF345" s="9" t="str">
        <f t="shared" ref="AF345:AF351" si="532">A345&amp;" "&amp;B345</f>
        <v>a) Muy buena</v>
      </c>
      <c r="AG345" s="72" t="e">
        <f t="shared" ref="AG345:AG350" si="533">J345</f>
        <v>#DIV/0!</v>
      </c>
      <c r="AH345" s="72" t="e">
        <f t="shared" ref="AH345:AH350" si="534">L345</f>
        <v>#DIV/0!</v>
      </c>
      <c r="AI345" s="73" t="e">
        <f t="shared" ref="AI345:AI350" si="535">H345</f>
        <v>#DIV/0!</v>
      </c>
      <c r="AJ345" s="73"/>
      <c r="AK345" s="76" t="e">
        <f t="shared" ref="AK345:AK350" si="536">Q345</f>
        <v>#DIV/0!</v>
      </c>
      <c r="AL345" s="76" t="e">
        <f t="shared" ref="AL345:AL350" si="537">S345</f>
        <v>#DIV/0!</v>
      </c>
      <c r="AM345" s="76" t="e">
        <f t="shared" ref="AM345:AM350" si="538">O345</f>
        <v>#DIV/0!</v>
      </c>
      <c r="AN345" s="76"/>
      <c r="AO345" s="81" t="e">
        <f t="shared" ref="AO345:AO350" si="539">X345</f>
        <v>#DIV/0!</v>
      </c>
      <c r="AP345" s="81" t="e">
        <f t="shared" ref="AP345:AP350" si="540">Z345</f>
        <v>#DIV/0!</v>
      </c>
      <c r="AQ345" s="81" t="e">
        <f t="shared" ref="AQ345:AQ350" si="541">V345</f>
        <v>#DIV/0!</v>
      </c>
      <c r="AR345" s="3"/>
      <c r="AS345" s="76" t="e">
        <f t="shared" ref="AS345:AS408" si="542">AC345</f>
        <v>#DIV/0!</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x14ac:dyDescent="0.3">
      <c r="A346" s="8" t="s">
        <v>18</v>
      </c>
      <c r="B346" s="9" t="s">
        <v>230</v>
      </c>
      <c r="C346" s="7"/>
      <c r="D346" s="7"/>
      <c r="E346" s="7"/>
      <c r="F346" s="71">
        <v>75</v>
      </c>
      <c r="G346" s="51">
        <f t="shared" si="518"/>
        <v>0</v>
      </c>
      <c r="H346" s="52" t="e">
        <f t="shared" si="519"/>
        <v>#DIV/0!</v>
      </c>
      <c r="I346" s="53">
        <f>COUNTIFS('00 Encuesta'!$B$2:$B$511,"*e)*",'00 Encuesta'!$C$2:$C$511,"*a)*",'00 Encuesta'!$E$2:$E$511,"*a)*",'00 Encuesta'!$AR$2:$AR$511,"*b)*")</f>
        <v>0</v>
      </c>
      <c r="J346" s="52" t="e">
        <f t="shared" si="520"/>
        <v>#DIV/0!</v>
      </c>
      <c r="K346" s="53">
        <f>COUNTIFS('00 Encuesta'!$B$2:$B$511,"*e)*",'00 Encuesta'!$C$2:$C$511,"*a)*",'00 Encuesta'!$E$2:$E$511,"*b)*",'00 Encuesta'!$AR$2:$AR$511,"*b)*")</f>
        <v>0</v>
      </c>
      <c r="L346" s="52" t="e">
        <f t="shared" si="521"/>
        <v>#DIV/0!</v>
      </c>
      <c r="M346" s="23"/>
      <c r="N346" s="51">
        <f t="shared" si="522"/>
        <v>0</v>
      </c>
      <c r="O346" s="52" t="e">
        <f t="shared" si="523"/>
        <v>#DIV/0!</v>
      </c>
      <c r="P346" s="53">
        <f>COUNTIFS('00 Encuesta'!$B$2:$B$511,"*e)*",'00 Encuesta'!$C$2:$C$511,"*b)*",'00 Encuesta'!$E$2:$E$511,"*a)*",'00 Encuesta'!$AR$2:$AR$511,"*b)*")</f>
        <v>0</v>
      </c>
      <c r="Q346" s="52" t="e">
        <f t="shared" si="524"/>
        <v>#DIV/0!</v>
      </c>
      <c r="R346" s="53">
        <f>COUNTIFS('00 Encuesta'!$B$2:$B$511,"*e)*",'00 Encuesta'!$C$2:$C$511,"*b)*",'00 Encuesta'!$E$2:$E$511,"*b)*",'00 Encuesta'!$AR$2:$AR$511,"*b)*")</f>
        <v>0</v>
      </c>
      <c r="S346" s="52" t="e">
        <f t="shared" si="525"/>
        <v>#DIV/0!</v>
      </c>
      <c r="T346" s="3"/>
      <c r="U346" s="51">
        <f t="shared" si="526"/>
        <v>0</v>
      </c>
      <c r="V346" s="52" t="e">
        <f t="shared" si="527"/>
        <v>#DIV/0!</v>
      </c>
      <c r="W346" s="53">
        <f>COUNTIFS('00 Encuesta'!$B$2:$B$511,"*e)*",'00 Encuesta'!$C$2:$C$511,"*c)*",'00 Encuesta'!$E$2:$E$511,"*a)*",'00 Encuesta'!$AR$2:$AR$511,"*b)*")</f>
        <v>0</v>
      </c>
      <c r="X346" s="52" t="e">
        <f t="shared" si="528"/>
        <v>#DIV/0!</v>
      </c>
      <c r="Y346" s="53">
        <f>COUNTIFS('00 Encuesta'!$B$2:$B$511,"*e)*",'00 Encuesta'!$C$2:$C$511,"*c)*",'00 Encuesta'!$E$2:$E$511,"*b)*",'00 Encuesta'!$AR$2:$AR$511,"*b)*")</f>
        <v>0</v>
      </c>
      <c r="Z346" s="52" t="e">
        <f t="shared" si="529"/>
        <v>#DIV/0!</v>
      </c>
      <c r="AA346" s="3"/>
      <c r="AB346" s="62">
        <f t="shared" si="530"/>
        <v>0</v>
      </c>
      <c r="AC346" s="52" t="e">
        <f t="shared" si="531"/>
        <v>#DIV/0!</v>
      </c>
      <c r="AD346" s="3"/>
      <c r="AE346" s="3"/>
      <c r="AF346" s="9" t="str">
        <f t="shared" si="532"/>
        <v>b) Buena</v>
      </c>
      <c r="AG346" s="72" t="e">
        <f t="shared" si="533"/>
        <v>#DIV/0!</v>
      </c>
      <c r="AH346" s="72" t="e">
        <f t="shared" si="534"/>
        <v>#DIV/0!</v>
      </c>
      <c r="AI346" s="73" t="e">
        <f t="shared" si="535"/>
        <v>#DIV/0!</v>
      </c>
      <c r="AJ346" s="73"/>
      <c r="AK346" s="76" t="e">
        <f t="shared" si="536"/>
        <v>#DIV/0!</v>
      </c>
      <c r="AL346" s="76" t="e">
        <f t="shared" si="537"/>
        <v>#DIV/0!</v>
      </c>
      <c r="AM346" s="76" t="e">
        <f t="shared" si="538"/>
        <v>#DIV/0!</v>
      </c>
      <c r="AN346" s="76"/>
      <c r="AO346" s="81" t="e">
        <f t="shared" si="539"/>
        <v>#DIV/0!</v>
      </c>
      <c r="AP346" s="81" t="e">
        <f t="shared" si="540"/>
        <v>#DIV/0!</v>
      </c>
      <c r="AQ346" s="81" t="e">
        <f t="shared" si="541"/>
        <v>#DIV/0!</v>
      </c>
      <c r="AR346" s="3"/>
      <c r="AS346" s="76" t="e">
        <f t="shared" si="542"/>
        <v>#DIV/0!</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x14ac:dyDescent="0.3">
      <c r="A347" s="8" t="s">
        <v>20</v>
      </c>
      <c r="B347" s="9" t="s">
        <v>218</v>
      </c>
      <c r="C347" s="7"/>
      <c r="D347" s="7"/>
      <c r="E347" s="7"/>
      <c r="F347" s="71">
        <v>50</v>
      </c>
      <c r="G347" s="51">
        <f t="shared" si="518"/>
        <v>0</v>
      </c>
      <c r="H347" s="52" t="e">
        <f t="shared" si="519"/>
        <v>#DIV/0!</v>
      </c>
      <c r="I347" s="53">
        <f>COUNTIFS('00 Encuesta'!$B$2:$B$511,"*e)*",'00 Encuesta'!$C$2:$C$511,"*a)*",'00 Encuesta'!$E$2:$E$511,"*a)*",'00 Encuesta'!$AR$2:$AR$511,"*c)*")</f>
        <v>0</v>
      </c>
      <c r="J347" s="52" t="e">
        <f t="shared" si="520"/>
        <v>#DIV/0!</v>
      </c>
      <c r="K347" s="53">
        <f>COUNTIFS('00 Encuesta'!$B$2:$B$511,"*e)*",'00 Encuesta'!$C$2:$C$511,"*a)*",'00 Encuesta'!$E$2:$E$511,"*b)*",'00 Encuesta'!$AR$2:$AR$511,"*c)*")</f>
        <v>0</v>
      </c>
      <c r="L347" s="52" t="e">
        <f t="shared" si="521"/>
        <v>#DIV/0!</v>
      </c>
      <c r="M347" s="23"/>
      <c r="N347" s="51">
        <f t="shared" si="522"/>
        <v>0</v>
      </c>
      <c r="O347" s="52" t="e">
        <f t="shared" si="523"/>
        <v>#DIV/0!</v>
      </c>
      <c r="P347" s="53">
        <f>COUNTIFS('00 Encuesta'!$B$2:$B$511,"*e)*",'00 Encuesta'!$C$2:$C$511,"*b)*",'00 Encuesta'!$E$2:$E$511,"*a)*",'00 Encuesta'!$AR$2:$AR$511,"*c)*")</f>
        <v>0</v>
      </c>
      <c r="Q347" s="52" t="e">
        <f t="shared" si="524"/>
        <v>#DIV/0!</v>
      </c>
      <c r="R347" s="53">
        <f>COUNTIFS('00 Encuesta'!$B$2:$B$511,"*e)*",'00 Encuesta'!$C$2:$C$511,"*b)*",'00 Encuesta'!$E$2:$E$511,"*b)*",'00 Encuesta'!$AR$2:$AR$511,"*c)*")</f>
        <v>0</v>
      </c>
      <c r="S347" s="52" t="e">
        <f t="shared" si="525"/>
        <v>#DIV/0!</v>
      </c>
      <c r="T347" s="3"/>
      <c r="U347" s="51">
        <f t="shared" si="526"/>
        <v>0</v>
      </c>
      <c r="V347" s="52" t="e">
        <f t="shared" si="527"/>
        <v>#DIV/0!</v>
      </c>
      <c r="W347" s="53">
        <f>COUNTIFS('00 Encuesta'!$B$2:$B$511,"*e)*",'00 Encuesta'!$C$2:$C$511,"*c)*",'00 Encuesta'!$E$2:$E$511,"*a)*",'00 Encuesta'!$AR$2:$AR$511,"*c)*")</f>
        <v>0</v>
      </c>
      <c r="X347" s="52" t="e">
        <f t="shared" si="528"/>
        <v>#DIV/0!</v>
      </c>
      <c r="Y347" s="53">
        <f>COUNTIFS('00 Encuesta'!$B$2:$B$511,"*e)*",'00 Encuesta'!$C$2:$C$511,"*c)*",'00 Encuesta'!$E$2:$E$511,"*b)*",'00 Encuesta'!$AR$2:$AR$511,"*c)*")</f>
        <v>0</v>
      </c>
      <c r="Z347" s="52" t="e">
        <f t="shared" si="529"/>
        <v>#DIV/0!</v>
      </c>
      <c r="AA347" s="3"/>
      <c r="AB347" s="62">
        <f t="shared" si="530"/>
        <v>0</v>
      </c>
      <c r="AC347" s="52" t="e">
        <f t="shared" si="531"/>
        <v>#DIV/0!</v>
      </c>
      <c r="AD347" s="3"/>
      <c r="AE347" s="3"/>
      <c r="AF347" s="9" t="str">
        <f t="shared" si="532"/>
        <v>c) Regular</v>
      </c>
      <c r="AG347" s="72" t="e">
        <f t="shared" si="533"/>
        <v>#DIV/0!</v>
      </c>
      <c r="AH347" s="72" t="e">
        <f t="shared" si="534"/>
        <v>#DIV/0!</v>
      </c>
      <c r="AI347" s="73" t="e">
        <f t="shared" si="535"/>
        <v>#DIV/0!</v>
      </c>
      <c r="AJ347" s="73"/>
      <c r="AK347" s="76" t="e">
        <f t="shared" si="536"/>
        <v>#DIV/0!</v>
      </c>
      <c r="AL347" s="76" t="e">
        <f t="shared" si="537"/>
        <v>#DIV/0!</v>
      </c>
      <c r="AM347" s="76" t="e">
        <f t="shared" si="538"/>
        <v>#DIV/0!</v>
      </c>
      <c r="AN347" s="76"/>
      <c r="AO347" s="81" t="e">
        <f t="shared" si="539"/>
        <v>#DIV/0!</v>
      </c>
      <c r="AP347" s="81" t="e">
        <f t="shared" si="540"/>
        <v>#DIV/0!</v>
      </c>
      <c r="AQ347" s="81" t="e">
        <f t="shared" si="541"/>
        <v>#DIV/0!</v>
      </c>
      <c r="AR347" s="3"/>
      <c r="AS347" s="76" t="e">
        <f t="shared" si="542"/>
        <v>#DIV/0!</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x14ac:dyDescent="0.3">
      <c r="A348" s="8" t="s">
        <v>21</v>
      </c>
      <c r="B348" s="9" t="s">
        <v>231</v>
      </c>
      <c r="C348" s="7"/>
      <c r="D348" s="7"/>
      <c r="E348" s="7"/>
      <c r="F348" s="71">
        <v>25</v>
      </c>
      <c r="G348" s="51">
        <f t="shared" si="518"/>
        <v>0</v>
      </c>
      <c r="H348" s="52" t="e">
        <f t="shared" si="519"/>
        <v>#DIV/0!</v>
      </c>
      <c r="I348" s="53">
        <f>COUNTIFS('00 Encuesta'!$B$2:$B$511,"*e)*",'00 Encuesta'!$C$2:$C$511,"*a)*",'00 Encuesta'!$E$2:$E$511,"*a)*",'00 Encuesta'!$AR$2:$AR$511,"*d)*")</f>
        <v>0</v>
      </c>
      <c r="J348" s="52" t="e">
        <f t="shared" si="520"/>
        <v>#DIV/0!</v>
      </c>
      <c r="K348" s="53">
        <f>COUNTIFS('00 Encuesta'!$B$2:$B$511,"*e)*",'00 Encuesta'!$C$2:$C$511,"*a)*",'00 Encuesta'!$E$2:$E$511,"*b)*",'00 Encuesta'!$AR$2:$AR$511,"*d)*")</f>
        <v>0</v>
      </c>
      <c r="L348" s="52" t="e">
        <f t="shared" si="521"/>
        <v>#DIV/0!</v>
      </c>
      <c r="M348" s="23"/>
      <c r="N348" s="51">
        <f t="shared" si="522"/>
        <v>0</v>
      </c>
      <c r="O348" s="52" t="e">
        <f t="shared" si="523"/>
        <v>#DIV/0!</v>
      </c>
      <c r="P348" s="53">
        <f>COUNTIFS('00 Encuesta'!$B$2:$B$511,"*e)*",'00 Encuesta'!$C$2:$C$511,"*b)*",'00 Encuesta'!$E$2:$E$511,"*a)*",'00 Encuesta'!$AR$2:$AR$511,"*d)*")</f>
        <v>0</v>
      </c>
      <c r="Q348" s="52" t="e">
        <f t="shared" si="524"/>
        <v>#DIV/0!</v>
      </c>
      <c r="R348" s="53">
        <f>COUNTIFS('00 Encuesta'!$B$2:$B$511,"*e)*",'00 Encuesta'!$C$2:$C$511,"*b)*",'00 Encuesta'!$E$2:$E$511,"*b)*",'00 Encuesta'!$AR$2:$AR$511,"*d)*")</f>
        <v>0</v>
      </c>
      <c r="S348" s="52" t="e">
        <f t="shared" si="525"/>
        <v>#DIV/0!</v>
      </c>
      <c r="T348" s="3"/>
      <c r="U348" s="51">
        <f t="shared" si="526"/>
        <v>0</v>
      </c>
      <c r="V348" s="52" t="e">
        <f t="shared" si="527"/>
        <v>#DIV/0!</v>
      </c>
      <c r="W348" s="53">
        <f>COUNTIFS('00 Encuesta'!$B$2:$B$511,"*e)*",'00 Encuesta'!$C$2:$C$511,"*c)*",'00 Encuesta'!$E$2:$E$511,"*a)*",'00 Encuesta'!$AR$2:$AR$511,"*d)*")</f>
        <v>0</v>
      </c>
      <c r="X348" s="52" t="e">
        <f t="shared" si="528"/>
        <v>#DIV/0!</v>
      </c>
      <c r="Y348" s="53">
        <f>COUNTIFS('00 Encuesta'!$B$2:$B$511,"*e)*",'00 Encuesta'!$C$2:$C$511,"*c)*",'00 Encuesta'!$E$2:$E$511,"*b)*",'00 Encuesta'!$AR$2:$AR$511,"*d)*")</f>
        <v>0</v>
      </c>
      <c r="Z348" s="52" t="e">
        <f t="shared" si="529"/>
        <v>#DIV/0!</v>
      </c>
      <c r="AA348" s="3"/>
      <c r="AB348" s="62">
        <f t="shared" si="530"/>
        <v>0</v>
      </c>
      <c r="AC348" s="52" t="e">
        <f t="shared" si="531"/>
        <v>#DIV/0!</v>
      </c>
      <c r="AD348" s="3"/>
      <c r="AE348" s="3"/>
      <c r="AF348" s="9" t="str">
        <f t="shared" si="532"/>
        <v>d) Mala</v>
      </c>
      <c r="AG348" s="72" t="e">
        <f t="shared" si="533"/>
        <v>#DIV/0!</v>
      </c>
      <c r="AH348" s="72" t="e">
        <f t="shared" si="534"/>
        <v>#DIV/0!</v>
      </c>
      <c r="AI348" s="73" t="e">
        <f t="shared" si="535"/>
        <v>#DIV/0!</v>
      </c>
      <c r="AJ348" s="73"/>
      <c r="AK348" s="76" t="e">
        <f t="shared" si="536"/>
        <v>#DIV/0!</v>
      </c>
      <c r="AL348" s="76" t="e">
        <f t="shared" si="537"/>
        <v>#DIV/0!</v>
      </c>
      <c r="AM348" s="76" t="e">
        <f t="shared" si="538"/>
        <v>#DIV/0!</v>
      </c>
      <c r="AN348" s="76"/>
      <c r="AO348" s="81" t="e">
        <f t="shared" si="539"/>
        <v>#DIV/0!</v>
      </c>
      <c r="AP348" s="81" t="e">
        <f t="shared" si="540"/>
        <v>#DIV/0!</v>
      </c>
      <c r="AQ348" s="81" t="e">
        <f t="shared" si="541"/>
        <v>#DIV/0!</v>
      </c>
      <c r="AR348" s="3"/>
      <c r="AS348" s="76" t="e">
        <f t="shared" si="542"/>
        <v>#DIV/0!</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x14ac:dyDescent="0.3">
      <c r="A349" s="8" t="s">
        <v>22</v>
      </c>
      <c r="B349" s="9" t="s">
        <v>232</v>
      </c>
      <c r="C349" s="7"/>
      <c r="D349" s="7"/>
      <c r="E349" s="7"/>
      <c r="F349" s="71">
        <v>0</v>
      </c>
      <c r="G349" s="51">
        <f t="shared" si="518"/>
        <v>0</v>
      </c>
      <c r="H349" s="52" t="e">
        <f t="shared" si="519"/>
        <v>#DIV/0!</v>
      </c>
      <c r="I349" s="53">
        <f>COUNTIFS('00 Encuesta'!$B$2:$B$511,"*e)*",'00 Encuesta'!$C$2:$C$511,"*a)*",'00 Encuesta'!$E$2:$E$511,"*a)*",'00 Encuesta'!$AR$2:$AR$511,"*e)*")</f>
        <v>0</v>
      </c>
      <c r="J349" s="52" t="e">
        <f t="shared" si="520"/>
        <v>#DIV/0!</v>
      </c>
      <c r="K349" s="53">
        <f>COUNTIFS('00 Encuesta'!$B$2:$B$511,"*e)*",'00 Encuesta'!$C$2:$C$511,"*a)*",'00 Encuesta'!$E$2:$E$511,"*b)*",'00 Encuesta'!$AR$2:$AR$511,"*e)*")</f>
        <v>0</v>
      </c>
      <c r="L349" s="52" t="e">
        <f t="shared" si="521"/>
        <v>#DIV/0!</v>
      </c>
      <c r="M349" s="23"/>
      <c r="N349" s="51">
        <f t="shared" si="522"/>
        <v>0</v>
      </c>
      <c r="O349" s="52" t="e">
        <f t="shared" si="523"/>
        <v>#DIV/0!</v>
      </c>
      <c r="P349" s="53">
        <f>COUNTIFS('00 Encuesta'!$B$2:$B$511,"*e)*",'00 Encuesta'!$C$2:$C$511,"*b)*",'00 Encuesta'!$E$2:$E$511,"*a)*",'00 Encuesta'!$AR$2:$AR$511,"*e)*")</f>
        <v>0</v>
      </c>
      <c r="Q349" s="52" t="e">
        <f t="shared" si="524"/>
        <v>#DIV/0!</v>
      </c>
      <c r="R349" s="53">
        <f>COUNTIFS('00 Encuesta'!$B$2:$B$511,"*e)*",'00 Encuesta'!$C$2:$C$511,"*b)*",'00 Encuesta'!$E$2:$E$511,"*b)*",'00 Encuesta'!$AR$2:$AR$511,"*e)*")</f>
        <v>0</v>
      </c>
      <c r="S349" s="52" t="e">
        <f t="shared" si="525"/>
        <v>#DIV/0!</v>
      </c>
      <c r="T349" s="3"/>
      <c r="U349" s="51">
        <f t="shared" si="526"/>
        <v>0</v>
      </c>
      <c r="V349" s="52" t="e">
        <f t="shared" si="527"/>
        <v>#DIV/0!</v>
      </c>
      <c r="W349" s="53">
        <f>COUNTIFS('00 Encuesta'!$B$2:$B$511,"*e)*",'00 Encuesta'!$C$2:$C$511,"*c)*",'00 Encuesta'!$E$2:$E$511,"*a)*",'00 Encuesta'!$AR$2:$AR$511,"*e)*")</f>
        <v>0</v>
      </c>
      <c r="X349" s="52" t="e">
        <f t="shared" si="528"/>
        <v>#DIV/0!</v>
      </c>
      <c r="Y349" s="53">
        <f>COUNTIFS('00 Encuesta'!$B$2:$B$511,"*e)*",'00 Encuesta'!$C$2:$C$511,"*c)*",'00 Encuesta'!$E$2:$E$511,"*b)*",'00 Encuesta'!$AR$2:$AR$511,"*e)*")</f>
        <v>0</v>
      </c>
      <c r="Z349" s="52" t="e">
        <f t="shared" si="529"/>
        <v>#DIV/0!</v>
      </c>
      <c r="AA349" s="3"/>
      <c r="AB349" s="62">
        <f t="shared" si="530"/>
        <v>0</v>
      </c>
      <c r="AC349" s="52" t="e">
        <f t="shared" si="531"/>
        <v>#DIV/0!</v>
      </c>
      <c r="AD349" s="3"/>
      <c r="AE349" s="3"/>
      <c r="AF349" s="9" t="str">
        <f t="shared" si="532"/>
        <v>e) Muy mala</v>
      </c>
      <c r="AG349" s="72" t="e">
        <f t="shared" si="533"/>
        <v>#DIV/0!</v>
      </c>
      <c r="AH349" s="72" t="e">
        <f t="shared" si="534"/>
        <v>#DIV/0!</v>
      </c>
      <c r="AI349" s="73" t="e">
        <f t="shared" si="535"/>
        <v>#DIV/0!</v>
      </c>
      <c r="AJ349" s="73"/>
      <c r="AK349" s="76" t="e">
        <f t="shared" si="536"/>
        <v>#DIV/0!</v>
      </c>
      <c r="AL349" s="76" t="e">
        <f t="shared" si="537"/>
        <v>#DIV/0!</v>
      </c>
      <c r="AM349" s="76" t="e">
        <f t="shared" si="538"/>
        <v>#DIV/0!</v>
      </c>
      <c r="AN349" s="76"/>
      <c r="AO349" s="81" t="e">
        <f t="shared" si="539"/>
        <v>#DIV/0!</v>
      </c>
      <c r="AP349" s="81" t="e">
        <f t="shared" si="540"/>
        <v>#DIV/0!</v>
      </c>
      <c r="AQ349" s="81" t="e">
        <f t="shared" si="541"/>
        <v>#DIV/0!</v>
      </c>
      <c r="AR349" s="3"/>
      <c r="AS349" s="76" t="e">
        <f t="shared" si="542"/>
        <v>#DIV/0!</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x14ac:dyDescent="0.3">
      <c r="A350" s="8" t="s">
        <v>45</v>
      </c>
      <c r="B350" s="9" t="s">
        <v>233</v>
      </c>
      <c r="C350" s="7"/>
      <c r="D350" s="7"/>
      <c r="E350" s="7"/>
      <c r="F350" s="71"/>
      <c r="G350" s="51">
        <f t="shared" si="518"/>
        <v>0</v>
      </c>
      <c r="H350" s="52" t="e">
        <f t="shared" si="519"/>
        <v>#DIV/0!</v>
      </c>
      <c r="I350" s="53">
        <f>COUNTIFS('00 Encuesta'!$B$2:$B$511,"*e)*",'00 Encuesta'!$C$2:$C$511,"*a)*",'00 Encuesta'!$E$2:$E$511,"*a)*",'00 Encuesta'!$AR$2:$AR$511,"*f)*")</f>
        <v>0</v>
      </c>
      <c r="J350" s="52" t="e">
        <f t="shared" si="520"/>
        <v>#DIV/0!</v>
      </c>
      <c r="K350" s="53">
        <f>COUNTIFS('00 Encuesta'!$B$2:$B$511,"*e)*",'00 Encuesta'!$C$2:$C$511,"*a)*",'00 Encuesta'!$E$2:$E$511,"*b)*",'00 Encuesta'!$AR$2:$AR$511,"*f)*")</f>
        <v>0</v>
      </c>
      <c r="L350" s="52" t="e">
        <f t="shared" si="521"/>
        <v>#DIV/0!</v>
      </c>
      <c r="M350" s="23"/>
      <c r="N350" s="51">
        <f t="shared" si="522"/>
        <v>0</v>
      </c>
      <c r="O350" s="52" t="e">
        <f t="shared" si="523"/>
        <v>#DIV/0!</v>
      </c>
      <c r="P350" s="53">
        <f>COUNTIFS('00 Encuesta'!$B$2:$B$511,"*e)*",'00 Encuesta'!$C$2:$C$511,"*b)*",'00 Encuesta'!$E$2:$E$511,"*a)*",'00 Encuesta'!$AR$2:$AR$511,"*f)*")</f>
        <v>0</v>
      </c>
      <c r="Q350" s="52" t="e">
        <f t="shared" si="524"/>
        <v>#DIV/0!</v>
      </c>
      <c r="R350" s="53">
        <f>COUNTIFS('00 Encuesta'!$B$2:$B$511,"*e)*",'00 Encuesta'!$C$2:$C$511,"*b)*",'00 Encuesta'!$E$2:$E$511,"*b)*",'00 Encuesta'!$AR$2:$AR$511,"*f)*")</f>
        <v>0</v>
      </c>
      <c r="S350" s="52" t="e">
        <f t="shared" si="525"/>
        <v>#DIV/0!</v>
      </c>
      <c r="T350" s="3"/>
      <c r="U350" s="51">
        <f t="shared" si="526"/>
        <v>0</v>
      </c>
      <c r="V350" s="52" t="e">
        <f t="shared" si="527"/>
        <v>#DIV/0!</v>
      </c>
      <c r="W350" s="53">
        <f>COUNTIFS('00 Encuesta'!$B$2:$B$511,"*e)*",'00 Encuesta'!$C$2:$C$511,"*c)*",'00 Encuesta'!$E$2:$E$511,"*a)*",'00 Encuesta'!$AR$2:$AR$511,"*f)*")</f>
        <v>0</v>
      </c>
      <c r="X350" s="52" t="e">
        <f t="shared" si="528"/>
        <v>#DIV/0!</v>
      </c>
      <c r="Y350" s="53">
        <f>COUNTIFS('00 Encuesta'!$B$2:$B$511,"*e)*",'00 Encuesta'!$C$2:$C$511,"*c)*",'00 Encuesta'!$E$2:$E$511,"*b)*",'00 Encuesta'!$AR$2:$AR$511,"*f)*")</f>
        <v>0</v>
      </c>
      <c r="Z350" s="52" t="e">
        <f t="shared" si="529"/>
        <v>#DIV/0!</v>
      </c>
      <c r="AA350" s="3"/>
      <c r="AB350" s="62">
        <f t="shared" si="530"/>
        <v>0</v>
      </c>
      <c r="AC350" s="52" t="e">
        <f t="shared" si="531"/>
        <v>#DIV/0!</v>
      </c>
      <c r="AD350" s="3"/>
      <c r="AE350" s="3"/>
      <c r="AF350" s="9" t="str">
        <f t="shared" si="532"/>
        <v>f) No aplica</v>
      </c>
      <c r="AG350" s="72" t="e">
        <f t="shared" si="533"/>
        <v>#DIV/0!</v>
      </c>
      <c r="AH350" s="72" t="e">
        <f t="shared" si="534"/>
        <v>#DIV/0!</v>
      </c>
      <c r="AI350" s="73" t="e">
        <f t="shared" si="535"/>
        <v>#DIV/0!</v>
      </c>
      <c r="AJ350" s="73"/>
      <c r="AK350" s="76" t="e">
        <f t="shared" si="536"/>
        <v>#DIV/0!</v>
      </c>
      <c r="AL350" s="76" t="e">
        <f t="shared" si="537"/>
        <v>#DIV/0!</v>
      </c>
      <c r="AM350" s="76" t="e">
        <f t="shared" si="538"/>
        <v>#DIV/0!</v>
      </c>
      <c r="AN350" s="76"/>
      <c r="AO350" s="81" t="e">
        <f t="shared" si="539"/>
        <v>#DIV/0!</v>
      </c>
      <c r="AP350" s="81" t="e">
        <f t="shared" si="540"/>
        <v>#DIV/0!</v>
      </c>
      <c r="AQ350" s="81" t="e">
        <f t="shared" si="541"/>
        <v>#DIV/0!</v>
      </c>
      <c r="AR350" s="3"/>
      <c r="AS350" s="76" t="e">
        <f t="shared" si="542"/>
        <v>#DIV/0!</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x14ac:dyDescent="0.3">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t="e">
        <f>($F345*I345+$F346*I346+$F347*I347+$F348*I348+$F349*I349)/(I345+I346+I347+I348+I349)</f>
        <v>#DIV/0!</v>
      </c>
      <c r="AH351" s="82" t="e">
        <f>($F345*K345+$F346*K346+$F347*K347+$F348*K348+$F349*K349)/(K345+K346+K347+K348+K349)</f>
        <v>#DIV/0!</v>
      </c>
      <c r="AI351" s="82" t="e">
        <f>($F345*G345+$F346*G346+$F347*G347+$F348*G348+$F349*G349)/(G345+G346+G347+G348+G349)</f>
        <v>#DIV/0!</v>
      </c>
      <c r="AJ351" s="82"/>
      <c r="AK351" s="82" t="e">
        <f>($F345*Q345+$F346*Q346+$F347*Q347+$F348*Q348+$F349*Q349)/(Q345+Q346+Q347+Q348+Q349)</f>
        <v>#DIV/0!</v>
      </c>
      <c r="AL351" s="82" t="e">
        <f>($F345*S345+$F346*S346+$F347*S347+$F348*S348+$F349*S349)/(S345+S346+S347+S348+S349)</f>
        <v>#DIV/0!</v>
      </c>
      <c r="AM351" s="82" t="e">
        <f>($F345*O345+$F346*O346+$F347*O347+$F348*O348+$F349*O349)/(O345+O346+O347+O348+O349)</f>
        <v>#DIV/0!</v>
      </c>
      <c r="AN351" s="82"/>
      <c r="AO351" s="82" t="e">
        <f>($F345*W345+$F346*W346+$F347*W347+$F348*W348+$F349*W349)/(W345+W346+W347+W348+W349)</f>
        <v>#DIV/0!</v>
      </c>
      <c r="AP351" s="82" t="e">
        <f>($F345*Y345+$F346*Y346+$F347*Y347+$F348*Y348+$F349*Y349)/(Y345+Y346+Y347+Y348+Y349)</f>
        <v>#DIV/0!</v>
      </c>
      <c r="AQ351" s="82" t="e">
        <f>($F345*U345+$F346*U346+$F347*U347+$F348*U348+$F349*U349)/(U345+U346+U347+U348+U349)</f>
        <v>#DIV/0!</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x14ac:dyDescent="0.3">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x14ac:dyDescent="0.3">
      <c r="A353" s="8" t="s">
        <v>17</v>
      </c>
      <c r="B353" s="9" t="s">
        <v>229</v>
      </c>
      <c r="C353" s="7"/>
      <c r="D353" s="7"/>
      <c r="E353" s="7"/>
      <c r="F353" s="71">
        <v>100</v>
      </c>
      <c r="G353" s="51">
        <f t="shared" ref="G353:G358" si="543">I353+K353</f>
        <v>0</v>
      </c>
      <c r="H353" s="52" t="e">
        <f t="shared" ref="H353:H358" si="544">G353/$J$5*100</f>
        <v>#DIV/0!</v>
      </c>
      <c r="I353" s="53">
        <f>COUNTIFS('00 Encuesta'!$B$2:$B$511,"*e)*",'00 Encuesta'!$C$2:$C$511,"*a)*",'00 Encuesta'!$E$2:$E$511,"*a)*",'00 Encuesta'!$AS$2:$AS$511,"*a)*")</f>
        <v>0</v>
      </c>
      <c r="J353" s="52" t="e">
        <f t="shared" ref="J353:J358" si="545">I353/$J$6*100</f>
        <v>#DIV/0!</v>
      </c>
      <c r="K353" s="53">
        <f>COUNTIFS('00 Encuesta'!$B$2:$B$511,"*e)*",'00 Encuesta'!$C$2:$C$511,"*a)*",'00 Encuesta'!$E$2:$E$511,"*b)*",'00 Encuesta'!$AS$2:$AS$511,"*a)*")</f>
        <v>0</v>
      </c>
      <c r="L353" s="52" t="e">
        <f t="shared" ref="L353:L358" si="546">K353/$J$7*100</f>
        <v>#DIV/0!</v>
      </c>
      <c r="M353" s="23"/>
      <c r="N353" s="51">
        <f t="shared" ref="N353:N358" si="547">P353+R353</f>
        <v>0</v>
      </c>
      <c r="O353" s="52" t="e">
        <f t="shared" ref="O353:O358" si="548">N353/$Q$5*100</f>
        <v>#DIV/0!</v>
      </c>
      <c r="P353" s="53">
        <f>COUNTIFS('00 Encuesta'!$B$2:$B$511,"*e)*",'00 Encuesta'!$C$2:$C$511,"*b)*",'00 Encuesta'!$E$2:$E$511,"*a)*",'00 Encuesta'!$AS$2:$AS$511,"*a)*")</f>
        <v>0</v>
      </c>
      <c r="Q353" s="52" t="e">
        <f>P353/$Q$6*100</f>
        <v>#DIV/0!</v>
      </c>
      <c r="R353" s="53">
        <f>COUNTIFS('00 Encuesta'!$B$2:$B$511,"*e)*",'00 Encuesta'!$C$2:$C$511,"*b)*",'00 Encuesta'!$E$2:$E$511,"*b)*",'00 Encuesta'!$AS$2:$AS$511,"*a)*")</f>
        <v>0</v>
      </c>
      <c r="S353" s="52" t="e">
        <f t="shared" ref="S353:S358" si="549">R353/$Q$7*100</f>
        <v>#DIV/0!</v>
      </c>
      <c r="T353" s="3"/>
      <c r="U353" s="51">
        <f t="shared" ref="U353:U358" si="550">W353+Y353</f>
        <v>0</v>
      </c>
      <c r="V353" s="52" t="e">
        <f t="shared" ref="V353:V358" si="551">U353/$X$5*100</f>
        <v>#DIV/0!</v>
      </c>
      <c r="W353" s="53">
        <f>COUNTIFS('00 Encuesta'!$B$2:$B$511,"*e)*",'00 Encuesta'!$C$2:$C$511,"*c)*",'00 Encuesta'!$E$2:$E$511,"*a)*",'00 Encuesta'!$AS$2:$AS$511,"*a)*")</f>
        <v>0</v>
      </c>
      <c r="X353" s="52" t="e">
        <f t="shared" ref="X353:X358" si="552">W353/$X$6*100</f>
        <v>#DIV/0!</v>
      </c>
      <c r="Y353" s="53">
        <f>COUNTIFS('00 Encuesta'!$B$2:$B$511,"*e)*",'00 Encuesta'!$C$2:$C$511,"*c)*",'00 Encuesta'!$E$2:$E$511,"*b)*",'00 Encuesta'!$AS$2:$AS$511,"*a)*")</f>
        <v>0</v>
      </c>
      <c r="Z353" s="52" t="e">
        <f t="shared" ref="Z353:Z358" si="553">Y353/$X$7*100</f>
        <v>#DIV/0!</v>
      </c>
      <c r="AA353" s="3"/>
      <c r="AB353" s="62">
        <f t="shared" ref="AB353:AB358" si="554">G353+N353+U353</f>
        <v>0</v>
      </c>
      <c r="AC353" s="52" t="e">
        <f t="shared" ref="AC353:AC358" si="555">AB353*100/$AC$5</f>
        <v>#DIV/0!</v>
      </c>
      <c r="AD353" s="3"/>
      <c r="AE353" s="3"/>
      <c r="AF353" s="9" t="str">
        <f t="shared" ref="AF353:AF358" si="556">A353&amp;" "&amp;B353</f>
        <v>a) Muy buena</v>
      </c>
      <c r="AG353" s="72" t="e">
        <f t="shared" ref="AG353:AG358" si="557">J353</f>
        <v>#DIV/0!</v>
      </c>
      <c r="AH353" s="72" t="e">
        <f t="shared" ref="AH353:AH358" si="558">L353</f>
        <v>#DIV/0!</v>
      </c>
      <c r="AI353" s="73" t="e">
        <f t="shared" ref="AI353:AI358" si="559">H353</f>
        <v>#DIV/0!</v>
      </c>
      <c r="AJ353" s="73"/>
      <c r="AK353" s="76" t="e">
        <f>Q353</f>
        <v>#DIV/0!</v>
      </c>
      <c r="AL353" s="76" t="e">
        <f t="shared" ref="AL353:AL358" si="560">S353</f>
        <v>#DIV/0!</v>
      </c>
      <c r="AM353" s="76" t="e">
        <f t="shared" ref="AM353:AM358" si="561">O353</f>
        <v>#DIV/0!</v>
      </c>
      <c r="AN353" s="76"/>
      <c r="AO353" s="81" t="e">
        <f t="shared" ref="AO353:AO358" si="562">X353</f>
        <v>#DIV/0!</v>
      </c>
      <c r="AP353" s="81" t="e">
        <f t="shared" ref="AP353:AP358" si="563">Z353</f>
        <v>#DIV/0!</v>
      </c>
      <c r="AQ353" s="81" t="e">
        <f t="shared" ref="AQ353:AQ358" si="564">V353</f>
        <v>#DIV/0!</v>
      </c>
      <c r="AR353" s="3"/>
      <c r="AS353" s="76" t="e">
        <f t="shared" si="542"/>
        <v>#DIV/0!</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x14ac:dyDescent="0.3">
      <c r="A354" s="8" t="s">
        <v>18</v>
      </c>
      <c r="B354" s="9" t="s">
        <v>230</v>
      </c>
      <c r="C354" s="7"/>
      <c r="D354" s="7"/>
      <c r="E354" s="7"/>
      <c r="F354" s="71">
        <v>75</v>
      </c>
      <c r="G354" s="51">
        <f t="shared" si="543"/>
        <v>0</v>
      </c>
      <c r="H354" s="52" t="e">
        <f t="shared" si="544"/>
        <v>#DIV/0!</v>
      </c>
      <c r="I354" s="53">
        <f>COUNTIFS('00 Encuesta'!$B$2:$B$511,"*e)*",'00 Encuesta'!$C$2:$C$511,"*a)*",'00 Encuesta'!$E$2:$E$511,"*a)*",'00 Encuesta'!$AS$2:$AS$511,"*b)*")</f>
        <v>0</v>
      </c>
      <c r="J354" s="52" t="e">
        <f t="shared" si="545"/>
        <v>#DIV/0!</v>
      </c>
      <c r="K354" s="53">
        <f>COUNTIFS('00 Encuesta'!$B$2:$B$511,"*e)*",'00 Encuesta'!$C$2:$C$511,"*a)*",'00 Encuesta'!$E$2:$E$511,"*b)*",'00 Encuesta'!$AS$2:$AS$511,"*b)*")</f>
        <v>0</v>
      </c>
      <c r="L354" s="52" t="e">
        <f t="shared" si="546"/>
        <v>#DIV/0!</v>
      </c>
      <c r="M354" s="23"/>
      <c r="N354" s="51">
        <f t="shared" si="547"/>
        <v>0</v>
      </c>
      <c r="O354" s="52" t="e">
        <f t="shared" si="548"/>
        <v>#DIV/0!</v>
      </c>
      <c r="P354" s="53">
        <f>COUNTIFS('00 Encuesta'!$B$2:$B$511,"*e)*",'00 Encuesta'!$C$2:$C$511,"*b)*",'00 Encuesta'!$E$2:$E$511,"*a)*",'00 Encuesta'!$AS$2:$AS$511,"*b)*")</f>
        <v>0</v>
      </c>
      <c r="Q354" s="52" t="e">
        <f t="shared" ref="Q354:Q358" si="565">P354/$Q$6*100</f>
        <v>#DIV/0!</v>
      </c>
      <c r="R354" s="53">
        <f>COUNTIFS('00 Encuesta'!$B$2:$B$511,"*e)*",'00 Encuesta'!$C$2:$C$511,"*b)*",'00 Encuesta'!$E$2:$E$511,"*b)*",'00 Encuesta'!$AS$2:$AS$511,"*b)*")</f>
        <v>0</v>
      </c>
      <c r="S354" s="52" t="e">
        <f t="shared" si="549"/>
        <v>#DIV/0!</v>
      </c>
      <c r="T354" s="3"/>
      <c r="U354" s="51">
        <f t="shared" si="550"/>
        <v>0</v>
      </c>
      <c r="V354" s="52" t="e">
        <f t="shared" si="551"/>
        <v>#DIV/0!</v>
      </c>
      <c r="W354" s="53">
        <f>COUNTIFS('00 Encuesta'!$B$2:$B$511,"*e)*",'00 Encuesta'!$C$2:$C$511,"*c)*",'00 Encuesta'!$E$2:$E$511,"*a)*",'00 Encuesta'!$AS$2:$AS$511,"*b)*")</f>
        <v>0</v>
      </c>
      <c r="X354" s="52" t="e">
        <f t="shared" si="552"/>
        <v>#DIV/0!</v>
      </c>
      <c r="Y354" s="53">
        <f>COUNTIFS('00 Encuesta'!$B$2:$B$511,"*e)*",'00 Encuesta'!$C$2:$C$511,"*c)*",'00 Encuesta'!$E$2:$E$511,"*b)*",'00 Encuesta'!$AS$2:$AS$511,"*b)*")</f>
        <v>0</v>
      </c>
      <c r="Z354" s="52" t="e">
        <f t="shared" si="553"/>
        <v>#DIV/0!</v>
      </c>
      <c r="AA354" s="3"/>
      <c r="AB354" s="62">
        <f t="shared" si="554"/>
        <v>0</v>
      </c>
      <c r="AC354" s="52" t="e">
        <f t="shared" si="555"/>
        <v>#DIV/0!</v>
      </c>
      <c r="AD354" s="3"/>
      <c r="AE354" s="3"/>
      <c r="AF354" s="9" t="str">
        <f t="shared" si="556"/>
        <v>b) Buena</v>
      </c>
      <c r="AG354" s="72" t="e">
        <f t="shared" si="557"/>
        <v>#DIV/0!</v>
      </c>
      <c r="AH354" s="72" t="e">
        <f t="shared" si="558"/>
        <v>#DIV/0!</v>
      </c>
      <c r="AI354" s="73" t="e">
        <f t="shared" si="559"/>
        <v>#DIV/0!</v>
      </c>
      <c r="AJ354" s="73"/>
      <c r="AK354" s="76" t="e">
        <f t="shared" ref="AK354:AK358" si="566">Q354</f>
        <v>#DIV/0!</v>
      </c>
      <c r="AL354" s="76" t="e">
        <f t="shared" si="560"/>
        <v>#DIV/0!</v>
      </c>
      <c r="AM354" s="76" t="e">
        <f t="shared" si="561"/>
        <v>#DIV/0!</v>
      </c>
      <c r="AN354" s="76"/>
      <c r="AO354" s="81" t="e">
        <f t="shared" si="562"/>
        <v>#DIV/0!</v>
      </c>
      <c r="AP354" s="81" t="e">
        <f t="shared" si="563"/>
        <v>#DIV/0!</v>
      </c>
      <c r="AQ354" s="81" t="e">
        <f t="shared" si="564"/>
        <v>#DIV/0!</v>
      </c>
      <c r="AR354" s="3"/>
      <c r="AS354" s="76" t="e">
        <f t="shared" si="542"/>
        <v>#DIV/0!</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x14ac:dyDescent="0.3">
      <c r="A355" s="8" t="s">
        <v>20</v>
      </c>
      <c r="B355" s="9" t="s">
        <v>218</v>
      </c>
      <c r="C355" s="7"/>
      <c r="D355" s="7"/>
      <c r="E355" s="7"/>
      <c r="F355" s="71">
        <v>50</v>
      </c>
      <c r="G355" s="51">
        <f t="shared" si="543"/>
        <v>0</v>
      </c>
      <c r="H355" s="52" t="e">
        <f t="shared" si="544"/>
        <v>#DIV/0!</v>
      </c>
      <c r="I355" s="53">
        <f>COUNTIFS('00 Encuesta'!$B$2:$B$511,"*e)*",'00 Encuesta'!$C$2:$C$511,"*a)*",'00 Encuesta'!$E$2:$E$511,"*a)*",'00 Encuesta'!$AS$2:$AS$511,"*c)*")</f>
        <v>0</v>
      </c>
      <c r="J355" s="52" t="e">
        <f t="shared" si="545"/>
        <v>#DIV/0!</v>
      </c>
      <c r="K355" s="53">
        <f>COUNTIFS('00 Encuesta'!$B$2:$B$511,"*e)*",'00 Encuesta'!$C$2:$C$511,"*a)*",'00 Encuesta'!$E$2:$E$511,"*b)*",'00 Encuesta'!$AS$2:$AS$511,"*c)*")</f>
        <v>0</v>
      </c>
      <c r="L355" s="52" t="e">
        <f t="shared" si="546"/>
        <v>#DIV/0!</v>
      </c>
      <c r="M355" s="23"/>
      <c r="N355" s="51">
        <f t="shared" si="547"/>
        <v>0</v>
      </c>
      <c r="O355" s="52" t="e">
        <f t="shared" si="548"/>
        <v>#DIV/0!</v>
      </c>
      <c r="P355" s="53">
        <f>COUNTIFS('00 Encuesta'!$B$2:$B$511,"*e)*",'00 Encuesta'!$C$2:$C$511,"*b)*",'00 Encuesta'!$E$2:$E$511,"*a)*",'00 Encuesta'!$AS$2:$AS$511,"*c)*")</f>
        <v>0</v>
      </c>
      <c r="Q355" s="52" t="e">
        <f t="shared" si="565"/>
        <v>#DIV/0!</v>
      </c>
      <c r="R355" s="53">
        <f>COUNTIFS('00 Encuesta'!$B$2:$B$511,"*e)*",'00 Encuesta'!$C$2:$C$511,"*b)*",'00 Encuesta'!$E$2:$E$511,"*b)*",'00 Encuesta'!$AS$2:$AS$511,"*c)*")</f>
        <v>0</v>
      </c>
      <c r="S355" s="52" t="e">
        <f t="shared" si="549"/>
        <v>#DIV/0!</v>
      </c>
      <c r="T355" s="3"/>
      <c r="U355" s="51">
        <f t="shared" si="550"/>
        <v>0</v>
      </c>
      <c r="V355" s="52" t="e">
        <f t="shared" si="551"/>
        <v>#DIV/0!</v>
      </c>
      <c r="W355" s="53">
        <f>COUNTIFS('00 Encuesta'!$B$2:$B$511,"*e)*",'00 Encuesta'!$C$2:$C$511,"*c)*",'00 Encuesta'!$E$2:$E$511,"*a)*",'00 Encuesta'!$AS$2:$AS$511,"*c)*")</f>
        <v>0</v>
      </c>
      <c r="X355" s="52" t="e">
        <f t="shared" si="552"/>
        <v>#DIV/0!</v>
      </c>
      <c r="Y355" s="53">
        <f>COUNTIFS('00 Encuesta'!$B$2:$B$511,"*e)*",'00 Encuesta'!$C$2:$C$511,"*c)*",'00 Encuesta'!$E$2:$E$511,"*b)*",'00 Encuesta'!$AS$2:$AS$511,"*c)*")</f>
        <v>0</v>
      </c>
      <c r="Z355" s="52" t="e">
        <f t="shared" si="553"/>
        <v>#DIV/0!</v>
      </c>
      <c r="AA355" s="3"/>
      <c r="AB355" s="62">
        <f t="shared" si="554"/>
        <v>0</v>
      </c>
      <c r="AC355" s="52" t="e">
        <f t="shared" si="555"/>
        <v>#DIV/0!</v>
      </c>
      <c r="AD355" s="3"/>
      <c r="AE355" s="3"/>
      <c r="AF355" s="9" t="str">
        <f t="shared" si="556"/>
        <v>c) Regular</v>
      </c>
      <c r="AG355" s="72" t="e">
        <f t="shared" si="557"/>
        <v>#DIV/0!</v>
      </c>
      <c r="AH355" s="72" t="e">
        <f t="shared" si="558"/>
        <v>#DIV/0!</v>
      </c>
      <c r="AI355" s="73" t="e">
        <f t="shared" si="559"/>
        <v>#DIV/0!</v>
      </c>
      <c r="AJ355" s="73"/>
      <c r="AK355" s="76" t="e">
        <f t="shared" si="566"/>
        <v>#DIV/0!</v>
      </c>
      <c r="AL355" s="76" t="e">
        <f t="shared" si="560"/>
        <v>#DIV/0!</v>
      </c>
      <c r="AM355" s="76" t="e">
        <f t="shared" si="561"/>
        <v>#DIV/0!</v>
      </c>
      <c r="AN355" s="76"/>
      <c r="AO355" s="81" t="e">
        <f t="shared" si="562"/>
        <v>#DIV/0!</v>
      </c>
      <c r="AP355" s="81" t="e">
        <f t="shared" si="563"/>
        <v>#DIV/0!</v>
      </c>
      <c r="AQ355" s="81" t="e">
        <f t="shared" si="564"/>
        <v>#DIV/0!</v>
      </c>
      <c r="AR355" s="3"/>
      <c r="AS355" s="76" t="e">
        <f t="shared" si="542"/>
        <v>#DIV/0!</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x14ac:dyDescent="0.3">
      <c r="A356" s="8" t="s">
        <v>21</v>
      </c>
      <c r="B356" s="9" t="s">
        <v>231</v>
      </c>
      <c r="C356" s="7"/>
      <c r="D356" s="7"/>
      <c r="E356" s="7"/>
      <c r="F356" s="71">
        <v>25</v>
      </c>
      <c r="G356" s="51">
        <f t="shared" si="543"/>
        <v>0</v>
      </c>
      <c r="H356" s="52" t="e">
        <f t="shared" si="544"/>
        <v>#DIV/0!</v>
      </c>
      <c r="I356" s="53">
        <f>COUNTIFS('00 Encuesta'!$B$2:$B$511,"*e)*",'00 Encuesta'!$C$2:$C$511,"*a)*",'00 Encuesta'!$E$2:$E$511,"*a)*",'00 Encuesta'!$AS$2:$AS$511,"*d)*")</f>
        <v>0</v>
      </c>
      <c r="J356" s="52" t="e">
        <f t="shared" si="545"/>
        <v>#DIV/0!</v>
      </c>
      <c r="K356" s="53">
        <f>COUNTIFS('00 Encuesta'!$B$2:$B$511,"*e)*",'00 Encuesta'!$C$2:$C$511,"*a)*",'00 Encuesta'!$E$2:$E$511,"*b)*",'00 Encuesta'!$AS$2:$AS$511,"*d)*")</f>
        <v>0</v>
      </c>
      <c r="L356" s="52" t="e">
        <f t="shared" si="546"/>
        <v>#DIV/0!</v>
      </c>
      <c r="M356" s="23"/>
      <c r="N356" s="51">
        <f t="shared" si="547"/>
        <v>0</v>
      </c>
      <c r="O356" s="52" t="e">
        <f t="shared" si="548"/>
        <v>#DIV/0!</v>
      </c>
      <c r="P356" s="53">
        <f>COUNTIFS('00 Encuesta'!$B$2:$B$511,"*e)*",'00 Encuesta'!$C$2:$C$511,"*b)*",'00 Encuesta'!$E$2:$E$511,"*a)*",'00 Encuesta'!$AS$2:$AS$511,"*d)*")</f>
        <v>0</v>
      </c>
      <c r="Q356" s="52" t="e">
        <f t="shared" si="565"/>
        <v>#DIV/0!</v>
      </c>
      <c r="R356" s="53">
        <f>COUNTIFS('00 Encuesta'!$B$2:$B$511,"*e)*",'00 Encuesta'!$C$2:$C$511,"*b)*",'00 Encuesta'!$E$2:$E$511,"*b)*",'00 Encuesta'!$AS$2:$AS$511,"*d)*")</f>
        <v>0</v>
      </c>
      <c r="S356" s="52" t="e">
        <f t="shared" si="549"/>
        <v>#DIV/0!</v>
      </c>
      <c r="T356" s="3"/>
      <c r="U356" s="51">
        <f t="shared" si="550"/>
        <v>0</v>
      </c>
      <c r="V356" s="52" t="e">
        <f t="shared" si="551"/>
        <v>#DIV/0!</v>
      </c>
      <c r="W356" s="53">
        <f>COUNTIFS('00 Encuesta'!$B$2:$B$511,"*e)*",'00 Encuesta'!$C$2:$C$511,"*c)*",'00 Encuesta'!$E$2:$E$511,"*a)*",'00 Encuesta'!$AS$2:$AS$511,"*d)*")</f>
        <v>0</v>
      </c>
      <c r="X356" s="52" t="e">
        <f t="shared" si="552"/>
        <v>#DIV/0!</v>
      </c>
      <c r="Y356" s="53">
        <f>COUNTIFS('00 Encuesta'!$B$2:$B$511,"*e)*",'00 Encuesta'!$C$2:$C$511,"*c)*",'00 Encuesta'!$E$2:$E$511,"*b)*",'00 Encuesta'!$AS$2:$AS$511,"*d)*")</f>
        <v>0</v>
      </c>
      <c r="Z356" s="52" t="e">
        <f t="shared" si="553"/>
        <v>#DIV/0!</v>
      </c>
      <c r="AA356" s="3"/>
      <c r="AB356" s="62">
        <f t="shared" si="554"/>
        <v>0</v>
      </c>
      <c r="AC356" s="52" t="e">
        <f t="shared" si="555"/>
        <v>#DIV/0!</v>
      </c>
      <c r="AD356" s="3"/>
      <c r="AE356" s="3"/>
      <c r="AF356" s="9" t="str">
        <f t="shared" si="556"/>
        <v>d) Mala</v>
      </c>
      <c r="AG356" s="72" t="e">
        <f t="shared" si="557"/>
        <v>#DIV/0!</v>
      </c>
      <c r="AH356" s="72" t="e">
        <f t="shared" si="558"/>
        <v>#DIV/0!</v>
      </c>
      <c r="AI356" s="73" t="e">
        <f t="shared" si="559"/>
        <v>#DIV/0!</v>
      </c>
      <c r="AJ356" s="73"/>
      <c r="AK356" s="76" t="e">
        <f t="shared" si="566"/>
        <v>#DIV/0!</v>
      </c>
      <c r="AL356" s="76" t="e">
        <f t="shared" si="560"/>
        <v>#DIV/0!</v>
      </c>
      <c r="AM356" s="76" t="e">
        <f t="shared" si="561"/>
        <v>#DIV/0!</v>
      </c>
      <c r="AN356" s="76"/>
      <c r="AO356" s="81" t="e">
        <f t="shared" si="562"/>
        <v>#DIV/0!</v>
      </c>
      <c r="AP356" s="81" t="e">
        <f t="shared" si="563"/>
        <v>#DIV/0!</v>
      </c>
      <c r="AQ356" s="81" t="e">
        <f t="shared" si="564"/>
        <v>#DIV/0!</v>
      </c>
      <c r="AR356" s="3"/>
      <c r="AS356" s="76" t="e">
        <f t="shared" si="542"/>
        <v>#DIV/0!</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x14ac:dyDescent="0.3">
      <c r="A357" s="8" t="s">
        <v>22</v>
      </c>
      <c r="B357" s="9" t="s">
        <v>232</v>
      </c>
      <c r="C357" s="7"/>
      <c r="D357" s="7"/>
      <c r="E357" s="7"/>
      <c r="F357" s="71">
        <v>0</v>
      </c>
      <c r="G357" s="51">
        <f t="shared" si="543"/>
        <v>0</v>
      </c>
      <c r="H357" s="52" t="e">
        <f t="shared" si="544"/>
        <v>#DIV/0!</v>
      </c>
      <c r="I357" s="53">
        <f>COUNTIFS('00 Encuesta'!$B$2:$B$511,"*e)*",'00 Encuesta'!$C$2:$C$511,"*a)*",'00 Encuesta'!$E$2:$E$511,"*a)*",'00 Encuesta'!$AS$2:$AS$511,"*e)*")</f>
        <v>0</v>
      </c>
      <c r="J357" s="52" t="e">
        <f t="shared" si="545"/>
        <v>#DIV/0!</v>
      </c>
      <c r="K357" s="53">
        <f>COUNTIFS('00 Encuesta'!$B$2:$B$511,"*e)*",'00 Encuesta'!$C$2:$C$511,"*a)*",'00 Encuesta'!$E$2:$E$511,"*b)*",'00 Encuesta'!$AS$2:$AS$511,"*e)*")</f>
        <v>0</v>
      </c>
      <c r="L357" s="52" t="e">
        <f t="shared" si="546"/>
        <v>#DIV/0!</v>
      </c>
      <c r="M357" s="23"/>
      <c r="N357" s="51">
        <f t="shared" si="547"/>
        <v>0</v>
      </c>
      <c r="O357" s="52" t="e">
        <f t="shared" si="548"/>
        <v>#DIV/0!</v>
      </c>
      <c r="P357" s="53">
        <f>COUNTIFS('00 Encuesta'!$B$2:$B$511,"*e)*",'00 Encuesta'!$C$2:$C$511,"*b)*",'00 Encuesta'!$E$2:$E$511,"*a)*",'00 Encuesta'!$AS$2:$AS$511,"*e)*")</f>
        <v>0</v>
      </c>
      <c r="Q357" s="52" t="e">
        <f t="shared" si="565"/>
        <v>#DIV/0!</v>
      </c>
      <c r="R357" s="53">
        <f>COUNTIFS('00 Encuesta'!$B$2:$B$511,"*e)*",'00 Encuesta'!$C$2:$C$511,"*b)*",'00 Encuesta'!$E$2:$E$511,"*b)*",'00 Encuesta'!$AS$2:$AS$511,"*e)*")</f>
        <v>0</v>
      </c>
      <c r="S357" s="52" t="e">
        <f t="shared" si="549"/>
        <v>#DIV/0!</v>
      </c>
      <c r="T357" s="3"/>
      <c r="U357" s="51">
        <f t="shared" si="550"/>
        <v>0</v>
      </c>
      <c r="V357" s="52" t="e">
        <f t="shared" si="551"/>
        <v>#DIV/0!</v>
      </c>
      <c r="W357" s="53">
        <f>COUNTIFS('00 Encuesta'!$B$2:$B$511,"*e)*",'00 Encuesta'!$C$2:$C$511,"*c)*",'00 Encuesta'!$E$2:$E$511,"*a)*",'00 Encuesta'!$AS$2:$AS$511,"*e)*")</f>
        <v>0</v>
      </c>
      <c r="X357" s="52" t="e">
        <f t="shared" si="552"/>
        <v>#DIV/0!</v>
      </c>
      <c r="Y357" s="53">
        <f>COUNTIFS('00 Encuesta'!$B$2:$B$511,"*e)*",'00 Encuesta'!$C$2:$C$511,"*c)*",'00 Encuesta'!$E$2:$E$511,"*b)*",'00 Encuesta'!$AS$2:$AS$511,"*e)*")</f>
        <v>0</v>
      </c>
      <c r="Z357" s="52" t="e">
        <f t="shared" si="553"/>
        <v>#DIV/0!</v>
      </c>
      <c r="AA357" s="3"/>
      <c r="AB357" s="62">
        <f t="shared" si="554"/>
        <v>0</v>
      </c>
      <c r="AC357" s="52" t="e">
        <f t="shared" si="555"/>
        <v>#DIV/0!</v>
      </c>
      <c r="AD357" s="3"/>
      <c r="AE357" s="3"/>
      <c r="AF357" s="9" t="str">
        <f t="shared" si="556"/>
        <v>e) Muy mala</v>
      </c>
      <c r="AG357" s="72" t="e">
        <f t="shared" si="557"/>
        <v>#DIV/0!</v>
      </c>
      <c r="AH357" s="72" t="e">
        <f t="shared" si="558"/>
        <v>#DIV/0!</v>
      </c>
      <c r="AI357" s="73" t="e">
        <f t="shared" si="559"/>
        <v>#DIV/0!</v>
      </c>
      <c r="AJ357" s="73"/>
      <c r="AK357" s="76" t="e">
        <f t="shared" si="566"/>
        <v>#DIV/0!</v>
      </c>
      <c r="AL357" s="76" t="e">
        <f t="shared" si="560"/>
        <v>#DIV/0!</v>
      </c>
      <c r="AM357" s="76" t="e">
        <f t="shared" si="561"/>
        <v>#DIV/0!</v>
      </c>
      <c r="AN357" s="76"/>
      <c r="AO357" s="81" t="e">
        <f t="shared" si="562"/>
        <v>#DIV/0!</v>
      </c>
      <c r="AP357" s="81" t="e">
        <f t="shared" si="563"/>
        <v>#DIV/0!</v>
      </c>
      <c r="AQ357" s="81" t="e">
        <f t="shared" si="564"/>
        <v>#DIV/0!</v>
      </c>
      <c r="AR357" s="3"/>
      <c r="AS357" s="76" t="e">
        <f t="shared" si="542"/>
        <v>#DIV/0!</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x14ac:dyDescent="0.3">
      <c r="A358" s="8" t="s">
        <v>45</v>
      </c>
      <c r="B358" s="9" t="s">
        <v>233</v>
      </c>
      <c r="C358" s="7"/>
      <c r="D358" s="7"/>
      <c r="E358" s="7"/>
      <c r="F358" s="71"/>
      <c r="G358" s="51">
        <f t="shared" si="543"/>
        <v>0</v>
      </c>
      <c r="H358" s="52" t="e">
        <f t="shared" si="544"/>
        <v>#DIV/0!</v>
      </c>
      <c r="I358" s="53">
        <f>COUNTIFS('00 Encuesta'!$B$2:$B$511,"*e)*",'00 Encuesta'!$C$2:$C$511,"*a)*",'00 Encuesta'!$E$2:$E$511,"*a)*",'00 Encuesta'!$AS$2:$AS$511,"*f)*")</f>
        <v>0</v>
      </c>
      <c r="J358" s="52" t="e">
        <f t="shared" si="545"/>
        <v>#DIV/0!</v>
      </c>
      <c r="K358" s="53">
        <f>COUNTIFS('00 Encuesta'!$B$2:$B$511,"*e)*",'00 Encuesta'!$C$2:$C$511,"*a)*",'00 Encuesta'!$E$2:$E$511,"*b)*",'00 Encuesta'!$AS$2:$AS$511,"*f)*")</f>
        <v>0</v>
      </c>
      <c r="L358" s="52" t="e">
        <f t="shared" si="546"/>
        <v>#DIV/0!</v>
      </c>
      <c r="M358" s="23"/>
      <c r="N358" s="51">
        <f t="shared" si="547"/>
        <v>0</v>
      </c>
      <c r="O358" s="52" t="e">
        <f t="shared" si="548"/>
        <v>#DIV/0!</v>
      </c>
      <c r="P358" s="53">
        <f>COUNTIFS('00 Encuesta'!$B$2:$B$511,"*e)*",'00 Encuesta'!$C$2:$C$511,"*b)*",'00 Encuesta'!$E$2:$E$511,"*a)*",'00 Encuesta'!$AS$2:$AS$511,"*f)*")</f>
        <v>0</v>
      </c>
      <c r="Q358" s="52" t="e">
        <f t="shared" si="565"/>
        <v>#DIV/0!</v>
      </c>
      <c r="R358" s="53">
        <f>COUNTIFS('00 Encuesta'!$B$2:$B$511,"*e)*",'00 Encuesta'!$C$2:$C$511,"*b)*",'00 Encuesta'!$E$2:$E$511,"*b)*",'00 Encuesta'!$AS$2:$AS$511,"*f)*")</f>
        <v>0</v>
      </c>
      <c r="S358" s="52" t="e">
        <f t="shared" si="549"/>
        <v>#DIV/0!</v>
      </c>
      <c r="T358" s="3"/>
      <c r="U358" s="51">
        <f t="shared" si="550"/>
        <v>0</v>
      </c>
      <c r="V358" s="52" t="e">
        <f t="shared" si="551"/>
        <v>#DIV/0!</v>
      </c>
      <c r="W358" s="53">
        <f>COUNTIFS('00 Encuesta'!$B$2:$B$511,"*e)*",'00 Encuesta'!$C$2:$C$511,"*c)*",'00 Encuesta'!$E$2:$E$511,"*a)*",'00 Encuesta'!$AS$2:$AS$511,"*f)*")</f>
        <v>0</v>
      </c>
      <c r="X358" s="52" t="e">
        <f t="shared" si="552"/>
        <v>#DIV/0!</v>
      </c>
      <c r="Y358" s="53">
        <f>COUNTIFS('00 Encuesta'!$B$2:$B$511,"*e)*",'00 Encuesta'!$C$2:$C$511,"*c)*",'00 Encuesta'!$E$2:$E$511,"*b)*",'00 Encuesta'!$AS$2:$AS$511,"*f)*")</f>
        <v>0</v>
      </c>
      <c r="Z358" s="52" t="e">
        <f t="shared" si="553"/>
        <v>#DIV/0!</v>
      </c>
      <c r="AA358" s="3"/>
      <c r="AB358" s="62">
        <f t="shared" si="554"/>
        <v>0</v>
      </c>
      <c r="AC358" s="52" t="e">
        <f t="shared" si="555"/>
        <v>#DIV/0!</v>
      </c>
      <c r="AD358" s="3"/>
      <c r="AE358" s="3"/>
      <c r="AF358" s="9" t="str">
        <f t="shared" si="556"/>
        <v>f) No aplica</v>
      </c>
      <c r="AG358" s="72" t="e">
        <f t="shared" si="557"/>
        <v>#DIV/0!</v>
      </c>
      <c r="AH358" s="72" t="e">
        <f t="shared" si="558"/>
        <v>#DIV/0!</v>
      </c>
      <c r="AI358" s="73" t="e">
        <f t="shared" si="559"/>
        <v>#DIV/0!</v>
      </c>
      <c r="AJ358" s="73"/>
      <c r="AK358" s="76" t="e">
        <f t="shared" si="566"/>
        <v>#DIV/0!</v>
      </c>
      <c r="AL358" s="76" t="e">
        <f t="shared" si="560"/>
        <v>#DIV/0!</v>
      </c>
      <c r="AM358" s="76" t="e">
        <f t="shared" si="561"/>
        <v>#DIV/0!</v>
      </c>
      <c r="AN358" s="76"/>
      <c r="AO358" s="81" t="e">
        <f t="shared" si="562"/>
        <v>#DIV/0!</v>
      </c>
      <c r="AP358" s="81" t="e">
        <f t="shared" si="563"/>
        <v>#DIV/0!</v>
      </c>
      <c r="AQ358" s="81" t="e">
        <f t="shared" si="564"/>
        <v>#DIV/0!</v>
      </c>
      <c r="AR358" s="3"/>
      <c r="AS358" s="76" t="e">
        <f t="shared" si="542"/>
        <v>#DIV/0!</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x14ac:dyDescent="0.3">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t="e">
        <f>($F353*I353+$F354*I354+$F355*I355+$F356*I356+$F357*I357)/(I353+I354+I355+I356+I357)</f>
        <v>#DIV/0!</v>
      </c>
      <c r="AH359" s="82" t="e">
        <f>($F353*K353+$F354*K354+$F355*K355+$F356*K356+$F357*K357)/(K353+K354+K355+K356+K357)</f>
        <v>#DIV/0!</v>
      </c>
      <c r="AI359" s="82" t="e">
        <f>($F353*G353+$F354*G354+$F355*G355+$F356*G356+$F357*G357)/(G353+G354+G355+G356+G357)</f>
        <v>#DIV/0!</v>
      </c>
      <c r="AJ359" s="82"/>
      <c r="AK359" s="82" t="e">
        <f>($F353*Q353+$F354*Q354+$F355*Q355+$F356*Q356+$F357*Q357)/(Q353+Q354+Q355+Q356+Q357)</f>
        <v>#DIV/0!</v>
      </c>
      <c r="AL359" s="82" t="e">
        <f>($F353*S353+$F354*S354+$F355*S355+$F356*S356+$F357*S357)/(S353+S354+S355+S356+S357)</f>
        <v>#DIV/0!</v>
      </c>
      <c r="AM359" s="82" t="e">
        <f>($F353*O353+$F354*O354+$F355*O355+$F356*O356+$F357*O357)/(O353+O354+O355+O356+O357)</f>
        <v>#DIV/0!</v>
      </c>
      <c r="AN359" s="82"/>
      <c r="AO359" s="82" t="e">
        <f>($F353*W353+$F354*W354+$F355*W355+$F356*W356+$F357*W357)/(W353+W354+W355+W356+W357)</f>
        <v>#DIV/0!</v>
      </c>
      <c r="AP359" s="82" t="e">
        <f>($F353*Y353+$F354*Y354+$F355*Y355+$F356*Y356+$F357*Y357)/(Y353+Y354+Y355+Y356+Y357)</f>
        <v>#DIV/0!</v>
      </c>
      <c r="AQ359" s="82" t="e">
        <f>($F353*U353+$F354*U354+$F355*U355+$F356*U356+$F357*U357)/(U353+U354+U355+U356+U357)</f>
        <v>#DIV/0!</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 x14ac:dyDescent="0.35">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x14ac:dyDescent="0.3">
      <c r="A361" s="8" t="s">
        <v>17</v>
      </c>
      <c r="B361" s="9" t="s">
        <v>229</v>
      </c>
      <c r="C361" s="3"/>
      <c r="D361" s="3"/>
      <c r="E361" s="3"/>
      <c r="F361" s="71">
        <v>100</v>
      </c>
      <c r="G361" s="51">
        <f t="shared" ref="G361:G366" si="567">I361+K361</f>
        <v>0</v>
      </c>
      <c r="H361" s="52" t="e">
        <f t="shared" ref="H361:H366" si="568">G361/$J$5*100</f>
        <v>#DIV/0!</v>
      </c>
      <c r="I361" s="53">
        <f>COUNTIFS('00 Encuesta'!$B$2:$B$511,"*e)*",'00 Encuesta'!$C$2:$C$511,"*a)*",'00 Encuesta'!$E$2:$E$511,"*a)*",'00 Encuesta'!$AT$2:$AT$511,"*a)*")</f>
        <v>0</v>
      </c>
      <c r="J361" s="52" t="e">
        <f t="shared" ref="J361:J366" si="569">I361/$J$6*100</f>
        <v>#DIV/0!</v>
      </c>
      <c r="K361" s="53">
        <f>COUNTIFS('00 Encuesta'!$B$2:$B$511,"*e)*",'00 Encuesta'!$C$2:$C$511,"*a)*",'00 Encuesta'!$E$2:$E$511,"*b)*",'00 Encuesta'!$AT$2:$AT$511,"*a)*")</f>
        <v>0</v>
      </c>
      <c r="L361" s="52" t="e">
        <f t="shared" ref="L361:L366" si="570">K361/$J$7*100</f>
        <v>#DIV/0!</v>
      </c>
      <c r="M361" s="23"/>
      <c r="N361" s="51">
        <f t="shared" ref="N361:N366" si="571">P361+R361</f>
        <v>0</v>
      </c>
      <c r="O361" s="52" t="e">
        <f t="shared" ref="O361:O366" si="572">N361/$Q$5*100</f>
        <v>#DIV/0!</v>
      </c>
      <c r="P361" s="53">
        <f>COUNTIFS('00 Encuesta'!$B$2:$B$511,"*e)*",'00 Encuesta'!$C$2:$C$511,"*b)*",'00 Encuesta'!$E$2:$E$511,"*a)*",'00 Encuesta'!$AT$2:$AT$511,"*a)*")</f>
        <v>0</v>
      </c>
      <c r="Q361" s="52" t="e">
        <f t="shared" ref="Q361:Q366" si="573">P361/$Q$6*100</f>
        <v>#DIV/0!</v>
      </c>
      <c r="R361" s="53">
        <f>COUNTIFS('00 Encuesta'!$B$2:$B$511,"*e)*",'00 Encuesta'!$C$2:$C$511,"*b)*",'00 Encuesta'!$E$2:$E$511,"*b)*",'00 Encuesta'!$AT$2:$AT$511,"*a)*")</f>
        <v>0</v>
      </c>
      <c r="S361" s="52" t="e">
        <f t="shared" ref="S361:S366" si="574">R361/$Q$7*100</f>
        <v>#DIV/0!</v>
      </c>
      <c r="T361" s="3"/>
      <c r="U361" s="51">
        <f t="shared" ref="U361:U366" si="575">W361+Y361</f>
        <v>0</v>
      </c>
      <c r="V361" s="52" t="e">
        <f t="shared" ref="V361:V366" si="576">U361/$X$5*100</f>
        <v>#DIV/0!</v>
      </c>
      <c r="W361" s="53">
        <f>COUNTIFS('00 Encuesta'!$B$2:$B$511,"*e)*",'00 Encuesta'!$C$2:$C$511,"*c)*",'00 Encuesta'!$E$2:$E$511,"*a)*",'00 Encuesta'!$AT$2:$AT$511,"*a)*")</f>
        <v>0</v>
      </c>
      <c r="X361" s="52" t="e">
        <f t="shared" ref="X361:X366" si="577">W361/$X$6*100</f>
        <v>#DIV/0!</v>
      </c>
      <c r="Y361" s="53">
        <f>COUNTIFS('00 Encuesta'!$B$2:$B$511,"*e)*",'00 Encuesta'!$C$2:$C$511,"*c)*",'00 Encuesta'!$E$2:$E$511,"*b)*",'00 Encuesta'!$AT$2:$AT$511,"*a)*")</f>
        <v>0</v>
      </c>
      <c r="Z361" s="52" t="e">
        <f t="shared" ref="Z361:Z366" si="578">Y361/$X$7*100</f>
        <v>#DIV/0!</v>
      </c>
      <c r="AA361" s="3"/>
      <c r="AB361" s="62">
        <f t="shared" ref="AB361:AB366" si="579">G361+N361+U361</f>
        <v>0</v>
      </c>
      <c r="AC361" s="52" t="e">
        <f t="shared" ref="AC361:AC366" si="580">AB361*100/$AC$5</f>
        <v>#DIV/0!</v>
      </c>
      <c r="AD361" s="3"/>
      <c r="AE361" s="3"/>
      <c r="AF361" s="9" t="str">
        <f t="shared" ref="AF361:AF366" si="581">A361&amp;" "&amp;B361</f>
        <v>a) Muy buena</v>
      </c>
      <c r="AG361" s="72" t="e">
        <f t="shared" ref="AG361:AG366" si="582">J361</f>
        <v>#DIV/0!</v>
      </c>
      <c r="AH361" s="72" t="e">
        <f t="shared" ref="AH361:AH366" si="583">L361</f>
        <v>#DIV/0!</v>
      </c>
      <c r="AI361" s="73" t="e">
        <f t="shared" ref="AI361:AI366" si="584">H361</f>
        <v>#DIV/0!</v>
      </c>
      <c r="AJ361" s="73"/>
      <c r="AK361" s="76" t="e">
        <f t="shared" ref="AK361:AK366" si="585">Q361</f>
        <v>#DIV/0!</v>
      </c>
      <c r="AL361" s="76" t="e">
        <f t="shared" ref="AL361:AL366" si="586">S361</f>
        <v>#DIV/0!</v>
      </c>
      <c r="AM361" s="76" t="e">
        <f t="shared" ref="AM361:AM366" si="587">O361</f>
        <v>#DIV/0!</v>
      </c>
      <c r="AN361" s="76"/>
      <c r="AO361" s="81" t="e">
        <f t="shared" ref="AO361:AO366" si="588">X361</f>
        <v>#DIV/0!</v>
      </c>
      <c r="AP361" s="81" t="e">
        <f t="shared" ref="AP361:AP366" si="589">Z361</f>
        <v>#DIV/0!</v>
      </c>
      <c r="AQ361" s="81" t="e">
        <f t="shared" ref="AQ361:AQ366" si="590">V361</f>
        <v>#DIV/0!</v>
      </c>
      <c r="AR361" s="3"/>
      <c r="AS361" s="76" t="e">
        <f t="shared" si="542"/>
        <v>#DIV/0!</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x14ac:dyDescent="0.3">
      <c r="A362" s="8" t="s">
        <v>18</v>
      </c>
      <c r="B362" s="9" t="s">
        <v>230</v>
      </c>
      <c r="C362" s="3"/>
      <c r="D362" s="3"/>
      <c r="E362" s="3"/>
      <c r="F362" s="71">
        <v>75</v>
      </c>
      <c r="G362" s="51">
        <f t="shared" si="567"/>
        <v>0</v>
      </c>
      <c r="H362" s="52" t="e">
        <f t="shared" si="568"/>
        <v>#DIV/0!</v>
      </c>
      <c r="I362" s="53">
        <f>COUNTIFS('00 Encuesta'!$B$2:$B$511,"*e)*",'00 Encuesta'!$C$2:$C$511,"*a)*",'00 Encuesta'!$E$2:$E$511,"*a)*",'00 Encuesta'!$AT$2:$AT$511,"*b)*")</f>
        <v>0</v>
      </c>
      <c r="J362" s="52" t="e">
        <f t="shared" si="569"/>
        <v>#DIV/0!</v>
      </c>
      <c r="K362" s="53">
        <f>COUNTIFS('00 Encuesta'!$B$2:$B$511,"*e)*",'00 Encuesta'!$C$2:$C$511,"*a)*",'00 Encuesta'!$E$2:$E$511,"*b)*",'00 Encuesta'!$AT$2:$AT$511,"*b)*")</f>
        <v>0</v>
      </c>
      <c r="L362" s="52" t="e">
        <f t="shared" si="570"/>
        <v>#DIV/0!</v>
      </c>
      <c r="M362" s="23"/>
      <c r="N362" s="51">
        <f t="shared" si="571"/>
        <v>0</v>
      </c>
      <c r="O362" s="52" t="e">
        <f t="shared" si="572"/>
        <v>#DIV/0!</v>
      </c>
      <c r="P362" s="53">
        <f>COUNTIFS('00 Encuesta'!$B$2:$B$511,"*e)*",'00 Encuesta'!$C$2:$C$511,"*b)*",'00 Encuesta'!$E$2:$E$511,"*a)*",'00 Encuesta'!$AT$2:$AT$511,"*b)*")</f>
        <v>0</v>
      </c>
      <c r="Q362" s="52" t="e">
        <f t="shared" si="573"/>
        <v>#DIV/0!</v>
      </c>
      <c r="R362" s="53">
        <f>COUNTIFS('00 Encuesta'!$B$2:$B$511,"*e)*",'00 Encuesta'!$C$2:$C$511,"*b)*",'00 Encuesta'!$E$2:$E$511,"*b)*",'00 Encuesta'!$AT$2:$AT$511,"*b)*")</f>
        <v>0</v>
      </c>
      <c r="S362" s="52" t="e">
        <f t="shared" si="574"/>
        <v>#DIV/0!</v>
      </c>
      <c r="T362" s="3"/>
      <c r="U362" s="51">
        <f t="shared" si="575"/>
        <v>0</v>
      </c>
      <c r="V362" s="52" t="e">
        <f t="shared" si="576"/>
        <v>#DIV/0!</v>
      </c>
      <c r="W362" s="53">
        <f>COUNTIFS('00 Encuesta'!$B$2:$B$511,"*e)*",'00 Encuesta'!$C$2:$C$511,"*c)*",'00 Encuesta'!$E$2:$E$511,"*a)*",'00 Encuesta'!$AT$2:$AT$511,"*b)*")</f>
        <v>0</v>
      </c>
      <c r="X362" s="52" t="e">
        <f t="shared" si="577"/>
        <v>#DIV/0!</v>
      </c>
      <c r="Y362" s="53">
        <f>COUNTIFS('00 Encuesta'!$B$2:$B$511,"*e)*",'00 Encuesta'!$C$2:$C$511,"*c)*",'00 Encuesta'!$E$2:$E$511,"*b)*",'00 Encuesta'!$AT$2:$AT$511,"*b)*")</f>
        <v>0</v>
      </c>
      <c r="Z362" s="52" t="e">
        <f t="shared" si="578"/>
        <v>#DIV/0!</v>
      </c>
      <c r="AA362" s="3"/>
      <c r="AB362" s="62">
        <f t="shared" si="579"/>
        <v>0</v>
      </c>
      <c r="AC362" s="52" t="e">
        <f t="shared" si="580"/>
        <v>#DIV/0!</v>
      </c>
      <c r="AD362" s="3"/>
      <c r="AE362" s="3"/>
      <c r="AF362" s="9" t="str">
        <f t="shared" si="581"/>
        <v>b) Buena</v>
      </c>
      <c r="AG362" s="72" t="e">
        <f t="shared" si="582"/>
        <v>#DIV/0!</v>
      </c>
      <c r="AH362" s="72" t="e">
        <f t="shared" si="583"/>
        <v>#DIV/0!</v>
      </c>
      <c r="AI362" s="73" t="e">
        <f t="shared" si="584"/>
        <v>#DIV/0!</v>
      </c>
      <c r="AJ362" s="73"/>
      <c r="AK362" s="76" t="e">
        <f t="shared" si="585"/>
        <v>#DIV/0!</v>
      </c>
      <c r="AL362" s="76" t="e">
        <f t="shared" si="586"/>
        <v>#DIV/0!</v>
      </c>
      <c r="AM362" s="76" t="e">
        <f t="shared" si="587"/>
        <v>#DIV/0!</v>
      </c>
      <c r="AN362" s="76"/>
      <c r="AO362" s="81" t="e">
        <f t="shared" si="588"/>
        <v>#DIV/0!</v>
      </c>
      <c r="AP362" s="81" t="e">
        <f t="shared" si="589"/>
        <v>#DIV/0!</v>
      </c>
      <c r="AQ362" s="81" t="e">
        <f t="shared" si="590"/>
        <v>#DIV/0!</v>
      </c>
      <c r="AR362" s="3"/>
      <c r="AS362" s="76" t="e">
        <f t="shared" si="542"/>
        <v>#DIV/0!</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x14ac:dyDescent="0.3">
      <c r="A363" s="8" t="s">
        <v>20</v>
      </c>
      <c r="B363" s="9" t="s">
        <v>218</v>
      </c>
      <c r="C363" s="3"/>
      <c r="D363" s="3"/>
      <c r="E363" s="3"/>
      <c r="F363" s="71">
        <v>50</v>
      </c>
      <c r="G363" s="51">
        <f t="shared" si="567"/>
        <v>0</v>
      </c>
      <c r="H363" s="52" t="e">
        <f t="shared" si="568"/>
        <v>#DIV/0!</v>
      </c>
      <c r="I363" s="53">
        <f>COUNTIFS('00 Encuesta'!$B$2:$B$511,"*e)*",'00 Encuesta'!$C$2:$C$511,"*a)*",'00 Encuesta'!$E$2:$E$511,"*a)*",'00 Encuesta'!$AT$2:$AT$511,"*c)*")</f>
        <v>0</v>
      </c>
      <c r="J363" s="52" t="e">
        <f t="shared" si="569"/>
        <v>#DIV/0!</v>
      </c>
      <c r="K363" s="53">
        <f>COUNTIFS('00 Encuesta'!$B$2:$B$511,"*e)*",'00 Encuesta'!$C$2:$C$511,"*a)*",'00 Encuesta'!$E$2:$E$511,"*b)*",'00 Encuesta'!$AT$2:$AT$511,"*c)*")</f>
        <v>0</v>
      </c>
      <c r="L363" s="52" t="e">
        <f t="shared" si="570"/>
        <v>#DIV/0!</v>
      </c>
      <c r="M363" s="23"/>
      <c r="N363" s="51">
        <f t="shared" si="571"/>
        <v>0</v>
      </c>
      <c r="O363" s="52" t="e">
        <f t="shared" si="572"/>
        <v>#DIV/0!</v>
      </c>
      <c r="P363" s="53">
        <f>COUNTIFS('00 Encuesta'!$B$2:$B$511,"*e)*",'00 Encuesta'!$C$2:$C$511,"*b)*",'00 Encuesta'!$E$2:$E$511,"*a)*",'00 Encuesta'!$AT$2:$AT$511,"*c)*")</f>
        <v>0</v>
      </c>
      <c r="Q363" s="52" t="e">
        <f t="shared" si="573"/>
        <v>#DIV/0!</v>
      </c>
      <c r="R363" s="53">
        <f>COUNTIFS('00 Encuesta'!$B$2:$B$511,"*e)*",'00 Encuesta'!$C$2:$C$511,"*b)*",'00 Encuesta'!$E$2:$E$511,"*b)*",'00 Encuesta'!$AT$2:$AT$511,"*c)*")</f>
        <v>0</v>
      </c>
      <c r="S363" s="52" t="e">
        <f t="shared" si="574"/>
        <v>#DIV/0!</v>
      </c>
      <c r="T363" s="3"/>
      <c r="U363" s="51">
        <f t="shared" si="575"/>
        <v>0</v>
      </c>
      <c r="V363" s="52" t="e">
        <f t="shared" si="576"/>
        <v>#DIV/0!</v>
      </c>
      <c r="W363" s="53">
        <f>COUNTIFS('00 Encuesta'!$B$2:$B$511,"*e)*",'00 Encuesta'!$C$2:$C$511,"*c)*",'00 Encuesta'!$E$2:$E$511,"*a)*",'00 Encuesta'!$AT$2:$AT$511,"*c)*")</f>
        <v>0</v>
      </c>
      <c r="X363" s="52" t="e">
        <f t="shared" si="577"/>
        <v>#DIV/0!</v>
      </c>
      <c r="Y363" s="53">
        <f>COUNTIFS('00 Encuesta'!$B$2:$B$511,"*e)*",'00 Encuesta'!$C$2:$C$511,"*c)*",'00 Encuesta'!$E$2:$E$511,"*b)*",'00 Encuesta'!$AT$2:$AT$511,"*c)*")</f>
        <v>0</v>
      </c>
      <c r="Z363" s="52" t="e">
        <f t="shared" si="578"/>
        <v>#DIV/0!</v>
      </c>
      <c r="AA363" s="3"/>
      <c r="AB363" s="62">
        <f t="shared" si="579"/>
        <v>0</v>
      </c>
      <c r="AC363" s="52" t="e">
        <f t="shared" si="580"/>
        <v>#DIV/0!</v>
      </c>
      <c r="AD363" s="3"/>
      <c r="AE363" s="3"/>
      <c r="AF363" s="9" t="str">
        <f t="shared" si="581"/>
        <v>c) Regular</v>
      </c>
      <c r="AG363" s="72" t="e">
        <f t="shared" si="582"/>
        <v>#DIV/0!</v>
      </c>
      <c r="AH363" s="72" t="e">
        <f t="shared" si="583"/>
        <v>#DIV/0!</v>
      </c>
      <c r="AI363" s="73" t="e">
        <f t="shared" si="584"/>
        <v>#DIV/0!</v>
      </c>
      <c r="AJ363" s="73"/>
      <c r="AK363" s="76" t="e">
        <f t="shared" si="585"/>
        <v>#DIV/0!</v>
      </c>
      <c r="AL363" s="76" t="e">
        <f t="shared" si="586"/>
        <v>#DIV/0!</v>
      </c>
      <c r="AM363" s="76" t="e">
        <f t="shared" si="587"/>
        <v>#DIV/0!</v>
      </c>
      <c r="AN363" s="76"/>
      <c r="AO363" s="81" t="e">
        <f t="shared" si="588"/>
        <v>#DIV/0!</v>
      </c>
      <c r="AP363" s="81" t="e">
        <f t="shared" si="589"/>
        <v>#DIV/0!</v>
      </c>
      <c r="AQ363" s="81" t="e">
        <f t="shared" si="590"/>
        <v>#DIV/0!</v>
      </c>
      <c r="AR363" s="3"/>
      <c r="AS363" s="76" t="e">
        <f t="shared" si="542"/>
        <v>#DIV/0!</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x14ac:dyDescent="0.3">
      <c r="A364" s="8" t="s">
        <v>21</v>
      </c>
      <c r="B364" s="9" t="s">
        <v>231</v>
      </c>
      <c r="C364" s="3"/>
      <c r="D364" s="3"/>
      <c r="E364" s="3"/>
      <c r="F364" s="71">
        <v>25</v>
      </c>
      <c r="G364" s="51">
        <f t="shared" si="567"/>
        <v>0</v>
      </c>
      <c r="H364" s="52" t="e">
        <f t="shared" si="568"/>
        <v>#DIV/0!</v>
      </c>
      <c r="I364" s="53">
        <f>COUNTIFS('00 Encuesta'!$B$2:$B$511,"*e)*",'00 Encuesta'!$C$2:$C$511,"*a)*",'00 Encuesta'!$E$2:$E$511,"*a)*",'00 Encuesta'!$AT$2:$AT$511,"*d)*")</f>
        <v>0</v>
      </c>
      <c r="J364" s="52" t="e">
        <f t="shared" si="569"/>
        <v>#DIV/0!</v>
      </c>
      <c r="K364" s="53">
        <f>COUNTIFS('00 Encuesta'!$B$2:$B$511,"*e)*",'00 Encuesta'!$C$2:$C$511,"*a)*",'00 Encuesta'!$E$2:$E$511,"*b)*",'00 Encuesta'!$AT$2:$AT$511,"*d)*")</f>
        <v>0</v>
      </c>
      <c r="L364" s="52" t="e">
        <f t="shared" si="570"/>
        <v>#DIV/0!</v>
      </c>
      <c r="M364" s="23"/>
      <c r="N364" s="51">
        <f t="shared" si="571"/>
        <v>0</v>
      </c>
      <c r="O364" s="52" t="e">
        <f t="shared" si="572"/>
        <v>#DIV/0!</v>
      </c>
      <c r="P364" s="53">
        <f>COUNTIFS('00 Encuesta'!$B$2:$B$511,"*e)*",'00 Encuesta'!$C$2:$C$511,"*b)*",'00 Encuesta'!$E$2:$E$511,"*a)*",'00 Encuesta'!$AT$2:$AT$511,"*d)*")</f>
        <v>0</v>
      </c>
      <c r="Q364" s="52" t="e">
        <f t="shared" si="573"/>
        <v>#DIV/0!</v>
      </c>
      <c r="R364" s="53">
        <f>COUNTIFS('00 Encuesta'!$B$2:$B$511,"*e)*",'00 Encuesta'!$C$2:$C$511,"*b)*",'00 Encuesta'!$E$2:$E$511,"*b)*",'00 Encuesta'!$AT$2:$AT$511,"*d)*")</f>
        <v>0</v>
      </c>
      <c r="S364" s="52" t="e">
        <f t="shared" si="574"/>
        <v>#DIV/0!</v>
      </c>
      <c r="T364" s="3"/>
      <c r="U364" s="51">
        <f t="shared" si="575"/>
        <v>0</v>
      </c>
      <c r="V364" s="52" t="e">
        <f t="shared" si="576"/>
        <v>#DIV/0!</v>
      </c>
      <c r="W364" s="53">
        <f>COUNTIFS('00 Encuesta'!$B$2:$B$511,"*e)*",'00 Encuesta'!$C$2:$C$511,"*c)*",'00 Encuesta'!$E$2:$E$511,"*a)*",'00 Encuesta'!$AT$2:$AT$511,"*d)*")</f>
        <v>0</v>
      </c>
      <c r="X364" s="52" t="e">
        <f t="shared" si="577"/>
        <v>#DIV/0!</v>
      </c>
      <c r="Y364" s="53">
        <f>COUNTIFS('00 Encuesta'!$B$2:$B$511,"*e)*",'00 Encuesta'!$C$2:$C$511,"*c)*",'00 Encuesta'!$E$2:$E$511,"*b)*",'00 Encuesta'!$AT$2:$AT$511,"*d)*")</f>
        <v>0</v>
      </c>
      <c r="Z364" s="52" t="e">
        <f t="shared" si="578"/>
        <v>#DIV/0!</v>
      </c>
      <c r="AA364" s="3"/>
      <c r="AB364" s="62">
        <f t="shared" si="579"/>
        <v>0</v>
      </c>
      <c r="AC364" s="52" t="e">
        <f t="shared" si="580"/>
        <v>#DIV/0!</v>
      </c>
      <c r="AD364" s="3"/>
      <c r="AE364" s="3"/>
      <c r="AF364" s="9" t="str">
        <f t="shared" si="581"/>
        <v>d) Mala</v>
      </c>
      <c r="AG364" s="72" t="e">
        <f t="shared" si="582"/>
        <v>#DIV/0!</v>
      </c>
      <c r="AH364" s="72" t="e">
        <f t="shared" si="583"/>
        <v>#DIV/0!</v>
      </c>
      <c r="AI364" s="73" t="e">
        <f t="shared" si="584"/>
        <v>#DIV/0!</v>
      </c>
      <c r="AJ364" s="73"/>
      <c r="AK364" s="76" t="e">
        <f t="shared" si="585"/>
        <v>#DIV/0!</v>
      </c>
      <c r="AL364" s="76" t="e">
        <f t="shared" si="586"/>
        <v>#DIV/0!</v>
      </c>
      <c r="AM364" s="76" t="e">
        <f t="shared" si="587"/>
        <v>#DIV/0!</v>
      </c>
      <c r="AN364" s="76"/>
      <c r="AO364" s="81" t="e">
        <f t="shared" si="588"/>
        <v>#DIV/0!</v>
      </c>
      <c r="AP364" s="81" t="e">
        <f t="shared" si="589"/>
        <v>#DIV/0!</v>
      </c>
      <c r="AQ364" s="81" t="e">
        <f t="shared" si="590"/>
        <v>#DIV/0!</v>
      </c>
      <c r="AR364" s="3"/>
      <c r="AS364" s="76" t="e">
        <f t="shared" si="542"/>
        <v>#DIV/0!</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x14ac:dyDescent="0.3">
      <c r="A365" s="8" t="s">
        <v>22</v>
      </c>
      <c r="B365" s="9" t="s">
        <v>232</v>
      </c>
      <c r="C365" s="3"/>
      <c r="D365" s="3"/>
      <c r="E365" s="3"/>
      <c r="F365" s="71">
        <v>0</v>
      </c>
      <c r="G365" s="51">
        <f t="shared" si="567"/>
        <v>0</v>
      </c>
      <c r="H365" s="52" t="e">
        <f t="shared" si="568"/>
        <v>#DIV/0!</v>
      </c>
      <c r="I365" s="53">
        <f>COUNTIFS('00 Encuesta'!$B$2:$B$511,"*e)*",'00 Encuesta'!$C$2:$C$511,"*a)*",'00 Encuesta'!$E$2:$E$511,"*a)*",'00 Encuesta'!$AT$2:$AT$511,"*e)*")</f>
        <v>0</v>
      </c>
      <c r="J365" s="52" t="e">
        <f t="shared" si="569"/>
        <v>#DIV/0!</v>
      </c>
      <c r="K365" s="53">
        <f>COUNTIFS('00 Encuesta'!$B$2:$B$511,"*e)*",'00 Encuesta'!$C$2:$C$511,"*a)*",'00 Encuesta'!$E$2:$E$511,"*b)*",'00 Encuesta'!$AT$2:$AT$511,"*e)*")</f>
        <v>0</v>
      </c>
      <c r="L365" s="52" t="e">
        <f t="shared" si="570"/>
        <v>#DIV/0!</v>
      </c>
      <c r="M365" s="23"/>
      <c r="N365" s="51">
        <f t="shared" si="571"/>
        <v>0</v>
      </c>
      <c r="O365" s="52" t="e">
        <f t="shared" si="572"/>
        <v>#DIV/0!</v>
      </c>
      <c r="P365" s="53">
        <f>COUNTIFS('00 Encuesta'!$B$2:$B$511,"*e)*",'00 Encuesta'!$C$2:$C$511,"*b)*",'00 Encuesta'!$E$2:$E$511,"*a)*",'00 Encuesta'!$AT$2:$AT$511,"*e)*")</f>
        <v>0</v>
      </c>
      <c r="Q365" s="52" t="e">
        <f t="shared" si="573"/>
        <v>#DIV/0!</v>
      </c>
      <c r="R365" s="53">
        <f>COUNTIFS('00 Encuesta'!$B$2:$B$511,"*e)*",'00 Encuesta'!$C$2:$C$511,"*b)*",'00 Encuesta'!$E$2:$E$511,"*b)*",'00 Encuesta'!$AT$2:$AT$511,"*e)*")</f>
        <v>0</v>
      </c>
      <c r="S365" s="52" t="e">
        <f t="shared" si="574"/>
        <v>#DIV/0!</v>
      </c>
      <c r="T365" s="3"/>
      <c r="U365" s="51">
        <f t="shared" si="575"/>
        <v>0</v>
      </c>
      <c r="V365" s="52" t="e">
        <f t="shared" si="576"/>
        <v>#DIV/0!</v>
      </c>
      <c r="W365" s="53">
        <f>COUNTIFS('00 Encuesta'!$B$2:$B$511,"*e)*",'00 Encuesta'!$C$2:$C$511,"*c)*",'00 Encuesta'!$E$2:$E$511,"*a)*",'00 Encuesta'!$AT$2:$AT$511,"*e)*")</f>
        <v>0</v>
      </c>
      <c r="X365" s="52" t="e">
        <f t="shared" si="577"/>
        <v>#DIV/0!</v>
      </c>
      <c r="Y365" s="53">
        <f>COUNTIFS('00 Encuesta'!$B$2:$B$511,"*e)*",'00 Encuesta'!$C$2:$C$511,"*c)*",'00 Encuesta'!$E$2:$E$511,"*b)*",'00 Encuesta'!$AT$2:$AT$511,"*e)*")</f>
        <v>0</v>
      </c>
      <c r="Z365" s="52" t="e">
        <f t="shared" si="578"/>
        <v>#DIV/0!</v>
      </c>
      <c r="AA365" s="3"/>
      <c r="AB365" s="62">
        <f t="shared" si="579"/>
        <v>0</v>
      </c>
      <c r="AC365" s="52" t="e">
        <f t="shared" si="580"/>
        <v>#DIV/0!</v>
      </c>
      <c r="AD365" s="3"/>
      <c r="AE365" s="3"/>
      <c r="AF365" s="9" t="str">
        <f t="shared" si="581"/>
        <v>e) Muy mala</v>
      </c>
      <c r="AG365" s="72" t="e">
        <f t="shared" si="582"/>
        <v>#DIV/0!</v>
      </c>
      <c r="AH365" s="72" t="e">
        <f t="shared" si="583"/>
        <v>#DIV/0!</v>
      </c>
      <c r="AI365" s="73" t="e">
        <f t="shared" si="584"/>
        <v>#DIV/0!</v>
      </c>
      <c r="AJ365" s="73"/>
      <c r="AK365" s="76" t="e">
        <f t="shared" si="585"/>
        <v>#DIV/0!</v>
      </c>
      <c r="AL365" s="76" t="e">
        <f t="shared" si="586"/>
        <v>#DIV/0!</v>
      </c>
      <c r="AM365" s="76" t="e">
        <f t="shared" si="587"/>
        <v>#DIV/0!</v>
      </c>
      <c r="AN365" s="76"/>
      <c r="AO365" s="81" t="e">
        <f t="shared" si="588"/>
        <v>#DIV/0!</v>
      </c>
      <c r="AP365" s="81" t="e">
        <f t="shared" si="589"/>
        <v>#DIV/0!</v>
      </c>
      <c r="AQ365" s="81" t="e">
        <f t="shared" si="590"/>
        <v>#DIV/0!</v>
      </c>
      <c r="AR365" s="3"/>
      <c r="AS365" s="76" t="e">
        <f t="shared" si="542"/>
        <v>#DIV/0!</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x14ac:dyDescent="0.3">
      <c r="A366" s="8" t="s">
        <v>45</v>
      </c>
      <c r="B366" s="9" t="s">
        <v>233</v>
      </c>
      <c r="C366" s="7"/>
      <c r="D366" s="7"/>
      <c r="E366" s="7"/>
      <c r="F366" s="71"/>
      <c r="G366" s="51">
        <f t="shared" si="567"/>
        <v>0</v>
      </c>
      <c r="H366" s="52" t="e">
        <f t="shared" si="568"/>
        <v>#DIV/0!</v>
      </c>
      <c r="I366" s="53">
        <f>COUNTIFS('00 Encuesta'!$B$2:$B$511,"*e)*",'00 Encuesta'!$C$2:$C$511,"*a)*",'00 Encuesta'!$E$2:$E$511,"*a)*",'00 Encuesta'!$AT$2:$AT$511,"*f)*")</f>
        <v>0</v>
      </c>
      <c r="J366" s="52" t="e">
        <f t="shared" si="569"/>
        <v>#DIV/0!</v>
      </c>
      <c r="K366" s="53">
        <f>COUNTIFS('00 Encuesta'!$B$2:$B$511,"*e)*",'00 Encuesta'!$C$2:$C$511,"*a)*",'00 Encuesta'!$E$2:$E$511,"*b)*",'00 Encuesta'!$AT$2:$AT$511,"*f)*")</f>
        <v>0</v>
      </c>
      <c r="L366" s="52" t="e">
        <f t="shared" si="570"/>
        <v>#DIV/0!</v>
      </c>
      <c r="M366" s="23"/>
      <c r="N366" s="51">
        <f t="shared" si="571"/>
        <v>0</v>
      </c>
      <c r="O366" s="52" t="e">
        <f t="shared" si="572"/>
        <v>#DIV/0!</v>
      </c>
      <c r="P366" s="53">
        <f>COUNTIFS('00 Encuesta'!$B$2:$B$511,"*e)*",'00 Encuesta'!$C$2:$C$511,"*b)*",'00 Encuesta'!$E$2:$E$511,"*a)*",'00 Encuesta'!$AT$2:$AT$511,"*f)*")</f>
        <v>0</v>
      </c>
      <c r="Q366" s="52" t="e">
        <f t="shared" si="573"/>
        <v>#DIV/0!</v>
      </c>
      <c r="R366" s="53">
        <f>COUNTIFS('00 Encuesta'!$B$2:$B$511,"*e)*",'00 Encuesta'!$C$2:$C$511,"*b)*",'00 Encuesta'!$E$2:$E$511,"*b)*",'00 Encuesta'!$AT$2:$AT$511,"*f)*")</f>
        <v>0</v>
      </c>
      <c r="S366" s="52" t="e">
        <f t="shared" si="574"/>
        <v>#DIV/0!</v>
      </c>
      <c r="T366" s="3"/>
      <c r="U366" s="51">
        <f t="shared" si="575"/>
        <v>0</v>
      </c>
      <c r="V366" s="52" t="e">
        <f t="shared" si="576"/>
        <v>#DIV/0!</v>
      </c>
      <c r="W366" s="53">
        <f>COUNTIFS('00 Encuesta'!$B$2:$B$511,"*e)*",'00 Encuesta'!$C$2:$C$511,"*c)*",'00 Encuesta'!$E$2:$E$511,"*a)*",'00 Encuesta'!$AT$2:$AT$511,"*f)*")</f>
        <v>0</v>
      </c>
      <c r="X366" s="52" t="e">
        <f t="shared" si="577"/>
        <v>#DIV/0!</v>
      </c>
      <c r="Y366" s="53">
        <f>COUNTIFS('00 Encuesta'!$B$2:$B$511,"*e)*",'00 Encuesta'!$C$2:$C$511,"*c)*",'00 Encuesta'!$E$2:$E$511,"*b)*",'00 Encuesta'!$AT$2:$AT$511,"*f)*")</f>
        <v>0</v>
      </c>
      <c r="Z366" s="52" t="e">
        <f t="shared" si="578"/>
        <v>#DIV/0!</v>
      </c>
      <c r="AA366" s="3"/>
      <c r="AB366" s="62">
        <f t="shared" si="579"/>
        <v>0</v>
      </c>
      <c r="AC366" s="52" t="e">
        <f t="shared" si="580"/>
        <v>#DIV/0!</v>
      </c>
      <c r="AD366" s="3"/>
      <c r="AE366" s="3"/>
      <c r="AF366" s="9" t="str">
        <f t="shared" si="581"/>
        <v>f) No aplica</v>
      </c>
      <c r="AG366" s="72" t="e">
        <f t="shared" si="582"/>
        <v>#DIV/0!</v>
      </c>
      <c r="AH366" s="72" t="e">
        <f t="shared" si="583"/>
        <v>#DIV/0!</v>
      </c>
      <c r="AI366" s="73" t="e">
        <f t="shared" si="584"/>
        <v>#DIV/0!</v>
      </c>
      <c r="AJ366" s="73"/>
      <c r="AK366" s="76" t="e">
        <f t="shared" si="585"/>
        <v>#DIV/0!</v>
      </c>
      <c r="AL366" s="76" t="e">
        <f t="shared" si="586"/>
        <v>#DIV/0!</v>
      </c>
      <c r="AM366" s="76" t="e">
        <f t="shared" si="587"/>
        <v>#DIV/0!</v>
      </c>
      <c r="AN366" s="76"/>
      <c r="AO366" s="81" t="e">
        <f t="shared" si="588"/>
        <v>#DIV/0!</v>
      </c>
      <c r="AP366" s="81" t="e">
        <f t="shared" si="589"/>
        <v>#DIV/0!</v>
      </c>
      <c r="AQ366" s="81" t="e">
        <f t="shared" si="590"/>
        <v>#DIV/0!</v>
      </c>
      <c r="AR366" s="3"/>
      <c r="AS366" s="76" t="e">
        <f t="shared" si="542"/>
        <v>#DIV/0!</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t="e">
        <f>($F361*I361+$F362*I362+$F363*I363+$F364*I364+$F365*I365)/(I361+I362+I363+I364+I365)</f>
        <v>#DIV/0!</v>
      </c>
      <c r="AH367" s="82" t="e">
        <f>($F361*K361+$F362*K362+$F363*K363+$F364*K364+$F365*K365)/(K361+K362+K363+K364+K365)</f>
        <v>#DIV/0!</v>
      </c>
      <c r="AI367" s="82" t="e">
        <f>($F361*G361+$F362*G362+$F363*G363+$F364*G364+$F365*G365)/(G361+G362+G363+G364+G365)</f>
        <v>#DIV/0!</v>
      </c>
      <c r="AJ367" s="82"/>
      <c r="AK367" s="82" t="e">
        <f>($F361*Q361+$F362*Q362+$F363*Q363+$F364*Q364+$F365*Q365)/(Q361+Q362+Q363+Q364+Q365)</f>
        <v>#DIV/0!</v>
      </c>
      <c r="AL367" s="82" t="e">
        <f>($F361*S361+$F362*S362+$F363*S363+$F364*S364+$F365*S365)/(S361+S362+S363+S364+S365)</f>
        <v>#DIV/0!</v>
      </c>
      <c r="AM367" s="82" t="e">
        <f>($F361*O361+$F362*O362+$F363*O363+$F364*O364+$F365*O365)/(O361+O362+O363+O364+O365)</f>
        <v>#DIV/0!</v>
      </c>
      <c r="AN367" s="82"/>
      <c r="AO367" s="82" t="e">
        <f>($F361*W361+$F362*W362+$F363*W363+$F364*W364+$F365*W365)/(W361+W362+W363+W364+W365)</f>
        <v>#DIV/0!</v>
      </c>
      <c r="AP367" s="82" t="e">
        <f>($F361*Y361+$F362*Y362+$F363*Y363+$F364*Y364+$F365*Y365)/(Y361+Y362+Y363+Y364+Y365)</f>
        <v>#DIV/0!</v>
      </c>
      <c r="AQ367" s="82" t="e">
        <f>($F361*U361+$F362*U362+$F363*U363+$F364*U364+$F365*U365)/(U361+U362+U363+U364+U365)</f>
        <v>#DIV/0!</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 x14ac:dyDescent="0.35">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x14ac:dyDescent="0.3">
      <c r="A369" s="8" t="s">
        <v>17</v>
      </c>
      <c r="B369" s="9" t="s">
        <v>229</v>
      </c>
      <c r="C369" s="3"/>
      <c r="D369" s="3"/>
      <c r="E369" s="3"/>
      <c r="F369" s="71">
        <v>100</v>
      </c>
      <c r="G369" s="51">
        <f t="shared" ref="G369:G374" si="591">I369+K369</f>
        <v>0</v>
      </c>
      <c r="H369" s="52" t="e">
        <f t="shared" ref="H369:H374" si="592">G369/$J$5*100</f>
        <v>#DIV/0!</v>
      </c>
      <c r="I369" s="53">
        <f>COUNTIFS('00 Encuesta'!$B$2:$B$511,"*e)*",'00 Encuesta'!$C$2:$C$511,"*a)*",'00 Encuesta'!$E$2:$E$511,"*a)*",'00 Encuesta'!$AU$2:$AU$511,"*a)*")</f>
        <v>0</v>
      </c>
      <c r="J369" s="52" t="e">
        <f t="shared" ref="J369:J374" si="593">I369/$J$6*100</f>
        <v>#DIV/0!</v>
      </c>
      <c r="K369" s="53">
        <f>COUNTIFS('00 Encuesta'!$B$2:$B$511,"*e)*",'00 Encuesta'!$C$2:$C$511,"*a)*",'00 Encuesta'!$E$2:$E$511,"*b)*",'00 Encuesta'!$AU$2:$AU$511,"*a)*")</f>
        <v>0</v>
      </c>
      <c r="L369" s="52" t="e">
        <f t="shared" ref="L369:L374" si="594">K369/$J$7*100</f>
        <v>#DIV/0!</v>
      </c>
      <c r="M369" s="23"/>
      <c r="N369" s="51">
        <f t="shared" ref="N369:N374" si="595">P369+R369</f>
        <v>0</v>
      </c>
      <c r="O369" s="52" t="e">
        <f t="shared" ref="O369:O374" si="596">N369/$Q$5*100</f>
        <v>#DIV/0!</v>
      </c>
      <c r="P369" s="53">
        <f>COUNTIFS('00 Encuesta'!$B$2:$B$511,"*e)*",'00 Encuesta'!$C$2:$C$511,"*b)*",'00 Encuesta'!$E$2:$E$511,"*a)*",'00 Encuesta'!$AU$2:$AU$511,"*a)*")</f>
        <v>0</v>
      </c>
      <c r="Q369" s="52" t="e">
        <f t="shared" ref="Q369:Q374" si="597">P369/$Q$6*100</f>
        <v>#DIV/0!</v>
      </c>
      <c r="R369" s="53">
        <f>COUNTIFS('00 Encuesta'!$B$2:$B$511,"*e)*",'00 Encuesta'!$C$2:$C$511,"*b)*",'00 Encuesta'!$E$2:$E$511,"*b)*",'00 Encuesta'!$AU$2:$AU$511,"*a)*")</f>
        <v>0</v>
      </c>
      <c r="S369" s="52" t="e">
        <f t="shared" ref="S369:S374" si="598">R369/$Q$7*100</f>
        <v>#DIV/0!</v>
      </c>
      <c r="T369" s="3"/>
      <c r="U369" s="51">
        <f t="shared" ref="U369:U374" si="599">W369+Y369</f>
        <v>0</v>
      </c>
      <c r="V369" s="52" t="e">
        <f t="shared" ref="V369:V374" si="600">U369/$X$5*100</f>
        <v>#DIV/0!</v>
      </c>
      <c r="W369" s="53">
        <f>COUNTIFS('00 Encuesta'!$B$2:$B$511,"*e)*",'00 Encuesta'!$C$2:$C$511,"*c)*",'00 Encuesta'!$E$2:$E$511,"*a)*",'00 Encuesta'!$AU$2:$AU$511,"*a)*")</f>
        <v>0</v>
      </c>
      <c r="X369" s="52" t="e">
        <f t="shared" ref="X369:X374" si="601">W369/$X$6*100</f>
        <v>#DIV/0!</v>
      </c>
      <c r="Y369" s="53">
        <f>COUNTIFS('00 Encuesta'!$B$2:$B$511,"*e)*",'00 Encuesta'!$C$2:$C$511,"*c)*",'00 Encuesta'!$E$2:$E$511,"*b)*",'00 Encuesta'!$AU$2:$AU$511,"*a)*")</f>
        <v>0</v>
      </c>
      <c r="Z369" s="52" t="e">
        <f t="shared" ref="Z369:Z374" si="602">Y369/$X$7*100</f>
        <v>#DIV/0!</v>
      </c>
      <c r="AA369" s="3"/>
      <c r="AB369" s="62">
        <f t="shared" ref="AB369:AB374" si="603">G369+N369+U369</f>
        <v>0</v>
      </c>
      <c r="AC369" s="52" t="e">
        <f t="shared" ref="AC369:AC374" si="604">AB369*100/$AC$5</f>
        <v>#DIV/0!</v>
      </c>
      <c r="AD369" s="3"/>
      <c r="AE369" s="3"/>
      <c r="AF369" s="9" t="str">
        <f t="shared" ref="AF369:AF374" si="605">A369&amp;" "&amp;B369</f>
        <v>a) Muy buena</v>
      </c>
      <c r="AG369" s="72" t="e">
        <f t="shared" ref="AG369:AG374" si="606">J369</f>
        <v>#DIV/0!</v>
      </c>
      <c r="AH369" s="72" t="e">
        <f t="shared" ref="AH369:AH374" si="607">L369</f>
        <v>#DIV/0!</v>
      </c>
      <c r="AI369" s="73" t="e">
        <f t="shared" ref="AI369:AI374" si="608">H369</f>
        <v>#DIV/0!</v>
      </c>
      <c r="AJ369" s="73"/>
      <c r="AK369" s="76" t="e">
        <f t="shared" ref="AK369:AK374" si="609">Q369</f>
        <v>#DIV/0!</v>
      </c>
      <c r="AL369" s="76" t="e">
        <f t="shared" ref="AL369:AL374" si="610">S369</f>
        <v>#DIV/0!</v>
      </c>
      <c r="AM369" s="76" t="e">
        <f t="shared" ref="AM369:AM374" si="611">O369</f>
        <v>#DIV/0!</v>
      </c>
      <c r="AN369" s="76"/>
      <c r="AO369" s="81" t="e">
        <f t="shared" ref="AO369:AO374" si="612">X369</f>
        <v>#DIV/0!</v>
      </c>
      <c r="AP369" s="81" t="e">
        <f t="shared" ref="AP369:AP374" si="613">Z369</f>
        <v>#DIV/0!</v>
      </c>
      <c r="AQ369" s="81" t="e">
        <f t="shared" ref="AQ369:AQ374" si="614">V369</f>
        <v>#DIV/0!</v>
      </c>
      <c r="AR369" s="3"/>
      <c r="AS369" s="76" t="e">
        <f t="shared" si="542"/>
        <v>#DIV/0!</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x14ac:dyDescent="0.3">
      <c r="A370" s="8" t="s">
        <v>18</v>
      </c>
      <c r="B370" s="9" t="s">
        <v>230</v>
      </c>
      <c r="C370" s="3"/>
      <c r="D370" s="3"/>
      <c r="E370" s="3"/>
      <c r="F370" s="71">
        <v>75</v>
      </c>
      <c r="G370" s="51">
        <f t="shared" si="591"/>
        <v>0</v>
      </c>
      <c r="H370" s="52" t="e">
        <f t="shared" si="592"/>
        <v>#DIV/0!</v>
      </c>
      <c r="I370" s="53">
        <f>COUNTIFS('00 Encuesta'!$B$2:$B$511,"*e)*",'00 Encuesta'!$C$2:$C$511,"*a)*",'00 Encuesta'!$E$2:$E$511,"*a)*",'00 Encuesta'!$AU$2:$AU$511,"*b)*")</f>
        <v>0</v>
      </c>
      <c r="J370" s="52" t="e">
        <f t="shared" si="593"/>
        <v>#DIV/0!</v>
      </c>
      <c r="K370" s="53">
        <f>COUNTIFS('00 Encuesta'!$B$2:$B$511,"*e)*",'00 Encuesta'!$C$2:$C$511,"*a)*",'00 Encuesta'!$E$2:$E$511,"*b)*",'00 Encuesta'!$AU$2:$AU$511,"*b)*")</f>
        <v>0</v>
      </c>
      <c r="L370" s="52" t="e">
        <f t="shared" si="594"/>
        <v>#DIV/0!</v>
      </c>
      <c r="M370" s="23"/>
      <c r="N370" s="51">
        <f t="shared" si="595"/>
        <v>0</v>
      </c>
      <c r="O370" s="52" t="e">
        <f t="shared" si="596"/>
        <v>#DIV/0!</v>
      </c>
      <c r="P370" s="53">
        <f>COUNTIFS('00 Encuesta'!$B$2:$B$511,"*e)*",'00 Encuesta'!$C$2:$C$511,"*b)*",'00 Encuesta'!$E$2:$E$511,"*a)*",'00 Encuesta'!$AU$2:$AU$511,"*b)*")</f>
        <v>0</v>
      </c>
      <c r="Q370" s="52" t="e">
        <f t="shared" si="597"/>
        <v>#DIV/0!</v>
      </c>
      <c r="R370" s="53">
        <f>COUNTIFS('00 Encuesta'!$B$2:$B$511,"*e)*",'00 Encuesta'!$C$2:$C$511,"*b)*",'00 Encuesta'!$E$2:$E$511,"*b)*",'00 Encuesta'!$AU$2:$AU$511,"*b)*")</f>
        <v>0</v>
      </c>
      <c r="S370" s="52" t="e">
        <f t="shared" si="598"/>
        <v>#DIV/0!</v>
      </c>
      <c r="T370" s="3"/>
      <c r="U370" s="51">
        <f t="shared" si="599"/>
        <v>0</v>
      </c>
      <c r="V370" s="52" t="e">
        <f t="shared" si="600"/>
        <v>#DIV/0!</v>
      </c>
      <c r="W370" s="53">
        <f>COUNTIFS('00 Encuesta'!$B$2:$B$511,"*e)*",'00 Encuesta'!$C$2:$C$511,"*c)*",'00 Encuesta'!$E$2:$E$511,"*a)*",'00 Encuesta'!$AU$2:$AU$511,"*b)*")</f>
        <v>0</v>
      </c>
      <c r="X370" s="52" t="e">
        <f t="shared" si="601"/>
        <v>#DIV/0!</v>
      </c>
      <c r="Y370" s="53">
        <f>COUNTIFS('00 Encuesta'!$B$2:$B$511,"*e)*",'00 Encuesta'!$C$2:$C$511,"*c)*",'00 Encuesta'!$E$2:$E$511,"*b)*",'00 Encuesta'!$AU$2:$AU$511,"*b)*")</f>
        <v>0</v>
      </c>
      <c r="Z370" s="52" t="e">
        <f t="shared" si="602"/>
        <v>#DIV/0!</v>
      </c>
      <c r="AA370" s="3"/>
      <c r="AB370" s="62">
        <f t="shared" si="603"/>
        <v>0</v>
      </c>
      <c r="AC370" s="52" t="e">
        <f t="shared" si="604"/>
        <v>#DIV/0!</v>
      </c>
      <c r="AD370" s="3"/>
      <c r="AE370" s="3"/>
      <c r="AF370" s="9" t="str">
        <f t="shared" si="605"/>
        <v>b) Buena</v>
      </c>
      <c r="AG370" s="72" t="e">
        <f t="shared" si="606"/>
        <v>#DIV/0!</v>
      </c>
      <c r="AH370" s="72" t="e">
        <f t="shared" si="607"/>
        <v>#DIV/0!</v>
      </c>
      <c r="AI370" s="73" t="e">
        <f t="shared" si="608"/>
        <v>#DIV/0!</v>
      </c>
      <c r="AJ370" s="73"/>
      <c r="AK370" s="76" t="e">
        <f t="shared" si="609"/>
        <v>#DIV/0!</v>
      </c>
      <c r="AL370" s="76" t="e">
        <f t="shared" si="610"/>
        <v>#DIV/0!</v>
      </c>
      <c r="AM370" s="76" t="e">
        <f t="shared" si="611"/>
        <v>#DIV/0!</v>
      </c>
      <c r="AN370" s="76"/>
      <c r="AO370" s="81" t="e">
        <f t="shared" si="612"/>
        <v>#DIV/0!</v>
      </c>
      <c r="AP370" s="81" t="e">
        <f t="shared" si="613"/>
        <v>#DIV/0!</v>
      </c>
      <c r="AQ370" s="81" t="e">
        <f t="shared" si="614"/>
        <v>#DIV/0!</v>
      </c>
      <c r="AR370" s="3"/>
      <c r="AS370" s="76" t="e">
        <f t="shared" si="542"/>
        <v>#DIV/0!</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x14ac:dyDescent="0.3">
      <c r="A371" s="8" t="s">
        <v>20</v>
      </c>
      <c r="B371" s="9" t="s">
        <v>218</v>
      </c>
      <c r="C371" s="3"/>
      <c r="D371" s="3"/>
      <c r="E371" s="3"/>
      <c r="F371" s="71">
        <v>50</v>
      </c>
      <c r="G371" s="51">
        <f t="shared" si="591"/>
        <v>0</v>
      </c>
      <c r="H371" s="52" t="e">
        <f t="shared" si="592"/>
        <v>#DIV/0!</v>
      </c>
      <c r="I371" s="53">
        <f>COUNTIFS('00 Encuesta'!$B$2:$B$511,"*e)*",'00 Encuesta'!$C$2:$C$511,"*a)*",'00 Encuesta'!$E$2:$E$511,"*a)*",'00 Encuesta'!$AU$2:$AU$511,"*c)*")</f>
        <v>0</v>
      </c>
      <c r="J371" s="52" t="e">
        <f t="shared" si="593"/>
        <v>#DIV/0!</v>
      </c>
      <c r="K371" s="53">
        <f>COUNTIFS('00 Encuesta'!$B$2:$B$511,"*e)*",'00 Encuesta'!$C$2:$C$511,"*a)*",'00 Encuesta'!$E$2:$E$511,"*b)*",'00 Encuesta'!$AU$2:$AU$511,"*c)*")</f>
        <v>0</v>
      </c>
      <c r="L371" s="52" t="e">
        <f t="shared" si="594"/>
        <v>#DIV/0!</v>
      </c>
      <c r="M371" s="23"/>
      <c r="N371" s="51">
        <f t="shared" si="595"/>
        <v>0</v>
      </c>
      <c r="O371" s="52" t="e">
        <f t="shared" si="596"/>
        <v>#DIV/0!</v>
      </c>
      <c r="P371" s="53">
        <f>COUNTIFS('00 Encuesta'!$B$2:$B$511,"*e)*",'00 Encuesta'!$C$2:$C$511,"*b)*",'00 Encuesta'!$E$2:$E$511,"*a)*",'00 Encuesta'!$AU$2:$AU$511,"*c)*")</f>
        <v>0</v>
      </c>
      <c r="Q371" s="52" t="e">
        <f t="shared" si="597"/>
        <v>#DIV/0!</v>
      </c>
      <c r="R371" s="53">
        <f>COUNTIFS('00 Encuesta'!$B$2:$B$511,"*e)*",'00 Encuesta'!$C$2:$C$511,"*b)*",'00 Encuesta'!$E$2:$E$511,"*b)*",'00 Encuesta'!$AU$2:$AU$511,"*c)*")</f>
        <v>0</v>
      </c>
      <c r="S371" s="52" t="e">
        <f t="shared" si="598"/>
        <v>#DIV/0!</v>
      </c>
      <c r="T371" s="3"/>
      <c r="U371" s="51">
        <f t="shared" si="599"/>
        <v>0</v>
      </c>
      <c r="V371" s="52" t="e">
        <f t="shared" si="600"/>
        <v>#DIV/0!</v>
      </c>
      <c r="W371" s="53">
        <f>COUNTIFS('00 Encuesta'!$B$2:$B$511,"*e)*",'00 Encuesta'!$C$2:$C$511,"*c)*",'00 Encuesta'!$E$2:$E$511,"*a)*",'00 Encuesta'!$AU$2:$AU$511,"*c)*")</f>
        <v>0</v>
      </c>
      <c r="X371" s="52" t="e">
        <f t="shared" si="601"/>
        <v>#DIV/0!</v>
      </c>
      <c r="Y371" s="53">
        <f>COUNTIFS('00 Encuesta'!$B$2:$B$511,"*e)*",'00 Encuesta'!$C$2:$C$511,"*c)*",'00 Encuesta'!$E$2:$E$511,"*b)*",'00 Encuesta'!$AU$2:$AU$511,"*c)*")</f>
        <v>0</v>
      </c>
      <c r="Z371" s="52" t="e">
        <f t="shared" si="602"/>
        <v>#DIV/0!</v>
      </c>
      <c r="AA371" s="3"/>
      <c r="AB371" s="62">
        <f t="shared" si="603"/>
        <v>0</v>
      </c>
      <c r="AC371" s="52" t="e">
        <f t="shared" si="604"/>
        <v>#DIV/0!</v>
      </c>
      <c r="AD371" s="3"/>
      <c r="AE371" s="3"/>
      <c r="AF371" s="9" t="str">
        <f t="shared" si="605"/>
        <v>c) Regular</v>
      </c>
      <c r="AG371" s="72" t="e">
        <f t="shared" si="606"/>
        <v>#DIV/0!</v>
      </c>
      <c r="AH371" s="72" t="e">
        <f t="shared" si="607"/>
        <v>#DIV/0!</v>
      </c>
      <c r="AI371" s="73" t="e">
        <f t="shared" si="608"/>
        <v>#DIV/0!</v>
      </c>
      <c r="AJ371" s="73"/>
      <c r="AK371" s="76" t="e">
        <f t="shared" si="609"/>
        <v>#DIV/0!</v>
      </c>
      <c r="AL371" s="76" t="e">
        <f t="shared" si="610"/>
        <v>#DIV/0!</v>
      </c>
      <c r="AM371" s="76" t="e">
        <f t="shared" si="611"/>
        <v>#DIV/0!</v>
      </c>
      <c r="AN371" s="76"/>
      <c r="AO371" s="81" t="e">
        <f t="shared" si="612"/>
        <v>#DIV/0!</v>
      </c>
      <c r="AP371" s="81" t="e">
        <f t="shared" si="613"/>
        <v>#DIV/0!</v>
      </c>
      <c r="AQ371" s="81" t="e">
        <f t="shared" si="614"/>
        <v>#DIV/0!</v>
      </c>
      <c r="AR371" s="3"/>
      <c r="AS371" s="76" t="e">
        <f t="shared" si="542"/>
        <v>#DIV/0!</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x14ac:dyDescent="0.3">
      <c r="A372" s="8" t="s">
        <v>21</v>
      </c>
      <c r="B372" s="9" t="s">
        <v>231</v>
      </c>
      <c r="C372" s="3"/>
      <c r="D372" s="3"/>
      <c r="E372" s="3"/>
      <c r="F372" s="71">
        <v>25</v>
      </c>
      <c r="G372" s="51">
        <f t="shared" si="591"/>
        <v>0</v>
      </c>
      <c r="H372" s="52" t="e">
        <f t="shared" si="592"/>
        <v>#DIV/0!</v>
      </c>
      <c r="I372" s="53">
        <f>COUNTIFS('00 Encuesta'!$B$2:$B$511,"*e)*",'00 Encuesta'!$C$2:$C$511,"*a)*",'00 Encuesta'!$E$2:$E$511,"*a)*",'00 Encuesta'!$AU$2:$AU$511,"*d)*")</f>
        <v>0</v>
      </c>
      <c r="J372" s="52" t="e">
        <f t="shared" si="593"/>
        <v>#DIV/0!</v>
      </c>
      <c r="K372" s="53">
        <f>COUNTIFS('00 Encuesta'!$B$2:$B$511,"*e)*",'00 Encuesta'!$C$2:$C$511,"*a)*",'00 Encuesta'!$E$2:$E$511,"*b)*",'00 Encuesta'!$AU$2:$AU$511,"*d)*")</f>
        <v>0</v>
      </c>
      <c r="L372" s="52" t="e">
        <f t="shared" si="594"/>
        <v>#DIV/0!</v>
      </c>
      <c r="M372" s="23"/>
      <c r="N372" s="51">
        <f t="shared" si="595"/>
        <v>0</v>
      </c>
      <c r="O372" s="52" t="e">
        <f t="shared" si="596"/>
        <v>#DIV/0!</v>
      </c>
      <c r="P372" s="53">
        <f>COUNTIFS('00 Encuesta'!$B$2:$B$511,"*e)*",'00 Encuesta'!$C$2:$C$511,"*b)*",'00 Encuesta'!$E$2:$E$511,"*a)*",'00 Encuesta'!$AU$2:$AU$511,"*d)*")</f>
        <v>0</v>
      </c>
      <c r="Q372" s="52" t="e">
        <f t="shared" si="597"/>
        <v>#DIV/0!</v>
      </c>
      <c r="R372" s="53">
        <f>COUNTIFS('00 Encuesta'!$B$2:$B$511,"*e)*",'00 Encuesta'!$C$2:$C$511,"*b)*",'00 Encuesta'!$E$2:$E$511,"*b)*",'00 Encuesta'!$AU$2:$AU$511,"*d)*")</f>
        <v>0</v>
      </c>
      <c r="S372" s="52" t="e">
        <f t="shared" si="598"/>
        <v>#DIV/0!</v>
      </c>
      <c r="T372" s="3"/>
      <c r="U372" s="51">
        <f t="shared" si="599"/>
        <v>0</v>
      </c>
      <c r="V372" s="52" t="e">
        <f t="shared" si="600"/>
        <v>#DIV/0!</v>
      </c>
      <c r="W372" s="53">
        <f>COUNTIFS('00 Encuesta'!$B$2:$B$511,"*e)*",'00 Encuesta'!$C$2:$C$511,"*c)*",'00 Encuesta'!$E$2:$E$511,"*a)*",'00 Encuesta'!$AU$2:$AU$511,"*d)*")</f>
        <v>0</v>
      </c>
      <c r="X372" s="52" t="e">
        <f t="shared" si="601"/>
        <v>#DIV/0!</v>
      </c>
      <c r="Y372" s="53">
        <f>COUNTIFS('00 Encuesta'!$B$2:$B$511,"*e)*",'00 Encuesta'!$C$2:$C$511,"*c)*",'00 Encuesta'!$E$2:$E$511,"*b)*",'00 Encuesta'!$AU$2:$AU$511,"*d)*")</f>
        <v>0</v>
      </c>
      <c r="Z372" s="52" t="e">
        <f t="shared" si="602"/>
        <v>#DIV/0!</v>
      </c>
      <c r="AA372" s="3"/>
      <c r="AB372" s="62">
        <f t="shared" si="603"/>
        <v>0</v>
      </c>
      <c r="AC372" s="52" t="e">
        <f t="shared" si="604"/>
        <v>#DIV/0!</v>
      </c>
      <c r="AD372" s="3"/>
      <c r="AE372" s="3"/>
      <c r="AF372" s="9" t="str">
        <f t="shared" si="605"/>
        <v>d) Mala</v>
      </c>
      <c r="AG372" s="72" t="e">
        <f t="shared" si="606"/>
        <v>#DIV/0!</v>
      </c>
      <c r="AH372" s="72" t="e">
        <f t="shared" si="607"/>
        <v>#DIV/0!</v>
      </c>
      <c r="AI372" s="73" t="e">
        <f t="shared" si="608"/>
        <v>#DIV/0!</v>
      </c>
      <c r="AJ372" s="73"/>
      <c r="AK372" s="76" t="e">
        <f t="shared" si="609"/>
        <v>#DIV/0!</v>
      </c>
      <c r="AL372" s="76" t="e">
        <f t="shared" si="610"/>
        <v>#DIV/0!</v>
      </c>
      <c r="AM372" s="76" t="e">
        <f t="shared" si="611"/>
        <v>#DIV/0!</v>
      </c>
      <c r="AN372" s="76"/>
      <c r="AO372" s="81" t="e">
        <f t="shared" si="612"/>
        <v>#DIV/0!</v>
      </c>
      <c r="AP372" s="81" t="e">
        <f t="shared" si="613"/>
        <v>#DIV/0!</v>
      </c>
      <c r="AQ372" s="81" t="e">
        <f t="shared" si="614"/>
        <v>#DIV/0!</v>
      </c>
      <c r="AR372" s="3"/>
      <c r="AS372" s="76" t="e">
        <f t="shared" si="542"/>
        <v>#DIV/0!</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x14ac:dyDescent="0.3">
      <c r="A373" s="8" t="s">
        <v>22</v>
      </c>
      <c r="B373" s="9" t="s">
        <v>232</v>
      </c>
      <c r="C373" s="3"/>
      <c r="D373" s="3"/>
      <c r="E373" s="3"/>
      <c r="F373" s="71">
        <v>0</v>
      </c>
      <c r="G373" s="51">
        <f t="shared" si="591"/>
        <v>0</v>
      </c>
      <c r="H373" s="52" t="e">
        <f t="shared" si="592"/>
        <v>#DIV/0!</v>
      </c>
      <c r="I373" s="53">
        <f>COUNTIFS('00 Encuesta'!$B$2:$B$511,"*e)*",'00 Encuesta'!$C$2:$C$511,"*a)*",'00 Encuesta'!$E$2:$E$511,"*a)*",'00 Encuesta'!$AU$2:$AU$511,"*e)*")</f>
        <v>0</v>
      </c>
      <c r="J373" s="52" t="e">
        <f t="shared" si="593"/>
        <v>#DIV/0!</v>
      </c>
      <c r="K373" s="53">
        <f>COUNTIFS('00 Encuesta'!$B$2:$B$511,"*e)*",'00 Encuesta'!$C$2:$C$511,"*a)*",'00 Encuesta'!$E$2:$E$511,"*b)*",'00 Encuesta'!$AU$2:$AU$511,"*e)*")</f>
        <v>0</v>
      </c>
      <c r="L373" s="52" t="e">
        <f t="shared" si="594"/>
        <v>#DIV/0!</v>
      </c>
      <c r="M373" s="23"/>
      <c r="N373" s="51">
        <f t="shared" si="595"/>
        <v>0</v>
      </c>
      <c r="O373" s="52" t="e">
        <f t="shared" si="596"/>
        <v>#DIV/0!</v>
      </c>
      <c r="P373" s="53">
        <f>COUNTIFS('00 Encuesta'!$B$2:$B$511,"*e)*",'00 Encuesta'!$C$2:$C$511,"*b)*",'00 Encuesta'!$E$2:$E$511,"*a)*",'00 Encuesta'!$AU$2:$AU$511,"*e)*")</f>
        <v>0</v>
      </c>
      <c r="Q373" s="52" t="e">
        <f t="shared" si="597"/>
        <v>#DIV/0!</v>
      </c>
      <c r="R373" s="53">
        <f>COUNTIFS('00 Encuesta'!$B$2:$B$511,"*e)*",'00 Encuesta'!$C$2:$C$511,"*b)*",'00 Encuesta'!$E$2:$E$511,"*b)*",'00 Encuesta'!$AU$2:$AU$511,"*e)*")</f>
        <v>0</v>
      </c>
      <c r="S373" s="52" t="e">
        <f t="shared" si="598"/>
        <v>#DIV/0!</v>
      </c>
      <c r="T373" s="3"/>
      <c r="U373" s="51">
        <f t="shared" si="599"/>
        <v>0</v>
      </c>
      <c r="V373" s="52" t="e">
        <f t="shared" si="600"/>
        <v>#DIV/0!</v>
      </c>
      <c r="W373" s="53">
        <f>COUNTIFS('00 Encuesta'!$B$2:$B$511,"*e)*",'00 Encuesta'!$C$2:$C$511,"*c)*",'00 Encuesta'!$E$2:$E$511,"*a)*",'00 Encuesta'!$AU$2:$AU$511,"*e)*")</f>
        <v>0</v>
      </c>
      <c r="X373" s="52" t="e">
        <f t="shared" si="601"/>
        <v>#DIV/0!</v>
      </c>
      <c r="Y373" s="53">
        <f>COUNTIFS('00 Encuesta'!$B$2:$B$511,"*e)*",'00 Encuesta'!$C$2:$C$511,"*c)*",'00 Encuesta'!$E$2:$E$511,"*b)*",'00 Encuesta'!$AU$2:$AU$511,"*e)*")</f>
        <v>0</v>
      </c>
      <c r="Z373" s="52" t="e">
        <f t="shared" si="602"/>
        <v>#DIV/0!</v>
      </c>
      <c r="AA373" s="3"/>
      <c r="AB373" s="62">
        <f t="shared" si="603"/>
        <v>0</v>
      </c>
      <c r="AC373" s="52" t="e">
        <f t="shared" si="604"/>
        <v>#DIV/0!</v>
      </c>
      <c r="AD373" s="3"/>
      <c r="AE373" s="3"/>
      <c r="AF373" s="9" t="str">
        <f t="shared" si="605"/>
        <v>e) Muy mala</v>
      </c>
      <c r="AG373" s="72" t="e">
        <f t="shared" si="606"/>
        <v>#DIV/0!</v>
      </c>
      <c r="AH373" s="72" t="e">
        <f t="shared" si="607"/>
        <v>#DIV/0!</v>
      </c>
      <c r="AI373" s="73" t="e">
        <f t="shared" si="608"/>
        <v>#DIV/0!</v>
      </c>
      <c r="AJ373" s="73"/>
      <c r="AK373" s="76" t="e">
        <f t="shared" si="609"/>
        <v>#DIV/0!</v>
      </c>
      <c r="AL373" s="76" t="e">
        <f t="shared" si="610"/>
        <v>#DIV/0!</v>
      </c>
      <c r="AM373" s="76" t="e">
        <f t="shared" si="611"/>
        <v>#DIV/0!</v>
      </c>
      <c r="AN373" s="76"/>
      <c r="AO373" s="81" t="e">
        <f t="shared" si="612"/>
        <v>#DIV/0!</v>
      </c>
      <c r="AP373" s="81" t="e">
        <f t="shared" si="613"/>
        <v>#DIV/0!</v>
      </c>
      <c r="AQ373" s="81" t="e">
        <f t="shared" si="614"/>
        <v>#DIV/0!</v>
      </c>
      <c r="AR373" s="3"/>
      <c r="AS373" s="76" t="e">
        <f t="shared" si="542"/>
        <v>#DIV/0!</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x14ac:dyDescent="0.3">
      <c r="A374" s="8" t="s">
        <v>45</v>
      </c>
      <c r="B374" s="9" t="s">
        <v>233</v>
      </c>
      <c r="C374" s="7"/>
      <c r="D374" s="7"/>
      <c r="E374" s="7"/>
      <c r="F374" s="71"/>
      <c r="G374" s="51">
        <f t="shared" si="591"/>
        <v>0</v>
      </c>
      <c r="H374" s="52" t="e">
        <f t="shared" si="592"/>
        <v>#DIV/0!</v>
      </c>
      <c r="I374" s="53">
        <f>COUNTIFS('00 Encuesta'!$B$2:$B$511,"*e)*",'00 Encuesta'!$C$2:$C$511,"*a)*",'00 Encuesta'!$E$2:$E$511,"*a)*",'00 Encuesta'!$AU$2:$AU$511,"*f)*")</f>
        <v>0</v>
      </c>
      <c r="J374" s="52" t="e">
        <f t="shared" si="593"/>
        <v>#DIV/0!</v>
      </c>
      <c r="K374" s="53">
        <f>COUNTIFS('00 Encuesta'!$B$2:$B$511,"*e)*",'00 Encuesta'!$C$2:$C$511,"*a)*",'00 Encuesta'!$E$2:$E$511,"*b)*",'00 Encuesta'!$AU$2:$AU$511,"*f)*")</f>
        <v>0</v>
      </c>
      <c r="L374" s="52" t="e">
        <f t="shared" si="594"/>
        <v>#DIV/0!</v>
      </c>
      <c r="M374" s="23"/>
      <c r="N374" s="51">
        <f t="shared" si="595"/>
        <v>0</v>
      </c>
      <c r="O374" s="52" t="e">
        <f t="shared" si="596"/>
        <v>#DIV/0!</v>
      </c>
      <c r="P374" s="53">
        <f>COUNTIFS('00 Encuesta'!$B$2:$B$511,"*e)*",'00 Encuesta'!$C$2:$C$511,"*b)*",'00 Encuesta'!$E$2:$E$511,"*a)*",'00 Encuesta'!$AU$2:$AU$511,"*f)*")</f>
        <v>0</v>
      </c>
      <c r="Q374" s="52" t="e">
        <f t="shared" si="597"/>
        <v>#DIV/0!</v>
      </c>
      <c r="R374" s="53">
        <f>COUNTIFS('00 Encuesta'!$B$2:$B$511,"*e)*",'00 Encuesta'!$C$2:$C$511,"*b)*",'00 Encuesta'!$E$2:$E$511,"*b)*",'00 Encuesta'!$AU$2:$AU$511,"*f)*")</f>
        <v>0</v>
      </c>
      <c r="S374" s="52" t="e">
        <f t="shared" si="598"/>
        <v>#DIV/0!</v>
      </c>
      <c r="T374" s="3"/>
      <c r="U374" s="51">
        <f t="shared" si="599"/>
        <v>0</v>
      </c>
      <c r="V374" s="52" t="e">
        <f t="shared" si="600"/>
        <v>#DIV/0!</v>
      </c>
      <c r="W374" s="53">
        <f>COUNTIFS('00 Encuesta'!$B$2:$B$511,"*e)*",'00 Encuesta'!$C$2:$C$511,"*c)*",'00 Encuesta'!$E$2:$E$511,"*a)*",'00 Encuesta'!$AU$2:$AU$511,"*f)*")</f>
        <v>0</v>
      </c>
      <c r="X374" s="52" t="e">
        <f t="shared" si="601"/>
        <v>#DIV/0!</v>
      </c>
      <c r="Y374" s="53">
        <f>COUNTIFS('00 Encuesta'!$B$2:$B$511,"*e)*",'00 Encuesta'!$C$2:$C$511,"*c)*",'00 Encuesta'!$E$2:$E$511,"*b)*",'00 Encuesta'!$AU$2:$AU$511,"*f)*")</f>
        <v>0</v>
      </c>
      <c r="Z374" s="52" t="e">
        <f t="shared" si="602"/>
        <v>#DIV/0!</v>
      </c>
      <c r="AA374" s="3"/>
      <c r="AB374" s="62">
        <f t="shared" si="603"/>
        <v>0</v>
      </c>
      <c r="AC374" s="52" t="e">
        <f t="shared" si="604"/>
        <v>#DIV/0!</v>
      </c>
      <c r="AD374" s="3"/>
      <c r="AE374" s="3"/>
      <c r="AF374" s="9" t="str">
        <f t="shared" si="605"/>
        <v>f) No aplica</v>
      </c>
      <c r="AG374" s="72" t="e">
        <f t="shared" si="606"/>
        <v>#DIV/0!</v>
      </c>
      <c r="AH374" s="72" t="e">
        <f t="shared" si="607"/>
        <v>#DIV/0!</v>
      </c>
      <c r="AI374" s="73" t="e">
        <f t="shared" si="608"/>
        <v>#DIV/0!</v>
      </c>
      <c r="AJ374" s="73"/>
      <c r="AK374" s="76" t="e">
        <f t="shared" si="609"/>
        <v>#DIV/0!</v>
      </c>
      <c r="AL374" s="76" t="e">
        <f t="shared" si="610"/>
        <v>#DIV/0!</v>
      </c>
      <c r="AM374" s="76" t="e">
        <f t="shared" si="611"/>
        <v>#DIV/0!</v>
      </c>
      <c r="AN374" s="76"/>
      <c r="AO374" s="81" t="e">
        <f t="shared" si="612"/>
        <v>#DIV/0!</v>
      </c>
      <c r="AP374" s="81" t="e">
        <f t="shared" si="613"/>
        <v>#DIV/0!</v>
      </c>
      <c r="AQ374" s="81" t="e">
        <f t="shared" si="614"/>
        <v>#DIV/0!</v>
      </c>
      <c r="AR374" s="3"/>
      <c r="AS374" s="76" t="e">
        <f t="shared" si="542"/>
        <v>#DIV/0!</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x14ac:dyDescent="0.3">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t="e">
        <f>($F369*I369+$F370*I370+$F371*I371+$F372*I372+$F373*I373)/(I369+I370+I371+I372+I373)</f>
        <v>#DIV/0!</v>
      </c>
      <c r="AH375" s="82" t="e">
        <f>($F369*K369+$F370*K370+$F371*K371+$F372*K372+$F373*K373)/(K369+K370+K371+K372+K373)</f>
        <v>#DIV/0!</v>
      </c>
      <c r="AI375" s="82" t="e">
        <f>($F369*G369+$F370*G370+$F371*G371+$F372*G372+$F373*G373)/(G369+G370+G371+G372+G373)</f>
        <v>#DIV/0!</v>
      </c>
      <c r="AJ375" s="82"/>
      <c r="AK375" s="82" t="e">
        <f>($F369*Q369+$F370*Q370+$F371*Q371+$F372*Q372+$F373*Q373)/(Q369+Q370+Q371+Q372+Q373)</f>
        <v>#DIV/0!</v>
      </c>
      <c r="AL375" s="82" t="e">
        <f>($F369*S369+$F370*S370+$F371*S371+$F372*S372+$F373*S373)/(S369+S370+S371+S372+S373)</f>
        <v>#DIV/0!</v>
      </c>
      <c r="AM375" s="82" t="e">
        <f>($F369*O369+$F370*O370+$F371*O371+$F372*O372+$F373*O373)/(O369+O370+O371+O372+O373)</f>
        <v>#DIV/0!</v>
      </c>
      <c r="AN375" s="82"/>
      <c r="AO375" s="82" t="e">
        <f>($F369*W369+$F370*W370+$F371*W371+$F372*W372+$F373*W373)/(W369+W370+W371+W372+W373)</f>
        <v>#DIV/0!</v>
      </c>
      <c r="AP375" s="82" t="e">
        <f>($F369*Y369+$F370*Y370+$F371*Y371+$F372*Y372+$F373*Y373)/(Y369+Y370+Y371+Y372+Y373)</f>
        <v>#DIV/0!</v>
      </c>
      <c r="AQ375" s="82" t="e">
        <f>($F369*U369+$F370*U370+$F371*U371+$F372*U372+$F373*U373)/(U369+U370+U371+U372+U373)</f>
        <v>#DIV/0!</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x14ac:dyDescent="0.3">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x14ac:dyDescent="0.3">
      <c r="A377" s="8" t="s">
        <v>17</v>
      </c>
      <c r="B377" s="9" t="s">
        <v>229</v>
      </c>
      <c r="C377" s="3"/>
      <c r="D377" s="3"/>
      <c r="E377" s="3"/>
      <c r="F377" s="71">
        <v>100</v>
      </c>
      <c r="G377" s="51">
        <f t="shared" ref="G377:G382" si="615">I377+K377</f>
        <v>0</v>
      </c>
      <c r="H377" s="52" t="e">
        <f t="shared" ref="H377:H382" si="616">G377/$J$5*100</f>
        <v>#DIV/0!</v>
      </c>
      <c r="I377" s="53">
        <f>COUNTIFS('00 Encuesta'!$B$2:$B$511,"*e)*",'00 Encuesta'!$C$2:$C$511,"*a)*",'00 Encuesta'!$E$2:$E$511,"*a)*",'00 Encuesta'!$AV$2:$AV$511,"*a)*")</f>
        <v>0</v>
      </c>
      <c r="J377" s="52" t="e">
        <f t="shared" ref="J377:J382" si="617">I377/$J$6*100</f>
        <v>#DIV/0!</v>
      </c>
      <c r="K377" s="53">
        <f>COUNTIFS('00 Encuesta'!$B$2:$B$511,"*e)*",'00 Encuesta'!$C$2:$C$511,"*a)*",'00 Encuesta'!$E$2:$E$511,"*b)*",'00 Encuesta'!$AV$2:$AV$511,"*a)*")</f>
        <v>0</v>
      </c>
      <c r="L377" s="52" t="e">
        <f t="shared" ref="L377:L382" si="618">K377/$J$7*100</f>
        <v>#DIV/0!</v>
      </c>
      <c r="M377" s="23"/>
      <c r="N377" s="51">
        <f t="shared" ref="N377:N382" si="619">P377+R377</f>
        <v>0</v>
      </c>
      <c r="O377" s="52" t="e">
        <f t="shared" ref="O377:O382" si="620">N377/$Q$5*100</f>
        <v>#DIV/0!</v>
      </c>
      <c r="P377" s="53">
        <f>COUNTIFS('00 Encuesta'!$B$2:$B$511,"*e)*",'00 Encuesta'!$C$2:$C$511,"*b)*",'00 Encuesta'!$E$2:$E$511,"*a)*",'00 Encuesta'!$AV$2:$AV$511,"*a)*")</f>
        <v>0</v>
      </c>
      <c r="Q377" s="52" t="e">
        <f t="shared" ref="Q377:Q382" si="621">P377/$Q$6*100</f>
        <v>#DIV/0!</v>
      </c>
      <c r="R377" s="53">
        <f>COUNTIFS('00 Encuesta'!$B$2:$B$511,"*e)*",'00 Encuesta'!$C$2:$C$511,"*b)*",'00 Encuesta'!$E$2:$E$511,"*b)*",'00 Encuesta'!$AV$2:$AV$511,"*a)*")</f>
        <v>0</v>
      </c>
      <c r="S377" s="52" t="e">
        <f t="shared" ref="S377:S382" si="622">R377/$Q$7*100</f>
        <v>#DIV/0!</v>
      </c>
      <c r="T377" s="3"/>
      <c r="U377" s="51">
        <f t="shared" ref="U377:U382" si="623">W377+Y377</f>
        <v>0</v>
      </c>
      <c r="V377" s="52" t="e">
        <f t="shared" ref="V377:V382" si="624">U377/$X$5*100</f>
        <v>#DIV/0!</v>
      </c>
      <c r="W377" s="53">
        <f>COUNTIFS('00 Encuesta'!$B$2:$B$511,"*e)*",'00 Encuesta'!$C$2:$C$511,"*c)*",'00 Encuesta'!$E$2:$E$511,"*a)*",'00 Encuesta'!$AV$2:$AV$511,"*a)*")</f>
        <v>0</v>
      </c>
      <c r="X377" s="52" t="e">
        <f t="shared" ref="X377:X382" si="625">W377/$X$6*100</f>
        <v>#DIV/0!</v>
      </c>
      <c r="Y377" s="53">
        <f>COUNTIFS('00 Encuesta'!$B$2:$B$511,"*e)*",'00 Encuesta'!$C$2:$C$511,"*c)*",'00 Encuesta'!$E$2:$E$511,"*b)*",'00 Encuesta'!$AV$2:$AV$511,"*a)*")</f>
        <v>0</v>
      </c>
      <c r="Z377" s="52" t="e">
        <f t="shared" ref="Z377:Z382" si="626">Y377/$X$7*100</f>
        <v>#DIV/0!</v>
      </c>
      <c r="AA377" s="3"/>
      <c r="AB377" s="62">
        <f t="shared" ref="AB377:AB383" si="627">G377+N377+U377</f>
        <v>0</v>
      </c>
      <c r="AC377" s="52" t="e">
        <f t="shared" ref="AC377:AC383" si="628">AB377*100/$AC$5</f>
        <v>#DIV/0!</v>
      </c>
      <c r="AD377" s="3"/>
      <c r="AE377" s="3"/>
      <c r="AF377" s="9" t="str">
        <f t="shared" ref="AF377:AF382" si="629">A377&amp;" "&amp;B377</f>
        <v>a) Muy buena</v>
      </c>
      <c r="AG377" s="72" t="e">
        <f t="shared" ref="AG377:AG382" si="630">J377</f>
        <v>#DIV/0!</v>
      </c>
      <c r="AH377" s="72" t="e">
        <f t="shared" ref="AH377:AH382" si="631">L377</f>
        <v>#DIV/0!</v>
      </c>
      <c r="AI377" s="73" t="e">
        <f t="shared" ref="AI377:AI382" si="632">H377</f>
        <v>#DIV/0!</v>
      </c>
      <c r="AJ377" s="73"/>
      <c r="AK377" s="76" t="e">
        <f t="shared" ref="AK377:AK382" si="633">Q377</f>
        <v>#DIV/0!</v>
      </c>
      <c r="AL377" s="76" t="e">
        <f t="shared" ref="AL377:AL382" si="634">S377</f>
        <v>#DIV/0!</v>
      </c>
      <c r="AM377" s="76" t="e">
        <f t="shared" ref="AM377:AM382" si="635">O377</f>
        <v>#DIV/0!</v>
      </c>
      <c r="AN377" s="76"/>
      <c r="AO377" s="81" t="e">
        <f t="shared" ref="AO377:AO382" si="636">X377</f>
        <v>#DIV/0!</v>
      </c>
      <c r="AP377" s="81" t="e">
        <f t="shared" ref="AP377:AP382" si="637">Z377</f>
        <v>#DIV/0!</v>
      </c>
      <c r="AQ377" s="81" t="e">
        <f t="shared" ref="AQ377:AQ382" si="638">V377</f>
        <v>#DIV/0!</v>
      </c>
      <c r="AR377" s="3"/>
      <c r="AS377" s="76" t="e">
        <f t="shared" si="542"/>
        <v>#DIV/0!</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x14ac:dyDescent="0.3">
      <c r="A378" s="8" t="s">
        <v>18</v>
      </c>
      <c r="B378" s="9" t="s">
        <v>230</v>
      </c>
      <c r="C378" s="3"/>
      <c r="D378" s="3"/>
      <c r="E378" s="3"/>
      <c r="F378" s="71">
        <v>75</v>
      </c>
      <c r="G378" s="51">
        <f t="shared" si="615"/>
        <v>0</v>
      </c>
      <c r="H378" s="52" t="e">
        <f t="shared" si="616"/>
        <v>#DIV/0!</v>
      </c>
      <c r="I378" s="53">
        <f>COUNTIFS('00 Encuesta'!$B$2:$B$511,"*e)*",'00 Encuesta'!$C$2:$C$511,"*a)*",'00 Encuesta'!$E$2:$E$511,"*a)*",'00 Encuesta'!$AV$2:$AV$511,"*b)*")</f>
        <v>0</v>
      </c>
      <c r="J378" s="52" t="e">
        <f t="shared" si="617"/>
        <v>#DIV/0!</v>
      </c>
      <c r="K378" s="53">
        <f>COUNTIFS('00 Encuesta'!$B$2:$B$511,"*e)*",'00 Encuesta'!$C$2:$C$511,"*a)*",'00 Encuesta'!$E$2:$E$511,"*b)*",'00 Encuesta'!$AV$2:$AV$511,"*b)*")</f>
        <v>0</v>
      </c>
      <c r="L378" s="52" t="e">
        <f t="shared" si="618"/>
        <v>#DIV/0!</v>
      </c>
      <c r="M378" s="23"/>
      <c r="N378" s="51">
        <f t="shared" si="619"/>
        <v>0</v>
      </c>
      <c r="O378" s="52" t="e">
        <f t="shared" si="620"/>
        <v>#DIV/0!</v>
      </c>
      <c r="P378" s="53">
        <f>COUNTIFS('00 Encuesta'!$B$2:$B$511,"*e)*",'00 Encuesta'!$C$2:$C$511,"*b)*",'00 Encuesta'!$E$2:$E$511,"*a)*",'00 Encuesta'!$AV$2:$AV$511,"*b)*")</f>
        <v>0</v>
      </c>
      <c r="Q378" s="52" t="e">
        <f t="shared" si="621"/>
        <v>#DIV/0!</v>
      </c>
      <c r="R378" s="53">
        <f>COUNTIFS('00 Encuesta'!$B$2:$B$511,"*e)*",'00 Encuesta'!$C$2:$C$511,"*b)*",'00 Encuesta'!$E$2:$E$511,"*b)*",'00 Encuesta'!$AV$2:$AV$511,"*b)*")</f>
        <v>0</v>
      </c>
      <c r="S378" s="52" t="e">
        <f t="shared" si="622"/>
        <v>#DIV/0!</v>
      </c>
      <c r="T378" s="3"/>
      <c r="U378" s="51">
        <f t="shared" si="623"/>
        <v>0</v>
      </c>
      <c r="V378" s="52" t="e">
        <f t="shared" si="624"/>
        <v>#DIV/0!</v>
      </c>
      <c r="W378" s="53">
        <f>COUNTIFS('00 Encuesta'!$B$2:$B$511,"*e)*",'00 Encuesta'!$C$2:$C$511,"*c)*",'00 Encuesta'!$E$2:$E$511,"*a)*",'00 Encuesta'!$AV$2:$AV$511,"*b)*")</f>
        <v>0</v>
      </c>
      <c r="X378" s="52" t="e">
        <f t="shared" si="625"/>
        <v>#DIV/0!</v>
      </c>
      <c r="Y378" s="53">
        <f>COUNTIFS('00 Encuesta'!$B$2:$B$511,"*e)*",'00 Encuesta'!$C$2:$C$511,"*c)*",'00 Encuesta'!$E$2:$E$511,"*b)*",'00 Encuesta'!$AV$2:$AV$511,"*b)*")</f>
        <v>0</v>
      </c>
      <c r="Z378" s="52" t="e">
        <f t="shared" si="626"/>
        <v>#DIV/0!</v>
      </c>
      <c r="AA378" s="3"/>
      <c r="AB378" s="62">
        <f t="shared" si="627"/>
        <v>0</v>
      </c>
      <c r="AC378" s="52" t="e">
        <f t="shared" si="628"/>
        <v>#DIV/0!</v>
      </c>
      <c r="AD378" s="3"/>
      <c r="AE378" s="3"/>
      <c r="AF378" s="9" t="str">
        <f t="shared" si="629"/>
        <v>b) Buena</v>
      </c>
      <c r="AG378" s="72" t="e">
        <f t="shared" si="630"/>
        <v>#DIV/0!</v>
      </c>
      <c r="AH378" s="72" t="e">
        <f t="shared" si="631"/>
        <v>#DIV/0!</v>
      </c>
      <c r="AI378" s="73" t="e">
        <f t="shared" si="632"/>
        <v>#DIV/0!</v>
      </c>
      <c r="AJ378" s="73"/>
      <c r="AK378" s="76" t="e">
        <f t="shared" si="633"/>
        <v>#DIV/0!</v>
      </c>
      <c r="AL378" s="76" t="e">
        <f t="shared" si="634"/>
        <v>#DIV/0!</v>
      </c>
      <c r="AM378" s="76" t="e">
        <f t="shared" si="635"/>
        <v>#DIV/0!</v>
      </c>
      <c r="AN378" s="76"/>
      <c r="AO378" s="81" t="e">
        <f t="shared" si="636"/>
        <v>#DIV/0!</v>
      </c>
      <c r="AP378" s="81" t="e">
        <f t="shared" si="637"/>
        <v>#DIV/0!</v>
      </c>
      <c r="AQ378" s="81" t="e">
        <f t="shared" si="638"/>
        <v>#DIV/0!</v>
      </c>
      <c r="AR378" s="3"/>
      <c r="AS378" s="76" t="e">
        <f t="shared" si="542"/>
        <v>#DIV/0!</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x14ac:dyDescent="0.3">
      <c r="A379" s="8" t="s">
        <v>20</v>
      </c>
      <c r="B379" s="9" t="s">
        <v>218</v>
      </c>
      <c r="C379" s="3"/>
      <c r="D379" s="3"/>
      <c r="E379" s="3"/>
      <c r="F379" s="71">
        <v>50</v>
      </c>
      <c r="G379" s="51">
        <f t="shared" si="615"/>
        <v>0</v>
      </c>
      <c r="H379" s="52" t="e">
        <f t="shared" si="616"/>
        <v>#DIV/0!</v>
      </c>
      <c r="I379" s="53">
        <f>COUNTIFS('00 Encuesta'!$B$2:$B$511,"*e)*",'00 Encuesta'!$C$2:$C$511,"*a)*",'00 Encuesta'!$E$2:$E$511,"*a)*",'00 Encuesta'!$AV$2:$AV$511,"*c)*")</f>
        <v>0</v>
      </c>
      <c r="J379" s="52" t="e">
        <f t="shared" si="617"/>
        <v>#DIV/0!</v>
      </c>
      <c r="K379" s="53">
        <f>COUNTIFS('00 Encuesta'!$B$2:$B$511,"*e)*",'00 Encuesta'!$C$2:$C$511,"*a)*",'00 Encuesta'!$E$2:$E$511,"*b)*",'00 Encuesta'!$AV$2:$AV$511,"*c)*")</f>
        <v>0</v>
      </c>
      <c r="L379" s="52" t="e">
        <f t="shared" si="618"/>
        <v>#DIV/0!</v>
      </c>
      <c r="M379" s="23"/>
      <c r="N379" s="51">
        <f t="shared" si="619"/>
        <v>0</v>
      </c>
      <c r="O379" s="52" t="e">
        <f t="shared" si="620"/>
        <v>#DIV/0!</v>
      </c>
      <c r="P379" s="53">
        <f>COUNTIFS('00 Encuesta'!$B$2:$B$511,"*e)*",'00 Encuesta'!$C$2:$C$511,"*b)*",'00 Encuesta'!$E$2:$E$511,"*a)*",'00 Encuesta'!$AV$2:$AV$511,"*c)*")</f>
        <v>0</v>
      </c>
      <c r="Q379" s="52" t="e">
        <f t="shared" si="621"/>
        <v>#DIV/0!</v>
      </c>
      <c r="R379" s="53">
        <f>COUNTIFS('00 Encuesta'!$B$2:$B$511,"*e)*",'00 Encuesta'!$C$2:$C$511,"*b)*",'00 Encuesta'!$E$2:$E$511,"*b)*",'00 Encuesta'!$AV$2:$AV$511,"*c)*")</f>
        <v>0</v>
      </c>
      <c r="S379" s="52" t="e">
        <f t="shared" si="622"/>
        <v>#DIV/0!</v>
      </c>
      <c r="T379" s="3"/>
      <c r="U379" s="51">
        <f t="shared" si="623"/>
        <v>0</v>
      </c>
      <c r="V379" s="52" t="e">
        <f t="shared" si="624"/>
        <v>#DIV/0!</v>
      </c>
      <c r="W379" s="53">
        <f>COUNTIFS('00 Encuesta'!$B$2:$B$511,"*e)*",'00 Encuesta'!$C$2:$C$511,"*c)*",'00 Encuesta'!$E$2:$E$511,"*a)*",'00 Encuesta'!$AV$2:$AV$511,"*c)*")</f>
        <v>0</v>
      </c>
      <c r="X379" s="52" t="e">
        <f t="shared" si="625"/>
        <v>#DIV/0!</v>
      </c>
      <c r="Y379" s="53">
        <f>COUNTIFS('00 Encuesta'!$B$2:$B$511,"*e)*",'00 Encuesta'!$C$2:$C$511,"*c)*",'00 Encuesta'!$E$2:$E$511,"*b)*",'00 Encuesta'!$AV$2:$AV$511,"*c)*")</f>
        <v>0</v>
      </c>
      <c r="Z379" s="52" t="e">
        <f t="shared" si="626"/>
        <v>#DIV/0!</v>
      </c>
      <c r="AA379" s="3"/>
      <c r="AB379" s="62">
        <f t="shared" si="627"/>
        <v>0</v>
      </c>
      <c r="AC379" s="52" t="e">
        <f t="shared" si="628"/>
        <v>#DIV/0!</v>
      </c>
      <c r="AD379" s="3"/>
      <c r="AE379" s="3"/>
      <c r="AF379" s="9" t="str">
        <f t="shared" si="629"/>
        <v>c) Regular</v>
      </c>
      <c r="AG379" s="72" t="e">
        <f t="shared" si="630"/>
        <v>#DIV/0!</v>
      </c>
      <c r="AH379" s="72" t="e">
        <f t="shared" si="631"/>
        <v>#DIV/0!</v>
      </c>
      <c r="AI379" s="73" t="e">
        <f t="shared" si="632"/>
        <v>#DIV/0!</v>
      </c>
      <c r="AJ379" s="73"/>
      <c r="AK379" s="76" t="e">
        <f t="shared" si="633"/>
        <v>#DIV/0!</v>
      </c>
      <c r="AL379" s="76" t="e">
        <f t="shared" si="634"/>
        <v>#DIV/0!</v>
      </c>
      <c r="AM379" s="76" t="e">
        <f t="shared" si="635"/>
        <v>#DIV/0!</v>
      </c>
      <c r="AN379" s="76"/>
      <c r="AO379" s="81" t="e">
        <f t="shared" si="636"/>
        <v>#DIV/0!</v>
      </c>
      <c r="AP379" s="81" t="e">
        <f t="shared" si="637"/>
        <v>#DIV/0!</v>
      </c>
      <c r="AQ379" s="81" t="e">
        <f t="shared" si="638"/>
        <v>#DIV/0!</v>
      </c>
      <c r="AR379" s="3"/>
      <c r="AS379" s="76" t="e">
        <f t="shared" si="542"/>
        <v>#DIV/0!</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x14ac:dyDescent="0.3">
      <c r="A380" s="8" t="s">
        <v>21</v>
      </c>
      <c r="B380" s="9" t="s">
        <v>231</v>
      </c>
      <c r="C380" s="3"/>
      <c r="D380" s="3"/>
      <c r="E380" s="3"/>
      <c r="F380" s="71">
        <v>25</v>
      </c>
      <c r="G380" s="51">
        <f t="shared" si="615"/>
        <v>0</v>
      </c>
      <c r="H380" s="52" t="e">
        <f t="shared" si="616"/>
        <v>#DIV/0!</v>
      </c>
      <c r="I380" s="53">
        <f>COUNTIFS('00 Encuesta'!$B$2:$B$511,"*e)*",'00 Encuesta'!$C$2:$C$511,"*a)*",'00 Encuesta'!$E$2:$E$511,"*a)*",'00 Encuesta'!$AV$2:$AV$511,"*d)*")</f>
        <v>0</v>
      </c>
      <c r="J380" s="52" t="e">
        <f t="shared" si="617"/>
        <v>#DIV/0!</v>
      </c>
      <c r="K380" s="53">
        <f>COUNTIFS('00 Encuesta'!$B$2:$B$511,"*e)*",'00 Encuesta'!$C$2:$C$511,"*a)*",'00 Encuesta'!$E$2:$E$511,"*b)*",'00 Encuesta'!$AV$2:$AV$511,"*d)*")</f>
        <v>0</v>
      </c>
      <c r="L380" s="52" t="e">
        <f t="shared" si="618"/>
        <v>#DIV/0!</v>
      </c>
      <c r="M380" s="23"/>
      <c r="N380" s="51">
        <f t="shared" si="619"/>
        <v>0</v>
      </c>
      <c r="O380" s="52" t="e">
        <f t="shared" si="620"/>
        <v>#DIV/0!</v>
      </c>
      <c r="P380" s="53">
        <f>COUNTIFS('00 Encuesta'!$B$2:$B$511,"*e)*",'00 Encuesta'!$C$2:$C$511,"*b)*",'00 Encuesta'!$E$2:$E$511,"*a)*",'00 Encuesta'!$AV$2:$AV$511,"*d)*")</f>
        <v>0</v>
      </c>
      <c r="Q380" s="52" t="e">
        <f t="shared" si="621"/>
        <v>#DIV/0!</v>
      </c>
      <c r="R380" s="53">
        <f>COUNTIFS('00 Encuesta'!$B$2:$B$511,"*e)*",'00 Encuesta'!$C$2:$C$511,"*b)*",'00 Encuesta'!$E$2:$E$511,"*b)*",'00 Encuesta'!$AV$2:$AV$511,"*d)*")</f>
        <v>0</v>
      </c>
      <c r="S380" s="52" t="e">
        <f t="shared" si="622"/>
        <v>#DIV/0!</v>
      </c>
      <c r="T380" s="3"/>
      <c r="U380" s="51">
        <f t="shared" si="623"/>
        <v>0</v>
      </c>
      <c r="V380" s="52" t="e">
        <f t="shared" si="624"/>
        <v>#DIV/0!</v>
      </c>
      <c r="W380" s="53">
        <f>COUNTIFS('00 Encuesta'!$B$2:$B$511,"*e)*",'00 Encuesta'!$C$2:$C$511,"*c)*",'00 Encuesta'!$E$2:$E$511,"*a)*",'00 Encuesta'!$AV$2:$AV$511,"*d)*")</f>
        <v>0</v>
      </c>
      <c r="X380" s="52" t="e">
        <f t="shared" si="625"/>
        <v>#DIV/0!</v>
      </c>
      <c r="Y380" s="53">
        <f>COUNTIFS('00 Encuesta'!$B$2:$B$511,"*e)*",'00 Encuesta'!$C$2:$C$511,"*c)*",'00 Encuesta'!$E$2:$E$511,"*b)*",'00 Encuesta'!$AV$2:$AV$511,"*d)*")</f>
        <v>0</v>
      </c>
      <c r="Z380" s="52" t="e">
        <f t="shared" si="626"/>
        <v>#DIV/0!</v>
      </c>
      <c r="AA380" s="3"/>
      <c r="AB380" s="62">
        <f t="shared" si="627"/>
        <v>0</v>
      </c>
      <c r="AC380" s="52" t="e">
        <f t="shared" si="628"/>
        <v>#DIV/0!</v>
      </c>
      <c r="AD380" s="3"/>
      <c r="AE380" s="3"/>
      <c r="AF380" s="9" t="str">
        <f t="shared" si="629"/>
        <v>d) Mala</v>
      </c>
      <c r="AG380" s="72" t="e">
        <f t="shared" si="630"/>
        <v>#DIV/0!</v>
      </c>
      <c r="AH380" s="72" t="e">
        <f t="shared" si="631"/>
        <v>#DIV/0!</v>
      </c>
      <c r="AI380" s="73" t="e">
        <f t="shared" si="632"/>
        <v>#DIV/0!</v>
      </c>
      <c r="AJ380" s="73"/>
      <c r="AK380" s="76" t="e">
        <f t="shared" si="633"/>
        <v>#DIV/0!</v>
      </c>
      <c r="AL380" s="76" t="e">
        <f t="shared" si="634"/>
        <v>#DIV/0!</v>
      </c>
      <c r="AM380" s="76" t="e">
        <f t="shared" si="635"/>
        <v>#DIV/0!</v>
      </c>
      <c r="AN380" s="76"/>
      <c r="AO380" s="81" t="e">
        <f t="shared" si="636"/>
        <v>#DIV/0!</v>
      </c>
      <c r="AP380" s="81" t="e">
        <f t="shared" si="637"/>
        <v>#DIV/0!</v>
      </c>
      <c r="AQ380" s="81" t="e">
        <f t="shared" si="638"/>
        <v>#DIV/0!</v>
      </c>
      <c r="AR380" s="3"/>
      <c r="AS380" s="76" t="e">
        <f t="shared" si="542"/>
        <v>#DIV/0!</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x14ac:dyDescent="0.3">
      <c r="A381" s="8" t="s">
        <v>22</v>
      </c>
      <c r="B381" s="9" t="s">
        <v>232</v>
      </c>
      <c r="C381" s="3"/>
      <c r="D381" s="3"/>
      <c r="E381" s="3"/>
      <c r="F381" s="71">
        <v>0</v>
      </c>
      <c r="G381" s="51">
        <f t="shared" si="615"/>
        <v>0</v>
      </c>
      <c r="H381" s="52" t="e">
        <f t="shared" si="616"/>
        <v>#DIV/0!</v>
      </c>
      <c r="I381" s="53">
        <f>COUNTIFS('00 Encuesta'!$B$2:$B$511,"*e)*",'00 Encuesta'!$C$2:$C$511,"*a)*",'00 Encuesta'!$E$2:$E$511,"*a)*",'00 Encuesta'!$AV$2:$AV$511,"*e)*")</f>
        <v>0</v>
      </c>
      <c r="J381" s="52" t="e">
        <f t="shared" si="617"/>
        <v>#DIV/0!</v>
      </c>
      <c r="K381" s="53">
        <f>COUNTIFS('00 Encuesta'!$B$2:$B$511,"*e)*",'00 Encuesta'!$C$2:$C$511,"*a)*",'00 Encuesta'!$E$2:$E$511,"*b)*",'00 Encuesta'!$AV$2:$AV$511,"*e)*")</f>
        <v>0</v>
      </c>
      <c r="L381" s="52" t="e">
        <f t="shared" si="618"/>
        <v>#DIV/0!</v>
      </c>
      <c r="M381" s="23"/>
      <c r="N381" s="51">
        <f t="shared" si="619"/>
        <v>0</v>
      </c>
      <c r="O381" s="52" t="e">
        <f t="shared" si="620"/>
        <v>#DIV/0!</v>
      </c>
      <c r="P381" s="53">
        <f>COUNTIFS('00 Encuesta'!$B$2:$B$511,"*e)*",'00 Encuesta'!$C$2:$C$511,"*b)*",'00 Encuesta'!$E$2:$E$511,"*a)*",'00 Encuesta'!$AV$2:$AV$511,"*e)*")</f>
        <v>0</v>
      </c>
      <c r="Q381" s="52" t="e">
        <f t="shared" si="621"/>
        <v>#DIV/0!</v>
      </c>
      <c r="R381" s="53">
        <f>COUNTIFS('00 Encuesta'!$B$2:$B$511,"*e)*",'00 Encuesta'!$C$2:$C$511,"*b)*",'00 Encuesta'!$E$2:$E$511,"*b)*",'00 Encuesta'!$AV$2:$AV$511,"*e)*")</f>
        <v>0</v>
      </c>
      <c r="S381" s="52" t="e">
        <f t="shared" si="622"/>
        <v>#DIV/0!</v>
      </c>
      <c r="T381" s="3"/>
      <c r="U381" s="51">
        <f t="shared" si="623"/>
        <v>0</v>
      </c>
      <c r="V381" s="52" t="e">
        <f t="shared" si="624"/>
        <v>#DIV/0!</v>
      </c>
      <c r="W381" s="53">
        <f>COUNTIFS('00 Encuesta'!$B$2:$B$511,"*e)*",'00 Encuesta'!$C$2:$C$511,"*c)*",'00 Encuesta'!$E$2:$E$511,"*a)*",'00 Encuesta'!$AV$2:$AV$511,"*e)*")</f>
        <v>0</v>
      </c>
      <c r="X381" s="52" t="e">
        <f t="shared" si="625"/>
        <v>#DIV/0!</v>
      </c>
      <c r="Y381" s="53">
        <f>COUNTIFS('00 Encuesta'!$B$2:$B$511,"*e)*",'00 Encuesta'!$C$2:$C$511,"*c)*",'00 Encuesta'!$E$2:$E$511,"*b)*",'00 Encuesta'!$AV$2:$AV$511,"*e)*")</f>
        <v>0</v>
      </c>
      <c r="Z381" s="52" t="e">
        <f t="shared" si="626"/>
        <v>#DIV/0!</v>
      </c>
      <c r="AA381" s="3"/>
      <c r="AB381" s="62">
        <f t="shared" si="627"/>
        <v>0</v>
      </c>
      <c r="AC381" s="52" t="e">
        <f t="shared" si="628"/>
        <v>#DIV/0!</v>
      </c>
      <c r="AD381" s="3"/>
      <c r="AE381" s="3"/>
      <c r="AF381" s="9" t="str">
        <f t="shared" si="629"/>
        <v>e) Muy mala</v>
      </c>
      <c r="AG381" s="72" t="e">
        <f t="shared" si="630"/>
        <v>#DIV/0!</v>
      </c>
      <c r="AH381" s="72" t="e">
        <f t="shared" si="631"/>
        <v>#DIV/0!</v>
      </c>
      <c r="AI381" s="73" t="e">
        <f t="shared" si="632"/>
        <v>#DIV/0!</v>
      </c>
      <c r="AJ381" s="73"/>
      <c r="AK381" s="76" t="e">
        <f t="shared" si="633"/>
        <v>#DIV/0!</v>
      </c>
      <c r="AL381" s="76" t="e">
        <f t="shared" si="634"/>
        <v>#DIV/0!</v>
      </c>
      <c r="AM381" s="76" t="e">
        <f t="shared" si="635"/>
        <v>#DIV/0!</v>
      </c>
      <c r="AN381" s="76"/>
      <c r="AO381" s="81" t="e">
        <f t="shared" si="636"/>
        <v>#DIV/0!</v>
      </c>
      <c r="AP381" s="81" t="e">
        <f t="shared" si="637"/>
        <v>#DIV/0!</v>
      </c>
      <c r="AQ381" s="81" t="e">
        <f t="shared" si="638"/>
        <v>#DIV/0!</v>
      </c>
      <c r="AR381" s="3"/>
      <c r="AS381" s="76" t="e">
        <f t="shared" si="542"/>
        <v>#DIV/0!</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x14ac:dyDescent="0.3">
      <c r="A382" s="8" t="s">
        <v>45</v>
      </c>
      <c r="B382" s="9" t="s">
        <v>233</v>
      </c>
      <c r="C382" s="7"/>
      <c r="D382" s="7"/>
      <c r="E382" s="7"/>
      <c r="F382" s="71"/>
      <c r="G382" s="51">
        <f t="shared" si="615"/>
        <v>0</v>
      </c>
      <c r="H382" s="52" t="e">
        <f t="shared" si="616"/>
        <v>#DIV/0!</v>
      </c>
      <c r="I382" s="53">
        <f>COUNTIFS('00 Encuesta'!$B$2:$B$511,"*e)*",'00 Encuesta'!$C$2:$C$511,"*a)*",'00 Encuesta'!$E$2:$E$511,"*a)*",'00 Encuesta'!$AV$2:$AV$511,"*f)*")</f>
        <v>0</v>
      </c>
      <c r="J382" s="52" t="e">
        <f t="shared" si="617"/>
        <v>#DIV/0!</v>
      </c>
      <c r="K382" s="53">
        <f>COUNTIFS('00 Encuesta'!$B$2:$B$511,"*e)*",'00 Encuesta'!$C$2:$C$511,"*a)*",'00 Encuesta'!$E$2:$E$511,"*b)*",'00 Encuesta'!$AV$2:$AV$511,"*f)*")</f>
        <v>0</v>
      </c>
      <c r="L382" s="52" t="e">
        <f t="shared" si="618"/>
        <v>#DIV/0!</v>
      </c>
      <c r="M382" s="23"/>
      <c r="N382" s="51">
        <f t="shared" si="619"/>
        <v>0</v>
      </c>
      <c r="O382" s="52" t="e">
        <f t="shared" si="620"/>
        <v>#DIV/0!</v>
      </c>
      <c r="P382" s="53">
        <f>COUNTIFS('00 Encuesta'!$B$2:$B$511,"*e)*",'00 Encuesta'!$C$2:$C$511,"*b)*",'00 Encuesta'!$E$2:$E$511,"*a)*",'00 Encuesta'!$AV$2:$AV$511,"*f)*")</f>
        <v>0</v>
      </c>
      <c r="Q382" s="52" t="e">
        <f t="shared" si="621"/>
        <v>#DIV/0!</v>
      </c>
      <c r="R382" s="53">
        <f>COUNTIFS('00 Encuesta'!$B$2:$B$511,"*e)*",'00 Encuesta'!$C$2:$C$511,"*b)*",'00 Encuesta'!$E$2:$E$511,"*b)*",'00 Encuesta'!$AV$2:$AV$511,"*f)*")</f>
        <v>0</v>
      </c>
      <c r="S382" s="52" t="e">
        <f t="shared" si="622"/>
        <v>#DIV/0!</v>
      </c>
      <c r="T382" s="3"/>
      <c r="U382" s="51">
        <f t="shared" si="623"/>
        <v>0</v>
      </c>
      <c r="V382" s="52" t="e">
        <f t="shared" si="624"/>
        <v>#DIV/0!</v>
      </c>
      <c r="W382" s="53">
        <f>COUNTIFS('00 Encuesta'!$B$2:$B$511,"*e)*",'00 Encuesta'!$C$2:$C$511,"*c)*",'00 Encuesta'!$E$2:$E$511,"*a)*",'00 Encuesta'!$AV$2:$AV$511,"*f)*")</f>
        <v>0</v>
      </c>
      <c r="X382" s="52" t="e">
        <f t="shared" si="625"/>
        <v>#DIV/0!</v>
      </c>
      <c r="Y382" s="53">
        <f>COUNTIFS('00 Encuesta'!$B$2:$B$511,"*e)*",'00 Encuesta'!$C$2:$C$511,"*c)*",'00 Encuesta'!$E$2:$E$511,"*b)*",'00 Encuesta'!$AV$2:$AV$511,"*f)*")</f>
        <v>0</v>
      </c>
      <c r="Z382" s="52" t="e">
        <f t="shared" si="626"/>
        <v>#DIV/0!</v>
      </c>
      <c r="AA382" s="3"/>
      <c r="AB382" s="62">
        <f t="shared" si="627"/>
        <v>0</v>
      </c>
      <c r="AC382" s="52" t="e">
        <f t="shared" si="628"/>
        <v>#DIV/0!</v>
      </c>
      <c r="AD382" s="3"/>
      <c r="AE382" s="3"/>
      <c r="AF382" s="9" t="str">
        <f t="shared" si="629"/>
        <v>f) No aplica</v>
      </c>
      <c r="AG382" s="72" t="e">
        <f t="shared" si="630"/>
        <v>#DIV/0!</v>
      </c>
      <c r="AH382" s="72" t="e">
        <f t="shared" si="631"/>
        <v>#DIV/0!</v>
      </c>
      <c r="AI382" s="73" t="e">
        <f t="shared" si="632"/>
        <v>#DIV/0!</v>
      </c>
      <c r="AJ382" s="73"/>
      <c r="AK382" s="76" t="e">
        <f t="shared" si="633"/>
        <v>#DIV/0!</v>
      </c>
      <c r="AL382" s="76" t="e">
        <f t="shared" si="634"/>
        <v>#DIV/0!</v>
      </c>
      <c r="AM382" s="76" t="e">
        <f t="shared" si="635"/>
        <v>#DIV/0!</v>
      </c>
      <c r="AN382" s="76"/>
      <c r="AO382" s="81" t="e">
        <f t="shared" si="636"/>
        <v>#DIV/0!</v>
      </c>
      <c r="AP382" s="81" t="e">
        <f t="shared" si="637"/>
        <v>#DIV/0!</v>
      </c>
      <c r="AQ382" s="81" t="e">
        <f t="shared" si="638"/>
        <v>#DIV/0!</v>
      </c>
      <c r="AR382" s="3"/>
      <c r="AS382" s="76" t="e">
        <f t="shared" si="542"/>
        <v>#DIV/0!</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x14ac:dyDescent="0.3">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t="e">
        <f t="shared" si="628"/>
        <v>#DIV/0!</v>
      </c>
      <c r="AD383" s="3"/>
      <c r="AE383" s="3"/>
      <c r="AF383" s="3"/>
      <c r="AG383" s="82" t="e">
        <f>($F377*I377+$F378*I378+$F379*I379+$F380*I380+$F381*I381)/(I377+I378+I379+I380+I381)</f>
        <v>#DIV/0!</v>
      </c>
      <c r="AH383" s="82" t="e">
        <f>($F377*K377+$F378*K378+$F379*K379+$F380*K380+$F381*K381)/(K377+K378+K379+K380+K381)</f>
        <v>#DIV/0!</v>
      </c>
      <c r="AI383" s="82" t="e">
        <f>($F377*G377+$F378*G378+$F379*G379+$F380*G380+$F381*G381)/(G377+G378+G379+G380+G381)</f>
        <v>#DIV/0!</v>
      </c>
      <c r="AJ383" s="82"/>
      <c r="AK383" s="82" t="e">
        <f>($F377*Q377+$F378*Q378+$F379*Q379+$F380*Q380+$F381*Q381)/(Q377+Q378+Q379+Q380+Q381)</f>
        <v>#DIV/0!</v>
      </c>
      <c r="AL383" s="82" t="e">
        <f>($F377*S377+$F378*S378+$F379*S379+$F380*S380+$F381*S381)/(S377+S378+S379+S380+S381)</f>
        <v>#DIV/0!</v>
      </c>
      <c r="AM383" s="82" t="e">
        <f>($F377*O377+$F378*O378+$F379*O379+$F380*O380+$F381*O381)/(O377+O378+O379+O380+O381)</f>
        <v>#DIV/0!</v>
      </c>
      <c r="AN383" s="82"/>
      <c r="AO383" s="82" t="e">
        <f>($F377*W377+$F378*W378+$F379*W379+$F380*W380+$F381*W381)/(W377+W378+W379+W380+W381)</f>
        <v>#DIV/0!</v>
      </c>
      <c r="AP383" s="82" t="e">
        <f>($F377*Y377+$F378*Y378+$F379*Y379+$F380*Y380+$F381*Y381)/(Y377+Y378+Y379+Y380+Y381)</f>
        <v>#DIV/0!</v>
      </c>
      <c r="AQ383" s="82" t="e">
        <f>($F377*U377+$F378*U378+$F379*U379+$F380*U380+$F381*U381)/(U377+U378+U379+U380+U381)</f>
        <v>#DIV/0!</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0</v>
      </c>
      <c r="H386" s="52" t="e">
        <f t="shared" ref="H386:H394" si="640">G386/$J$5*100</f>
        <v>#DIV/0!</v>
      </c>
      <c r="I386" s="53">
        <f>COUNTIFS('00 Encuesta'!$B$2:$B$511,"*e)*",'00 Encuesta'!$C$2:$C$511,"*a)*",'00 Encuesta'!$E$2:$E$511,"*a)*",'00 Encuesta'!$AW$2:$AW$511,"*a)*")</f>
        <v>0</v>
      </c>
      <c r="J386" s="52" t="e">
        <f t="shared" ref="J386:J394" si="641">I386/$J$6*100</f>
        <v>#DIV/0!</v>
      </c>
      <c r="K386" s="53">
        <f>COUNTIFS('00 Encuesta'!$B$2:$B$511,"*e)*",'00 Encuesta'!$C$2:$C$511,"*a)*",'00 Encuesta'!$E$2:$E$511,"*b)*",'00 Encuesta'!$AW$2:$AW$511,"*a)*")</f>
        <v>0</v>
      </c>
      <c r="L386" s="52" t="e">
        <f t="shared" ref="L386:L394" si="642">K386/$J$7*100</f>
        <v>#DIV/0!</v>
      </c>
      <c r="M386" s="23"/>
      <c r="N386" s="51">
        <f t="shared" ref="N386:N394" si="643">P386+R386</f>
        <v>0</v>
      </c>
      <c r="O386" s="52" t="e">
        <f t="shared" ref="O386:O394" si="644">N386/$Q$5*100</f>
        <v>#DIV/0!</v>
      </c>
      <c r="P386" s="53">
        <f>COUNTIFS('00 Encuesta'!$B$2:$B$511,"*e)*",'00 Encuesta'!$C$2:$C$511,"*b)*",'00 Encuesta'!$E$2:$E$511,"*a)*",'00 Encuesta'!$AW$2:$AW$511,"*a)*")</f>
        <v>0</v>
      </c>
      <c r="Q386" s="52" t="e">
        <f t="shared" ref="Q386:Q394" si="645">P386/$Q$6*100</f>
        <v>#DIV/0!</v>
      </c>
      <c r="R386" s="53">
        <f>COUNTIFS('00 Encuesta'!$B$2:$B$511,"*e)*",'00 Encuesta'!$C$2:$C$511,"*b)*",'00 Encuesta'!$E$2:$E$511,"*b)*",'00 Encuesta'!$AW$2:$AW$511,"*a)*")</f>
        <v>0</v>
      </c>
      <c r="S386" s="52" t="e">
        <f t="shared" ref="S386:S394" si="646">R386/$Q$7*100</f>
        <v>#DIV/0!</v>
      </c>
      <c r="T386" s="3"/>
      <c r="U386" s="51">
        <f t="shared" ref="U386:U394" si="647">W386+Y386</f>
        <v>0</v>
      </c>
      <c r="V386" s="52" t="e">
        <f t="shared" ref="V386:V394" si="648">U386/$X$5*100</f>
        <v>#DIV/0!</v>
      </c>
      <c r="W386" s="53">
        <f>COUNTIFS('00 Encuesta'!$B$2:$B$511,"*e)*",'00 Encuesta'!$C$2:$C$511,"*c)*",'00 Encuesta'!$E$2:$E$511,"*a)*",'00 Encuesta'!$AW$2:$AW$511,"*a)*")</f>
        <v>0</v>
      </c>
      <c r="X386" s="52" t="e">
        <f t="shared" ref="X386:X394" si="649">W386/$X$6*100</f>
        <v>#DIV/0!</v>
      </c>
      <c r="Y386" s="53">
        <f>COUNTIFS('00 Encuesta'!$B$2:$B$511,"*e)*",'00 Encuesta'!$C$2:$C$511,"*c)*",'00 Encuesta'!$E$2:$E$511,"*b)*",'00 Encuesta'!$AW$2:$AW$511,"*a)*")</f>
        <v>0</v>
      </c>
      <c r="Z386" s="52" t="e">
        <f t="shared" ref="Z386:Z394" si="650">Y386/$X$7*100</f>
        <v>#DIV/0!</v>
      </c>
      <c r="AA386" s="3"/>
      <c r="AB386" s="62">
        <f t="shared" ref="AB386:AB394" si="651">G386+N386+U386</f>
        <v>0</v>
      </c>
      <c r="AC386" s="52" t="e">
        <f t="shared" ref="AC386:AC394" si="652">AB386*100/$AC$5</f>
        <v>#DIV/0!</v>
      </c>
      <c r="AD386" s="3"/>
      <c r="AE386" s="3"/>
      <c r="AF386" s="9" t="str">
        <f t="shared" ref="AF386:AF394" si="653">A386&amp;" "&amp;B386</f>
        <v>a) El compañerismo</v>
      </c>
      <c r="AG386" s="72" t="e">
        <f>J386</f>
        <v>#DIV/0!</v>
      </c>
      <c r="AH386" s="72" t="e">
        <f>L386</f>
        <v>#DIV/0!</v>
      </c>
      <c r="AI386" s="73" t="e">
        <f>H386</f>
        <v>#DIV/0!</v>
      </c>
      <c r="AJ386" s="73"/>
      <c r="AK386" s="76" t="e">
        <f t="shared" ref="AK386:AK394" si="654">Q386</f>
        <v>#DIV/0!</v>
      </c>
      <c r="AL386" s="76" t="e">
        <f t="shared" ref="AL386:AL394" si="655">S386</f>
        <v>#DIV/0!</v>
      </c>
      <c r="AM386" s="76" t="e">
        <f t="shared" ref="AM386:AM394" si="656">O386</f>
        <v>#DIV/0!</v>
      </c>
      <c r="AN386" s="76"/>
      <c r="AO386" s="81" t="e">
        <f t="shared" ref="AO386:AO394" si="657">X386</f>
        <v>#DIV/0!</v>
      </c>
      <c r="AP386" s="81" t="e">
        <f t="shared" ref="AP386:AP394" si="658">Z386</f>
        <v>#DIV/0!</v>
      </c>
      <c r="AQ386" s="81" t="e">
        <f t="shared" ref="AQ386:AQ394" si="659">V386</f>
        <v>#DIV/0!</v>
      </c>
      <c r="AR386" s="3"/>
      <c r="AS386" s="76" t="e">
        <f t="shared" si="542"/>
        <v>#DIV/0!</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0</v>
      </c>
      <c r="H387" s="52" t="e">
        <f t="shared" si="640"/>
        <v>#DIV/0!</v>
      </c>
      <c r="I387" s="53">
        <f>COUNTIFS('00 Encuesta'!$B$2:$B$511,"*e)*",'00 Encuesta'!$C$2:$C$511,"*a)*",'00 Encuesta'!$E$2:$E$511,"*a)*",'00 Encuesta'!$AW$2:$AW$511,"*b)*")</f>
        <v>0</v>
      </c>
      <c r="J387" s="52" t="e">
        <f t="shared" si="641"/>
        <v>#DIV/0!</v>
      </c>
      <c r="K387" s="53">
        <f>COUNTIFS('00 Encuesta'!$B$2:$B$511,"*e)*",'00 Encuesta'!$C$2:$C$511,"*a)*",'00 Encuesta'!$E$2:$E$511,"*b)*",'00 Encuesta'!$AW$2:$AW$511,"*b)*")</f>
        <v>0</v>
      </c>
      <c r="L387" s="52" t="e">
        <f t="shared" si="642"/>
        <v>#DIV/0!</v>
      </c>
      <c r="M387" s="23"/>
      <c r="N387" s="51">
        <f t="shared" si="643"/>
        <v>0</v>
      </c>
      <c r="O387" s="52" t="e">
        <f t="shared" si="644"/>
        <v>#DIV/0!</v>
      </c>
      <c r="P387" s="53">
        <f>COUNTIFS('00 Encuesta'!$B$2:$B$511,"*e)*",'00 Encuesta'!$C$2:$C$511,"*b)*",'00 Encuesta'!$E$2:$E$511,"*a)*",'00 Encuesta'!$AW$2:$AW$511,"*b)*")</f>
        <v>0</v>
      </c>
      <c r="Q387" s="52" t="e">
        <f t="shared" si="645"/>
        <v>#DIV/0!</v>
      </c>
      <c r="R387" s="53">
        <f>COUNTIFS('00 Encuesta'!$B$2:$B$511,"*e)*",'00 Encuesta'!$C$2:$C$511,"*b)*",'00 Encuesta'!$E$2:$E$511,"*b)*",'00 Encuesta'!$AW$2:$AW$511,"*b)*")</f>
        <v>0</v>
      </c>
      <c r="S387" s="52" t="e">
        <f t="shared" si="646"/>
        <v>#DIV/0!</v>
      </c>
      <c r="T387" s="3"/>
      <c r="U387" s="51">
        <f t="shared" si="647"/>
        <v>0</v>
      </c>
      <c r="V387" s="52" t="e">
        <f t="shared" si="648"/>
        <v>#DIV/0!</v>
      </c>
      <c r="W387" s="53">
        <f>COUNTIFS('00 Encuesta'!$B$2:$B$511,"*e)*",'00 Encuesta'!$C$2:$C$511,"*c)*",'00 Encuesta'!$E$2:$E$511,"*a)*",'00 Encuesta'!$AW$2:$AW$511,"*b)*")</f>
        <v>0</v>
      </c>
      <c r="X387" s="52" t="e">
        <f t="shared" si="649"/>
        <v>#DIV/0!</v>
      </c>
      <c r="Y387" s="53">
        <f>COUNTIFS('00 Encuesta'!$B$2:$B$511,"*e)*",'00 Encuesta'!$C$2:$C$511,"*c)*",'00 Encuesta'!$E$2:$E$511,"*b)*",'00 Encuesta'!$AW$2:$AW$511,"*b)*")</f>
        <v>0</v>
      </c>
      <c r="Z387" s="52" t="e">
        <f t="shared" si="650"/>
        <v>#DIV/0!</v>
      </c>
      <c r="AA387" s="3"/>
      <c r="AB387" s="62">
        <f t="shared" si="651"/>
        <v>0</v>
      </c>
      <c r="AC387" s="52" t="e">
        <f t="shared" si="652"/>
        <v>#DIV/0!</v>
      </c>
      <c r="AD387" s="3"/>
      <c r="AE387" s="3"/>
      <c r="AF387" s="9" t="str">
        <f t="shared" si="653"/>
        <v>b) La orientación cristiana</v>
      </c>
      <c r="AG387" s="72" t="e">
        <f t="shared" ref="AG387:AG394" si="660">J387</f>
        <v>#DIV/0!</v>
      </c>
      <c r="AH387" s="72" t="e">
        <f t="shared" ref="AH387:AH394" si="661">L387</f>
        <v>#DIV/0!</v>
      </c>
      <c r="AI387" s="73" t="e">
        <f t="shared" ref="AI387:AI394" si="662">H387</f>
        <v>#DIV/0!</v>
      </c>
      <c r="AJ387" s="73"/>
      <c r="AK387" s="76" t="e">
        <f t="shared" si="654"/>
        <v>#DIV/0!</v>
      </c>
      <c r="AL387" s="76" t="e">
        <f t="shared" si="655"/>
        <v>#DIV/0!</v>
      </c>
      <c r="AM387" s="76" t="e">
        <f t="shared" si="656"/>
        <v>#DIV/0!</v>
      </c>
      <c r="AN387" s="76"/>
      <c r="AO387" s="81" t="e">
        <f t="shared" si="657"/>
        <v>#DIV/0!</v>
      </c>
      <c r="AP387" s="81" t="e">
        <f t="shared" si="658"/>
        <v>#DIV/0!</v>
      </c>
      <c r="AQ387" s="81" t="e">
        <f t="shared" si="659"/>
        <v>#DIV/0!</v>
      </c>
      <c r="AR387" s="3"/>
      <c r="AS387" s="76" t="e">
        <f t="shared" si="542"/>
        <v>#DIV/0!</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x14ac:dyDescent="0.3">
      <c r="A388" s="1" t="s">
        <v>20</v>
      </c>
      <c r="B388" s="2" t="s">
        <v>243</v>
      </c>
      <c r="C388" s="3"/>
      <c r="D388" s="3"/>
      <c r="E388" s="3"/>
      <c r="F388" s="4"/>
      <c r="G388" s="51">
        <f t="shared" si="639"/>
        <v>0</v>
      </c>
      <c r="H388" s="52" t="e">
        <f t="shared" si="640"/>
        <v>#DIV/0!</v>
      </c>
      <c r="I388" s="53">
        <f>COUNTIFS('00 Encuesta'!$B$2:$B$511,"*e)*",'00 Encuesta'!$C$2:$C$511,"*a)*",'00 Encuesta'!$E$2:$E$511,"*a)*",'00 Encuesta'!$AW$2:$AW$511,"*c)*")</f>
        <v>0</v>
      </c>
      <c r="J388" s="52" t="e">
        <f t="shared" si="641"/>
        <v>#DIV/0!</v>
      </c>
      <c r="K388" s="53">
        <f>COUNTIFS('00 Encuesta'!$B$2:$B$511,"*e)*",'00 Encuesta'!$C$2:$C$511,"*a)*",'00 Encuesta'!$E$2:$E$511,"*b)*",'00 Encuesta'!$AW$2:$AW$511,"*c)*")</f>
        <v>0</v>
      </c>
      <c r="L388" s="52" t="e">
        <f t="shared" si="642"/>
        <v>#DIV/0!</v>
      </c>
      <c r="M388" s="23"/>
      <c r="N388" s="51">
        <f t="shared" si="643"/>
        <v>0</v>
      </c>
      <c r="O388" s="52" t="e">
        <f t="shared" si="644"/>
        <v>#DIV/0!</v>
      </c>
      <c r="P388" s="53">
        <f>COUNTIFS('00 Encuesta'!$B$2:$B$511,"*e)*",'00 Encuesta'!$C$2:$C$511,"*b)*",'00 Encuesta'!$E$2:$E$511,"*a)*",'00 Encuesta'!$AW$2:$AW$511,"*c)*")</f>
        <v>0</v>
      </c>
      <c r="Q388" s="52" t="e">
        <f t="shared" si="645"/>
        <v>#DIV/0!</v>
      </c>
      <c r="R388" s="53">
        <f>COUNTIFS('00 Encuesta'!$B$2:$B$511,"*e)*",'00 Encuesta'!$C$2:$C$511,"*b)*",'00 Encuesta'!$E$2:$E$511,"*b)*",'00 Encuesta'!$AW$2:$AW$511,"*c)*")</f>
        <v>0</v>
      </c>
      <c r="S388" s="52" t="e">
        <f t="shared" si="646"/>
        <v>#DIV/0!</v>
      </c>
      <c r="T388" s="3"/>
      <c r="U388" s="51">
        <f t="shared" si="647"/>
        <v>0</v>
      </c>
      <c r="V388" s="52" t="e">
        <f t="shared" si="648"/>
        <v>#DIV/0!</v>
      </c>
      <c r="W388" s="53">
        <f>COUNTIFS('00 Encuesta'!$B$2:$B$511,"*e)*",'00 Encuesta'!$C$2:$C$511,"*c)*",'00 Encuesta'!$E$2:$E$511,"*a)*",'00 Encuesta'!$AW$2:$AW$511,"*c)*")</f>
        <v>0</v>
      </c>
      <c r="X388" s="52" t="e">
        <f t="shared" si="649"/>
        <v>#DIV/0!</v>
      </c>
      <c r="Y388" s="53">
        <f>COUNTIFS('00 Encuesta'!$B$2:$B$511,"*e)*",'00 Encuesta'!$C$2:$C$511,"*c)*",'00 Encuesta'!$E$2:$E$511,"*b)*",'00 Encuesta'!$AW$2:$AW$511,"*c)*")</f>
        <v>0</v>
      </c>
      <c r="Z388" s="52" t="e">
        <f t="shared" si="650"/>
        <v>#DIV/0!</v>
      </c>
      <c r="AA388" s="3"/>
      <c r="AB388" s="62">
        <f t="shared" si="651"/>
        <v>0</v>
      </c>
      <c r="AC388" s="52" t="e">
        <f t="shared" si="652"/>
        <v>#DIV/0!</v>
      </c>
      <c r="AD388" s="3"/>
      <c r="AE388" s="3"/>
      <c r="AF388" s="9" t="str">
        <f t="shared" si="653"/>
        <v>c) El estudio</v>
      </c>
      <c r="AG388" s="72" t="e">
        <f t="shared" si="660"/>
        <v>#DIV/0!</v>
      </c>
      <c r="AH388" s="72" t="e">
        <f t="shared" si="661"/>
        <v>#DIV/0!</v>
      </c>
      <c r="AI388" s="73" t="e">
        <f t="shared" si="662"/>
        <v>#DIV/0!</v>
      </c>
      <c r="AJ388" s="73"/>
      <c r="AK388" s="76" t="e">
        <f t="shared" si="654"/>
        <v>#DIV/0!</v>
      </c>
      <c r="AL388" s="76" t="e">
        <f t="shared" si="655"/>
        <v>#DIV/0!</v>
      </c>
      <c r="AM388" s="76" t="e">
        <f t="shared" si="656"/>
        <v>#DIV/0!</v>
      </c>
      <c r="AN388" s="76"/>
      <c r="AO388" s="81" t="e">
        <f t="shared" si="657"/>
        <v>#DIV/0!</v>
      </c>
      <c r="AP388" s="81" t="e">
        <f t="shared" si="658"/>
        <v>#DIV/0!</v>
      </c>
      <c r="AQ388" s="81" t="e">
        <f t="shared" si="659"/>
        <v>#DIV/0!</v>
      </c>
      <c r="AR388" s="3"/>
      <c r="AS388" s="76" t="e">
        <f t="shared" si="542"/>
        <v>#DIV/0!</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0</v>
      </c>
      <c r="H389" s="52" t="e">
        <f t="shared" si="640"/>
        <v>#DIV/0!</v>
      </c>
      <c r="I389" s="53">
        <f>COUNTIFS('00 Encuesta'!$B$2:$B$511,"*e)*",'00 Encuesta'!$C$2:$C$511,"*a)*",'00 Encuesta'!$E$2:$E$511,"*a)*",'00 Encuesta'!$AW$2:$AW$511,"*d)*")</f>
        <v>0</v>
      </c>
      <c r="J389" s="52" t="e">
        <f t="shared" si="641"/>
        <v>#DIV/0!</v>
      </c>
      <c r="K389" s="53">
        <f>COUNTIFS('00 Encuesta'!$B$2:$B$511,"*e)*",'00 Encuesta'!$C$2:$C$511,"*a)*",'00 Encuesta'!$E$2:$E$511,"*b)*",'00 Encuesta'!$AW$2:$AW$511,"*d)*")</f>
        <v>0</v>
      </c>
      <c r="L389" s="52" t="e">
        <f t="shared" si="642"/>
        <v>#DIV/0!</v>
      </c>
      <c r="M389" s="23"/>
      <c r="N389" s="51">
        <f t="shared" si="643"/>
        <v>0</v>
      </c>
      <c r="O389" s="52" t="e">
        <f t="shared" si="644"/>
        <v>#DIV/0!</v>
      </c>
      <c r="P389" s="53">
        <f>COUNTIFS('00 Encuesta'!$B$2:$B$511,"*e)*",'00 Encuesta'!$C$2:$C$511,"*b)*",'00 Encuesta'!$E$2:$E$511,"*a)*",'00 Encuesta'!$AW$2:$AW$511,"*d)*")</f>
        <v>0</v>
      </c>
      <c r="Q389" s="52" t="e">
        <f t="shared" si="645"/>
        <v>#DIV/0!</v>
      </c>
      <c r="R389" s="53">
        <f>COUNTIFS('00 Encuesta'!$B$2:$B$511,"*e)*",'00 Encuesta'!$C$2:$C$511,"*b)*",'00 Encuesta'!$E$2:$E$511,"*b)*",'00 Encuesta'!$AW$2:$AW$511,"*d)*")</f>
        <v>0</v>
      </c>
      <c r="S389" s="52" t="e">
        <f t="shared" si="646"/>
        <v>#DIV/0!</v>
      </c>
      <c r="T389" s="3"/>
      <c r="U389" s="51">
        <f t="shared" si="647"/>
        <v>0</v>
      </c>
      <c r="V389" s="52" t="e">
        <f t="shared" si="648"/>
        <v>#DIV/0!</v>
      </c>
      <c r="W389" s="53">
        <f>COUNTIFS('00 Encuesta'!$B$2:$B$511,"*e)*",'00 Encuesta'!$C$2:$C$511,"*c)*",'00 Encuesta'!$E$2:$E$511,"*a)*",'00 Encuesta'!$AW$2:$AW$511,"*d)*")</f>
        <v>0</v>
      </c>
      <c r="X389" s="52" t="e">
        <f t="shared" si="649"/>
        <v>#DIV/0!</v>
      </c>
      <c r="Y389" s="53">
        <f>COUNTIFS('00 Encuesta'!$B$2:$B$511,"*e)*",'00 Encuesta'!$C$2:$C$511,"*c)*",'00 Encuesta'!$E$2:$E$511,"*b)*",'00 Encuesta'!$AW$2:$AW$511,"*d)*")</f>
        <v>0</v>
      </c>
      <c r="Z389" s="52" t="e">
        <f t="shared" si="650"/>
        <v>#DIV/0!</v>
      </c>
      <c r="AA389" s="3"/>
      <c r="AB389" s="62">
        <f t="shared" si="651"/>
        <v>0</v>
      </c>
      <c r="AC389" s="52" t="e">
        <f t="shared" si="652"/>
        <v>#DIV/0!</v>
      </c>
      <c r="AD389" s="3"/>
      <c r="AE389" s="3"/>
      <c r="AF389" s="9" t="str">
        <f t="shared" si="653"/>
        <v>d) La formacion del carácter</v>
      </c>
      <c r="AG389" s="72" t="e">
        <f t="shared" si="660"/>
        <v>#DIV/0!</v>
      </c>
      <c r="AH389" s="72" t="e">
        <f t="shared" si="661"/>
        <v>#DIV/0!</v>
      </c>
      <c r="AI389" s="73" t="e">
        <f t="shared" si="662"/>
        <v>#DIV/0!</v>
      </c>
      <c r="AJ389" s="73"/>
      <c r="AK389" s="76" t="e">
        <f t="shared" si="654"/>
        <v>#DIV/0!</v>
      </c>
      <c r="AL389" s="76" t="e">
        <f t="shared" si="655"/>
        <v>#DIV/0!</v>
      </c>
      <c r="AM389" s="76" t="e">
        <f t="shared" si="656"/>
        <v>#DIV/0!</v>
      </c>
      <c r="AN389" s="76"/>
      <c r="AO389" s="81" t="e">
        <f t="shared" si="657"/>
        <v>#DIV/0!</v>
      </c>
      <c r="AP389" s="81" t="e">
        <f t="shared" si="658"/>
        <v>#DIV/0!</v>
      </c>
      <c r="AQ389" s="81" t="e">
        <f t="shared" si="659"/>
        <v>#DIV/0!</v>
      </c>
      <c r="AR389" s="3"/>
      <c r="AS389" s="76" t="e">
        <f t="shared" si="542"/>
        <v>#DIV/0!</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x14ac:dyDescent="0.3">
      <c r="A390" s="1" t="s">
        <v>22</v>
      </c>
      <c r="B390" s="2" t="s">
        <v>245</v>
      </c>
      <c r="C390" s="3"/>
      <c r="D390" s="3"/>
      <c r="E390" s="3"/>
      <c r="F390" s="4"/>
      <c r="G390" s="51">
        <f t="shared" si="639"/>
        <v>0</v>
      </c>
      <c r="H390" s="52" t="e">
        <f t="shared" si="640"/>
        <v>#DIV/0!</v>
      </c>
      <c r="I390" s="53">
        <f>COUNTIFS('00 Encuesta'!$B$2:$B$511,"*e)*",'00 Encuesta'!$C$2:$C$511,"*a)*",'00 Encuesta'!$E$2:$E$511,"*a)*",'00 Encuesta'!$AW$2:$AW$511,"*e)*")</f>
        <v>0</v>
      </c>
      <c r="J390" s="52" t="e">
        <f t="shared" si="641"/>
        <v>#DIV/0!</v>
      </c>
      <c r="K390" s="53">
        <f>COUNTIFS('00 Encuesta'!$B$2:$B$511,"*e)*",'00 Encuesta'!$C$2:$C$511,"*a)*",'00 Encuesta'!$E$2:$E$511,"*b)*",'00 Encuesta'!$AW$2:$AW$511,"*e)*")</f>
        <v>0</v>
      </c>
      <c r="L390" s="52" t="e">
        <f t="shared" si="642"/>
        <v>#DIV/0!</v>
      </c>
      <c r="M390" s="23"/>
      <c r="N390" s="51">
        <f t="shared" si="643"/>
        <v>0</v>
      </c>
      <c r="O390" s="52" t="e">
        <f t="shared" si="644"/>
        <v>#DIV/0!</v>
      </c>
      <c r="P390" s="53">
        <f>COUNTIFS('00 Encuesta'!$B$2:$B$511,"*e)*",'00 Encuesta'!$C$2:$C$511,"*b)*",'00 Encuesta'!$E$2:$E$511,"*a)*",'00 Encuesta'!$AW$2:$AW$511,"*e)*")</f>
        <v>0</v>
      </c>
      <c r="Q390" s="52" t="e">
        <f t="shared" si="645"/>
        <v>#DIV/0!</v>
      </c>
      <c r="R390" s="53">
        <f>COUNTIFS('00 Encuesta'!$B$2:$B$511,"*e)*",'00 Encuesta'!$C$2:$C$511,"*b)*",'00 Encuesta'!$E$2:$E$511,"*b)*",'00 Encuesta'!$AW$2:$AW$511,"*e)*")</f>
        <v>0</v>
      </c>
      <c r="S390" s="52" t="e">
        <f t="shared" si="646"/>
        <v>#DIV/0!</v>
      </c>
      <c r="T390" s="3"/>
      <c r="U390" s="51">
        <f t="shared" si="647"/>
        <v>0</v>
      </c>
      <c r="V390" s="52" t="e">
        <f t="shared" si="648"/>
        <v>#DIV/0!</v>
      </c>
      <c r="W390" s="53">
        <f>COUNTIFS('00 Encuesta'!$B$2:$B$511,"*e)*",'00 Encuesta'!$C$2:$C$511,"*c)*",'00 Encuesta'!$E$2:$E$511,"*a)*",'00 Encuesta'!$AW$2:$AW$511,"*e)*")</f>
        <v>0</v>
      </c>
      <c r="X390" s="52" t="e">
        <f t="shared" si="649"/>
        <v>#DIV/0!</v>
      </c>
      <c r="Y390" s="53">
        <f>COUNTIFS('00 Encuesta'!$B$2:$B$511,"*e)*",'00 Encuesta'!$C$2:$C$511,"*c)*",'00 Encuesta'!$E$2:$E$511,"*b)*",'00 Encuesta'!$AW$2:$AW$511,"*e)*")</f>
        <v>0</v>
      </c>
      <c r="Z390" s="52" t="e">
        <f t="shared" si="650"/>
        <v>#DIV/0!</v>
      </c>
      <c r="AA390" s="3"/>
      <c r="AB390" s="62">
        <f t="shared" si="651"/>
        <v>0</v>
      </c>
      <c r="AC390" s="52" t="e">
        <f t="shared" si="652"/>
        <v>#DIV/0!</v>
      </c>
      <c r="AD390" s="3"/>
      <c r="AE390" s="3"/>
      <c r="AF390" s="9" t="str">
        <f t="shared" si="653"/>
        <v>e) La disciplina y el orden</v>
      </c>
      <c r="AG390" s="72" t="e">
        <f t="shared" si="660"/>
        <v>#DIV/0!</v>
      </c>
      <c r="AH390" s="72" t="e">
        <f t="shared" si="661"/>
        <v>#DIV/0!</v>
      </c>
      <c r="AI390" s="73" t="e">
        <f t="shared" si="662"/>
        <v>#DIV/0!</v>
      </c>
      <c r="AJ390" s="73"/>
      <c r="AK390" s="76" t="e">
        <f t="shared" si="654"/>
        <v>#DIV/0!</v>
      </c>
      <c r="AL390" s="76" t="e">
        <f t="shared" si="655"/>
        <v>#DIV/0!</v>
      </c>
      <c r="AM390" s="76" t="e">
        <f t="shared" si="656"/>
        <v>#DIV/0!</v>
      </c>
      <c r="AN390" s="76"/>
      <c r="AO390" s="81" t="e">
        <f t="shared" si="657"/>
        <v>#DIV/0!</v>
      </c>
      <c r="AP390" s="81" t="e">
        <f t="shared" si="658"/>
        <v>#DIV/0!</v>
      </c>
      <c r="AQ390" s="81" t="e">
        <f t="shared" si="659"/>
        <v>#DIV/0!</v>
      </c>
      <c r="AR390" s="3"/>
      <c r="AS390" s="76" t="e">
        <f t="shared" si="542"/>
        <v>#DIV/0!</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0</v>
      </c>
      <c r="H391" s="52" t="e">
        <f t="shared" si="640"/>
        <v>#DIV/0!</v>
      </c>
      <c r="I391" s="53">
        <f>COUNTIFS('00 Encuesta'!$B$2:$B$511,"*e)*",'00 Encuesta'!$C$2:$C$511,"*a)*",'00 Encuesta'!$E$2:$E$511,"*a)*",'00 Encuesta'!$AW$2:$AW$511,"*f)*")</f>
        <v>0</v>
      </c>
      <c r="J391" s="52" t="e">
        <f t="shared" si="641"/>
        <v>#DIV/0!</v>
      </c>
      <c r="K391" s="53">
        <f>COUNTIFS('00 Encuesta'!$B$2:$B$511,"*e)*",'00 Encuesta'!$C$2:$C$511,"*a)*",'00 Encuesta'!$E$2:$E$511,"*b)*",'00 Encuesta'!$AW$2:$AW$511,"*f)*")</f>
        <v>0</v>
      </c>
      <c r="L391" s="52" t="e">
        <f t="shared" si="642"/>
        <v>#DIV/0!</v>
      </c>
      <c r="M391" s="23"/>
      <c r="N391" s="51">
        <f t="shared" si="643"/>
        <v>0</v>
      </c>
      <c r="O391" s="52" t="e">
        <f t="shared" si="644"/>
        <v>#DIV/0!</v>
      </c>
      <c r="P391" s="53">
        <f>COUNTIFS('00 Encuesta'!$B$2:$B$511,"*e)*",'00 Encuesta'!$C$2:$C$511,"*b)*",'00 Encuesta'!$E$2:$E$511,"*a)*",'00 Encuesta'!$AW$2:$AW$511,"*f)*")</f>
        <v>0</v>
      </c>
      <c r="Q391" s="52" t="e">
        <f t="shared" si="645"/>
        <v>#DIV/0!</v>
      </c>
      <c r="R391" s="53">
        <f>COUNTIFS('00 Encuesta'!$B$2:$B$511,"*e)*",'00 Encuesta'!$C$2:$C$511,"*b)*",'00 Encuesta'!$E$2:$E$511,"*b)*",'00 Encuesta'!$AW$2:$AW$511,"*f)*")</f>
        <v>0</v>
      </c>
      <c r="S391" s="52" t="e">
        <f t="shared" si="646"/>
        <v>#DIV/0!</v>
      </c>
      <c r="T391" s="3"/>
      <c r="U391" s="51">
        <f t="shared" si="647"/>
        <v>0</v>
      </c>
      <c r="V391" s="52" t="e">
        <f t="shared" si="648"/>
        <v>#DIV/0!</v>
      </c>
      <c r="W391" s="53">
        <f>COUNTIFS('00 Encuesta'!$B$2:$B$511,"*e)*",'00 Encuesta'!$C$2:$C$511,"*c)*",'00 Encuesta'!$E$2:$E$511,"*a)*",'00 Encuesta'!$AW$2:$AW$511,"*f)*")</f>
        <v>0</v>
      </c>
      <c r="X391" s="52" t="e">
        <f t="shared" si="649"/>
        <v>#DIV/0!</v>
      </c>
      <c r="Y391" s="53">
        <f>COUNTIFS('00 Encuesta'!$B$2:$B$511,"*e)*",'00 Encuesta'!$C$2:$C$511,"*c)*",'00 Encuesta'!$E$2:$E$511,"*b)*",'00 Encuesta'!$AW$2:$AW$511,"*f)*")</f>
        <v>0</v>
      </c>
      <c r="Z391" s="52" t="e">
        <f t="shared" si="650"/>
        <v>#DIV/0!</v>
      </c>
      <c r="AA391" s="3"/>
      <c r="AB391" s="62">
        <f t="shared" si="651"/>
        <v>0</v>
      </c>
      <c r="AC391" s="52" t="e">
        <f t="shared" si="652"/>
        <v>#DIV/0!</v>
      </c>
      <c r="AD391" s="3"/>
      <c r="AE391" s="3"/>
      <c r="AF391" s="9" t="str">
        <f t="shared" si="653"/>
        <v>f) La pràctica religiosa</v>
      </c>
      <c r="AG391" s="72" t="e">
        <f t="shared" si="660"/>
        <v>#DIV/0!</v>
      </c>
      <c r="AH391" s="72" t="e">
        <f t="shared" si="661"/>
        <v>#DIV/0!</v>
      </c>
      <c r="AI391" s="73" t="e">
        <f t="shared" si="662"/>
        <v>#DIV/0!</v>
      </c>
      <c r="AJ391" s="73"/>
      <c r="AK391" s="76" t="e">
        <f t="shared" si="654"/>
        <v>#DIV/0!</v>
      </c>
      <c r="AL391" s="76" t="e">
        <f t="shared" si="655"/>
        <v>#DIV/0!</v>
      </c>
      <c r="AM391" s="76" t="e">
        <f t="shared" si="656"/>
        <v>#DIV/0!</v>
      </c>
      <c r="AN391" s="76"/>
      <c r="AO391" s="81" t="e">
        <f t="shared" si="657"/>
        <v>#DIV/0!</v>
      </c>
      <c r="AP391" s="81" t="e">
        <f t="shared" si="658"/>
        <v>#DIV/0!</v>
      </c>
      <c r="AQ391" s="81" t="e">
        <f t="shared" si="659"/>
        <v>#DIV/0!</v>
      </c>
      <c r="AR391" s="3"/>
      <c r="AS391" s="76" t="e">
        <f t="shared" si="542"/>
        <v>#DIV/0!</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0</v>
      </c>
      <c r="H392" s="52" t="e">
        <f t="shared" si="640"/>
        <v>#DIV/0!</v>
      </c>
      <c r="I392" s="53">
        <f>COUNTIFS('00 Encuesta'!$B$2:$B$511,"*e)*",'00 Encuesta'!$C$2:$C$511,"*a)*",'00 Encuesta'!$E$2:$E$511,"*a)*",'00 Encuesta'!$AW$2:$AW$511,"*g)*")</f>
        <v>0</v>
      </c>
      <c r="J392" s="52" t="e">
        <f t="shared" si="641"/>
        <v>#DIV/0!</v>
      </c>
      <c r="K392" s="53">
        <f>COUNTIFS('00 Encuesta'!$B$2:$B$511,"*e)*",'00 Encuesta'!$C$2:$C$511,"*a)*",'00 Encuesta'!$E$2:$E$511,"*b)*",'00 Encuesta'!$AW$2:$AW$511,"*g)*")</f>
        <v>0</v>
      </c>
      <c r="L392" s="52" t="e">
        <f t="shared" si="642"/>
        <v>#DIV/0!</v>
      </c>
      <c r="M392" s="23"/>
      <c r="N392" s="51">
        <f t="shared" si="643"/>
        <v>0</v>
      </c>
      <c r="O392" s="52" t="e">
        <f t="shared" si="644"/>
        <v>#DIV/0!</v>
      </c>
      <c r="P392" s="53">
        <f>COUNTIFS('00 Encuesta'!$B$2:$B$511,"*e)*",'00 Encuesta'!$C$2:$C$511,"*b)*",'00 Encuesta'!$E$2:$E$511,"*a)*",'00 Encuesta'!$AW$2:$AW$511,"*g)*")</f>
        <v>0</v>
      </c>
      <c r="Q392" s="52" t="e">
        <f t="shared" si="645"/>
        <v>#DIV/0!</v>
      </c>
      <c r="R392" s="53">
        <f>COUNTIFS('00 Encuesta'!$B$2:$B$511,"*e)*",'00 Encuesta'!$C$2:$C$511,"*b)*",'00 Encuesta'!$E$2:$E$511,"*b)*",'00 Encuesta'!$AW$2:$AW$511,"*g)*")</f>
        <v>0</v>
      </c>
      <c r="S392" s="52" t="e">
        <f t="shared" si="646"/>
        <v>#DIV/0!</v>
      </c>
      <c r="T392" s="3"/>
      <c r="U392" s="51">
        <f t="shared" si="647"/>
        <v>0</v>
      </c>
      <c r="V392" s="52" t="e">
        <f t="shared" si="648"/>
        <v>#DIV/0!</v>
      </c>
      <c r="W392" s="53">
        <f>COUNTIFS('00 Encuesta'!$B$2:$B$511,"*e)*",'00 Encuesta'!$C$2:$C$511,"*c)*",'00 Encuesta'!$E$2:$E$511,"*a)*",'00 Encuesta'!$AW$2:$AW$511,"*g)*")</f>
        <v>0</v>
      </c>
      <c r="X392" s="52" t="e">
        <f t="shared" si="649"/>
        <v>#DIV/0!</v>
      </c>
      <c r="Y392" s="53">
        <f>COUNTIFS('00 Encuesta'!$B$2:$B$511,"*e)*",'00 Encuesta'!$C$2:$C$511,"*c)*",'00 Encuesta'!$E$2:$E$511,"*b)*",'00 Encuesta'!$AW$2:$AW$511,"*g)*")</f>
        <v>0</v>
      </c>
      <c r="Z392" s="52" t="e">
        <f t="shared" si="650"/>
        <v>#DIV/0!</v>
      </c>
      <c r="AA392" s="3"/>
      <c r="AB392" s="62">
        <f t="shared" si="651"/>
        <v>0</v>
      </c>
      <c r="AC392" s="52" t="e">
        <f t="shared" si="652"/>
        <v>#DIV/0!</v>
      </c>
      <c r="AD392" s="3"/>
      <c r="AE392" s="3"/>
      <c r="AF392" s="9" t="str">
        <f t="shared" si="653"/>
        <v>g) La Orientación profesional futura</v>
      </c>
      <c r="AG392" s="72" t="e">
        <f t="shared" si="660"/>
        <v>#DIV/0!</v>
      </c>
      <c r="AH392" s="72" t="e">
        <f t="shared" si="661"/>
        <v>#DIV/0!</v>
      </c>
      <c r="AI392" s="73" t="e">
        <f t="shared" si="662"/>
        <v>#DIV/0!</v>
      </c>
      <c r="AJ392" s="73"/>
      <c r="AK392" s="76" t="e">
        <f t="shared" si="654"/>
        <v>#DIV/0!</v>
      </c>
      <c r="AL392" s="76" t="e">
        <f t="shared" si="655"/>
        <v>#DIV/0!</v>
      </c>
      <c r="AM392" s="76" t="e">
        <f t="shared" si="656"/>
        <v>#DIV/0!</v>
      </c>
      <c r="AN392" s="76"/>
      <c r="AO392" s="81" t="e">
        <f t="shared" si="657"/>
        <v>#DIV/0!</v>
      </c>
      <c r="AP392" s="81" t="e">
        <f t="shared" si="658"/>
        <v>#DIV/0!</v>
      </c>
      <c r="AQ392" s="81" t="e">
        <f t="shared" si="659"/>
        <v>#DIV/0!</v>
      </c>
      <c r="AR392" s="3"/>
      <c r="AS392" s="76" t="e">
        <f t="shared" si="542"/>
        <v>#DIV/0!</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0</v>
      </c>
      <c r="H393" s="52" t="e">
        <f t="shared" si="640"/>
        <v>#DIV/0!</v>
      </c>
      <c r="I393" s="53">
        <f>COUNTIFS('00 Encuesta'!$B$2:$B$511,"*e)*",'00 Encuesta'!$C$2:$C$511,"*a)*",'00 Encuesta'!$E$2:$E$511,"*a)*",'00 Encuesta'!$AW$2:$AW$511,"*h)*")</f>
        <v>0</v>
      </c>
      <c r="J393" s="52" t="e">
        <f t="shared" si="641"/>
        <v>#DIV/0!</v>
      </c>
      <c r="K393" s="53">
        <f>COUNTIFS('00 Encuesta'!$B$2:$B$511,"*e)*",'00 Encuesta'!$C$2:$C$511,"*a)*",'00 Encuesta'!$E$2:$E$511,"*b)*",'00 Encuesta'!$AW$2:$AW$511,"*h)*")</f>
        <v>0</v>
      </c>
      <c r="L393" s="52" t="e">
        <f t="shared" si="642"/>
        <v>#DIV/0!</v>
      </c>
      <c r="M393" s="23"/>
      <c r="N393" s="51">
        <f t="shared" si="643"/>
        <v>0</v>
      </c>
      <c r="O393" s="52" t="e">
        <f t="shared" si="644"/>
        <v>#DIV/0!</v>
      </c>
      <c r="P393" s="53">
        <f>COUNTIFS('00 Encuesta'!$B$2:$B$511,"*e)*",'00 Encuesta'!$C$2:$C$511,"*b)*",'00 Encuesta'!$E$2:$E$511,"*a)*",'00 Encuesta'!$AW$2:$AW$511,"*h)*")</f>
        <v>0</v>
      </c>
      <c r="Q393" s="52" t="e">
        <f t="shared" si="645"/>
        <v>#DIV/0!</v>
      </c>
      <c r="R393" s="53">
        <f>COUNTIFS('00 Encuesta'!$B$2:$B$511,"*e)*",'00 Encuesta'!$C$2:$C$511,"*b)*",'00 Encuesta'!$E$2:$E$511,"*b)*",'00 Encuesta'!$AW$2:$AW$511,"*h)*")</f>
        <v>0</v>
      </c>
      <c r="S393" s="52" t="e">
        <f t="shared" si="646"/>
        <v>#DIV/0!</v>
      </c>
      <c r="T393" s="3"/>
      <c r="U393" s="51">
        <f t="shared" si="647"/>
        <v>0</v>
      </c>
      <c r="V393" s="52" t="e">
        <f t="shared" si="648"/>
        <v>#DIV/0!</v>
      </c>
      <c r="W393" s="53">
        <f>COUNTIFS('00 Encuesta'!$B$2:$B$511,"*e)*",'00 Encuesta'!$C$2:$C$511,"*c)*",'00 Encuesta'!$E$2:$E$511,"*a)*",'00 Encuesta'!$AW$2:$AW$511,"*h)*")</f>
        <v>0</v>
      </c>
      <c r="X393" s="52" t="e">
        <f t="shared" si="649"/>
        <v>#DIV/0!</v>
      </c>
      <c r="Y393" s="53">
        <f>COUNTIFS('00 Encuesta'!$B$2:$B$511,"*e)*",'00 Encuesta'!$C$2:$C$511,"*c)*",'00 Encuesta'!$E$2:$E$511,"*b)*",'00 Encuesta'!$AW$2:$AW$511,"*h)*")</f>
        <v>0</v>
      </c>
      <c r="Z393" s="52" t="e">
        <f t="shared" si="650"/>
        <v>#DIV/0!</v>
      </c>
      <c r="AA393" s="3"/>
      <c r="AB393" s="62">
        <f t="shared" si="651"/>
        <v>0</v>
      </c>
      <c r="AC393" s="52" t="e">
        <f t="shared" si="652"/>
        <v>#DIV/0!</v>
      </c>
      <c r="AD393" s="3"/>
      <c r="AE393" s="3"/>
      <c r="AF393" s="9" t="str">
        <f t="shared" si="653"/>
        <v>h) La responsabilidad social y servicio a los demás</v>
      </c>
      <c r="AG393" s="72" t="e">
        <f t="shared" si="660"/>
        <v>#DIV/0!</v>
      </c>
      <c r="AH393" s="72" t="e">
        <f t="shared" si="661"/>
        <v>#DIV/0!</v>
      </c>
      <c r="AI393" s="73" t="e">
        <f t="shared" si="662"/>
        <v>#DIV/0!</v>
      </c>
      <c r="AJ393" s="73"/>
      <c r="AK393" s="76" t="e">
        <f t="shared" si="654"/>
        <v>#DIV/0!</v>
      </c>
      <c r="AL393" s="76" t="e">
        <f t="shared" si="655"/>
        <v>#DIV/0!</v>
      </c>
      <c r="AM393" s="76" t="e">
        <f t="shared" si="656"/>
        <v>#DIV/0!</v>
      </c>
      <c r="AN393" s="76"/>
      <c r="AO393" s="81" t="e">
        <f t="shared" si="657"/>
        <v>#DIV/0!</v>
      </c>
      <c r="AP393" s="81" t="e">
        <f t="shared" si="658"/>
        <v>#DIV/0!</v>
      </c>
      <c r="AQ393" s="81" t="e">
        <f t="shared" si="659"/>
        <v>#DIV/0!</v>
      </c>
      <c r="AR393" s="3"/>
      <c r="AS393" s="76" t="e">
        <f t="shared" si="542"/>
        <v>#DIV/0!</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x14ac:dyDescent="0.3">
      <c r="A394" s="1" t="s">
        <v>65</v>
      </c>
      <c r="B394" s="2" t="s">
        <v>247</v>
      </c>
      <c r="C394" s="3"/>
      <c r="D394" s="3"/>
      <c r="E394" s="3"/>
      <c r="F394" s="4"/>
      <c r="G394" s="51">
        <f t="shared" si="639"/>
        <v>0</v>
      </c>
      <c r="H394" s="52" t="e">
        <f t="shared" si="640"/>
        <v>#DIV/0!</v>
      </c>
      <c r="I394" s="53">
        <f>COUNTIFS('00 Encuesta'!$B$2:$B$511,"*e)*",'00 Encuesta'!$C$2:$C$511,"*a)*",'00 Encuesta'!$E$2:$E$511,"*a)*",'00 Encuesta'!$AW$2:$AW$511,"*i)*")</f>
        <v>0</v>
      </c>
      <c r="J394" s="52" t="e">
        <f t="shared" si="641"/>
        <v>#DIV/0!</v>
      </c>
      <c r="K394" s="53">
        <f>COUNTIFS('00 Encuesta'!$B$2:$B$511,"*e)*",'00 Encuesta'!$C$2:$C$511,"*a)*",'00 Encuesta'!$E$2:$E$511,"*b)*",'00 Encuesta'!$AW$2:$AW$511,"*i)*")</f>
        <v>0</v>
      </c>
      <c r="L394" s="52" t="e">
        <f t="shared" si="642"/>
        <v>#DIV/0!</v>
      </c>
      <c r="M394" s="23"/>
      <c r="N394" s="51">
        <f t="shared" si="643"/>
        <v>0</v>
      </c>
      <c r="O394" s="52" t="e">
        <f t="shared" si="644"/>
        <v>#DIV/0!</v>
      </c>
      <c r="P394" s="53">
        <f>COUNTIFS('00 Encuesta'!$B$2:$B$511,"*e)*",'00 Encuesta'!$C$2:$C$511,"*b)*",'00 Encuesta'!$E$2:$E$511,"*a)*",'00 Encuesta'!$AW$2:$AW$511,"*i)*")</f>
        <v>0</v>
      </c>
      <c r="Q394" s="52" t="e">
        <f t="shared" si="645"/>
        <v>#DIV/0!</v>
      </c>
      <c r="R394" s="53">
        <f>COUNTIFS('00 Encuesta'!$B$2:$B$511,"*e)*",'00 Encuesta'!$C$2:$C$511,"*b)*",'00 Encuesta'!$E$2:$E$511,"*b)*",'00 Encuesta'!$AW$2:$AW$511,"*i)*")</f>
        <v>0</v>
      </c>
      <c r="S394" s="52" t="e">
        <f t="shared" si="646"/>
        <v>#DIV/0!</v>
      </c>
      <c r="T394" s="3"/>
      <c r="U394" s="51">
        <f t="shared" si="647"/>
        <v>0</v>
      </c>
      <c r="V394" s="52" t="e">
        <f t="shared" si="648"/>
        <v>#DIV/0!</v>
      </c>
      <c r="W394" s="53">
        <f>COUNTIFS('00 Encuesta'!$B$2:$B$511,"*e)*",'00 Encuesta'!$C$2:$C$511,"*c)*",'00 Encuesta'!$E$2:$E$511,"*a)*",'00 Encuesta'!$AW$2:$AW$511,"*i)*")</f>
        <v>0</v>
      </c>
      <c r="X394" s="52" t="e">
        <f t="shared" si="649"/>
        <v>#DIV/0!</v>
      </c>
      <c r="Y394" s="53">
        <f>COUNTIFS('00 Encuesta'!$B$2:$B$511,"*e)*",'00 Encuesta'!$C$2:$C$511,"*c)*",'00 Encuesta'!$E$2:$E$511,"*b)*",'00 Encuesta'!$AW$2:$AW$511,"*i)*")</f>
        <v>0</v>
      </c>
      <c r="Z394" s="52" t="e">
        <f t="shared" si="650"/>
        <v>#DIV/0!</v>
      </c>
      <c r="AA394" s="3"/>
      <c r="AB394" s="62">
        <f t="shared" si="651"/>
        <v>0</v>
      </c>
      <c r="AC394" s="52" t="e">
        <f t="shared" si="652"/>
        <v>#DIV/0!</v>
      </c>
      <c r="AD394" s="3"/>
      <c r="AE394" s="3"/>
      <c r="AF394" s="9" t="str">
        <f t="shared" si="653"/>
        <v>i) En nada</v>
      </c>
      <c r="AG394" s="72" t="e">
        <f t="shared" si="660"/>
        <v>#DIV/0!</v>
      </c>
      <c r="AH394" s="72" t="e">
        <f t="shared" si="661"/>
        <v>#DIV/0!</v>
      </c>
      <c r="AI394" s="73" t="e">
        <f t="shared" si="662"/>
        <v>#DIV/0!</v>
      </c>
      <c r="AJ394" s="73"/>
      <c r="AK394" s="76" t="e">
        <f t="shared" si="654"/>
        <v>#DIV/0!</v>
      </c>
      <c r="AL394" s="76" t="e">
        <f t="shared" si="655"/>
        <v>#DIV/0!</v>
      </c>
      <c r="AM394" s="76" t="e">
        <f t="shared" si="656"/>
        <v>#DIV/0!</v>
      </c>
      <c r="AN394" s="76"/>
      <c r="AO394" s="81" t="e">
        <f t="shared" si="657"/>
        <v>#DIV/0!</v>
      </c>
      <c r="AP394" s="81" t="e">
        <f t="shared" si="658"/>
        <v>#DIV/0!</v>
      </c>
      <c r="AQ394" s="81" t="e">
        <f t="shared" si="659"/>
        <v>#DIV/0!</v>
      </c>
      <c r="AR394" s="3"/>
      <c r="AS394" s="76" t="e">
        <f t="shared" si="542"/>
        <v>#DIV/0!</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x14ac:dyDescent="0.3">
      <c r="A397" s="1" t="s">
        <v>17</v>
      </c>
      <c r="B397" s="2" t="s">
        <v>249</v>
      </c>
      <c r="C397" s="3"/>
      <c r="D397" s="3"/>
      <c r="E397" s="3"/>
      <c r="F397" s="4"/>
      <c r="G397" s="51">
        <f t="shared" ref="G397:G404" si="663">I397+K397</f>
        <v>0</v>
      </c>
      <c r="H397" s="52" t="e">
        <f t="shared" ref="H397:H404" si="664">G397/$J$5*100</f>
        <v>#DIV/0!</v>
      </c>
      <c r="I397" s="53">
        <f>COUNTIFS('00 Encuesta'!$B$2:$B$511,"*e)*",'00 Encuesta'!$C$2:$C$511,"*a)*",'00 Encuesta'!$E$2:$E$511,"*a)*",'00 Encuesta'!$AX$2:$AX$511,"*a)*")</f>
        <v>0</v>
      </c>
      <c r="J397" s="52" t="e">
        <f t="shared" ref="J397:J404" si="665">I397/$J$6*100</f>
        <v>#DIV/0!</v>
      </c>
      <c r="K397" s="53">
        <f>COUNTIFS('00 Encuesta'!$B$2:$B$511,"*e)*",'00 Encuesta'!$C$2:$C$511,"*a)*",'00 Encuesta'!$E$2:$E$511,"*b)*",'00 Encuesta'!$AX$2:$AX$511,"*a)*")</f>
        <v>0</v>
      </c>
      <c r="L397" s="52" t="e">
        <f t="shared" ref="L397:L404" si="666">K397/$J$7*100</f>
        <v>#DIV/0!</v>
      </c>
      <c r="M397" s="23"/>
      <c r="N397" s="51">
        <f t="shared" ref="N397:N404" si="667">P397+R397</f>
        <v>0</v>
      </c>
      <c r="O397" s="52" t="e">
        <f t="shared" ref="O397:O404" si="668">N397/$Q$5*100</f>
        <v>#DIV/0!</v>
      </c>
      <c r="P397" s="53">
        <f>COUNTIFS('00 Encuesta'!$B$2:$B$511,"*e)*",'00 Encuesta'!$C$2:$C$511,"*b)*",'00 Encuesta'!$E$2:$E$511,"*a)*",'00 Encuesta'!$AX$2:$AX$511,"*a)*")</f>
        <v>0</v>
      </c>
      <c r="Q397" s="52" t="e">
        <f t="shared" ref="Q397:Q404" si="669">P397/$Q$6*100</f>
        <v>#DIV/0!</v>
      </c>
      <c r="R397" s="53">
        <f>COUNTIFS('00 Encuesta'!$B$2:$B$511,"*e)*",'00 Encuesta'!$C$2:$C$511,"*b)*",'00 Encuesta'!$E$2:$E$511,"*b)*",'00 Encuesta'!$AX$2:$AX$511,"*a)*")</f>
        <v>0</v>
      </c>
      <c r="S397" s="52" t="e">
        <f t="shared" ref="S397:S404" si="670">R397/$Q$7*100</f>
        <v>#DIV/0!</v>
      </c>
      <c r="T397" s="3"/>
      <c r="U397" s="51">
        <f t="shared" ref="U397:U404" si="671">W397+Y397</f>
        <v>0</v>
      </c>
      <c r="V397" s="52" t="e">
        <f t="shared" ref="V397:V404" si="672">U397/$X$5*100</f>
        <v>#DIV/0!</v>
      </c>
      <c r="W397" s="53">
        <f>COUNTIFS('00 Encuesta'!$B$2:$B$511,"*e)*",'00 Encuesta'!$C$2:$C$511,"*c)*",'00 Encuesta'!$E$2:$E$511,"*a)*",'00 Encuesta'!$AX$2:$AX$511,"*a)*")</f>
        <v>0</v>
      </c>
      <c r="X397" s="52" t="e">
        <f t="shared" ref="X397:X404" si="673">W397/$X$6*100</f>
        <v>#DIV/0!</v>
      </c>
      <c r="Y397" s="53">
        <f>COUNTIFS('00 Encuesta'!$B$2:$B$511,"*e)*",'00 Encuesta'!$C$2:$C$511,"*c)*",'00 Encuesta'!$E$2:$E$511,"*b)*",'00 Encuesta'!$AX$2:$AX$511,"*a)*")</f>
        <v>0</v>
      </c>
      <c r="Z397" s="52" t="e">
        <f t="shared" ref="Z397:Z404" si="674">Y397/$X$7*100</f>
        <v>#DIV/0!</v>
      </c>
      <c r="AA397" s="3"/>
      <c r="AB397" s="62">
        <f t="shared" ref="AB397:AB404" si="675">G397+N397+U397</f>
        <v>0</v>
      </c>
      <c r="AC397" s="52" t="e">
        <f t="shared" ref="AC397:AC404" si="676">AB397*100/$AC$5</f>
        <v>#DIV/0!</v>
      </c>
      <c r="AD397" s="3"/>
      <c r="AE397" s="3"/>
      <c r="AF397" s="9" t="str">
        <f t="shared" ref="AF397:AF404" si="677">A397&amp;" "&amp;B397</f>
        <v>a) Que sea un buen profesional</v>
      </c>
      <c r="AG397" s="72" t="e">
        <f t="shared" ref="AG397:AG404" si="678">J397</f>
        <v>#DIV/0!</v>
      </c>
      <c r="AH397" s="72" t="e">
        <f t="shared" ref="AH397:AH404" si="679">L397</f>
        <v>#DIV/0!</v>
      </c>
      <c r="AI397" s="73" t="e">
        <f t="shared" ref="AI397:AI404" si="680">H397</f>
        <v>#DIV/0!</v>
      </c>
      <c r="AJ397" s="73"/>
      <c r="AK397" s="76" t="e">
        <f t="shared" ref="AK397:AK404" si="681">Q397</f>
        <v>#DIV/0!</v>
      </c>
      <c r="AL397" s="76" t="e">
        <f t="shared" ref="AL397:AL404" si="682">S397</f>
        <v>#DIV/0!</v>
      </c>
      <c r="AM397" s="76" t="e">
        <f t="shared" ref="AM397:AM404" si="683">O397</f>
        <v>#DIV/0!</v>
      </c>
      <c r="AN397" s="76"/>
      <c r="AO397" s="81" t="e">
        <f t="shared" ref="AO397:AO404" si="684">X397</f>
        <v>#DIV/0!</v>
      </c>
      <c r="AP397" s="81" t="e">
        <f t="shared" ref="AP397:AP404" si="685">Z397</f>
        <v>#DIV/0!</v>
      </c>
      <c r="AQ397" s="81" t="e">
        <f t="shared" ref="AQ397:AQ404" si="686">V397</f>
        <v>#DIV/0!</v>
      </c>
      <c r="AR397" s="3"/>
      <c r="AS397" s="76" t="e">
        <f t="shared" si="542"/>
        <v>#DIV/0!</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0</v>
      </c>
      <c r="H398" s="52" t="e">
        <f t="shared" si="664"/>
        <v>#DIV/0!</v>
      </c>
      <c r="I398" s="53">
        <f>COUNTIFS('00 Encuesta'!$B$2:$B$511,"*e)*",'00 Encuesta'!$C$2:$C$511,"*a)*",'00 Encuesta'!$E$2:$E$511,"*a)*",'00 Encuesta'!$AX$2:$AX$511,"*b)*")</f>
        <v>0</v>
      </c>
      <c r="J398" s="52" t="e">
        <f t="shared" si="665"/>
        <v>#DIV/0!</v>
      </c>
      <c r="K398" s="53">
        <f>COUNTIFS('00 Encuesta'!$B$2:$B$511,"*e)*",'00 Encuesta'!$C$2:$C$511,"*a)*",'00 Encuesta'!$E$2:$E$511,"*b)*",'00 Encuesta'!$AX$2:$AX$511,"*b)*")</f>
        <v>0</v>
      </c>
      <c r="L398" s="52" t="e">
        <f t="shared" si="666"/>
        <v>#DIV/0!</v>
      </c>
      <c r="M398" s="23"/>
      <c r="N398" s="51">
        <f t="shared" si="667"/>
        <v>0</v>
      </c>
      <c r="O398" s="52" t="e">
        <f t="shared" si="668"/>
        <v>#DIV/0!</v>
      </c>
      <c r="P398" s="53">
        <f>COUNTIFS('00 Encuesta'!$B$2:$B$511,"*e)*",'00 Encuesta'!$C$2:$C$511,"*b)*",'00 Encuesta'!$E$2:$E$511,"*a)*",'00 Encuesta'!$AX$2:$AX$511,"*b)*")</f>
        <v>0</v>
      </c>
      <c r="Q398" s="52" t="e">
        <f t="shared" si="669"/>
        <v>#DIV/0!</v>
      </c>
      <c r="R398" s="53">
        <f>COUNTIFS('00 Encuesta'!$B$2:$B$511,"*e)*",'00 Encuesta'!$C$2:$C$511,"*b)*",'00 Encuesta'!$E$2:$E$511,"*b)*",'00 Encuesta'!$AX$2:$AX$511,"*b)*")</f>
        <v>0</v>
      </c>
      <c r="S398" s="52" t="e">
        <f t="shared" si="670"/>
        <v>#DIV/0!</v>
      </c>
      <c r="T398" s="3"/>
      <c r="U398" s="51">
        <f t="shared" si="671"/>
        <v>0</v>
      </c>
      <c r="V398" s="52" t="e">
        <f t="shared" si="672"/>
        <v>#DIV/0!</v>
      </c>
      <c r="W398" s="53">
        <f>COUNTIFS('00 Encuesta'!$B$2:$B$511,"*e)*",'00 Encuesta'!$C$2:$C$511,"*c)*",'00 Encuesta'!$E$2:$E$511,"*a)*",'00 Encuesta'!$AX$2:$AX$511,"*b)*")</f>
        <v>0</v>
      </c>
      <c r="X398" s="52" t="e">
        <f t="shared" si="673"/>
        <v>#DIV/0!</v>
      </c>
      <c r="Y398" s="53">
        <f>COUNTIFS('00 Encuesta'!$B$2:$B$511,"*e)*",'00 Encuesta'!$C$2:$C$511,"*c)*",'00 Encuesta'!$E$2:$E$511,"*b)*",'00 Encuesta'!$AX$2:$AX$511,"*b)*")</f>
        <v>0</v>
      </c>
      <c r="Z398" s="52" t="e">
        <f t="shared" si="674"/>
        <v>#DIV/0!</v>
      </c>
      <c r="AA398" s="3"/>
      <c r="AB398" s="62">
        <f t="shared" si="675"/>
        <v>0</v>
      </c>
      <c r="AC398" s="52" t="e">
        <f t="shared" si="676"/>
        <v>#DIV/0!</v>
      </c>
      <c r="AD398" s="3"/>
      <c r="AE398" s="3"/>
      <c r="AF398" s="9" t="str">
        <f t="shared" si="677"/>
        <v>b) Darme una buena ocupaciòn</v>
      </c>
      <c r="AG398" s="72" t="e">
        <f t="shared" si="678"/>
        <v>#DIV/0!</v>
      </c>
      <c r="AH398" s="72" t="e">
        <f t="shared" si="679"/>
        <v>#DIV/0!</v>
      </c>
      <c r="AI398" s="73" t="e">
        <f t="shared" si="680"/>
        <v>#DIV/0!</v>
      </c>
      <c r="AJ398" s="73"/>
      <c r="AK398" s="76" t="e">
        <f t="shared" si="681"/>
        <v>#DIV/0!</v>
      </c>
      <c r="AL398" s="76" t="e">
        <f t="shared" si="682"/>
        <v>#DIV/0!</v>
      </c>
      <c r="AM398" s="76" t="e">
        <f t="shared" si="683"/>
        <v>#DIV/0!</v>
      </c>
      <c r="AN398" s="76"/>
      <c r="AO398" s="81" t="e">
        <f t="shared" si="684"/>
        <v>#DIV/0!</v>
      </c>
      <c r="AP398" s="81" t="e">
        <f t="shared" si="685"/>
        <v>#DIV/0!</v>
      </c>
      <c r="AQ398" s="81" t="e">
        <f t="shared" si="686"/>
        <v>#DIV/0!</v>
      </c>
      <c r="AR398" s="3"/>
      <c r="AS398" s="76" t="e">
        <f t="shared" si="542"/>
        <v>#DIV/0!</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0</v>
      </c>
      <c r="H399" s="52" t="e">
        <f t="shared" si="664"/>
        <v>#DIV/0!</v>
      </c>
      <c r="I399" s="53">
        <f>COUNTIFS('00 Encuesta'!$B$2:$B$511,"*e)*",'00 Encuesta'!$C$2:$C$511,"*a)*",'00 Encuesta'!$E$2:$E$511,"*a)*",'00 Encuesta'!$AX$2:$AX$511,"*c)*")</f>
        <v>0</v>
      </c>
      <c r="J399" s="52" t="e">
        <f t="shared" si="665"/>
        <v>#DIV/0!</v>
      </c>
      <c r="K399" s="53">
        <f>COUNTIFS('00 Encuesta'!$B$2:$B$511,"*e)*",'00 Encuesta'!$C$2:$C$511,"*a)*",'00 Encuesta'!$E$2:$E$511,"*b)*",'00 Encuesta'!$AX$2:$AX$511,"*c)*")</f>
        <v>0</v>
      </c>
      <c r="L399" s="52" t="e">
        <f t="shared" si="666"/>
        <v>#DIV/0!</v>
      </c>
      <c r="M399" s="23"/>
      <c r="N399" s="51">
        <f t="shared" si="667"/>
        <v>0</v>
      </c>
      <c r="O399" s="52" t="e">
        <f t="shared" si="668"/>
        <v>#DIV/0!</v>
      </c>
      <c r="P399" s="53">
        <f>COUNTIFS('00 Encuesta'!$B$2:$B$511,"*e)*",'00 Encuesta'!$C$2:$C$511,"*b)*",'00 Encuesta'!$E$2:$E$511,"*a)*",'00 Encuesta'!$AX$2:$AX$511,"*c)*")</f>
        <v>0</v>
      </c>
      <c r="Q399" s="52" t="e">
        <f t="shared" si="669"/>
        <v>#DIV/0!</v>
      </c>
      <c r="R399" s="53">
        <f>COUNTIFS('00 Encuesta'!$B$2:$B$511,"*e)*",'00 Encuesta'!$C$2:$C$511,"*b)*",'00 Encuesta'!$E$2:$E$511,"*b)*",'00 Encuesta'!$AX$2:$AX$511,"*c)*")</f>
        <v>0</v>
      </c>
      <c r="S399" s="52" t="e">
        <f t="shared" si="670"/>
        <v>#DIV/0!</v>
      </c>
      <c r="T399" s="3"/>
      <c r="U399" s="51">
        <f t="shared" si="671"/>
        <v>0</v>
      </c>
      <c r="V399" s="52" t="e">
        <f t="shared" si="672"/>
        <v>#DIV/0!</v>
      </c>
      <c r="W399" s="53">
        <f>COUNTIFS('00 Encuesta'!$B$2:$B$511,"*e)*",'00 Encuesta'!$C$2:$C$511,"*c)*",'00 Encuesta'!$E$2:$E$511,"*a)*",'00 Encuesta'!$AX$2:$AX$511,"*c)*")</f>
        <v>0</v>
      </c>
      <c r="X399" s="52" t="e">
        <f t="shared" si="673"/>
        <v>#DIV/0!</v>
      </c>
      <c r="Y399" s="53">
        <f>COUNTIFS('00 Encuesta'!$B$2:$B$511,"*e)*",'00 Encuesta'!$C$2:$C$511,"*c)*",'00 Encuesta'!$E$2:$E$511,"*b)*",'00 Encuesta'!$AX$2:$AX$511,"*c)*")</f>
        <v>0</v>
      </c>
      <c r="Z399" s="52" t="e">
        <f t="shared" si="674"/>
        <v>#DIV/0!</v>
      </c>
      <c r="AA399" s="3"/>
      <c r="AB399" s="62">
        <f>G399+N399+U399</f>
        <v>0</v>
      </c>
      <c r="AC399" s="52" t="e">
        <f t="shared" si="676"/>
        <v>#DIV/0!</v>
      </c>
      <c r="AD399" s="3"/>
      <c r="AE399" s="3"/>
      <c r="AF399" s="9" t="str">
        <f t="shared" si="677"/>
        <v>c) Que me preocupe de los demàs</v>
      </c>
      <c r="AG399" s="72" t="e">
        <f t="shared" si="678"/>
        <v>#DIV/0!</v>
      </c>
      <c r="AH399" s="72" t="e">
        <f t="shared" si="679"/>
        <v>#DIV/0!</v>
      </c>
      <c r="AI399" s="73" t="e">
        <f t="shared" si="680"/>
        <v>#DIV/0!</v>
      </c>
      <c r="AJ399" s="73"/>
      <c r="AK399" s="76" t="e">
        <f t="shared" si="681"/>
        <v>#DIV/0!</v>
      </c>
      <c r="AL399" s="76" t="e">
        <f t="shared" si="682"/>
        <v>#DIV/0!</v>
      </c>
      <c r="AM399" s="76" t="e">
        <f t="shared" si="683"/>
        <v>#DIV/0!</v>
      </c>
      <c r="AN399" s="76"/>
      <c r="AO399" s="81" t="e">
        <f t="shared" si="684"/>
        <v>#DIV/0!</v>
      </c>
      <c r="AP399" s="81" t="e">
        <f t="shared" si="685"/>
        <v>#DIV/0!</v>
      </c>
      <c r="AQ399" s="81" t="e">
        <f t="shared" si="686"/>
        <v>#DIV/0!</v>
      </c>
      <c r="AR399" s="3"/>
      <c r="AS399" s="76" t="e">
        <f t="shared" si="542"/>
        <v>#DIV/0!</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0</v>
      </c>
      <c r="H400" s="52" t="e">
        <f t="shared" si="664"/>
        <v>#DIV/0!</v>
      </c>
      <c r="I400" s="53">
        <f>COUNTIFS('00 Encuesta'!$B$2:$B$511,"*e)*",'00 Encuesta'!$C$2:$C$511,"*a)*",'00 Encuesta'!$E$2:$E$511,"*a)*",'00 Encuesta'!$AX$2:$AX$511,"*d)*")</f>
        <v>0</v>
      </c>
      <c r="J400" s="52" t="e">
        <f t="shared" si="665"/>
        <v>#DIV/0!</v>
      </c>
      <c r="K400" s="53">
        <f>COUNTIFS('00 Encuesta'!$B$2:$B$511,"*e)*",'00 Encuesta'!$C$2:$C$511,"*a)*",'00 Encuesta'!$E$2:$E$511,"*b)*",'00 Encuesta'!$AX$2:$AX$511,"*d)*")</f>
        <v>0</v>
      </c>
      <c r="L400" s="52" t="e">
        <f t="shared" si="666"/>
        <v>#DIV/0!</v>
      </c>
      <c r="M400" s="23"/>
      <c r="N400" s="51">
        <f t="shared" si="667"/>
        <v>0</v>
      </c>
      <c r="O400" s="52" t="e">
        <f t="shared" si="668"/>
        <v>#DIV/0!</v>
      </c>
      <c r="P400" s="53">
        <f>COUNTIFS('00 Encuesta'!$B$2:$B$511,"*e)*",'00 Encuesta'!$C$2:$C$511,"*b)*",'00 Encuesta'!$E$2:$E$511,"*a)*",'00 Encuesta'!$AX$2:$AX$511,"*d)*")</f>
        <v>0</v>
      </c>
      <c r="Q400" s="52" t="e">
        <f t="shared" si="669"/>
        <v>#DIV/0!</v>
      </c>
      <c r="R400" s="53">
        <f>COUNTIFS('00 Encuesta'!$B$2:$B$511,"*e)*",'00 Encuesta'!$C$2:$C$511,"*b)*",'00 Encuesta'!$E$2:$E$511,"*b)*",'00 Encuesta'!$AX$2:$AX$511,"*d)*")</f>
        <v>0</v>
      </c>
      <c r="S400" s="52" t="e">
        <f t="shared" si="670"/>
        <v>#DIV/0!</v>
      </c>
      <c r="T400" s="3"/>
      <c r="U400" s="51">
        <f t="shared" si="671"/>
        <v>0</v>
      </c>
      <c r="V400" s="52" t="e">
        <f t="shared" si="672"/>
        <v>#DIV/0!</v>
      </c>
      <c r="W400" s="53">
        <f>COUNTIFS('00 Encuesta'!$B$2:$B$511,"*e)*",'00 Encuesta'!$C$2:$C$511,"*c)*",'00 Encuesta'!$E$2:$E$511,"*a)*",'00 Encuesta'!$AX$2:$AX$511,"*d)*")</f>
        <v>0</v>
      </c>
      <c r="X400" s="52" t="e">
        <f t="shared" si="673"/>
        <v>#DIV/0!</v>
      </c>
      <c r="Y400" s="53">
        <f>COUNTIFS('00 Encuesta'!$B$2:$B$511,"*e)*",'00 Encuesta'!$C$2:$C$511,"*c)*",'00 Encuesta'!$E$2:$E$511,"*b)*",'00 Encuesta'!$AX$2:$AX$511,"*d)*")</f>
        <v>0</v>
      </c>
      <c r="Z400" s="52" t="e">
        <f t="shared" si="674"/>
        <v>#DIV/0!</v>
      </c>
      <c r="AA400" s="3"/>
      <c r="AB400" s="62">
        <f t="shared" si="675"/>
        <v>0</v>
      </c>
      <c r="AC400" s="52" t="e">
        <f t="shared" si="676"/>
        <v>#DIV/0!</v>
      </c>
      <c r="AD400" s="3"/>
      <c r="AE400" s="3"/>
      <c r="AF400" s="9" t="str">
        <f t="shared" si="677"/>
        <v>d) Que ayude econòmicamente a la familia</v>
      </c>
      <c r="AG400" s="72" t="e">
        <f t="shared" si="678"/>
        <v>#DIV/0!</v>
      </c>
      <c r="AH400" s="72" t="e">
        <f t="shared" si="679"/>
        <v>#DIV/0!</v>
      </c>
      <c r="AI400" s="73" t="e">
        <f t="shared" si="680"/>
        <v>#DIV/0!</v>
      </c>
      <c r="AJ400" s="73"/>
      <c r="AK400" s="76" t="e">
        <f t="shared" si="681"/>
        <v>#DIV/0!</v>
      </c>
      <c r="AL400" s="76" t="e">
        <f t="shared" si="682"/>
        <v>#DIV/0!</v>
      </c>
      <c r="AM400" s="76" t="e">
        <f t="shared" si="683"/>
        <v>#DIV/0!</v>
      </c>
      <c r="AN400" s="76"/>
      <c r="AO400" s="81" t="e">
        <f t="shared" si="684"/>
        <v>#DIV/0!</v>
      </c>
      <c r="AP400" s="81" t="e">
        <f t="shared" si="685"/>
        <v>#DIV/0!</v>
      </c>
      <c r="AQ400" s="81" t="e">
        <f t="shared" si="686"/>
        <v>#DIV/0!</v>
      </c>
      <c r="AR400" s="3"/>
      <c r="AS400" s="76" t="e">
        <f t="shared" si="542"/>
        <v>#DIV/0!</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x14ac:dyDescent="0.3">
      <c r="A401" s="1" t="s">
        <v>22</v>
      </c>
      <c r="B401" s="2" t="s">
        <v>253</v>
      </c>
      <c r="C401" s="3"/>
      <c r="D401" s="3"/>
      <c r="E401" s="3"/>
      <c r="F401" s="4"/>
      <c r="G401" s="51">
        <f t="shared" si="663"/>
        <v>0</v>
      </c>
      <c r="H401" s="52" t="e">
        <f t="shared" si="664"/>
        <v>#DIV/0!</v>
      </c>
      <c r="I401" s="53">
        <f>COUNTIFS('00 Encuesta'!$B$2:$B$511,"*e)*",'00 Encuesta'!$C$2:$C$511,"*a)*",'00 Encuesta'!$E$2:$E$511,"*a)*",'00 Encuesta'!$AX$2:$AX$511,"*e)*")</f>
        <v>0</v>
      </c>
      <c r="J401" s="52" t="e">
        <f t="shared" si="665"/>
        <v>#DIV/0!</v>
      </c>
      <c r="K401" s="53">
        <f>COUNTIFS('00 Encuesta'!$B$2:$B$511,"*e)*",'00 Encuesta'!$C$2:$C$511,"*a)*",'00 Encuesta'!$E$2:$E$511,"*b)*",'00 Encuesta'!$AX$2:$AX$511,"*e)*")</f>
        <v>0</v>
      </c>
      <c r="L401" s="52" t="e">
        <f t="shared" si="666"/>
        <v>#DIV/0!</v>
      </c>
      <c r="M401" s="23"/>
      <c r="N401" s="51">
        <f t="shared" si="667"/>
        <v>0</v>
      </c>
      <c r="O401" s="52" t="e">
        <f t="shared" si="668"/>
        <v>#DIV/0!</v>
      </c>
      <c r="P401" s="53">
        <f>COUNTIFS('00 Encuesta'!$B$2:$B$511,"*e)*",'00 Encuesta'!$C$2:$C$511,"*b)*",'00 Encuesta'!$E$2:$E$511,"*a)*",'00 Encuesta'!$AX$2:$AX$511,"*e)*")</f>
        <v>0</v>
      </c>
      <c r="Q401" s="52" t="e">
        <f t="shared" si="669"/>
        <v>#DIV/0!</v>
      </c>
      <c r="R401" s="53">
        <f>COUNTIFS('00 Encuesta'!$B$2:$B$511,"*e)*",'00 Encuesta'!$C$2:$C$511,"*b)*",'00 Encuesta'!$E$2:$E$511,"*b)*",'00 Encuesta'!$AX$2:$AX$511,"*e)*")</f>
        <v>0</v>
      </c>
      <c r="S401" s="52" t="e">
        <f t="shared" si="670"/>
        <v>#DIV/0!</v>
      </c>
      <c r="T401" s="3"/>
      <c r="U401" s="51">
        <f t="shared" si="671"/>
        <v>0</v>
      </c>
      <c r="V401" s="52" t="e">
        <f t="shared" si="672"/>
        <v>#DIV/0!</v>
      </c>
      <c r="W401" s="53">
        <f>COUNTIFS('00 Encuesta'!$B$2:$B$511,"*e)*",'00 Encuesta'!$C$2:$C$511,"*c)*",'00 Encuesta'!$E$2:$E$511,"*a)*",'00 Encuesta'!$AX$2:$AX$511,"*e)*")</f>
        <v>0</v>
      </c>
      <c r="X401" s="52" t="e">
        <f t="shared" si="673"/>
        <v>#DIV/0!</v>
      </c>
      <c r="Y401" s="53">
        <f>COUNTIFS('00 Encuesta'!$B$2:$B$511,"*e)*",'00 Encuesta'!$C$2:$C$511,"*c)*",'00 Encuesta'!$E$2:$E$511,"*b)*",'00 Encuesta'!$AX$2:$AX$511,"*e)*")</f>
        <v>0</v>
      </c>
      <c r="Z401" s="52" t="e">
        <f t="shared" si="674"/>
        <v>#DIV/0!</v>
      </c>
      <c r="AA401" s="3"/>
      <c r="AB401" s="62">
        <f t="shared" si="675"/>
        <v>0</v>
      </c>
      <c r="AC401" s="52" t="e">
        <f t="shared" si="676"/>
        <v>#DIV/0!</v>
      </c>
      <c r="AD401" s="3"/>
      <c r="AE401" s="3"/>
      <c r="AF401" s="9" t="str">
        <f t="shared" si="677"/>
        <v>e) Que sea cristiano responsable</v>
      </c>
      <c r="AG401" s="72" t="e">
        <f t="shared" si="678"/>
        <v>#DIV/0!</v>
      </c>
      <c r="AH401" s="72" t="e">
        <f t="shared" si="679"/>
        <v>#DIV/0!</v>
      </c>
      <c r="AI401" s="73" t="e">
        <f t="shared" si="680"/>
        <v>#DIV/0!</v>
      </c>
      <c r="AJ401" s="73"/>
      <c r="AK401" s="76" t="e">
        <f t="shared" si="681"/>
        <v>#DIV/0!</v>
      </c>
      <c r="AL401" s="76" t="e">
        <f t="shared" si="682"/>
        <v>#DIV/0!</v>
      </c>
      <c r="AM401" s="76" t="e">
        <f t="shared" si="683"/>
        <v>#DIV/0!</v>
      </c>
      <c r="AN401" s="76"/>
      <c r="AO401" s="81" t="e">
        <f t="shared" si="684"/>
        <v>#DIV/0!</v>
      </c>
      <c r="AP401" s="81" t="e">
        <f t="shared" si="685"/>
        <v>#DIV/0!</v>
      </c>
      <c r="AQ401" s="81" t="e">
        <f t="shared" si="686"/>
        <v>#DIV/0!</v>
      </c>
      <c r="AR401" s="3"/>
      <c r="AS401" s="76" t="e">
        <f t="shared" si="542"/>
        <v>#DIV/0!</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x14ac:dyDescent="0.3">
      <c r="A402" s="1" t="s">
        <v>45</v>
      </c>
      <c r="B402" s="2" t="s">
        <v>254</v>
      </c>
      <c r="C402" s="3"/>
      <c r="D402" s="3"/>
      <c r="E402" s="3"/>
      <c r="F402" s="4"/>
      <c r="G402" s="51">
        <f t="shared" si="663"/>
        <v>0</v>
      </c>
      <c r="H402" s="52" t="e">
        <f t="shared" si="664"/>
        <v>#DIV/0!</v>
      </c>
      <c r="I402" s="53">
        <f>COUNTIFS('00 Encuesta'!$B$2:$B$511,"*e)*",'00 Encuesta'!$C$2:$C$511,"*a)*",'00 Encuesta'!$E$2:$E$511,"*a)*",'00 Encuesta'!$AX$2:$AX$511,"*f)*")</f>
        <v>0</v>
      </c>
      <c r="J402" s="52" t="e">
        <f t="shared" si="665"/>
        <v>#DIV/0!</v>
      </c>
      <c r="K402" s="53">
        <f>COUNTIFS('00 Encuesta'!$B$2:$B$511,"*e)*",'00 Encuesta'!$C$2:$C$511,"*a)*",'00 Encuesta'!$E$2:$E$511,"*b)*",'00 Encuesta'!$AX$2:$AX$511,"*f)*")</f>
        <v>0</v>
      </c>
      <c r="L402" s="52" t="e">
        <f t="shared" si="666"/>
        <v>#DIV/0!</v>
      </c>
      <c r="M402" s="23"/>
      <c r="N402" s="51">
        <f t="shared" si="667"/>
        <v>0</v>
      </c>
      <c r="O402" s="52" t="e">
        <f t="shared" si="668"/>
        <v>#DIV/0!</v>
      </c>
      <c r="P402" s="53">
        <f>COUNTIFS('00 Encuesta'!$B$2:$B$511,"*e)*",'00 Encuesta'!$C$2:$C$511,"*b)*",'00 Encuesta'!$E$2:$E$511,"*a)*",'00 Encuesta'!$AX$2:$AX$511,"*f)*")</f>
        <v>0</v>
      </c>
      <c r="Q402" s="52" t="e">
        <f t="shared" si="669"/>
        <v>#DIV/0!</v>
      </c>
      <c r="R402" s="53">
        <f>COUNTIFS('00 Encuesta'!$B$2:$B$511,"*e)*",'00 Encuesta'!$C$2:$C$511,"*b)*",'00 Encuesta'!$E$2:$E$511,"*b)*",'00 Encuesta'!$AX$2:$AX$511,"*f)*")</f>
        <v>0</v>
      </c>
      <c r="S402" s="52" t="e">
        <f t="shared" si="670"/>
        <v>#DIV/0!</v>
      </c>
      <c r="T402" s="3"/>
      <c r="U402" s="51">
        <f t="shared" si="671"/>
        <v>0</v>
      </c>
      <c r="V402" s="52" t="e">
        <f t="shared" si="672"/>
        <v>#DIV/0!</v>
      </c>
      <c r="W402" s="53">
        <f>COUNTIFS('00 Encuesta'!$B$2:$B$511,"*e)*",'00 Encuesta'!$C$2:$C$511,"*c)*",'00 Encuesta'!$E$2:$E$511,"*a)*",'00 Encuesta'!$AX$2:$AX$511,"*f)*")</f>
        <v>0</v>
      </c>
      <c r="X402" s="52" t="e">
        <f t="shared" si="673"/>
        <v>#DIV/0!</v>
      </c>
      <c r="Y402" s="53">
        <f>COUNTIFS('00 Encuesta'!$B$2:$B$511,"*e)*",'00 Encuesta'!$C$2:$C$511,"*c)*",'00 Encuesta'!$E$2:$E$511,"*b)*",'00 Encuesta'!$AX$2:$AX$511,"*f)*")</f>
        <v>0</v>
      </c>
      <c r="Z402" s="52" t="e">
        <f t="shared" si="674"/>
        <v>#DIV/0!</v>
      </c>
      <c r="AA402" s="3"/>
      <c r="AB402" s="62">
        <f t="shared" si="675"/>
        <v>0</v>
      </c>
      <c r="AC402" s="52" t="e">
        <f t="shared" si="676"/>
        <v>#DIV/0!</v>
      </c>
      <c r="AD402" s="3"/>
      <c r="AE402" s="3"/>
      <c r="AF402" s="9" t="str">
        <f t="shared" si="677"/>
        <v>f) Que tenga honradez en la vida</v>
      </c>
      <c r="AG402" s="72" t="e">
        <f t="shared" si="678"/>
        <v>#DIV/0!</v>
      </c>
      <c r="AH402" s="72" t="e">
        <f t="shared" si="679"/>
        <v>#DIV/0!</v>
      </c>
      <c r="AI402" s="73" t="e">
        <f t="shared" si="680"/>
        <v>#DIV/0!</v>
      </c>
      <c r="AJ402" s="73"/>
      <c r="AK402" s="76" t="e">
        <f t="shared" si="681"/>
        <v>#DIV/0!</v>
      </c>
      <c r="AL402" s="76" t="e">
        <f t="shared" si="682"/>
        <v>#DIV/0!</v>
      </c>
      <c r="AM402" s="76" t="e">
        <f t="shared" si="683"/>
        <v>#DIV/0!</v>
      </c>
      <c r="AN402" s="76"/>
      <c r="AO402" s="81" t="e">
        <f t="shared" si="684"/>
        <v>#DIV/0!</v>
      </c>
      <c r="AP402" s="81" t="e">
        <f t="shared" si="685"/>
        <v>#DIV/0!</v>
      </c>
      <c r="AQ402" s="81" t="e">
        <f t="shared" si="686"/>
        <v>#DIV/0!</v>
      </c>
      <c r="AR402" s="3"/>
      <c r="AS402" s="76" t="e">
        <f t="shared" si="542"/>
        <v>#DIV/0!</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0</v>
      </c>
      <c r="H403" s="52" t="e">
        <f t="shared" si="664"/>
        <v>#DIV/0!</v>
      </c>
      <c r="I403" s="53">
        <f>COUNTIFS('00 Encuesta'!$B$2:$B$511,"*e)*",'00 Encuesta'!$C$2:$C$511,"*a)*",'00 Encuesta'!$E$2:$E$511,"*a)*",'00 Encuesta'!$AX$2:$AX$511,"*g)*")</f>
        <v>0</v>
      </c>
      <c r="J403" s="52" t="e">
        <f t="shared" si="665"/>
        <v>#DIV/0!</v>
      </c>
      <c r="K403" s="53">
        <f>COUNTIFS('00 Encuesta'!$B$2:$B$511,"*e)*",'00 Encuesta'!$C$2:$C$511,"*a)*",'00 Encuesta'!$E$2:$E$511,"*b)*",'00 Encuesta'!$AX$2:$AX$511,"*g)*")</f>
        <v>0</v>
      </c>
      <c r="L403" s="52" t="e">
        <f t="shared" si="666"/>
        <v>#DIV/0!</v>
      </c>
      <c r="M403" s="23"/>
      <c r="N403" s="51">
        <f t="shared" si="667"/>
        <v>0</v>
      </c>
      <c r="O403" s="52" t="e">
        <f t="shared" si="668"/>
        <v>#DIV/0!</v>
      </c>
      <c r="P403" s="53">
        <f>COUNTIFS('00 Encuesta'!$B$2:$B$511,"*e)*",'00 Encuesta'!$C$2:$C$511,"*b)*",'00 Encuesta'!$E$2:$E$511,"*a)*",'00 Encuesta'!$AX$2:$AX$511,"*g)*")</f>
        <v>0</v>
      </c>
      <c r="Q403" s="52" t="e">
        <f t="shared" si="669"/>
        <v>#DIV/0!</v>
      </c>
      <c r="R403" s="53">
        <f>COUNTIFS('00 Encuesta'!$B$2:$B$511,"*e)*",'00 Encuesta'!$C$2:$C$511,"*b)*",'00 Encuesta'!$E$2:$E$511,"*b)*",'00 Encuesta'!$AX$2:$AX$511,"*g)*")</f>
        <v>0</v>
      </c>
      <c r="S403" s="52" t="e">
        <f t="shared" si="670"/>
        <v>#DIV/0!</v>
      </c>
      <c r="T403" s="3"/>
      <c r="U403" s="51">
        <f t="shared" si="671"/>
        <v>0</v>
      </c>
      <c r="V403" s="52" t="e">
        <f t="shared" si="672"/>
        <v>#DIV/0!</v>
      </c>
      <c r="W403" s="53">
        <f>COUNTIFS('00 Encuesta'!$B$2:$B$511,"*e)*",'00 Encuesta'!$C$2:$C$511,"*c)*",'00 Encuesta'!$E$2:$E$511,"*a)*",'00 Encuesta'!$AX$2:$AX$511,"*g)*")</f>
        <v>0</v>
      </c>
      <c r="X403" s="52" t="e">
        <f t="shared" si="673"/>
        <v>#DIV/0!</v>
      </c>
      <c r="Y403" s="53">
        <f>COUNTIFS('00 Encuesta'!$B$2:$B$511,"*e)*",'00 Encuesta'!$C$2:$C$511,"*c)*",'00 Encuesta'!$E$2:$E$511,"*b)*",'00 Encuesta'!$AX$2:$AX$511,"*g)*")</f>
        <v>0</v>
      </c>
      <c r="Z403" s="52" t="e">
        <f t="shared" si="674"/>
        <v>#DIV/0!</v>
      </c>
      <c r="AA403" s="3"/>
      <c r="AB403" s="62">
        <f t="shared" si="675"/>
        <v>0</v>
      </c>
      <c r="AC403" s="52" t="e">
        <f t="shared" si="676"/>
        <v>#DIV/0!</v>
      </c>
      <c r="AD403" s="3"/>
      <c r="AE403" s="3"/>
      <c r="AF403" s="9" t="str">
        <f t="shared" si="677"/>
        <v>g) No tienen una preocupaciòn especial</v>
      </c>
      <c r="AG403" s="72" t="e">
        <f t="shared" si="678"/>
        <v>#DIV/0!</v>
      </c>
      <c r="AH403" s="72" t="e">
        <f t="shared" si="679"/>
        <v>#DIV/0!</v>
      </c>
      <c r="AI403" s="73" t="e">
        <f t="shared" si="680"/>
        <v>#DIV/0!</v>
      </c>
      <c r="AJ403" s="73"/>
      <c r="AK403" s="76" t="e">
        <f t="shared" si="681"/>
        <v>#DIV/0!</v>
      </c>
      <c r="AL403" s="76" t="e">
        <f t="shared" si="682"/>
        <v>#DIV/0!</v>
      </c>
      <c r="AM403" s="76" t="e">
        <f t="shared" si="683"/>
        <v>#DIV/0!</v>
      </c>
      <c r="AN403" s="76"/>
      <c r="AO403" s="81" t="e">
        <f t="shared" si="684"/>
        <v>#DIV/0!</v>
      </c>
      <c r="AP403" s="81" t="e">
        <f t="shared" si="685"/>
        <v>#DIV/0!</v>
      </c>
      <c r="AQ403" s="81" t="e">
        <f t="shared" si="686"/>
        <v>#DIV/0!</v>
      </c>
      <c r="AR403" s="3"/>
      <c r="AS403" s="76" t="e">
        <f t="shared" si="542"/>
        <v>#DIV/0!</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0</v>
      </c>
      <c r="H404" s="52" t="e">
        <f t="shared" si="664"/>
        <v>#DIV/0!</v>
      </c>
      <c r="I404" s="53">
        <f>COUNTIFS('00 Encuesta'!$B$2:$B$511,"*e)*",'00 Encuesta'!$C$2:$C$511,"*a)*",'00 Encuesta'!$E$2:$E$511,"*a)*",'00 Encuesta'!$AX$2:$AX$511,"*h)*")</f>
        <v>0</v>
      </c>
      <c r="J404" s="52" t="e">
        <f t="shared" si="665"/>
        <v>#DIV/0!</v>
      </c>
      <c r="K404" s="53">
        <f>COUNTIFS('00 Encuesta'!$B$2:$B$511,"*e)*",'00 Encuesta'!$C$2:$C$511,"*a)*",'00 Encuesta'!$E$2:$E$511,"*b)*",'00 Encuesta'!$AX$2:$AX$511,"*h)*")</f>
        <v>0</v>
      </c>
      <c r="L404" s="52" t="e">
        <f t="shared" si="666"/>
        <v>#DIV/0!</v>
      </c>
      <c r="M404" s="23"/>
      <c r="N404" s="51">
        <f t="shared" si="667"/>
        <v>0</v>
      </c>
      <c r="O404" s="52" t="e">
        <f t="shared" si="668"/>
        <v>#DIV/0!</v>
      </c>
      <c r="P404" s="53">
        <f>COUNTIFS('00 Encuesta'!$B$2:$B$511,"*e)*",'00 Encuesta'!$C$2:$C$511,"*b)*",'00 Encuesta'!$E$2:$E$511,"*a)*",'00 Encuesta'!$AX$2:$AX$511,"*h)*")</f>
        <v>0</v>
      </c>
      <c r="Q404" s="52" t="e">
        <f t="shared" si="669"/>
        <v>#DIV/0!</v>
      </c>
      <c r="R404" s="53">
        <f>COUNTIFS('00 Encuesta'!$B$2:$B$511,"*e)*",'00 Encuesta'!$C$2:$C$511,"*b)*",'00 Encuesta'!$E$2:$E$511,"*b)*",'00 Encuesta'!$AX$2:$AX$511,"*h)*")</f>
        <v>0</v>
      </c>
      <c r="S404" s="52" t="e">
        <f t="shared" si="670"/>
        <v>#DIV/0!</v>
      </c>
      <c r="T404" s="3"/>
      <c r="U404" s="51">
        <f t="shared" si="671"/>
        <v>0</v>
      </c>
      <c r="V404" s="52" t="e">
        <f t="shared" si="672"/>
        <v>#DIV/0!</v>
      </c>
      <c r="W404" s="53">
        <f>COUNTIFS('00 Encuesta'!$B$2:$B$511,"*e)*",'00 Encuesta'!$C$2:$C$511,"*c)*",'00 Encuesta'!$E$2:$E$511,"*a)*",'00 Encuesta'!$AX$2:$AX$511,"*h)*")</f>
        <v>0</v>
      </c>
      <c r="X404" s="52" t="e">
        <f t="shared" si="673"/>
        <v>#DIV/0!</v>
      </c>
      <c r="Y404" s="53">
        <f>COUNTIFS('00 Encuesta'!$B$2:$B$511,"*e)*",'00 Encuesta'!$C$2:$C$511,"*c)*",'00 Encuesta'!$E$2:$E$511,"*b)*",'00 Encuesta'!$AX$2:$AX$511,"*h)*")</f>
        <v>0</v>
      </c>
      <c r="Z404" s="52" t="e">
        <f t="shared" si="674"/>
        <v>#DIV/0!</v>
      </c>
      <c r="AA404" s="3"/>
      <c r="AB404" s="62">
        <f t="shared" si="675"/>
        <v>0</v>
      </c>
      <c r="AC404" s="52" t="e">
        <f t="shared" si="676"/>
        <v>#DIV/0!</v>
      </c>
      <c r="AD404" s="3"/>
      <c r="AE404" s="3"/>
      <c r="AF404" s="9" t="str">
        <f t="shared" si="677"/>
        <v>h) No sè</v>
      </c>
      <c r="AG404" s="72" t="e">
        <f t="shared" si="678"/>
        <v>#DIV/0!</v>
      </c>
      <c r="AH404" s="72" t="e">
        <f t="shared" si="679"/>
        <v>#DIV/0!</v>
      </c>
      <c r="AI404" s="73" t="e">
        <f t="shared" si="680"/>
        <v>#DIV/0!</v>
      </c>
      <c r="AJ404" s="73"/>
      <c r="AK404" s="76" t="e">
        <f t="shared" si="681"/>
        <v>#DIV/0!</v>
      </c>
      <c r="AL404" s="76" t="e">
        <f t="shared" si="682"/>
        <v>#DIV/0!</v>
      </c>
      <c r="AM404" s="76" t="e">
        <f t="shared" si="683"/>
        <v>#DIV/0!</v>
      </c>
      <c r="AN404" s="76"/>
      <c r="AO404" s="81" t="e">
        <f t="shared" si="684"/>
        <v>#DIV/0!</v>
      </c>
      <c r="AP404" s="81" t="e">
        <f t="shared" si="685"/>
        <v>#DIV/0!</v>
      </c>
      <c r="AQ404" s="81" t="e">
        <f t="shared" si="686"/>
        <v>#DIV/0!</v>
      </c>
      <c r="AR404" s="3"/>
      <c r="AS404" s="76" t="e">
        <f t="shared" si="542"/>
        <v>#DIV/0!</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x14ac:dyDescent="0.3">
      <c r="A407" s="1" t="s">
        <v>17</v>
      </c>
      <c r="B407" s="2" t="s">
        <v>258</v>
      </c>
      <c r="C407" s="3"/>
      <c r="D407" s="3"/>
      <c r="E407" s="3"/>
      <c r="F407" s="4"/>
      <c r="G407" s="51">
        <f>I407+K407</f>
        <v>0</v>
      </c>
      <c r="H407" s="52" t="e">
        <f>G407/$J$5*100</f>
        <v>#DIV/0!</v>
      </c>
      <c r="I407" s="53">
        <f>COUNTIFS('00 Encuesta'!$B$2:$B$511,"*e)*",'00 Encuesta'!$C$2:$C$511,"*a)*",'00 Encuesta'!$E$2:$E$511,"*a)*",'00 Encuesta'!$AY$2:$AY$511,"*a)*")</f>
        <v>0</v>
      </c>
      <c r="J407" s="52" t="e">
        <f>I407/$J$6*100</f>
        <v>#DIV/0!</v>
      </c>
      <c r="K407" s="53">
        <f>COUNTIFS('00 Encuesta'!$B$2:$B$511,"*e)*",'00 Encuesta'!$C$2:$C$511,"*a)*",'00 Encuesta'!$E$2:$E$511,"*b)*",'00 Encuesta'!$AY$2:$AY$511,"*a)*")</f>
        <v>0</v>
      </c>
      <c r="L407" s="52" t="e">
        <f>K407/$J$7*100</f>
        <v>#DIV/0!</v>
      </c>
      <c r="M407" s="23"/>
      <c r="N407" s="51">
        <f>P407+R407</f>
        <v>0</v>
      </c>
      <c r="O407" s="52" t="e">
        <f>N407/$Q$5*100</f>
        <v>#DIV/0!</v>
      </c>
      <c r="P407" s="53">
        <f>COUNTIFS('00 Encuesta'!$B$2:$B$511,"*e)*",'00 Encuesta'!$C$2:$C$511,"*b)*",'00 Encuesta'!$E$2:$E$511,"*a)*",'00 Encuesta'!$AY$2:$AY$511,"*a)*")</f>
        <v>0</v>
      </c>
      <c r="Q407" s="52" t="e">
        <f>P407/$Q$6*100</f>
        <v>#DIV/0!</v>
      </c>
      <c r="R407" s="53">
        <f>COUNTIFS('00 Encuesta'!$B$2:$B$511,"*e)*",'00 Encuesta'!$C$2:$C$511,"*b)*",'00 Encuesta'!$E$2:$E$511,"*b)*",'00 Encuesta'!$AY$2:$AY$511,"*a)*")</f>
        <v>0</v>
      </c>
      <c r="S407" s="52" t="e">
        <f>R407/$Q$7*100</f>
        <v>#DIV/0!</v>
      </c>
      <c r="T407" s="3"/>
      <c r="U407" s="51">
        <f>W407+Y407</f>
        <v>0</v>
      </c>
      <c r="V407" s="52" t="e">
        <f>U407/$X$5*100</f>
        <v>#DIV/0!</v>
      </c>
      <c r="W407" s="53">
        <f>COUNTIFS('00 Encuesta'!$B$2:$B$511,"*e)*",'00 Encuesta'!$C$2:$C$511,"*c)*",'00 Encuesta'!$E$2:$E$511,"*a)*",'00 Encuesta'!$AY$2:$AY$511,"*a)*")</f>
        <v>0</v>
      </c>
      <c r="X407" s="52" t="e">
        <f>W407/$X$6*100</f>
        <v>#DIV/0!</v>
      </c>
      <c r="Y407" s="53">
        <f>COUNTIFS('00 Encuesta'!$B$2:$B$511,"*e)*",'00 Encuesta'!$C$2:$C$511,"*c)*",'00 Encuesta'!$E$2:$E$511,"*b)*",'00 Encuesta'!$AY$2:$AY$511,"*a)*")</f>
        <v>0</v>
      </c>
      <c r="Z407" s="52" t="e">
        <f>Y407/$X$7*100</f>
        <v>#DIV/0!</v>
      </c>
      <c r="AA407" s="3"/>
      <c r="AB407" s="62">
        <f>G407+N407+U407</f>
        <v>0</v>
      </c>
      <c r="AC407" s="52" t="e">
        <f>AB407*100/$AC$5</f>
        <v>#DIV/0!</v>
      </c>
      <c r="AD407" s="3"/>
      <c r="AE407" s="3"/>
      <c r="AF407" s="9" t="str">
        <f t="shared" ref="AF407:AF411" si="687">A407&amp;" "&amp;B407</f>
        <v>a) Innecesaria</v>
      </c>
      <c r="AG407" s="72" t="e">
        <f>J407</f>
        <v>#DIV/0!</v>
      </c>
      <c r="AH407" s="72" t="e">
        <f>L407</f>
        <v>#DIV/0!</v>
      </c>
      <c r="AI407" s="73" t="e">
        <f>H407</f>
        <v>#DIV/0!</v>
      </c>
      <c r="AJ407" s="73"/>
      <c r="AK407" s="76" t="e">
        <f>Q407</f>
        <v>#DIV/0!</v>
      </c>
      <c r="AL407" s="76" t="e">
        <f>S407</f>
        <v>#DIV/0!</v>
      </c>
      <c r="AM407" s="76" t="e">
        <f>O407</f>
        <v>#DIV/0!</v>
      </c>
      <c r="AN407" s="76"/>
      <c r="AO407" s="81" t="e">
        <f>X407</f>
        <v>#DIV/0!</v>
      </c>
      <c r="AP407" s="81" t="e">
        <f>Z407</f>
        <v>#DIV/0!</v>
      </c>
      <c r="AQ407" s="81" t="e">
        <f>V407</f>
        <v>#DIV/0!</v>
      </c>
      <c r="AR407" s="3"/>
      <c r="AS407" s="76" t="e">
        <f t="shared" si="542"/>
        <v>#DIV/0!</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x14ac:dyDescent="0.3">
      <c r="A408" s="1" t="s">
        <v>18</v>
      </c>
      <c r="B408" s="2" t="s">
        <v>259</v>
      </c>
      <c r="C408" s="3"/>
      <c r="D408" s="3"/>
      <c r="E408" s="3"/>
      <c r="F408" s="4"/>
      <c r="G408" s="51">
        <f>I408+K408</f>
        <v>0</v>
      </c>
      <c r="H408" s="52" t="e">
        <f>G408/$J$5*100</f>
        <v>#DIV/0!</v>
      </c>
      <c r="I408" s="53">
        <f>COUNTIFS('00 Encuesta'!$B$2:$B$511,"*e)*",'00 Encuesta'!$C$2:$C$511,"*a)*",'00 Encuesta'!$E$2:$E$511,"*a)*",'00 Encuesta'!$AY$2:$AY$511,"*b)*")</f>
        <v>0</v>
      </c>
      <c r="J408" s="52" t="e">
        <f>I408/$J$6*100</f>
        <v>#DIV/0!</v>
      </c>
      <c r="K408" s="53">
        <f>COUNTIFS('00 Encuesta'!$B$2:$B$511,"*e)*",'00 Encuesta'!$C$2:$C$511,"*a)*",'00 Encuesta'!$E$2:$E$511,"*b)*",'00 Encuesta'!$AY$2:$AY$511,"*b)*")</f>
        <v>0</v>
      </c>
      <c r="L408" s="52" t="e">
        <f>K408/$J$7*100</f>
        <v>#DIV/0!</v>
      </c>
      <c r="M408" s="23"/>
      <c r="N408" s="51">
        <f>P408+R408</f>
        <v>0</v>
      </c>
      <c r="O408" s="52" t="e">
        <f>N408/$Q$5*100</f>
        <v>#DIV/0!</v>
      </c>
      <c r="P408" s="53">
        <f>COUNTIFS('00 Encuesta'!$B$2:$B$511,"*e)*",'00 Encuesta'!$C$2:$C$511,"*b)*",'00 Encuesta'!$E$2:$E$511,"*a)*",'00 Encuesta'!$AY$2:$AY$511,"*b)*")</f>
        <v>0</v>
      </c>
      <c r="Q408" s="52" t="e">
        <f>P408/$Q$6*100</f>
        <v>#DIV/0!</v>
      </c>
      <c r="R408" s="53">
        <f>COUNTIFS('00 Encuesta'!$B$2:$B$511,"*e)*",'00 Encuesta'!$C$2:$C$511,"*b)*",'00 Encuesta'!$E$2:$E$511,"*b)*",'00 Encuesta'!$AY$2:$AY$511,"*b)*")</f>
        <v>0</v>
      </c>
      <c r="S408" s="52" t="e">
        <f>R408/$Q$7*100</f>
        <v>#DIV/0!</v>
      </c>
      <c r="T408" s="3"/>
      <c r="U408" s="51">
        <f>W408+Y408</f>
        <v>0</v>
      </c>
      <c r="V408" s="52" t="e">
        <f>U408/$X$5*100</f>
        <v>#DIV/0!</v>
      </c>
      <c r="W408" s="53">
        <f>COUNTIFS('00 Encuesta'!$B$2:$B$511,"*e)*",'00 Encuesta'!$C$2:$C$511,"*c)*",'00 Encuesta'!$E$2:$E$511,"*a)*",'00 Encuesta'!$AY$2:$AY$511,"*b)*")</f>
        <v>0</v>
      </c>
      <c r="X408" s="52" t="e">
        <f>W408/$X$6*100</f>
        <v>#DIV/0!</v>
      </c>
      <c r="Y408" s="53">
        <f>COUNTIFS('00 Encuesta'!$B$2:$B$511,"*e)*",'00 Encuesta'!$C$2:$C$511,"*c)*",'00 Encuesta'!$E$2:$E$511,"*b)*",'00 Encuesta'!$AY$2:$AY$511,"*b)*")</f>
        <v>0</v>
      </c>
      <c r="Z408" s="52" t="e">
        <f>Y408/$X$7*100</f>
        <v>#DIV/0!</v>
      </c>
      <c r="AA408" s="3"/>
      <c r="AB408" s="62">
        <f>G408+N408+U408</f>
        <v>0</v>
      </c>
      <c r="AC408" s="52" t="e">
        <f>AB408*100/$AC$5</f>
        <v>#DIV/0!</v>
      </c>
      <c r="AD408" s="3"/>
      <c r="AE408" s="3"/>
      <c r="AF408" s="9" t="str">
        <f t="shared" si="687"/>
        <v>b) Indiferente</v>
      </c>
      <c r="AG408" s="72" t="e">
        <f>J408</f>
        <v>#DIV/0!</v>
      </c>
      <c r="AH408" s="72" t="e">
        <f>L408</f>
        <v>#DIV/0!</v>
      </c>
      <c r="AI408" s="73" t="e">
        <f>H408</f>
        <v>#DIV/0!</v>
      </c>
      <c r="AJ408" s="73"/>
      <c r="AK408" s="76" t="e">
        <f>Q408</f>
        <v>#DIV/0!</v>
      </c>
      <c r="AL408" s="76" t="e">
        <f>S408</f>
        <v>#DIV/0!</v>
      </c>
      <c r="AM408" s="76" t="e">
        <f>O408</f>
        <v>#DIV/0!</v>
      </c>
      <c r="AN408" s="76"/>
      <c r="AO408" s="81" t="e">
        <f>X408</f>
        <v>#DIV/0!</v>
      </c>
      <c r="AP408" s="81" t="e">
        <f>Z408</f>
        <v>#DIV/0!</v>
      </c>
      <c r="AQ408" s="81" t="e">
        <f>V408</f>
        <v>#DIV/0!</v>
      </c>
      <c r="AR408" s="3"/>
      <c r="AS408" s="76" t="e">
        <f t="shared" si="542"/>
        <v>#DIV/0!</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x14ac:dyDescent="0.3">
      <c r="A409" s="1" t="s">
        <v>20</v>
      </c>
      <c r="B409" s="2" t="s">
        <v>260</v>
      </c>
      <c r="C409" s="3"/>
      <c r="D409" s="3"/>
      <c r="E409" s="3"/>
      <c r="F409" s="4"/>
      <c r="G409" s="51">
        <f>I409+K409</f>
        <v>0</v>
      </c>
      <c r="H409" s="52" t="e">
        <f>G409/$J$5*100</f>
        <v>#DIV/0!</v>
      </c>
      <c r="I409" s="53">
        <f>COUNTIFS('00 Encuesta'!$B$2:$B$511,"*e)*",'00 Encuesta'!$C$2:$C$511,"*a)*",'00 Encuesta'!$E$2:$E$511,"*a)*",'00 Encuesta'!$AY$2:$AY$511,"*c)*")</f>
        <v>0</v>
      </c>
      <c r="J409" s="52" t="e">
        <f>I409/$J$6*100</f>
        <v>#DIV/0!</v>
      </c>
      <c r="K409" s="53">
        <f>COUNTIFS('00 Encuesta'!$B$2:$B$511,"*e)*",'00 Encuesta'!$C$2:$C$511,"*a)*",'00 Encuesta'!$E$2:$E$511,"*b)*",'00 Encuesta'!$AY$2:$AY$511,"*c)*")</f>
        <v>0</v>
      </c>
      <c r="L409" s="52" t="e">
        <f>K409/$J$7*100</f>
        <v>#DIV/0!</v>
      </c>
      <c r="M409" s="23"/>
      <c r="N409" s="51">
        <f>P409+R409</f>
        <v>0</v>
      </c>
      <c r="O409" s="52" t="e">
        <f>N409/$Q$5*100</f>
        <v>#DIV/0!</v>
      </c>
      <c r="P409" s="53">
        <f>COUNTIFS('00 Encuesta'!$B$2:$B$511,"*e)*",'00 Encuesta'!$C$2:$C$511,"*b)*",'00 Encuesta'!$E$2:$E$511,"*a)*",'00 Encuesta'!$AY$2:$AY$511,"*c)*")</f>
        <v>0</v>
      </c>
      <c r="Q409" s="52" t="e">
        <f>P409/$Q$6*100</f>
        <v>#DIV/0!</v>
      </c>
      <c r="R409" s="53">
        <f>COUNTIFS('00 Encuesta'!$B$2:$B$511,"*e)*",'00 Encuesta'!$C$2:$C$511,"*b)*",'00 Encuesta'!$E$2:$E$511,"*b)*",'00 Encuesta'!$AY$2:$AY$511,"*c)*")</f>
        <v>0</v>
      </c>
      <c r="S409" s="52" t="e">
        <f>R409/$Q$7*100</f>
        <v>#DIV/0!</v>
      </c>
      <c r="T409" s="3"/>
      <c r="U409" s="51">
        <f>W409+Y409</f>
        <v>0</v>
      </c>
      <c r="V409" s="52" t="e">
        <f>U409/$X$5*100</f>
        <v>#DIV/0!</v>
      </c>
      <c r="W409" s="53">
        <f>COUNTIFS('00 Encuesta'!$B$2:$B$511,"*e)*",'00 Encuesta'!$C$2:$C$511,"*c)*",'00 Encuesta'!$E$2:$E$511,"*a)*",'00 Encuesta'!$AY$2:$AY$511,"*c)*")</f>
        <v>0</v>
      </c>
      <c r="X409" s="52" t="e">
        <f>W409/$X$6*100</f>
        <v>#DIV/0!</v>
      </c>
      <c r="Y409" s="53">
        <f>COUNTIFS('00 Encuesta'!$B$2:$B$511,"*e)*",'00 Encuesta'!$C$2:$C$511,"*c)*",'00 Encuesta'!$E$2:$E$511,"*b)*",'00 Encuesta'!$AY$2:$AY$511,"*c)*")</f>
        <v>0</v>
      </c>
      <c r="Z409" s="52" t="e">
        <f>Y409/$X$7*100</f>
        <v>#DIV/0!</v>
      </c>
      <c r="AA409" s="3"/>
      <c r="AB409" s="62">
        <f>G409+N409+U409</f>
        <v>0</v>
      </c>
      <c r="AC409" s="52" t="e">
        <f>AB409*100/$AC$5</f>
        <v>#DIV/0!</v>
      </c>
      <c r="AD409" s="3"/>
      <c r="AE409" s="3"/>
      <c r="AF409" s="9" t="str">
        <f t="shared" si="687"/>
        <v>c) Conveniente</v>
      </c>
      <c r="AG409" s="72" t="e">
        <f>J409</f>
        <v>#DIV/0!</v>
      </c>
      <c r="AH409" s="72" t="e">
        <f>L409</f>
        <v>#DIV/0!</v>
      </c>
      <c r="AI409" s="73" t="e">
        <f>H409</f>
        <v>#DIV/0!</v>
      </c>
      <c r="AJ409" s="73"/>
      <c r="AK409" s="76" t="e">
        <f>Q409</f>
        <v>#DIV/0!</v>
      </c>
      <c r="AL409" s="76" t="e">
        <f>S409</f>
        <v>#DIV/0!</v>
      </c>
      <c r="AM409" s="76" t="e">
        <f>O409</f>
        <v>#DIV/0!</v>
      </c>
      <c r="AN409" s="76"/>
      <c r="AO409" s="81" t="e">
        <f>X409</f>
        <v>#DIV/0!</v>
      </c>
      <c r="AP409" s="81" t="e">
        <f>Z409</f>
        <v>#DIV/0!</v>
      </c>
      <c r="AQ409" s="81" t="e">
        <f>V409</f>
        <v>#DIV/0!</v>
      </c>
      <c r="AR409" s="3"/>
      <c r="AS409" s="76" t="e">
        <f t="shared" ref="AS409:AS452" si="688">AC409</f>
        <v>#DIV/0!</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x14ac:dyDescent="0.3">
      <c r="A410" s="1" t="s">
        <v>21</v>
      </c>
      <c r="B410" s="2" t="s">
        <v>261</v>
      </c>
      <c r="C410" s="3"/>
      <c r="D410" s="3"/>
      <c r="E410" s="3"/>
      <c r="F410" s="4"/>
      <c r="G410" s="51">
        <f>I410+K410</f>
        <v>0</v>
      </c>
      <c r="H410" s="52" t="e">
        <f>G410/$J$5*100</f>
        <v>#DIV/0!</v>
      </c>
      <c r="I410" s="53">
        <f>COUNTIFS('00 Encuesta'!$B$2:$B$511,"*e)*",'00 Encuesta'!$C$2:$C$511,"*a)*",'00 Encuesta'!$E$2:$E$511,"*a)*",'00 Encuesta'!$AY$2:$AY$511,"*d)*")</f>
        <v>0</v>
      </c>
      <c r="J410" s="52" t="e">
        <f>I410/$J$6*100</f>
        <v>#DIV/0!</v>
      </c>
      <c r="K410" s="53">
        <f>COUNTIFS('00 Encuesta'!$B$2:$B$511,"*e)*",'00 Encuesta'!$C$2:$C$511,"*a)*",'00 Encuesta'!$E$2:$E$511,"*b)*",'00 Encuesta'!$AY$2:$AY$511,"*d)*")</f>
        <v>0</v>
      </c>
      <c r="L410" s="52" t="e">
        <f>K410/$J$7*100</f>
        <v>#DIV/0!</v>
      </c>
      <c r="M410" s="23"/>
      <c r="N410" s="51">
        <f>P410+R410</f>
        <v>0</v>
      </c>
      <c r="O410" s="52" t="e">
        <f>N410/$Q$5*100</f>
        <v>#DIV/0!</v>
      </c>
      <c r="P410" s="53">
        <f>COUNTIFS('00 Encuesta'!$B$2:$B$511,"*e)*",'00 Encuesta'!$C$2:$C$511,"*b)*",'00 Encuesta'!$E$2:$E$511,"*a)*",'00 Encuesta'!$AY$2:$AY$511,"*d)*")</f>
        <v>0</v>
      </c>
      <c r="Q410" s="52" t="e">
        <f>P410/$Q$6*100</f>
        <v>#DIV/0!</v>
      </c>
      <c r="R410" s="53">
        <f>COUNTIFS('00 Encuesta'!$B$2:$B$511,"*e)*",'00 Encuesta'!$C$2:$C$511,"*b)*",'00 Encuesta'!$E$2:$E$511,"*b)*",'00 Encuesta'!$AY$2:$AY$511,"*d)*")</f>
        <v>0</v>
      </c>
      <c r="S410" s="52" t="e">
        <f>R410/$Q$7*100</f>
        <v>#DIV/0!</v>
      </c>
      <c r="T410" s="3"/>
      <c r="U410" s="51">
        <f>W410+Y410</f>
        <v>0</v>
      </c>
      <c r="V410" s="52" t="e">
        <f>U410/$X$5*100</f>
        <v>#DIV/0!</v>
      </c>
      <c r="W410" s="53">
        <f>COUNTIFS('00 Encuesta'!$B$2:$B$511,"*e)*",'00 Encuesta'!$C$2:$C$511,"*c)*",'00 Encuesta'!$E$2:$E$511,"*a)*",'00 Encuesta'!$AY$2:$AY$511,"*d)*")</f>
        <v>0</v>
      </c>
      <c r="X410" s="52" t="e">
        <f>W410/$X$6*100</f>
        <v>#DIV/0!</v>
      </c>
      <c r="Y410" s="53">
        <f>COUNTIFS('00 Encuesta'!$B$2:$B$511,"*e)*",'00 Encuesta'!$C$2:$C$511,"*c)*",'00 Encuesta'!$E$2:$E$511,"*b)*",'00 Encuesta'!$AY$2:$AY$511,"*d)*")</f>
        <v>0</v>
      </c>
      <c r="Z410" s="52" t="e">
        <f>Y410/$X$7*100</f>
        <v>#DIV/0!</v>
      </c>
      <c r="AA410" s="3"/>
      <c r="AB410" s="62">
        <f>G410+N410+U410</f>
        <v>0</v>
      </c>
      <c r="AC410" s="52" t="e">
        <f>AB410*100/$AC$5</f>
        <v>#DIV/0!</v>
      </c>
      <c r="AD410" s="3"/>
      <c r="AE410" s="3"/>
      <c r="AF410" s="9" t="str">
        <f t="shared" si="687"/>
        <v>d) Bastante necesaria</v>
      </c>
      <c r="AG410" s="72" t="e">
        <f>J410</f>
        <v>#DIV/0!</v>
      </c>
      <c r="AH410" s="72" t="e">
        <f>L410</f>
        <v>#DIV/0!</v>
      </c>
      <c r="AI410" s="73" t="e">
        <f>H410</f>
        <v>#DIV/0!</v>
      </c>
      <c r="AJ410" s="73"/>
      <c r="AK410" s="76" t="e">
        <f>Q410</f>
        <v>#DIV/0!</v>
      </c>
      <c r="AL410" s="76" t="e">
        <f>S410</f>
        <v>#DIV/0!</v>
      </c>
      <c r="AM410" s="76" t="e">
        <f>O410</f>
        <v>#DIV/0!</v>
      </c>
      <c r="AN410" s="76"/>
      <c r="AO410" s="81" t="e">
        <f>X410</f>
        <v>#DIV/0!</v>
      </c>
      <c r="AP410" s="81" t="e">
        <f>Z410</f>
        <v>#DIV/0!</v>
      </c>
      <c r="AQ410" s="81" t="e">
        <f>V410</f>
        <v>#DIV/0!</v>
      </c>
      <c r="AR410" s="3"/>
      <c r="AS410" s="76" t="e">
        <f t="shared" si="688"/>
        <v>#DIV/0!</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x14ac:dyDescent="0.3">
      <c r="A411" s="1" t="s">
        <v>22</v>
      </c>
      <c r="B411" s="2" t="s">
        <v>262</v>
      </c>
      <c r="C411" s="3"/>
      <c r="D411" s="3"/>
      <c r="E411" s="3"/>
      <c r="F411" s="4"/>
      <c r="G411" s="51">
        <f>I411+K411</f>
        <v>0</v>
      </c>
      <c r="H411" s="52" t="e">
        <f>G411/$J$5*100</f>
        <v>#DIV/0!</v>
      </c>
      <c r="I411" s="53">
        <f>COUNTIFS('00 Encuesta'!$B$2:$B$511,"*e)*",'00 Encuesta'!$C$2:$C$511,"*a)*",'00 Encuesta'!$E$2:$E$511,"*a)*",'00 Encuesta'!$AY$2:$AY$511,"*e)*")</f>
        <v>0</v>
      </c>
      <c r="J411" s="52" t="e">
        <f>I411/$J$6*100</f>
        <v>#DIV/0!</v>
      </c>
      <c r="K411" s="53">
        <f>COUNTIFS('00 Encuesta'!$B$2:$B$511,"*e)*",'00 Encuesta'!$C$2:$C$511,"*a)*",'00 Encuesta'!$E$2:$E$511,"*b)*",'00 Encuesta'!$AY$2:$AY$511,"*e)*")</f>
        <v>0</v>
      </c>
      <c r="L411" s="52" t="e">
        <f>K411/$J$7*100</f>
        <v>#DIV/0!</v>
      </c>
      <c r="M411" s="23"/>
      <c r="N411" s="51">
        <f>P411+R411</f>
        <v>0</v>
      </c>
      <c r="O411" s="52" t="e">
        <f>N411/$Q$5*100</f>
        <v>#DIV/0!</v>
      </c>
      <c r="P411" s="53">
        <f>COUNTIFS('00 Encuesta'!$B$2:$B$511,"*e)*",'00 Encuesta'!$C$2:$C$511,"*b)*",'00 Encuesta'!$E$2:$E$511,"*a)*",'00 Encuesta'!$AY$2:$AY$511,"*e)*")</f>
        <v>0</v>
      </c>
      <c r="Q411" s="52" t="e">
        <f>P411/$Q$6*100</f>
        <v>#DIV/0!</v>
      </c>
      <c r="R411" s="53">
        <f>COUNTIFS('00 Encuesta'!$B$2:$B$511,"*e)*",'00 Encuesta'!$C$2:$C$511,"*b)*",'00 Encuesta'!$E$2:$E$511,"*b)*",'00 Encuesta'!$AY$2:$AY$511,"*e)*")</f>
        <v>0</v>
      </c>
      <c r="S411" s="52" t="e">
        <f>R411/$Q$7*100</f>
        <v>#DIV/0!</v>
      </c>
      <c r="T411" s="3"/>
      <c r="U411" s="51">
        <f>W411+Y411</f>
        <v>0</v>
      </c>
      <c r="V411" s="52" t="e">
        <f>U411/$X$5*100</f>
        <v>#DIV/0!</v>
      </c>
      <c r="W411" s="53">
        <f>COUNTIFS('00 Encuesta'!$B$2:$B$511,"*e)*",'00 Encuesta'!$C$2:$C$511,"*c)*",'00 Encuesta'!$E$2:$E$511,"*a)*",'00 Encuesta'!$AY$2:$AY$511,"*e)*")</f>
        <v>0</v>
      </c>
      <c r="X411" s="52" t="e">
        <f>W411/$X$6*100</f>
        <v>#DIV/0!</v>
      </c>
      <c r="Y411" s="53">
        <f>COUNTIFS('00 Encuesta'!$B$2:$B$511,"*e)*",'00 Encuesta'!$C$2:$C$511,"*c)*",'00 Encuesta'!$E$2:$E$511,"*b)*",'00 Encuesta'!$AY$2:$AY$511,"*e)*")</f>
        <v>0</v>
      </c>
      <c r="Z411" s="52" t="e">
        <f>Y411/$X$7*100</f>
        <v>#DIV/0!</v>
      </c>
      <c r="AA411" s="3"/>
      <c r="AB411" s="62">
        <f>G411+N411+U411</f>
        <v>0</v>
      </c>
      <c r="AC411" s="52" t="e">
        <f>AB411*100/$AC$5</f>
        <v>#DIV/0!</v>
      </c>
      <c r="AD411" s="3"/>
      <c r="AE411" s="3"/>
      <c r="AF411" s="9" t="str">
        <f t="shared" si="687"/>
        <v>e) Absolutamente necesaria</v>
      </c>
      <c r="AG411" s="72" t="e">
        <f>J411</f>
        <v>#DIV/0!</v>
      </c>
      <c r="AH411" s="72" t="e">
        <f>L411</f>
        <v>#DIV/0!</v>
      </c>
      <c r="AI411" s="73" t="e">
        <f>H411</f>
        <v>#DIV/0!</v>
      </c>
      <c r="AJ411" s="73"/>
      <c r="AK411" s="76" t="e">
        <f>Q411</f>
        <v>#DIV/0!</v>
      </c>
      <c r="AL411" s="76" t="e">
        <f>S411</f>
        <v>#DIV/0!</v>
      </c>
      <c r="AM411" s="76" t="e">
        <f>O411</f>
        <v>#DIV/0!</v>
      </c>
      <c r="AN411" s="76"/>
      <c r="AO411" s="81" t="e">
        <f>X411</f>
        <v>#DIV/0!</v>
      </c>
      <c r="AP411" s="81" t="e">
        <f>Z411</f>
        <v>#DIV/0!</v>
      </c>
      <c r="AQ411" s="81" t="e">
        <f>V411</f>
        <v>#DIV/0!</v>
      </c>
      <c r="AR411" s="3"/>
      <c r="AS411" s="76" t="e">
        <f t="shared" si="688"/>
        <v>#DIV/0!</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x14ac:dyDescent="0.3">
      <c r="A414" s="84" t="s">
        <v>17</v>
      </c>
      <c r="B414" s="2" t="s">
        <v>264</v>
      </c>
      <c r="C414" s="3"/>
      <c r="D414" s="3"/>
      <c r="E414" s="3"/>
      <c r="F414" s="4"/>
      <c r="G414" s="51">
        <f>I414+K414</f>
        <v>0</v>
      </c>
      <c r="H414" s="52" t="e">
        <f>G414/$J$5*100</f>
        <v>#DIV/0!</v>
      </c>
      <c r="I414" s="53">
        <f>COUNTIFS('00 Encuesta'!$B$2:$B$511,"*e)*",'00 Encuesta'!$C$2:$C$511,"*a)*",'00 Encuesta'!$E$2:$E$511,"*a)*",'00 Encuesta'!$AZ$2:$AZ$511,"*a)*")</f>
        <v>0</v>
      </c>
      <c r="J414" s="52" t="e">
        <f>I414/$J$6*100</f>
        <v>#DIV/0!</v>
      </c>
      <c r="K414" s="53">
        <f>COUNTIFS('00 Encuesta'!$B$2:$B$511,"*e)*",'00 Encuesta'!$C$2:$C$511,"*a)*",'00 Encuesta'!$E$2:$E$511,"*b)*",'00 Encuesta'!$AZ$2:$AZ$511,"*a)*")</f>
        <v>0</v>
      </c>
      <c r="L414" s="52" t="e">
        <f>K414/$J$7*100</f>
        <v>#DIV/0!</v>
      </c>
      <c r="M414" s="23"/>
      <c r="N414" s="51">
        <f>P414+R414</f>
        <v>0</v>
      </c>
      <c r="O414" s="52" t="e">
        <f>N414/$Q$5*100</f>
        <v>#DIV/0!</v>
      </c>
      <c r="P414" s="53">
        <f>COUNTIFS('00 Encuesta'!$B$2:$B$511,"*e)*",'00 Encuesta'!$C$2:$C$511,"*b)*",'00 Encuesta'!$E$2:$E$511,"*a)*",'00 Encuesta'!$AZ$2:$AZ$511,"*a)*")</f>
        <v>0</v>
      </c>
      <c r="Q414" s="52" t="e">
        <f>P414/$Q$6*100</f>
        <v>#DIV/0!</v>
      </c>
      <c r="R414" s="53">
        <f>COUNTIFS('00 Encuesta'!$B$2:$B$511,"*e)*",'00 Encuesta'!$C$2:$C$511,"*b)*",'00 Encuesta'!$E$2:$E$511,"*b)*",'00 Encuesta'!$AZ$2:$AZ$511,"*a)*")</f>
        <v>0</v>
      </c>
      <c r="S414" s="52" t="e">
        <f>R414/$Q$7*100</f>
        <v>#DIV/0!</v>
      </c>
      <c r="T414" s="3"/>
      <c r="U414" s="51">
        <f>W414+Y414</f>
        <v>0</v>
      </c>
      <c r="V414" s="52" t="e">
        <f>U414/$X$5*100</f>
        <v>#DIV/0!</v>
      </c>
      <c r="W414" s="53">
        <f>COUNTIFS('00 Encuesta'!$B$2:$B$511,"*e)*",'00 Encuesta'!$C$2:$C$511,"*c)*",'00 Encuesta'!$E$2:$E$511,"*a)*",'00 Encuesta'!$AZ$2:$AZ$511,"*a)*")</f>
        <v>0</v>
      </c>
      <c r="X414" s="52" t="e">
        <f>W414/$X$6*100</f>
        <v>#DIV/0!</v>
      </c>
      <c r="Y414" s="53">
        <f>COUNTIFS('00 Encuesta'!$B$2:$B$511,"*e)*",'00 Encuesta'!$C$2:$C$511,"*c)*",'00 Encuesta'!$E$2:$E$511,"*b)*",'00 Encuesta'!$AZ$2:$AZ$511,"*a)*")</f>
        <v>0</v>
      </c>
      <c r="Z414" s="52" t="e">
        <f>Y414/$X$7*100</f>
        <v>#DIV/0!</v>
      </c>
      <c r="AA414" s="3"/>
      <c r="AB414" s="62">
        <f>G414+N414+U414</f>
        <v>0</v>
      </c>
      <c r="AC414" s="52" t="e">
        <f>AB414*100/$AC$5</f>
        <v>#DIV/0!</v>
      </c>
      <c r="AD414" s="3"/>
      <c r="AE414" s="3"/>
      <c r="AF414" s="9" t="str">
        <f>A414&amp;" "&amp;B414</f>
        <v>a) No acostumbro a tomarlo nunca</v>
      </c>
      <c r="AG414" s="72" t="e">
        <f>J414</f>
        <v>#DIV/0!</v>
      </c>
      <c r="AH414" s="72" t="e">
        <f>L414</f>
        <v>#DIV/0!</v>
      </c>
      <c r="AI414" s="73" t="e">
        <f>H414</f>
        <v>#DIV/0!</v>
      </c>
      <c r="AJ414" s="73"/>
      <c r="AK414" s="76" t="e">
        <f>Q414</f>
        <v>#DIV/0!</v>
      </c>
      <c r="AL414" s="76" t="e">
        <f>S414</f>
        <v>#DIV/0!</v>
      </c>
      <c r="AM414" s="76" t="e">
        <f>O414</f>
        <v>#DIV/0!</v>
      </c>
      <c r="AN414" s="76"/>
      <c r="AO414" s="81" t="e">
        <f>X414</f>
        <v>#DIV/0!</v>
      </c>
      <c r="AP414" s="81" t="e">
        <f>Z414</f>
        <v>#DIV/0!</v>
      </c>
      <c r="AQ414" s="81" t="e">
        <f>V414</f>
        <v>#DIV/0!</v>
      </c>
      <c r="AR414" s="3"/>
      <c r="AS414" s="76" t="e">
        <f t="shared" si="688"/>
        <v>#DIV/0!</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0</v>
      </c>
      <c r="H415" s="52" t="e">
        <f>G415/$J$5*100</f>
        <v>#DIV/0!</v>
      </c>
      <c r="I415" s="53">
        <f>COUNTIFS('00 Encuesta'!$B$2:$B$511,"*e)*",'00 Encuesta'!$C$2:$C$511,"*a)*",'00 Encuesta'!$E$2:$E$511,"*a)*",'00 Encuesta'!$AZ$2:$AZ$511,"*b)*")</f>
        <v>0</v>
      </c>
      <c r="J415" s="52" t="e">
        <f>I415/$J$6*100</f>
        <v>#DIV/0!</v>
      </c>
      <c r="K415" s="53">
        <f>COUNTIFS('00 Encuesta'!$B$2:$B$511,"*e)*",'00 Encuesta'!$C$2:$C$511,"*a)*",'00 Encuesta'!$E$2:$E$511,"*b)*",'00 Encuesta'!$AZ$2:$AZ$511,"*b)*")</f>
        <v>0</v>
      </c>
      <c r="L415" s="52" t="e">
        <f>K415/$J$7*100</f>
        <v>#DIV/0!</v>
      </c>
      <c r="M415" s="23"/>
      <c r="N415" s="51">
        <f>P415+R415</f>
        <v>0</v>
      </c>
      <c r="O415" s="52" t="e">
        <f>N415/$Q$5*100</f>
        <v>#DIV/0!</v>
      </c>
      <c r="P415" s="53">
        <f>COUNTIFS('00 Encuesta'!$B$2:$B$511,"*e)*",'00 Encuesta'!$C$2:$C$511,"*b)*",'00 Encuesta'!$E$2:$E$511,"*a)*",'00 Encuesta'!$AZ$2:$AZ$511,"*b)*")</f>
        <v>0</v>
      </c>
      <c r="Q415" s="52" t="e">
        <f>P415/$Q$6*100</f>
        <v>#DIV/0!</v>
      </c>
      <c r="R415" s="53">
        <f>COUNTIFS('00 Encuesta'!$B$2:$B$511,"*e)*",'00 Encuesta'!$C$2:$C$511,"*b)*",'00 Encuesta'!$E$2:$E$511,"*b)*",'00 Encuesta'!$AZ$2:$AZ$511,"*b)*")</f>
        <v>0</v>
      </c>
      <c r="S415" s="52" t="e">
        <f>R415/$Q$7*100</f>
        <v>#DIV/0!</v>
      </c>
      <c r="T415" s="3"/>
      <c r="U415" s="51">
        <f>W415+Y415</f>
        <v>0</v>
      </c>
      <c r="V415" s="52" t="e">
        <f>U415/$X$5*100</f>
        <v>#DIV/0!</v>
      </c>
      <c r="W415" s="53">
        <f>COUNTIFS('00 Encuesta'!$B$2:$B$511,"*e)*",'00 Encuesta'!$C$2:$C$511,"*c)*",'00 Encuesta'!$E$2:$E$511,"*a)*",'00 Encuesta'!$AZ$2:$AZ$511,"*b)*")</f>
        <v>0</v>
      </c>
      <c r="X415" s="52" t="e">
        <f>W415/$X$6*100</f>
        <v>#DIV/0!</v>
      </c>
      <c r="Y415" s="53">
        <f>COUNTIFS('00 Encuesta'!$B$2:$B$511,"*e)*",'00 Encuesta'!$C$2:$C$511,"*c)*",'00 Encuesta'!$E$2:$E$511,"*b)*",'00 Encuesta'!$AZ$2:$AZ$511,"*b)*")</f>
        <v>0</v>
      </c>
      <c r="Z415" s="52" t="e">
        <f>Y415/$X$7*100</f>
        <v>#DIV/0!</v>
      </c>
      <c r="AA415" s="3"/>
      <c r="AB415" s="62">
        <f>G415+N415+U415</f>
        <v>0</v>
      </c>
      <c r="AC415" s="52" t="e">
        <f>AB415*100/$AC$5</f>
        <v>#DIV/0!</v>
      </c>
      <c r="AD415" s="3"/>
      <c r="AE415" s="3"/>
      <c r="AF415" s="9" t="str">
        <f>A415&amp;" "&amp;B415</f>
        <v>b) Las veces que bebo, es con moderaciòn</v>
      </c>
      <c r="AG415" s="72" t="e">
        <f>J415</f>
        <v>#DIV/0!</v>
      </c>
      <c r="AH415" s="72" t="e">
        <f>L415</f>
        <v>#DIV/0!</v>
      </c>
      <c r="AI415" s="73" t="e">
        <f>H415</f>
        <v>#DIV/0!</v>
      </c>
      <c r="AJ415" s="73"/>
      <c r="AK415" s="76" t="e">
        <f>Q415</f>
        <v>#DIV/0!</v>
      </c>
      <c r="AL415" s="76" t="e">
        <f>S415</f>
        <v>#DIV/0!</v>
      </c>
      <c r="AM415" s="76" t="e">
        <f>O415</f>
        <v>#DIV/0!</v>
      </c>
      <c r="AN415" s="76"/>
      <c r="AO415" s="81" t="e">
        <f>X415</f>
        <v>#DIV/0!</v>
      </c>
      <c r="AP415" s="81" t="e">
        <f>Z415</f>
        <v>#DIV/0!</v>
      </c>
      <c r="AQ415" s="81" t="e">
        <f>V415</f>
        <v>#DIV/0!</v>
      </c>
      <c r="AR415" s="3"/>
      <c r="AS415" s="76" t="e">
        <f t="shared" si="688"/>
        <v>#DIV/0!</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0</v>
      </c>
      <c r="H416" s="52" t="e">
        <f>G416/$J$5*100</f>
        <v>#DIV/0!</v>
      </c>
      <c r="I416" s="53">
        <f>COUNTIFS('00 Encuesta'!$B$2:$B$511,"*e)*",'00 Encuesta'!$C$2:$C$511,"*a)*",'00 Encuesta'!$E$2:$E$511,"*a)*",'00 Encuesta'!$AZ$2:$AZ$511,"*c)*")</f>
        <v>0</v>
      </c>
      <c r="J416" s="52" t="e">
        <f>I416/$J$6*100</f>
        <v>#DIV/0!</v>
      </c>
      <c r="K416" s="53">
        <f>COUNTIFS('00 Encuesta'!$B$2:$B$511,"*e)*",'00 Encuesta'!$C$2:$C$511,"*a)*",'00 Encuesta'!$E$2:$E$511,"*b)*",'00 Encuesta'!$AZ$2:$AZ$511,"*c)*")</f>
        <v>0</v>
      </c>
      <c r="L416" s="52" t="e">
        <f>K416/$J$7*100</f>
        <v>#DIV/0!</v>
      </c>
      <c r="M416" s="23"/>
      <c r="N416" s="51">
        <f>P416+R416</f>
        <v>0</v>
      </c>
      <c r="O416" s="52" t="e">
        <f>N416/$Q$5*100</f>
        <v>#DIV/0!</v>
      </c>
      <c r="P416" s="53">
        <f>COUNTIFS('00 Encuesta'!$B$2:$B$511,"*e)*",'00 Encuesta'!$C$2:$C$511,"*b)*",'00 Encuesta'!$E$2:$E$511,"*a)*",'00 Encuesta'!$AZ$2:$AZ$511,"*c)*")</f>
        <v>0</v>
      </c>
      <c r="Q416" s="52" t="e">
        <f>P416/$Q$6*100</f>
        <v>#DIV/0!</v>
      </c>
      <c r="R416" s="53">
        <f>COUNTIFS('00 Encuesta'!$B$2:$B$511,"*e)*",'00 Encuesta'!$C$2:$C$511,"*b)*",'00 Encuesta'!$E$2:$E$511,"*b)*",'00 Encuesta'!$AZ$2:$AZ$511,"*c)*")</f>
        <v>0</v>
      </c>
      <c r="S416" s="52" t="e">
        <f>R416/$Q$7*100</f>
        <v>#DIV/0!</v>
      </c>
      <c r="T416" s="3"/>
      <c r="U416" s="51">
        <f>W416+Y416</f>
        <v>0</v>
      </c>
      <c r="V416" s="52" t="e">
        <f>U416/$X$5*100</f>
        <v>#DIV/0!</v>
      </c>
      <c r="W416" s="53">
        <f>COUNTIFS('00 Encuesta'!$B$2:$B$511,"*e)*",'00 Encuesta'!$C$2:$C$511,"*c)*",'00 Encuesta'!$E$2:$E$511,"*a)*",'00 Encuesta'!$AZ$2:$AZ$511,"*c)*")</f>
        <v>0</v>
      </c>
      <c r="X416" s="52" t="e">
        <f>W416/$X$6*100</f>
        <v>#DIV/0!</v>
      </c>
      <c r="Y416" s="53">
        <f>COUNTIFS('00 Encuesta'!$B$2:$B$511,"*e)*",'00 Encuesta'!$C$2:$C$511,"*c)*",'00 Encuesta'!$E$2:$E$511,"*b)*",'00 Encuesta'!$AZ$2:$AZ$511,"*c)*")</f>
        <v>0</v>
      </c>
      <c r="Z416" s="52" t="e">
        <f>Y416/$X$7*100</f>
        <v>#DIV/0!</v>
      </c>
      <c r="AA416" s="3"/>
      <c r="AB416" s="62">
        <f>G416+N416+U416</f>
        <v>0</v>
      </c>
      <c r="AC416" s="52" t="e">
        <f>AB416*100/$AC$5</f>
        <v>#DIV/0!</v>
      </c>
      <c r="AD416" s="3"/>
      <c r="AE416" s="3"/>
      <c r="AF416" s="9" t="str">
        <f>A416&amp;" "&amp;B416</f>
        <v>c) Alguna vez he bebido màs de la cuenta</v>
      </c>
      <c r="AG416" s="72" t="e">
        <f>J416</f>
        <v>#DIV/0!</v>
      </c>
      <c r="AH416" s="72" t="e">
        <f>L416</f>
        <v>#DIV/0!</v>
      </c>
      <c r="AI416" s="73" t="e">
        <f>H416</f>
        <v>#DIV/0!</v>
      </c>
      <c r="AJ416" s="73"/>
      <c r="AK416" s="76" t="e">
        <f>Q416</f>
        <v>#DIV/0!</v>
      </c>
      <c r="AL416" s="76" t="e">
        <f>S416</f>
        <v>#DIV/0!</v>
      </c>
      <c r="AM416" s="76" t="e">
        <f>O416</f>
        <v>#DIV/0!</v>
      </c>
      <c r="AN416" s="76"/>
      <c r="AO416" s="81" t="e">
        <f>X416</f>
        <v>#DIV/0!</v>
      </c>
      <c r="AP416" s="81" t="e">
        <f>Z416</f>
        <v>#DIV/0!</v>
      </c>
      <c r="AQ416" s="81" t="e">
        <f>V416</f>
        <v>#DIV/0!</v>
      </c>
      <c r="AR416" s="3"/>
      <c r="AS416" s="76" t="e">
        <f t="shared" si="688"/>
        <v>#DIV/0!</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0</v>
      </c>
      <c r="H417" s="52" t="e">
        <f>G417/$J$5*100</f>
        <v>#DIV/0!</v>
      </c>
      <c r="I417" s="53">
        <f>COUNTIFS('00 Encuesta'!$B$2:$B$511,"*e)*",'00 Encuesta'!$C$2:$C$511,"*a)*",'00 Encuesta'!$E$2:$E$511,"*a)*",'00 Encuesta'!$AZ$2:$AZ$511,"*d)*")</f>
        <v>0</v>
      </c>
      <c r="J417" s="52" t="e">
        <f>I417/$J$6*100</f>
        <v>#DIV/0!</v>
      </c>
      <c r="K417" s="53">
        <f>COUNTIFS('00 Encuesta'!$B$2:$B$511,"*e)*",'00 Encuesta'!$C$2:$C$511,"*a)*",'00 Encuesta'!$E$2:$E$511,"*b)*",'00 Encuesta'!$AZ$2:$AZ$511,"*d)*")</f>
        <v>0</v>
      </c>
      <c r="L417" s="52" t="e">
        <f>K417/$J$7*100</f>
        <v>#DIV/0!</v>
      </c>
      <c r="M417" s="23"/>
      <c r="N417" s="51">
        <f>P417+R417</f>
        <v>0</v>
      </c>
      <c r="O417" s="52" t="e">
        <f>N417/$Q$5*100</f>
        <v>#DIV/0!</v>
      </c>
      <c r="P417" s="53">
        <f>COUNTIFS('00 Encuesta'!$B$2:$B$511,"*e)*",'00 Encuesta'!$C$2:$C$511,"*b)*",'00 Encuesta'!$E$2:$E$511,"*a)*",'00 Encuesta'!$AZ$2:$AZ$511,"*d)*")</f>
        <v>0</v>
      </c>
      <c r="Q417" s="52" t="e">
        <f>P417/$Q$6*100</f>
        <v>#DIV/0!</v>
      </c>
      <c r="R417" s="53">
        <f>COUNTIFS('00 Encuesta'!$B$2:$B$511,"*e)*",'00 Encuesta'!$C$2:$C$511,"*b)*",'00 Encuesta'!$E$2:$E$511,"*b)*",'00 Encuesta'!$AZ$2:$AZ$511,"*d)*")</f>
        <v>0</v>
      </c>
      <c r="S417" s="52" t="e">
        <f>R417/$Q$7*100</f>
        <v>#DIV/0!</v>
      </c>
      <c r="T417" s="3"/>
      <c r="U417" s="51">
        <f>W417+Y417</f>
        <v>0</v>
      </c>
      <c r="V417" s="52" t="e">
        <f>U417/$X$5*100</f>
        <v>#DIV/0!</v>
      </c>
      <c r="W417" s="53">
        <f>COUNTIFS('00 Encuesta'!$B$2:$B$511,"*e)*",'00 Encuesta'!$C$2:$C$511,"*c)*",'00 Encuesta'!$E$2:$E$511,"*a)*",'00 Encuesta'!$AZ$2:$AZ$511,"*d)*")</f>
        <v>0</v>
      </c>
      <c r="X417" s="52" t="e">
        <f>W417/$X$6*100</f>
        <v>#DIV/0!</v>
      </c>
      <c r="Y417" s="53">
        <f>COUNTIFS('00 Encuesta'!$B$2:$B$511,"*e)*",'00 Encuesta'!$C$2:$C$511,"*c)*",'00 Encuesta'!$E$2:$E$511,"*b)*",'00 Encuesta'!$AZ$2:$AZ$511,"*d)*")</f>
        <v>0</v>
      </c>
      <c r="Z417" s="52" t="e">
        <f>Y417/$X$7*100</f>
        <v>#DIV/0!</v>
      </c>
      <c r="AA417" s="3"/>
      <c r="AB417" s="62">
        <f>G417+N417+U417</f>
        <v>0</v>
      </c>
      <c r="AC417" s="52" t="e">
        <f>AB417*100/$AC$5</f>
        <v>#DIV/0!</v>
      </c>
      <c r="AD417" s="3"/>
      <c r="AE417" s="3"/>
      <c r="AF417" s="9" t="str">
        <f>A417&amp;" "&amp;B417</f>
        <v>d) Con frecuencia (fines de semana u otros momentos) suelo beber màs de la cuenta.</v>
      </c>
      <c r="AG417" s="72" t="e">
        <f>J417</f>
        <v>#DIV/0!</v>
      </c>
      <c r="AH417" s="72" t="e">
        <f>L417</f>
        <v>#DIV/0!</v>
      </c>
      <c r="AI417" s="73" t="e">
        <f>H417</f>
        <v>#DIV/0!</v>
      </c>
      <c r="AJ417" s="73"/>
      <c r="AK417" s="76" t="e">
        <f>Q417</f>
        <v>#DIV/0!</v>
      </c>
      <c r="AL417" s="76" t="e">
        <f>S417</f>
        <v>#DIV/0!</v>
      </c>
      <c r="AM417" s="76" t="e">
        <f>O417</f>
        <v>#DIV/0!</v>
      </c>
      <c r="AN417" s="76"/>
      <c r="AO417" s="81" t="e">
        <f>X417</f>
        <v>#DIV/0!</v>
      </c>
      <c r="AP417" s="81" t="e">
        <f>Z417</f>
        <v>#DIV/0!</v>
      </c>
      <c r="AQ417" s="81" t="e">
        <f>V417</f>
        <v>#DIV/0!</v>
      </c>
      <c r="AR417" s="3"/>
      <c r="AS417" s="76" t="e">
        <f t="shared" si="688"/>
        <v>#DIV/0!</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x14ac:dyDescent="0.3">
      <c r="A420" s="1" t="s">
        <v>17</v>
      </c>
      <c r="B420" s="2" t="s">
        <v>269</v>
      </c>
      <c r="C420" s="3"/>
      <c r="D420" s="3"/>
      <c r="E420" s="3"/>
      <c r="F420" s="4"/>
      <c r="G420" s="51">
        <f t="shared" ref="G420:G425" si="689">I420+K420</f>
        <v>0</v>
      </c>
      <c r="H420" s="52" t="e">
        <f t="shared" ref="H420:H425" si="690">G420/$J$5*100</f>
        <v>#DIV/0!</v>
      </c>
      <c r="I420" s="53">
        <f>COUNTIFS('00 Encuesta'!$B$2:$B$511,"*e)*",'00 Encuesta'!$C$2:$C$511,"*a)*",'00 Encuesta'!$E$2:$E$511,"*a)*",'00 Encuesta'!$BA$2:$BA$511,"*a)*")</f>
        <v>0</v>
      </c>
      <c r="J420" s="52" t="e">
        <f t="shared" ref="J420:J425" si="691">I420/$J$6*100</f>
        <v>#DIV/0!</v>
      </c>
      <c r="K420" s="53">
        <f>COUNTIFS('00 Encuesta'!$B$2:$B$511,"*e)*",'00 Encuesta'!$C$2:$C$511,"*a)*",'00 Encuesta'!$E$2:$E$511,"*b)*",'00 Encuesta'!$BA$2:$BA$511,"*a)*")</f>
        <v>0</v>
      </c>
      <c r="L420" s="52" t="e">
        <f t="shared" ref="L420:L425" si="692">K420/$J$7*100</f>
        <v>#DIV/0!</v>
      </c>
      <c r="M420" s="23"/>
      <c r="N420" s="51">
        <f t="shared" ref="N420:N425" si="693">P420+R420</f>
        <v>0</v>
      </c>
      <c r="O420" s="52" t="e">
        <f t="shared" ref="O420:O425" si="694">N420/$Q$5*100</f>
        <v>#DIV/0!</v>
      </c>
      <c r="P420" s="53">
        <f>COUNTIFS('00 Encuesta'!$B$2:$B$511,"*e)*",'00 Encuesta'!$C$2:$C$511,"*b)*",'00 Encuesta'!$E$2:$E$511,"*a)*",'00 Encuesta'!$BA$2:$BA$511,"*a)*")</f>
        <v>0</v>
      </c>
      <c r="Q420" s="52" t="e">
        <f t="shared" ref="Q420:Q425" si="695">P420/$Q$6*100</f>
        <v>#DIV/0!</v>
      </c>
      <c r="R420" s="53">
        <f>COUNTIFS('00 Encuesta'!$B$2:$B$511,"*e)*",'00 Encuesta'!$C$2:$C$511,"*b)*",'00 Encuesta'!$E$2:$E$511,"*b)*",'00 Encuesta'!$BA$2:$BA$511,"*a)*")</f>
        <v>0</v>
      </c>
      <c r="S420" s="52" t="e">
        <f t="shared" ref="S420:S425" si="696">R420/$Q$7*100</f>
        <v>#DIV/0!</v>
      </c>
      <c r="T420" s="3"/>
      <c r="U420" s="51">
        <f t="shared" ref="U420:U425" si="697">W420+Y420</f>
        <v>0</v>
      </c>
      <c r="V420" s="52" t="e">
        <f t="shared" ref="V420:V425" si="698">U420/$X$5*100</f>
        <v>#DIV/0!</v>
      </c>
      <c r="W420" s="53">
        <f>COUNTIFS('00 Encuesta'!$B$2:$B$511,"*e)*",'00 Encuesta'!$C$2:$C$511,"*c)*",'00 Encuesta'!$E$2:$E$511,"*a)*",'00 Encuesta'!$BA$2:$BA$511,"*a)*")</f>
        <v>0</v>
      </c>
      <c r="X420" s="52" t="e">
        <f t="shared" ref="X420:X425" si="699">W420/$X$6*100</f>
        <v>#DIV/0!</v>
      </c>
      <c r="Y420" s="53">
        <f>COUNTIFS('00 Encuesta'!$B$2:$B$511,"*e)*",'00 Encuesta'!$C$2:$C$511,"*c)*",'00 Encuesta'!$E$2:$E$511,"*b)*",'00 Encuesta'!$BA$2:$BA$511,"*a)*")</f>
        <v>0</v>
      </c>
      <c r="Z420" s="52" t="e">
        <f t="shared" ref="Z420:Z425" si="700">Y420/$X$7*100</f>
        <v>#DIV/0!</v>
      </c>
      <c r="AA420" s="3"/>
      <c r="AB420" s="62">
        <f t="shared" ref="AB420:AB425" si="701">G420+N420+U420</f>
        <v>0</v>
      </c>
      <c r="AC420" s="52" t="e">
        <f t="shared" ref="AC420:AC425" si="702">AB420*100/$AC$5</f>
        <v>#DIV/0!</v>
      </c>
      <c r="AD420" s="3"/>
      <c r="AE420" s="3"/>
      <c r="AF420" s="9" t="str">
        <f t="shared" ref="AF420:AF425" si="703">A420&amp;" "&amp;B420</f>
        <v>a) Personas a las que tengo que aguantar</v>
      </c>
      <c r="AG420" s="72" t="e">
        <f t="shared" ref="AG420:AG425" si="704">J420</f>
        <v>#DIV/0!</v>
      </c>
      <c r="AH420" s="72" t="e">
        <f t="shared" ref="AH420:AH425" si="705">L420</f>
        <v>#DIV/0!</v>
      </c>
      <c r="AI420" s="73" t="e">
        <f t="shared" ref="AI420:AI425" si="706">H420</f>
        <v>#DIV/0!</v>
      </c>
      <c r="AJ420" s="73"/>
      <c r="AK420" s="76" t="e">
        <f t="shared" ref="AK420:AK425" si="707">Q420</f>
        <v>#DIV/0!</v>
      </c>
      <c r="AL420" s="76" t="e">
        <f t="shared" ref="AL420:AL425" si="708">S420</f>
        <v>#DIV/0!</v>
      </c>
      <c r="AM420" s="76" t="e">
        <f t="shared" ref="AM420:AM425" si="709">O420</f>
        <v>#DIV/0!</v>
      </c>
      <c r="AN420" s="76"/>
      <c r="AO420" s="81" t="e">
        <f t="shared" ref="AO420:AO425" si="710">X420</f>
        <v>#DIV/0!</v>
      </c>
      <c r="AP420" s="81" t="e">
        <f t="shared" ref="AP420:AP425" si="711">Z420</f>
        <v>#DIV/0!</v>
      </c>
      <c r="AQ420" s="81" t="e">
        <f t="shared" ref="AQ420:AQ425" si="712">V420</f>
        <v>#DIV/0!</v>
      </c>
      <c r="AR420" s="3"/>
      <c r="AS420" s="76" t="e">
        <f t="shared" si="688"/>
        <v>#DIV/0!</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x14ac:dyDescent="0.3">
      <c r="A421" s="1" t="s">
        <v>18</v>
      </c>
      <c r="B421" s="2" t="s">
        <v>270</v>
      </c>
      <c r="C421" s="3"/>
      <c r="D421" s="3"/>
      <c r="E421" s="3"/>
      <c r="F421" s="4"/>
      <c r="G421" s="51">
        <f t="shared" si="689"/>
        <v>0</v>
      </c>
      <c r="H421" s="52" t="e">
        <f t="shared" si="690"/>
        <v>#DIV/0!</v>
      </c>
      <c r="I421" s="53">
        <f>COUNTIFS('00 Encuesta'!$B$2:$B$511,"*e)*",'00 Encuesta'!$C$2:$C$511,"*a)*",'00 Encuesta'!$E$2:$E$511,"*a)*",'00 Encuesta'!$BA$2:$BA$511,"*b)*")</f>
        <v>0</v>
      </c>
      <c r="J421" s="52" t="e">
        <f t="shared" si="691"/>
        <v>#DIV/0!</v>
      </c>
      <c r="K421" s="53">
        <f>COUNTIFS('00 Encuesta'!$B$2:$B$511,"*e)*",'00 Encuesta'!$C$2:$C$511,"*a)*",'00 Encuesta'!$E$2:$E$511,"*b)*",'00 Encuesta'!$BA$2:$BA$511,"*b)*")</f>
        <v>0</v>
      </c>
      <c r="L421" s="52" t="e">
        <f t="shared" si="692"/>
        <v>#DIV/0!</v>
      </c>
      <c r="M421" s="23"/>
      <c r="N421" s="51">
        <f t="shared" si="693"/>
        <v>0</v>
      </c>
      <c r="O421" s="52" t="e">
        <f t="shared" si="694"/>
        <v>#DIV/0!</v>
      </c>
      <c r="P421" s="53">
        <f>COUNTIFS('00 Encuesta'!$B$2:$B$511,"*e)*",'00 Encuesta'!$C$2:$C$511,"*b)*",'00 Encuesta'!$E$2:$E$511,"*a)*",'00 Encuesta'!$BA$2:$BA$511,"*b)*")</f>
        <v>0</v>
      </c>
      <c r="Q421" s="52" t="e">
        <f t="shared" si="695"/>
        <v>#DIV/0!</v>
      </c>
      <c r="R421" s="53">
        <f>COUNTIFS('00 Encuesta'!$B$2:$B$511,"*e)*",'00 Encuesta'!$C$2:$C$511,"*b)*",'00 Encuesta'!$E$2:$E$511,"*b)*",'00 Encuesta'!$BA$2:$BA$511,"*b)*")</f>
        <v>0</v>
      </c>
      <c r="S421" s="52" t="e">
        <f t="shared" si="696"/>
        <v>#DIV/0!</v>
      </c>
      <c r="T421" s="3"/>
      <c r="U421" s="51">
        <f t="shared" si="697"/>
        <v>0</v>
      </c>
      <c r="V421" s="52" t="e">
        <f t="shared" si="698"/>
        <v>#DIV/0!</v>
      </c>
      <c r="W421" s="53">
        <f>COUNTIFS('00 Encuesta'!$B$2:$B$511,"*e)*",'00 Encuesta'!$C$2:$C$511,"*c)*",'00 Encuesta'!$E$2:$E$511,"*a)*",'00 Encuesta'!$BA$2:$BA$511,"*b)*")</f>
        <v>0</v>
      </c>
      <c r="X421" s="52" t="e">
        <f t="shared" si="699"/>
        <v>#DIV/0!</v>
      </c>
      <c r="Y421" s="53">
        <f>COUNTIFS('00 Encuesta'!$B$2:$B$511,"*e)*",'00 Encuesta'!$C$2:$C$511,"*c)*",'00 Encuesta'!$E$2:$E$511,"*b)*",'00 Encuesta'!$BA$2:$BA$511,"*b)*")</f>
        <v>0</v>
      </c>
      <c r="Z421" s="52" t="e">
        <f t="shared" si="700"/>
        <v>#DIV/0!</v>
      </c>
      <c r="AA421" s="3"/>
      <c r="AB421" s="62">
        <f t="shared" si="701"/>
        <v>0</v>
      </c>
      <c r="AC421" s="52" t="e">
        <f t="shared" si="702"/>
        <v>#DIV/0!</v>
      </c>
      <c r="AD421" s="3"/>
      <c r="AE421" s="3"/>
      <c r="AF421" s="9" t="str">
        <f t="shared" si="703"/>
        <v>b) Profesionales que no se preocupan de nosotros</v>
      </c>
      <c r="AG421" s="72" t="e">
        <f t="shared" si="704"/>
        <v>#DIV/0!</v>
      </c>
      <c r="AH421" s="72" t="e">
        <f t="shared" si="705"/>
        <v>#DIV/0!</v>
      </c>
      <c r="AI421" s="73" t="e">
        <f t="shared" si="706"/>
        <v>#DIV/0!</v>
      </c>
      <c r="AJ421" s="73"/>
      <c r="AK421" s="76" t="e">
        <f t="shared" si="707"/>
        <v>#DIV/0!</v>
      </c>
      <c r="AL421" s="76" t="e">
        <f t="shared" si="708"/>
        <v>#DIV/0!</v>
      </c>
      <c r="AM421" s="76" t="e">
        <f t="shared" si="709"/>
        <v>#DIV/0!</v>
      </c>
      <c r="AN421" s="76"/>
      <c r="AO421" s="81" t="e">
        <f t="shared" si="710"/>
        <v>#DIV/0!</v>
      </c>
      <c r="AP421" s="81" t="e">
        <f t="shared" si="711"/>
        <v>#DIV/0!</v>
      </c>
      <c r="AQ421" s="81" t="e">
        <f t="shared" si="712"/>
        <v>#DIV/0!</v>
      </c>
      <c r="AR421" s="3"/>
      <c r="AS421" s="76" t="e">
        <f t="shared" si="688"/>
        <v>#DIV/0!</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x14ac:dyDescent="0.3">
      <c r="A422" s="1" t="s">
        <v>20</v>
      </c>
      <c r="B422" s="2" t="s">
        <v>271</v>
      </c>
      <c r="C422" s="3"/>
      <c r="D422" s="3"/>
      <c r="E422" s="3"/>
      <c r="F422" s="4"/>
      <c r="G422" s="51">
        <f t="shared" si="689"/>
        <v>0</v>
      </c>
      <c r="H422" s="52" t="e">
        <f t="shared" si="690"/>
        <v>#DIV/0!</v>
      </c>
      <c r="I422" s="53">
        <f>COUNTIFS('00 Encuesta'!$B$2:$B$511,"*e)*",'00 Encuesta'!$C$2:$C$511,"*a)*",'00 Encuesta'!$E$2:$E$511,"*a)*",'00 Encuesta'!$BA$2:$BA$511,"*c)*")</f>
        <v>0</v>
      </c>
      <c r="J422" s="52" t="e">
        <f t="shared" si="691"/>
        <v>#DIV/0!</v>
      </c>
      <c r="K422" s="53">
        <f>COUNTIFS('00 Encuesta'!$B$2:$B$511,"*e)*",'00 Encuesta'!$C$2:$C$511,"*a)*",'00 Encuesta'!$E$2:$E$511,"*b)*",'00 Encuesta'!$BA$2:$BA$511,"*c)*")</f>
        <v>0</v>
      </c>
      <c r="L422" s="52" t="e">
        <f t="shared" si="692"/>
        <v>#DIV/0!</v>
      </c>
      <c r="M422" s="23"/>
      <c r="N422" s="51">
        <f t="shared" si="693"/>
        <v>0</v>
      </c>
      <c r="O422" s="52" t="e">
        <f t="shared" si="694"/>
        <v>#DIV/0!</v>
      </c>
      <c r="P422" s="53">
        <f>COUNTIFS('00 Encuesta'!$B$2:$B$511,"*e)*",'00 Encuesta'!$C$2:$C$511,"*b)*",'00 Encuesta'!$E$2:$E$511,"*a)*",'00 Encuesta'!$BA$2:$BA$511,"*c)*")</f>
        <v>0</v>
      </c>
      <c r="Q422" s="52" t="e">
        <f t="shared" si="695"/>
        <v>#DIV/0!</v>
      </c>
      <c r="R422" s="53">
        <f>COUNTIFS('00 Encuesta'!$B$2:$B$511,"*e)*",'00 Encuesta'!$C$2:$C$511,"*b)*",'00 Encuesta'!$E$2:$E$511,"*b)*",'00 Encuesta'!$BA$2:$BA$511,"*c)*")</f>
        <v>0</v>
      </c>
      <c r="S422" s="52" t="e">
        <f t="shared" si="696"/>
        <v>#DIV/0!</v>
      </c>
      <c r="T422" s="3"/>
      <c r="U422" s="51">
        <f t="shared" si="697"/>
        <v>0</v>
      </c>
      <c r="V422" s="52" t="e">
        <f t="shared" si="698"/>
        <v>#DIV/0!</v>
      </c>
      <c r="W422" s="53">
        <f>COUNTIFS('00 Encuesta'!$B$2:$B$511,"*e)*",'00 Encuesta'!$C$2:$C$511,"*c)*",'00 Encuesta'!$E$2:$E$511,"*a)*",'00 Encuesta'!$BA$2:$BA$511,"*c)*")</f>
        <v>0</v>
      </c>
      <c r="X422" s="52" t="e">
        <f t="shared" si="699"/>
        <v>#DIV/0!</v>
      </c>
      <c r="Y422" s="53">
        <f>COUNTIFS('00 Encuesta'!$B$2:$B$511,"*e)*",'00 Encuesta'!$C$2:$C$511,"*c)*",'00 Encuesta'!$E$2:$E$511,"*b)*",'00 Encuesta'!$BA$2:$BA$511,"*c)*")</f>
        <v>0</v>
      </c>
      <c r="Z422" s="52" t="e">
        <f t="shared" si="700"/>
        <v>#DIV/0!</v>
      </c>
      <c r="AA422" s="3"/>
      <c r="AB422" s="62">
        <f t="shared" si="701"/>
        <v>0</v>
      </c>
      <c r="AC422" s="52" t="e">
        <f t="shared" si="702"/>
        <v>#DIV/0!</v>
      </c>
      <c r="AD422" s="3"/>
      <c r="AE422" s="3"/>
      <c r="AF422" s="9" t="str">
        <f t="shared" si="703"/>
        <v>c) Profesionales que hacen lo que pueden</v>
      </c>
      <c r="AG422" s="72" t="e">
        <f t="shared" si="704"/>
        <v>#DIV/0!</v>
      </c>
      <c r="AH422" s="72" t="e">
        <f t="shared" si="705"/>
        <v>#DIV/0!</v>
      </c>
      <c r="AI422" s="73" t="e">
        <f t="shared" si="706"/>
        <v>#DIV/0!</v>
      </c>
      <c r="AJ422" s="73"/>
      <c r="AK422" s="76" t="e">
        <f t="shared" si="707"/>
        <v>#DIV/0!</v>
      </c>
      <c r="AL422" s="76" t="e">
        <f t="shared" si="708"/>
        <v>#DIV/0!</v>
      </c>
      <c r="AM422" s="76" t="e">
        <f t="shared" si="709"/>
        <v>#DIV/0!</v>
      </c>
      <c r="AN422" s="76"/>
      <c r="AO422" s="81" t="e">
        <f t="shared" si="710"/>
        <v>#DIV/0!</v>
      </c>
      <c r="AP422" s="81" t="e">
        <f t="shared" si="711"/>
        <v>#DIV/0!</v>
      </c>
      <c r="AQ422" s="81" t="e">
        <f t="shared" si="712"/>
        <v>#DIV/0!</v>
      </c>
      <c r="AR422" s="3"/>
      <c r="AS422" s="76" t="e">
        <f t="shared" si="688"/>
        <v>#DIV/0!</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0</v>
      </c>
      <c r="H423" s="52" t="e">
        <f t="shared" si="690"/>
        <v>#DIV/0!</v>
      </c>
      <c r="I423" s="53">
        <f>COUNTIFS('00 Encuesta'!$B$2:$B$511,"*e)*",'00 Encuesta'!$C$2:$C$511,"*a)*",'00 Encuesta'!$E$2:$E$511,"*a)*",'00 Encuesta'!$BA$2:$BA$511,"*d)*")</f>
        <v>0</v>
      </c>
      <c r="J423" s="52" t="e">
        <f t="shared" si="691"/>
        <v>#DIV/0!</v>
      </c>
      <c r="K423" s="53">
        <f>COUNTIFS('00 Encuesta'!$B$2:$B$511,"*e)*",'00 Encuesta'!$C$2:$C$511,"*a)*",'00 Encuesta'!$E$2:$E$511,"*b)*",'00 Encuesta'!$BA$2:$BA$511,"*d)*")</f>
        <v>0</v>
      </c>
      <c r="L423" s="52" t="e">
        <f t="shared" si="692"/>
        <v>#DIV/0!</v>
      </c>
      <c r="M423" s="23"/>
      <c r="N423" s="51">
        <f t="shared" si="693"/>
        <v>0</v>
      </c>
      <c r="O423" s="52" t="e">
        <f t="shared" si="694"/>
        <v>#DIV/0!</v>
      </c>
      <c r="P423" s="53">
        <f>COUNTIFS('00 Encuesta'!$B$2:$B$511,"*e)*",'00 Encuesta'!$C$2:$C$511,"*b)*",'00 Encuesta'!$E$2:$E$511,"*a)*",'00 Encuesta'!$BA$2:$BA$511,"*d)*")</f>
        <v>0</v>
      </c>
      <c r="Q423" s="52" t="e">
        <f t="shared" si="695"/>
        <v>#DIV/0!</v>
      </c>
      <c r="R423" s="53">
        <f>COUNTIFS('00 Encuesta'!$B$2:$B$511,"*e)*",'00 Encuesta'!$C$2:$C$511,"*b)*",'00 Encuesta'!$E$2:$E$511,"*b)*",'00 Encuesta'!$BA$2:$BA$511,"*d)*")</f>
        <v>0</v>
      </c>
      <c r="S423" s="52" t="e">
        <f t="shared" si="696"/>
        <v>#DIV/0!</v>
      </c>
      <c r="T423" s="3"/>
      <c r="U423" s="51">
        <f t="shared" si="697"/>
        <v>0</v>
      </c>
      <c r="V423" s="52" t="e">
        <f t="shared" si="698"/>
        <v>#DIV/0!</v>
      </c>
      <c r="W423" s="53">
        <f>COUNTIFS('00 Encuesta'!$B$2:$B$511,"*e)*",'00 Encuesta'!$C$2:$C$511,"*c)*",'00 Encuesta'!$E$2:$E$511,"*a)*",'00 Encuesta'!$BA$2:$BA$511,"*d)*")</f>
        <v>0</v>
      </c>
      <c r="X423" s="52" t="e">
        <f t="shared" si="699"/>
        <v>#DIV/0!</v>
      </c>
      <c r="Y423" s="53">
        <f>COUNTIFS('00 Encuesta'!$B$2:$B$511,"*e)*",'00 Encuesta'!$C$2:$C$511,"*c)*",'00 Encuesta'!$E$2:$E$511,"*b)*",'00 Encuesta'!$BA$2:$BA$511,"*d)*")</f>
        <v>0</v>
      </c>
      <c r="Z423" s="52" t="e">
        <f t="shared" si="700"/>
        <v>#DIV/0!</v>
      </c>
      <c r="AA423" s="3"/>
      <c r="AB423" s="62">
        <f t="shared" si="701"/>
        <v>0</v>
      </c>
      <c r="AC423" s="52" t="e">
        <f t="shared" si="702"/>
        <v>#DIV/0!</v>
      </c>
      <c r="AD423" s="3"/>
      <c r="AE423" s="3"/>
      <c r="AF423" s="9" t="str">
        <f t="shared" si="703"/>
        <v>d) Buenos profesionales de la educaciòn</v>
      </c>
      <c r="AG423" s="72" t="e">
        <f t="shared" si="704"/>
        <v>#DIV/0!</v>
      </c>
      <c r="AH423" s="72" t="e">
        <f t="shared" si="705"/>
        <v>#DIV/0!</v>
      </c>
      <c r="AI423" s="73" t="e">
        <f t="shared" si="706"/>
        <v>#DIV/0!</v>
      </c>
      <c r="AJ423" s="73"/>
      <c r="AK423" s="76" t="e">
        <f t="shared" si="707"/>
        <v>#DIV/0!</v>
      </c>
      <c r="AL423" s="76" t="e">
        <f t="shared" si="708"/>
        <v>#DIV/0!</v>
      </c>
      <c r="AM423" s="76" t="e">
        <f t="shared" si="709"/>
        <v>#DIV/0!</v>
      </c>
      <c r="AN423" s="76"/>
      <c r="AO423" s="81" t="e">
        <f t="shared" si="710"/>
        <v>#DIV/0!</v>
      </c>
      <c r="AP423" s="81" t="e">
        <f t="shared" si="711"/>
        <v>#DIV/0!</v>
      </c>
      <c r="AQ423" s="81" t="e">
        <f t="shared" si="712"/>
        <v>#DIV/0!</v>
      </c>
      <c r="AR423" s="3"/>
      <c r="AS423" s="76" t="e">
        <f t="shared" si="688"/>
        <v>#DIV/0!</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x14ac:dyDescent="0.3">
      <c r="A424" s="1" t="s">
        <v>22</v>
      </c>
      <c r="B424" s="2" t="s">
        <v>273</v>
      </c>
      <c r="C424" s="3"/>
      <c r="D424" s="3"/>
      <c r="E424" s="3"/>
      <c r="F424" s="4"/>
      <c r="G424" s="51">
        <f t="shared" si="689"/>
        <v>0</v>
      </c>
      <c r="H424" s="52" t="e">
        <f t="shared" si="690"/>
        <v>#DIV/0!</v>
      </c>
      <c r="I424" s="53">
        <f>COUNTIFS('00 Encuesta'!$B$2:$B$511,"*e)*",'00 Encuesta'!$C$2:$C$511,"*a)*",'00 Encuesta'!$E$2:$E$511,"*a)*",'00 Encuesta'!$BA$2:$BA$511,"*e)*")</f>
        <v>0</v>
      </c>
      <c r="J424" s="52" t="e">
        <f t="shared" si="691"/>
        <v>#DIV/0!</v>
      </c>
      <c r="K424" s="53">
        <f>COUNTIFS('00 Encuesta'!$B$2:$B$511,"*e)*",'00 Encuesta'!$C$2:$C$511,"*a)*",'00 Encuesta'!$E$2:$E$511,"*b)*",'00 Encuesta'!$BA$2:$BA$511,"*e)*")</f>
        <v>0</v>
      </c>
      <c r="L424" s="52" t="e">
        <f t="shared" si="692"/>
        <v>#DIV/0!</v>
      </c>
      <c r="M424" s="23"/>
      <c r="N424" s="51">
        <f t="shared" si="693"/>
        <v>0</v>
      </c>
      <c r="O424" s="52" t="e">
        <f t="shared" si="694"/>
        <v>#DIV/0!</v>
      </c>
      <c r="P424" s="53">
        <f>COUNTIFS('00 Encuesta'!$B$2:$B$511,"*e)*",'00 Encuesta'!$C$2:$C$511,"*b)*",'00 Encuesta'!$E$2:$E$511,"*a)*",'00 Encuesta'!$BA$2:$BA$511,"*e)*")</f>
        <v>0</v>
      </c>
      <c r="Q424" s="52" t="e">
        <f t="shared" si="695"/>
        <v>#DIV/0!</v>
      </c>
      <c r="R424" s="53">
        <f>COUNTIFS('00 Encuesta'!$B$2:$B$511,"*e)*",'00 Encuesta'!$C$2:$C$511,"*b)*",'00 Encuesta'!$E$2:$E$511,"*b)*",'00 Encuesta'!$BA$2:$BA$511,"*e)*")</f>
        <v>0</v>
      </c>
      <c r="S424" s="52" t="e">
        <f t="shared" si="696"/>
        <v>#DIV/0!</v>
      </c>
      <c r="T424" s="3"/>
      <c r="U424" s="51">
        <f t="shared" si="697"/>
        <v>0</v>
      </c>
      <c r="V424" s="52" t="e">
        <f t="shared" si="698"/>
        <v>#DIV/0!</v>
      </c>
      <c r="W424" s="53">
        <f>COUNTIFS('00 Encuesta'!$B$2:$B$511,"*e)*",'00 Encuesta'!$C$2:$C$511,"*c)*",'00 Encuesta'!$E$2:$E$511,"*a)*",'00 Encuesta'!$BA$2:$BA$511,"*e)*")</f>
        <v>0</v>
      </c>
      <c r="X424" s="52" t="e">
        <f t="shared" si="699"/>
        <v>#DIV/0!</v>
      </c>
      <c r="Y424" s="53">
        <f>COUNTIFS('00 Encuesta'!$B$2:$B$511,"*e)*",'00 Encuesta'!$C$2:$C$511,"*c)*",'00 Encuesta'!$E$2:$E$511,"*b)*",'00 Encuesta'!$BA$2:$BA$511,"*e)*")</f>
        <v>0</v>
      </c>
      <c r="Z424" s="52" t="e">
        <f t="shared" si="700"/>
        <v>#DIV/0!</v>
      </c>
      <c r="AA424" s="3"/>
      <c r="AB424" s="62">
        <f t="shared" si="701"/>
        <v>0</v>
      </c>
      <c r="AC424" s="52" t="e">
        <f t="shared" si="702"/>
        <v>#DIV/0!</v>
      </c>
      <c r="AD424" s="3"/>
      <c r="AE424" s="3"/>
      <c r="AF424" s="9" t="str">
        <f t="shared" si="703"/>
        <v>e) Educadores que se preocupan de nosotros</v>
      </c>
      <c r="AG424" s="72" t="e">
        <f t="shared" si="704"/>
        <v>#DIV/0!</v>
      </c>
      <c r="AH424" s="72" t="e">
        <f t="shared" si="705"/>
        <v>#DIV/0!</v>
      </c>
      <c r="AI424" s="73" t="e">
        <f t="shared" si="706"/>
        <v>#DIV/0!</v>
      </c>
      <c r="AJ424" s="73"/>
      <c r="AK424" s="76" t="e">
        <f t="shared" si="707"/>
        <v>#DIV/0!</v>
      </c>
      <c r="AL424" s="76" t="e">
        <f t="shared" si="708"/>
        <v>#DIV/0!</v>
      </c>
      <c r="AM424" s="76" t="e">
        <f t="shared" si="709"/>
        <v>#DIV/0!</v>
      </c>
      <c r="AN424" s="76"/>
      <c r="AO424" s="81" t="e">
        <f t="shared" si="710"/>
        <v>#DIV/0!</v>
      </c>
      <c r="AP424" s="81" t="e">
        <f t="shared" si="711"/>
        <v>#DIV/0!</v>
      </c>
      <c r="AQ424" s="81" t="e">
        <f t="shared" si="712"/>
        <v>#DIV/0!</v>
      </c>
      <c r="AR424" s="3"/>
      <c r="AS424" s="76" t="e">
        <f t="shared" si="688"/>
        <v>#DIV/0!</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0</v>
      </c>
      <c r="H425" s="52" t="e">
        <f t="shared" si="690"/>
        <v>#DIV/0!</v>
      </c>
      <c r="I425" s="53">
        <f>COUNTIFS('00 Encuesta'!$B$2:$B$511,"*e)*",'00 Encuesta'!$C$2:$C$511,"*a)*",'00 Encuesta'!$E$2:$E$511,"*a)*",'00 Encuesta'!$BA$2:$BA$511,"*f)*")</f>
        <v>0</v>
      </c>
      <c r="J425" s="52" t="e">
        <f t="shared" si="691"/>
        <v>#DIV/0!</v>
      </c>
      <c r="K425" s="53">
        <f>COUNTIFS('00 Encuesta'!$B$2:$B$511,"*e)*",'00 Encuesta'!$C$2:$C$511,"*a)*",'00 Encuesta'!$E$2:$E$511,"*b)*",'00 Encuesta'!$BA$2:$BA$511,"*f)*")</f>
        <v>0</v>
      </c>
      <c r="L425" s="52" t="e">
        <f t="shared" si="692"/>
        <v>#DIV/0!</v>
      </c>
      <c r="M425" s="23"/>
      <c r="N425" s="51">
        <f t="shared" si="693"/>
        <v>0</v>
      </c>
      <c r="O425" s="52" t="e">
        <f t="shared" si="694"/>
        <v>#DIV/0!</v>
      </c>
      <c r="P425" s="53">
        <f>COUNTIFS('00 Encuesta'!$B$2:$B$511,"*e)*",'00 Encuesta'!$C$2:$C$511,"*b)*",'00 Encuesta'!$E$2:$E$511,"*a)*",'00 Encuesta'!$BA$2:$BA$511,"*f)*")</f>
        <v>0</v>
      </c>
      <c r="Q425" s="52" t="e">
        <f t="shared" si="695"/>
        <v>#DIV/0!</v>
      </c>
      <c r="R425" s="53">
        <f>COUNTIFS('00 Encuesta'!$B$2:$B$511,"*e)*",'00 Encuesta'!$C$2:$C$511,"*b)*",'00 Encuesta'!$E$2:$E$511,"*b)*",'00 Encuesta'!$BA$2:$BA$511,"*f)*")</f>
        <v>0</v>
      </c>
      <c r="S425" s="52" t="e">
        <f t="shared" si="696"/>
        <v>#DIV/0!</v>
      </c>
      <c r="T425" s="3"/>
      <c r="U425" s="51">
        <f t="shared" si="697"/>
        <v>0</v>
      </c>
      <c r="V425" s="52" t="e">
        <f t="shared" si="698"/>
        <v>#DIV/0!</v>
      </c>
      <c r="W425" s="53">
        <f>COUNTIFS('00 Encuesta'!$B$2:$B$511,"*e)*",'00 Encuesta'!$C$2:$C$511,"*c)*",'00 Encuesta'!$E$2:$E$511,"*a)*",'00 Encuesta'!$BA$2:$BA$511,"*f)*")</f>
        <v>0</v>
      </c>
      <c r="X425" s="52" t="e">
        <f t="shared" si="699"/>
        <v>#DIV/0!</v>
      </c>
      <c r="Y425" s="53">
        <f>COUNTIFS('00 Encuesta'!$B$2:$B$511,"*e)*",'00 Encuesta'!$C$2:$C$511,"*c)*",'00 Encuesta'!$E$2:$E$511,"*b)*",'00 Encuesta'!$BA$2:$BA$511,"*f)*")</f>
        <v>0</v>
      </c>
      <c r="Z425" s="52" t="e">
        <f t="shared" si="700"/>
        <v>#DIV/0!</v>
      </c>
      <c r="AA425" s="3"/>
      <c r="AB425" s="62">
        <f t="shared" si="701"/>
        <v>0</v>
      </c>
      <c r="AC425" s="52" t="e">
        <f t="shared" si="702"/>
        <v>#DIV/0!</v>
      </c>
      <c r="AD425" s="3"/>
      <c r="AE425" s="3"/>
      <c r="AF425" s="9" t="str">
        <f t="shared" si="703"/>
        <v>f) Educadores que ademàs me han abierto caminos</v>
      </c>
      <c r="AG425" s="72" t="e">
        <f t="shared" si="704"/>
        <v>#DIV/0!</v>
      </c>
      <c r="AH425" s="72" t="e">
        <f t="shared" si="705"/>
        <v>#DIV/0!</v>
      </c>
      <c r="AI425" s="73" t="e">
        <f t="shared" si="706"/>
        <v>#DIV/0!</v>
      </c>
      <c r="AJ425" s="73"/>
      <c r="AK425" s="76" t="e">
        <f t="shared" si="707"/>
        <v>#DIV/0!</v>
      </c>
      <c r="AL425" s="76" t="e">
        <f t="shared" si="708"/>
        <v>#DIV/0!</v>
      </c>
      <c r="AM425" s="76" t="e">
        <f t="shared" si="709"/>
        <v>#DIV/0!</v>
      </c>
      <c r="AN425" s="76"/>
      <c r="AO425" s="81" t="e">
        <f t="shared" si="710"/>
        <v>#DIV/0!</v>
      </c>
      <c r="AP425" s="81" t="e">
        <f t="shared" si="711"/>
        <v>#DIV/0!</v>
      </c>
      <c r="AQ425" s="81" t="e">
        <f t="shared" si="712"/>
        <v>#DIV/0!</v>
      </c>
      <c r="AR425" s="3"/>
      <c r="AS425" s="76" t="e">
        <f t="shared" si="688"/>
        <v>#DIV/0!</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x14ac:dyDescent="0.3">
      <c r="A428" s="1" t="s">
        <v>17</v>
      </c>
      <c r="B428" s="2" t="s">
        <v>178</v>
      </c>
      <c r="C428" s="3"/>
      <c r="D428" s="3"/>
      <c r="E428" s="3"/>
      <c r="F428" s="5">
        <v>0</v>
      </c>
      <c r="G428" s="51">
        <f>I428+K428</f>
        <v>0</v>
      </c>
      <c r="H428" s="52" t="e">
        <f>G428/$J$5*100</f>
        <v>#DIV/0!</v>
      </c>
      <c r="I428" s="53">
        <f>COUNTIFS('00 Encuesta'!$B$2:$B$511,"*e)*",'00 Encuesta'!$C$2:$C$511,"*a)*",'00 Encuesta'!$E$2:$E$511,"*a)*",'00 Encuesta'!$BB$2:$BB$511,"*a)*")</f>
        <v>0</v>
      </c>
      <c r="J428" s="52" t="e">
        <f>I428/$J$6*100</f>
        <v>#DIV/0!</v>
      </c>
      <c r="K428" s="53">
        <f>COUNTIFS('00 Encuesta'!$B$2:$B$511,"*e)*",'00 Encuesta'!$C$2:$C$511,"*a)*",'00 Encuesta'!$E$2:$E$511,"*b)*",'00 Encuesta'!$BB$2:$BB$511,"*a)*")</f>
        <v>0</v>
      </c>
      <c r="L428" s="52" t="e">
        <f>K428/$J$7*100</f>
        <v>#DIV/0!</v>
      </c>
      <c r="M428" s="23"/>
      <c r="N428" s="51">
        <f>P428+R428</f>
        <v>0</v>
      </c>
      <c r="O428" s="52" t="e">
        <f>N428/$Q$5*100</f>
        <v>#DIV/0!</v>
      </c>
      <c r="P428" s="53">
        <f>COUNTIFS('00 Encuesta'!$B$2:$B$511,"*e)*",'00 Encuesta'!$C$2:$C$511,"*b)*",'00 Encuesta'!$E$2:$E$511,"*a)*",'00 Encuesta'!$BB$2:$BB$511,"*a)*")</f>
        <v>0</v>
      </c>
      <c r="Q428" s="52" t="e">
        <f>P428/$Q$6*100</f>
        <v>#DIV/0!</v>
      </c>
      <c r="R428" s="53">
        <f>COUNTIFS('00 Encuesta'!$B$2:$B$511,"*e)*",'00 Encuesta'!$C$2:$C$511,"*b)*",'00 Encuesta'!$E$2:$E$511,"*b)*",'00 Encuesta'!$BB$2:$BB$511,"*a)*")</f>
        <v>0</v>
      </c>
      <c r="S428" s="52" t="e">
        <f>R428/$Q$7*100</f>
        <v>#DIV/0!</v>
      </c>
      <c r="T428" s="3"/>
      <c r="U428" s="51">
        <f>W428+Y428</f>
        <v>0</v>
      </c>
      <c r="V428" s="52" t="e">
        <f>U428/$X$5*100</f>
        <v>#DIV/0!</v>
      </c>
      <c r="W428" s="53">
        <f>COUNTIFS('00 Encuesta'!$B$2:$B$511,"*e)*",'00 Encuesta'!$C$2:$C$511,"*c)*",'00 Encuesta'!$E$2:$E$511,"*a)*",'00 Encuesta'!$BB$2:$BB$511,"*a)*")</f>
        <v>0</v>
      </c>
      <c r="X428" s="52" t="e">
        <f>W428/$X$6*100</f>
        <v>#DIV/0!</v>
      </c>
      <c r="Y428" s="53">
        <f>COUNTIFS('00 Encuesta'!$B$2:$B$511,"*e)*",'00 Encuesta'!$C$2:$C$511,"*c)*",'00 Encuesta'!$E$2:$E$511,"*b)*",'00 Encuesta'!$BB$2:$BB$511,"*a)*")</f>
        <v>0</v>
      </c>
      <c r="Z428" s="52" t="e">
        <f>Y428/$X$7*100</f>
        <v>#DIV/0!</v>
      </c>
      <c r="AA428" s="3"/>
      <c r="AB428" s="62">
        <f>G428+N428+U428</f>
        <v>0</v>
      </c>
      <c r="AC428" s="52" t="e">
        <f>AB428*100/$AC$5</f>
        <v>#DIV/0!</v>
      </c>
      <c r="AD428" s="3"/>
      <c r="AE428" s="3"/>
      <c r="AF428" s="9" t="str">
        <f t="shared" si="713"/>
        <v>a) No, en absoluto</v>
      </c>
      <c r="AG428" s="72" t="e">
        <f>J428</f>
        <v>#DIV/0!</v>
      </c>
      <c r="AH428" s="72" t="e">
        <f>L428</f>
        <v>#DIV/0!</v>
      </c>
      <c r="AI428" s="73" t="e">
        <f>H428</f>
        <v>#DIV/0!</v>
      </c>
      <c r="AJ428" s="73"/>
      <c r="AK428" s="76" t="e">
        <f>Q428</f>
        <v>#DIV/0!</v>
      </c>
      <c r="AL428" s="76" t="e">
        <f>S428</f>
        <v>#DIV/0!</v>
      </c>
      <c r="AM428" s="76" t="e">
        <f>O428</f>
        <v>#DIV/0!</v>
      </c>
      <c r="AN428" s="76"/>
      <c r="AO428" s="81" t="e">
        <f>X428</f>
        <v>#DIV/0!</v>
      </c>
      <c r="AP428" s="81" t="e">
        <f>Z428</f>
        <v>#DIV/0!</v>
      </c>
      <c r="AQ428" s="81" t="e">
        <f>V428</f>
        <v>#DIV/0!</v>
      </c>
      <c r="AR428" s="3"/>
      <c r="AS428" s="76" t="e">
        <f t="shared" si="688"/>
        <v>#DIV/0!</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x14ac:dyDescent="0.3">
      <c r="A429" s="1" t="s">
        <v>18</v>
      </c>
      <c r="B429" s="2" t="s">
        <v>104</v>
      </c>
      <c r="C429" s="3"/>
      <c r="D429" s="3"/>
      <c r="E429" s="3"/>
      <c r="F429" s="4">
        <v>33.33</v>
      </c>
      <c r="G429" s="51">
        <f>I429+K429</f>
        <v>0</v>
      </c>
      <c r="H429" s="52" t="e">
        <f>G429/$J$5*100</f>
        <v>#DIV/0!</v>
      </c>
      <c r="I429" s="53">
        <f>COUNTIFS('00 Encuesta'!$B$2:$B$511,"*e)*",'00 Encuesta'!$C$2:$C$511,"*a)*",'00 Encuesta'!$E$2:$E$511,"*a)*",'00 Encuesta'!$BB$2:$BB$511,"*b)*")</f>
        <v>0</v>
      </c>
      <c r="J429" s="52" t="e">
        <f>I429/$J$6*100</f>
        <v>#DIV/0!</v>
      </c>
      <c r="K429" s="53">
        <f>COUNTIFS('00 Encuesta'!$B$2:$B$511,"*e)*",'00 Encuesta'!$C$2:$C$511,"*a)*",'00 Encuesta'!$E$2:$E$511,"*b)*",'00 Encuesta'!$BB$2:$BB$511,"*b)*")</f>
        <v>0</v>
      </c>
      <c r="L429" s="52" t="e">
        <f>K429/$J$7*100</f>
        <v>#DIV/0!</v>
      </c>
      <c r="M429" s="23"/>
      <c r="N429" s="51">
        <f>P429+R429</f>
        <v>0</v>
      </c>
      <c r="O429" s="52" t="e">
        <f>N429/$Q$5*100</f>
        <v>#DIV/0!</v>
      </c>
      <c r="P429" s="53">
        <f>COUNTIFS('00 Encuesta'!$B$2:$B$511,"*e)*",'00 Encuesta'!$C$2:$C$511,"*b)*",'00 Encuesta'!$E$2:$E$511,"*a)*",'00 Encuesta'!$BB$2:$BB$511,"*b)*")</f>
        <v>0</v>
      </c>
      <c r="Q429" s="52" t="e">
        <f>P429/$Q$6*100</f>
        <v>#DIV/0!</v>
      </c>
      <c r="R429" s="53">
        <f>COUNTIFS('00 Encuesta'!$B$2:$B$511,"*e)*",'00 Encuesta'!$C$2:$C$511,"*b)*",'00 Encuesta'!$E$2:$E$511,"*b)*",'00 Encuesta'!$BB$2:$BB$511,"*b)*")</f>
        <v>0</v>
      </c>
      <c r="S429" s="52" t="e">
        <f>R429/$Q$7*100</f>
        <v>#DIV/0!</v>
      </c>
      <c r="T429" s="3"/>
      <c r="U429" s="51">
        <f>W429+Y429</f>
        <v>0</v>
      </c>
      <c r="V429" s="52" t="e">
        <f>U429/$X$5*100</f>
        <v>#DIV/0!</v>
      </c>
      <c r="W429" s="53">
        <f>COUNTIFS('00 Encuesta'!$B$2:$B$511,"*e)*",'00 Encuesta'!$C$2:$C$511,"*c)*",'00 Encuesta'!$E$2:$E$511,"*a)*",'00 Encuesta'!$BB$2:$BB$511,"*b)*")</f>
        <v>0</v>
      </c>
      <c r="X429" s="52" t="e">
        <f>W429/$X$6*100</f>
        <v>#DIV/0!</v>
      </c>
      <c r="Y429" s="53">
        <f>COUNTIFS('00 Encuesta'!$B$2:$B$511,"*e)*",'00 Encuesta'!$C$2:$C$511,"*c)*",'00 Encuesta'!$E$2:$E$511,"*b)*",'00 Encuesta'!$BB$2:$BB$511,"*b)*")</f>
        <v>0</v>
      </c>
      <c r="Z429" s="52" t="e">
        <f>Y429/$X$7*100</f>
        <v>#DIV/0!</v>
      </c>
      <c r="AA429" s="3"/>
      <c r="AB429" s="62">
        <f>G429+N429+U429</f>
        <v>0</v>
      </c>
      <c r="AC429" s="52" t="e">
        <f>AB429*100/$AC$5</f>
        <v>#DIV/0!</v>
      </c>
      <c r="AD429" s="3"/>
      <c r="AE429" s="3"/>
      <c r="AF429" s="9" t="str">
        <f t="shared" si="713"/>
        <v>b) Poco</v>
      </c>
      <c r="AG429" s="72" t="e">
        <f>J429</f>
        <v>#DIV/0!</v>
      </c>
      <c r="AH429" s="72" t="e">
        <f>L429</f>
        <v>#DIV/0!</v>
      </c>
      <c r="AI429" s="73" t="e">
        <f>H429</f>
        <v>#DIV/0!</v>
      </c>
      <c r="AJ429" s="73"/>
      <c r="AK429" s="76" t="e">
        <f>Q429</f>
        <v>#DIV/0!</v>
      </c>
      <c r="AL429" s="76" t="e">
        <f>S429</f>
        <v>#DIV/0!</v>
      </c>
      <c r="AM429" s="76" t="e">
        <f>O429</f>
        <v>#DIV/0!</v>
      </c>
      <c r="AN429" s="76"/>
      <c r="AO429" s="81" t="e">
        <f>X429</f>
        <v>#DIV/0!</v>
      </c>
      <c r="AP429" s="81" t="e">
        <f>Z429</f>
        <v>#DIV/0!</v>
      </c>
      <c r="AQ429" s="81" t="e">
        <f>V429</f>
        <v>#DIV/0!</v>
      </c>
      <c r="AR429" s="3"/>
      <c r="AS429" s="76" t="e">
        <f t="shared" si="688"/>
        <v>#DIV/0!</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x14ac:dyDescent="0.3">
      <c r="A430" s="1" t="s">
        <v>20</v>
      </c>
      <c r="B430" s="2" t="s">
        <v>179</v>
      </c>
      <c r="C430" s="3"/>
      <c r="D430" s="3"/>
      <c r="E430" s="3"/>
      <c r="F430" s="4">
        <v>66.66</v>
      </c>
      <c r="G430" s="51">
        <f>I430+K430</f>
        <v>0</v>
      </c>
      <c r="H430" s="52" t="e">
        <f>G430/$J$5*100</f>
        <v>#DIV/0!</v>
      </c>
      <c r="I430" s="53">
        <f>COUNTIFS('00 Encuesta'!$B$2:$B$511,"*e)*",'00 Encuesta'!$C$2:$C$511,"*a)*",'00 Encuesta'!$E$2:$E$511,"*a)*",'00 Encuesta'!$BB$2:$BB$511,"*c)*")</f>
        <v>0</v>
      </c>
      <c r="J430" s="52" t="e">
        <f>I430/$J$6*100</f>
        <v>#DIV/0!</v>
      </c>
      <c r="K430" s="53">
        <f>COUNTIFS('00 Encuesta'!$B$2:$B$511,"*e)*",'00 Encuesta'!$C$2:$C$511,"*a)*",'00 Encuesta'!$E$2:$E$511,"*b)*",'00 Encuesta'!$BB$2:$BB$511,"*c)*")</f>
        <v>0</v>
      </c>
      <c r="L430" s="52" t="e">
        <f>K430/$J$7*100</f>
        <v>#DIV/0!</v>
      </c>
      <c r="M430" s="23"/>
      <c r="N430" s="51">
        <f>P430+R430</f>
        <v>0</v>
      </c>
      <c r="O430" s="52" t="e">
        <f>N430/$Q$5*100</f>
        <v>#DIV/0!</v>
      </c>
      <c r="P430" s="53">
        <f>COUNTIFS('00 Encuesta'!$B$2:$B$511,"*e)*",'00 Encuesta'!$C$2:$C$511,"*b)*",'00 Encuesta'!$E$2:$E$511,"*a)*",'00 Encuesta'!$BB$2:$BB$511,"*c)*")</f>
        <v>0</v>
      </c>
      <c r="Q430" s="52" t="e">
        <f>P430/$Q$6*100</f>
        <v>#DIV/0!</v>
      </c>
      <c r="R430" s="53">
        <f>COUNTIFS('00 Encuesta'!$B$2:$B$511,"*e)*",'00 Encuesta'!$C$2:$C$511,"*b)*",'00 Encuesta'!$E$2:$E$511,"*b)*",'00 Encuesta'!$BB$2:$BB$511,"*c)*")</f>
        <v>0</v>
      </c>
      <c r="S430" s="52" t="e">
        <f>R430/$Q$7*100</f>
        <v>#DIV/0!</v>
      </c>
      <c r="T430" s="3"/>
      <c r="U430" s="51">
        <f>W430+Y430</f>
        <v>0</v>
      </c>
      <c r="V430" s="52" t="e">
        <f>U430/$X$5*100</f>
        <v>#DIV/0!</v>
      </c>
      <c r="W430" s="53">
        <f>COUNTIFS('00 Encuesta'!$B$2:$B$511,"*e)*",'00 Encuesta'!$C$2:$C$511,"*c)*",'00 Encuesta'!$E$2:$E$511,"*a)*",'00 Encuesta'!$BB$2:$BB$511,"*c)*")</f>
        <v>0</v>
      </c>
      <c r="X430" s="52" t="e">
        <f>W430/$X$6*100</f>
        <v>#DIV/0!</v>
      </c>
      <c r="Y430" s="53">
        <f>COUNTIFS('00 Encuesta'!$B$2:$B$511,"*e)*",'00 Encuesta'!$C$2:$C$511,"*c)*",'00 Encuesta'!$E$2:$E$511,"*b)*",'00 Encuesta'!$BB$2:$BB$511,"*c)*")</f>
        <v>0</v>
      </c>
      <c r="Z430" s="52" t="e">
        <f>Y430/$X$7*100</f>
        <v>#DIV/0!</v>
      </c>
      <c r="AA430" s="3"/>
      <c r="AB430" s="62">
        <f>G430+N430+U430</f>
        <v>0</v>
      </c>
      <c r="AC430" s="52" t="e">
        <f>AB430*100/$AC$5</f>
        <v>#DIV/0!</v>
      </c>
      <c r="AD430" s="3"/>
      <c r="AE430" s="3"/>
      <c r="AF430" s="9" t="str">
        <f t="shared" si="713"/>
        <v>c) Bastante</v>
      </c>
      <c r="AG430" s="72" t="e">
        <f>J430</f>
        <v>#DIV/0!</v>
      </c>
      <c r="AH430" s="72" t="e">
        <f>L430</f>
        <v>#DIV/0!</v>
      </c>
      <c r="AI430" s="73" t="e">
        <f>H430</f>
        <v>#DIV/0!</v>
      </c>
      <c r="AJ430" s="73"/>
      <c r="AK430" s="76" t="e">
        <f>Q430</f>
        <v>#DIV/0!</v>
      </c>
      <c r="AL430" s="76" t="e">
        <f>S430</f>
        <v>#DIV/0!</v>
      </c>
      <c r="AM430" s="76" t="e">
        <f>O430</f>
        <v>#DIV/0!</v>
      </c>
      <c r="AN430" s="76"/>
      <c r="AO430" s="81" t="e">
        <f>X430</f>
        <v>#DIV/0!</v>
      </c>
      <c r="AP430" s="81" t="e">
        <f>Z430</f>
        <v>#DIV/0!</v>
      </c>
      <c r="AQ430" s="81" t="e">
        <f>V430</f>
        <v>#DIV/0!</v>
      </c>
      <c r="AR430" s="3"/>
      <c r="AS430" s="76" t="e">
        <f t="shared" si="688"/>
        <v>#DIV/0!</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0</v>
      </c>
      <c r="H431" s="52" t="e">
        <f>G431/$J$5*100</f>
        <v>#DIV/0!</v>
      </c>
      <c r="I431" s="53">
        <f>COUNTIFS('00 Encuesta'!$B$2:$B$511,"*e)*",'00 Encuesta'!$C$2:$C$511,"*a)*",'00 Encuesta'!$E$2:$E$511,"*a)*",'00 Encuesta'!$BB$2:$BB$511,"*d)*")</f>
        <v>0</v>
      </c>
      <c r="J431" s="52" t="e">
        <f>I431/$J$6*100</f>
        <v>#DIV/0!</v>
      </c>
      <c r="K431" s="53">
        <f>COUNTIFS('00 Encuesta'!$B$2:$B$511,"*e)*",'00 Encuesta'!$C$2:$C$511,"*a)*",'00 Encuesta'!$E$2:$E$511,"*b)*",'00 Encuesta'!$BB$2:$BB$511,"*d)*")</f>
        <v>0</v>
      </c>
      <c r="L431" s="52" t="e">
        <f>K431/$J$7*100</f>
        <v>#DIV/0!</v>
      </c>
      <c r="M431" s="23"/>
      <c r="N431" s="51">
        <f>P431+R431</f>
        <v>0</v>
      </c>
      <c r="O431" s="52" t="e">
        <f>N431/$Q$5*100</f>
        <v>#DIV/0!</v>
      </c>
      <c r="P431" s="53">
        <f>COUNTIFS('00 Encuesta'!$B$2:$B$511,"*e)*",'00 Encuesta'!$C$2:$C$511,"*b)*",'00 Encuesta'!$E$2:$E$511,"*a)*",'00 Encuesta'!$BB$2:$BB$511,"*d)*")</f>
        <v>0</v>
      </c>
      <c r="Q431" s="52" t="e">
        <f>P431/$Q$6*100</f>
        <v>#DIV/0!</v>
      </c>
      <c r="R431" s="53">
        <f>COUNTIFS('00 Encuesta'!$B$2:$B$511,"*e)*",'00 Encuesta'!$C$2:$C$511,"*b)*",'00 Encuesta'!$E$2:$E$511,"*b)*",'00 Encuesta'!$BB$2:$BB$511,"*d)*")</f>
        <v>0</v>
      </c>
      <c r="S431" s="52" t="e">
        <f>R431/$Q$7*100</f>
        <v>#DIV/0!</v>
      </c>
      <c r="T431" s="3"/>
      <c r="U431" s="51">
        <f>W431+Y431</f>
        <v>0</v>
      </c>
      <c r="V431" s="52" t="e">
        <f>U431/$X$5*100</f>
        <v>#DIV/0!</v>
      </c>
      <c r="W431" s="53">
        <f>COUNTIFS('00 Encuesta'!$B$2:$B$511,"*e)*",'00 Encuesta'!$C$2:$C$511,"*c)*",'00 Encuesta'!$E$2:$E$511,"*a)*",'00 Encuesta'!$BB$2:$BB$511,"*d)*")</f>
        <v>0</v>
      </c>
      <c r="X431" s="52" t="e">
        <f>W431/$X$6*100</f>
        <v>#DIV/0!</v>
      </c>
      <c r="Y431" s="53">
        <f>COUNTIFS('00 Encuesta'!$B$2:$B$511,"*e)*",'00 Encuesta'!$C$2:$C$511,"*c)*",'00 Encuesta'!$E$2:$E$511,"*b)*",'00 Encuesta'!$BB$2:$BB$511,"*d)*")</f>
        <v>0</v>
      </c>
      <c r="Z431" s="52" t="e">
        <f>Y431/$X$7*100</f>
        <v>#DIV/0!</v>
      </c>
      <c r="AA431" s="3"/>
      <c r="AB431" s="62">
        <f>G431+N431+U431</f>
        <v>0</v>
      </c>
      <c r="AC431" s="52" t="e">
        <f>AB431*100/$AC$5</f>
        <v>#DIV/0!</v>
      </c>
      <c r="AD431" s="3"/>
      <c r="AE431" s="3"/>
      <c r="AF431" s="9" t="str">
        <f t="shared" si="713"/>
        <v>d) Mucho o muchìsimo</v>
      </c>
      <c r="AG431" s="72" t="e">
        <f>J431</f>
        <v>#DIV/0!</v>
      </c>
      <c r="AH431" s="72" t="e">
        <f>L431</f>
        <v>#DIV/0!</v>
      </c>
      <c r="AI431" s="73" t="e">
        <f>H431</f>
        <v>#DIV/0!</v>
      </c>
      <c r="AJ431" s="73"/>
      <c r="AK431" s="76" t="e">
        <f>Q431</f>
        <v>#DIV/0!</v>
      </c>
      <c r="AL431" s="76" t="e">
        <f>S431</f>
        <v>#DIV/0!</v>
      </c>
      <c r="AM431" s="76" t="e">
        <f>O431</f>
        <v>#DIV/0!</v>
      </c>
      <c r="AN431" s="76"/>
      <c r="AO431" s="81" t="e">
        <f>X431</f>
        <v>#DIV/0!</v>
      </c>
      <c r="AP431" s="81" t="e">
        <f>Z431</f>
        <v>#DIV/0!</v>
      </c>
      <c r="AQ431" s="81" t="e">
        <f>V431</f>
        <v>#DIV/0!</v>
      </c>
      <c r="AR431" s="3"/>
      <c r="AS431" s="76" t="e">
        <f t="shared" si="688"/>
        <v>#DIV/0!</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0</v>
      </c>
      <c r="H432" s="52" t="e">
        <f>G432/$J$5*100</f>
        <v>#DIV/0!</v>
      </c>
      <c r="I432" s="53">
        <f>COUNTIFS('00 Encuesta'!$B$2:$B$511,"*e)*",'00 Encuesta'!$C$2:$C$511,"*a)*",'00 Encuesta'!$E$2:$E$511,"*a)*",'00 Encuesta'!$BB$2:$BB$511,"*e)*")</f>
        <v>0</v>
      </c>
      <c r="J432" s="52" t="e">
        <f>I432/$J$6*100</f>
        <v>#DIV/0!</v>
      </c>
      <c r="K432" s="53">
        <f>COUNTIFS('00 Encuesta'!$B$2:$B$511,"*e)*",'00 Encuesta'!$C$2:$C$511,"*a)*",'00 Encuesta'!$E$2:$E$511,"*b)*",'00 Encuesta'!$BB$2:$BB$511,"*e)*")</f>
        <v>0</v>
      </c>
      <c r="L432" s="52" t="e">
        <f>K432/$J$7*100</f>
        <v>#DIV/0!</v>
      </c>
      <c r="M432" s="23"/>
      <c r="N432" s="51">
        <f>P432+R432</f>
        <v>0</v>
      </c>
      <c r="O432" s="52" t="e">
        <f>N432/$Q$5*100</f>
        <v>#DIV/0!</v>
      </c>
      <c r="P432" s="53">
        <f>COUNTIFS('00 Encuesta'!$B$2:$B$511,"*e)*",'00 Encuesta'!$C$2:$C$511,"*b)*",'00 Encuesta'!$E$2:$E$511,"*a)*",'00 Encuesta'!$BB$2:$BB$511,"*e)*")</f>
        <v>0</v>
      </c>
      <c r="Q432" s="52" t="e">
        <f>P432/$Q$6*100</f>
        <v>#DIV/0!</v>
      </c>
      <c r="R432" s="53">
        <f>COUNTIFS('00 Encuesta'!$B$2:$B$511,"*e)*",'00 Encuesta'!$C$2:$C$511,"*b)*",'00 Encuesta'!$E$2:$E$511,"*b)*",'00 Encuesta'!$BB$2:$BB$511,"*e)*")</f>
        <v>0</v>
      </c>
      <c r="S432" s="52" t="e">
        <f>R432/$Q$7*100</f>
        <v>#DIV/0!</v>
      </c>
      <c r="T432" s="3"/>
      <c r="U432" s="51">
        <f>W432+Y432</f>
        <v>0</v>
      </c>
      <c r="V432" s="52" t="e">
        <f>U432/$X$5*100</f>
        <v>#DIV/0!</v>
      </c>
      <c r="W432" s="53">
        <f>COUNTIFS('00 Encuesta'!$B$2:$B$511,"*e)*",'00 Encuesta'!$C$2:$C$511,"*c)*",'00 Encuesta'!$E$2:$E$511,"*a)*",'00 Encuesta'!$BB$2:$BB$511,"*e)*")</f>
        <v>0</v>
      </c>
      <c r="X432" s="52" t="e">
        <f>W432/$X$6*100</f>
        <v>#DIV/0!</v>
      </c>
      <c r="Y432" s="53">
        <f>COUNTIFS('00 Encuesta'!$B$2:$B$511,"*e)*",'00 Encuesta'!$C$2:$C$511,"*c)*",'00 Encuesta'!$E$2:$E$511,"*b)*",'00 Encuesta'!$BB$2:$BB$511,"*e)*")</f>
        <v>0</v>
      </c>
      <c r="Z432" s="52" t="e">
        <f>Y432/$X$7*100</f>
        <v>#DIV/0!</v>
      </c>
      <c r="AA432" s="3"/>
      <c r="AB432" s="62">
        <f>G432+N432+U432</f>
        <v>0</v>
      </c>
      <c r="AC432" s="52" t="e">
        <f>AB432*100/$AC$5</f>
        <v>#DIV/0!</v>
      </c>
      <c r="AD432" s="3"/>
      <c r="AE432" s="3"/>
      <c r="AF432" s="9" t="str">
        <f t="shared" si="713"/>
        <v>e) No sè</v>
      </c>
      <c r="AG432" s="72" t="e">
        <f>J432</f>
        <v>#DIV/0!</v>
      </c>
      <c r="AH432" s="72" t="e">
        <f>L432</f>
        <v>#DIV/0!</v>
      </c>
      <c r="AI432" s="73" t="e">
        <f>H432</f>
        <v>#DIV/0!</v>
      </c>
      <c r="AJ432" s="73"/>
      <c r="AK432" s="76" t="e">
        <f>Q432</f>
        <v>#DIV/0!</v>
      </c>
      <c r="AL432" s="76" t="e">
        <f>S432</f>
        <v>#DIV/0!</v>
      </c>
      <c r="AM432" s="76" t="e">
        <f>O432</f>
        <v>#DIV/0!</v>
      </c>
      <c r="AN432" s="76"/>
      <c r="AO432" s="81" t="e">
        <f>X432</f>
        <v>#DIV/0!</v>
      </c>
      <c r="AP432" s="81" t="e">
        <f>Z432</f>
        <v>#DIV/0!</v>
      </c>
      <c r="AQ432" s="81" t="e">
        <f>V432</f>
        <v>#DIV/0!</v>
      </c>
      <c r="AR432" s="3"/>
      <c r="AS432" s="76" t="e">
        <f t="shared" si="688"/>
        <v>#DIV/0!</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t="e">
        <f>(+$F428*I428+$F429*I429+$F430*I430+$F431*I431)/(+I428+I429+I430+I431)</f>
        <v>#DIV/0!</v>
      </c>
      <c r="AH433" s="82" t="e">
        <f>($F428*K428+$F429*K429+$F430*K430+$F431*K431)/(+K428+K429+K430+K431)</f>
        <v>#DIV/0!</v>
      </c>
      <c r="AI433" s="82" t="e">
        <f>($F428*G428+$F429*G429+$F430*G430+$F431*G431)/(G428+G429+G430+G431)</f>
        <v>#DIV/0!</v>
      </c>
      <c r="AJ433" s="82"/>
      <c r="AK433" s="82" t="e">
        <f>(+$F428*Q428+$F429*Q429+$F430*Q430+$F431*Q431)/(+Q428+Q429+Q430+Q431)</f>
        <v>#DIV/0!</v>
      </c>
      <c r="AL433" s="82" t="e">
        <f>($F428*S428+$F429*S429+$F430*S430+$F431*S431)/(+S428+S429+S430+S431)</f>
        <v>#DIV/0!</v>
      </c>
      <c r="AM433" s="82" t="e">
        <f>($F428*O428+$F429*O429+$F430*O430+$F431*O431)/(O428+O429+O430+O431)</f>
        <v>#DIV/0!</v>
      </c>
      <c r="AN433" s="82"/>
      <c r="AO433" s="82" t="e">
        <f>($F428*W428+$F429*W429+$F430*W430+$F431*W431)/(W428+W429+W430+W431)</f>
        <v>#DIV/0!</v>
      </c>
      <c r="AP433" s="82" t="e">
        <f>($F428*Y428+$F429*Y429+$F430*Y430+$F431*Y431)/(Y428+Y429+Y430+Y431)</f>
        <v>#DIV/0!</v>
      </c>
      <c r="AQ433" s="82" t="e">
        <f>($F428*U428+$F429*U429+$F430*U430+$F431*U431)/(U428+U429+U430+U431)</f>
        <v>#DIV/0!</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x14ac:dyDescent="0.3">
      <c r="A435" s="1" t="s">
        <v>17</v>
      </c>
      <c r="B435" s="2" t="s">
        <v>278</v>
      </c>
      <c r="C435" s="3"/>
      <c r="D435" s="3"/>
      <c r="E435" s="3"/>
      <c r="F435" s="4">
        <v>0</v>
      </c>
      <c r="G435" s="51">
        <f>I435+K435</f>
        <v>0</v>
      </c>
      <c r="H435" s="52" t="e">
        <f>G435/$J$5*100</f>
        <v>#DIV/0!</v>
      </c>
      <c r="I435" s="53">
        <f>COUNTIFS('00 Encuesta'!$B$2:$B$511,"*e)*",'00 Encuesta'!$C$2:$C$511,"*a)*",'00 Encuesta'!$E$2:$E$511,"*a)*",'00 Encuesta'!$BC$2:$BC$511,"*a)*")</f>
        <v>0</v>
      </c>
      <c r="J435" s="52" t="e">
        <f>I435/$J$6*100</f>
        <v>#DIV/0!</v>
      </c>
      <c r="K435" s="53">
        <f>COUNTIFS('00 Encuesta'!$B$2:$B$511,"*e)*",'00 Encuesta'!$C$2:$C$511,"*a)*",'00 Encuesta'!$E$2:$E$511,"*b)*",'00 Encuesta'!$BC$2:$BC$511,"*a)*")</f>
        <v>0</v>
      </c>
      <c r="L435" s="52" t="e">
        <f>K435/$J$7*100</f>
        <v>#DIV/0!</v>
      </c>
      <c r="M435" s="23"/>
      <c r="N435" s="51">
        <f>P435+R435</f>
        <v>0</v>
      </c>
      <c r="O435" s="52" t="e">
        <f>N435/$Q$5*100</f>
        <v>#DIV/0!</v>
      </c>
      <c r="P435" s="53">
        <f>COUNTIFS('00 Encuesta'!$B$2:$B$511,"*e)*",'00 Encuesta'!$C$2:$C$511,"*b)*",'00 Encuesta'!$E$2:$E$511,"*a)*",'00 Encuesta'!$BC$2:$BC$511,"*a)*")</f>
        <v>0</v>
      </c>
      <c r="Q435" s="52" t="e">
        <f>P435/$Q$6*100</f>
        <v>#DIV/0!</v>
      </c>
      <c r="R435" s="53">
        <f>COUNTIFS('00 Encuesta'!$B$2:$B$511,"*e)*",'00 Encuesta'!$C$2:$C$511,"*b)*",'00 Encuesta'!$E$2:$E$511,"*b)*",'00 Encuesta'!$BC$2:$BC$511,"*a)*")</f>
        <v>0</v>
      </c>
      <c r="S435" s="52" t="e">
        <f>R435/$Q$7*100</f>
        <v>#DIV/0!</v>
      </c>
      <c r="T435" s="3"/>
      <c r="U435" s="51">
        <f>W435+Y435</f>
        <v>0</v>
      </c>
      <c r="V435" s="52" t="e">
        <f>U435/$X$5*100</f>
        <v>#DIV/0!</v>
      </c>
      <c r="W435" s="53">
        <f>COUNTIFS('00 Encuesta'!$B$2:$B$511,"*e)*",'00 Encuesta'!$C$2:$C$511,"*c)*",'00 Encuesta'!$E$2:$E$511,"*a)*",'00 Encuesta'!$BC$2:$BC$511,"*a)*")</f>
        <v>0</v>
      </c>
      <c r="X435" s="52" t="e">
        <f>W435/$X$6*100</f>
        <v>#DIV/0!</v>
      </c>
      <c r="Y435" s="53">
        <f>COUNTIFS('00 Encuesta'!$B$2:$B$511,"*e)*",'00 Encuesta'!$C$2:$C$511,"*c)*",'00 Encuesta'!$E$2:$E$511,"*b)*",'00 Encuesta'!$BC$2:$BC$511,"*a)*")</f>
        <v>0</v>
      </c>
      <c r="Z435" s="52" t="e">
        <f>Y435/$X$7*100</f>
        <v>#DIV/0!</v>
      </c>
      <c r="AA435" s="3"/>
      <c r="AB435" s="62">
        <f>G435+N435+U435</f>
        <v>0</v>
      </c>
      <c r="AC435" s="52" t="e">
        <f>AB435*100/$AC$5</f>
        <v>#DIV/0!</v>
      </c>
      <c r="AD435" s="3"/>
      <c r="AE435" s="3"/>
      <c r="AF435" s="9" t="str">
        <f t="shared" si="714"/>
        <v>a) No me gustan en absoluto</v>
      </c>
      <c r="AG435" s="72" t="e">
        <f>J435</f>
        <v>#DIV/0!</v>
      </c>
      <c r="AH435" s="72" t="e">
        <f>L435</f>
        <v>#DIV/0!</v>
      </c>
      <c r="AI435" s="73" t="e">
        <f>H435</f>
        <v>#DIV/0!</v>
      </c>
      <c r="AJ435" s="73"/>
      <c r="AK435" s="76" t="e">
        <f>Q435</f>
        <v>#DIV/0!</v>
      </c>
      <c r="AL435" s="76" t="e">
        <f>S435</f>
        <v>#DIV/0!</v>
      </c>
      <c r="AM435" s="76" t="e">
        <f>O435</f>
        <v>#DIV/0!</v>
      </c>
      <c r="AN435" s="76"/>
      <c r="AO435" s="81" t="e">
        <f>X435</f>
        <v>#DIV/0!</v>
      </c>
      <c r="AP435" s="81" t="e">
        <f>Z435</f>
        <v>#DIV/0!</v>
      </c>
      <c r="AQ435" s="81" t="e">
        <f>V435</f>
        <v>#DIV/0!</v>
      </c>
      <c r="AR435" s="3"/>
      <c r="AS435" s="76" t="e">
        <f t="shared" si="688"/>
        <v>#DIV/0!</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x14ac:dyDescent="0.3">
      <c r="A436" s="1" t="s">
        <v>18</v>
      </c>
      <c r="B436" s="2" t="s">
        <v>279</v>
      </c>
      <c r="C436" s="3"/>
      <c r="D436" s="3"/>
      <c r="E436" s="3"/>
      <c r="F436" s="4">
        <v>25</v>
      </c>
      <c r="G436" s="51">
        <f>I436+K436</f>
        <v>0</v>
      </c>
      <c r="H436" s="52" t="e">
        <f>G436/$J$5*100</f>
        <v>#DIV/0!</v>
      </c>
      <c r="I436" s="53">
        <f>COUNTIFS('00 Encuesta'!$B$2:$B$511,"*e)*",'00 Encuesta'!$C$2:$C$511,"*a)*",'00 Encuesta'!$E$2:$E$511,"*a)*",'00 Encuesta'!$BC$2:$BC$511,"*b)*")</f>
        <v>0</v>
      </c>
      <c r="J436" s="52" t="e">
        <f>I436/$J$6*100</f>
        <v>#DIV/0!</v>
      </c>
      <c r="K436" s="53">
        <f>COUNTIFS('00 Encuesta'!$B$2:$B$511,"*e)*",'00 Encuesta'!$C$2:$C$511,"*a)*",'00 Encuesta'!$E$2:$E$511,"*b)*",'00 Encuesta'!$BC$2:$BC$511,"*b)*")</f>
        <v>0</v>
      </c>
      <c r="L436" s="52" t="e">
        <f>K436/$J$7*100</f>
        <v>#DIV/0!</v>
      </c>
      <c r="M436" s="23"/>
      <c r="N436" s="51">
        <f>P436+R436</f>
        <v>0</v>
      </c>
      <c r="O436" s="52" t="e">
        <f>N436/$Q$5*100</f>
        <v>#DIV/0!</v>
      </c>
      <c r="P436" s="53">
        <f>COUNTIFS('00 Encuesta'!$B$2:$B$511,"*e)*",'00 Encuesta'!$C$2:$C$511,"*b)*",'00 Encuesta'!$E$2:$E$511,"*a)*",'00 Encuesta'!$BC$2:$BC$511,"*b)*")</f>
        <v>0</v>
      </c>
      <c r="Q436" s="52" t="e">
        <f>P436/$Q$6*100</f>
        <v>#DIV/0!</v>
      </c>
      <c r="R436" s="53">
        <f>COUNTIFS('00 Encuesta'!$B$2:$B$511,"*e)*",'00 Encuesta'!$C$2:$C$511,"*b)*",'00 Encuesta'!$E$2:$E$511,"*b)*",'00 Encuesta'!$BC$2:$BC$511,"*b)*")</f>
        <v>0</v>
      </c>
      <c r="S436" s="52" t="e">
        <f>R436/$Q$7*100</f>
        <v>#DIV/0!</v>
      </c>
      <c r="T436" s="3"/>
      <c r="U436" s="51">
        <f>W436+Y436</f>
        <v>0</v>
      </c>
      <c r="V436" s="52" t="e">
        <f>U436/$X$5*100</f>
        <v>#DIV/0!</v>
      </c>
      <c r="W436" s="53">
        <f>COUNTIFS('00 Encuesta'!$B$2:$B$511,"*e)*",'00 Encuesta'!$C$2:$C$511,"*c)*",'00 Encuesta'!$E$2:$E$511,"*a)*",'00 Encuesta'!$BC$2:$BC$511,"*b)*")</f>
        <v>0</v>
      </c>
      <c r="X436" s="52" t="e">
        <f>W436/$X$6*100</f>
        <v>#DIV/0!</v>
      </c>
      <c r="Y436" s="53">
        <f>COUNTIFS('00 Encuesta'!$B$2:$B$511,"*e)*",'00 Encuesta'!$C$2:$C$511,"*c)*",'00 Encuesta'!$E$2:$E$511,"*b)*",'00 Encuesta'!$BC$2:$BC$511,"*b)*")</f>
        <v>0</v>
      </c>
      <c r="Z436" s="52" t="e">
        <f>Y436/$X$7*100</f>
        <v>#DIV/0!</v>
      </c>
      <c r="AA436" s="3"/>
      <c r="AB436" s="62">
        <f>G436+N436+U436</f>
        <v>0</v>
      </c>
      <c r="AC436" s="52" t="e">
        <f>AB436*100/$AC$5</f>
        <v>#DIV/0!</v>
      </c>
      <c r="AD436" s="3"/>
      <c r="AE436" s="3"/>
      <c r="AF436" s="9" t="str">
        <f t="shared" si="714"/>
        <v>b) Hay de todo tipo, pero predomina lo negativo</v>
      </c>
      <c r="AG436" s="72" t="e">
        <f>J436</f>
        <v>#DIV/0!</v>
      </c>
      <c r="AH436" s="72" t="e">
        <f>L436</f>
        <v>#DIV/0!</v>
      </c>
      <c r="AI436" s="73" t="e">
        <f>H436</f>
        <v>#DIV/0!</v>
      </c>
      <c r="AJ436" s="73"/>
      <c r="AK436" s="76" t="e">
        <f>Q436</f>
        <v>#DIV/0!</v>
      </c>
      <c r="AL436" s="76" t="e">
        <f>S436</f>
        <v>#DIV/0!</v>
      </c>
      <c r="AM436" s="76" t="e">
        <f>O436</f>
        <v>#DIV/0!</v>
      </c>
      <c r="AN436" s="76"/>
      <c r="AO436" s="81" t="e">
        <f>X436</f>
        <v>#DIV/0!</v>
      </c>
      <c r="AP436" s="81" t="e">
        <f>Z436</f>
        <v>#DIV/0!</v>
      </c>
      <c r="AQ436" s="81" t="e">
        <f>V436</f>
        <v>#DIV/0!</v>
      </c>
      <c r="AR436" s="3"/>
      <c r="AS436" s="76" t="e">
        <f t="shared" si="688"/>
        <v>#DIV/0!</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x14ac:dyDescent="0.3">
      <c r="A437" s="1" t="s">
        <v>20</v>
      </c>
      <c r="B437" s="2" t="s">
        <v>280</v>
      </c>
      <c r="C437" s="3"/>
      <c r="D437" s="3"/>
      <c r="E437" s="3"/>
      <c r="F437" s="4">
        <v>50</v>
      </c>
      <c r="G437" s="51">
        <f>I437+K437</f>
        <v>0</v>
      </c>
      <c r="H437" s="52" t="e">
        <f>G437/$J$5*100</f>
        <v>#DIV/0!</v>
      </c>
      <c r="I437" s="53">
        <f>COUNTIFS('00 Encuesta'!$B$2:$B$511,"*e)*",'00 Encuesta'!$C$2:$C$511,"*a)*",'00 Encuesta'!$E$2:$E$511,"*a)*",'00 Encuesta'!$BC$2:$BC$511,"*c)*")</f>
        <v>0</v>
      </c>
      <c r="J437" s="52" t="e">
        <f>I437/$J$6*100</f>
        <v>#DIV/0!</v>
      </c>
      <c r="K437" s="53">
        <f>COUNTIFS('00 Encuesta'!$B$2:$B$511,"*e)*",'00 Encuesta'!$C$2:$C$511,"*a)*",'00 Encuesta'!$E$2:$E$511,"*b)*",'00 Encuesta'!$BC$2:$BC$511,"*c)*")</f>
        <v>0</v>
      </c>
      <c r="L437" s="52" t="e">
        <f>K437/$J$7*100</f>
        <v>#DIV/0!</v>
      </c>
      <c r="M437" s="23"/>
      <c r="N437" s="51">
        <f>P437+R437</f>
        <v>0</v>
      </c>
      <c r="O437" s="52" t="e">
        <f>N437/$Q$5*100</f>
        <v>#DIV/0!</v>
      </c>
      <c r="P437" s="53">
        <f>COUNTIFS('00 Encuesta'!$B$2:$B$511,"*e)*",'00 Encuesta'!$C$2:$C$511,"*b)*",'00 Encuesta'!$E$2:$E$511,"*a)*",'00 Encuesta'!$BC$2:$BC$511,"*c)*")</f>
        <v>0</v>
      </c>
      <c r="Q437" s="52" t="e">
        <f>P437/$Q$6*100</f>
        <v>#DIV/0!</v>
      </c>
      <c r="R437" s="53">
        <f>COUNTIFS('00 Encuesta'!$B$2:$B$511,"*e)*",'00 Encuesta'!$C$2:$C$511,"*b)*",'00 Encuesta'!$E$2:$E$511,"*b)*",'00 Encuesta'!$BC$2:$BC$511,"*c)*")</f>
        <v>0</v>
      </c>
      <c r="S437" s="52" t="e">
        <f>R437/$Q$7*100</f>
        <v>#DIV/0!</v>
      </c>
      <c r="T437" s="3"/>
      <c r="U437" s="51">
        <f>W437+Y437</f>
        <v>0</v>
      </c>
      <c r="V437" s="52" t="e">
        <f>U437/$X$5*100</f>
        <v>#DIV/0!</v>
      </c>
      <c r="W437" s="53">
        <f>COUNTIFS('00 Encuesta'!$B$2:$B$511,"*e)*",'00 Encuesta'!$C$2:$C$511,"*c)*",'00 Encuesta'!$E$2:$E$511,"*a)*",'00 Encuesta'!$BC$2:$BC$511,"*c)*")</f>
        <v>0</v>
      </c>
      <c r="X437" s="52" t="e">
        <f>W437/$X$6*100</f>
        <v>#DIV/0!</v>
      </c>
      <c r="Y437" s="53">
        <f>COUNTIFS('00 Encuesta'!$B$2:$B$511,"*e)*",'00 Encuesta'!$C$2:$C$511,"*c)*",'00 Encuesta'!$E$2:$E$511,"*b)*",'00 Encuesta'!$BC$2:$BC$511,"*c)*")</f>
        <v>0</v>
      </c>
      <c r="Z437" s="52" t="e">
        <f>Y437/$X$7*100</f>
        <v>#DIV/0!</v>
      </c>
      <c r="AA437" s="3"/>
      <c r="AB437" s="62">
        <f>G437+N437+U437</f>
        <v>0</v>
      </c>
      <c r="AC437" s="52" t="e">
        <f>AB437*100/$AC$5</f>
        <v>#DIV/0!</v>
      </c>
      <c r="AD437" s="3"/>
      <c r="AE437" s="3"/>
      <c r="AF437" s="9" t="str">
        <f t="shared" si="714"/>
        <v>c) Son personas normales y corrientes</v>
      </c>
      <c r="AG437" s="72" t="e">
        <f>J437</f>
        <v>#DIV/0!</v>
      </c>
      <c r="AH437" s="72" t="e">
        <f>L437</f>
        <v>#DIV/0!</v>
      </c>
      <c r="AI437" s="73" t="e">
        <f>H437</f>
        <v>#DIV/0!</v>
      </c>
      <c r="AJ437" s="73"/>
      <c r="AK437" s="76" t="e">
        <f>Q437</f>
        <v>#DIV/0!</v>
      </c>
      <c r="AL437" s="76" t="e">
        <f>S437</f>
        <v>#DIV/0!</v>
      </c>
      <c r="AM437" s="76" t="e">
        <f>O437</f>
        <v>#DIV/0!</v>
      </c>
      <c r="AN437" s="76"/>
      <c r="AO437" s="81" t="e">
        <f>X437</f>
        <v>#DIV/0!</v>
      </c>
      <c r="AP437" s="81" t="e">
        <f>Z437</f>
        <v>#DIV/0!</v>
      </c>
      <c r="AQ437" s="81" t="e">
        <f>V437</f>
        <v>#DIV/0!</v>
      </c>
      <c r="AR437" s="3"/>
      <c r="AS437" s="76" t="e">
        <f t="shared" si="688"/>
        <v>#DIV/0!</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x14ac:dyDescent="0.3">
      <c r="A438" s="1" t="s">
        <v>21</v>
      </c>
      <c r="B438" s="2" t="s">
        <v>281</v>
      </c>
      <c r="C438" s="3"/>
      <c r="D438" s="3"/>
      <c r="E438" s="3"/>
      <c r="F438" s="4">
        <v>75</v>
      </c>
      <c r="G438" s="51">
        <f>I438+K438</f>
        <v>0</v>
      </c>
      <c r="H438" s="52" t="e">
        <f>G438/$J$5*100</f>
        <v>#DIV/0!</v>
      </c>
      <c r="I438" s="53">
        <f>COUNTIFS('00 Encuesta'!$B$2:$B$511,"*e)*",'00 Encuesta'!$C$2:$C$511,"*a)*",'00 Encuesta'!$E$2:$E$511,"*a)*",'00 Encuesta'!$BC$2:$BC$511,"*d)*")</f>
        <v>0</v>
      </c>
      <c r="J438" s="52" t="e">
        <f>I438/$J$6*100</f>
        <v>#DIV/0!</v>
      </c>
      <c r="K438" s="53">
        <f>COUNTIFS('00 Encuesta'!$B$2:$B$511,"*e)*",'00 Encuesta'!$C$2:$C$511,"*a)*",'00 Encuesta'!$E$2:$E$511,"*b)*",'00 Encuesta'!$BC$2:$BC$511,"*d)*")</f>
        <v>0</v>
      </c>
      <c r="L438" s="52" t="e">
        <f>K438/$J$7*100</f>
        <v>#DIV/0!</v>
      </c>
      <c r="M438" s="23"/>
      <c r="N438" s="51">
        <f>P438+R438</f>
        <v>0</v>
      </c>
      <c r="O438" s="52" t="e">
        <f>N438/$Q$5*100</f>
        <v>#DIV/0!</v>
      </c>
      <c r="P438" s="53">
        <f>COUNTIFS('00 Encuesta'!$B$2:$B$511,"*e)*",'00 Encuesta'!$C$2:$C$511,"*b)*",'00 Encuesta'!$E$2:$E$511,"*a)*",'00 Encuesta'!$BC$2:$BC$511,"*d)*")</f>
        <v>0</v>
      </c>
      <c r="Q438" s="52" t="e">
        <f>P438/$Q$6*100</f>
        <v>#DIV/0!</v>
      </c>
      <c r="R438" s="53">
        <f>COUNTIFS('00 Encuesta'!$B$2:$B$511,"*e)*",'00 Encuesta'!$C$2:$C$511,"*b)*",'00 Encuesta'!$E$2:$E$511,"*b)*",'00 Encuesta'!$BC$2:$BC$511,"*d)*")</f>
        <v>0</v>
      </c>
      <c r="S438" s="52" t="e">
        <f>R438/$Q$7*100</f>
        <v>#DIV/0!</v>
      </c>
      <c r="T438" s="3"/>
      <c r="U438" s="51">
        <f>W438+Y438</f>
        <v>0</v>
      </c>
      <c r="V438" s="52" t="e">
        <f>U438/$X$5*100</f>
        <v>#DIV/0!</v>
      </c>
      <c r="W438" s="53">
        <f>COUNTIFS('00 Encuesta'!$B$2:$B$511,"*e)*",'00 Encuesta'!$C$2:$C$511,"*c)*",'00 Encuesta'!$E$2:$E$511,"*a)*",'00 Encuesta'!$BC$2:$BC$511,"*d)*")</f>
        <v>0</v>
      </c>
      <c r="X438" s="52" t="e">
        <f>W438/$X$6*100</f>
        <v>#DIV/0!</v>
      </c>
      <c r="Y438" s="53">
        <f>COUNTIFS('00 Encuesta'!$B$2:$B$511,"*e)*",'00 Encuesta'!$C$2:$C$511,"*c)*",'00 Encuesta'!$E$2:$E$511,"*b)*",'00 Encuesta'!$BC$2:$BC$511,"*d)*")</f>
        <v>0</v>
      </c>
      <c r="Z438" s="52" t="e">
        <f>Y438/$X$7*100</f>
        <v>#DIV/0!</v>
      </c>
      <c r="AA438" s="3"/>
      <c r="AB438" s="62">
        <f>G438+N438+U438</f>
        <v>0</v>
      </c>
      <c r="AC438" s="52" t="e">
        <f>AB438*100/$AC$5</f>
        <v>#DIV/0!</v>
      </c>
      <c r="AD438" s="3"/>
      <c r="AE438" s="3"/>
      <c r="AF438" s="9" t="str">
        <f t="shared" si="714"/>
        <v>d) Hay de todo tipo, pero predomina lo positivo</v>
      </c>
      <c r="AG438" s="72" t="e">
        <f>J438</f>
        <v>#DIV/0!</v>
      </c>
      <c r="AH438" s="72" t="e">
        <f>L438</f>
        <v>#DIV/0!</v>
      </c>
      <c r="AI438" s="73" t="e">
        <f>H438</f>
        <v>#DIV/0!</v>
      </c>
      <c r="AJ438" s="73"/>
      <c r="AK438" s="76" t="e">
        <f>Q438</f>
        <v>#DIV/0!</v>
      </c>
      <c r="AL438" s="76" t="e">
        <f>S438</f>
        <v>#DIV/0!</v>
      </c>
      <c r="AM438" s="76" t="e">
        <f>O438</f>
        <v>#DIV/0!</v>
      </c>
      <c r="AN438" s="76"/>
      <c r="AO438" s="81" t="e">
        <f>X438</f>
        <v>#DIV/0!</v>
      </c>
      <c r="AP438" s="81" t="e">
        <f>Z438</f>
        <v>#DIV/0!</v>
      </c>
      <c r="AQ438" s="81" t="e">
        <f>V438</f>
        <v>#DIV/0!</v>
      </c>
      <c r="AR438" s="3"/>
      <c r="AS438" s="76" t="e">
        <f t="shared" si="688"/>
        <v>#DIV/0!</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x14ac:dyDescent="0.3">
      <c r="A439" s="1" t="s">
        <v>22</v>
      </c>
      <c r="B439" s="2" t="s">
        <v>282</v>
      </c>
      <c r="C439" s="3"/>
      <c r="D439" s="3"/>
      <c r="E439" s="3"/>
      <c r="F439" s="4">
        <v>100</v>
      </c>
      <c r="G439" s="51">
        <f>I439+K439</f>
        <v>0</v>
      </c>
      <c r="H439" s="52" t="e">
        <f>G439/$J$5*100</f>
        <v>#DIV/0!</v>
      </c>
      <c r="I439" s="53">
        <f>COUNTIFS('00 Encuesta'!$B$2:$B$511,"*e)*",'00 Encuesta'!$C$2:$C$511,"*a)*",'00 Encuesta'!$E$2:$E$511,"*a)*",'00 Encuesta'!$BC$2:$BC$511,"*e)*")</f>
        <v>0</v>
      </c>
      <c r="J439" s="52" t="e">
        <f>I439/$J$6*100</f>
        <v>#DIV/0!</v>
      </c>
      <c r="K439" s="53">
        <f>COUNTIFS('00 Encuesta'!$B$2:$B$511,"*e)*",'00 Encuesta'!$C$2:$C$511,"*a)*",'00 Encuesta'!$E$2:$E$511,"*b)*",'00 Encuesta'!$BC$2:$BC$511,"*e)*")</f>
        <v>0</v>
      </c>
      <c r="L439" s="52" t="e">
        <f>K439/$J$7*100</f>
        <v>#DIV/0!</v>
      </c>
      <c r="M439" s="23"/>
      <c r="N439" s="51">
        <f>P439+R439</f>
        <v>0</v>
      </c>
      <c r="O439" s="52" t="e">
        <f>N439/$Q$5*100</f>
        <v>#DIV/0!</v>
      </c>
      <c r="P439" s="53">
        <f>COUNTIFS('00 Encuesta'!$B$2:$B$511,"*e)*",'00 Encuesta'!$C$2:$C$511,"*b)*",'00 Encuesta'!$E$2:$E$511,"*a)*",'00 Encuesta'!$BC$2:$BC$511,"*e)*")</f>
        <v>0</v>
      </c>
      <c r="Q439" s="52" t="e">
        <f>P439/$Q$6*100</f>
        <v>#DIV/0!</v>
      </c>
      <c r="R439" s="53">
        <f>COUNTIFS('00 Encuesta'!$B$2:$B$511,"*e)*",'00 Encuesta'!$C$2:$C$511,"*b)*",'00 Encuesta'!$E$2:$E$511,"*b)*",'00 Encuesta'!$BC$2:$BC$511,"*e)*")</f>
        <v>0</v>
      </c>
      <c r="S439" s="52" t="e">
        <f>R439/$Q$7*100</f>
        <v>#DIV/0!</v>
      </c>
      <c r="T439" s="3"/>
      <c r="U439" s="51">
        <f>W439+Y439</f>
        <v>0</v>
      </c>
      <c r="V439" s="52" t="e">
        <f>U439/$X$5*100</f>
        <v>#DIV/0!</v>
      </c>
      <c r="W439" s="53">
        <f>COUNTIFS('00 Encuesta'!$B$2:$B$511,"*e)*",'00 Encuesta'!$C$2:$C$511,"*c)*",'00 Encuesta'!$E$2:$E$511,"*a)*",'00 Encuesta'!$BC$2:$BC$511,"*e)*")</f>
        <v>0</v>
      </c>
      <c r="X439" s="52" t="e">
        <f>W439/$X$6*100</f>
        <v>#DIV/0!</v>
      </c>
      <c r="Y439" s="53">
        <f>COUNTIFS('00 Encuesta'!$B$2:$B$511,"*e)*",'00 Encuesta'!$C$2:$C$511,"*c)*",'00 Encuesta'!$E$2:$E$511,"*b)*",'00 Encuesta'!$BC$2:$BC$511,"*e)*")</f>
        <v>0</v>
      </c>
      <c r="Z439" s="52" t="e">
        <f>Y439/$X$7*100</f>
        <v>#DIV/0!</v>
      </c>
      <c r="AA439" s="3"/>
      <c r="AB439" s="62">
        <f>G439+N439+U439</f>
        <v>0</v>
      </c>
      <c r="AC439" s="52" t="e">
        <f>AB439*100/$AC$5</f>
        <v>#DIV/0!</v>
      </c>
      <c r="AD439" s="3"/>
      <c r="AE439" s="3"/>
      <c r="AF439" s="9" t="str">
        <f t="shared" si="714"/>
        <v>e) Son personas que me gustan y admiro</v>
      </c>
      <c r="AG439" s="72" t="e">
        <f>J439</f>
        <v>#DIV/0!</v>
      </c>
      <c r="AH439" s="72" t="e">
        <f>L439</f>
        <v>#DIV/0!</v>
      </c>
      <c r="AI439" s="73" t="e">
        <f>H439</f>
        <v>#DIV/0!</v>
      </c>
      <c r="AJ439" s="73"/>
      <c r="AK439" s="76" t="e">
        <f>Q439</f>
        <v>#DIV/0!</v>
      </c>
      <c r="AL439" s="76" t="e">
        <f>S439</f>
        <v>#DIV/0!</v>
      </c>
      <c r="AM439" s="76" t="e">
        <f>O439</f>
        <v>#DIV/0!</v>
      </c>
      <c r="AN439" s="76"/>
      <c r="AO439" s="81" t="e">
        <f>X439</f>
        <v>#DIV/0!</v>
      </c>
      <c r="AP439" s="81" t="e">
        <f>Z439</f>
        <v>#DIV/0!</v>
      </c>
      <c r="AQ439" s="81" t="e">
        <f>V439</f>
        <v>#DIV/0!</v>
      </c>
      <c r="AR439" s="3"/>
      <c r="AS439" s="76" t="e">
        <f t="shared" si="688"/>
        <v>#DIV/0!</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t="e">
        <f>($F439*I439+$F435*I435+$F436*I436+$F437*I437+$F438*I438)/(I439+I435+I436+I437+I438)</f>
        <v>#DIV/0!</v>
      </c>
      <c r="AH440" s="82" t="e">
        <f>($F439*K439+$F435*K435+$F436*K436+$F437*K437+$F438*K438)/(K439+K435+K436+K437+K438)</f>
        <v>#DIV/0!</v>
      </c>
      <c r="AI440" s="82" t="e">
        <f>($F439*G439+$F435*G435+$F436*G436+$F437*G437+$F438*G438)/(G439+G435+G436+G437+G438)</f>
        <v>#DIV/0!</v>
      </c>
      <c r="AJ440" s="82"/>
      <c r="AK440" s="82" t="e">
        <f>($F439*Q439+$F435*Q435+$F436*Q436+$F437*Q437+$F438*Q438)/(Q439+Q435+Q436+Q437+Q438)</f>
        <v>#DIV/0!</v>
      </c>
      <c r="AL440" s="82" t="e">
        <f>($F439*S439+$F435*S435+$F436*S436+$F437*S437+$F438*S438)/(S439+S435+S436+S437+S438)</f>
        <v>#DIV/0!</v>
      </c>
      <c r="AM440" s="82" t="e">
        <f>($F439*O439+$F435*O435+$F436*O436+$F437*O437+$F438*O438)/(O439+O435+O436+O437+O438)</f>
        <v>#DIV/0!</v>
      </c>
      <c r="AN440" s="82"/>
      <c r="AO440" s="82" t="e">
        <f>($F439*W439+$F435*W435+$F436*W436+$F437*W437+$F438*W438)/(W439+W435+W436+W437+W438)</f>
        <v>#DIV/0!</v>
      </c>
      <c r="AP440" s="82" t="e">
        <f>($F439*Y439+$F435*Y435+$F436*Y436+$F437*Y437+$F438*Y438)/(Y439+Y435+Y436+Y437+Y438)</f>
        <v>#DIV/0!</v>
      </c>
      <c r="AQ440" s="82" t="e">
        <f>($F439*U439+$F435*U435+$F436*U436+$F437*U437+$F438*U438)/(U439+U435+U436+U437+U438)</f>
        <v>#DIV/0!</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715">I442+K442</f>
        <v>0</v>
      </c>
      <c r="H442" s="52" t="e">
        <f t="shared" ref="H442:H452" si="716">G442/$J$5*100</f>
        <v>#DIV/0!</v>
      </c>
      <c r="I442" s="53">
        <f>COUNTIFS('00 Encuesta'!$B$2:$B$511,"*e)*",'00 Encuesta'!$C$2:$C$511,"*a)*",'00 Encuesta'!$E$2:$E$511,"*a)*",'00 Encuesta'!$BD$2:$BD$511,"*a)*")</f>
        <v>0</v>
      </c>
      <c r="J442" s="52" t="e">
        <f t="shared" ref="J442:J452" si="717">I442/$J$6*100</f>
        <v>#DIV/0!</v>
      </c>
      <c r="K442" s="53">
        <f>COUNTIFS('00 Encuesta'!$B$2:$B$511,"*e)*",'00 Encuesta'!$C$2:$C$511,"*a)*",'00 Encuesta'!$E$2:$E$511,"*b)*",'00 Encuesta'!$BD$2:$BD$511,"*a)*")</f>
        <v>0</v>
      </c>
      <c r="L442" s="52" t="e">
        <f t="shared" ref="L442:L452" si="718">K442/$J$7*100</f>
        <v>#DIV/0!</v>
      </c>
      <c r="M442" s="23"/>
      <c r="N442" s="51">
        <f t="shared" ref="N442:N452" si="719">P442+R442</f>
        <v>0</v>
      </c>
      <c r="O442" s="52" t="e">
        <f t="shared" ref="O442:O452" si="720">N442/$Q$5*100</f>
        <v>#DIV/0!</v>
      </c>
      <c r="P442" s="53">
        <f>COUNTIFS('00 Encuesta'!$B$2:$B$511,"*e)*",'00 Encuesta'!$C$2:$C$511,"*b)*",'00 Encuesta'!$E$2:$E$511,"*a)*",'00 Encuesta'!$BD$2:$BD$511,"*a)*")</f>
        <v>0</v>
      </c>
      <c r="Q442" s="52" t="e">
        <f t="shared" ref="Q442:Q452" si="721">P442/$Q$6*100</f>
        <v>#DIV/0!</v>
      </c>
      <c r="R442" s="53">
        <f>COUNTIFS('00 Encuesta'!$B$2:$B$511,"*e)*",'00 Encuesta'!$C$2:$C$511,"*b)*",'00 Encuesta'!$E$2:$E$511,"*b)*",'00 Encuesta'!$BD$2:$BD$511,"*a)*")</f>
        <v>0</v>
      </c>
      <c r="S442" s="52" t="e">
        <f t="shared" ref="S442:S452" si="722">R442/$Q$7*100</f>
        <v>#DIV/0!</v>
      </c>
      <c r="T442" s="3"/>
      <c r="U442" s="51">
        <f t="shared" ref="U442:U452" si="723">W442+Y442</f>
        <v>0</v>
      </c>
      <c r="V442" s="52" t="e">
        <f t="shared" ref="V442:V452" si="724">U442/$X$5*100</f>
        <v>#DIV/0!</v>
      </c>
      <c r="W442" s="53">
        <f>COUNTIFS('00 Encuesta'!$B$2:$B$511,"*e)*",'00 Encuesta'!$C$2:$C$511,"*c)*",'00 Encuesta'!$E$2:$E$511,"*a)*",'00 Encuesta'!$BD$2:$BD$511,"*a)*")</f>
        <v>0</v>
      </c>
      <c r="X442" s="52" t="e">
        <f t="shared" ref="X442:X452" si="725">W442/$X$6*100</f>
        <v>#DIV/0!</v>
      </c>
      <c r="Y442" s="53">
        <f>COUNTIFS('00 Encuesta'!$B$2:$B$511,"*e)*",'00 Encuesta'!$C$2:$C$511,"*c)*",'00 Encuesta'!$E$2:$E$511,"*b)*",'00 Encuesta'!$BD$2:$BD$511,"*a)*")</f>
        <v>0</v>
      </c>
      <c r="Z442" s="52" t="e">
        <f t="shared" ref="Z442:Z452" si="726">Y442/$X$7*100</f>
        <v>#DIV/0!</v>
      </c>
      <c r="AA442" s="3"/>
      <c r="AB442" s="62">
        <f t="shared" ref="AB442:AB452" si="727">G442+N442+U442</f>
        <v>0</v>
      </c>
      <c r="AC442" s="52" t="e">
        <f t="shared" ref="AC442:AC452" si="728">AB442*100/$AC$5</f>
        <v>#DIV/0!</v>
      </c>
      <c r="AD442" s="3"/>
      <c r="AE442" s="3"/>
      <c r="AF442" s="9" t="str">
        <f t="shared" ref="AF442:AF452" si="729">A442&amp;" "&amp;B442</f>
        <v>a) Mi padre</v>
      </c>
      <c r="AG442" s="72" t="e">
        <f t="shared" ref="AG442:AG452" si="730">J442</f>
        <v>#DIV/0!</v>
      </c>
      <c r="AH442" s="72" t="e">
        <f t="shared" ref="AH442:AH452" si="731">L442</f>
        <v>#DIV/0!</v>
      </c>
      <c r="AI442" s="73" t="e">
        <f t="shared" ref="AI442:AI452" si="732">H442</f>
        <v>#DIV/0!</v>
      </c>
      <c r="AJ442" s="73"/>
      <c r="AK442" s="76" t="e">
        <f t="shared" ref="AK442:AK452" si="733">Q442</f>
        <v>#DIV/0!</v>
      </c>
      <c r="AL442" s="76" t="e">
        <f t="shared" ref="AL442:AL452" si="734">S442</f>
        <v>#DIV/0!</v>
      </c>
      <c r="AM442" s="76" t="e">
        <f t="shared" ref="AM442:AM452" si="735">O442</f>
        <v>#DIV/0!</v>
      </c>
      <c r="AN442" s="76"/>
      <c r="AO442" s="81" t="e">
        <f t="shared" ref="AO442:AO452" si="736">X442</f>
        <v>#DIV/0!</v>
      </c>
      <c r="AP442" s="81" t="e">
        <f t="shared" ref="AP442:AP452" si="737">Z442</f>
        <v>#DIV/0!</v>
      </c>
      <c r="AQ442" s="81" t="e">
        <f t="shared" ref="AQ442:AQ452" si="738">V442</f>
        <v>#DIV/0!</v>
      </c>
      <c r="AR442" s="3"/>
      <c r="AS442" s="76" t="e">
        <f t="shared" si="688"/>
        <v>#DIV/0!</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715"/>
        <v>0</v>
      </c>
      <c r="H443" s="52" t="e">
        <f t="shared" si="716"/>
        <v>#DIV/0!</v>
      </c>
      <c r="I443" s="53">
        <f>COUNTIFS('00 Encuesta'!$B$2:$B$511,"*e)*",'00 Encuesta'!$C$2:$C$511,"*a)*",'00 Encuesta'!$E$2:$E$511,"*a)*",'00 Encuesta'!$BD$2:$BD$511,"*b)*")</f>
        <v>0</v>
      </c>
      <c r="J443" s="52" t="e">
        <f t="shared" si="717"/>
        <v>#DIV/0!</v>
      </c>
      <c r="K443" s="53">
        <f>COUNTIFS('00 Encuesta'!$B$2:$B$511,"*e)*",'00 Encuesta'!$C$2:$C$511,"*a)*",'00 Encuesta'!$E$2:$E$511,"*b)*",'00 Encuesta'!$BD$2:$BD$511,"*b)*")</f>
        <v>0</v>
      </c>
      <c r="L443" s="52" t="e">
        <f t="shared" si="718"/>
        <v>#DIV/0!</v>
      </c>
      <c r="M443" s="23"/>
      <c r="N443" s="51">
        <f t="shared" si="719"/>
        <v>0</v>
      </c>
      <c r="O443" s="52" t="e">
        <f t="shared" si="720"/>
        <v>#DIV/0!</v>
      </c>
      <c r="P443" s="53">
        <f>COUNTIFS('00 Encuesta'!$B$2:$B$511,"*e)*",'00 Encuesta'!$C$2:$C$511,"*b)*",'00 Encuesta'!$E$2:$E$511,"*a)*",'00 Encuesta'!$BD$2:$BD$511,"*b)*")</f>
        <v>0</v>
      </c>
      <c r="Q443" s="52" t="e">
        <f t="shared" si="721"/>
        <v>#DIV/0!</v>
      </c>
      <c r="R443" s="53">
        <f>COUNTIFS('00 Encuesta'!$B$2:$B$511,"*e)*",'00 Encuesta'!$C$2:$C$511,"*b)*",'00 Encuesta'!$E$2:$E$511,"*b)*",'00 Encuesta'!$BD$2:$BD$511,"*b)*")</f>
        <v>0</v>
      </c>
      <c r="S443" s="52" t="e">
        <f t="shared" si="722"/>
        <v>#DIV/0!</v>
      </c>
      <c r="T443" s="3"/>
      <c r="U443" s="51">
        <f t="shared" si="723"/>
        <v>0</v>
      </c>
      <c r="V443" s="52" t="e">
        <f t="shared" si="724"/>
        <v>#DIV/0!</v>
      </c>
      <c r="W443" s="53">
        <f>COUNTIFS('00 Encuesta'!$B$2:$B$511,"*e)*",'00 Encuesta'!$C$2:$C$511,"*c)*",'00 Encuesta'!$E$2:$E$511,"*a)*",'00 Encuesta'!$BD$2:$BD$511,"*b)*")</f>
        <v>0</v>
      </c>
      <c r="X443" s="52" t="e">
        <f t="shared" si="725"/>
        <v>#DIV/0!</v>
      </c>
      <c r="Y443" s="53">
        <f>COUNTIFS('00 Encuesta'!$B$2:$B$511,"*e)*",'00 Encuesta'!$C$2:$C$511,"*c)*",'00 Encuesta'!$E$2:$E$511,"*b)*",'00 Encuesta'!$BD$2:$BD$511,"*b)*")</f>
        <v>0</v>
      </c>
      <c r="Z443" s="52" t="e">
        <f t="shared" si="726"/>
        <v>#DIV/0!</v>
      </c>
      <c r="AA443" s="3"/>
      <c r="AB443" s="62">
        <f t="shared" si="727"/>
        <v>0</v>
      </c>
      <c r="AC443" s="52" t="e">
        <f t="shared" si="728"/>
        <v>#DIV/0!</v>
      </c>
      <c r="AD443" s="3"/>
      <c r="AE443" s="3"/>
      <c r="AF443" s="9" t="str">
        <f t="shared" si="729"/>
        <v>b) Mi madre</v>
      </c>
      <c r="AG443" s="72" t="e">
        <f t="shared" si="730"/>
        <v>#DIV/0!</v>
      </c>
      <c r="AH443" s="72" t="e">
        <f t="shared" si="731"/>
        <v>#DIV/0!</v>
      </c>
      <c r="AI443" s="73" t="e">
        <f t="shared" si="732"/>
        <v>#DIV/0!</v>
      </c>
      <c r="AJ443" s="73"/>
      <c r="AK443" s="76" t="e">
        <f t="shared" si="733"/>
        <v>#DIV/0!</v>
      </c>
      <c r="AL443" s="76" t="e">
        <f t="shared" si="734"/>
        <v>#DIV/0!</v>
      </c>
      <c r="AM443" s="76" t="e">
        <f t="shared" si="735"/>
        <v>#DIV/0!</v>
      </c>
      <c r="AN443" s="76"/>
      <c r="AO443" s="81" t="e">
        <f t="shared" si="736"/>
        <v>#DIV/0!</v>
      </c>
      <c r="AP443" s="81" t="e">
        <f t="shared" si="737"/>
        <v>#DIV/0!</v>
      </c>
      <c r="AQ443" s="81" t="e">
        <f t="shared" si="738"/>
        <v>#DIV/0!</v>
      </c>
      <c r="AR443" s="3"/>
      <c r="AS443" s="76" t="e">
        <f t="shared" si="688"/>
        <v>#DIV/0!</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0</v>
      </c>
      <c r="H444" s="52" t="e">
        <f t="shared" si="716"/>
        <v>#DIV/0!</v>
      </c>
      <c r="I444" s="53">
        <f>COUNTIFS('00 Encuesta'!$B$2:$B$511,"*e)*",'00 Encuesta'!$C$2:$C$511,"*a)*",'00 Encuesta'!$E$2:$E$511,"*a)*",'00 Encuesta'!$BD$2:$BD$511,"*c)*")</f>
        <v>0</v>
      </c>
      <c r="J444" s="52" t="e">
        <f t="shared" si="717"/>
        <v>#DIV/0!</v>
      </c>
      <c r="K444" s="53">
        <f>COUNTIFS('00 Encuesta'!$B$2:$B$511,"*e)*",'00 Encuesta'!$C$2:$C$511,"*a)*",'00 Encuesta'!$E$2:$E$511,"*b)*",'00 Encuesta'!$BD$2:$BD$511,"*c)*")</f>
        <v>0</v>
      </c>
      <c r="L444" s="52" t="e">
        <f t="shared" si="718"/>
        <v>#DIV/0!</v>
      </c>
      <c r="M444" s="23"/>
      <c r="N444" s="51">
        <f t="shared" si="719"/>
        <v>0</v>
      </c>
      <c r="O444" s="52" t="e">
        <f t="shared" si="720"/>
        <v>#DIV/0!</v>
      </c>
      <c r="P444" s="53">
        <f>COUNTIFS('00 Encuesta'!$B$2:$B$511,"*e)*",'00 Encuesta'!$C$2:$C$511,"*b)*",'00 Encuesta'!$E$2:$E$511,"*a)*",'00 Encuesta'!$BD$2:$BD$511,"*c)*")</f>
        <v>0</v>
      </c>
      <c r="Q444" s="52" t="e">
        <f t="shared" si="721"/>
        <v>#DIV/0!</v>
      </c>
      <c r="R444" s="53">
        <f>COUNTIFS('00 Encuesta'!$B$2:$B$511,"*e)*",'00 Encuesta'!$C$2:$C$511,"*b)*",'00 Encuesta'!$E$2:$E$511,"*b)*",'00 Encuesta'!$BD$2:$BD$511,"*c)*")</f>
        <v>0</v>
      </c>
      <c r="S444" s="52" t="e">
        <f t="shared" si="722"/>
        <v>#DIV/0!</v>
      </c>
      <c r="T444" s="3"/>
      <c r="U444" s="51">
        <f t="shared" si="723"/>
        <v>0</v>
      </c>
      <c r="V444" s="52" t="e">
        <f t="shared" si="724"/>
        <v>#DIV/0!</v>
      </c>
      <c r="W444" s="53">
        <f>COUNTIFS('00 Encuesta'!$B$2:$B$511,"*e)*",'00 Encuesta'!$C$2:$C$511,"*c)*",'00 Encuesta'!$E$2:$E$511,"*a)*",'00 Encuesta'!$BD$2:$BD$511,"*c)*")</f>
        <v>0</v>
      </c>
      <c r="X444" s="52" t="e">
        <f t="shared" si="725"/>
        <v>#DIV/0!</v>
      </c>
      <c r="Y444" s="53">
        <f>COUNTIFS('00 Encuesta'!$B$2:$B$511,"*e)*",'00 Encuesta'!$C$2:$C$511,"*c)*",'00 Encuesta'!$E$2:$E$511,"*b)*",'00 Encuesta'!$BD$2:$BD$511,"*c)*")</f>
        <v>0</v>
      </c>
      <c r="Z444" s="52" t="e">
        <f t="shared" si="726"/>
        <v>#DIV/0!</v>
      </c>
      <c r="AA444" s="3"/>
      <c r="AB444" s="62">
        <f t="shared" si="727"/>
        <v>0</v>
      </c>
      <c r="AC444" s="52" t="e">
        <f t="shared" si="728"/>
        <v>#DIV/0!</v>
      </c>
      <c r="AD444" s="3"/>
      <c r="AE444" s="3"/>
      <c r="AF444" s="9" t="str">
        <f t="shared" si="729"/>
        <v>c) Un hermano/a</v>
      </c>
      <c r="AG444" s="72" t="e">
        <f t="shared" si="730"/>
        <v>#DIV/0!</v>
      </c>
      <c r="AH444" s="72" t="e">
        <f t="shared" si="731"/>
        <v>#DIV/0!</v>
      </c>
      <c r="AI444" s="73" t="e">
        <f t="shared" si="732"/>
        <v>#DIV/0!</v>
      </c>
      <c r="AJ444" s="73"/>
      <c r="AK444" s="76" t="e">
        <f t="shared" si="733"/>
        <v>#DIV/0!</v>
      </c>
      <c r="AL444" s="76" t="e">
        <f t="shared" si="734"/>
        <v>#DIV/0!</v>
      </c>
      <c r="AM444" s="76" t="e">
        <f t="shared" si="735"/>
        <v>#DIV/0!</v>
      </c>
      <c r="AN444" s="76"/>
      <c r="AO444" s="81" t="e">
        <f t="shared" si="736"/>
        <v>#DIV/0!</v>
      </c>
      <c r="AP444" s="81" t="e">
        <f t="shared" si="737"/>
        <v>#DIV/0!</v>
      </c>
      <c r="AQ444" s="81" t="e">
        <f t="shared" si="738"/>
        <v>#DIV/0!</v>
      </c>
      <c r="AR444" s="3"/>
      <c r="AS444" s="76" t="e">
        <f t="shared" si="688"/>
        <v>#DIV/0!</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0</v>
      </c>
      <c r="H445" s="52" t="e">
        <f t="shared" si="716"/>
        <v>#DIV/0!</v>
      </c>
      <c r="I445" s="53">
        <f>COUNTIFS('00 Encuesta'!$B$2:$B$511,"*e)*",'00 Encuesta'!$C$2:$C$511,"*a)*",'00 Encuesta'!$E$2:$E$511,"*a)*",'00 Encuesta'!$BD$2:$BD$511,"*d)*")</f>
        <v>0</v>
      </c>
      <c r="J445" s="52" t="e">
        <f t="shared" si="717"/>
        <v>#DIV/0!</v>
      </c>
      <c r="K445" s="53">
        <f>COUNTIFS('00 Encuesta'!$B$2:$B$511,"*e)*",'00 Encuesta'!$C$2:$C$511,"*a)*",'00 Encuesta'!$E$2:$E$511,"*b)*",'00 Encuesta'!$BD$2:$BD$511,"*d)*")</f>
        <v>0</v>
      </c>
      <c r="L445" s="52" t="e">
        <f t="shared" si="718"/>
        <v>#DIV/0!</v>
      </c>
      <c r="M445" s="23"/>
      <c r="N445" s="51">
        <f t="shared" si="719"/>
        <v>0</v>
      </c>
      <c r="O445" s="52" t="e">
        <f t="shared" si="720"/>
        <v>#DIV/0!</v>
      </c>
      <c r="P445" s="53">
        <f>COUNTIFS('00 Encuesta'!$B$2:$B$511,"*e)*",'00 Encuesta'!$C$2:$C$511,"*b)*",'00 Encuesta'!$E$2:$E$511,"*a)*",'00 Encuesta'!$BD$2:$BD$511,"*d)*")</f>
        <v>0</v>
      </c>
      <c r="Q445" s="52" t="e">
        <f t="shared" si="721"/>
        <v>#DIV/0!</v>
      </c>
      <c r="R445" s="53">
        <f>COUNTIFS('00 Encuesta'!$B$2:$B$511,"*e)*",'00 Encuesta'!$C$2:$C$511,"*b)*",'00 Encuesta'!$E$2:$E$511,"*b)*",'00 Encuesta'!$BD$2:$BD$511,"*d)*")</f>
        <v>0</v>
      </c>
      <c r="S445" s="52" t="e">
        <f t="shared" si="722"/>
        <v>#DIV/0!</v>
      </c>
      <c r="T445" s="3"/>
      <c r="U445" s="51">
        <f t="shared" si="723"/>
        <v>0</v>
      </c>
      <c r="V445" s="52" t="e">
        <f t="shared" si="724"/>
        <v>#DIV/0!</v>
      </c>
      <c r="W445" s="53">
        <f>COUNTIFS('00 Encuesta'!$B$2:$B$511,"*e)*",'00 Encuesta'!$C$2:$C$511,"*c)*",'00 Encuesta'!$E$2:$E$511,"*a)*",'00 Encuesta'!$BD$2:$BD$511,"*d)*")</f>
        <v>0</v>
      </c>
      <c r="X445" s="52" t="e">
        <f t="shared" si="725"/>
        <v>#DIV/0!</v>
      </c>
      <c r="Y445" s="53">
        <f>COUNTIFS('00 Encuesta'!$B$2:$B$511,"*e)*",'00 Encuesta'!$C$2:$C$511,"*c)*",'00 Encuesta'!$E$2:$E$511,"*b)*",'00 Encuesta'!$BD$2:$BD$511,"*d)*")</f>
        <v>0</v>
      </c>
      <c r="Z445" s="52" t="e">
        <f t="shared" si="726"/>
        <v>#DIV/0!</v>
      </c>
      <c r="AA445" s="3"/>
      <c r="AB445" s="62">
        <f t="shared" si="727"/>
        <v>0</v>
      </c>
      <c r="AC445" s="52" t="e">
        <f t="shared" si="728"/>
        <v>#DIV/0!</v>
      </c>
      <c r="AD445" s="3"/>
      <c r="AE445" s="3"/>
      <c r="AF445" s="9" t="str">
        <f t="shared" si="729"/>
        <v>d) Un escolapio, religioso o religiosa</v>
      </c>
      <c r="AG445" s="72" t="e">
        <f t="shared" si="730"/>
        <v>#DIV/0!</v>
      </c>
      <c r="AH445" s="72" t="e">
        <f t="shared" si="731"/>
        <v>#DIV/0!</v>
      </c>
      <c r="AI445" s="73" t="e">
        <f t="shared" si="732"/>
        <v>#DIV/0!</v>
      </c>
      <c r="AJ445" s="73"/>
      <c r="AK445" s="76" t="e">
        <f t="shared" si="733"/>
        <v>#DIV/0!</v>
      </c>
      <c r="AL445" s="76" t="e">
        <f t="shared" si="734"/>
        <v>#DIV/0!</v>
      </c>
      <c r="AM445" s="76" t="e">
        <f t="shared" si="735"/>
        <v>#DIV/0!</v>
      </c>
      <c r="AN445" s="76"/>
      <c r="AO445" s="81" t="e">
        <f t="shared" si="736"/>
        <v>#DIV/0!</v>
      </c>
      <c r="AP445" s="81" t="e">
        <f t="shared" si="737"/>
        <v>#DIV/0!</v>
      </c>
      <c r="AQ445" s="81" t="e">
        <f t="shared" si="738"/>
        <v>#DIV/0!</v>
      </c>
      <c r="AR445" s="3"/>
      <c r="AS445" s="76" t="e">
        <f t="shared" si="688"/>
        <v>#DIV/0!</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0</v>
      </c>
      <c r="H446" s="52" t="e">
        <f t="shared" si="716"/>
        <v>#DIV/0!</v>
      </c>
      <c r="I446" s="53">
        <f>COUNTIFS('00 Encuesta'!$B$2:$B$511,"*e)*",'00 Encuesta'!$C$2:$C$511,"*a)*",'00 Encuesta'!$E$2:$E$511,"*a)*",'00 Encuesta'!$BD$2:$BD$511,"*e)*")</f>
        <v>0</v>
      </c>
      <c r="J446" s="52" t="e">
        <f t="shared" si="717"/>
        <v>#DIV/0!</v>
      </c>
      <c r="K446" s="53">
        <f>COUNTIFS('00 Encuesta'!$B$2:$B$511,"*e)*",'00 Encuesta'!$C$2:$C$511,"*a)*",'00 Encuesta'!$E$2:$E$511,"*b)*",'00 Encuesta'!$BD$2:$BD$511,"*e)*")</f>
        <v>0</v>
      </c>
      <c r="L446" s="52" t="e">
        <f t="shared" si="718"/>
        <v>#DIV/0!</v>
      </c>
      <c r="M446" s="23"/>
      <c r="N446" s="51">
        <f t="shared" si="719"/>
        <v>0</v>
      </c>
      <c r="O446" s="52" t="e">
        <f t="shared" si="720"/>
        <v>#DIV/0!</v>
      </c>
      <c r="P446" s="53">
        <f>COUNTIFS('00 Encuesta'!$B$2:$B$511,"*e)*",'00 Encuesta'!$C$2:$C$511,"*b)*",'00 Encuesta'!$E$2:$E$511,"*a)*",'00 Encuesta'!$BD$2:$BD$511,"*e)*")</f>
        <v>0</v>
      </c>
      <c r="Q446" s="52" t="e">
        <f t="shared" si="721"/>
        <v>#DIV/0!</v>
      </c>
      <c r="R446" s="53">
        <f>COUNTIFS('00 Encuesta'!$B$2:$B$511,"*e)*",'00 Encuesta'!$C$2:$C$511,"*b)*",'00 Encuesta'!$E$2:$E$511,"*b)*",'00 Encuesta'!$BD$2:$BD$511,"*e)*")</f>
        <v>0</v>
      </c>
      <c r="S446" s="52" t="e">
        <f t="shared" si="722"/>
        <v>#DIV/0!</v>
      </c>
      <c r="T446" s="3"/>
      <c r="U446" s="51">
        <f t="shared" si="723"/>
        <v>0</v>
      </c>
      <c r="V446" s="52" t="e">
        <f t="shared" si="724"/>
        <v>#DIV/0!</v>
      </c>
      <c r="W446" s="53">
        <f>COUNTIFS('00 Encuesta'!$B$2:$B$511,"*e)*",'00 Encuesta'!$C$2:$C$511,"*c)*",'00 Encuesta'!$E$2:$E$511,"*a)*",'00 Encuesta'!$BD$2:$BD$511,"*e)*")</f>
        <v>0</v>
      </c>
      <c r="X446" s="52" t="e">
        <f t="shared" si="725"/>
        <v>#DIV/0!</v>
      </c>
      <c r="Y446" s="53">
        <f>COUNTIFS('00 Encuesta'!$B$2:$B$511,"*e)*",'00 Encuesta'!$C$2:$C$511,"*c)*",'00 Encuesta'!$E$2:$E$511,"*b)*",'00 Encuesta'!$BD$2:$BD$511,"*e)*")</f>
        <v>0</v>
      </c>
      <c r="Z446" s="52" t="e">
        <f t="shared" si="726"/>
        <v>#DIV/0!</v>
      </c>
      <c r="AA446" s="3"/>
      <c r="AB446" s="62">
        <f t="shared" si="727"/>
        <v>0</v>
      </c>
      <c r="AC446" s="52" t="e">
        <f t="shared" si="728"/>
        <v>#DIV/0!</v>
      </c>
      <c r="AD446" s="3"/>
      <c r="AE446" s="3"/>
      <c r="AF446" s="9" t="str">
        <f t="shared" si="729"/>
        <v>e) Una, una docente</v>
      </c>
      <c r="AG446" s="72" t="e">
        <f t="shared" si="730"/>
        <v>#DIV/0!</v>
      </c>
      <c r="AH446" s="72" t="e">
        <f t="shared" si="731"/>
        <v>#DIV/0!</v>
      </c>
      <c r="AI446" s="73" t="e">
        <f t="shared" si="732"/>
        <v>#DIV/0!</v>
      </c>
      <c r="AJ446" s="73"/>
      <c r="AK446" s="76" t="e">
        <f t="shared" si="733"/>
        <v>#DIV/0!</v>
      </c>
      <c r="AL446" s="76" t="e">
        <f t="shared" si="734"/>
        <v>#DIV/0!</v>
      </c>
      <c r="AM446" s="76" t="e">
        <f t="shared" si="735"/>
        <v>#DIV/0!</v>
      </c>
      <c r="AN446" s="76"/>
      <c r="AO446" s="81" t="e">
        <f t="shared" si="736"/>
        <v>#DIV/0!</v>
      </c>
      <c r="AP446" s="81" t="e">
        <f t="shared" si="737"/>
        <v>#DIV/0!</v>
      </c>
      <c r="AQ446" s="81" t="e">
        <f t="shared" si="738"/>
        <v>#DIV/0!</v>
      </c>
      <c r="AR446" s="3"/>
      <c r="AS446" s="76" t="e">
        <f t="shared" si="688"/>
        <v>#DIV/0!</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0</v>
      </c>
      <c r="H447" s="52" t="e">
        <f t="shared" si="716"/>
        <v>#DIV/0!</v>
      </c>
      <c r="I447" s="53">
        <f>COUNTIFS('00 Encuesta'!$B$2:$B$511,"*e)*",'00 Encuesta'!$C$2:$C$511,"*a)*",'00 Encuesta'!$E$2:$E$511,"*a)*",'00 Encuesta'!$BD$2:$BD$511,"*f)*")</f>
        <v>0</v>
      </c>
      <c r="J447" s="52" t="e">
        <f t="shared" si="717"/>
        <v>#DIV/0!</v>
      </c>
      <c r="K447" s="53">
        <f>COUNTIFS('00 Encuesta'!$B$2:$B$511,"*e)*",'00 Encuesta'!$C$2:$C$511,"*a)*",'00 Encuesta'!$E$2:$E$511,"*b)*",'00 Encuesta'!$BD$2:$BD$511,"*f)*")</f>
        <v>0</v>
      </c>
      <c r="L447" s="52" t="e">
        <f t="shared" si="718"/>
        <v>#DIV/0!</v>
      </c>
      <c r="M447" s="23"/>
      <c r="N447" s="51">
        <f t="shared" si="719"/>
        <v>0</v>
      </c>
      <c r="O447" s="52" t="e">
        <f t="shared" si="720"/>
        <v>#DIV/0!</v>
      </c>
      <c r="P447" s="53">
        <f>COUNTIFS('00 Encuesta'!$B$2:$B$511,"*e)*",'00 Encuesta'!$C$2:$C$511,"*b)*",'00 Encuesta'!$E$2:$E$511,"*a)*",'00 Encuesta'!$BD$2:$BD$511,"*f)*")</f>
        <v>0</v>
      </c>
      <c r="Q447" s="52" t="e">
        <f t="shared" si="721"/>
        <v>#DIV/0!</v>
      </c>
      <c r="R447" s="53">
        <f>COUNTIFS('00 Encuesta'!$B$2:$B$511,"*e)*",'00 Encuesta'!$C$2:$C$511,"*b)*",'00 Encuesta'!$E$2:$E$511,"*b)*",'00 Encuesta'!$BD$2:$BD$511,"*f)*")</f>
        <v>0</v>
      </c>
      <c r="S447" s="52" t="e">
        <f t="shared" si="722"/>
        <v>#DIV/0!</v>
      </c>
      <c r="T447" s="3"/>
      <c r="U447" s="51">
        <f t="shared" si="723"/>
        <v>0</v>
      </c>
      <c r="V447" s="52" t="e">
        <f t="shared" si="724"/>
        <v>#DIV/0!</v>
      </c>
      <c r="W447" s="53">
        <f>COUNTIFS('00 Encuesta'!$B$2:$B$511,"*e)*",'00 Encuesta'!$C$2:$C$511,"*c)*",'00 Encuesta'!$E$2:$E$511,"*a)*",'00 Encuesta'!$BD$2:$BD$511,"*f)*")</f>
        <v>0</v>
      </c>
      <c r="X447" s="52" t="e">
        <f t="shared" si="725"/>
        <v>#DIV/0!</v>
      </c>
      <c r="Y447" s="53">
        <f>COUNTIFS('00 Encuesta'!$B$2:$B$511,"*e)*",'00 Encuesta'!$C$2:$C$511,"*c)*",'00 Encuesta'!$E$2:$E$511,"*b)*",'00 Encuesta'!$BD$2:$BD$511,"*f)*")</f>
        <v>0</v>
      </c>
      <c r="Z447" s="52" t="e">
        <f t="shared" si="726"/>
        <v>#DIV/0!</v>
      </c>
      <c r="AA447" s="3"/>
      <c r="AB447" s="62">
        <f t="shared" si="727"/>
        <v>0</v>
      </c>
      <c r="AC447" s="52" t="e">
        <f t="shared" si="728"/>
        <v>#DIV/0!</v>
      </c>
      <c r="AD447" s="3"/>
      <c r="AE447" s="3"/>
      <c r="AF447" s="9" t="str">
        <f t="shared" si="729"/>
        <v>f) La orientadora</v>
      </c>
      <c r="AG447" s="72" t="e">
        <f t="shared" si="730"/>
        <v>#DIV/0!</v>
      </c>
      <c r="AH447" s="72" t="e">
        <f t="shared" si="731"/>
        <v>#DIV/0!</v>
      </c>
      <c r="AI447" s="73" t="e">
        <f t="shared" si="732"/>
        <v>#DIV/0!</v>
      </c>
      <c r="AJ447" s="73"/>
      <c r="AK447" s="76" t="e">
        <f t="shared" si="733"/>
        <v>#DIV/0!</v>
      </c>
      <c r="AL447" s="76" t="e">
        <f t="shared" si="734"/>
        <v>#DIV/0!</v>
      </c>
      <c r="AM447" s="76" t="e">
        <f t="shared" si="735"/>
        <v>#DIV/0!</v>
      </c>
      <c r="AN447" s="76"/>
      <c r="AO447" s="81" t="e">
        <f t="shared" si="736"/>
        <v>#DIV/0!</v>
      </c>
      <c r="AP447" s="81" t="e">
        <f t="shared" si="737"/>
        <v>#DIV/0!</v>
      </c>
      <c r="AQ447" s="81" t="e">
        <f t="shared" si="738"/>
        <v>#DIV/0!</v>
      </c>
      <c r="AR447" s="3"/>
      <c r="AS447" s="76" t="e">
        <f t="shared" si="688"/>
        <v>#DIV/0!</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0</v>
      </c>
      <c r="H448" s="52" t="e">
        <f t="shared" si="716"/>
        <v>#DIV/0!</v>
      </c>
      <c r="I448" s="53">
        <f>COUNTIFS('00 Encuesta'!$B$2:$B$511,"*e)*",'00 Encuesta'!$C$2:$C$511,"*a)*",'00 Encuesta'!$E$2:$E$511,"*a)*",'00 Encuesta'!$BD$2:$BD$511,"*g)*")</f>
        <v>0</v>
      </c>
      <c r="J448" s="52" t="e">
        <f t="shared" si="717"/>
        <v>#DIV/0!</v>
      </c>
      <c r="K448" s="53">
        <f>COUNTIFS('00 Encuesta'!$B$2:$B$511,"*e)*",'00 Encuesta'!$C$2:$C$511,"*a)*",'00 Encuesta'!$E$2:$E$511,"*b)*",'00 Encuesta'!$BD$2:$BD$511,"*g)*")</f>
        <v>0</v>
      </c>
      <c r="L448" s="52" t="e">
        <f t="shared" si="718"/>
        <v>#DIV/0!</v>
      </c>
      <c r="M448" s="23"/>
      <c r="N448" s="51">
        <f t="shared" si="719"/>
        <v>0</v>
      </c>
      <c r="O448" s="52" t="e">
        <f t="shared" si="720"/>
        <v>#DIV/0!</v>
      </c>
      <c r="P448" s="53">
        <f>COUNTIFS('00 Encuesta'!$B$2:$B$511,"*e)*",'00 Encuesta'!$C$2:$C$511,"*b)*",'00 Encuesta'!$E$2:$E$511,"*a)*",'00 Encuesta'!$BD$2:$BD$511,"*g)*")</f>
        <v>0</v>
      </c>
      <c r="Q448" s="52" t="e">
        <f t="shared" si="721"/>
        <v>#DIV/0!</v>
      </c>
      <c r="R448" s="53">
        <f>COUNTIFS('00 Encuesta'!$B$2:$B$511,"*e)*",'00 Encuesta'!$C$2:$C$511,"*b)*",'00 Encuesta'!$E$2:$E$511,"*b)*",'00 Encuesta'!$BD$2:$BD$511,"*g)*")</f>
        <v>0</v>
      </c>
      <c r="S448" s="52" t="e">
        <f t="shared" si="722"/>
        <v>#DIV/0!</v>
      </c>
      <c r="T448" s="3"/>
      <c r="U448" s="51">
        <f t="shared" si="723"/>
        <v>0</v>
      </c>
      <c r="V448" s="52" t="e">
        <f t="shared" si="724"/>
        <v>#DIV/0!</v>
      </c>
      <c r="W448" s="53">
        <f>COUNTIFS('00 Encuesta'!$B$2:$B$511,"*e)*",'00 Encuesta'!$C$2:$C$511,"*c)*",'00 Encuesta'!$E$2:$E$511,"*a)*",'00 Encuesta'!$BD$2:$BD$511,"*g)*")</f>
        <v>0</v>
      </c>
      <c r="X448" s="52" t="e">
        <f t="shared" si="725"/>
        <v>#DIV/0!</v>
      </c>
      <c r="Y448" s="53">
        <f>COUNTIFS('00 Encuesta'!$B$2:$B$511,"*e)*",'00 Encuesta'!$C$2:$C$511,"*c)*",'00 Encuesta'!$E$2:$E$511,"*b)*",'00 Encuesta'!$BD$2:$BD$511,"*g)*")</f>
        <v>0</v>
      </c>
      <c r="Z448" s="52" t="e">
        <f t="shared" si="726"/>
        <v>#DIV/0!</v>
      </c>
      <c r="AA448" s="3"/>
      <c r="AB448" s="62">
        <f t="shared" si="727"/>
        <v>0</v>
      </c>
      <c r="AC448" s="52" t="e">
        <f t="shared" si="728"/>
        <v>#DIV/0!</v>
      </c>
      <c r="AD448" s="3"/>
      <c r="AE448" s="3"/>
      <c r="AF448" s="9" t="str">
        <f t="shared" si="729"/>
        <v>g) Un amigo</v>
      </c>
      <c r="AG448" s="72" t="e">
        <f t="shared" si="730"/>
        <v>#DIV/0!</v>
      </c>
      <c r="AH448" s="72" t="e">
        <f t="shared" si="731"/>
        <v>#DIV/0!</v>
      </c>
      <c r="AI448" s="73" t="e">
        <f t="shared" si="732"/>
        <v>#DIV/0!</v>
      </c>
      <c r="AJ448" s="73"/>
      <c r="AK448" s="76" t="e">
        <f t="shared" si="733"/>
        <v>#DIV/0!</v>
      </c>
      <c r="AL448" s="76" t="e">
        <f t="shared" si="734"/>
        <v>#DIV/0!</v>
      </c>
      <c r="AM448" s="76" t="e">
        <f t="shared" si="735"/>
        <v>#DIV/0!</v>
      </c>
      <c r="AN448" s="76"/>
      <c r="AO448" s="81" t="e">
        <f t="shared" si="736"/>
        <v>#DIV/0!</v>
      </c>
      <c r="AP448" s="81" t="e">
        <f t="shared" si="737"/>
        <v>#DIV/0!</v>
      </c>
      <c r="AQ448" s="81" t="e">
        <f t="shared" si="738"/>
        <v>#DIV/0!</v>
      </c>
      <c r="AR448" s="3"/>
      <c r="AS448" s="76" t="e">
        <f t="shared" si="688"/>
        <v>#DIV/0!</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0</v>
      </c>
      <c r="H449" s="52" t="e">
        <f t="shared" si="716"/>
        <v>#DIV/0!</v>
      </c>
      <c r="I449" s="53">
        <f>COUNTIFS('00 Encuesta'!$B$2:$B$511,"*e)*",'00 Encuesta'!$C$2:$C$511,"*a)*",'00 Encuesta'!$E$2:$E$511,"*a)*",'00 Encuesta'!$BD$2:$BD$511,"*h)*")</f>
        <v>0</v>
      </c>
      <c r="J449" s="52" t="e">
        <f t="shared" si="717"/>
        <v>#DIV/0!</v>
      </c>
      <c r="K449" s="53">
        <f>COUNTIFS('00 Encuesta'!$B$2:$B$511,"*e)*",'00 Encuesta'!$C$2:$C$511,"*a)*",'00 Encuesta'!$E$2:$E$511,"*b)*",'00 Encuesta'!$BD$2:$BD$511,"*h)*")</f>
        <v>0</v>
      </c>
      <c r="L449" s="52" t="e">
        <f t="shared" si="718"/>
        <v>#DIV/0!</v>
      </c>
      <c r="M449" s="23"/>
      <c r="N449" s="51">
        <f t="shared" si="719"/>
        <v>0</v>
      </c>
      <c r="O449" s="52" t="e">
        <f t="shared" si="720"/>
        <v>#DIV/0!</v>
      </c>
      <c r="P449" s="53">
        <f>COUNTIFS('00 Encuesta'!$B$2:$B$511,"*e)*",'00 Encuesta'!$C$2:$C$511,"*b)*",'00 Encuesta'!$E$2:$E$511,"*a)*",'00 Encuesta'!$BD$2:$BD$511,"*h)*")</f>
        <v>0</v>
      </c>
      <c r="Q449" s="52" t="e">
        <f t="shared" si="721"/>
        <v>#DIV/0!</v>
      </c>
      <c r="R449" s="53">
        <f>COUNTIFS('00 Encuesta'!$B$2:$B$511,"*e)*",'00 Encuesta'!$C$2:$C$511,"*b)*",'00 Encuesta'!$E$2:$E$511,"*b)*",'00 Encuesta'!$BD$2:$BD$511,"*h)*")</f>
        <v>0</v>
      </c>
      <c r="S449" s="52" t="e">
        <f t="shared" si="722"/>
        <v>#DIV/0!</v>
      </c>
      <c r="T449" s="3"/>
      <c r="U449" s="51">
        <f t="shared" si="723"/>
        <v>0</v>
      </c>
      <c r="V449" s="52" t="e">
        <f t="shared" si="724"/>
        <v>#DIV/0!</v>
      </c>
      <c r="W449" s="53">
        <f>COUNTIFS('00 Encuesta'!$B$2:$B$511,"*e)*",'00 Encuesta'!$C$2:$C$511,"*c)*",'00 Encuesta'!$E$2:$E$511,"*a)*",'00 Encuesta'!$BD$2:$BD$511,"*h)*")</f>
        <v>0</v>
      </c>
      <c r="X449" s="52" t="e">
        <f t="shared" si="725"/>
        <v>#DIV/0!</v>
      </c>
      <c r="Y449" s="53">
        <f>COUNTIFS('00 Encuesta'!$B$2:$B$511,"*e)*",'00 Encuesta'!$C$2:$C$511,"*c)*",'00 Encuesta'!$E$2:$E$511,"*b)*",'00 Encuesta'!$BD$2:$BD$511,"*h)*")</f>
        <v>0</v>
      </c>
      <c r="Z449" s="52" t="e">
        <f t="shared" si="726"/>
        <v>#DIV/0!</v>
      </c>
      <c r="AA449" s="3"/>
      <c r="AB449" s="62">
        <f t="shared" si="727"/>
        <v>0</v>
      </c>
      <c r="AC449" s="52" t="e">
        <f t="shared" si="728"/>
        <v>#DIV/0!</v>
      </c>
      <c r="AD449" s="3"/>
      <c r="AE449" s="3"/>
      <c r="AF449" s="9" t="str">
        <f t="shared" si="729"/>
        <v>h) Una amiga</v>
      </c>
      <c r="AG449" s="72" t="e">
        <f t="shared" si="730"/>
        <v>#DIV/0!</v>
      </c>
      <c r="AH449" s="72" t="e">
        <f t="shared" si="731"/>
        <v>#DIV/0!</v>
      </c>
      <c r="AI449" s="73" t="e">
        <f t="shared" si="732"/>
        <v>#DIV/0!</v>
      </c>
      <c r="AJ449" s="73"/>
      <c r="AK449" s="76" t="e">
        <f t="shared" si="733"/>
        <v>#DIV/0!</v>
      </c>
      <c r="AL449" s="76" t="e">
        <f t="shared" si="734"/>
        <v>#DIV/0!</v>
      </c>
      <c r="AM449" s="76" t="e">
        <f t="shared" si="735"/>
        <v>#DIV/0!</v>
      </c>
      <c r="AN449" s="76"/>
      <c r="AO449" s="81" t="e">
        <f t="shared" si="736"/>
        <v>#DIV/0!</v>
      </c>
      <c r="AP449" s="81" t="e">
        <f t="shared" si="737"/>
        <v>#DIV/0!</v>
      </c>
      <c r="AQ449" s="81" t="e">
        <f t="shared" si="738"/>
        <v>#DIV/0!</v>
      </c>
      <c r="AR449" s="3"/>
      <c r="AS449" s="76" t="e">
        <f t="shared" si="688"/>
        <v>#DIV/0!</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0</v>
      </c>
      <c r="H450" s="52" t="e">
        <f t="shared" si="716"/>
        <v>#DIV/0!</v>
      </c>
      <c r="I450" s="53">
        <f>COUNTIFS('00 Encuesta'!$B$2:$B$511,"*e)*",'00 Encuesta'!$C$2:$C$511,"*a)*",'00 Encuesta'!$E$2:$E$511,"*a)*",'00 Encuesta'!$BD$2:$BD$511,"*i)*")</f>
        <v>0</v>
      </c>
      <c r="J450" s="52" t="e">
        <f t="shared" si="717"/>
        <v>#DIV/0!</v>
      </c>
      <c r="K450" s="53">
        <f>COUNTIFS('00 Encuesta'!$B$2:$B$511,"*e)*",'00 Encuesta'!$C$2:$C$511,"*a)*",'00 Encuesta'!$E$2:$E$511,"*b)*",'00 Encuesta'!$BD$2:$BD$511,"*i)*")</f>
        <v>0</v>
      </c>
      <c r="L450" s="52" t="e">
        <f t="shared" si="718"/>
        <v>#DIV/0!</v>
      </c>
      <c r="M450" s="23"/>
      <c r="N450" s="51">
        <f t="shared" si="719"/>
        <v>0</v>
      </c>
      <c r="O450" s="52" t="e">
        <f t="shared" si="720"/>
        <v>#DIV/0!</v>
      </c>
      <c r="P450" s="53">
        <f>COUNTIFS('00 Encuesta'!$B$2:$B$511,"*e)*",'00 Encuesta'!$C$2:$C$511,"*b)*",'00 Encuesta'!$E$2:$E$511,"*a)*",'00 Encuesta'!$BD$2:$BD$511,"*i)*")</f>
        <v>0</v>
      </c>
      <c r="Q450" s="52" t="e">
        <f t="shared" si="721"/>
        <v>#DIV/0!</v>
      </c>
      <c r="R450" s="53">
        <f>COUNTIFS('00 Encuesta'!$B$2:$B$511,"*e)*",'00 Encuesta'!$C$2:$C$511,"*b)*",'00 Encuesta'!$E$2:$E$511,"*b)*",'00 Encuesta'!$BD$2:$BD$511,"*i)*")</f>
        <v>0</v>
      </c>
      <c r="S450" s="52" t="e">
        <f t="shared" si="722"/>
        <v>#DIV/0!</v>
      </c>
      <c r="T450" s="3"/>
      <c r="U450" s="51">
        <f t="shared" si="723"/>
        <v>0</v>
      </c>
      <c r="V450" s="52" t="e">
        <f t="shared" si="724"/>
        <v>#DIV/0!</v>
      </c>
      <c r="W450" s="53">
        <f>COUNTIFS('00 Encuesta'!$B$2:$B$511,"*e)*",'00 Encuesta'!$C$2:$C$511,"*c)*",'00 Encuesta'!$E$2:$E$511,"*a)*",'00 Encuesta'!$BD$2:$BD$511,"*i)*")</f>
        <v>0</v>
      </c>
      <c r="X450" s="52" t="e">
        <f t="shared" si="725"/>
        <v>#DIV/0!</v>
      </c>
      <c r="Y450" s="53">
        <f>COUNTIFS('00 Encuesta'!$B$2:$B$511,"*e)*",'00 Encuesta'!$C$2:$C$511,"*c)*",'00 Encuesta'!$E$2:$E$511,"*b)*",'00 Encuesta'!$BD$2:$BD$511,"*i)*")</f>
        <v>0</v>
      </c>
      <c r="Z450" s="52" t="e">
        <f t="shared" si="726"/>
        <v>#DIV/0!</v>
      </c>
      <c r="AA450" s="3"/>
      <c r="AB450" s="62">
        <f t="shared" si="727"/>
        <v>0</v>
      </c>
      <c r="AC450" s="52" t="e">
        <f t="shared" si="728"/>
        <v>#DIV/0!</v>
      </c>
      <c r="AD450" s="3"/>
      <c r="AE450" s="3"/>
      <c r="AF450" s="9" t="str">
        <f t="shared" si="729"/>
        <v>i) Un, una catequista o responsable de grupo</v>
      </c>
      <c r="AG450" s="72" t="e">
        <f t="shared" si="730"/>
        <v>#DIV/0!</v>
      </c>
      <c r="AH450" s="72" t="e">
        <f t="shared" si="731"/>
        <v>#DIV/0!</v>
      </c>
      <c r="AI450" s="73" t="e">
        <f t="shared" si="732"/>
        <v>#DIV/0!</v>
      </c>
      <c r="AJ450" s="73"/>
      <c r="AK450" s="76" t="e">
        <f t="shared" si="733"/>
        <v>#DIV/0!</v>
      </c>
      <c r="AL450" s="76" t="e">
        <f t="shared" si="734"/>
        <v>#DIV/0!</v>
      </c>
      <c r="AM450" s="76" t="e">
        <f t="shared" si="735"/>
        <v>#DIV/0!</v>
      </c>
      <c r="AN450" s="76"/>
      <c r="AO450" s="81" t="e">
        <f t="shared" si="736"/>
        <v>#DIV/0!</v>
      </c>
      <c r="AP450" s="81" t="e">
        <f t="shared" si="737"/>
        <v>#DIV/0!</v>
      </c>
      <c r="AQ450" s="81" t="e">
        <f t="shared" si="738"/>
        <v>#DIV/0!</v>
      </c>
      <c r="AR450" s="3"/>
      <c r="AS450" s="76" t="e">
        <f t="shared" si="688"/>
        <v>#DIV/0!</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0</v>
      </c>
      <c r="H451" s="52" t="e">
        <f t="shared" si="716"/>
        <v>#DIV/0!</v>
      </c>
      <c r="I451" s="53">
        <f>COUNTIFS('00 Encuesta'!$B$2:$B$511,"*e)*",'00 Encuesta'!$C$2:$C$511,"*a)*",'00 Encuesta'!$E$2:$E$511,"*a)*",'00 Encuesta'!$BD$2:$BD$511,"*j)*")</f>
        <v>0</v>
      </c>
      <c r="J451" s="52" t="e">
        <f t="shared" si="717"/>
        <v>#DIV/0!</v>
      </c>
      <c r="K451" s="53">
        <f>COUNTIFS('00 Encuesta'!$B$2:$B$511,"*e)*",'00 Encuesta'!$C$2:$C$511,"*a)*",'00 Encuesta'!$E$2:$E$511,"*b)*",'00 Encuesta'!$BD$2:$BD$511,"*j)*")</f>
        <v>0</v>
      </c>
      <c r="L451" s="52" t="e">
        <f t="shared" si="718"/>
        <v>#DIV/0!</v>
      </c>
      <c r="M451" s="23"/>
      <c r="N451" s="51">
        <f t="shared" si="719"/>
        <v>0</v>
      </c>
      <c r="O451" s="52" t="e">
        <f t="shared" si="720"/>
        <v>#DIV/0!</v>
      </c>
      <c r="P451" s="53">
        <f>COUNTIFS('00 Encuesta'!$B$2:$B$511,"*e)*",'00 Encuesta'!$C$2:$C$511,"*b)*",'00 Encuesta'!$E$2:$E$511,"*a)*",'00 Encuesta'!$BD$2:$BD$511,"*j)*")</f>
        <v>0</v>
      </c>
      <c r="Q451" s="52" t="e">
        <f t="shared" si="721"/>
        <v>#DIV/0!</v>
      </c>
      <c r="R451" s="53">
        <f>COUNTIFS('00 Encuesta'!$B$2:$B$511,"*e)*",'00 Encuesta'!$C$2:$C$511,"*b)*",'00 Encuesta'!$E$2:$E$511,"*b)*",'00 Encuesta'!$BD$2:$BD$511,"*j)*")</f>
        <v>0</v>
      </c>
      <c r="S451" s="52" t="e">
        <f t="shared" si="722"/>
        <v>#DIV/0!</v>
      </c>
      <c r="T451" s="3"/>
      <c r="U451" s="51">
        <f t="shared" si="723"/>
        <v>0</v>
      </c>
      <c r="V451" s="52" t="e">
        <f t="shared" si="724"/>
        <v>#DIV/0!</v>
      </c>
      <c r="W451" s="53">
        <f>COUNTIFS('00 Encuesta'!$B$2:$B$511,"*e)*",'00 Encuesta'!$C$2:$C$511,"*c)*",'00 Encuesta'!$E$2:$E$511,"*a)*",'00 Encuesta'!$BD$2:$BD$511,"*j)*")</f>
        <v>0</v>
      </c>
      <c r="X451" s="52" t="e">
        <f t="shared" si="725"/>
        <v>#DIV/0!</v>
      </c>
      <c r="Y451" s="53">
        <f>COUNTIFS('00 Encuesta'!$B$2:$B$511,"*e)*",'00 Encuesta'!$C$2:$C$511,"*c)*",'00 Encuesta'!$E$2:$E$511,"*b)*",'00 Encuesta'!$BD$2:$BD$511,"*j)*")</f>
        <v>0</v>
      </c>
      <c r="Z451" s="52" t="e">
        <f t="shared" si="726"/>
        <v>#DIV/0!</v>
      </c>
      <c r="AA451" s="3"/>
      <c r="AB451" s="62">
        <f t="shared" si="727"/>
        <v>0</v>
      </c>
      <c r="AC451" s="52" t="e">
        <f t="shared" si="728"/>
        <v>#DIV/0!</v>
      </c>
      <c r="AD451" s="3"/>
      <c r="AE451" s="3"/>
      <c r="AF451" s="9" t="str">
        <f t="shared" si="729"/>
        <v>j) Nadie</v>
      </c>
      <c r="AG451" s="72" t="e">
        <f t="shared" si="730"/>
        <v>#DIV/0!</v>
      </c>
      <c r="AH451" s="72" t="e">
        <f t="shared" si="731"/>
        <v>#DIV/0!</v>
      </c>
      <c r="AI451" s="73" t="e">
        <f t="shared" si="732"/>
        <v>#DIV/0!</v>
      </c>
      <c r="AJ451" s="73"/>
      <c r="AK451" s="76" t="e">
        <f t="shared" si="733"/>
        <v>#DIV/0!</v>
      </c>
      <c r="AL451" s="76" t="e">
        <f t="shared" si="734"/>
        <v>#DIV/0!</v>
      </c>
      <c r="AM451" s="76" t="e">
        <f t="shared" si="735"/>
        <v>#DIV/0!</v>
      </c>
      <c r="AN451" s="76"/>
      <c r="AO451" s="81" t="e">
        <f t="shared" si="736"/>
        <v>#DIV/0!</v>
      </c>
      <c r="AP451" s="81" t="e">
        <f t="shared" si="737"/>
        <v>#DIV/0!</v>
      </c>
      <c r="AQ451" s="81" t="e">
        <f t="shared" si="738"/>
        <v>#DIV/0!</v>
      </c>
      <c r="AR451" s="3"/>
      <c r="AS451" s="76" t="e">
        <f t="shared" si="688"/>
        <v>#DIV/0!</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0</v>
      </c>
      <c r="H452" s="52" t="e">
        <f t="shared" si="716"/>
        <v>#DIV/0!</v>
      </c>
      <c r="I452" s="53">
        <f>COUNTIFS('00 Encuesta'!$B$2:$B$511,"*e)*",'00 Encuesta'!$C$2:$C$511,"*a)*",'00 Encuesta'!$E$2:$E$511,"*a)*",'00 Encuesta'!$BD$2:$BD$511,"*k)*")</f>
        <v>0</v>
      </c>
      <c r="J452" s="52" t="e">
        <f t="shared" si="717"/>
        <v>#DIV/0!</v>
      </c>
      <c r="K452" s="53">
        <f>COUNTIFS('00 Encuesta'!$B$2:$B$511,"*e)*",'00 Encuesta'!$C$2:$C$511,"*a)*",'00 Encuesta'!$E$2:$E$511,"*b)*",'00 Encuesta'!$BD$2:$BD$511,"*k)*")</f>
        <v>0</v>
      </c>
      <c r="L452" s="52" t="e">
        <f t="shared" si="718"/>
        <v>#DIV/0!</v>
      </c>
      <c r="M452" s="23"/>
      <c r="N452" s="51">
        <f t="shared" si="719"/>
        <v>0</v>
      </c>
      <c r="O452" s="52" t="e">
        <f t="shared" si="720"/>
        <v>#DIV/0!</v>
      </c>
      <c r="P452" s="53">
        <f>COUNTIFS('00 Encuesta'!$B$2:$B$511,"*e)*",'00 Encuesta'!$C$2:$C$511,"*b)*",'00 Encuesta'!$E$2:$E$511,"*a)*",'00 Encuesta'!$BD$2:$BD$511,"*k)*")</f>
        <v>0</v>
      </c>
      <c r="Q452" s="52" t="e">
        <f t="shared" si="721"/>
        <v>#DIV/0!</v>
      </c>
      <c r="R452" s="53">
        <f>COUNTIFS('00 Encuesta'!$B$2:$B$511,"*e)*",'00 Encuesta'!$C$2:$C$511,"*b)*",'00 Encuesta'!$E$2:$E$511,"*b)*",'00 Encuesta'!$BD$2:$BD$511,"*k)*")</f>
        <v>0</v>
      </c>
      <c r="S452" s="52" t="e">
        <f t="shared" si="722"/>
        <v>#DIV/0!</v>
      </c>
      <c r="T452" s="3"/>
      <c r="U452" s="51">
        <f t="shared" si="723"/>
        <v>0</v>
      </c>
      <c r="V452" s="52" t="e">
        <f t="shared" si="724"/>
        <v>#DIV/0!</v>
      </c>
      <c r="W452" s="53">
        <f>COUNTIFS('00 Encuesta'!$B$2:$B$511,"*e)*",'00 Encuesta'!$C$2:$C$511,"*c)*",'00 Encuesta'!$E$2:$E$511,"*a)*",'00 Encuesta'!$BD$2:$BD$511,"*k)*")</f>
        <v>0</v>
      </c>
      <c r="X452" s="52" t="e">
        <f t="shared" si="725"/>
        <v>#DIV/0!</v>
      </c>
      <c r="Y452" s="53">
        <f>COUNTIFS('00 Encuesta'!$B$2:$B$511,"*e)*",'00 Encuesta'!$C$2:$C$511,"*c)*",'00 Encuesta'!$E$2:$E$511,"*b)*",'00 Encuesta'!$BD$2:$BD$511,"*k)*")</f>
        <v>0</v>
      </c>
      <c r="Z452" s="52" t="e">
        <f t="shared" si="726"/>
        <v>#DIV/0!</v>
      </c>
      <c r="AA452" s="3"/>
      <c r="AB452" s="62">
        <f t="shared" si="727"/>
        <v>0</v>
      </c>
      <c r="AC452" s="52" t="e">
        <f t="shared" si="728"/>
        <v>#DIV/0!</v>
      </c>
      <c r="AD452" s="3"/>
      <c r="AE452" s="3"/>
      <c r="AF452" s="9" t="str">
        <f t="shared" si="729"/>
        <v>k) No tengo problemas personales</v>
      </c>
      <c r="AG452" s="72" t="e">
        <f t="shared" si="730"/>
        <v>#DIV/0!</v>
      </c>
      <c r="AH452" s="72" t="e">
        <f t="shared" si="731"/>
        <v>#DIV/0!</v>
      </c>
      <c r="AI452" s="73" t="e">
        <f t="shared" si="732"/>
        <v>#DIV/0!</v>
      </c>
      <c r="AJ452" s="73"/>
      <c r="AK452" s="76" t="e">
        <f t="shared" si="733"/>
        <v>#DIV/0!</v>
      </c>
      <c r="AL452" s="76" t="e">
        <f t="shared" si="734"/>
        <v>#DIV/0!</v>
      </c>
      <c r="AM452" s="76" t="e">
        <f t="shared" si="735"/>
        <v>#DIV/0!</v>
      </c>
      <c r="AN452" s="76"/>
      <c r="AO452" s="81" t="e">
        <f t="shared" si="736"/>
        <v>#DIV/0!</v>
      </c>
      <c r="AP452" s="81" t="e">
        <f t="shared" si="737"/>
        <v>#DIV/0!</v>
      </c>
      <c r="AQ452" s="81" t="e">
        <f t="shared" si="738"/>
        <v>#DIV/0!</v>
      </c>
      <c r="AR452" s="3"/>
      <c r="AS452" s="76" t="e">
        <f t="shared" si="688"/>
        <v>#DIV/0!</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84"/>
  <sheetViews>
    <sheetView tabSelected="1" topLeftCell="A323" workbookViewId="0"/>
  </sheetViews>
  <sheetFormatPr baseColWidth="10" defaultRowHeight="14.4" x14ac:dyDescent="0.3"/>
  <cols>
    <col min="4" max="4" width="5.33203125" customWidth="1"/>
    <col min="5" max="5" width="5.109375" customWidth="1"/>
    <col min="6" max="6" width="11.44140625" customWidth="1"/>
    <col min="7" max="29" width="5.33203125" customWidth="1"/>
    <col min="30" max="30" width="2.6640625" customWidth="1"/>
    <col min="31" max="31" width="2.5546875" customWidth="1"/>
    <col min="32" max="32" width="20.33203125" customWidth="1"/>
    <col min="33" max="35" width="7.109375" customWidth="1"/>
    <col min="36" max="36" width="4.33203125" customWidth="1"/>
    <col min="37" max="39" width="7.109375" customWidth="1"/>
    <col min="40" max="40" width="3.88671875" customWidth="1"/>
    <col min="41" max="43" width="7.109375" customWidth="1"/>
    <col min="44" max="44" width="3" customWidth="1"/>
    <col min="45" max="45" width="7.109375" customWidth="1"/>
  </cols>
  <sheetData>
    <row r="1" spans="1:75" ht="15.75" x14ac:dyDescent="0.3">
      <c r="A1" s="1"/>
      <c r="B1" s="2"/>
      <c r="C1" s="3"/>
      <c r="D1" s="3"/>
      <c r="E1" s="3"/>
      <c r="F1" s="4"/>
      <c r="G1" s="4"/>
      <c r="H1" s="5"/>
      <c r="I1" s="4"/>
      <c r="J1" s="5"/>
      <c r="K1" s="4"/>
      <c r="L1" s="5"/>
      <c r="M1" s="4"/>
      <c r="N1" s="4"/>
      <c r="O1" s="5"/>
      <c r="P1" s="4"/>
      <c r="Q1" s="5"/>
      <c r="R1" s="4"/>
      <c r="S1" s="5"/>
      <c r="T1" s="4"/>
      <c r="U1" s="4"/>
      <c r="V1" s="5"/>
      <c r="W1" s="4"/>
      <c r="X1" s="5"/>
      <c r="Y1" s="4"/>
      <c r="Z1" s="5"/>
      <c r="AA1" s="3"/>
      <c r="AB1" s="6"/>
      <c r="AC1" s="5"/>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row>
    <row r="2" spans="1:75" ht="15.75" x14ac:dyDescent="0.3">
      <c r="A2" s="1"/>
      <c r="B2" s="2"/>
      <c r="C2" s="3"/>
      <c r="D2" s="3"/>
      <c r="E2" s="3"/>
      <c r="F2" s="4"/>
      <c r="G2" s="4"/>
      <c r="H2" s="5"/>
      <c r="I2" s="4"/>
      <c r="J2" s="5"/>
      <c r="K2" s="4"/>
      <c r="L2" s="5"/>
      <c r="M2" s="4"/>
      <c r="N2" s="4"/>
      <c r="O2" s="5"/>
      <c r="P2" s="4"/>
      <c r="Q2" s="5"/>
      <c r="R2" s="4"/>
      <c r="S2" s="5"/>
      <c r="T2" s="4"/>
      <c r="U2" s="4"/>
      <c r="V2" s="5"/>
      <c r="W2" s="4"/>
      <c r="X2" s="5"/>
      <c r="Y2" s="4"/>
      <c r="Z2" s="5"/>
      <c r="AA2" s="3"/>
      <c r="AB2" s="6"/>
      <c r="AC2" s="5"/>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row>
    <row r="3" spans="1:75" ht="15.75" x14ac:dyDescent="0.3">
      <c r="A3" s="1"/>
      <c r="B3" s="2"/>
      <c r="C3" s="3"/>
      <c r="D3" s="3"/>
      <c r="E3" s="3"/>
      <c r="F3" s="4"/>
      <c r="G3" s="4"/>
      <c r="H3" s="5"/>
      <c r="I3" s="4"/>
      <c r="J3" s="5"/>
      <c r="K3" s="4"/>
      <c r="L3" s="5"/>
      <c r="M3" s="4"/>
      <c r="N3" s="4"/>
      <c r="O3" s="5"/>
      <c r="P3" s="4"/>
      <c r="Q3" s="5"/>
      <c r="R3" s="4"/>
      <c r="S3" s="5"/>
      <c r="T3" s="4"/>
      <c r="U3" s="4"/>
      <c r="V3" s="5"/>
      <c r="W3" s="4"/>
      <c r="X3" s="5"/>
      <c r="Y3" s="4"/>
      <c r="Z3" s="5"/>
      <c r="AA3" s="3"/>
      <c r="AB3" s="6"/>
      <c r="AC3" s="5"/>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row>
    <row r="4" spans="1:75" ht="16.5" thickBot="1" x14ac:dyDescent="0.35">
      <c r="A4" s="1"/>
      <c r="B4" s="2"/>
      <c r="C4" s="3"/>
      <c r="D4" s="3"/>
      <c r="E4" s="3"/>
      <c r="F4" s="4"/>
      <c r="G4" s="4"/>
      <c r="H4" s="5"/>
      <c r="I4" s="4"/>
      <c r="J4" s="5"/>
      <c r="K4" s="4"/>
      <c r="L4" s="5"/>
      <c r="M4" s="4"/>
      <c r="N4" s="4"/>
      <c r="O4" s="5"/>
      <c r="P4" s="4"/>
      <c r="Q4" s="5"/>
      <c r="R4" s="4"/>
      <c r="S4" s="5"/>
      <c r="T4" s="4"/>
      <c r="U4" s="4"/>
      <c r="V4" s="5"/>
      <c r="W4" s="4"/>
      <c r="X4" s="5"/>
      <c r="Y4" s="4"/>
      <c r="Z4" s="5"/>
      <c r="AA4" s="3"/>
      <c r="AB4" s="6"/>
      <c r="AC4" s="5"/>
      <c r="AD4" s="7"/>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row>
    <row r="5" spans="1:75" x14ac:dyDescent="0.3">
      <c r="A5" s="8"/>
      <c r="B5" s="9"/>
      <c r="C5" s="7"/>
      <c r="D5" s="7"/>
      <c r="E5" s="7"/>
      <c r="F5" s="10"/>
      <c r="G5" s="92" t="s">
        <v>501</v>
      </c>
      <c r="H5" s="11"/>
      <c r="I5" s="12"/>
      <c r="J5" s="13">
        <f>SUM(J6:J7)</f>
        <v>42</v>
      </c>
      <c r="K5" s="14" t="s">
        <v>7</v>
      </c>
      <c r="L5" s="15"/>
      <c r="M5" s="6"/>
      <c r="N5" s="93" t="s">
        <v>502</v>
      </c>
      <c r="O5" s="14"/>
      <c r="P5" s="13"/>
      <c r="Q5" s="13">
        <f>SUM(Q6:Q7)</f>
        <v>0</v>
      </c>
      <c r="R5" s="14" t="s">
        <v>7</v>
      </c>
      <c r="S5" s="15"/>
      <c r="T5" s="6"/>
      <c r="U5" s="93" t="s">
        <v>610</v>
      </c>
      <c r="V5" s="14"/>
      <c r="W5" s="13"/>
      <c r="X5" s="13">
        <f>SUM(X6:X7)</f>
        <v>0</v>
      </c>
      <c r="Y5" s="16" t="s">
        <v>7</v>
      </c>
      <c r="Z5" s="17"/>
      <c r="AA5" s="3"/>
      <c r="AB5" s="18" t="s">
        <v>8</v>
      </c>
      <c r="AC5" s="19">
        <f>J5+Q5+X5</f>
        <v>42</v>
      </c>
      <c r="AD5" s="20"/>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row>
    <row r="6" spans="1:75" ht="15" x14ac:dyDescent="0.25">
      <c r="A6" s="7"/>
      <c r="B6" s="7"/>
      <c r="C6" s="7"/>
      <c r="D6" s="7"/>
      <c r="E6" s="7"/>
      <c r="F6" s="10"/>
      <c r="G6" s="21"/>
      <c r="H6" s="22"/>
      <c r="I6" s="23"/>
      <c r="J6" s="23">
        <f>COUNTIFS('00 Encuesta'!$B$2:$B$511,"*f)*",'00 Encuesta'!$C$2:$C$511,"*a)*",'00 Encuesta'!$E$2:$E$511,"*a)*")</f>
        <v>22</v>
      </c>
      <c r="K6" s="25" t="s">
        <v>523</v>
      </c>
      <c r="L6" s="26"/>
      <c r="M6" s="6"/>
      <c r="N6" s="27"/>
      <c r="O6" s="24"/>
      <c r="P6" s="24"/>
      <c r="Q6" s="23">
        <f>COUNTIFS('00 Encuesta'!$B$2:$B$511,"*f)*",'00 Encuesta'!$C$2:$C$511,"*b)*",'00 Encuesta'!$E$2:$E$511,"*a)*")</f>
        <v>0</v>
      </c>
      <c r="R6" s="25" t="s">
        <v>523</v>
      </c>
      <c r="S6" s="26"/>
      <c r="T6" s="6"/>
      <c r="U6" s="27"/>
      <c r="V6" s="24"/>
      <c r="W6" s="24"/>
      <c r="X6" s="23">
        <f>COUNTIFS('00 Encuesta'!$B$2:$B$511,"*f)*",'00 Encuesta'!$C$2:$C$511,"*c)*",'00 Encuesta'!$E$2:$E$511,"*a)*")</f>
        <v>0</v>
      </c>
      <c r="Y6" s="28" t="s">
        <v>523</v>
      </c>
      <c r="Z6" s="29"/>
      <c r="AA6" s="3"/>
      <c r="AB6" s="24"/>
      <c r="AC6" s="19">
        <f>J6+Q6+X6</f>
        <v>22</v>
      </c>
      <c r="AD6" s="30"/>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row>
    <row r="7" spans="1:75" ht="15.75" thickBot="1" x14ac:dyDescent="0.3">
      <c r="A7" s="8"/>
      <c r="B7" s="9"/>
      <c r="C7" s="31"/>
      <c r="D7" s="7"/>
      <c r="E7" s="7"/>
      <c r="F7" s="10"/>
      <c r="G7" s="32"/>
      <c r="H7" s="33"/>
      <c r="I7" s="34"/>
      <c r="J7" s="34">
        <f>COUNTIFS('00 Encuesta'!$B$2:$B$511,"*f)*",'00 Encuesta'!$C$2:$C$511,"*a)*",'00 Encuesta'!$E$2:$E$511,"*b)*")</f>
        <v>20</v>
      </c>
      <c r="K7" s="36" t="s">
        <v>524</v>
      </c>
      <c r="L7" s="37"/>
      <c r="M7" s="6"/>
      <c r="N7" s="38"/>
      <c r="O7" s="35"/>
      <c r="P7" s="35"/>
      <c r="Q7" s="34">
        <f>COUNTIFS('00 Encuesta'!$B$2:$B$511,"*f)*",'00 Encuesta'!$C$2:$C$511,"*b)*",'00 Encuesta'!$E$2:$E$511,"*b)*")</f>
        <v>0</v>
      </c>
      <c r="R7" s="36" t="s">
        <v>524</v>
      </c>
      <c r="S7" s="37"/>
      <c r="T7" s="6"/>
      <c r="U7" s="38"/>
      <c r="V7" s="35"/>
      <c r="W7" s="35"/>
      <c r="X7" s="34">
        <f>COUNTIFS('00 Encuesta'!$B$2:$B$511,"*f)*",'00 Encuesta'!$C$2:$C$511,"*c)*",'00 Encuesta'!$E$2:$E$511,"*b)*")</f>
        <v>0</v>
      </c>
      <c r="Y7" s="39" t="s">
        <v>524</v>
      </c>
      <c r="Z7" s="40"/>
      <c r="AA7" s="3"/>
      <c r="AB7" s="24"/>
      <c r="AC7" s="19">
        <f>J7+Q7+X7</f>
        <v>20</v>
      </c>
      <c r="AD7" s="30"/>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row>
    <row r="8" spans="1:75" ht="15.75" thickBot="1" x14ac:dyDescent="0.3">
      <c r="A8" s="8"/>
      <c r="B8" s="9"/>
      <c r="C8" s="31"/>
      <c r="D8" s="31"/>
      <c r="E8" s="31"/>
      <c r="F8" s="10"/>
      <c r="G8" s="10"/>
      <c r="H8" s="41"/>
      <c r="I8" s="10"/>
      <c r="J8" s="41"/>
      <c r="K8" s="10"/>
      <c r="L8" s="41"/>
      <c r="M8" s="10"/>
      <c r="N8" s="10"/>
      <c r="O8" s="41"/>
      <c r="P8" s="10"/>
      <c r="Q8" s="41"/>
      <c r="R8" s="10"/>
      <c r="S8" s="41"/>
      <c r="T8" s="10"/>
      <c r="U8" s="10"/>
      <c r="V8" s="41"/>
      <c r="W8" s="10"/>
      <c r="X8" s="41"/>
      <c r="Y8" s="10"/>
      <c r="Z8" s="41"/>
      <c r="AA8" s="3"/>
      <c r="AB8" s="6"/>
      <c r="AC8" s="5"/>
      <c r="AD8" s="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row>
    <row r="9" spans="1:75" x14ac:dyDescent="0.3">
      <c r="A9" s="7"/>
      <c r="B9" s="7"/>
      <c r="C9" s="7"/>
      <c r="D9" s="7"/>
      <c r="E9" s="7"/>
      <c r="F9" s="10"/>
      <c r="G9" s="42"/>
      <c r="H9" s="43"/>
      <c r="I9" s="44" t="s">
        <v>519</v>
      </c>
      <c r="J9" s="45"/>
      <c r="K9" s="46"/>
      <c r="L9" s="47"/>
      <c r="M9" s="23"/>
      <c r="N9" s="42"/>
      <c r="O9" s="43"/>
      <c r="P9" s="44" t="s">
        <v>521</v>
      </c>
      <c r="Q9" s="45"/>
      <c r="R9" s="46"/>
      <c r="S9" s="47"/>
      <c r="T9" s="3"/>
      <c r="U9" s="42"/>
      <c r="V9" s="48"/>
      <c r="W9" s="48" t="s">
        <v>611</v>
      </c>
      <c r="X9" s="48"/>
      <c r="Y9" s="46"/>
      <c r="Z9" s="47"/>
      <c r="AA9" s="3"/>
      <c r="AB9" s="49" t="s">
        <v>612</v>
      </c>
      <c r="AC9" s="50"/>
      <c r="AD9" s="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row>
    <row r="10" spans="1:75" ht="15" x14ac:dyDescent="0.25">
      <c r="A10" s="8"/>
      <c r="B10" s="9"/>
      <c r="C10" s="31"/>
      <c r="D10" s="7"/>
      <c r="E10" s="7"/>
      <c r="F10" s="10"/>
      <c r="G10" s="51"/>
      <c r="H10" s="52"/>
      <c r="I10" s="53"/>
      <c r="J10" s="52"/>
      <c r="K10" s="53"/>
      <c r="L10" s="54"/>
      <c r="M10" s="55"/>
      <c r="N10" s="51"/>
      <c r="O10" s="52"/>
      <c r="P10" s="53"/>
      <c r="Q10" s="52"/>
      <c r="R10" s="53"/>
      <c r="S10" s="54"/>
      <c r="T10" s="3"/>
      <c r="U10" s="51"/>
      <c r="V10" s="52"/>
      <c r="W10" s="53"/>
      <c r="X10" s="52"/>
      <c r="Y10" s="53"/>
      <c r="Z10" s="54"/>
      <c r="AA10" s="3"/>
      <c r="AB10" s="6"/>
      <c r="AC10" s="41"/>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3"/>
      <c r="BG10" s="3"/>
      <c r="BH10" s="3"/>
      <c r="BI10" s="3"/>
      <c r="BJ10" s="3"/>
      <c r="BK10" s="3"/>
      <c r="BL10" s="3"/>
      <c r="BM10" s="3"/>
      <c r="BN10" s="3"/>
      <c r="BO10" s="3"/>
      <c r="BP10" s="3"/>
      <c r="BQ10" s="3"/>
      <c r="BR10" s="3"/>
      <c r="BS10" s="3"/>
      <c r="BT10" s="3"/>
      <c r="BU10" s="3"/>
      <c r="BV10" s="3"/>
      <c r="BW10" s="3"/>
    </row>
    <row r="11" spans="1:75" x14ac:dyDescent="0.3">
      <c r="A11" s="7"/>
      <c r="B11" s="56"/>
      <c r="C11" s="7"/>
      <c r="D11" s="7"/>
      <c r="E11" s="7"/>
      <c r="F11" s="10"/>
      <c r="G11" s="57" t="s">
        <v>9</v>
      </c>
      <c r="H11" s="58"/>
      <c r="I11" s="59" t="s">
        <v>10</v>
      </c>
      <c r="J11" s="60"/>
      <c r="K11" s="59" t="s">
        <v>11</v>
      </c>
      <c r="L11" s="61"/>
      <c r="M11" s="23"/>
      <c r="N11" s="57" t="s">
        <v>9</v>
      </c>
      <c r="O11" s="58"/>
      <c r="P11" s="59" t="s">
        <v>10</v>
      </c>
      <c r="Q11" s="60"/>
      <c r="R11" s="59" t="s">
        <v>11</v>
      </c>
      <c r="S11" s="61"/>
      <c r="T11" s="3"/>
      <c r="U11" s="57" t="s">
        <v>9</v>
      </c>
      <c r="V11" s="58"/>
      <c r="W11" s="59" t="s">
        <v>10</v>
      </c>
      <c r="X11" s="60"/>
      <c r="Y11" s="59" t="s">
        <v>11</v>
      </c>
      <c r="Z11" s="61"/>
      <c r="AA11" s="3"/>
      <c r="AB11" s="62" t="s">
        <v>12</v>
      </c>
      <c r="AC11" s="52" t="s">
        <v>13</v>
      </c>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3"/>
      <c r="BG11" s="3"/>
      <c r="BH11" s="3"/>
      <c r="BI11" s="3"/>
      <c r="BJ11" s="3"/>
      <c r="BK11" s="3"/>
      <c r="BL11" s="3"/>
      <c r="BM11" s="3"/>
      <c r="BN11" s="3"/>
      <c r="BO11" s="3"/>
      <c r="BP11" s="3"/>
      <c r="BQ11" s="3"/>
      <c r="BR11" s="3"/>
      <c r="BS11" s="3"/>
      <c r="BT11" s="3"/>
      <c r="BU11" s="3"/>
      <c r="BV11" s="3"/>
      <c r="BW11" s="3"/>
    </row>
    <row r="12" spans="1:75" ht="20.399999999999999" x14ac:dyDescent="0.3">
      <c r="A12" s="63"/>
      <c r="B12" s="2"/>
      <c r="C12" s="63"/>
      <c r="D12" s="64"/>
      <c r="E12" s="64"/>
      <c r="F12" s="10"/>
      <c r="G12" s="65" t="s">
        <v>12</v>
      </c>
      <c r="H12" s="52" t="s">
        <v>13</v>
      </c>
      <c r="I12" s="53" t="s">
        <v>12</v>
      </c>
      <c r="J12" s="52" t="s">
        <v>13</v>
      </c>
      <c r="K12" s="53" t="s">
        <v>12</v>
      </c>
      <c r="L12" s="66" t="s">
        <v>13</v>
      </c>
      <c r="M12" s="23"/>
      <c r="N12" s="65" t="s">
        <v>12</v>
      </c>
      <c r="O12" s="52" t="s">
        <v>13</v>
      </c>
      <c r="P12" s="53" t="s">
        <v>12</v>
      </c>
      <c r="Q12" s="52" t="s">
        <v>13</v>
      </c>
      <c r="R12" s="53" t="s">
        <v>12</v>
      </c>
      <c r="S12" s="66" t="s">
        <v>13</v>
      </c>
      <c r="T12" s="3"/>
      <c r="U12" s="51" t="s">
        <v>12</v>
      </c>
      <c r="V12" s="52" t="s">
        <v>13</v>
      </c>
      <c r="W12" s="53" t="s">
        <v>12</v>
      </c>
      <c r="X12" s="52" t="s">
        <v>13</v>
      </c>
      <c r="Y12" s="53" t="s">
        <v>12</v>
      </c>
      <c r="Z12" s="66" t="s">
        <v>13</v>
      </c>
      <c r="AA12" s="3"/>
      <c r="AB12" s="62"/>
      <c r="AC12" s="52"/>
      <c r="AD12" s="7"/>
      <c r="AE12" s="7"/>
      <c r="AF12" s="7"/>
      <c r="AG12" s="67" t="s">
        <v>504</v>
      </c>
      <c r="AH12" s="67" t="s">
        <v>505</v>
      </c>
      <c r="AI12" s="67" t="s">
        <v>501</v>
      </c>
      <c r="AJ12" s="67"/>
      <c r="AK12" s="67" t="s">
        <v>506</v>
      </c>
      <c r="AL12" s="67" t="s">
        <v>507</v>
      </c>
      <c r="AM12" s="67" t="s">
        <v>502</v>
      </c>
      <c r="AN12" s="67"/>
      <c r="AO12" s="67" t="s">
        <v>613</v>
      </c>
      <c r="AP12" s="67" t="s">
        <v>614</v>
      </c>
      <c r="AQ12" s="67" t="s">
        <v>610</v>
      </c>
      <c r="AR12" s="7"/>
      <c r="AS12" s="56" t="s">
        <v>14</v>
      </c>
      <c r="AT12" s="7"/>
      <c r="AU12" s="7"/>
      <c r="AV12" s="7"/>
      <c r="AW12" s="7"/>
      <c r="AX12" s="7"/>
      <c r="AY12" s="7"/>
      <c r="AZ12" s="7"/>
      <c r="BA12" s="7"/>
      <c r="BB12" s="7"/>
      <c r="BC12" s="7"/>
      <c r="BD12" s="7"/>
      <c r="BE12" s="7"/>
      <c r="BF12" s="3"/>
      <c r="BG12" s="3"/>
      <c r="BH12" s="3"/>
      <c r="BI12" s="3"/>
      <c r="BJ12" s="3"/>
      <c r="BK12" s="3"/>
      <c r="BL12" s="3"/>
      <c r="BM12" s="3"/>
      <c r="BN12" s="3"/>
      <c r="BO12" s="3"/>
      <c r="BP12" s="3"/>
      <c r="BQ12" s="3"/>
      <c r="BR12" s="3"/>
      <c r="BS12" s="3"/>
      <c r="BT12" s="3"/>
      <c r="BU12" s="3"/>
      <c r="BV12" s="3"/>
      <c r="BW12" s="3"/>
    </row>
    <row r="13" spans="1:75" ht="15" x14ac:dyDescent="0.25">
      <c r="A13" s="8"/>
      <c r="B13" s="9"/>
      <c r="C13" s="7"/>
      <c r="D13" s="7"/>
      <c r="E13" s="7"/>
      <c r="F13" s="10"/>
      <c r="G13" s="51"/>
      <c r="H13" s="52"/>
      <c r="I13" s="53"/>
      <c r="J13" s="52"/>
      <c r="K13" s="53"/>
      <c r="L13" s="68"/>
      <c r="M13" s="23"/>
      <c r="N13" s="51"/>
      <c r="O13" s="52"/>
      <c r="P13" s="53"/>
      <c r="Q13" s="52"/>
      <c r="R13" s="53"/>
      <c r="S13" s="68"/>
      <c r="T13" s="3"/>
      <c r="U13" s="51"/>
      <c r="V13" s="52"/>
      <c r="W13" s="53"/>
      <c r="X13" s="52"/>
      <c r="Y13" s="53"/>
      <c r="Z13" s="68"/>
      <c r="AA13" s="3"/>
      <c r="AB13" s="6"/>
      <c r="AC13" s="41"/>
      <c r="AD13" s="7"/>
      <c r="AE13" s="7"/>
      <c r="AF13" s="7"/>
      <c r="AG13" s="69"/>
      <c r="AH13" s="69"/>
      <c r="AI13" s="69"/>
      <c r="AJ13" s="69"/>
      <c r="AK13" s="69"/>
      <c r="AL13" s="69"/>
      <c r="AM13" s="69"/>
      <c r="AN13" s="69"/>
      <c r="AO13" s="69"/>
      <c r="AP13" s="69"/>
      <c r="AQ13" s="69"/>
      <c r="AR13" s="7"/>
      <c r="AS13" s="7"/>
      <c r="AT13" s="7"/>
      <c r="AU13" s="7"/>
      <c r="AV13" s="7"/>
      <c r="AW13" s="7"/>
      <c r="AX13" s="7"/>
      <c r="AY13" s="7"/>
      <c r="AZ13" s="7"/>
      <c r="BA13" s="7"/>
      <c r="BB13" s="7"/>
      <c r="BC13" s="7"/>
      <c r="BD13" s="7"/>
      <c r="BE13" s="7"/>
      <c r="BF13" s="3"/>
      <c r="BG13" s="3"/>
      <c r="BH13" s="3"/>
      <c r="BI13" s="3"/>
      <c r="BJ13" s="3"/>
      <c r="BK13" s="3"/>
      <c r="BL13" s="3"/>
      <c r="BM13" s="3"/>
      <c r="BN13" s="3"/>
      <c r="BO13" s="3"/>
      <c r="BP13" s="3"/>
      <c r="BQ13" s="3"/>
      <c r="BR13" s="3"/>
      <c r="BS13" s="3"/>
      <c r="BT13" s="3"/>
      <c r="BU13" s="3"/>
      <c r="BV13" s="3"/>
      <c r="BW13" s="3"/>
    </row>
    <row r="14" spans="1:75" ht="15" x14ac:dyDescent="0.25">
      <c r="A14" s="70" t="s">
        <v>15</v>
      </c>
      <c r="B14" s="9" t="s">
        <v>16</v>
      </c>
      <c r="C14" s="7"/>
      <c r="D14" s="7"/>
      <c r="E14" s="7"/>
      <c r="F14" s="71"/>
      <c r="G14" s="51"/>
      <c r="H14" s="52"/>
      <c r="I14" s="53"/>
      <c r="J14" s="52"/>
      <c r="K14" s="53"/>
      <c r="L14" s="66"/>
      <c r="M14" s="23"/>
      <c r="N14" s="51"/>
      <c r="O14" s="52"/>
      <c r="P14" s="53"/>
      <c r="Q14" s="52"/>
      <c r="R14" s="53"/>
      <c r="S14" s="66"/>
      <c r="T14" s="3"/>
      <c r="U14" s="51"/>
      <c r="V14" s="52"/>
      <c r="W14" s="51"/>
      <c r="X14" s="52"/>
      <c r="Y14" s="51"/>
      <c r="Z14" s="66"/>
      <c r="AA14" s="3"/>
      <c r="AB14" s="62"/>
      <c r="AC14" s="52"/>
      <c r="AD14" s="7"/>
      <c r="AE14" s="7"/>
      <c r="AF14" s="88" t="str">
        <f t="shared" ref="AF14:AF19" si="0">A14&amp;" "&amp;B14</f>
        <v>03 En que etapa educativa solicitaste ingreso al colegio?</v>
      </c>
      <c r="AG14" s="67"/>
      <c r="AH14" s="67"/>
      <c r="AI14" s="67"/>
      <c r="AJ14" s="67"/>
      <c r="AK14" s="67"/>
      <c r="AL14" s="67"/>
      <c r="AM14" s="67"/>
      <c r="AN14" s="67"/>
      <c r="AO14" s="67"/>
      <c r="AP14" s="67"/>
      <c r="AQ14" s="67"/>
      <c r="AR14" s="7"/>
      <c r="AS14" s="7"/>
      <c r="AT14" s="7"/>
      <c r="AU14" s="7"/>
      <c r="AV14" s="7"/>
      <c r="AW14" s="7"/>
      <c r="AX14" s="7"/>
      <c r="AY14" s="7"/>
      <c r="AZ14" s="7"/>
      <c r="BA14" s="7"/>
      <c r="BB14" s="7"/>
      <c r="BC14" s="7"/>
      <c r="BD14" s="7"/>
      <c r="BE14" s="7"/>
      <c r="BF14" s="3"/>
      <c r="BG14" s="3"/>
      <c r="BH14" s="3"/>
      <c r="BI14" s="3"/>
      <c r="BJ14" s="3"/>
      <c r="BK14" s="3"/>
      <c r="BL14" s="3"/>
      <c r="BM14" s="3"/>
      <c r="BN14" s="3"/>
      <c r="BO14" s="3"/>
      <c r="BP14" s="3"/>
      <c r="BQ14" s="3"/>
      <c r="BR14" s="3"/>
      <c r="BS14" s="3"/>
      <c r="BT14" s="3"/>
      <c r="BU14" s="3"/>
      <c r="BV14" s="3"/>
      <c r="BW14" s="3"/>
    </row>
    <row r="15" spans="1:75" x14ac:dyDescent="0.3">
      <c r="A15" s="8" t="s">
        <v>17</v>
      </c>
      <c r="B15" s="9" t="s">
        <v>525</v>
      </c>
      <c r="C15" s="7"/>
      <c r="D15" s="7"/>
      <c r="E15" s="7"/>
      <c r="F15" s="10"/>
      <c r="G15" s="51">
        <f>I15+K15</f>
        <v>14</v>
      </c>
      <c r="H15" s="52">
        <f>G15/$J$5*100</f>
        <v>33.333333333333329</v>
      </c>
      <c r="I15" s="53">
        <f>COUNTIFS('00 Encuesta'!$B$2:$B$511,"*f)*",'00 Encuesta'!$C$2:$C$511,"*a)*",'00 Encuesta'!$E$2:$E$511,"*a)*",'00 Encuesta'!$D$2:$D$511,"*a)*")</f>
        <v>8</v>
      </c>
      <c r="J15" s="52">
        <f>I15/$J$6*100</f>
        <v>36.363636363636367</v>
      </c>
      <c r="K15" s="53">
        <f>COUNTIFS('00 Encuesta'!$B$2:$B$511,"*f)*",'00 Encuesta'!$C$2:$C$511,"*a)*",'00 Encuesta'!$E$2:$E$511,"*b)*",'00 Encuesta'!$D$2:$D$511,"*a)*")</f>
        <v>6</v>
      </c>
      <c r="L15" s="52">
        <f>K15/$J$7*100</f>
        <v>30</v>
      </c>
      <c r="M15" s="23"/>
      <c r="N15" s="51">
        <f>P15+R15</f>
        <v>0</v>
      </c>
      <c r="O15" s="52" t="e">
        <f>N15/$Q$5*100</f>
        <v>#DIV/0!</v>
      </c>
      <c r="P15" s="53">
        <f>COUNTIFS('00 Encuesta'!$B$2:$B$511,"*f)*",'00 Encuesta'!$C$2:$C$511,"*b)*",'00 Encuesta'!$E$2:$E$511,"*a)*",'00 Encuesta'!$D$2:$D$511,"*a)*")</f>
        <v>0</v>
      </c>
      <c r="Q15" s="52" t="e">
        <f>P15/$Q$6*100</f>
        <v>#DIV/0!</v>
      </c>
      <c r="R15" s="53">
        <f>COUNTIFS('00 Encuesta'!$B$2:$B$511,"*f)*",'00 Encuesta'!$C$2:$C$511,"*b)*",'00 Encuesta'!$E$2:$E$511,"*b)*",'00 Encuesta'!$D$2:$D$511,"*a)*")</f>
        <v>0</v>
      </c>
      <c r="S15" s="52" t="e">
        <f>R15/$Q$7*100</f>
        <v>#DIV/0!</v>
      </c>
      <c r="T15" s="3"/>
      <c r="U15" s="51">
        <f>W15+Y15</f>
        <v>0</v>
      </c>
      <c r="V15" s="52" t="e">
        <f>U15/$X$5*100</f>
        <v>#DIV/0!</v>
      </c>
      <c r="W15" s="53">
        <f>COUNTIFS('00 Encuesta'!$B$2:$B$511,"*f)*",'00 Encuesta'!$C$2:$C$511,"*c)*",'00 Encuesta'!$E$2:$E$511,"*a)*",'00 Encuesta'!$D$2:$D$511,"*a)*")</f>
        <v>0</v>
      </c>
      <c r="X15" s="52" t="e">
        <f>W15/$X$6*100</f>
        <v>#DIV/0!</v>
      </c>
      <c r="Y15" s="53">
        <f>COUNTIFS('00 Encuesta'!$B$2:$B$511,"*f)*",'00 Encuesta'!$C$2:$C$511,"*c)*",'00 Encuesta'!$E$2:$E$511,"*b)*",'00 Encuesta'!$D$2:$D$511,"*a)*")</f>
        <v>0</v>
      </c>
      <c r="Z15" s="52" t="e">
        <f>Y15/$X$7*100</f>
        <v>#DIV/0!</v>
      </c>
      <c r="AA15" s="3"/>
      <c r="AB15" s="62">
        <f>G15+N15+U15</f>
        <v>14</v>
      </c>
      <c r="AC15" s="52">
        <f>AB15*100/$AC$5</f>
        <v>33.333333333333336</v>
      </c>
      <c r="AD15" s="7"/>
      <c r="AE15" s="7"/>
      <c r="AF15" s="9" t="str">
        <f t="shared" si="0"/>
        <v>a) Educación Inicial</v>
      </c>
      <c r="AG15" s="72">
        <f>J15</f>
        <v>36.363636363636367</v>
      </c>
      <c r="AH15" s="72">
        <f>L15</f>
        <v>30</v>
      </c>
      <c r="AI15" s="73">
        <f>H15</f>
        <v>33.333333333333329</v>
      </c>
      <c r="AJ15" s="73"/>
      <c r="AK15" s="74" t="e">
        <f>Q15</f>
        <v>#DIV/0!</v>
      </c>
      <c r="AL15" s="74" t="e">
        <f>S15</f>
        <v>#DIV/0!</v>
      </c>
      <c r="AM15" s="74" t="e">
        <f>O15</f>
        <v>#DIV/0!</v>
      </c>
      <c r="AN15" s="74"/>
      <c r="AO15" s="75" t="e">
        <f>X15</f>
        <v>#DIV/0!</v>
      </c>
      <c r="AP15" s="75" t="e">
        <f>Z15</f>
        <v>#DIV/0!</v>
      </c>
      <c r="AQ15" s="75" t="e">
        <f>V15</f>
        <v>#DIV/0!</v>
      </c>
      <c r="AR15" s="76"/>
      <c r="AS15" s="76">
        <f>AC15</f>
        <v>33.333333333333336</v>
      </c>
      <c r="AT15" s="7"/>
      <c r="AU15" s="7"/>
      <c r="AV15" s="7"/>
      <c r="AW15" s="7"/>
      <c r="AX15" s="7"/>
      <c r="AY15" s="7"/>
      <c r="AZ15" s="7"/>
      <c r="BA15" s="7"/>
      <c r="BB15" s="7"/>
      <c r="BC15" s="7"/>
      <c r="BD15" s="7"/>
      <c r="BE15" s="7"/>
      <c r="BF15" s="3"/>
      <c r="BG15" s="3"/>
      <c r="BH15" s="3"/>
      <c r="BI15" s="3"/>
      <c r="BJ15" s="3"/>
      <c r="BK15" s="3"/>
      <c r="BL15" s="3"/>
      <c r="BM15" s="3"/>
      <c r="BN15" s="3"/>
      <c r="BO15" s="3"/>
      <c r="BP15" s="3"/>
      <c r="BQ15" s="3"/>
      <c r="BR15" s="3"/>
      <c r="BS15" s="3"/>
      <c r="BT15" s="3"/>
      <c r="BU15" s="3"/>
      <c r="BV15" s="3"/>
      <c r="BW15" s="3"/>
    </row>
    <row r="16" spans="1:75" ht="15" x14ac:dyDescent="0.25">
      <c r="A16" s="8" t="s">
        <v>18</v>
      </c>
      <c r="B16" s="9" t="s">
        <v>19</v>
      </c>
      <c r="C16" s="7"/>
      <c r="D16" s="7"/>
      <c r="E16" s="7"/>
      <c r="F16" s="10"/>
      <c r="G16" s="51">
        <f>I16+K16</f>
        <v>21</v>
      </c>
      <c r="H16" s="52">
        <f>G16/$J$5*100</f>
        <v>50</v>
      </c>
      <c r="I16" s="53">
        <f>COUNTIFS('00 Encuesta'!$B$2:$B$511,"*f)*",'00 Encuesta'!$C$2:$C$511,"*a)*",'00 Encuesta'!$E$2:$E$511,"*a)*",'00 Encuesta'!$D$2:$D$511,"*b)*")</f>
        <v>11</v>
      </c>
      <c r="J16" s="52">
        <f>I16/$J$6*100</f>
        <v>50</v>
      </c>
      <c r="K16" s="53">
        <f>COUNTIFS('00 Encuesta'!$B$2:$B$511,"*f)*",'00 Encuesta'!$C$2:$C$511,"*a)*",'00 Encuesta'!$E$2:$E$511,"*b)*",'00 Encuesta'!$D$2:$D$511,"*b)*")</f>
        <v>10</v>
      </c>
      <c r="L16" s="52">
        <f>K16/$J$7*100</f>
        <v>50</v>
      </c>
      <c r="M16" s="23"/>
      <c r="N16" s="51">
        <f>P16+R16</f>
        <v>0</v>
      </c>
      <c r="O16" s="52" t="e">
        <f>N16/$Q$5*100</f>
        <v>#DIV/0!</v>
      </c>
      <c r="P16" s="53">
        <f>COUNTIFS('00 Encuesta'!$B$2:$B$511,"*f)*",'00 Encuesta'!$C$2:$C$511,"*b)*",'00 Encuesta'!$E$2:$E$511,"*a)*",'00 Encuesta'!$D$2:$D$511,"*b)*")</f>
        <v>0</v>
      </c>
      <c r="Q16" s="52" t="e">
        <f>P16/$Q$6*100</f>
        <v>#DIV/0!</v>
      </c>
      <c r="R16" s="53">
        <f>COUNTIFS('00 Encuesta'!$B$2:$B$511,"*f)*",'00 Encuesta'!$C$2:$C$511,"*b)*",'00 Encuesta'!$E$2:$E$511,"*b)*",'00 Encuesta'!$D$2:$D$511,"*b)*")</f>
        <v>0</v>
      </c>
      <c r="S16" s="52" t="e">
        <f>R16/$Q$7*100</f>
        <v>#DIV/0!</v>
      </c>
      <c r="T16" s="3"/>
      <c r="U16" s="51">
        <f>W16+Y16</f>
        <v>0</v>
      </c>
      <c r="V16" s="52" t="e">
        <f>U16/$X$5*100</f>
        <v>#DIV/0!</v>
      </c>
      <c r="W16" s="53">
        <f>COUNTIFS('00 Encuesta'!$B$2:$B$511,"*f)*",'00 Encuesta'!$C$2:$C$511,"*c)*",'00 Encuesta'!$E$2:$E$511,"*a)*",'00 Encuesta'!$D$2:$D$511,"*b)*")</f>
        <v>0</v>
      </c>
      <c r="X16" s="52" t="e">
        <f>W16/$X$6*100</f>
        <v>#DIV/0!</v>
      </c>
      <c r="Y16" s="53">
        <f>COUNTIFS('00 Encuesta'!$B$2:$B$511,"*f)*",'00 Encuesta'!$C$2:$C$511,"*c)*",'00 Encuesta'!$E$2:$E$511,"*b)*",'00 Encuesta'!$D$2:$D$511,"*b)*")</f>
        <v>0</v>
      </c>
      <c r="Z16" s="52" t="e">
        <f>Y16/$X$7*100</f>
        <v>#DIV/0!</v>
      </c>
      <c r="AA16" s="3"/>
      <c r="AB16" s="62">
        <f>G16+N16+U16</f>
        <v>21</v>
      </c>
      <c r="AC16" s="52">
        <f>AB16*100/$AC$5</f>
        <v>50</v>
      </c>
      <c r="AD16" s="7"/>
      <c r="AE16" s="7"/>
      <c r="AF16" s="9" t="str">
        <f t="shared" si="0"/>
        <v>b) Primaria</v>
      </c>
      <c r="AG16" s="72">
        <f>J16</f>
        <v>50</v>
      </c>
      <c r="AH16" s="72">
        <f>L16</f>
        <v>50</v>
      </c>
      <c r="AI16" s="73">
        <f>H16</f>
        <v>50</v>
      </c>
      <c r="AJ16" s="73"/>
      <c r="AK16" s="74" t="e">
        <f>Q16</f>
        <v>#DIV/0!</v>
      </c>
      <c r="AL16" s="74" t="e">
        <f>S16</f>
        <v>#DIV/0!</v>
      </c>
      <c r="AM16" s="74" t="e">
        <f>O16</f>
        <v>#DIV/0!</v>
      </c>
      <c r="AN16" s="74"/>
      <c r="AO16" s="75" t="e">
        <f>X16</f>
        <v>#DIV/0!</v>
      </c>
      <c r="AP16" s="75" t="e">
        <f>Z16</f>
        <v>#DIV/0!</v>
      </c>
      <c r="AQ16" s="75" t="e">
        <f>V16</f>
        <v>#DIV/0!</v>
      </c>
      <c r="AR16" s="76"/>
      <c r="AS16" s="76">
        <f t="shared" ref="AS16:AS79" si="1">AC16</f>
        <v>50</v>
      </c>
      <c r="AT16" s="7"/>
      <c r="AU16" s="7"/>
      <c r="AV16" s="7"/>
      <c r="AW16" s="7"/>
      <c r="AX16" s="7"/>
      <c r="AY16" s="7"/>
      <c r="AZ16" s="7"/>
      <c r="BA16" s="7"/>
      <c r="BB16" s="7"/>
      <c r="BC16" s="7"/>
      <c r="BD16" s="7"/>
      <c r="BE16" s="7"/>
      <c r="BF16" s="3"/>
      <c r="BG16" s="3"/>
      <c r="BH16" s="3"/>
      <c r="BI16" s="3"/>
      <c r="BJ16" s="3"/>
      <c r="BK16" s="3"/>
      <c r="BL16" s="3"/>
      <c r="BM16" s="3"/>
      <c r="BN16" s="3"/>
      <c r="BO16" s="3"/>
      <c r="BP16" s="3"/>
      <c r="BQ16" s="3"/>
      <c r="BR16" s="3"/>
      <c r="BS16" s="3"/>
      <c r="BT16" s="3"/>
      <c r="BU16" s="3"/>
      <c r="BV16" s="3"/>
      <c r="BW16" s="3"/>
    </row>
    <row r="17" spans="1:75" x14ac:dyDescent="0.3">
      <c r="A17" s="8" t="s">
        <v>20</v>
      </c>
      <c r="B17" s="9" t="s">
        <v>526</v>
      </c>
      <c r="C17" s="7"/>
      <c r="D17" s="7"/>
      <c r="E17" s="77"/>
      <c r="F17" s="10"/>
      <c r="G17" s="51">
        <f>I17+K17</f>
        <v>5</v>
      </c>
      <c r="H17" s="52">
        <f>G17/$J$5*100</f>
        <v>11.904761904761903</v>
      </c>
      <c r="I17" s="53">
        <f>COUNTIFS('00 Encuesta'!$B$2:$B$511,"*f)*",'00 Encuesta'!$C$2:$C$511,"*a)*",'00 Encuesta'!$E$2:$E$511,"*a)*",'00 Encuesta'!$D$2:$D$511,"*c)*")</f>
        <v>1</v>
      </c>
      <c r="J17" s="52">
        <f>I17/$J$6*100</f>
        <v>4.5454545454545459</v>
      </c>
      <c r="K17" s="53">
        <f>COUNTIFS('00 Encuesta'!$B$2:$B$511,"*f)*",'00 Encuesta'!$C$2:$C$511,"*a)*",'00 Encuesta'!$E$2:$E$511,"*b)*",'00 Encuesta'!$D$2:$D$511,"*c)*")</f>
        <v>4</v>
      </c>
      <c r="L17" s="52">
        <f>K17/$J$7*100</f>
        <v>20</v>
      </c>
      <c r="M17" s="23"/>
      <c r="N17" s="51">
        <f>P17+R17</f>
        <v>0</v>
      </c>
      <c r="O17" s="52" t="e">
        <f>N17/$Q$5*100</f>
        <v>#DIV/0!</v>
      </c>
      <c r="P17" s="53">
        <f>COUNTIFS('00 Encuesta'!$B$2:$B$511,"*f)*",'00 Encuesta'!$C$2:$C$511,"*b)*",'00 Encuesta'!$E$2:$E$511,"*a)*",'00 Encuesta'!$D$2:$D$511,"*c)*")</f>
        <v>0</v>
      </c>
      <c r="Q17" s="52" t="e">
        <f>P17/$Q$6*100</f>
        <v>#DIV/0!</v>
      </c>
      <c r="R17" s="53">
        <f>COUNTIFS('00 Encuesta'!$B$2:$B$511,"*f)*",'00 Encuesta'!$C$2:$C$511,"*b)*",'00 Encuesta'!$E$2:$E$511,"*b)*",'00 Encuesta'!$D$2:$D$511,"*c)*")</f>
        <v>0</v>
      </c>
      <c r="S17" s="52" t="e">
        <f>R17/$Q$7*100</f>
        <v>#DIV/0!</v>
      </c>
      <c r="T17" s="3"/>
      <c r="U17" s="51">
        <f>W17+Y17</f>
        <v>0</v>
      </c>
      <c r="V17" s="52" t="e">
        <f>U17/$X$5*100</f>
        <v>#DIV/0!</v>
      </c>
      <c r="W17" s="53">
        <f>COUNTIFS('00 Encuesta'!$B$2:$B$511,"*f)*",'00 Encuesta'!$C$2:$C$511,"*c)*",'00 Encuesta'!$E$2:$E$511,"*a)*",'00 Encuesta'!$D$2:$D$511,"*c)*")</f>
        <v>0</v>
      </c>
      <c r="X17" s="52" t="e">
        <f>W17/$X$6*100</f>
        <v>#DIV/0!</v>
      </c>
      <c r="Y17" s="53">
        <f>COUNTIFS('00 Encuesta'!$B$2:$B$511,"*f)*",'00 Encuesta'!$C$2:$C$511,"*c)*",'00 Encuesta'!$E$2:$E$511,"*b)*",'00 Encuesta'!$D$2:$D$511,"*c)*")</f>
        <v>0</v>
      </c>
      <c r="Z17" s="52" t="e">
        <f>Y17/$X$7*100</f>
        <v>#DIV/0!</v>
      </c>
      <c r="AA17" s="3"/>
      <c r="AB17" s="62">
        <f>G17+N17+U17</f>
        <v>5</v>
      </c>
      <c r="AC17" s="52">
        <f>AB17*100/$AC$5</f>
        <v>11.904761904761905</v>
      </c>
      <c r="AD17" s="7"/>
      <c r="AE17" s="7"/>
      <c r="AF17" s="9" t="str">
        <f t="shared" si="0"/>
        <v>c) Entre Primero y Tercer año</v>
      </c>
      <c r="AG17" s="72">
        <f>J17</f>
        <v>4.5454545454545459</v>
      </c>
      <c r="AH17" s="72">
        <f>L17</f>
        <v>20</v>
      </c>
      <c r="AI17" s="73">
        <f>H17</f>
        <v>11.904761904761903</v>
      </c>
      <c r="AJ17" s="73"/>
      <c r="AK17" s="74" t="e">
        <f>Q17</f>
        <v>#DIV/0!</v>
      </c>
      <c r="AL17" s="74" t="e">
        <f>S17</f>
        <v>#DIV/0!</v>
      </c>
      <c r="AM17" s="74" t="e">
        <f>O17</f>
        <v>#DIV/0!</v>
      </c>
      <c r="AN17" s="74"/>
      <c r="AO17" s="75" t="e">
        <f>X17</f>
        <v>#DIV/0!</v>
      </c>
      <c r="AP17" s="75" t="e">
        <f>Z17</f>
        <v>#DIV/0!</v>
      </c>
      <c r="AQ17" s="75" t="e">
        <f>V17</f>
        <v>#DIV/0!</v>
      </c>
      <c r="AR17" s="76"/>
      <c r="AS17" s="76">
        <f t="shared" si="1"/>
        <v>11.904761904761905</v>
      </c>
      <c r="AT17" s="7"/>
      <c r="AU17" s="7"/>
      <c r="AV17" s="7"/>
      <c r="AW17" s="7"/>
      <c r="AX17" s="7"/>
      <c r="AY17" s="7"/>
      <c r="AZ17" s="7"/>
      <c r="BA17" s="7"/>
      <c r="BB17" s="7"/>
      <c r="BC17" s="7"/>
      <c r="BD17" s="7"/>
      <c r="BE17" s="7"/>
      <c r="BF17" s="3"/>
      <c r="BG17" s="3"/>
      <c r="BH17" s="3"/>
      <c r="BI17" s="3"/>
      <c r="BJ17" s="3"/>
      <c r="BK17" s="3"/>
      <c r="BL17" s="3"/>
      <c r="BM17" s="3"/>
      <c r="BN17" s="3"/>
      <c r="BO17" s="3"/>
      <c r="BP17" s="3"/>
      <c r="BQ17" s="3"/>
      <c r="BR17" s="3"/>
      <c r="BS17" s="3"/>
      <c r="BT17" s="3"/>
      <c r="BU17" s="3"/>
      <c r="BV17" s="3"/>
      <c r="BW17" s="3"/>
    </row>
    <row r="18" spans="1:75" x14ac:dyDescent="0.3">
      <c r="A18" s="8" t="s">
        <v>21</v>
      </c>
      <c r="B18" s="9" t="s">
        <v>527</v>
      </c>
      <c r="C18" s="7"/>
      <c r="D18" s="7"/>
      <c r="E18" s="77"/>
      <c r="F18" s="10"/>
      <c r="G18" s="51">
        <f>I18+K18</f>
        <v>2</v>
      </c>
      <c r="H18" s="52">
        <f>G18/$J$5*100</f>
        <v>4.7619047619047619</v>
      </c>
      <c r="I18" s="53">
        <f>COUNTIFS('00 Encuesta'!$B$2:$B$511,"*f)*",'00 Encuesta'!$C$2:$C$511,"*a)*",'00 Encuesta'!$E$2:$E$511,"*a)*",'00 Encuesta'!$D$2:$D$511,"*d)*")</f>
        <v>2</v>
      </c>
      <c r="J18" s="52">
        <f>I18/$J$6*100</f>
        <v>9.0909090909090917</v>
      </c>
      <c r="K18" s="53">
        <f>COUNTIFS('00 Encuesta'!$B$2:$B$511,"*f)*",'00 Encuesta'!$C$2:$C$511,"*a)*",'00 Encuesta'!$E$2:$E$511,"*b)*",'00 Encuesta'!$D$2:$D$511,"*d)*")</f>
        <v>0</v>
      </c>
      <c r="L18" s="52">
        <f>K18/$J$7*100</f>
        <v>0</v>
      </c>
      <c r="M18" s="23"/>
      <c r="N18" s="51">
        <f>P18+R18</f>
        <v>0</v>
      </c>
      <c r="O18" s="52" t="e">
        <f>N18/$Q$5*100</f>
        <v>#DIV/0!</v>
      </c>
      <c r="P18" s="53">
        <f>COUNTIFS('00 Encuesta'!$B$2:$B$511,"*f)*",'00 Encuesta'!$C$2:$C$511,"*b)*",'00 Encuesta'!$E$2:$E$511,"*a)*",'00 Encuesta'!$D$2:$D$511,"*d)*")</f>
        <v>0</v>
      </c>
      <c r="Q18" s="52" t="e">
        <f>P18/$Q$6*100</f>
        <v>#DIV/0!</v>
      </c>
      <c r="R18" s="53">
        <f>COUNTIFS('00 Encuesta'!$B$2:$B$511,"*f)*",'00 Encuesta'!$C$2:$C$511,"*b)*",'00 Encuesta'!$E$2:$E$511,"*b)*",'00 Encuesta'!$D$2:$D$511,"*d)*")</f>
        <v>0</v>
      </c>
      <c r="S18" s="52" t="e">
        <f>R18/$Q$7*100</f>
        <v>#DIV/0!</v>
      </c>
      <c r="T18" s="3"/>
      <c r="U18" s="51">
        <f>W18+Y18</f>
        <v>0</v>
      </c>
      <c r="V18" s="52" t="e">
        <f>U18/$X$5*100</f>
        <v>#DIV/0!</v>
      </c>
      <c r="W18" s="53">
        <f>COUNTIFS('00 Encuesta'!$B$2:$B$511,"*f)*",'00 Encuesta'!$C$2:$C$511,"*c)*",'00 Encuesta'!$E$2:$E$511,"*a)*",'00 Encuesta'!$D$2:$D$511,"*d)*")</f>
        <v>0</v>
      </c>
      <c r="X18" s="52" t="e">
        <f>W18/$X$6*100</f>
        <v>#DIV/0!</v>
      </c>
      <c r="Y18" s="53">
        <f>COUNTIFS('00 Encuesta'!$B$2:$B$511,"*f)*",'00 Encuesta'!$C$2:$C$511,"*c)*",'00 Encuesta'!$E$2:$E$511,"*b)*",'00 Encuesta'!$D$2:$D$511,"*d)*")</f>
        <v>0</v>
      </c>
      <c r="Z18" s="52" t="e">
        <f>Y18/$X$7*100</f>
        <v>#DIV/0!</v>
      </c>
      <c r="AA18" s="3"/>
      <c r="AB18" s="62">
        <f>G18+N18+U18</f>
        <v>2</v>
      </c>
      <c r="AC18" s="52">
        <f>AB18*100/$AC$5</f>
        <v>4.7619047619047619</v>
      </c>
      <c r="AD18" s="7"/>
      <c r="AE18" s="7"/>
      <c r="AF18" s="9" t="str">
        <f t="shared" si="0"/>
        <v>d) En  Cuarto año o posterior</v>
      </c>
      <c r="AG18" s="72">
        <f>J18</f>
        <v>9.0909090909090917</v>
      </c>
      <c r="AH18" s="72">
        <f>L18</f>
        <v>0</v>
      </c>
      <c r="AI18" s="73">
        <f>H18</f>
        <v>4.7619047619047619</v>
      </c>
      <c r="AJ18" s="73"/>
      <c r="AK18" s="74" t="e">
        <f>Q18</f>
        <v>#DIV/0!</v>
      </c>
      <c r="AL18" s="74" t="e">
        <f>S18</f>
        <v>#DIV/0!</v>
      </c>
      <c r="AM18" s="74" t="e">
        <f>O18</f>
        <v>#DIV/0!</v>
      </c>
      <c r="AN18" s="74"/>
      <c r="AO18" s="75" t="e">
        <f>X18</f>
        <v>#DIV/0!</v>
      </c>
      <c r="AP18" s="75" t="e">
        <f>Z18</f>
        <v>#DIV/0!</v>
      </c>
      <c r="AQ18" s="75" t="e">
        <f>V18</f>
        <v>#DIV/0!</v>
      </c>
      <c r="AR18" s="76"/>
      <c r="AS18" s="76">
        <f t="shared" si="1"/>
        <v>4.7619047619047619</v>
      </c>
      <c r="AT18" s="7"/>
      <c r="AU18" s="7"/>
      <c r="AV18" s="7"/>
      <c r="AW18" s="7"/>
      <c r="AX18" s="7"/>
      <c r="AY18" s="7"/>
      <c r="AZ18" s="7"/>
      <c r="BA18" s="7"/>
      <c r="BB18" s="7"/>
      <c r="BC18" s="7"/>
      <c r="BD18" s="7"/>
      <c r="BE18" s="7"/>
      <c r="BF18" s="3"/>
      <c r="BG18" s="3"/>
      <c r="BH18" s="3"/>
      <c r="BI18" s="3"/>
      <c r="BJ18" s="3"/>
      <c r="BK18" s="3"/>
      <c r="BL18" s="3"/>
      <c r="BM18" s="3"/>
      <c r="BN18" s="3"/>
      <c r="BO18" s="3"/>
      <c r="BP18" s="3"/>
      <c r="BQ18" s="3"/>
      <c r="BR18" s="3"/>
      <c r="BS18" s="3"/>
      <c r="BT18" s="3"/>
      <c r="BU18" s="3"/>
      <c r="BV18" s="3"/>
      <c r="BW18" s="3"/>
    </row>
    <row r="19" spans="1:75" ht="15" x14ac:dyDescent="0.25">
      <c r="A19" s="8" t="s">
        <v>23</v>
      </c>
      <c r="B19" s="9" t="s">
        <v>24</v>
      </c>
      <c r="C19" s="3"/>
      <c r="D19" s="7"/>
      <c r="E19" s="7"/>
      <c r="F19" s="10"/>
      <c r="G19" s="51">
        <f>I19+K19</f>
        <v>0</v>
      </c>
      <c r="H19" s="52">
        <f>G19/$J$5*100</f>
        <v>0</v>
      </c>
      <c r="I19" s="53"/>
      <c r="J19" s="52">
        <f>I19/$J$6*100</f>
        <v>0</v>
      </c>
      <c r="K19" s="53"/>
      <c r="L19" s="52">
        <f>K19/$J$7*100</f>
        <v>0</v>
      </c>
      <c r="M19" s="23"/>
      <c r="N19" s="51">
        <f>P19+R19</f>
        <v>0</v>
      </c>
      <c r="O19" s="52" t="e">
        <f>N19/$Q$5*100</f>
        <v>#DIV/0!</v>
      </c>
      <c r="P19" s="53"/>
      <c r="Q19" s="52" t="e">
        <f>P19/$Q$6*100</f>
        <v>#DIV/0!</v>
      </c>
      <c r="R19" s="53"/>
      <c r="S19" s="52" t="e">
        <f>R19/$Q$7*100</f>
        <v>#DIV/0!</v>
      </c>
      <c r="T19" s="3"/>
      <c r="U19" s="51">
        <f>W19+Y19</f>
        <v>0</v>
      </c>
      <c r="V19" s="52" t="e">
        <f>U19/$X$5*100</f>
        <v>#DIV/0!</v>
      </c>
      <c r="W19" s="53"/>
      <c r="X19" s="52" t="e">
        <f>W19/$X$6*100</f>
        <v>#DIV/0!</v>
      </c>
      <c r="Y19" s="53"/>
      <c r="Z19" s="52" t="e">
        <f>Y19/$X$7*100</f>
        <v>#DIV/0!</v>
      </c>
      <c r="AA19" s="3"/>
      <c r="AB19" s="62">
        <f>G19+N19+U19</f>
        <v>0</v>
      </c>
      <c r="AC19" s="52">
        <f>AB19*100/$AC$5</f>
        <v>0</v>
      </c>
      <c r="AD19" s="7"/>
      <c r="AE19" s="7"/>
      <c r="AF19" s="9" t="str">
        <f t="shared" si="0"/>
        <v>S/R Sin Respuesta</v>
      </c>
      <c r="AG19" s="72">
        <f>J19</f>
        <v>0</v>
      </c>
      <c r="AH19" s="72">
        <f>L19</f>
        <v>0</v>
      </c>
      <c r="AI19" s="73">
        <f>H19</f>
        <v>0</v>
      </c>
      <c r="AJ19" s="73"/>
      <c r="AK19" s="74" t="e">
        <f>Q19</f>
        <v>#DIV/0!</v>
      </c>
      <c r="AL19" s="74" t="e">
        <f>S19</f>
        <v>#DIV/0!</v>
      </c>
      <c r="AM19" s="74" t="e">
        <f>O19</f>
        <v>#DIV/0!</v>
      </c>
      <c r="AN19" s="74"/>
      <c r="AO19" s="75" t="e">
        <f>X19</f>
        <v>#DIV/0!</v>
      </c>
      <c r="AP19" s="75" t="e">
        <f>Z19</f>
        <v>#DIV/0!</v>
      </c>
      <c r="AQ19" s="75" t="e">
        <f>V19</f>
        <v>#DIV/0!</v>
      </c>
      <c r="AR19" s="76"/>
      <c r="AS19" s="76">
        <f t="shared" si="1"/>
        <v>0</v>
      </c>
      <c r="AT19" s="7"/>
      <c r="AU19" s="7"/>
      <c r="AV19" s="7"/>
      <c r="AW19" s="7"/>
      <c r="AX19" s="7"/>
      <c r="AY19" s="7"/>
      <c r="AZ19" s="7"/>
      <c r="BA19" s="7"/>
      <c r="BB19" s="7"/>
      <c r="BC19" s="7"/>
      <c r="BD19" s="7"/>
      <c r="BE19" s="7"/>
      <c r="BF19" s="3"/>
      <c r="BG19" s="3"/>
      <c r="BH19" s="3"/>
      <c r="BI19" s="3"/>
      <c r="BJ19" s="3"/>
      <c r="BK19" s="3"/>
      <c r="BL19" s="3"/>
      <c r="BM19" s="3"/>
      <c r="BN19" s="3"/>
      <c r="BO19" s="3"/>
      <c r="BP19" s="3"/>
      <c r="BQ19" s="3"/>
      <c r="BR19" s="3"/>
      <c r="BS19" s="3"/>
      <c r="BT19" s="3"/>
      <c r="BU19" s="3"/>
      <c r="BV19" s="3"/>
      <c r="BW19" s="3"/>
    </row>
    <row r="20" spans="1:75" ht="15" x14ac:dyDescent="0.25">
      <c r="A20" s="8"/>
      <c r="B20" s="9"/>
      <c r="C20" s="7"/>
      <c r="D20" s="7"/>
      <c r="E20" s="7"/>
      <c r="F20" s="7"/>
      <c r="G20" s="7"/>
      <c r="H20" s="7"/>
      <c r="I20" s="7"/>
      <c r="J20" s="7"/>
      <c r="K20" s="7"/>
      <c r="L20" s="7"/>
      <c r="M20" s="7"/>
      <c r="N20" s="7"/>
      <c r="O20" s="7"/>
      <c r="P20" s="7"/>
      <c r="Q20" s="7"/>
      <c r="R20" s="7"/>
      <c r="S20" s="7"/>
      <c r="T20" s="7"/>
      <c r="U20" s="7"/>
      <c r="V20" s="7"/>
      <c r="W20" s="7"/>
      <c r="X20" s="7"/>
      <c r="Y20" s="7"/>
      <c r="Z20" s="7"/>
      <c r="AA20" s="7"/>
      <c r="AB20" s="6"/>
      <c r="AC20" s="41"/>
      <c r="AD20" s="7"/>
      <c r="AE20" s="7"/>
      <c r="AF20" s="78"/>
      <c r="AG20" s="67"/>
      <c r="AH20" s="67"/>
      <c r="AI20" s="67"/>
      <c r="AJ20" s="67"/>
      <c r="AK20" s="67"/>
      <c r="AL20" s="67"/>
      <c r="AM20" s="67"/>
      <c r="AN20" s="67"/>
      <c r="AO20" s="67"/>
      <c r="AP20" s="67"/>
      <c r="AQ20" s="67"/>
      <c r="AR20" s="76"/>
      <c r="AS20" s="76"/>
      <c r="AT20" s="7"/>
      <c r="AU20" s="7"/>
      <c r="AV20" s="7"/>
      <c r="AW20" s="7"/>
      <c r="AX20" s="7"/>
      <c r="AY20" s="7"/>
      <c r="AZ20" s="7"/>
      <c r="BA20" s="7"/>
      <c r="BB20" s="7"/>
      <c r="BC20" s="7"/>
      <c r="BD20" s="7"/>
      <c r="BE20" s="7"/>
      <c r="BF20" s="3"/>
      <c r="BG20" s="3"/>
      <c r="BH20" s="3"/>
      <c r="BI20" s="3"/>
      <c r="BJ20" s="3"/>
      <c r="BK20" s="3"/>
      <c r="BL20" s="3"/>
      <c r="BM20" s="3"/>
      <c r="BN20" s="3"/>
      <c r="BO20" s="3"/>
      <c r="BP20" s="3"/>
      <c r="BQ20" s="3"/>
      <c r="BR20" s="3"/>
      <c r="BS20" s="3"/>
      <c r="BT20" s="3"/>
      <c r="BU20" s="3"/>
      <c r="BV20" s="3"/>
      <c r="BW20" s="3"/>
    </row>
    <row r="21" spans="1:75" ht="15" x14ac:dyDescent="0.25">
      <c r="A21" s="79"/>
      <c r="B21" s="9"/>
      <c r="C21" s="7"/>
      <c r="D21" s="7"/>
      <c r="E21" s="7"/>
      <c r="F21" s="7"/>
      <c r="G21" s="7"/>
      <c r="H21" s="7"/>
      <c r="I21" s="7"/>
      <c r="J21" s="7"/>
      <c r="K21" s="7"/>
      <c r="L21" s="7"/>
      <c r="M21" s="7"/>
      <c r="N21" s="7"/>
      <c r="O21" s="7"/>
      <c r="P21" s="7"/>
      <c r="Q21" s="7"/>
      <c r="R21" s="7"/>
      <c r="S21" s="7"/>
      <c r="T21" s="7"/>
      <c r="U21" s="7"/>
      <c r="V21" s="7"/>
      <c r="W21" s="7"/>
      <c r="X21" s="7"/>
      <c r="Y21" s="7"/>
      <c r="Z21" s="7"/>
      <c r="AA21" s="7"/>
      <c r="AB21" s="6"/>
      <c r="AC21" s="41"/>
      <c r="AD21" s="7"/>
      <c r="AE21" s="7"/>
      <c r="AF21" s="7"/>
      <c r="AG21" s="7"/>
      <c r="AH21" s="7"/>
      <c r="AI21" s="7"/>
      <c r="AJ21" s="7"/>
      <c r="AK21" s="7"/>
      <c r="AL21" s="7"/>
      <c r="AM21" s="7"/>
      <c r="AN21" s="7"/>
      <c r="AO21" s="7"/>
      <c r="AP21" s="7"/>
      <c r="AQ21" s="7"/>
      <c r="AR21" s="7"/>
      <c r="AS21" s="76"/>
      <c r="AT21" s="7"/>
      <c r="AU21" s="7"/>
      <c r="AV21" s="7"/>
      <c r="AW21" s="7"/>
      <c r="AX21" s="7"/>
      <c r="AY21" s="7"/>
      <c r="AZ21" s="7"/>
      <c r="BA21" s="7"/>
      <c r="BB21" s="7"/>
      <c r="BC21" s="7"/>
      <c r="BD21" s="7"/>
      <c r="BE21" s="7"/>
      <c r="BF21" s="3"/>
      <c r="BG21" s="3"/>
      <c r="BH21" s="3"/>
      <c r="BI21" s="3"/>
      <c r="BJ21" s="3"/>
      <c r="BK21" s="3"/>
      <c r="BL21" s="3"/>
      <c r="BM21" s="3"/>
      <c r="BN21" s="3"/>
      <c r="BO21" s="3"/>
      <c r="BP21" s="3"/>
      <c r="BQ21" s="3"/>
      <c r="BR21" s="3"/>
      <c r="BS21" s="3"/>
      <c r="BT21" s="3"/>
      <c r="BU21" s="3"/>
      <c r="BV21" s="3"/>
      <c r="BW21" s="3"/>
    </row>
    <row r="22" spans="1:75" x14ac:dyDescent="0.3">
      <c r="A22" s="70" t="s">
        <v>25</v>
      </c>
      <c r="B22" s="9" t="s">
        <v>26</v>
      </c>
      <c r="C22" s="7"/>
      <c r="D22" s="7"/>
      <c r="E22" s="7"/>
      <c r="F22" s="71"/>
      <c r="G22" s="51"/>
      <c r="H22" s="52"/>
      <c r="I22" s="53"/>
      <c r="J22" s="52"/>
      <c r="K22" s="53"/>
      <c r="L22" s="66"/>
      <c r="M22" s="23"/>
      <c r="N22" s="51"/>
      <c r="O22" s="52"/>
      <c r="P22" s="53"/>
      <c r="Q22" s="52"/>
      <c r="R22" s="53"/>
      <c r="S22" s="66"/>
      <c r="T22" s="3"/>
      <c r="U22" s="51"/>
      <c r="V22" s="52"/>
      <c r="W22" s="53"/>
      <c r="X22" s="52"/>
      <c r="Y22" s="53"/>
      <c r="Z22" s="66"/>
      <c r="AA22" s="3"/>
      <c r="AB22" s="62"/>
      <c r="AC22" s="52"/>
      <c r="AD22" s="7"/>
      <c r="AE22" s="7"/>
      <c r="AF22" s="88" t="str">
        <f>A22&amp;" "&amp;B22</f>
        <v>05 Indique la religión a la cual pertenece</v>
      </c>
      <c r="AG22" s="7"/>
      <c r="AH22" s="7"/>
      <c r="AI22" s="7"/>
      <c r="AJ22" s="7"/>
      <c r="AK22" s="7"/>
      <c r="AL22" s="7"/>
      <c r="AM22" s="7"/>
      <c r="AN22" s="7"/>
      <c r="AO22" s="7"/>
      <c r="AP22" s="7"/>
      <c r="AQ22" s="7"/>
      <c r="AR22" s="7"/>
      <c r="AS22" s="76"/>
      <c r="AT22" s="7"/>
      <c r="AU22" s="7"/>
      <c r="AV22" s="7"/>
      <c r="AW22" s="7"/>
      <c r="AX22" s="7"/>
      <c r="AY22" s="7"/>
      <c r="AZ22" s="7"/>
      <c r="BA22" s="7"/>
      <c r="BB22" s="7"/>
      <c r="BC22" s="7"/>
      <c r="BD22" s="7"/>
      <c r="BE22" s="7"/>
      <c r="BF22" s="3"/>
      <c r="BG22" s="3"/>
      <c r="BH22" s="3"/>
      <c r="BI22" s="3"/>
      <c r="BJ22" s="3"/>
      <c r="BK22" s="3"/>
      <c r="BL22" s="3"/>
      <c r="BM22" s="3"/>
      <c r="BN22" s="3"/>
      <c r="BO22" s="3"/>
      <c r="BP22" s="3"/>
      <c r="BQ22" s="3"/>
      <c r="BR22" s="3"/>
      <c r="BS22" s="3"/>
      <c r="BT22" s="3"/>
      <c r="BU22" s="3"/>
      <c r="BV22" s="3"/>
      <c r="BW22" s="3"/>
    </row>
    <row r="23" spans="1:75" x14ac:dyDescent="0.3">
      <c r="A23" s="8" t="s">
        <v>17</v>
      </c>
      <c r="B23" s="9" t="s">
        <v>27</v>
      </c>
      <c r="C23" s="7"/>
      <c r="D23" s="80"/>
      <c r="E23" s="7"/>
      <c r="F23" s="7"/>
      <c r="G23" s="51">
        <f>I23+K23</f>
        <v>34</v>
      </c>
      <c r="H23" s="52">
        <f>G23/$J$5*100</f>
        <v>80.952380952380949</v>
      </c>
      <c r="I23" s="53">
        <f>COUNTIFS('00 Encuesta'!$B$2:$B$511,"*f)*",'00 Encuesta'!$C$2:$C$511,"*a)*",'00 Encuesta'!$E$2:$E$511,"*a)*",'00 Encuesta'!$F$2:$F$511,"*a)*")</f>
        <v>18</v>
      </c>
      <c r="J23" s="52">
        <f>I23/$J$6*100</f>
        <v>81.818181818181827</v>
      </c>
      <c r="K23" s="53">
        <f>COUNTIFS('00 Encuesta'!$B$2:$B$511,"*f)*",'00 Encuesta'!$C$2:$C$511,"*a)*",'00 Encuesta'!$E$2:$E$511,"*b)*",'00 Encuesta'!$F$2:$F$511,"*a)*")</f>
        <v>16</v>
      </c>
      <c r="L23" s="52">
        <f>K23/$J$7*100</f>
        <v>80</v>
      </c>
      <c r="M23" s="23"/>
      <c r="N23" s="51">
        <f>P23+R23</f>
        <v>0</v>
      </c>
      <c r="O23" s="52" t="e">
        <f>N23/$Q$5*100</f>
        <v>#DIV/0!</v>
      </c>
      <c r="P23" s="53">
        <f>COUNTIFS('00 Encuesta'!$B$2:$B$511,"*f)*",'00 Encuesta'!$C$2:$C$511,"*b)*",'00 Encuesta'!$E$2:$E$511,"*a)*",'00 Encuesta'!$F$2:$F$511,"*a)*")</f>
        <v>0</v>
      </c>
      <c r="Q23" s="52" t="e">
        <f>P23/$Q$6*100</f>
        <v>#DIV/0!</v>
      </c>
      <c r="R23" s="53">
        <f>COUNTIFS('00 Encuesta'!$B$2:$B$511,"*f)*",'00 Encuesta'!$C$2:$C$511,"*b)*",'00 Encuesta'!$E$2:$E$511,"*b)*",'00 Encuesta'!$F$2:$F$511,"*a)*")</f>
        <v>0</v>
      </c>
      <c r="S23" s="52" t="e">
        <f>R23/$Q$7*100</f>
        <v>#DIV/0!</v>
      </c>
      <c r="T23" s="3"/>
      <c r="U23" s="51">
        <f>W23+Y23</f>
        <v>0</v>
      </c>
      <c r="V23" s="52" t="e">
        <f>U23/$X$5*100</f>
        <v>#DIV/0!</v>
      </c>
      <c r="W23" s="53">
        <f>COUNTIFS('00 Encuesta'!$B$2:$B$511,"*f)*",'00 Encuesta'!$C$2:$C$511,"*c)*",'00 Encuesta'!$E$2:$E$511,"*a)*",'00 Encuesta'!$F$2:$F$511,"*a)*")</f>
        <v>0</v>
      </c>
      <c r="X23" s="52" t="e">
        <f>W23/$X$6*100</f>
        <v>#DIV/0!</v>
      </c>
      <c r="Y23" s="53">
        <f>COUNTIFS('00 Encuesta'!$B$2:$B$511,"*f)*",'00 Encuesta'!$C$2:$C$511,"*c)*",'00 Encuesta'!$E$2:$E$511,"*b)*",'00 Encuesta'!$F$2:$F$511,"*a)*")</f>
        <v>0</v>
      </c>
      <c r="Z23" s="52" t="e">
        <f>Y23/$X$7*100</f>
        <v>#DIV/0!</v>
      </c>
      <c r="AA23" s="3"/>
      <c r="AB23" s="62">
        <f>G23+N23+U23</f>
        <v>34</v>
      </c>
      <c r="AC23" s="52">
        <f>AB23*100/$AC$5</f>
        <v>80.952380952380949</v>
      </c>
      <c r="AD23" s="7"/>
      <c r="AE23" s="7"/>
      <c r="AF23" s="9" t="str">
        <f>A23&amp;" "&amp;B23</f>
        <v>a) Católica</v>
      </c>
      <c r="AG23" s="72">
        <f>J23</f>
        <v>81.818181818181827</v>
      </c>
      <c r="AH23" s="72">
        <f>L23</f>
        <v>80</v>
      </c>
      <c r="AI23" s="73">
        <f>H23</f>
        <v>80.952380952380949</v>
      </c>
      <c r="AJ23" s="73"/>
      <c r="AK23" s="74" t="e">
        <f>Q23</f>
        <v>#DIV/0!</v>
      </c>
      <c r="AL23" s="74" t="e">
        <f>S23</f>
        <v>#DIV/0!</v>
      </c>
      <c r="AM23" s="74" t="e">
        <f>O23</f>
        <v>#DIV/0!</v>
      </c>
      <c r="AN23" s="74"/>
      <c r="AO23" s="75" t="e">
        <f>X23</f>
        <v>#DIV/0!</v>
      </c>
      <c r="AP23" s="75" t="e">
        <f>Z23</f>
        <v>#DIV/0!</v>
      </c>
      <c r="AQ23" s="75" t="e">
        <f>V23</f>
        <v>#DIV/0!</v>
      </c>
      <c r="AR23" s="7"/>
      <c r="AS23" s="76">
        <f t="shared" si="1"/>
        <v>80.952380952380949</v>
      </c>
      <c r="AT23" s="7"/>
      <c r="AU23" s="7"/>
      <c r="AV23" s="7"/>
      <c r="AW23" s="7"/>
      <c r="AX23" s="7"/>
      <c r="AY23" s="7"/>
      <c r="AZ23" s="7"/>
      <c r="BA23" s="7"/>
      <c r="BB23" s="7"/>
      <c r="BC23" s="7"/>
      <c r="BD23" s="7"/>
      <c r="BE23" s="7"/>
      <c r="BF23" s="3"/>
      <c r="BG23" s="3"/>
      <c r="BH23" s="3"/>
      <c r="BI23" s="3"/>
      <c r="BJ23" s="3"/>
      <c r="BK23" s="3"/>
      <c r="BL23" s="3"/>
      <c r="BM23" s="3"/>
      <c r="BN23" s="3"/>
      <c r="BO23" s="3"/>
      <c r="BP23" s="3"/>
      <c r="BQ23" s="3"/>
      <c r="BR23" s="3"/>
      <c r="BS23" s="3"/>
      <c r="BT23" s="3"/>
      <c r="BU23" s="3"/>
      <c r="BV23" s="3"/>
      <c r="BW23" s="3"/>
    </row>
    <row r="24" spans="1:75" x14ac:dyDescent="0.3">
      <c r="A24" s="8" t="s">
        <v>18</v>
      </c>
      <c r="B24" s="9" t="s">
        <v>28</v>
      </c>
      <c r="C24" s="80"/>
      <c r="D24" s="7"/>
      <c r="E24" s="80"/>
      <c r="F24" s="10"/>
      <c r="G24" s="51">
        <f>I24+K24</f>
        <v>7</v>
      </c>
      <c r="H24" s="52">
        <f>G24/$J$5*100</f>
        <v>16.666666666666664</v>
      </c>
      <c r="I24" s="53">
        <f>COUNTIFS('00 Encuesta'!$B$2:$B$511,"*f)*",'00 Encuesta'!$C$2:$C$511,"*a)*",'00 Encuesta'!$E$2:$E$511,"*a)*",'00 Encuesta'!$F$2:$F$511,"*b)*")</f>
        <v>3</v>
      </c>
      <c r="J24" s="52">
        <f>I24/$J$6*100</f>
        <v>13.636363636363635</v>
      </c>
      <c r="K24" s="53">
        <f>COUNTIFS('00 Encuesta'!$B$2:$B$511,"*f)*",'00 Encuesta'!$C$2:$C$511,"*a)*",'00 Encuesta'!$E$2:$E$511,"*b)*",'00 Encuesta'!$F$2:$F$511,"*b)*")</f>
        <v>4</v>
      </c>
      <c r="L24" s="52">
        <f>K24/$J$7*100</f>
        <v>20</v>
      </c>
      <c r="M24" s="23"/>
      <c r="N24" s="51">
        <f>P24+R24</f>
        <v>0</v>
      </c>
      <c r="O24" s="52" t="e">
        <f>N24/$Q$5*100</f>
        <v>#DIV/0!</v>
      </c>
      <c r="P24" s="53">
        <f>COUNTIFS('00 Encuesta'!$B$2:$B$511,"*f)*",'00 Encuesta'!$C$2:$C$511,"*b)*",'00 Encuesta'!$E$2:$E$511,"*a)*",'00 Encuesta'!$F$2:$F$511,"*b)*")</f>
        <v>0</v>
      </c>
      <c r="Q24" s="52" t="e">
        <f>P24/$Q$6*100</f>
        <v>#DIV/0!</v>
      </c>
      <c r="R24" s="53">
        <f>COUNTIFS('00 Encuesta'!$B$2:$B$511,"*f)*",'00 Encuesta'!$C$2:$C$511,"*b)*",'00 Encuesta'!$E$2:$E$511,"*b)*",'00 Encuesta'!$F$2:$F$511,"*b)*")</f>
        <v>0</v>
      </c>
      <c r="S24" s="52" t="e">
        <f>R24/$Q$7*100</f>
        <v>#DIV/0!</v>
      </c>
      <c r="T24" s="3"/>
      <c r="U24" s="51">
        <f>W24+Y24</f>
        <v>0</v>
      </c>
      <c r="V24" s="52" t="e">
        <f>U24/$X$5*100</f>
        <v>#DIV/0!</v>
      </c>
      <c r="W24" s="53">
        <f>COUNTIFS('00 Encuesta'!$B$2:$B$511,"*f)*",'00 Encuesta'!$C$2:$C$511,"*c)*",'00 Encuesta'!$E$2:$E$511,"*a)*",'00 Encuesta'!$F$2:$F$511,"*b)*")</f>
        <v>0</v>
      </c>
      <c r="X24" s="52" t="e">
        <f>W24/$X$6*100</f>
        <v>#DIV/0!</v>
      </c>
      <c r="Y24" s="53">
        <f>COUNTIFS('00 Encuesta'!$B$2:$B$511,"*f)*",'00 Encuesta'!$C$2:$C$511,"*c)*",'00 Encuesta'!$E$2:$E$511,"*b)*",'00 Encuesta'!$F$2:$F$511,"*b)*")</f>
        <v>0</v>
      </c>
      <c r="Z24" s="52" t="e">
        <f>Y24/$X$7*100</f>
        <v>#DIV/0!</v>
      </c>
      <c r="AA24" s="3"/>
      <c r="AB24" s="62">
        <f>G24+N24+U24</f>
        <v>7</v>
      </c>
      <c r="AC24" s="52">
        <f>AB24*100/$AC$5</f>
        <v>16.666666666666668</v>
      </c>
      <c r="AD24" s="7"/>
      <c r="AE24" s="7"/>
      <c r="AF24" s="9" t="str">
        <f>A24&amp;" "&amp;B24</f>
        <v>b) Evangélica</v>
      </c>
      <c r="AG24" s="72">
        <f>J24</f>
        <v>13.636363636363635</v>
      </c>
      <c r="AH24" s="72">
        <f>L24</f>
        <v>20</v>
      </c>
      <c r="AI24" s="73">
        <f>H24</f>
        <v>16.666666666666664</v>
      </c>
      <c r="AJ24" s="73"/>
      <c r="AK24" s="74" t="e">
        <f>Q24</f>
        <v>#DIV/0!</v>
      </c>
      <c r="AL24" s="74" t="e">
        <f>S24</f>
        <v>#DIV/0!</v>
      </c>
      <c r="AM24" s="74" t="e">
        <f>O24</f>
        <v>#DIV/0!</v>
      </c>
      <c r="AN24" s="74"/>
      <c r="AO24" s="75" t="e">
        <f>X24</f>
        <v>#DIV/0!</v>
      </c>
      <c r="AP24" s="75" t="e">
        <f>Z24</f>
        <v>#DIV/0!</v>
      </c>
      <c r="AQ24" s="75" t="e">
        <f>V24</f>
        <v>#DIV/0!</v>
      </c>
      <c r="AR24" s="7"/>
      <c r="AS24" s="76">
        <f t="shared" si="1"/>
        <v>16.666666666666668</v>
      </c>
      <c r="AT24" s="7"/>
      <c r="AU24" s="7"/>
      <c r="AV24" s="7"/>
      <c r="AW24" s="7"/>
      <c r="AX24" s="7"/>
      <c r="AY24" s="7"/>
      <c r="AZ24" s="7"/>
      <c r="BA24" s="7"/>
      <c r="BB24" s="7"/>
      <c r="BC24" s="7"/>
      <c r="BD24" s="7"/>
      <c r="BE24" s="7"/>
      <c r="BF24" s="3"/>
      <c r="BG24" s="3"/>
      <c r="BH24" s="3"/>
      <c r="BI24" s="3"/>
      <c r="BJ24" s="3"/>
      <c r="BK24" s="3"/>
      <c r="BL24" s="3"/>
      <c r="BM24" s="3"/>
      <c r="BN24" s="3"/>
      <c r="BO24" s="3"/>
      <c r="BP24" s="3"/>
      <c r="BQ24" s="3"/>
      <c r="BR24" s="3"/>
      <c r="BS24" s="3"/>
      <c r="BT24" s="3"/>
      <c r="BU24" s="3"/>
      <c r="BV24" s="3"/>
      <c r="BW24" s="3"/>
    </row>
    <row r="25" spans="1:75" x14ac:dyDescent="0.3">
      <c r="A25" s="8" t="s">
        <v>20</v>
      </c>
      <c r="B25" s="9" t="s">
        <v>29</v>
      </c>
      <c r="C25" s="7"/>
      <c r="D25" s="7"/>
      <c r="E25" s="7"/>
      <c r="F25" s="71"/>
      <c r="G25" s="51">
        <f>I25+K25</f>
        <v>0</v>
      </c>
      <c r="H25" s="52">
        <f>G25/$J$5*100</f>
        <v>0</v>
      </c>
      <c r="I25" s="53">
        <f>COUNTIFS('00 Encuesta'!$B$2:$B$511,"*f)*",'00 Encuesta'!$C$2:$C$511,"*a)*",'00 Encuesta'!$E$2:$E$511,"*a)*",'00 Encuesta'!$F$2:$F$511,"*c)*")</f>
        <v>0</v>
      </c>
      <c r="J25" s="52">
        <f>I25/$J$6*100</f>
        <v>0</v>
      </c>
      <c r="K25" s="53">
        <f>COUNTIFS('00 Encuesta'!$B$2:$B$511,"*f)*",'00 Encuesta'!$C$2:$C$511,"*a)*",'00 Encuesta'!$E$2:$E$511,"*b)*",'00 Encuesta'!$F$2:$F$511,"*c)*")</f>
        <v>0</v>
      </c>
      <c r="L25" s="52">
        <f>K25/$J$7*100</f>
        <v>0</v>
      </c>
      <c r="M25" s="23"/>
      <c r="N25" s="51">
        <f>P25+R25</f>
        <v>0</v>
      </c>
      <c r="O25" s="52" t="e">
        <f>N25/$Q$5*100</f>
        <v>#DIV/0!</v>
      </c>
      <c r="P25" s="53">
        <f>COUNTIFS('00 Encuesta'!$B$2:$B$511,"*f)*",'00 Encuesta'!$C$2:$C$511,"*b)*",'00 Encuesta'!$E$2:$E$511,"*a)*",'00 Encuesta'!$F$2:$F$511,"*c)*")</f>
        <v>0</v>
      </c>
      <c r="Q25" s="52" t="e">
        <f>P25/$Q$6*100</f>
        <v>#DIV/0!</v>
      </c>
      <c r="R25" s="53">
        <f>COUNTIFS('00 Encuesta'!$B$2:$B$511,"*f)*",'00 Encuesta'!$C$2:$C$511,"*b)*",'00 Encuesta'!$E$2:$E$511,"*b)*",'00 Encuesta'!$F$2:$F$511,"*c)*")</f>
        <v>0</v>
      </c>
      <c r="S25" s="52" t="e">
        <f>R25/$Q$7*100</f>
        <v>#DIV/0!</v>
      </c>
      <c r="T25" s="3"/>
      <c r="U25" s="51">
        <f>W25+Y25</f>
        <v>0</v>
      </c>
      <c r="V25" s="52" t="e">
        <f>U25/$X$5*100</f>
        <v>#DIV/0!</v>
      </c>
      <c r="W25" s="53">
        <f>COUNTIFS('00 Encuesta'!$B$2:$B$511,"*f)*",'00 Encuesta'!$C$2:$C$511,"*c)*",'00 Encuesta'!$E$2:$E$511,"*a)*",'00 Encuesta'!$F$2:$F$511,"*c)*")</f>
        <v>0</v>
      </c>
      <c r="X25" s="52" t="e">
        <f>W25/$X$6*100</f>
        <v>#DIV/0!</v>
      </c>
      <c r="Y25" s="53">
        <f>COUNTIFS('00 Encuesta'!$B$2:$B$511,"*f)*",'00 Encuesta'!$C$2:$C$511,"*c)*",'00 Encuesta'!$E$2:$E$511,"*b)*",'00 Encuesta'!$F$2:$F$511,"*c)*")</f>
        <v>0</v>
      </c>
      <c r="Z25" s="52" t="e">
        <f>Y25/$X$7*100</f>
        <v>#DIV/0!</v>
      </c>
      <c r="AA25" s="3"/>
      <c r="AB25" s="62">
        <f>G25+N25+U25</f>
        <v>0</v>
      </c>
      <c r="AC25" s="52">
        <f>AB25*100/$AC$5</f>
        <v>0</v>
      </c>
      <c r="AD25" s="7"/>
      <c r="AE25" s="7"/>
      <c r="AF25" s="9" t="str">
        <f>A25&amp;" "&amp;B25</f>
        <v>c) Musulmana</v>
      </c>
      <c r="AG25" s="72">
        <f>J25</f>
        <v>0</v>
      </c>
      <c r="AH25" s="72">
        <f>L25</f>
        <v>0</v>
      </c>
      <c r="AI25" s="73">
        <f>H25</f>
        <v>0</v>
      </c>
      <c r="AJ25" s="73"/>
      <c r="AK25" s="74" t="e">
        <f>Q25</f>
        <v>#DIV/0!</v>
      </c>
      <c r="AL25" s="74" t="e">
        <f>S25</f>
        <v>#DIV/0!</v>
      </c>
      <c r="AM25" s="74" t="e">
        <f>O25</f>
        <v>#DIV/0!</v>
      </c>
      <c r="AN25" s="74"/>
      <c r="AO25" s="75" t="e">
        <f>X25</f>
        <v>#DIV/0!</v>
      </c>
      <c r="AP25" s="75" t="e">
        <f>Z25</f>
        <v>#DIV/0!</v>
      </c>
      <c r="AQ25" s="75" t="e">
        <f>V25</f>
        <v>#DIV/0!</v>
      </c>
      <c r="AR25" s="7"/>
      <c r="AS25" s="76">
        <f t="shared" si="1"/>
        <v>0</v>
      </c>
      <c r="AT25" s="7"/>
      <c r="AU25" s="7"/>
      <c r="AV25" s="7"/>
      <c r="AW25" s="7"/>
      <c r="AX25" s="7"/>
      <c r="AY25" s="7"/>
      <c r="AZ25" s="7"/>
      <c r="BA25" s="7"/>
      <c r="BB25" s="7"/>
      <c r="BC25" s="7"/>
      <c r="BD25" s="7"/>
      <c r="BE25" s="7"/>
      <c r="BF25" s="3"/>
      <c r="BG25" s="3"/>
      <c r="BH25" s="3"/>
      <c r="BI25" s="3"/>
      <c r="BJ25" s="3"/>
      <c r="BK25" s="3"/>
      <c r="BL25" s="3"/>
      <c r="BM25" s="3"/>
      <c r="BN25" s="3"/>
      <c r="BO25" s="3"/>
      <c r="BP25" s="3"/>
      <c r="BQ25" s="3"/>
      <c r="BR25" s="3"/>
      <c r="BS25" s="3"/>
      <c r="BT25" s="3"/>
      <c r="BU25" s="3"/>
      <c r="BV25" s="3"/>
      <c r="BW25" s="3"/>
    </row>
    <row r="26" spans="1:75" x14ac:dyDescent="0.3">
      <c r="A26" s="8" t="s">
        <v>21</v>
      </c>
      <c r="B26" s="9" t="s">
        <v>30</v>
      </c>
      <c r="C26" s="7"/>
      <c r="D26" s="7"/>
      <c r="E26" s="7"/>
      <c r="F26" s="71"/>
      <c r="G26" s="51">
        <f>I26+K26</f>
        <v>1</v>
      </c>
      <c r="H26" s="52">
        <f>G26/$J$5*100</f>
        <v>2.3809523809523809</v>
      </c>
      <c r="I26" s="53">
        <f>COUNTIFS('00 Encuesta'!$B$2:$B$511,"*f)*",'00 Encuesta'!$C$2:$C$511,"*a)*",'00 Encuesta'!$E$2:$E$511,"*a)*",'00 Encuesta'!$F$2:$F$511,"*d)*")</f>
        <v>1</v>
      </c>
      <c r="J26" s="52">
        <f>I26/$J$6*100</f>
        <v>4.5454545454545459</v>
      </c>
      <c r="K26" s="53">
        <f>COUNTIFS('00 Encuesta'!$B$2:$B$511,"*f)*",'00 Encuesta'!$C$2:$C$511,"*a)*",'00 Encuesta'!$E$2:$E$511,"*b)*",'00 Encuesta'!$F$2:$F$511,"*d)*")</f>
        <v>0</v>
      </c>
      <c r="L26" s="52">
        <f>K26/$J$7*100</f>
        <v>0</v>
      </c>
      <c r="M26" s="23"/>
      <c r="N26" s="51">
        <f>P26+R26</f>
        <v>0</v>
      </c>
      <c r="O26" s="52" t="e">
        <f>N26/$Q$5*100</f>
        <v>#DIV/0!</v>
      </c>
      <c r="P26" s="53">
        <f>COUNTIFS('00 Encuesta'!$B$2:$B$511,"*f)*",'00 Encuesta'!$C$2:$C$511,"*b)*",'00 Encuesta'!$E$2:$E$511,"*a)*",'00 Encuesta'!$F$2:$F$511,"*d)*")</f>
        <v>0</v>
      </c>
      <c r="Q26" s="52" t="e">
        <f>P26/$Q$6*100</f>
        <v>#DIV/0!</v>
      </c>
      <c r="R26" s="53">
        <f>COUNTIFS('00 Encuesta'!$B$2:$B$511,"*f)*",'00 Encuesta'!$C$2:$C$511,"*b)*",'00 Encuesta'!$E$2:$E$511,"*b)*",'00 Encuesta'!$F$2:$F$511,"*d)*")</f>
        <v>0</v>
      </c>
      <c r="S26" s="52" t="e">
        <f>R26/$Q$7*100</f>
        <v>#DIV/0!</v>
      </c>
      <c r="T26" s="3"/>
      <c r="U26" s="51">
        <f>W26+Y26</f>
        <v>0</v>
      </c>
      <c r="V26" s="52" t="e">
        <f>U26/$X$5*100</f>
        <v>#DIV/0!</v>
      </c>
      <c r="W26" s="53">
        <f>COUNTIFS('00 Encuesta'!$B$2:$B$511,"*f)*",'00 Encuesta'!$C$2:$C$511,"*c)*",'00 Encuesta'!$E$2:$E$511,"*a)*",'00 Encuesta'!$F$2:$F$511,"*d)*")</f>
        <v>0</v>
      </c>
      <c r="X26" s="52" t="e">
        <f>W26/$X$6*100</f>
        <v>#DIV/0!</v>
      </c>
      <c r="Y26" s="53">
        <f>COUNTIFS('00 Encuesta'!$B$2:$B$511,"*f)*",'00 Encuesta'!$C$2:$C$511,"*c)*",'00 Encuesta'!$E$2:$E$511,"*b)*",'00 Encuesta'!$F$2:$F$511,"*d)*")</f>
        <v>0</v>
      </c>
      <c r="Z26" s="52" t="e">
        <f>Y26/$X$7*100</f>
        <v>#DIV/0!</v>
      </c>
      <c r="AA26" s="3"/>
      <c r="AB26" s="62">
        <f>G26+N26+U26</f>
        <v>1</v>
      </c>
      <c r="AC26" s="52">
        <f>AB26*100/$AC$5</f>
        <v>2.3809523809523809</v>
      </c>
      <c r="AD26" s="7"/>
      <c r="AE26" s="7"/>
      <c r="AF26" s="9" t="str">
        <f>A26&amp;" "&amp;B26</f>
        <v>d) Otra</v>
      </c>
      <c r="AG26" s="72">
        <f>J26</f>
        <v>4.5454545454545459</v>
      </c>
      <c r="AH26" s="72">
        <f>L26</f>
        <v>0</v>
      </c>
      <c r="AI26" s="73">
        <f>H26</f>
        <v>2.3809523809523809</v>
      </c>
      <c r="AJ26" s="73"/>
      <c r="AK26" s="74" t="e">
        <f>Q26</f>
        <v>#DIV/0!</v>
      </c>
      <c r="AL26" s="74" t="e">
        <f>S26</f>
        <v>#DIV/0!</v>
      </c>
      <c r="AM26" s="74" t="e">
        <f>O26</f>
        <v>#DIV/0!</v>
      </c>
      <c r="AN26" s="74"/>
      <c r="AO26" s="75" t="e">
        <f>X26</f>
        <v>#DIV/0!</v>
      </c>
      <c r="AP26" s="75" t="e">
        <f>Z26</f>
        <v>#DIV/0!</v>
      </c>
      <c r="AQ26" s="75" t="e">
        <f>V26</f>
        <v>#DIV/0!</v>
      </c>
      <c r="AR26" s="7"/>
      <c r="AS26" s="76">
        <f t="shared" si="1"/>
        <v>2.3809523809523809</v>
      </c>
      <c r="AT26" s="7"/>
      <c r="AU26" s="7"/>
      <c r="AV26" s="7"/>
      <c r="AW26" s="7"/>
      <c r="AX26" s="7"/>
      <c r="AY26" s="7"/>
      <c r="AZ26" s="7"/>
      <c r="BA26" s="7"/>
      <c r="BB26" s="7"/>
      <c r="BC26" s="7"/>
      <c r="BD26" s="7"/>
      <c r="BE26" s="7"/>
      <c r="BF26" s="3"/>
      <c r="BG26" s="3"/>
      <c r="BH26" s="3"/>
      <c r="BI26" s="3"/>
      <c r="BJ26" s="3"/>
      <c r="BK26" s="3"/>
      <c r="BL26" s="3"/>
      <c r="BM26" s="3"/>
      <c r="BN26" s="3"/>
      <c r="BO26" s="3"/>
      <c r="BP26" s="3"/>
      <c r="BQ26" s="3"/>
      <c r="BR26" s="3"/>
      <c r="BS26" s="3"/>
      <c r="BT26" s="3"/>
      <c r="BU26" s="3"/>
      <c r="BV26" s="3"/>
      <c r="BW26" s="3"/>
    </row>
    <row r="27" spans="1:75" x14ac:dyDescent="0.3">
      <c r="A27" s="8" t="s">
        <v>23</v>
      </c>
      <c r="B27" s="9" t="s">
        <v>24</v>
      </c>
      <c r="C27" s="7"/>
      <c r="D27" s="7"/>
      <c r="E27" s="7"/>
      <c r="F27" s="71"/>
      <c r="G27" s="51">
        <f>I27+K27</f>
        <v>0</v>
      </c>
      <c r="H27" s="52">
        <f>G27/$J$5*100</f>
        <v>0</v>
      </c>
      <c r="I27" s="53"/>
      <c r="J27" s="52">
        <f>I27/$J$6*100</f>
        <v>0</v>
      </c>
      <c r="K27" s="53"/>
      <c r="L27" s="52">
        <f>K27/$J$7*100</f>
        <v>0</v>
      </c>
      <c r="M27" s="23"/>
      <c r="N27" s="51">
        <f>P27+R27</f>
        <v>0</v>
      </c>
      <c r="O27" s="52" t="e">
        <f>N27/$Q$5*100</f>
        <v>#DIV/0!</v>
      </c>
      <c r="P27" s="53"/>
      <c r="Q27" s="52" t="e">
        <f>P27/$Q$6*100</f>
        <v>#DIV/0!</v>
      </c>
      <c r="R27" s="53"/>
      <c r="S27" s="52" t="e">
        <f>R27/$Q$7*100</f>
        <v>#DIV/0!</v>
      </c>
      <c r="T27" s="3"/>
      <c r="U27" s="51">
        <f>W27+Y27</f>
        <v>0</v>
      </c>
      <c r="V27" s="52" t="e">
        <f>U27/$X$5*100</f>
        <v>#DIV/0!</v>
      </c>
      <c r="W27" s="53"/>
      <c r="X27" s="52" t="e">
        <f>W27/$X$6*100</f>
        <v>#DIV/0!</v>
      </c>
      <c r="Y27" s="53"/>
      <c r="Z27" s="52" t="e">
        <f>Y27/$X$7*100</f>
        <v>#DIV/0!</v>
      </c>
      <c r="AA27" s="3"/>
      <c r="AB27" s="62">
        <f>G27+N27+U27</f>
        <v>0</v>
      </c>
      <c r="AC27" s="52">
        <f>AB27*100/$AC$5</f>
        <v>0</v>
      </c>
      <c r="AD27" s="7"/>
      <c r="AE27" s="7"/>
      <c r="AF27" s="9"/>
      <c r="AG27" s="72"/>
      <c r="AH27" s="72"/>
      <c r="AI27" s="73"/>
      <c r="AJ27" s="73"/>
      <c r="AK27" s="74"/>
      <c r="AL27" s="74"/>
      <c r="AM27" s="74"/>
      <c r="AN27" s="74"/>
      <c r="AO27" s="75"/>
      <c r="AP27" s="75"/>
      <c r="AQ27" s="75"/>
      <c r="AR27" s="7"/>
      <c r="AS27" s="76"/>
      <c r="AT27" s="7"/>
      <c r="AU27" s="7"/>
      <c r="AV27" s="7"/>
      <c r="AW27" s="7"/>
      <c r="AX27" s="7"/>
      <c r="AY27" s="7"/>
      <c r="AZ27" s="7"/>
      <c r="BA27" s="7"/>
      <c r="BB27" s="7"/>
      <c r="BC27" s="7"/>
      <c r="BD27" s="7"/>
      <c r="BE27" s="7"/>
      <c r="BF27" s="3"/>
      <c r="BG27" s="3"/>
      <c r="BH27" s="3"/>
      <c r="BI27" s="3"/>
      <c r="BJ27" s="3"/>
      <c r="BK27" s="3"/>
      <c r="BL27" s="3"/>
      <c r="BM27" s="3"/>
      <c r="BN27" s="3"/>
      <c r="BO27" s="3"/>
      <c r="BP27" s="3"/>
      <c r="BQ27" s="3"/>
      <c r="BR27" s="3"/>
      <c r="BS27" s="3"/>
      <c r="BT27" s="3"/>
      <c r="BU27" s="3"/>
      <c r="BV27" s="3"/>
      <c r="BW27" s="3"/>
    </row>
    <row r="28" spans="1:75" x14ac:dyDescent="0.3">
      <c r="A28" s="70"/>
      <c r="B28" s="9"/>
      <c r="C28" s="7"/>
      <c r="D28" s="7"/>
      <c r="E28" s="7"/>
      <c r="F28" s="7"/>
      <c r="G28" s="7"/>
      <c r="H28" s="7"/>
      <c r="I28" s="7"/>
      <c r="J28" s="7"/>
      <c r="K28" s="7"/>
      <c r="L28" s="7"/>
      <c r="M28" s="7"/>
      <c r="N28" s="7"/>
      <c r="O28" s="7"/>
      <c r="P28" s="7"/>
      <c r="Q28" s="7"/>
      <c r="R28" s="7"/>
      <c r="S28" s="7"/>
      <c r="T28" s="7"/>
      <c r="U28" s="7"/>
      <c r="V28" s="7"/>
      <c r="W28" s="7"/>
      <c r="X28" s="7"/>
      <c r="Y28" s="7"/>
      <c r="Z28" s="7"/>
      <c r="AA28" s="7"/>
      <c r="AB28" s="6"/>
      <c r="AC28" s="41"/>
      <c r="AD28" s="7"/>
      <c r="AE28" s="7"/>
      <c r="AF28" s="7"/>
      <c r="AG28" s="74"/>
      <c r="AH28" s="74"/>
      <c r="AI28" s="74"/>
      <c r="AJ28" s="74"/>
      <c r="AK28" s="74"/>
      <c r="AL28" s="74"/>
      <c r="AM28" s="74"/>
      <c r="AN28" s="74"/>
      <c r="AO28" s="74"/>
      <c r="AP28" s="74"/>
      <c r="AQ28" s="74"/>
      <c r="AR28" s="7"/>
      <c r="AS28" s="76"/>
      <c r="AT28" s="7"/>
      <c r="AU28" s="7"/>
      <c r="AV28" s="7"/>
      <c r="AW28" s="7"/>
      <c r="AX28" s="7"/>
      <c r="AY28" s="7"/>
      <c r="AZ28" s="7"/>
      <c r="BA28" s="7"/>
      <c r="BB28" s="7"/>
      <c r="BC28" s="7"/>
      <c r="BD28" s="7"/>
      <c r="BE28" s="7"/>
      <c r="BF28" s="3"/>
      <c r="BG28" s="3"/>
      <c r="BH28" s="3"/>
      <c r="BI28" s="3"/>
      <c r="BJ28" s="3"/>
      <c r="BK28" s="3"/>
      <c r="BL28" s="3"/>
      <c r="BM28" s="3"/>
      <c r="BN28" s="3"/>
      <c r="BO28" s="3"/>
      <c r="BP28" s="3"/>
      <c r="BQ28" s="3"/>
      <c r="BR28" s="3"/>
      <c r="BS28" s="3"/>
      <c r="BT28" s="3"/>
      <c r="BU28" s="3"/>
      <c r="BV28" s="3"/>
      <c r="BW28" s="3"/>
    </row>
    <row r="29" spans="1:75" x14ac:dyDescent="0.3">
      <c r="A29" s="70" t="s">
        <v>31</v>
      </c>
      <c r="B29" s="9" t="s">
        <v>32</v>
      </c>
      <c r="C29" s="7"/>
      <c r="D29" s="7"/>
      <c r="E29" s="7"/>
      <c r="F29" s="71"/>
      <c r="G29" s="51"/>
      <c r="H29" s="52"/>
      <c r="I29" s="53"/>
      <c r="J29" s="52"/>
      <c r="K29" s="53"/>
      <c r="L29" s="66"/>
      <c r="M29" s="23"/>
      <c r="N29" s="51"/>
      <c r="O29" s="52"/>
      <c r="P29" s="53"/>
      <c r="Q29" s="52"/>
      <c r="R29" s="53"/>
      <c r="S29" s="66"/>
      <c r="T29" s="3"/>
      <c r="U29" s="51"/>
      <c r="V29" s="52"/>
      <c r="W29" s="53"/>
      <c r="X29" s="52"/>
      <c r="Y29" s="53"/>
      <c r="Z29" s="66"/>
      <c r="AA29" s="3"/>
      <c r="AB29" s="62"/>
      <c r="AC29" s="52"/>
      <c r="AD29" s="7"/>
      <c r="AE29" s="7"/>
      <c r="AF29" s="88" t="str">
        <f>A29&amp;" "&amp;B29</f>
        <v>06 ¿Con que personas convives actualmente? (V/R)</v>
      </c>
      <c r="AG29" s="74"/>
      <c r="AH29" s="74"/>
      <c r="AI29" s="74"/>
      <c r="AJ29" s="74"/>
      <c r="AK29" s="74"/>
      <c r="AL29" s="74"/>
      <c r="AM29" s="74"/>
      <c r="AN29" s="74"/>
      <c r="AO29" s="74"/>
      <c r="AP29" s="74"/>
      <c r="AQ29" s="74"/>
      <c r="AR29" s="7"/>
      <c r="AS29" s="76"/>
      <c r="AT29" s="7"/>
      <c r="AU29" s="7"/>
      <c r="AV29" s="7"/>
      <c r="AW29" s="7"/>
      <c r="AX29" s="7"/>
      <c r="AY29" s="7"/>
      <c r="AZ29" s="7"/>
      <c r="BA29" s="7"/>
      <c r="BB29" s="7"/>
      <c r="BC29" s="7"/>
      <c r="BD29" s="7"/>
      <c r="BE29" s="7"/>
      <c r="BF29" s="3"/>
      <c r="BG29" s="3"/>
      <c r="BH29" s="3"/>
      <c r="BI29" s="3"/>
      <c r="BJ29" s="3"/>
      <c r="BK29" s="3"/>
      <c r="BL29" s="3"/>
      <c r="BM29" s="3"/>
      <c r="BN29" s="3"/>
      <c r="BO29" s="3"/>
      <c r="BP29" s="3"/>
      <c r="BQ29" s="3"/>
      <c r="BR29" s="3"/>
      <c r="BS29" s="3"/>
      <c r="BT29" s="3"/>
      <c r="BU29" s="3"/>
      <c r="BV29" s="3"/>
      <c r="BW29" s="3"/>
    </row>
    <row r="30" spans="1:75" x14ac:dyDescent="0.3">
      <c r="A30" s="8" t="s">
        <v>17</v>
      </c>
      <c r="B30" s="9" t="s">
        <v>33</v>
      </c>
      <c r="C30" s="7"/>
      <c r="D30" s="7"/>
      <c r="E30" s="7"/>
      <c r="F30" s="71"/>
      <c r="G30" s="51">
        <f t="shared" ref="G30:G35" si="2">I30+K30</f>
        <v>36</v>
      </c>
      <c r="H30" s="52">
        <f t="shared" ref="H30:H35" si="3">G30/$J$5*100</f>
        <v>85.714285714285708</v>
      </c>
      <c r="I30" s="53">
        <f>COUNTIFS('00 Encuesta'!$B$2:$B$511,"*f)*",'00 Encuesta'!$C$2:$C$511,"*a)*",'00 Encuesta'!$E$2:$E$511,"*a)*",'00 Encuesta'!$G$2:$G$511,"*a)*")</f>
        <v>18</v>
      </c>
      <c r="J30" s="52">
        <f t="shared" ref="J30:J35" si="4">I30/$J$6*100</f>
        <v>81.818181818181827</v>
      </c>
      <c r="K30" s="53">
        <f>COUNTIFS('00 Encuesta'!$B$2:$B$511,"*f)*",'00 Encuesta'!$C$2:$C$511,"*a)*",'00 Encuesta'!$E$2:$E$511,"*b)*",'00 Encuesta'!$G$2:$G$511,"*a)*")</f>
        <v>18</v>
      </c>
      <c r="L30" s="52">
        <f>K30/$J$7*100</f>
        <v>90</v>
      </c>
      <c r="M30" s="23"/>
      <c r="N30" s="51">
        <f>P30+R30</f>
        <v>0</v>
      </c>
      <c r="O30" s="52" t="e">
        <f>N30/$Q$5*100</f>
        <v>#DIV/0!</v>
      </c>
      <c r="P30" s="53">
        <f>COUNTIFS('00 Encuesta'!$B$2:$B$511,"*f)*",'00 Encuesta'!$C$2:$C$511,"*b)*",'00 Encuesta'!$E$2:$E$511,"*a)*",'00 Encuesta'!$G$2:$G$511,"*a)*")</f>
        <v>0</v>
      </c>
      <c r="Q30" s="52" t="e">
        <f>P30/$Q$6*100</f>
        <v>#DIV/0!</v>
      </c>
      <c r="R30" s="53">
        <f>COUNTIFS('00 Encuesta'!$B$2:$B$511,"*f)*",'00 Encuesta'!$C$2:$C$511,"*b)*",'00 Encuesta'!$E$2:$E$511,"*b)*",'00 Encuesta'!$G$2:$G$511,"*a)*")</f>
        <v>0</v>
      </c>
      <c r="S30" s="52" t="e">
        <f>R30/$Q$7*100</f>
        <v>#DIV/0!</v>
      </c>
      <c r="T30" s="3"/>
      <c r="U30" s="51">
        <f>W30+Y30</f>
        <v>0</v>
      </c>
      <c r="V30" s="52" t="e">
        <f>U30/$X$5*100</f>
        <v>#DIV/0!</v>
      </c>
      <c r="W30" s="53">
        <f>COUNTIFS('00 Encuesta'!$B$2:$B$511,"*f)*",'00 Encuesta'!$C$2:$C$511,"*c)*",'00 Encuesta'!$E$2:$E$511,"*a)*",'00 Encuesta'!$G$2:$G$511,"*a)*")</f>
        <v>0</v>
      </c>
      <c r="X30" s="52" t="e">
        <f>W30/$X$6*100</f>
        <v>#DIV/0!</v>
      </c>
      <c r="Y30" s="53">
        <f>COUNTIFS('00 Encuesta'!$B$2:$B$511,"*f)*",'00 Encuesta'!$C$2:$C$511,"*c)*",'00 Encuesta'!$E$2:$E$511,"*b)*",'00 Encuesta'!$G$2:$G$511,"*a)*")</f>
        <v>0</v>
      </c>
      <c r="Z30" s="52" t="e">
        <f t="shared" ref="Z30:Z35" si="5">Y30/$X$7*100</f>
        <v>#DIV/0!</v>
      </c>
      <c r="AA30" s="3"/>
      <c r="AB30" s="62">
        <f t="shared" ref="AB30:AB64" si="6">G30+N30+U30</f>
        <v>36</v>
      </c>
      <c r="AC30" s="52">
        <f t="shared" ref="AC30:AC35" si="7">AB30*100/$AC$5</f>
        <v>85.714285714285708</v>
      </c>
      <c r="AD30" s="7"/>
      <c r="AE30" s="7"/>
      <c r="AF30" s="9" t="str">
        <f t="shared" ref="AF30:AF35" si="8">A30&amp;" "&amp;B30</f>
        <v>a) Mamá</v>
      </c>
      <c r="AG30" s="72">
        <f t="shared" ref="AG30:AG35" si="9">J30</f>
        <v>81.818181818181827</v>
      </c>
      <c r="AH30" s="72">
        <f t="shared" ref="AH30:AH35" si="10">L30</f>
        <v>90</v>
      </c>
      <c r="AI30" s="73">
        <f t="shared" ref="AI30:AI35" si="11">H30</f>
        <v>85.714285714285708</v>
      </c>
      <c r="AJ30" s="73"/>
      <c r="AK30" s="74" t="e">
        <f t="shared" ref="AK30:AK35" si="12">Q30</f>
        <v>#DIV/0!</v>
      </c>
      <c r="AL30" s="74" t="e">
        <f t="shared" ref="AL30:AL35" si="13">S30</f>
        <v>#DIV/0!</v>
      </c>
      <c r="AM30" s="74" t="e">
        <f t="shared" ref="AM30:AM35" si="14">O30</f>
        <v>#DIV/0!</v>
      </c>
      <c r="AN30" s="74"/>
      <c r="AO30" s="75" t="e">
        <f t="shared" ref="AO30:AO35" si="15">X30</f>
        <v>#DIV/0!</v>
      </c>
      <c r="AP30" s="75" t="e">
        <f t="shared" ref="AP30:AP35" si="16">Z30</f>
        <v>#DIV/0!</v>
      </c>
      <c r="AQ30" s="75" t="e">
        <f t="shared" ref="AQ30:AQ35" si="17">V30</f>
        <v>#DIV/0!</v>
      </c>
      <c r="AR30" s="7"/>
      <c r="AS30" s="76">
        <f t="shared" si="1"/>
        <v>85.714285714285708</v>
      </c>
      <c r="AT30" s="7"/>
      <c r="AU30" s="7"/>
      <c r="AV30" s="7"/>
      <c r="AW30" s="7"/>
      <c r="AX30" s="7"/>
      <c r="AY30" s="7"/>
      <c r="AZ30" s="7"/>
      <c r="BA30" s="7"/>
      <c r="BB30" s="7"/>
      <c r="BC30" s="7"/>
      <c r="BD30" s="7"/>
      <c r="BE30" s="7"/>
      <c r="BF30" s="3"/>
      <c r="BG30" s="3"/>
      <c r="BH30" s="3"/>
      <c r="BI30" s="3"/>
      <c r="BJ30" s="3"/>
      <c r="BK30" s="3"/>
      <c r="BL30" s="3"/>
      <c r="BM30" s="3"/>
      <c r="BN30" s="3"/>
      <c r="BO30" s="3"/>
      <c r="BP30" s="3"/>
      <c r="BQ30" s="3"/>
      <c r="BR30" s="3"/>
      <c r="BS30" s="3"/>
      <c r="BT30" s="3"/>
      <c r="BU30" s="3"/>
      <c r="BV30" s="3"/>
      <c r="BW30" s="3"/>
    </row>
    <row r="31" spans="1:75" x14ac:dyDescent="0.3">
      <c r="A31" s="8" t="s">
        <v>18</v>
      </c>
      <c r="B31" s="9" t="s">
        <v>34</v>
      </c>
      <c r="C31" s="80"/>
      <c r="D31" s="7"/>
      <c r="E31" s="80"/>
      <c r="F31" s="10"/>
      <c r="G31" s="51">
        <f t="shared" si="2"/>
        <v>35</v>
      </c>
      <c r="H31" s="52">
        <f t="shared" si="3"/>
        <v>83.333333333333343</v>
      </c>
      <c r="I31" s="53">
        <f>COUNTIFS('00 Encuesta'!$B$2:$B$511,"*f)*",'00 Encuesta'!$C$2:$C$511,"*a)*",'00 Encuesta'!$E$2:$E$511,"*a)*",'00 Encuesta'!$G$2:$G$511,"*b)*")</f>
        <v>21</v>
      </c>
      <c r="J31" s="52">
        <f t="shared" si="4"/>
        <v>95.454545454545453</v>
      </c>
      <c r="K31" s="53">
        <f>COUNTIFS('00 Encuesta'!$B$2:$B$511,"*f)*",'00 Encuesta'!$C$2:$C$511,"*a)*",'00 Encuesta'!$E$2:$E$511,"*b)*",'00 Encuesta'!$G$2:$G$511,"*b)*")</f>
        <v>14</v>
      </c>
      <c r="L31" s="52">
        <f>K31/$J$7*100</f>
        <v>70</v>
      </c>
      <c r="M31" s="23"/>
      <c r="N31" s="51">
        <f>P31+R31</f>
        <v>0</v>
      </c>
      <c r="O31" s="52" t="e">
        <f>N31/$Q$5*100</f>
        <v>#DIV/0!</v>
      </c>
      <c r="P31" s="53">
        <f>COUNTIFS('00 Encuesta'!$B$2:$B$511,"*f)*",'00 Encuesta'!$C$2:$C$511,"*b)*",'00 Encuesta'!$E$2:$E$511,"*a)*",'00 Encuesta'!$G$2:$G$511,"*b)*")</f>
        <v>0</v>
      </c>
      <c r="Q31" s="52" t="e">
        <f>P31/$Q$6*100</f>
        <v>#DIV/0!</v>
      </c>
      <c r="R31" s="53">
        <f>COUNTIFS('00 Encuesta'!$B$2:$B$511,"*f)*",'00 Encuesta'!$C$2:$C$511,"*b)*",'00 Encuesta'!$E$2:$E$511,"*b)*",'00 Encuesta'!$G$2:$G$511,"*b)*")</f>
        <v>0</v>
      </c>
      <c r="S31" s="52" t="e">
        <f>R31/$Q$7*100</f>
        <v>#DIV/0!</v>
      </c>
      <c r="T31" s="3"/>
      <c r="U31" s="51">
        <f>W31+Y31</f>
        <v>0</v>
      </c>
      <c r="V31" s="52" t="e">
        <f>U31/$X$5*100</f>
        <v>#DIV/0!</v>
      </c>
      <c r="W31" s="53">
        <f>COUNTIFS('00 Encuesta'!$B$2:$B$511,"*f)*",'00 Encuesta'!$C$2:$C$511,"*c)*",'00 Encuesta'!$E$2:$E$511,"*a)*",'00 Encuesta'!$G$2:$G$511,"*b)*")</f>
        <v>0</v>
      </c>
      <c r="X31" s="52" t="e">
        <f>W31/$X$6*100</f>
        <v>#DIV/0!</v>
      </c>
      <c r="Y31" s="53">
        <f>COUNTIFS('00 Encuesta'!$B$2:$B$511,"*f)*",'00 Encuesta'!$C$2:$C$511,"*c)*",'00 Encuesta'!$E$2:$E$511,"*b)*",'00 Encuesta'!$G$2:$G$511,"*b)*")</f>
        <v>0</v>
      </c>
      <c r="Z31" s="52" t="e">
        <f t="shared" si="5"/>
        <v>#DIV/0!</v>
      </c>
      <c r="AA31" s="3"/>
      <c r="AB31" s="62">
        <f t="shared" si="6"/>
        <v>35</v>
      </c>
      <c r="AC31" s="52">
        <f t="shared" si="7"/>
        <v>83.333333333333329</v>
      </c>
      <c r="AD31" s="7"/>
      <c r="AE31" s="7"/>
      <c r="AF31" s="9" t="str">
        <f t="shared" si="8"/>
        <v>b) Papá</v>
      </c>
      <c r="AG31" s="72">
        <f t="shared" si="9"/>
        <v>95.454545454545453</v>
      </c>
      <c r="AH31" s="72">
        <f t="shared" si="10"/>
        <v>70</v>
      </c>
      <c r="AI31" s="73">
        <f t="shared" si="11"/>
        <v>83.333333333333343</v>
      </c>
      <c r="AJ31" s="73"/>
      <c r="AK31" s="74" t="e">
        <f t="shared" si="12"/>
        <v>#DIV/0!</v>
      </c>
      <c r="AL31" s="74" t="e">
        <f t="shared" si="13"/>
        <v>#DIV/0!</v>
      </c>
      <c r="AM31" s="74" t="e">
        <f t="shared" si="14"/>
        <v>#DIV/0!</v>
      </c>
      <c r="AN31" s="74"/>
      <c r="AO31" s="75" t="e">
        <f t="shared" si="15"/>
        <v>#DIV/0!</v>
      </c>
      <c r="AP31" s="75" t="e">
        <f t="shared" si="16"/>
        <v>#DIV/0!</v>
      </c>
      <c r="AQ31" s="75" t="e">
        <f t="shared" si="17"/>
        <v>#DIV/0!</v>
      </c>
      <c r="AR31" s="7"/>
      <c r="AS31" s="76">
        <f t="shared" si="1"/>
        <v>83.333333333333329</v>
      </c>
      <c r="AT31" s="7"/>
      <c r="AU31" s="7"/>
      <c r="AV31" s="7"/>
      <c r="AW31" s="7"/>
      <c r="AX31" s="7"/>
      <c r="AY31" s="7"/>
      <c r="AZ31" s="7"/>
      <c r="BA31" s="7"/>
      <c r="BB31" s="7"/>
      <c r="BC31" s="7"/>
      <c r="BD31" s="7"/>
      <c r="BE31" s="7"/>
      <c r="BF31" s="3"/>
      <c r="BG31" s="3"/>
      <c r="BH31" s="3"/>
      <c r="BI31" s="3"/>
      <c r="BJ31" s="3"/>
      <c r="BK31" s="3"/>
      <c r="BL31" s="3"/>
      <c r="BM31" s="3"/>
      <c r="BN31" s="3"/>
      <c r="BO31" s="3"/>
      <c r="BP31" s="3"/>
      <c r="BQ31" s="3"/>
      <c r="BR31" s="3"/>
      <c r="BS31" s="3"/>
      <c r="BT31" s="3"/>
      <c r="BU31" s="3"/>
      <c r="BV31" s="3"/>
      <c r="BW31" s="3"/>
    </row>
    <row r="32" spans="1:75" x14ac:dyDescent="0.3">
      <c r="A32" s="8" t="s">
        <v>20</v>
      </c>
      <c r="B32" s="9" t="s">
        <v>35</v>
      </c>
      <c r="C32" s="80"/>
      <c r="D32" s="7"/>
      <c r="E32" s="80"/>
      <c r="F32" s="10"/>
      <c r="G32" s="51">
        <f t="shared" si="2"/>
        <v>27</v>
      </c>
      <c r="H32" s="52">
        <f t="shared" si="3"/>
        <v>64.285714285714292</v>
      </c>
      <c r="I32" s="53">
        <f>COUNTIFS('00 Encuesta'!$B$2:$B$511,"*f)*",'00 Encuesta'!$C$2:$C$511,"*a)*",'00 Encuesta'!$E$2:$E$511,"*a)*",'00 Encuesta'!$G$2:$G$511,"*c)*")</f>
        <v>15</v>
      </c>
      <c r="J32" s="52">
        <f t="shared" si="4"/>
        <v>68.181818181818173</v>
      </c>
      <c r="K32" s="53">
        <f>COUNTIFS('00 Encuesta'!$B$2:$B$511,"*f)*",'00 Encuesta'!$C$2:$C$511,"*a)*",'00 Encuesta'!$E$2:$E$511,"*b)*",'00 Encuesta'!$G$2:$G$511,"*c)*")</f>
        <v>12</v>
      </c>
      <c r="L32" s="52">
        <f>K32/$J$7*100</f>
        <v>60</v>
      </c>
      <c r="M32" s="23"/>
      <c r="N32" s="51">
        <f>P32+R32</f>
        <v>0</v>
      </c>
      <c r="O32" s="52" t="e">
        <f>N32/$Q$5*100</f>
        <v>#DIV/0!</v>
      </c>
      <c r="P32" s="53">
        <f>COUNTIFS('00 Encuesta'!$B$2:$B$511,"*f)*",'00 Encuesta'!$C$2:$C$511,"*b)*",'00 Encuesta'!$E$2:$E$511,"*a)*",'00 Encuesta'!$G$2:$G$511,"*c)*")</f>
        <v>0</v>
      </c>
      <c r="Q32" s="52" t="e">
        <f>P32/$Q$6*100</f>
        <v>#DIV/0!</v>
      </c>
      <c r="R32" s="53">
        <f>COUNTIFS('00 Encuesta'!$B$2:$B$511,"*f)*",'00 Encuesta'!$C$2:$C$511,"*b)*",'00 Encuesta'!$E$2:$E$511,"*b)*",'00 Encuesta'!$G$2:$G$511,"*c)*")</f>
        <v>0</v>
      </c>
      <c r="S32" s="52" t="e">
        <f>R32/$Q$7*100</f>
        <v>#DIV/0!</v>
      </c>
      <c r="T32" s="3"/>
      <c r="U32" s="51">
        <f>W32+Y32</f>
        <v>0</v>
      </c>
      <c r="V32" s="52" t="e">
        <f>U32/$X$5*100</f>
        <v>#DIV/0!</v>
      </c>
      <c r="W32" s="53">
        <f>COUNTIFS('00 Encuesta'!$B$2:$B$511,"*f)*",'00 Encuesta'!$C$2:$C$511,"*c)*",'00 Encuesta'!$E$2:$E$511,"*a)*",'00 Encuesta'!$G$2:$G$511,"*c)*")</f>
        <v>0</v>
      </c>
      <c r="X32" s="52" t="e">
        <f>W32/$X$6*100</f>
        <v>#DIV/0!</v>
      </c>
      <c r="Y32" s="53">
        <f>COUNTIFS('00 Encuesta'!$B$2:$B$511,"*f)*",'00 Encuesta'!$C$2:$C$511,"*c)*",'00 Encuesta'!$E$2:$E$511,"*b)*",'00 Encuesta'!$G$2:$G$511,"*c)*")</f>
        <v>0</v>
      </c>
      <c r="Z32" s="52" t="e">
        <f t="shared" si="5"/>
        <v>#DIV/0!</v>
      </c>
      <c r="AA32" s="3"/>
      <c r="AB32" s="62">
        <f t="shared" si="6"/>
        <v>27</v>
      </c>
      <c r="AC32" s="52">
        <f t="shared" si="7"/>
        <v>64.285714285714292</v>
      </c>
      <c r="AD32" s="7"/>
      <c r="AE32" s="7"/>
      <c r="AF32" s="9" t="str">
        <f t="shared" si="8"/>
        <v>c) Hermanos</v>
      </c>
      <c r="AG32" s="72">
        <f t="shared" si="9"/>
        <v>68.181818181818173</v>
      </c>
      <c r="AH32" s="72">
        <f t="shared" si="10"/>
        <v>60</v>
      </c>
      <c r="AI32" s="73">
        <f t="shared" si="11"/>
        <v>64.285714285714292</v>
      </c>
      <c r="AJ32" s="73"/>
      <c r="AK32" s="74" t="e">
        <f t="shared" si="12"/>
        <v>#DIV/0!</v>
      </c>
      <c r="AL32" s="74" t="e">
        <f t="shared" si="13"/>
        <v>#DIV/0!</v>
      </c>
      <c r="AM32" s="74" t="e">
        <f t="shared" si="14"/>
        <v>#DIV/0!</v>
      </c>
      <c r="AN32" s="74"/>
      <c r="AO32" s="75" t="e">
        <f t="shared" si="15"/>
        <v>#DIV/0!</v>
      </c>
      <c r="AP32" s="75" t="e">
        <f t="shared" si="16"/>
        <v>#DIV/0!</v>
      </c>
      <c r="AQ32" s="75" t="e">
        <f t="shared" si="17"/>
        <v>#DIV/0!</v>
      </c>
      <c r="AR32" s="7"/>
      <c r="AS32" s="76">
        <f t="shared" si="1"/>
        <v>64.285714285714292</v>
      </c>
      <c r="AT32" s="7"/>
      <c r="AU32" s="7"/>
      <c r="AV32" s="7"/>
      <c r="AW32" s="7"/>
      <c r="AX32" s="7"/>
      <c r="AY32" s="7"/>
      <c r="AZ32" s="7"/>
      <c r="BA32" s="7"/>
      <c r="BB32" s="7"/>
      <c r="BC32" s="7"/>
      <c r="BD32" s="7"/>
      <c r="BE32" s="7"/>
      <c r="BF32" s="3"/>
      <c r="BG32" s="3"/>
      <c r="BH32" s="3"/>
      <c r="BI32" s="3"/>
      <c r="BJ32" s="3"/>
      <c r="BK32" s="3"/>
      <c r="BL32" s="3"/>
      <c r="BM32" s="3"/>
      <c r="BN32" s="3"/>
      <c r="BO32" s="3"/>
      <c r="BP32" s="3"/>
      <c r="BQ32" s="3"/>
      <c r="BR32" s="3"/>
      <c r="BS32" s="3"/>
      <c r="BT32" s="3"/>
      <c r="BU32" s="3"/>
      <c r="BV32" s="3"/>
      <c r="BW32" s="3"/>
    </row>
    <row r="33" spans="1:75" x14ac:dyDescent="0.3">
      <c r="A33" s="8" t="s">
        <v>21</v>
      </c>
      <c r="B33" s="9" t="s">
        <v>36</v>
      </c>
      <c r="C33" s="7"/>
      <c r="D33" s="7"/>
      <c r="E33" s="7"/>
      <c r="F33" s="71"/>
      <c r="G33" s="51">
        <f t="shared" si="2"/>
        <v>18</v>
      </c>
      <c r="H33" s="52">
        <f t="shared" si="3"/>
        <v>42.857142857142854</v>
      </c>
      <c r="I33" s="53">
        <f>COUNTIFS('00 Encuesta'!$B$2:$B$511,"*f)*",'00 Encuesta'!$C$2:$C$511,"*a)*",'00 Encuesta'!$E$2:$E$511,"*a)*",'00 Encuesta'!$G$2:$G$511,"*d)*")</f>
        <v>10</v>
      </c>
      <c r="J33" s="52">
        <f t="shared" si="4"/>
        <v>45.454545454545453</v>
      </c>
      <c r="K33" s="53">
        <f>COUNTIFS('00 Encuesta'!$B$2:$B$511,"*f)*",'00 Encuesta'!$C$2:$C$511,"*a)*",'00 Encuesta'!$E$2:$E$511,"*b)*",'00 Encuesta'!$G$2:$G$511,"*d)*")</f>
        <v>8</v>
      </c>
      <c r="L33" s="52">
        <f>K33/$J$7*100</f>
        <v>40</v>
      </c>
      <c r="M33" s="23"/>
      <c r="N33" s="51">
        <f>P33+R33</f>
        <v>0</v>
      </c>
      <c r="O33" s="52" t="e">
        <f>N33/$Q$5*100</f>
        <v>#DIV/0!</v>
      </c>
      <c r="P33" s="53">
        <f>COUNTIFS('00 Encuesta'!$B$2:$B$511,"*f)*",'00 Encuesta'!$C$2:$C$511,"*b)*",'00 Encuesta'!$E$2:$E$511,"*a)*",'00 Encuesta'!$G$2:$G$511,"*d)*")</f>
        <v>0</v>
      </c>
      <c r="Q33" s="52" t="e">
        <f>P33/$Q$6*100</f>
        <v>#DIV/0!</v>
      </c>
      <c r="R33" s="53">
        <f>COUNTIFS('00 Encuesta'!$B$2:$B$511,"*f)*",'00 Encuesta'!$C$2:$C$511,"*b)*",'00 Encuesta'!$E$2:$E$511,"*b)*",'00 Encuesta'!$G$2:$G$511,"*d)*")</f>
        <v>0</v>
      </c>
      <c r="S33" s="52" t="e">
        <f>R33/$Q$7*100</f>
        <v>#DIV/0!</v>
      </c>
      <c r="T33" s="3"/>
      <c r="U33" s="51">
        <f>W33+Y33</f>
        <v>0</v>
      </c>
      <c r="V33" s="52" t="e">
        <f>U33/$X$5*100</f>
        <v>#DIV/0!</v>
      </c>
      <c r="W33" s="53">
        <f>COUNTIFS('00 Encuesta'!$B$2:$B$511,"*f)*",'00 Encuesta'!$C$2:$C$511,"*c)*",'00 Encuesta'!$E$2:$E$511,"*a)*",'00 Encuesta'!$G$2:$G$511,"*d)*")</f>
        <v>0</v>
      </c>
      <c r="X33" s="52" t="e">
        <f>W33/$X$6*100</f>
        <v>#DIV/0!</v>
      </c>
      <c r="Y33" s="53">
        <f>COUNTIFS('00 Encuesta'!$B$2:$B$511,"*f)*",'00 Encuesta'!$C$2:$C$511,"*c)*",'00 Encuesta'!$E$2:$E$511,"*b)*",'00 Encuesta'!$G$2:$G$511,"*d)*")</f>
        <v>0</v>
      </c>
      <c r="Z33" s="52" t="e">
        <f t="shared" si="5"/>
        <v>#DIV/0!</v>
      </c>
      <c r="AA33" s="3"/>
      <c r="AB33" s="62">
        <f t="shared" si="6"/>
        <v>18</v>
      </c>
      <c r="AC33" s="52">
        <f t="shared" si="7"/>
        <v>42.857142857142854</v>
      </c>
      <c r="AD33" s="7"/>
      <c r="AE33" s="7"/>
      <c r="AF33" s="9" t="str">
        <f t="shared" si="8"/>
        <v>d) Abuelos</v>
      </c>
      <c r="AG33" s="72">
        <f t="shared" si="9"/>
        <v>45.454545454545453</v>
      </c>
      <c r="AH33" s="72">
        <f t="shared" si="10"/>
        <v>40</v>
      </c>
      <c r="AI33" s="73">
        <f t="shared" si="11"/>
        <v>42.857142857142854</v>
      </c>
      <c r="AJ33" s="73"/>
      <c r="AK33" s="74" t="e">
        <f t="shared" si="12"/>
        <v>#DIV/0!</v>
      </c>
      <c r="AL33" s="74" t="e">
        <f t="shared" si="13"/>
        <v>#DIV/0!</v>
      </c>
      <c r="AM33" s="74" t="e">
        <f t="shared" si="14"/>
        <v>#DIV/0!</v>
      </c>
      <c r="AN33" s="74"/>
      <c r="AO33" s="75" t="e">
        <f t="shared" si="15"/>
        <v>#DIV/0!</v>
      </c>
      <c r="AP33" s="75" t="e">
        <f t="shared" si="16"/>
        <v>#DIV/0!</v>
      </c>
      <c r="AQ33" s="75" t="e">
        <f t="shared" si="17"/>
        <v>#DIV/0!</v>
      </c>
      <c r="AR33" s="7"/>
      <c r="AS33" s="76">
        <f t="shared" si="1"/>
        <v>42.857142857142854</v>
      </c>
      <c r="AT33" s="7"/>
      <c r="AU33" s="7"/>
      <c r="AV33" s="7"/>
      <c r="AW33" s="7"/>
      <c r="AX33" s="7"/>
      <c r="AY33" s="7"/>
      <c r="AZ33" s="7"/>
      <c r="BA33" s="7"/>
      <c r="BB33" s="7"/>
      <c r="BC33" s="7"/>
      <c r="BD33" s="7"/>
      <c r="BE33" s="7"/>
      <c r="BF33" s="3"/>
      <c r="BG33" s="3"/>
      <c r="BH33" s="3"/>
      <c r="BI33" s="3"/>
      <c r="BJ33" s="3"/>
      <c r="BK33" s="3"/>
      <c r="BL33" s="3"/>
      <c r="BM33" s="3"/>
      <c r="BN33" s="3"/>
      <c r="BO33" s="3"/>
      <c r="BP33" s="3"/>
      <c r="BQ33" s="3"/>
      <c r="BR33" s="3"/>
      <c r="BS33" s="3"/>
      <c r="BT33" s="3"/>
      <c r="BU33" s="3"/>
      <c r="BV33" s="3"/>
      <c r="BW33" s="3"/>
    </row>
    <row r="34" spans="1:75" x14ac:dyDescent="0.3">
      <c r="A34" s="8" t="s">
        <v>22</v>
      </c>
      <c r="B34" s="9" t="s">
        <v>37</v>
      </c>
      <c r="C34" s="7"/>
      <c r="D34" s="7"/>
      <c r="E34" s="7"/>
      <c r="F34" s="71"/>
      <c r="G34" s="51">
        <f t="shared" si="2"/>
        <v>18</v>
      </c>
      <c r="H34" s="52">
        <f t="shared" si="3"/>
        <v>42.857142857142854</v>
      </c>
      <c r="I34" s="53">
        <f>COUNTIFS('00 Encuesta'!$B$2:$B$511,"*f)*",'00 Encuesta'!$C$2:$C$511,"*a)*",'00 Encuesta'!$E$2:$E$511,"*a)*",'00 Encuesta'!$G$2:$G$511,"*e)*")</f>
        <v>11</v>
      </c>
      <c r="J34" s="52">
        <f t="shared" si="4"/>
        <v>50</v>
      </c>
      <c r="K34" s="53">
        <f>COUNTIFS('00 Encuesta'!$B$2:$B$511,"*f)*",'00 Encuesta'!$C$2:$C$511,"*a)*",'00 Encuesta'!$E$2:$E$511,"*b)*",'00 Encuesta'!$G$2:$G$511,"*e)*")</f>
        <v>7</v>
      </c>
      <c r="L34" s="52">
        <f>K34/$J$7*100</f>
        <v>35</v>
      </c>
      <c r="M34" s="23"/>
      <c r="N34" s="51">
        <f>P34+R34</f>
        <v>0</v>
      </c>
      <c r="O34" s="52" t="e">
        <f>N34/$Q$5*100</f>
        <v>#DIV/0!</v>
      </c>
      <c r="P34" s="53">
        <f>COUNTIFS('00 Encuesta'!$B$2:$B$511,"*f)*",'00 Encuesta'!$C$2:$C$511,"*b)*",'00 Encuesta'!$E$2:$E$511,"*a)*",'00 Encuesta'!$G$2:$G$511,"*e)*")</f>
        <v>0</v>
      </c>
      <c r="Q34" s="52" t="e">
        <f>P34/$Q$6*100</f>
        <v>#DIV/0!</v>
      </c>
      <c r="R34" s="53">
        <f>COUNTIFS('00 Encuesta'!$B$2:$B$511,"*f)*",'00 Encuesta'!$C$2:$C$511,"*b)*",'00 Encuesta'!$E$2:$E$511,"*b)*",'00 Encuesta'!$G$2:$G$511,"*e)*")</f>
        <v>0</v>
      </c>
      <c r="S34" s="52" t="e">
        <f>R34/$Q$7*100</f>
        <v>#DIV/0!</v>
      </c>
      <c r="T34" s="3"/>
      <c r="U34" s="51">
        <f>W34+Y34</f>
        <v>0</v>
      </c>
      <c r="V34" s="52" t="e">
        <f>U34/$X$5*100</f>
        <v>#DIV/0!</v>
      </c>
      <c r="W34" s="53">
        <f>COUNTIFS('00 Encuesta'!$B$2:$B$511,"*f)*",'00 Encuesta'!$C$2:$C$511,"*c)*",'00 Encuesta'!$E$2:$E$511,"*a)*",'00 Encuesta'!$G$2:$G$511,"*e)*")</f>
        <v>0</v>
      </c>
      <c r="X34" s="52" t="e">
        <f>W34/$X$6*100</f>
        <v>#DIV/0!</v>
      </c>
      <c r="Y34" s="53">
        <f>COUNTIFS('00 Encuesta'!$B$2:$B$511,"*f)*",'00 Encuesta'!$C$2:$C$511,"*c)*",'00 Encuesta'!$E$2:$E$511,"*b)*",'00 Encuesta'!$G$2:$G$511,"*e)*")</f>
        <v>0</v>
      </c>
      <c r="Z34" s="52" t="e">
        <f t="shared" si="5"/>
        <v>#DIV/0!</v>
      </c>
      <c r="AA34" s="3"/>
      <c r="AB34" s="62">
        <f t="shared" si="6"/>
        <v>18</v>
      </c>
      <c r="AC34" s="52">
        <f t="shared" si="7"/>
        <v>42.857142857142854</v>
      </c>
      <c r="AD34" s="7"/>
      <c r="AE34" s="7"/>
      <c r="AF34" s="9" t="str">
        <f t="shared" si="8"/>
        <v>e) Otros familiares</v>
      </c>
      <c r="AG34" s="72">
        <f t="shared" si="9"/>
        <v>50</v>
      </c>
      <c r="AH34" s="72">
        <f t="shared" si="10"/>
        <v>35</v>
      </c>
      <c r="AI34" s="73">
        <f t="shared" si="11"/>
        <v>42.857142857142854</v>
      </c>
      <c r="AJ34" s="73"/>
      <c r="AK34" s="74" t="e">
        <f t="shared" si="12"/>
        <v>#DIV/0!</v>
      </c>
      <c r="AL34" s="74" t="e">
        <f t="shared" si="13"/>
        <v>#DIV/0!</v>
      </c>
      <c r="AM34" s="74" t="e">
        <f t="shared" si="14"/>
        <v>#DIV/0!</v>
      </c>
      <c r="AN34" s="74"/>
      <c r="AO34" s="75" t="e">
        <f t="shared" si="15"/>
        <v>#DIV/0!</v>
      </c>
      <c r="AP34" s="75" t="e">
        <f t="shared" si="16"/>
        <v>#DIV/0!</v>
      </c>
      <c r="AQ34" s="75" t="e">
        <f t="shared" si="17"/>
        <v>#DIV/0!</v>
      </c>
      <c r="AR34" s="7"/>
      <c r="AS34" s="76">
        <f t="shared" si="1"/>
        <v>42.857142857142854</v>
      </c>
      <c r="AT34" s="7"/>
      <c r="AU34" s="7"/>
      <c r="AV34" s="7"/>
      <c r="AW34" s="7"/>
      <c r="AX34" s="7"/>
      <c r="AY34" s="7"/>
      <c r="AZ34" s="7"/>
      <c r="BA34" s="7"/>
      <c r="BB34" s="7"/>
      <c r="BC34" s="7"/>
      <c r="BD34" s="7"/>
      <c r="BE34" s="7"/>
      <c r="BF34" s="3"/>
      <c r="BG34" s="3"/>
      <c r="BH34" s="3"/>
      <c r="BI34" s="3"/>
      <c r="BJ34" s="3"/>
      <c r="BK34" s="3"/>
      <c r="BL34" s="3"/>
      <c r="BM34" s="3"/>
      <c r="BN34" s="3"/>
      <c r="BO34" s="3"/>
      <c r="BP34" s="3"/>
      <c r="BQ34" s="3"/>
      <c r="BR34" s="3"/>
      <c r="BS34" s="3"/>
      <c r="BT34" s="3"/>
      <c r="BU34" s="3"/>
      <c r="BV34" s="3"/>
      <c r="BW34" s="3"/>
    </row>
    <row r="35" spans="1:75" x14ac:dyDescent="0.3">
      <c r="A35" s="8" t="s">
        <v>23</v>
      </c>
      <c r="B35" s="9" t="s">
        <v>24</v>
      </c>
      <c r="C35" s="7"/>
      <c r="D35" s="7"/>
      <c r="E35" s="7"/>
      <c r="F35" s="71"/>
      <c r="G35" s="51">
        <f t="shared" si="2"/>
        <v>0</v>
      </c>
      <c r="H35" s="52">
        <f t="shared" si="3"/>
        <v>0</v>
      </c>
      <c r="I35" s="53"/>
      <c r="J35" s="52">
        <f t="shared" si="4"/>
        <v>0</v>
      </c>
      <c r="K35" s="53"/>
      <c r="L35" s="52">
        <f t="shared" ref="L35" si="18">K35/$J$7*100</f>
        <v>0</v>
      </c>
      <c r="M35" s="23"/>
      <c r="N35" s="51">
        <f t="shared" ref="N35" si="19">P35+R35</f>
        <v>0</v>
      </c>
      <c r="O35" s="52" t="e">
        <f t="shared" ref="O35" si="20">N35/$Q$5*100</f>
        <v>#DIV/0!</v>
      </c>
      <c r="P35" s="53"/>
      <c r="Q35" s="52" t="e">
        <f t="shared" ref="Q35" si="21">P35/$Q$6*100</f>
        <v>#DIV/0!</v>
      </c>
      <c r="R35" s="53"/>
      <c r="S35" s="52" t="e">
        <f t="shared" ref="S35" si="22">R35/$Q$7*100</f>
        <v>#DIV/0!</v>
      </c>
      <c r="T35" s="3"/>
      <c r="U35" s="51">
        <f t="shared" ref="U35" si="23">W35+Y35</f>
        <v>0</v>
      </c>
      <c r="V35" s="52" t="e">
        <f t="shared" ref="V35" si="24">U35/$X$5*100</f>
        <v>#DIV/0!</v>
      </c>
      <c r="W35" s="53"/>
      <c r="X35" s="52" t="e">
        <f t="shared" ref="X35" si="25">W35/$X$6*100</f>
        <v>#DIV/0!</v>
      </c>
      <c r="Y35" s="53"/>
      <c r="Z35" s="52" t="e">
        <f t="shared" si="5"/>
        <v>#DIV/0!</v>
      </c>
      <c r="AA35" s="3"/>
      <c r="AB35" s="62">
        <f t="shared" si="6"/>
        <v>0</v>
      </c>
      <c r="AC35" s="52">
        <f t="shared" si="7"/>
        <v>0</v>
      </c>
      <c r="AD35" s="7"/>
      <c r="AE35" s="7"/>
      <c r="AF35" s="9" t="str">
        <f t="shared" si="8"/>
        <v>S/R Sin Respuesta</v>
      </c>
      <c r="AG35" s="72">
        <f t="shared" si="9"/>
        <v>0</v>
      </c>
      <c r="AH35" s="72">
        <f t="shared" si="10"/>
        <v>0</v>
      </c>
      <c r="AI35" s="73">
        <f t="shared" si="11"/>
        <v>0</v>
      </c>
      <c r="AJ35" s="73"/>
      <c r="AK35" s="74" t="e">
        <f t="shared" si="12"/>
        <v>#DIV/0!</v>
      </c>
      <c r="AL35" s="74" t="e">
        <f t="shared" si="13"/>
        <v>#DIV/0!</v>
      </c>
      <c r="AM35" s="74" t="e">
        <f t="shared" si="14"/>
        <v>#DIV/0!</v>
      </c>
      <c r="AN35" s="74"/>
      <c r="AO35" s="75" t="e">
        <f t="shared" si="15"/>
        <v>#DIV/0!</v>
      </c>
      <c r="AP35" s="75" t="e">
        <f t="shared" si="16"/>
        <v>#DIV/0!</v>
      </c>
      <c r="AQ35" s="75" t="e">
        <f t="shared" si="17"/>
        <v>#DIV/0!</v>
      </c>
      <c r="AR35" s="7"/>
      <c r="AS35" s="76">
        <f t="shared" si="1"/>
        <v>0</v>
      </c>
      <c r="AT35" s="7"/>
      <c r="AU35" s="7"/>
      <c r="AV35" s="7"/>
      <c r="AW35" s="7"/>
      <c r="AX35" s="7"/>
      <c r="AY35" s="7"/>
      <c r="AZ35" s="7"/>
      <c r="BA35" s="7"/>
      <c r="BB35" s="7"/>
      <c r="BC35" s="7"/>
      <c r="BD35" s="7"/>
      <c r="BE35" s="7"/>
      <c r="BF35" s="3"/>
      <c r="BG35" s="3"/>
      <c r="BH35" s="3"/>
      <c r="BI35" s="3"/>
      <c r="BJ35" s="3"/>
      <c r="BK35" s="3"/>
      <c r="BL35" s="3"/>
      <c r="BM35" s="3"/>
      <c r="BN35" s="3"/>
      <c r="BO35" s="3"/>
      <c r="BP35" s="3"/>
      <c r="BQ35" s="3"/>
      <c r="BR35" s="3"/>
      <c r="BS35" s="3"/>
      <c r="BT35" s="3"/>
      <c r="BU35" s="3"/>
      <c r="BV35" s="3"/>
      <c r="BW35" s="3"/>
    </row>
    <row r="36" spans="1:75" x14ac:dyDescent="0.3">
      <c r="A36" s="8"/>
      <c r="B36" s="9"/>
      <c r="C36" s="7"/>
      <c r="D36" s="7"/>
      <c r="E36" s="7"/>
      <c r="F36" s="7"/>
      <c r="G36" s="7"/>
      <c r="H36" s="7"/>
      <c r="I36" s="7"/>
      <c r="J36" s="7"/>
      <c r="K36" s="7"/>
      <c r="L36" s="7"/>
      <c r="M36" s="7"/>
      <c r="N36" s="7"/>
      <c r="O36" s="7"/>
      <c r="P36" s="7"/>
      <c r="Q36" s="7"/>
      <c r="R36" s="7"/>
      <c r="S36" s="7"/>
      <c r="T36" s="7"/>
      <c r="U36" s="7"/>
      <c r="V36" s="7"/>
      <c r="W36" s="7"/>
      <c r="X36" s="7"/>
      <c r="Y36" s="7"/>
      <c r="Z36" s="7"/>
      <c r="AA36" s="7"/>
      <c r="AB36" s="6"/>
      <c r="AC36" s="41"/>
      <c r="AD36" s="7"/>
      <c r="AE36" s="7"/>
      <c r="AF36" s="7"/>
      <c r="AG36" s="7"/>
      <c r="AH36" s="7"/>
      <c r="AI36" s="7"/>
      <c r="AJ36" s="7"/>
      <c r="AK36" s="7"/>
      <c r="AL36" s="7"/>
      <c r="AM36" s="7"/>
      <c r="AN36" s="7"/>
      <c r="AO36" s="7"/>
      <c r="AP36" s="7"/>
      <c r="AQ36" s="7"/>
      <c r="AR36" s="7"/>
      <c r="AS36" s="76"/>
      <c r="AT36" s="7"/>
      <c r="AU36" s="7"/>
      <c r="AV36" s="7"/>
      <c r="AW36" s="7"/>
      <c r="AX36" s="7"/>
      <c r="AY36" s="7"/>
      <c r="AZ36" s="7"/>
      <c r="BA36" s="7"/>
      <c r="BB36" s="7"/>
      <c r="BC36" s="7"/>
      <c r="BD36" s="7"/>
      <c r="BE36" s="7"/>
      <c r="BF36" s="3"/>
      <c r="BG36" s="3"/>
      <c r="BH36" s="3"/>
      <c r="BI36" s="3"/>
      <c r="BJ36" s="3"/>
      <c r="BK36" s="3"/>
      <c r="BL36" s="3"/>
      <c r="BM36" s="3"/>
      <c r="BN36" s="3"/>
      <c r="BO36" s="3"/>
      <c r="BP36" s="3"/>
      <c r="BQ36" s="3"/>
      <c r="BR36" s="3"/>
      <c r="BS36" s="3"/>
      <c r="BT36" s="3"/>
      <c r="BU36" s="3"/>
      <c r="BV36" s="3"/>
      <c r="BW36" s="3"/>
    </row>
    <row r="37" spans="1:75" x14ac:dyDescent="0.3">
      <c r="A37" s="70" t="s">
        <v>38</v>
      </c>
      <c r="B37" s="9" t="s">
        <v>39</v>
      </c>
      <c r="C37" s="7"/>
      <c r="D37" s="7"/>
      <c r="E37" s="7"/>
      <c r="F37" s="71"/>
      <c r="G37" s="51"/>
      <c r="H37" s="52"/>
      <c r="I37" s="53"/>
      <c r="J37" s="52"/>
      <c r="K37" s="53"/>
      <c r="L37" s="66"/>
      <c r="M37" s="23"/>
      <c r="N37" s="51"/>
      <c r="O37" s="52"/>
      <c r="P37" s="53"/>
      <c r="Q37" s="52"/>
      <c r="R37" s="53"/>
      <c r="S37" s="66"/>
      <c r="T37" s="3"/>
      <c r="U37" s="51"/>
      <c r="V37" s="52"/>
      <c r="W37" s="53"/>
      <c r="X37" s="52"/>
      <c r="Y37" s="53"/>
      <c r="Z37" s="66"/>
      <c r="AA37" s="3"/>
      <c r="AB37" s="62"/>
      <c r="AC37" s="52"/>
      <c r="AD37" s="7"/>
      <c r="AE37" s="7"/>
      <c r="AF37" s="88" t="str">
        <f>A37&amp;" "&amp;B37</f>
        <v>07 Tipo de vivienda que ocupas con tu grupo familiar es:</v>
      </c>
      <c r="AG37" s="7"/>
      <c r="AH37" s="7"/>
      <c r="AI37" s="7"/>
      <c r="AJ37" s="7"/>
      <c r="AK37" s="7"/>
      <c r="AL37" s="7"/>
      <c r="AM37" s="7"/>
      <c r="AN37" s="7"/>
      <c r="AO37" s="7"/>
      <c r="AP37" s="7"/>
      <c r="AQ37" s="7"/>
      <c r="AR37" s="7"/>
      <c r="AS37" s="76"/>
      <c r="AT37" s="7"/>
      <c r="AU37" s="7"/>
      <c r="AV37" s="7"/>
      <c r="AW37" s="7"/>
      <c r="AX37" s="7"/>
      <c r="AY37" s="7"/>
      <c r="AZ37" s="7"/>
      <c r="BA37" s="7"/>
      <c r="BB37" s="7"/>
      <c r="BC37" s="7"/>
      <c r="BD37" s="7"/>
      <c r="BE37" s="7"/>
      <c r="BF37" s="3"/>
      <c r="BG37" s="3"/>
      <c r="BH37" s="3"/>
      <c r="BI37" s="3"/>
      <c r="BJ37" s="3"/>
      <c r="BK37" s="3"/>
      <c r="BL37" s="3"/>
      <c r="BM37" s="3"/>
      <c r="BN37" s="3"/>
      <c r="BO37" s="3"/>
      <c r="BP37" s="3"/>
      <c r="BQ37" s="3"/>
      <c r="BR37" s="3"/>
      <c r="BS37" s="3"/>
      <c r="BT37" s="3"/>
      <c r="BU37" s="3"/>
      <c r="BV37" s="3"/>
      <c r="BW37" s="3"/>
    </row>
    <row r="38" spans="1:75" x14ac:dyDescent="0.3">
      <c r="A38" s="8" t="s">
        <v>17</v>
      </c>
      <c r="B38" s="9" t="s">
        <v>40</v>
      </c>
      <c r="C38" s="7"/>
      <c r="D38" s="7"/>
      <c r="E38" s="7"/>
      <c r="F38" s="71"/>
      <c r="G38" s="51">
        <f t="shared" ref="G38:G44" si="26">I38+K38</f>
        <v>2</v>
      </c>
      <c r="H38" s="52">
        <f t="shared" ref="H38:H44" si="27">G38/$J$5*100</f>
        <v>4.7619047619047619</v>
      </c>
      <c r="I38" s="53">
        <f>COUNTIFS('00 Encuesta'!$B$2:$B$511,"*f)*",'00 Encuesta'!$C$2:$C$511,"*a)*",'00 Encuesta'!$E$2:$E$511,"*a)*",'00 Encuesta'!$H$2:$H$511,"*a)*")</f>
        <v>0</v>
      </c>
      <c r="J38" s="52">
        <f t="shared" ref="J38:J44" si="28">I38/$J$6*100</f>
        <v>0</v>
      </c>
      <c r="K38" s="53">
        <f>COUNTIFS('00 Encuesta'!$B$2:$B$511,"*f)*",'00 Encuesta'!$C$2:$C$511,"*a)*",'00 Encuesta'!$E$2:$E$511,"*b)*",'00 Encuesta'!$H$2:$H$511,"*a)*")</f>
        <v>2</v>
      </c>
      <c r="L38" s="52">
        <f t="shared" ref="L38:L44" si="29">K38/$J$7*100</f>
        <v>10</v>
      </c>
      <c r="M38" s="23"/>
      <c r="N38" s="51">
        <f t="shared" ref="N38:N44" si="30">P38+R38</f>
        <v>0</v>
      </c>
      <c r="O38" s="52" t="e">
        <f>N38/$Q$5*100</f>
        <v>#DIV/0!</v>
      </c>
      <c r="P38" s="53">
        <f>COUNTIFS('00 Encuesta'!$B$2:$B$511,"*f)*",'00 Encuesta'!$C$2:$C$511,"*b)*",'00 Encuesta'!$E$2:$E$511,"*a)*",'00 Encuesta'!$H$2:$H$511,"*a)*")</f>
        <v>0</v>
      </c>
      <c r="Q38" s="52" t="e">
        <f>P38/$Q$6*100</f>
        <v>#DIV/0!</v>
      </c>
      <c r="R38" s="53">
        <f>COUNTIFS('00 Encuesta'!$B$2:$B$511,"*f)*",'00 Encuesta'!$C$2:$C$511,"*b)*",'00 Encuesta'!$E$2:$E$511,"*b)*",'00 Encuesta'!$H$2:$H$511,"*a)*")</f>
        <v>0</v>
      </c>
      <c r="S38" s="52" t="e">
        <f t="shared" ref="S38:S44" si="31">R38/$Q$7*100</f>
        <v>#DIV/0!</v>
      </c>
      <c r="T38" s="3"/>
      <c r="U38" s="51">
        <f t="shared" ref="U38:U44" si="32">W38+Y38</f>
        <v>0</v>
      </c>
      <c r="V38" s="52" t="e">
        <f t="shared" ref="V38:V44" si="33">U38/$X$5*100</f>
        <v>#DIV/0!</v>
      </c>
      <c r="W38" s="53">
        <f>COUNTIFS('00 Encuesta'!$B$2:$B$511,"*f)*",'00 Encuesta'!$C$2:$C$511,"*c)*",'00 Encuesta'!$E$2:$E$511,"*a)*",'00 Encuesta'!$H$2:$H$511,"*a)*")</f>
        <v>0</v>
      </c>
      <c r="X38" s="52" t="e">
        <f t="shared" ref="X38:X44" si="34">W38/$X$6*100</f>
        <v>#DIV/0!</v>
      </c>
      <c r="Y38" s="53">
        <f>COUNTIFS('00 Encuesta'!$B$2:$B$511,"*f)*",'00 Encuesta'!$C$2:$C$511,"*c)*",'00 Encuesta'!$E$2:$E$511,"*b)*",'00 Encuesta'!$H$2:$H$511,"*a)*")</f>
        <v>0</v>
      </c>
      <c r="Z38" s="52" t="e">
        <f t="shared" ref="Z38:Z44" si="35">Y38/$X$7*100</f>
        <v>#DIV/0!</v>
      </c>
      <c r="AA38" s="3"/>
      <c r="AB38" s="62">
        <f t="shared" si="6"/>
        <v>2</v>
      </c>
      <c r="AC38" s="52">
        <f t="shared" ref="AC38:AC44" si="36">AB38*100/$AC$5</f>
        <v>4.7619047619047619</v>
      </c>
      <c r="AD38" s="7"/>
      <c r="AE38" s="7"/>
      <c r="AF38" s="9" t="str">
        <f t="shared" ref="AF38:AF44" si="37">A38&amp;" "&amp;B38</f>
        <v>a) Quinta</v>
      </c>
      <c r="AG38" s="72">
        <f t="shared" ref="AG38:AG44" si="38">J38</f>
        <v>0</v>
      </c>
      <c r="AH38" s="72">
        <f t="shared" ref="AH38:AH44" si="39">L38</f>
        <v>10</v>
      </c>
      <c r="AI38" s="73">
        <f t="shared" ref="AI38:AI44" si="40">H38</f>
        <v>4.7619047619047619</v>
      </c>
      <c r="AJ38" s="73"/>
      <c r="AK38" s="76" t="e">
        <f t="shared" ref="AK38:AK44" si="41">Q38</f>
        <v>#DIV/0!</v>
      </c>
      <c r="AL38" s="76" t="e">
        <f t="shared" ref="AL38:AL44" si="42">S38</f>
        <v>#DIV/0!</v>
      </c>
      <c r="AM38" s="76" t="e">
        <f t="shared" ref="AM38:AM44" si="43">O38</f>
        <v>#DIV/0!</v>
      </c>
      <c r="AN38" s="76"/>
      <c r="AO38" s="81" t="e">
        <f t="shared" ref="AO38:AO44" si="44">X38</f>
        <v>#DIV/0!</v>
      </c>
      <c r="AP38" s="81" t="e">
        <f t="shared" ref="AP38:AP44" si="45">Z38</f>
        <v>#DIV/0!</v>
      </c>
      <c r="AQ38" s="81" t="e">
        <f t="shared" ref="AQ38:AQ44" si="46">V38</f>
        <v>#DIV/0!</v>
      </c>
      <c r="AR38" s="7"/>
      <c r="AS38" s="76">
        <f t="shared" si="1"/>
        <v>4.7619047619047619</v>
      </c>
      <c r="AT38" s="7"/>
      <c r="AU38" s="7"/>
      <c r="AV38" s="7"/>
      <c r="AW38" s="7"/>
      <c r="AX38" s="7"/>
      <c r="AY38" s="7"/>
      <c r="AZ38" s="7"/>
      <c r="BA38" s="7"/>
      <c r="BB38" s="7"/>
      <c r="BC38" s="7"/>
      <c r="BD38" s="7"/>
      <c r="BE38" s="7"/>
      <c r="BF38" s="3"/>
      <c r="BG38" s="3"/>
      <c r="BH38" s="3"/>
      <c r="BI38" s="3"/>
      <c r="BJ38" s="3"/>
      <c r="BK38" s="3"/>
      <c r="BL38" s="3"/>
      <c r="BM38" s="3"/>
      <c r="BN38" s="3"/>
      <c r="BO38" s="3"/>
      <c r="BP38" s="3"/>
      <c r="BQ38" s="3"/>
      <c r="BR38" s="3"/>
      <c r="BS38" s="3"/>
      <c r="BT38" s="3"/>
      <c r="BU38" s="3"/>
      <c r="BV38" s="3"/>
      <c r="BW38" s="3"/>
    </row>
    <row r="39" spans="1:75" x14ac:dyDescent="0.3">
      <c r="A39" s="8" t="s">
        <v>18</v>
      </c>
      <c r="B39" s="9" t="s">
        <v>41</v>
      </c>
      <c r="C39" s="7"/>
      <c r="D39" s="7"/>
      <c r="E39" s="7"/>
      <c r="F39" s="71"/>
      <c r="G39" s="51">
        <f t="shared" si="26"/>
        <v>24</v>
      </c>
      <c r="H39" s="52">
        <f t="shared" si="27"/>
        <v>57.142857142857139</v>
      </c>
      <c r="I39" s="53">
        <f>COUNTIFS('00 Encuesta'!$B$2:$B$511,"*f)*",'00 Encuesta'!$C$2:$C$511,"*a)*",'00 Encuesta'!$E$2:$E$511,"*a)*",'00 Encuesta'!$H$2:$H$511,"*b)*")</f>
        <v>14</v>
      </c>
      <c r="J39" s="52">
        <f t="shared" si="28"/>
        <v>63.636363636363633</v>
      </c>
      <c r="K39" s="53">
        <f>COUNTIFS('00 Encuesta'!$B$2:$B$511,"*f)*",'00 Encuesta'!$C$2:$C$511,"*a)*",'00 Encuesta'!$E$2:$E$511,"*b)*",'00 Encuesta'!$H$2:$H$511,"*b)*")</f>
        <v>10</v>
      </c>
      <c r="L39" s="52">
        <f t="shared" si="29"/>
        <v>50</v>
      </c>
      <c r="M39" s="23"/>
      <c r="N39" s="51">
        <f t="shared" si="30"/>
        <v>0</v>
      </c>
      <c r="O39" s="52" t="e">
        <f t="shared" ref="O39:O44" si="47">N39/$Q$5*100</f>
        <v>#DIV/0!</v>
      </c>
      <c r="P39" s="53">
        <f>COUNTIFS('00 Encuesta'!$B$2:$B$511,"*f)*",'00 Encuesta'!$C$2:$C$511,"*b)*",'00 Encuesta'!$E$2:$E$511,"*a)*",'00 Encuesta'!$H$2:$H$511,"*b)*")</f>
        <v>0</v>
      </c>
      <c r="Q39" s="52" t="e">
        <f>P39/$Q$6*100</f>
        <v>#DIV/0!</v>
      </c>
      <c r="R39" s="53">
        <f>COUNTIFS('00 Encuesta'!$B$2:$B$511,"*f)*",'00 Encuesta'!$C$2:$C$511,"*b)*",'00 Encuesta'!$E$2:$E$511,"*b)*",'00 Encuesta'!$H$2:$H$511,"*b)*")</f>
        <v>0</v>
      </c>
      <c r="S39" s="52" t="e">
        <f>R39/$Q$7*100</f>
        <v>#DIV/0!</v>
      </c>
      <c r="T39" s="3"/>
      <c r="U39" s="51">
        <f t="shared" si="32"/>
        <v>0</v>
      </c>
      <c r="V39" s="52" t="e">
        <f t="shared" si="33"/>
        <v>#DIV/0!</v>
      </c>
      <c r="W39" s="53">
        <f>COUNTIFS('00 Encuesta'!$B$2:$B$511,"*f)*",'00 Encuesta'!$C$2:$C$511,"*c)*",'00 Encuesta'!$E$2:$E$511,"*a)*",'00 Encuesta'!$H$2:$H$511,"*b)*")</f>
        <v>0</v>
      </c>
      <c r="X39" s="52" t="e">
        <f t="shared" si="34"/>
        <v>#DIV/0!</v>
      </c>
      <c r="Y39" s="53">
        <f>COUNTIFS('00 Encuesta'!$B$2:$B$511,"*f)*",'00 Encuesta'!$C$2:$C$511,"*c)*",'00 Encuesta'!$E$2:$E$511,"*b)*",'00 Encuesta'!$H$2:$H$511,"*b)*")</f>
        <v>0</v>
      </c>
      <c r="Z39" s="52" t="e">
        <f t="shared" si="35"/>
        <v>#DIV/0!</v>
      </c>
      <c r="AA39" s="3"/>
      <c r="AB39" s="62">
        <f t="shared" si="6"/>
        <v>24</v>
      </c>
      <c r="AC39" s="52">
        <f t="shared" si="36"/>
        <v>57.142857142857146</v>
      </c>
      <c r="AD39" s="7"/>
      <c r="AE39" s="7"/>
      <c r="AF39" s="9" t="str">
        <f t="shared" si="37"/>
        <v>b) Casa urbana</v>
      </c>
      <c r="AG39" s="72">
        <f t="shared" si="38"/>
        <v>63.636363636363633</v>
      </c>
      <c r="AH39" s="72">
        <f t="shared" si="39"/>
        <v>50</v>
      </c>
      <c r="AI39" s="73">
        <f t="shared" si="40"/>
        <v>57.142857142857139</v>
      </c>
      <c r="AJ39" s="73"/>
      <c r="AK39" s="76" t="e">
        <f t="shared" si="41"/>
        <v>#DIV/0!</v>
      </c>
      <c r="AL39" s="76" t="e">
        <f t="shared" si="42"/>
        <v>#DIV/0!</v>
      </c>
      <c r="AM39" s="76" t="e">
        <f t="shared" si="43"/>
        <v>#DIV/0!</v>
      </c>
      <c r="AN39" s="76"/>
      <c r="AO39" s="81" t="e">
        <f t="shared" si="44"/>
        <v>#DIV/0!</v>
      </c>
      <c r="AP39" s="81" t="e">
        <f t="shared" si="45"/>
        <v>#DIV/0!</v>
      </c>
      <c r="AQ39" s="81" t="e">
        <f t="shared" si="46"/>
        <v>#DIV/0!</v>
      </c>
      <c r="AR39" s="7"/>
      <c r="AS39" s="76">
        <f t="shared" si="1"/>
        <v>57.142857142857146</v>
      </c>
      <c r="AT39" s="7"/>
      <c r="AU39" s="7"/>
      <c r="AV39" s="7"/>
      <c r="AW39" s="7"/>
      <c r="AX39" s="7"/>
      <c r="AY39" s="7"/>
      <c r="AZ39" s="7"/>
      <c r="BA39" s="7"/>
      <c r="BB39" s="7"/>
      <c r="BC39" s="7"/>
      <c r="BD39" s="7"/>
      <c r="BE39" s="7"/>
      <c r="BF39" s="3"/>
      <c r="BG39" s="3"/>
      <c r="BH39" s="3"/>
      <c r="BI39" s="3"/>
      <c r="BJ39" s="3"/>
      <c r="BK39" s="3"/>
      <c r="BL39" s="3"/>
      <c r="BM39" s="3"/>
      <c r="BN39" s="3"/>
      <c r="BO39" s="3"/>
      <c r="BP39" s="3"/>
      <c r="BQ39" s="3"/>
      <c r="BR39" s="3"/>
      <c r="BS39" s="3"/>
      <c r="BT39" s="3"/>
      <c r="BU39" s="3"/>
      <c r="BV39" s="3"/>
      <c r="BW39" s="3"/>
    </row>
    <row r="40" spans="1:75" x14ac:dyDescent="0.3">
      <c r="A40" s="8" t="s">
        <v>20</v>
      </c>
      <c r="B40" s="9" t="s">
        <v>42</v>
      </c>
      <c r="C40" s="7"/>
      <c r="D40" s="7"/>
      <c r="E40" s="7"/>
      <c r="F40" s="71"/>
      <c r="G40" s="51">
        <f t="shared" si="26"/>
        <v>5</v>
      </c>
      <c r="H40" s="52">
        <f t="shared" si="27"/>
        <v>11.904761904761903</v>
      </c>
      <c r="I40" s="53">
        <f>COUNTIFS('00 Encuesta'!$B$2:$B$511,"*f)*",'00 Encuesta'!$C$2:$C$511,"*a)*",'00 Encuesta'!$E$2:$E$511,"*a)*",'00 Encuesta'!$H$2:$H$511,"*c)*")</f>
        <v>3</v>
      </c>
      <c r="J40" s="52">
        <f t="shared" si="28"/>
        <v>13.636363636363635</v>
      </c>
      <c r="K40" s="53">
        <f>COUNTIFS('00 Encuesta'!$B$2:$B$511,"*f)*",'00 Encuesta'!$C$2:$C$511,"*a)*",'00 Encuesta'!$E$2:$E$511,"*b)*",'00 Encuesta'!$H$2:$H$511,"*c)*")</f>
        <v>2</v>
      </c>
      <c r="L40" s="52">
        <f t="shared" si="29"/>
        <v>10</v>
      </c>
      <c r="M40" s="23"/>
      <c r="N40" s="51">
        <f t="shared" si="30"/>
        <v>0</v>
      </c>
      <c r="O40" s="52" t="e">
        <f t="shared" si="47"/>
        <v>#DIV/0!</v>
      </c>
      <c r="P40" s="53">
        <f>COUNTIFS('00 Encuesta'!$B$2:$B$511,"*f)*",'00 Encuesta'!$C$2:$C$511,"*b)*",'00 Encuesta'!$E$2:$E$511,"*a)*",'00 Encuesta'!$H$2:$H$511,"*c)*")</f>
        <v>0</v>
      </c>
      <c r="Q40" s="52" t="e">
        <f t="shared" ref="Q40:Q44" si="48">P40/$Q$6*100</f>
        <v>#DIV/0!</v>
      </c>
      <c r="R40" s="53">
        <f>COUNTIFS('00 Encuesta'!$B$2:$B$511,"*f)*",'00 Encuesta'!$C$2:$C$511,"*b)*",'00 Encuesta'!$E$2:$E$511,"*b)*",'00 Encuesta'!$H$2:$H$511,"*c)*")</f>
        <v>0</v>
      </c>
      <c r="S40" s="52" t="e">
        <f t="shared" si="31"/>
        <v>#DIV/0!</v>
      </c>
      <c r="T40" s="3"/>
      <c r="U40" s="51">
        <f t="shared" si="32"/>
        <v>0</v>
      </c>
      <c r="V40" s="52" t="e">
        <f t="shared" si="33"/>
        <v>#DIV/0!</v>
      </c>
      <c r="W40" s="53">
        <f>COUNTIFS('00 Encuesta'!$B$2:$B$511,"*f)*",'00 Encuesta'!$C$2:$C$511,"*c)*",'00 Encuesta'!$E$2:$E$511,"*a)*",'00 Encuesta'!$H$2:$H$511,"*c)*")</f>
        <v>0</v>
      </c>
      <c r="X40" s="52" t="e">
        <f t="shared" si="34"/>
        <v>#DIV/0!</v>
      </c>
      <c r="Y40" s="53">
        <f>COUNTIFS('00 Encuesta'!$B$2:$B$511,"*f)*",'00 Encuesta'!$C$2:$C$511,"*c)*",'00 Encuesta'!$E$2:$E$511,"*b)*",'00 Encuesta'!$H$2:$H$511,"*c)*")</f>
        <v>0</v>
      </c>
      <c r="Z40" s="52" t="e">
        <f t="shared" si="35"/>
        <v>#DIV/0!</v>
      </c>
      <c r="AA40" s="3"/>
      <c r="AB40" s="62">
        <f t="shared" si="6"/>
        <v>5</v>
      </c>
      <c r="AC40" s="52">
        <f t="shared" si="36"/>
        <v>11.904761904761905</v>
      </c>
      <c r="AD40" s="7"/>
      <c r="AE40" s="7"/>
      <c r="AF40" s="9" t="str">
        <f t="shared" si="37"/>
        <v>c) Apartamento</v>
      </c>
      <c r="AG40" s="72">
        <f t="shared" si="38"/>
        <v>13.636363636363635</v>
      </c>
      <c r="AH40" s="72">
        <f t="shared" si="39"/>
        <v>10</v>
      </c>
      <c r="AI40" s="73">
        <f t="shared" si="40"/>
        <v>11.904761904761903</v>
      </c>
      <c r="AJ40" s="73"/>
      <c r="AK40" s="76" t="e">
        <f t="shared" si="41"/>
        <v>#DIV/0!</v>
      </c>
      <c r="AL40" s="76" t="e">
        <f t="shared" si="42"/>
        <v>#DIV/0!</v>
      </c>
      <c r="AM40" s="76" t="e">
        <f t="shared" si="43"/>
        <v>#DIV/0!</v>
      </c>
      <c r="AN40" s="76"/>
      <c r="AO40" s="81" t="e">
        <f t="shared" si="44"/>
        <v>#DIV/0!</v>
      </c>
      <c r="AP40" s="81" t="e">
        <f t="shared" si="45"/>
        <v>#DIV/0!</v>
      </c>
      <c r="AQ40" s="81" t="e">
        <f t="shared" si="46"/>
        <v>#DIV/0!</v>
      </c>
      <c r="AR40" s="7"/>
      <c r="AS40" s="76">
        <f t="shared" si="1"/>
        <v>11.904761904761905</v>
      </c>
      <c r="AT40" s="7"/>
      <c r="AU40" s="7"/>
      <c r="AV40" s="7"/>
      <c r="AW40" s="7"/>
      <c r="AX40" s="7"/>
      <c r="AY40" s="7"/>
      <c r="AZ40" s="7"/>
      <c r="BA40" s="7"/>
      <c r="BB40" s="7"/>
      <c r="BC40" s="7"/>
      <c r="BD40" s="7"/>
      <c r="BE40" s="7"/>
      <c r="BF40" s="3"/>
      <c r="BG40" s="3"/>
      <c r="BH40" s="3"/>
      <c r="BI40" s="3"/>
      <c r="BJ40" s="3"/>
      <c r="BK40" s="3"/>
      <c r="BL40" s="3"/>
      <c r="BM40" s="3"/>
      <c r="BN40" s="3"/>
      <c r="BO40" s="3"/>
      <c r="BP40" s="3"/>
      <c r="BQ40" s="3"/>
      <c r="BR40" s="3"/>
      <c r="BS40" s="3"/>
      <c r="BT40" s="3"/>
      <c r="BU40" s="3"/>
      <c r="BV40" s="3"/>
      <c r="BW40" s="3"/>
    </row>
    <row r="41" spans="1:75" x14ac:dyDescent="0.3">
      <c r="A41" s="8" t="s">
        <v>21</v>
      </c>
      <c r="B41" s="9" t="s">
        <v>43</v>
      </c>
      <c r="C41" s="7"/>
      <c r="D41" s="7"/>
      <c r="E41" s="7"/>
      <c r="F41" s="71"/>
      <c r="G41" s="51">
        <f t="shared" si="26"/>
        <v>2</v>
      </c>
      <c r="H41" s="52">
        <f t="shared" si="27"/>
        <v>4.7619047619047619</v>
      </c>
      <c r="I41" s="53">
        <f>COUNTIFS('00 Encuesta'!$B$2:$B$511,"*f)*",'00 Encuesta'!$C$2:$C$511,"*a)*",'00 Encuesta'!$E$2:$E$511,"*a)*",'00 Encuesta'!$H$2:$H$511,"*d)*")</f>
        <v>2</v>
      </c>
      <c r="J41" s="52">
        <f t="shared" si="28"/>
        <v>9.0909090909090917</v>
      </c>
      <c r="K41" s="53">
        <f>COUNTIFS('00 Encuesta'!$B$2:$B$511,"*f)*",'00 Encuesta'!$C$2:$C$511,"*a)*",'00 Encuesta'!$E$2:$E$511,"*b)*",'00 Encuesta'!$H$2:$H$511,"*d)*")</f>
        <v>0</v>
      </c>
      <c r="L41" s="52">
        <f t="shared" si="29"/>
        <v>0</v>
      </c>
      <c r="M41" s="23"/>
      <c r="N41" s="51">
        <f t="shared" si="30"/>
        <v>0</v>
      </c>
      <c r="O41" s="52" t="e">
        <f t="shared" si="47"/>
        <v>#DIV/0!</v>
      </c>
      <c r="P41" s="53">
        <f>COUNTIFS('00 Encuesta'!$B$2:$B$511,"*f)*",'00 Encuesta'!$C$2:$C$511,"*b)*",'00 Encuesta'!$E$2:$E$511,"*a)*",'00 Encuesta'!$H$2:$H$511,"*d)*")</f>
        <v>0</v>
      </c>
      <c r="Q41" s="52" t="e">
        <f t="shared" si="48"/>
        <v>#DIV/0!</v>
      </c>
      <c r="R41" s="53">
        <f>COUNTIFS('00 Encuesta'!$B$2:$B$511,"*f)*",'00 Encuesta'!$C$2:$C$511,"*b)*",'00 Encuesta'!$E$2:$E$511,"*b)*",'00 Encuesta'!$H$2:$H$511,"*d)*")</f>
        <v>0</v>
      </c>
      <c r="S41" s="52" t="e">
        <f t="shared" si="31"/>
        <v>#DIV/0!</v>
      </c>
      <c r="T41" s="3"/>
      <c r="U41" s="51">
        <f t="shared" si="32"/>
        <v>0</v>
      </c>
      <c r="V41" s="52" t="e">
        <f t="shared" si="33"/>
        <v>#DIV/0!</v>
      </c>
      <c r="W41" s="53">
        <f>COUNTIFS('00 Encuesta'!$B$2:$B$511,"*f)*",'00 Encuesta'!$C$2:$C$511,"*c)*",'00 Encuesta'!$E$2:$E$511,"*a)*",'00 Encuesta'!$H$2:$H$511,"*d)*")</f>
        <v>0</v>
      </c>
      <c r="X41" s="52" t="e">
        <f t="shared" si="34"/>
        <v>#DIV/0!</v>
      </c>
      <c r="Y41" s="53">
        <f>COUNTIFS('00 Encuesta'!$B$2:$B$511,"*f)*",'00 Encuesta'!$C$2:$C$511,"*c)*",'00 Encuesta'!$E$2:$E$511,"*b)*",'00 Encuesta'!$H$2:$H$511,"*d)*")</f>
        <v>0</v>
      </c>
      <c r="Z41" s="52" t="e">
        <f t="shared" si="35"/>
        <v>#DIV/0!</v>
      </c>
      <c r="AA41" s="3"/>
      <c r="AB41" s="62">
        <f t="shared" si="6"/>
        <v>2</v>
      </c>
      <c r="AC41" s="52">
        <f t="shared" si="36"/>
        <v>4.7619047619047619</v>
      </c>
      <c r="AD41" s="7"/>
      <c r="AE41" s="7"/>
      <c r="AF41" s="9" t="str">
        <f t="shared" si="37"/>
        <v>d) Casa rural</v>
      </c>
      <c r="AG41" s="72">
        <f t="shared" si="38"/>
        <v>9.0909090909090917</v>
      </c>
      <c r="AH41" s="72">
        <f t="shared" si="39"/>
        <v>0</v>
      </c>
      <c r="AI41" s="73">
        <f t="shared" si="40"/>
        <v>4.7619047619047619</v>
      </c>
      <c r="AJ41" s="73"/>
      <c r="AK41" s="76" t="e">
        <f t="shared" si="41"/>
        <v>#DIV/0!</v>
      </c>
      <c r="AL41" s="76" t="e">
        <f t="shared" si="42"/>
        <v>#DIV/0!</v>
      </c>
      <c r="AM41" s="76" t="e">
        <f t="shared" si="43"/>
        <v>#DIV/0!</v>
      </c>
      <c r="AN41" s="76"/>
      <c r="AO41" s="81" t="e">
        <f t="shared" si="44"/>
        <v>#DIV/0!</v>
      </c>
      <c r="AP41" s="81" t="e">
        <f t="shared" si="45"/>
        <v>#DIV/0!</v>
      </c>
      <c r="AQ41" s="81" t="e">
        <f t="shared" si="46"/>
        <v>#DIV/0!</v>
      </c>
      <c r="AR41" s="7"/>
      <c r="AS41" s="76">
        <f t="shared" si="1"/>
        <v>4.7619047619047619</v>
      </c>
      <c r="AT41" s="7"/>
      <c r="AU41" s="7"/>
      <c r="AV41" s="7"/>
      <c r="AW41" s="7"/>
      <c r="AX41" s="7"/>
      <c r="AY41" s="7"/>
      <c r="AZ41" s="7"/>
      <c r="BA41" s="7"/>
      <c r="BB41" s="7"/>
      <c r="BC41" s="7"/>
      <c r="BD41" s="7"/>
      <c r="BE41" s="7"/>
      <c r="BF41" s="3"/>
      <c r="BG41" s="3"/>
      <c r="BH41" s="3"/>
      <c r="BI41" s="3"/>
      <c r="BJ41" s="3"/>
      <c r="BK41" s="3"/>
      <c r="BL41" s="3"/>
      <c r="BM41" s="3"/>
      <c r="BN41" s="3"/>
      <c r="BO41" s="3"/>
      <c r="BP41" s="3"/>
      <c r="BQ41" s="3"/>
      <c r="BR41" s="3"/>
      <c r="BS41" s="3"/>
      <c r="BT41" s="3"/>
      <c r="BU41" s="3"/>
      <c r="BV41" s="3"/>
      <c r="BW41" s="3"/>
    </row>
    <row r="42" spans="1:75" x14ac:dyDescent="0.3">
      <c r="A42" s="8" t="s">
        <v>22</v>
      </c>
      <c r="B42" s="9" t="s">
        <v>44</v>
      </c>
      <c r="C42" s="7"/>
      <c r="D42" s="7"/>
      <c r="E42" s="7"/>
      <c r="F42" s="71"/>
      <c r="G42" s="51">
        <f t="shared" si="26"/>
        <v>2</v>
      </c>
      <c r="H42" s="52">
        <f t="shared" si="27"/>
        <v>4.7619047619047619</v>
      </c>
      <c r="I42" s="53">
        <f>COUNTIFS('00 Encuesta'!$B$2:$B$511,"*f)*",'00 Encuesta'!$C$2:$C$511,"*a)*",'00 Encuesta'!$E$2:$E$511,"*a)*",'00 Encuesta'!$H$2:$H$511,"*e)*")</f>
        <v>1</v>
      </c>
      <c r="J42" s="52">
        <f t="shared" si="28"/>
        <v>4.5454545454545459</v>
      </c>
      <c r="K42" s="53">
        <f>COUNTIFS('00 Encuesta'!$B$2:$B$511,"*f)*",'00 Encuesta'!$C$2:$C$511,"*a)*",'00 Encuesta'!$E$2:$E$511,"*b)*",'00 Encuesta'!$H$2:$H$511,"*e)*")</f>
        <v>1</v>
      </c>
      <c r="L42" s="52">
        <f t="shared" si="29"/>
        <v>5</v>
      </c>
      <c r="M42" s="23"/>
      <c r="N42" s="51">
        <f t="shared" si="30"/>
        <v>0</v>
      </c>
      <c r="O42" s="52" t="e">
        <f t="shared" si="47"/>
        <v>#DIV/0!</v>
      </c>
      <c r="P42" s="53">
        <f>COUNTIFS('00 Encuesta'!$B$2:$B$511,"*f)*",'00 Encuesta'!$C$2:$C$511,"*b)*",'00 Encuesta'!$E$2:$E$511,"*a)*",'00 Encuesta'!$H$2:$H$511,"*e)*")</f>
        <v>0</v>
      </c>
      <c r="Q42" s="52" t="e">
        <f t="shared" si="48"/>
        <v>#DIV/0!</v>
      </c>
      <c r="R42" s="53">
        <f>COUNTIFS('00 Encuesta'!$B$2:$B$511,"*f)*",'00 Encuesta'!$C$2:$C$511,"*b)*",'00 Encuesta'!$E$2:$E$511,"*b)*",'00 Encuesta'!$H$2:$H$511,"*e)*")</f>
        <v>0</v>
      </c>
      <c r="S42" s="52" t="e">
        <f t="shared" si="31"/>
        <v>#DIV/0!</v>
      </c>
      <c r="T42" s="3"/>
      <c r="U42" s="51">
        <f t="shared" si="32"/>
        <v>0</v>
      </c>
      <c r="V42" s="52" t="e">
        <f t="shared" si="33"/>
        <v>#DIV/0!</v>
      </c>
      <c r="W42" s="53">
        <f>COUNTIFS('00 Encuesta'!$B$2:$B$511,"*f)*",'00 Encuesta'!$C$2:$C$511,"*c)*",'00 Encuesta'!$E$2:$E$511,"*a)*",'00 Encuesta'!$H$2:$H$511,"*e)*")</f>
        <v>0</v>
      </c>
      <c r="X42" s="52" t="e">
        <f t="shared" si="34"/>
        <v>#DIV/0!</v>
      </c>
      <c r="Y42" s="53">
        <f>COUNTIFS('00 Encuesta'!$B$2:$B$511,"*f)*",'00 Encuesta'!$C$2:$C$511,"*c)*",'00 Encuesta'!$E$2:$E$511,"*b)*",'00 Encuesta'!$H$2:$H$511,"*e)*")</f>
        <v>0</v>
      </c>
      <c r="Z42" s="52" t="e">
        <f t="shared" si="35"/>
        <v>#DIV/0!</v>
      </c>
      <c r="AA42" s="3"/>
      <c r="AB42" s="62">
        <f t="shared" si="6"/>
        <v>2</v>
      </c>
      <c r="AC42" s="52">
        <f t="shared" si="36"/>
        <v>4.7619047619047619</v>
      </c>
      <c r="AD42" s="7"/>
      <c r="AE42" s="7"/>
      <c r="AF42" s="9" t="str">
        <f t="shared" si="37"/>
        <v>e) Rancho</v>
      </c>
      <c r="AG42" s="72">
        <f t="shared" si="38"/>
        <v>4.5454545454545459</v>
      </c>
      <c r="AH42" s="72">
        <f t="shared" si="39"/>
        <v>5</v>
      </c>
      <c r="AI42" s="73">
        <f t="shared" si="40"/>
        <v>4.7619047619047619</v>
      </c>
      <c r="AJ42" s="73"/>
      <c r="AK42" s="76" t="e">
        <f t="shared" si="41"/>
        <v>#DIV/0!</v>
      </c>
      <c r="AL42" s="76" t="e">
        <f t="shared" si="42"/>
        <v>#DIV/0!</v>
      </c>
      <c r="AM42" s="76" t="e">
        <f t="shared" si="43"/>
        <v>#DIV/0!</v>
      </c>
      <c r="AN42" s="76"/>
      <c r="AO42" s="81" t="e">
        <f t="shared" si="44"/>
        <v>#DIV/0!</v>
      </c>
      <c r="AP42" s="81" t="e">
        <f t="shared" si="45"/>
        <v>#DIV/0!</v>
      </c>
      <c r="AQ42" s="81" t="e">
        <f t="shared" si="46"/>
        <v>#DIV/0!</v>
      </c>
      <c r="AR42" s="7"/>
      <c r="AS42" s="76">
        <f t="shared" si="1"/>
        <v>4.7619047619047619</v>
      </c>
      <c r="AT42" s="7"/>
      <c r="AU42" s="7"/>
      <c r="AV42" s="7"/>
      <c r="AW42" s="7"/>
      <c r="AX42" s="7"/>
      <c r="AY42" s="7"/>
      <c r="AZ42" s="7"/>
      <c r="BA42" s="7"/>
      <c r="BB42" s="7"/>
      <c r="BC42" s="7"/>
      <c r="BD42" s="7"/>
      <c r="BE42" s="7"/>
      <c r="BF42" s="3"/>
      <c r="BG42" s="3"/>
      <c r="BH42" s="3"/>
      <c r="BI42" s="3"/>
      <c r="BJ42" s="3"/>
      <c r="BK42" s="3"/>
      <c r="BL42" s="3"/>
      <c r="BM42" s="3"/>
      <c r="BN42" s="3"/>
      <c r="BO42" s="3"/>
      <c r="BP42" s="3"/>
      <c r="BQ42" s="3"/>
      <c r="BR42" s="3"/>
      <c r="BS42" s="3"/>
      <c r="BT42" s="3"/>
      <c r="BU42" s="3"/>
      <c r="BV42" s="3"/>
      <c r="BW42" s="3"/>
    </row>
    <row r="43" spans="1:75" x14ac:dyDescent="0.3">
      <c r="A43" s="8" t="s">
        <v>45</v>
      </c>
      <c r="B43" s="9" t="s">
        <v>46</v>
      </c>
      <c r="C43" s="7"/>
      <c r="D43" s="7"/>
      <c r="E43" s="7"/>
      <c r="F43" s="71"/>
      <c r="G43" s="51">
        <f t="shared" si="26"/>
        <v>5</v>
      </c>
      <c r="H43" s="52">
        <f t="shared" si="27"/>
        <v>11.904761904761903</v>
      </c>
      <c r="I43" s="53">
        <f>COUNTIFS('00 Encuesta'!$B$2:$B$511,"*f)*",'00 Encuesta'!$C$2:$C$511,"*a)*",'00 Encuesta'!$E$2:$E$511,"*a)*",'00 Encuesta'!$H$2:$H$511,"*f)*")</f>
        <v>1</v>
      </c>
      <c r="J43" s="52">
        <f t="shared" si="28"/>
        <v>4.5454545454545459</v>
      </c>
      <c r="K43" s="53">
        <f>COUNTIFS('00 Encuesta'!$B$2:$B$511,"*f)*",'00 Encuesta'!$C$2:$C$511,"*a)*",'00 Encuesta'!$E$2:$E$511,"*b)*",'00 Encuesta'!$H$2:$H$511,"*f)*")</f>
        <v>4</v>
      </c>
      <c r="L43" s="52">
        <f t="shared" si="29"/>
        <v>20</v>
      </c>
      <c r="M43" s="23"/>
      <c r="N43" s="51">
        <f t="shared" si="30"/>
        <v>0</v>
      </c>
      <c r="O43" s="52" t="e">
        <f t="shared" si="47"/>
        <v>#DIV/0!</v>
      </c>
      <c r="P43" s="53">
        <f>COUNTIFS('00 Encuesta'!$B$2:$B$511,"*f)*",'00 Encuesta'!$C$2:$C$511,"*b)*",'00 Encuesta'!$E$2:$E$511,"*a)*",'00 Encuesta'!$H$2:$H$511,"*f)*")</f>
        <v>0</v>
      </c>
      <c r="Q43" s="52" t="e">
        <f t="shared" si="48"/>
        <v>#DIV/0!</v>
      </c>
      <c r="R43" s="53">
        <f>COUNTIFS('00 Encuesta'!$B$2:$B$511,"*f)*",'00 Encuesta'!$C$2:$C$511,"*b)*",'00 Encuesta'!$E$2:$E$511,"*b)*",'00 Encuesta'!$H$2:$H$511,"*f)*")</f>
        <v>0</v>
      </c>
      <c r="S43" s="52" t="e">
        <f t="shared" si="31"/>
        <v>#DIV/0!</v>
      </c>
      <c r="T43" s="3"/>
      <c r="U43" s="51">
        <f t="shared" si="32"/>
        <v>0</v>
      </c>
      <c r="V43" s="52" t="e">
        <f t="shared" si="33"/>
        <v>#DIV/0!</v>
      </c>
      <c r="W43" s="53">
        <f>COUNTIFS('00 Encuesta'!$B$2:$B$511,"*f)*",'00 Encuesta'!$C$2:$C$511,"*c)*",'00 Encuesta'!$E$2:$E$511,"*a)*",'00 Encuesta'!$H$2:$H$511,"*f)*")</f>
        <v>0</v>
      </c>
      <c r="X43" s="52" t="e">
        <f t="shared" si="34"/>
        <v>#DIV/0!</v>
      </c>
      <c r="Y43" s="53">
        <f>COUNTIFS('00 Encuesta'!$B$2:$B$511,"*f)*",'00 Encuesta'!$C$2:$C$511,"*c)*",'00 Encuesta'!$E$2:$E$511,"*b)*",'00 Encuesta'!$H$2:$H$511,"*f)*")</f>
        <v>0</v>
      </c>
      <c r="Z43" s="52" t="e">
        <f t="shared" si="35"/>
        <v>#DIV/0!</v>
      </c>
      <c r="AA43" s="3"/>
      <c r="AB43" s="62">
        <f t="shared" si="6"/>
        <v>5</v>
      </c>
      <c r="AC43" s="52">
        <f t="shared" si="36"/>
        <v>11.904761904761905</v>
      </c>
      <c r="AD43" s="7"/>
      <c r="AE43" s="7"/>
      <c r="AF43" s="9" t="str">
        <f t="shared" si="37"/>
        <v>f) Otro</v>
      </c>
      <c r="AG43" s="72">
        <f t="shared" si="38"/>
        <v>4.5454545454545459</v>
      </c>
      <c r="AH43" s="72">
        <f t="shared" si="39"/>
        <v>20</v>
      </c>
      <c r="AI43" s="73">
        <f t="shared" si="40"/>
        <v>11.904761904761903</v>
      </c>
      <c r="AJ43" s="73"/>
      <c r="AK43" s="76" t="e">
        <f t="shared" si="41"/>
        <v>#DIV/0!</v>
      </c>
      <c r="AL43" s="76" t="e">
        <f t="shared" si="42"/>
        <v>#DIV/0!</v>
      </c>
      <c r="AM43" s="76" t="e">
        <f t="shared" si="43"/>
        <v>#DIV/0!</v>
      </c>
      <c r="AN43" s="76"/>
      <c r="AO43" s="81" t="e">
        <f t="shared" si="44"/>
        <v>#DIV/0!</v>
      </c>
      <c r="AP43" s="81" t="e">
        <f t="shared" si="45"/>
        <v>#DIV/0!</v>
      </c>
      <c r="AQ43" s="81" t="e">
        <f t="shared" si="46"/>
        <v>#DIV/0!</v>
      </c>
      <c r="AR43" s="7"/>
      <c r="AS43" s="76">
        <f t="shared" si="1"/>
        <v>11.904761904761905</v>
      </c>
      <c r="AT43" s="7"/>
      <c r="AU43" s="7"/>
      <c r="AV43" s="7"/>
      <c r="AW43" s="7"/>
      <c r="AX43" s="7"/>
      <c r="AY43" s="7"/>
      <c r="AZ43" s="7"/>
      <c r="BA43" s="7"/>
      <c r="BB43" s="7"/>
      <c r="BC43" s="7"/>
      <c r="BD43" s="7"/>
      <c r="BE43" s="7"/>
      <c r="BF43" s="3"/>
      <c r="BG43" s="3"/>
      <c r="BH43" s="3"/>
      <c r="BI43" s="3"/>
      <c r="BJ43" s="3"/>
      <c r="BK43" s="3"/>
      <c r="BL43" s="3"/>
      <c r="BM43" s="3"/>
      <c r="BN43" s="3"/>
      <c r="BO43" s="3"/>
      <c r="BP43" s="3"/>
      <c r="BQ43" s="3"/>
      <c r="BR43" s="3"/>
      <c r="BS43" s="3"/>
      <c r="BT43" s="3"/>
      <c r="BU43" s="3"/>
      <c r="BV43" s="3"/>
      <c r="BW43" s="3"/>
    </row>
    <row r="44" spans="1:75" x14ac:dyDescent="0.3">
      <c r="A44" s="8" t="s">
        <v>23</v>
      </c>
      <c r="B44" s="9" t="s">
        <v>24</v>
      </c>
      <c r="C44" s="7"/>
      <c r="D44" s="7"/>
      <c r="E44" s="7"/>
      <c r="F44" s="71"/>
      <c r="G44" s="51">
        <f t="shared" si="26"/>
        <v>0</v>
      </c>
      <c r="H44" s="52">
        <f t="shared" si="27"/>
        <v>0</v>
      </c>
      <c r="I44" s="53"/>
      <c r="J44" s="52">
        <f t="shared" si="28"/>
        <v>0</v>
      </c>
      <c r="K44" s="53"/>
      <c r="L44" s="52">
        <f t="shared" si="29"/>
        <v>0</v>
      </c>
      <c r="M44" s="23"/>
      <c r="N44" s="51">
        <f t="shared" si="30"/>
        <v>0</v>
      </c>
      <c r="O44" s="52" t="e">
        <f t="shared" si="47"/>
        <v>#DIV/0!</v>
      </c>
      <c r="P44" s="53"/>
      <c r="Q44" s="52" t="e">
        <f t="shared" si="48"/>
        <v>#DIV/0!</v>
      </c>
      <c r="R44" s="53"/>
      <c r="S44" s="52" t="e">
        <f t="shared" si="31"/>
        <v>#DIV/0!</v>
      </c>
      <c r="T44" s="3"/>
      <c r="U44" s="51">
        <f t="shared" si="32"/>
        <v>0</v>
      </c>
      <c r="V44" s="52" t="e">
        <f t="shared" si="33"/>
        <v>#DIV/0!</v>
      </c>
      <c r="W44" s="53"/>
      <c r="X44" s="52" t="e">
        <f t="shared" si="34"/>
        <v>#DIV/0!</v>
      </c>
      <c r="Y44" s="53"/>
      <c r="Z44" s="52" t="e">
        <f t="shared" si="35"/>
        <v>#DIV/0!</v>
      </c>
      <c r="AA44" s="3"/>
      <c r="AB44" s="62">
        <f t="shared" si="6"/>
        <v>0</v>
      </c>
      <c r="AC44" s="52">
        <f t="shared" si="36"/>
        <v>0</v>
      </c>
      <c r="AD44" s="7"/>
      <c r="AE44" s="7"/>
      <c r="AF44" s="9" t="str">
        <f t="shared" si="37"/>
        <v>S/R Sin Respuesta</v>
      </c>
      <c r="AG44" s="72">
        <f t="shared" si="38"/>
        <v>0</v>
      </c>
      <c r="AH44" s="72">
        <f t="shared" si="39"/>
        <v>0</v>
      </c>
      <c r="AI44" s="73">
        <f t="shared" si="40"/>
        <v>0</v>
      </c>
      <c r="AJ44" s="73"/>
      <c r="AK44" s="76" t="e">
        <f t="shared" si="41"/>
        <v>#DIV/0!</v>
      </c>
      <c r="AL44" s="76" t="e">
        <f t="shared" si="42"/>
        <v>#DIV/0!</v>
      </c>
      <c r="AM44" s="76" t="e">
        <f t="shared" si="43"/>
        <v>#DIV/0!</v>
      </c>
      <c r="AN44" s="76"/>
      <c r="AO44" s="81" t="e">
        <f t="shared" si="44"/>
        <v>#DIV/0!</v>
      </c>
      <c r="AP44" s="81" t="e">
        <f t="shared" si="45"/>
        <v>#DIV/0!</v>
      </c>
      <c r="AQ44" s="81" t="e">
        <f t="shared" si="46"/>
        <v>#DIV/0!</v>
      </c>
      <c r="AR44" s="7"/>
      <c r="AS44" s="76">
        <f t="shared" si="1"/>
        <v>0</v>
      </c>
      <c r="AT44" s="7"/>
      <c r="AU44" s="7"/>
      <c r="AV44" s="7"/>
      <c r="AW44" s="7"/>
      <c r="AX44" s="7"/>
      <c r="AY44" s="7"/>
      <c r="AZ44" s="7"/>
      <c r="BA44" s="7"/>
      <c r="BB44" s="7"/>
      <c r="BC44" s="7"/>
      <c r="BD44" s="7"/>
      <c r="BE44" s="7"/>
      <c r="BF44" s="3"/>
      <c r="BG44" s="3"/>
      <c r="BH44" s="3"/>
      <c r="BI44" s="3"/>
      <c r="BJ44" s="3"/>
      <c r="BK44" s="3"/>
      <c r="BL44" s="3"/>
      <c r="BM44" s="3"/>
      <c r="BN44" s="3"/>
      <c r="BO44" s="3"/>
      <c r="BP44" s="3"/>
      <c r="BQ44" s="3"/>
      <c r="BR44" s="3"/>
      <c r="BS44" s="3"/>
      <c r="BT44" s="3"/>
      <c r="BU44" s="3"/>
      <c r="BV44" s="3"/>
      <c r="BW44" s="3"/>
    </row>
    <row r="45" spans="1:75" x14ac:dyDescent="0.3">
      <c r="A45" s="8"/>
      <c r="B45" s="9"/>
      <c r="C45" s="7"/>
      <c r="D45" s="7"/>
      <c r="E45" s="7"/>
      <c r="F45" s="7"/>
      <c r="G45" s="7"/>
      <c r="H45" s="7"/>
      <c r="I45" s="7"/>
      <c r="J45" s="7"/>
      <c r="K45" s="7"/>
      <c r="L45" s="7"/>
      <c r="M45" s="7"/>
      <c r="N45" s="7"/>
      <c r="O45" s="7"/>
      <c r="P45" s="7"/>
      <c r="Q45" s="7"/>
      <c r="R45" s="7"/>
      <c r="S45" s="7"/>
      <c r="T45" s="7"/>
      <c r="U45" s="7"/>
      <c r="V45" s="7"/>
      <c r="W45" s="7"/>
      <c r="X45" s="7"/>
      <c r="Y45" s="7"/>
      <c r="Z45" s="7"/>
      <c r="AA45" s="7"/>
      <c r="AB45" s="6"/>
      <c r="AC45" s="41"/>
      <c r="AD45" s="7"/>
      <c r="AE45" s="7"/>
      <c r="AF45" s="7"/>
      <c r="AG45" s="7"/>
      <c r="AH45" s="7"/>
      <c r="AI45" s="7"/>
      <c r="AJ45" s="7"/>
      <c r="AK45" s="7"/>
      <c r="AL45" s="7"/>
      <c r="AM45" s="7"/>
      <c r="AN45" s="7"/>
      <c r="AO45" s="7"/>
      <c r="AP45" s="7"/>
      <c r="AQ45" s="7"/>
      <c r="AR45" s="7"/>
      <c r="AS45" s="76"/>
      <c r="AT45" s="7"/>
      <c r="AU45" s="7"/>
      <c r="AV45" s="7"/>
      <c r="AW45" s="7"/>
      <c r="AX45" s="7"/>
      <c r="AY45" s="7"/>
      <c r="AZ45" s="7"/>
      <c r="BA45" s="7"/>
      <c r="BB45" s="7"/>
      <c r="BC45" s="7"/>
      <c r="BD45" s="7"/>
      <c r="BE45" s="7"/>
      <c r="BF45" s="3"/>
      <c r="BG45" s="3"/>
      <c r="BH45" s="3"/>
      <c r="BI45" s="3"/>
      <c r="BJ45" s="3"/>
      <c r="BK45" s="3"/>
      <c r="BL45" s="3"/>
      <c r="BM45" s="3"/>
      <c r="BN45" s="3"/>
      <c r="BO45" s="3"/>
      <c r="BP45" s="3"/>
      <c r="BQ45" s="3"/>
      <c r="BR45" s="3"/>
      <c r="BS45" s="3"/>
      <c r="BT45" s="3"/>
      <c r="BU45" s="3"/>
      <c r="BV45" s="3"/>
      <c r="BW45" s="3"/>
    </row>
    <row r="46" spans="1:75" x14ac:dyDescent="0.3">
      <c r="A46" s="70" t="s">
        <v>47</v>
      </c>
      <c r="B46" s="9" t="s">
        <v>48</v>
      </c>
      <c r="C46" s="7"/>
      <c r="D46" s="7"/>
      <c r="E46" s="7"/>
      <c r="F46" s="71"/>
      <c r="G46" s="51"/>
      <c r="H46" s="52"/>
      <c r="I46" s="53"/>
      <c r="J46" s="52"/>
      <c r="K46" s="53"/>
      <c r="L46" s="66"/>
      <c r="M46" s="23"/>
      <c r="N46" s="51"/>
      <c r="O46" s="52"/>
      <c r="P46" s="53"/>
      <c r="Q46" s="52"/>
      <c r="R46" s="53"/>
      <c r="S46" s="66"/>
      <c r="T46" s="3"/>
      <c r="U46" s="51"/>
      <c r="V46" s="52"/>
      <c r="W46" s="53"/>
      <c r="X46" s="52"/>
      <c r="Y46" s="53"/>
      <c r="Z46" s="66"/>
      <c r="AA46" s="3"/>
      <c r="AB46" s="62"/>
      <c r="AC46" s="52"/>
      <c r="AD46" s="7"/>
      <c r="AE46" s="7"/>
      <c r="AF46" s="88" t="str">
        <f t="shared" ref="AF46:AF51" si="49">A46&amp;" "&amp;B46</f>
        <v>08 ¿En términos generales consideras que eres feliz?</v>
      </c>
      <c r="AG46" s="7"/>
      <c r="AH46" s="7"/>
      <c r="AI46" s="7"/>
      <c r="AJ46" s="7"/>
      <c r="AK46" s="7"/>
      <c r="AL46" s="7"/>
      <c r="AM46" s="7"/>
      <c r="AN46" s="7"/>
      <c r="AO46" s="7"/>
      <c r="AP46" s="7"/>
      <c r="AQ46" s="7"/>
      <c r="AR46" s="7"/>
      <c r="AS46" s="76"/>
      <c r="AT46" s="7"/>
      <c r="AU46" s="7"/>
      <c r="AV46" s="7"/>
      <c r="AW46" s="7"/>
      <c r="AX46" s="7"/>
      <c r="AY46" s="7"/>
      <c r="AZ46" s="7"/>
      <c r="BA46" s="7"/>
      <c r="BB46" s="7"/>
      <c r="BC46" s="7"/>
      <c r="BD46" s="7"/>
      <c r="BE46" s="7"/>
      <c r="BF46" s="3"/>
      <c r="BG46" s="3"/>
      <c r="BH46" s="3"/>
      <c r="BI46" s="3"/>
      <c r="BJ46" s="3"/>
      <c r="BK46" s="3"/>
      <c r="BL46" s="3"/>
      <c r="BM46" s="3"/>
      <c r="BN46" s="3"/>
      <c r="BO46" s="3"/>
      <c r="BP46" s="3"/>
      <c r="BQ46" s="3"/>
      <c r="BR46" s="3"/>
      <c r="BS46" s="3"/>
      <c r="BT46" s="3"/>
      <c r="BU46" s="3"/>
      <c r="BV46" s="3"/>
      <c r="BW46" s="3"/>
    </row>
    <row r="47" spans="1:75" x14ac:dyDescent="0.3">
      <c r="A47" s="8" t="s">
        <v>17</v>
      </c>
      <c r="B47" s="9" t="s">
        <v>49</v>
      </c>
      <c r="C47" s="7"/>
      <c r="D47" s="7"/>
      <c r="E47" s="7"/>
      <c r="F47" s="71">
        <v>100</v>
      </c>
      <c r="G47" s="51">
        <f>I47+K47</f>
        <v>33</v>
      </c>
      <c r="H47" s="52">
        <f>G47/$J$5*100</f>
        <v>78.571428571428569</v>
      </c>
      <c r="I47" s="53">
        <f>COUNTIFS('00 Encuesta'!$B$2:$B$511,"*f)*",'00 Encuesta'!$C$2:$C$511,"*a)*",'00 Encuesta'!$E$2:$E$511,"*a)*",'00 Encuesta'!$I$2:$I$511,"*a)*")</f>
        <v>17</v>
      </c>
      <c r="J47" s="52">
        <f>I47/$J$6*100</f>
        <v>77.272727272727266</v>
      </c>
      <c r="K47" s="53">
        <f>COUNTIFS('00 Encuesta'!$B$2:$B$511,"*f)*",'00 Encuesta'!$C$2:$C$511,"*a)*",'00 Encuesta'!$E$2:$E$511,"*b)*",'00 Encuesta'!$I$2:$I$511,"*a)*")</f>
        <v>16</v>
      </c>
      <c r="L47" s="52">
        <f>K47/$J$7*100</f>
        <v>80</v>
      </c>
      <c r="M47" s="23"/>
      <c r="N47" s="51">
        <f>P47+R47</f>
        <v>0</v>
      </c>
      <c r="O47" s="52" t="e">
        <f>N47/$Q$5*100</f>
        <v>#DIV/0!</v>
      </c>
      <c r="P47" s="53">
        <f>COUNTIFS('00 Encuesta'!$B$2:$B$511,"*f)*",'00 Encuesta'!$C$2:$C$511,"*b)*",'00 Encuesta'!$E$2:$E$511,"*a)*",'00 Encuesta'!$I$2:$I$511,"*a)*")</f>
        <v>0</v>
      </c>
      <c r="Q47" s="52" t="e">
        <f>P47/$Q$6*100</f>
        <v>#DIV/0!</v>
      </c>
      <c r="R47" s="53">
        <f>COUNTIFS('00 Encuesta'!$B$2:$B$511,"*f)*",'00 Encuesta'!$C$2:$C$511,"*b)*",'00 Encuesta'!$E$2:$E$511,"*b)*",'00 Encuesta'!$I$2:$I$511,"*a)*")</f>
        <v>0</v>
      </c>
      <c r="S47" s="52" t="e">
        <f>R47/$Q$7*100</f>
        <v>#DIV/0!</v>
      </c>
      <c r="T47" s="3"/>
      <c r="U47" s="51">
        <f>W47+Y47</f>
        <v>0</v>
      </c>
      <c r="V47" s="52" t="e">
        <f>U47/$X$5*100</f>
        <v>#DIV/0!</v>
      </c>
      <c r="W47" s="53">
        <f>COUNTIFS('00 Encuesta'!$B$2:$B$511,"*f)*",'00 Encuesta'!$C$2:$C$511,"*c)*",'00 Encuesta'!$E$2:$E$511,"*a)*",'00 Encuesta'!$I$2:$I$511,"*a)*")</f>
        <v>0</v>
      </c>
      <c r="X47" s="52" t="e">
        <f>W47/$X$6*100</f>
        <v>#DIV/0!</v>
      </c>
      <c r="Y47" s="53">
        <f>COUNTIFS('00 Encuesta'!$B$2:$B$511,"*f)*",'00 Encuesta'!$C$2:$C$511,"*c)*",'00 Encuesta'!$E$2:$E$511,"*b)*",'00 Encuesta'!$I$2:$I$511,"*a)*")</f>
        <v>0</v>
      </c>
      <c r="Z47" s="52" t="e">
        <f>Y47/$X$7*100</f>
        <v>#DIV/0!</v>
      </c>
      <c r="AA47" s="3"/>
      <c r="AB47" s="62">
        <f t="shared" si="6"/>
        <v>33</v>
      </c>
      <c r="AC47" s="52">
        <f>AB47*100/$AC$5</f>
        <v>78.571428571428569</v>
      </c>
      <c r="AD47" s="7"/>
      <c r="AE47" s="7"/>
      <c r="AF47" s="9" t="str">
        <f t="shared" si="49"/>
        <v>a) Si</v>
      </c>
      <c r="AG47" s="72">
        <f>J47</f>
        <v>77.272727272727266</v>
      </c>
      <c r="AH47" s="72">
        <f>L47</f>
        <v>80</v>
      </c>
      <c r="AI47" s="73">
        <f>H47</f>
        <v>78.571428571428569</v>
      </c>
      <c r="AJ47" s="73"/>
      <c r="AK47" s="76" t="e">
        <f>Q47</f>
        <v>#DIV/0!</v>
      </c>
      <c r="AL47" s="76" t="e">
        <f>S47</f>
        <v>#DIV/0!</v>
      </c>
      <c r="AM47" s="76" t="e">
        <f>O47</f>
        <v>#DIV/0!</v>
      </c>
      <c r="AN47" s="76"/>
      <c r="AO47" s="81" t="e">
        <f>X47</f>
        <v>#DIV/0!</v>
      </c>
      <c r="AP47" s="81" t="e">
        <f>Z47</f>
        <v>#DIV/0!</v>
      </c>
      <c r="AQ47" s="81" t="e">
        <f>V47</f>
        <v>#DIV/0!</v>
      </c>
      <c r="AR47" s="7"/>
      <c r="AS47" s="76">
        <f t="shared" si="1"/>
        <v>78.571428571428569</v>
      </c>
      <c r="AT47" s="7"/>
      <c r="AU47" s="7"/>
      <c r="AV47" s="7"/>
      <c r="AW47" s="7"/>
      <c r="AX47" s="7"/>
      <c r="AY47" s="7"/>
      <c r="AZ47" s="7"/>
      <c r="BA47" s="7"/>
      <c r="BB47" s="7"/>
      <c r="BC47" s="7"/>
      <c r="BD47" s="7"/>
      <c r="BE47" s="7"/>
      <c r="BF47" s="3"/>
      <c r="BG47" s="3"/>
      <c r="BH47" s="3"/>
      <c r="BI47" s="3"/>
      <c r="BJ47" s="3"/>
      <c r="BK47" s="3"/>
      <c r="BL47" s="3"/>
      <c r="BM47" s="3"/>
      <c r="BN47" s="3"/>
      <c r="BO47" s="3"/>
      <c r="BP47" s="3"/>
      <c r="BQ47" s="3"/>
      <c r="BR47" s="3"/>
      <c r="BS47" s="3"/>
      <c r="BT47" s="3"/>
      <c r="BU47" s="3"/>
      <c r="BV47" s="3"/>
      <c r="BW47" s="3"/>
    </row>
    <row r="48" spans="1:75" x14ac:dyDescent="0.3">
      <c r="A48" s="8" t="s">
        <v>18</v>
      </c>
      <c r="B48" s="9" t="s">
        <v>50</v>
      </c>
      <c r="C48" s="7"/>
      <c r="D48" s="7"/>
      <c r="E48" s="7"/>
      <c r="F48" s="71">
        <v>0</v>
      </c>
      <c r="G48" s="51">
        <f>I48+K48</f>
        <v>0</v>
      </c>
      <c r="H48" s="52">
        <f>G48/$J$5*100</f>
        <v>0</v>
      </c>
      <c r="I48" s="53">
        <f>COUNTIFS('00 Encuesta'!$B$2:$B$511,"*f)*",'00 Encuesta'!$C$2:$C$511,"*a)*",'00 Encuesta'!$E$2:$E$511,"*a)*",'00 Encuesta'!$I$2:$I$511,"*b)*")</f>
        <v>0</v>
      </c>
      <c r="J48" s="52">
        <f>I48/$J$6*100</f>
        <v>0</v>
      </c>
      <c r="K48" s="53">
        <f>COUNTIFS('00 Encuesta'!$B$2:$B$511,"*f)*",'00 Encuesta'!$C$2:$C$511,"*a)*",'00 Encuesta'!$E$2:$E$511,"*b)*",'00 Encuesta'!$I$2:$I$511,"*b)*")</f>
        <v>0</v>
      </c>
      <c r="L48" s="52">
        <f>K48/$J$7*100</f>
        <v>0</v>
      </c>
      <c r="M48" s="23"/>
      <c r="N48" s="51">
        <f>P48+R48</f>
        <v>0</v>
      </c>
      <c r="O48" s="52" t="e">
        <f>N48/$Q$5*100</f>
        <v>#DIV/0!</v>
      </c>
      <c r="P48" s="53">
        <f>COUNTIFS('00 Encuesta'!$B$2:$B$511,"*f)*",'00 Encuesta'!$C$2:$C$511,"*b)*",'00 Encuesta'!$E$2:$E$511,"*a)*",'00 Encuesta'!$I$2:$I$511,"*b)*")</f>
        <v>0</v>
      </c>
      <c r="Q48" s="52" t="e">
        <f>P48/$Q$6*100</f>
        <v>#DIV/0!</v>
      </c>
      <c r="R48" s="53">
        <f>COUNTIFS('00 Encuesta'!$B$2:$B$511,"*f)*",'00 Encuesta'!$C$2:$C$511,"*b)*",'00 Encuesta'!$E$2:$E$511,"*b)*",'00 Encuesta'!$I$2:$I$511,"*b)*")</f>
        <v>0</v>
      </c>
      <c r="S48" s="52" t="e">
        <f>R48/$Q$7*100</f>
        <v>#DIV/0!</v>
      </c>
      <c r="T48" s="3"/>
      <c r="U48" s="51">
        <f>W48+Y48</f>
        <v>0</v>
      </c>
      <c r="V48" s="52" t="e">
        <f>U48/$X$5*100</f>
        <v>#DIV/0!</v>
      </c>
      <c r="W48" s="53">
        <f>COUNTIFS('00 Encuesta'!$B$2:$B$511,"*f)*",'00 Encuesta'!$C$2:$C$511,"*c)*",'00 Encuesta'!$E$2:$E$511,"*a)*",'00 Encuesta'!$I$2:$I$511,"*b)*")</f>
        <v>0</v>
      </c>
      <c r="X48" s="52" t="e">
        <f>W48/$X$6*100</f>
        <v>#DIV/0!</v>
      </c>
      <c r="Y48" s="53">
        <f>COUNTIFS('00 Encuesta'!$B$2:$B$511,"*f)*",'00 Encuesta'!$C$2:$C$511,"*c)*",'00 Encuesta'!$E$2:$E$511,"*b)*",'00 Encuesta'!$I$2:$I$511,"*b)*")</f>
        <v>0</v>
      </c>
      <c r="Z48" s="52" t="e">
        <f>Y48/$X$7*100</f>
        <v>#DIV/0!</v>
      </c>
      <c r="AA48" s="3"/>
      <c r="AB48" s="62">
        <f t="shared" si="6"/>
        <v>0</v>
      </c>
      <c r="AC48" s="52">
        <f>AB48*100/$AC$5</f>
        <v>0</v>
      </c>
      <c r="AD48" s="7"/>
      <c r="AE48" s="7"/>
      <c r="AF48" s="9" t="str">
        <f t="shared" si="49"/>
        <v>b) No</v>
      </c>
      <c r="AG48" s="72">
        <f>J48</f>
        <v>0</v>
      </c>
      <c r="AH48" s="72">
        <f>L48</f>
        <v>0</v>
      </c>
      <c r="AI48" s="73">
        <f>H48</f>
        <v>0</v>
      </c>
      <c r="AJ48" s="73"/>
      <c r="AK48" s="76" t="e">
        <f>Q48</f>
        <v>#DIV/0!</v>
      </c>
      <c r="AL48" s="76" t="e">
        <f>S48</f>
        <v>#DIV/0!</v>
      </c>
      <c r="AM48" s="76" t="e">
        <f>O48</f>
        <v>#DIV/0!</v>
      </c>
      <c r="AN48" s="76"/>
      <c r="AO48" s="81" t="e">
        <f>X48</f>
        <v>#DIV/0!</v>
      </c>
      <c r="AP48" s="81" t="e">
        <f>Z48</f>
        <v>#DIV/0!</v>
      </c>
      <c r="AQ48" s="81" t="e">
        <f>V48</f>
        <v>#DIV/0!</v>
      </c>
      <c r="AR48" s="7"/>
      <c r="AS48" s="76">
        <f t="shared" si="1"/>
        <v>0</v>
      </c>
      <c r="AT48" s="7"/>
      <c r="AU48" s="7"/>
      <c r="AV48" s="7"/>
      <c r="AW48" s="7"/>
      <c r="AX48" s="7"/>
      <c r="AY48" s="7"/>
      <c r="AZ48" s="7"/>
      <c r="BA48" s="7"/>
      <c r="BB48" s="7"/>
      <c r="BC48" s="7"/>
      <c r="BD48" s="7"/>
      <c r="BE48" s="7"/>
      <c r="BF48" s="3"/>
      <c r="BG48" s="3"/>
      <c r="BH48" s="3"/>
      <c r="BI48" s="3"/>
      <c r="BJ48" s="3"/>
      <c r="BK48" s="3"/>
      <c r="BL48" s="3"/>
      <c r="BM48" s="3"/>
      <c r="BN48" s="3"/>
      <c r="BO48" s="3"/>
      <c r="BP48" s="3"/>
      <c r="BQ48" s="3"/>
      <c r="BR48" s="3"/>
      <c r="BS48" s="3"/>
      <c r="BT48" s="3"/>
      <c r="BU48" s="3"/>
      <c r="BV48" s="3"/>
      <c r="BW48" s="3"/>
    </row>
    <row r="49" spans="1:75" x14ac:dyDescent="0.3">
      <c r="A49" s="8" t="s">
        <v>20</v>
      </c>
      <c r="B49" s="9" t="s">
        <v>51</v>
      </c>
      <c r="C49" s="7"/>
      <c r="D49" s="7"/>
      <c r="E49" s="7"/>
      <c r="F49" s="71">
        <v>50</v>
      </c>
      <c r="G49" s="51">
        <f>I49+K49</f>
        <v>6</v>
      </c>
      <c r="H49" s="52">
        <f>G49/$J$5*100</f>
        <v>14.285714285714285</v>
      </c>
      <c r="I49" s="53">
        <f>COUNTIFS('00 Encuesta'!$B$2:$B$511,"*f)*",'00 Encuesta'!$C$2:$C$511,"*a)*",'00 Encuesta'!$E$2:$E$511,"*a)*",'00 Encuesta'!$I$2:$I$511,"*c)*")</f>
        <v>3</v>
      </c>
      <c r="J49" s="52">
        <f>I49/$J$6*100</f>
        <v>13.636363636363635</v>
      </c>
      <c r="K49" s="53">
        <f>COUNTIFS('00 Encuesta'!$B$2:$B$511,"*f)*",'00 Encuesta'!$C$2:$C$511,"*a)*",'00 Encuesta'!$E$2:$E$511,"*b)*",'00 Encuesta'!$I$2:$I$511,"*c)*")</f>
        <v>3</v>
      </c>
      <c r="L49" s="52">
        <f>K49/$J$7*100</f>
        <v>15</v>
      </c>
      <c r="M49" s="23"/>
      <c r="N49" s="51">
        <f>P49+R49</f>
        <v>0</v>
      </c>
      <c r="O49" s="52" t="e">
        <f>N49/$Q$5*100</f>
        <v>#DIV/0!</v>
      </c>
      <c r="P49" s="53">
        <f>COUNTIFS('00 Encuesta'!$B$2:$B$511,"*f)*",'00 Encuesta'!$C$2:$C$511,"*b)*",'00 Encuesta'!$E$2:$E$511,"*a)*",'00 Encuesta'!$I$2:$I$511,"*c)*")</f>
        <v>0</v>
      </c>
      <c r="Q49" s="52" t="e">
        <f>P49/$Q$6*100</f>
        <v>#DIV/0!</v>
      </c>
      <c r="R49" s="53">
        <f>COUNTIFS('00 Encuesta'!$B$2:$B$511,"*f)*",'00 Encuesta'!$C$2:$C$511,"*b)*",'00 Encuesta'!$E$2:$E$511,"*b)*",'00 Encuesta'!$I$2:$I$511,"*c)*")</f>
        <v>0</v>
      </c>
      <c r="S49" s="52" t="e">
        <f>R49/$Q$7*100</f>
        <v>#DIV/0!</v>
      </c>
      <c r="T49" s="3"/>
      <c r="U49" s="51">
        <f>W49+Y49</f>
        <v>0</v>
      </c>
      <c r="V49" s="52" t="e">
        <f>U49/$X$5*100</f>
        <v>#DIV/0!</v>
      </c>
      <c r="W49" s="53">
        <f>COUNTIFS('00 Encuesta'!$B$2:$B$511,"*f)*",'00 Encuesta'!$C$2:$C$511,"*c)*",'00 Encuesta'!$E$2:$E$511,"*a)*",'00 Encuesta'!$I$2:$I$511,"*c)*")</f>
        <v>0</v>
      </c>
      <c r="X49" s="52" t="e">
        <f>W49/$X$6*100</f>
        <v>#DIV/0!</v>
      </c>
      <c r="Y49" s="53">
        <f>COUNTIFS('00 Encuesta'!$B$2:$B$511,"*f)*",'00 Encuesta'!$C$2:$C$511,"*c)*",'00 Encuesta'!$E$2:$E$511,"*b)*",'00 Encuesta'!$I$2:$I$511,"*c)*")</f>
        <v>0</v>
      </c>
      <c r="Z49" s="52" t="e">
        <f>Y49/$X$7*100</f>
        <v>#DIV/0!</v>
      </c>
      <c r="AA49" s="3"/>
      <c r="AB49" s="62">
        <f t="shared" si="6"/>
        <v>6</v>
      </c>
      <c r="AC49" s="52">
        <f>AB49*100/$AC$5</f>
        <v>14.285714285714286</v>
      </c>
      <c r="AD49" s="7"/>
      <c r="AE49" s="7"/>
      <c r="AF49" s="9" t="str">
        <f t="shared" si="49"/>
        <v>c) Algo</v>
      </c>
      <c r="AG49" s="72">
        <f>J49</f>
        <v>13.636363636363635</v>
      </c>
      <c r="AH49" s="72">
        <f>L49</f>
        <v>15</v>
      </c>
      <c r="AI49" s="73">
        <f>H49</f>
        <v>14.285714285714285</v>
      </c>
      <c r="AJ49" s="73"/>
      <c r="AK49" s="76" t="e">
        <f>Q49</f>
        <v>#DIV/0!</v>
      </c>
      <c r="AL49" s="76" t="e">
        <f>S49</f>
        <v>#DIV/0!</v>
      </c>
      <c r="AM49" s="76" t="e">
        <f>O49</f>
        <v>#DIV/0!</v>
      </c>
      <c r="AN49" s="76"/>
      <c r="AO49" s="81" t="e">
        <f>X49</f>
        <v>#DIV/0!</v>
      </c>
      <c r="AP49" s="81" t="e">
        <f>Z49</f>
        <v>#DIV/0!</v>
      </c>
      <c r="AQ49" s="81" t="e">
        <f>V49</f>
        <v>#DIV/0!</v>
      </c>
      <c r="AR49" s="7"/>
      <c r="AS49" s="76">
        <f t="shared" si="1"/>
        <v>14.285714285714286</v>
      </c>
      <c r="AT49" s="7"/>
      <c r="AU49" s="7"/>
      <c r="AV49" s="7"/>
      <c r="AW49" s="7"/>
      <c r="AX49" s="7"/>
      <c r="AY49" s="7"/>
      <c r="AZ49" s="7"/>
      <c r="BA49" s="7"/>
      <c r="BB49" s="7"/>
      <c r="BC49" s="7"/>
      <c r="BD49" s="7"/>
      <c r="BE49" s="7"/>
      <c r="BF49" s="3"/>
      <c r="BG49" s="3"/>
      <c r="BH49" s="3"/>
      <c r="BI49" s="3"/>
      <c r="BJ49" s="3"/>
      <c r="BK49" s="3"/>
      <c r="BL49" s="3"/>
      <c r="BM49" s="3"/>
      <c r="BN49" s="3"/>
      <c r="BO49" s="3"/>
      <c r="BP49" s="3"/>
      <c r="BQ49" s="3"/>
      <c r="BR49" s="3"/>
      <c r="BS49" s="3"/>
      <c r="BT49" s="3"/>
      <c r="BU49" s="3"/>
      <c r="BV49" s="3"/>
      <c r="BW49" s="3"/>
    </row>
    <row r="50" spans="1:75" x14ac:dyDescent="0.3">
      <c r="A50" s="8" t="s">
        <v>21</v>
      </c>
      <c r="B50" s="9" t="s">
        <v>52</v>
      </c>
      <c r="C50" s="7"/>
      <c r="D50" s="7"/>
      <c r="E50" s="7"/>
      <c r="F50" s="71"/>
      <c r="G50" s="51">
        <f>I50+K50</f>
        <v>2</v>
      </c>
      <c r="H50" s="52">
        <f>G50/$J$5*100</f>
        <v>4.7619047619047619</v>
      </c>
      <c r="I50" s="53">
        <f>COUNTIFS('00 Encuesta'!$B$2:$B$511,"*f)*",'00 Encuesta'!$C$2:$C$511,"*a)*",'00 Encuesta'!$E$2:$E$511,"*a)*",'00 Encuesta'!$I$2:$I$511,"*d)*")</f>
        <v>1</v>
      </c>
      <c r="J50" s="52">
        <f>I50/$J$6*100</f>
        <v>4.5454545454545459</v>
      </c>
      <c r="K50" s="53">
        <f>COUNTIFS('00 Encuesta'!$B$2:$B$511,"*f)*",'00 Encuesta'!$C$2:$C$511,"*a)*",'00 Encuesta'!$E$2:$E$511,"*b)*",'00 Encuesta'!$I$2:$I$511,"*d)*")</f>
        <v>1</v>
      </c>
      <c r="L50" s="52">
        <f>K50/$J$7*100</f>
        <v>5</v>
      </c>
      <c r="M50" s="23"/>
      <c r="N50" s="51">
        <f>P50+R50</f>
        <v>0</v>
      </c>
      <c r="O50" s="52" t="e">
        <f>N50/$Q$5*100</f>
        <v>#DIV/0!</v>
      </c>
      <c r="P50" s="53">
        <f>COUNTIFS('00 Encuesta'!$B$2:$B$511,"*f)*",'00 Encuesta'!$C$2:$C$511,"*b)*",'00 Encuesta'!$E$2:$E$511,"*a)*",'00 Encuesta'!$I$2:$I$511,"*d)*")</f>
        <v>0</v>
      </c>
      <c r="Q50" s="52" t="e">
        <f>P50/$Q$6*100</f>
        <v>#DIV/0!</v>
      </c>
      <c r="R50" s="53">
        <f>COUNTIFS('00 Encuesta'!$B$2:$B$511,"*f)*",'00 Encuesta'!$C$2:$C$511,"*b)*",'00 Encuesta'!$E$2:$E$511,"*b)*",'00 Encuesta'!$I$2:$I$511,"*d)*")</f>
        <v>0</v>
      </c>
      <c r="S50" s="52" t="e">
        <f>R50/$Q$7*100</f>
        <v>#DIV/0!</v>
      </c>
      <c r="T50" s="3"/>
      <c r="U50" s="51">
        <f>W50+Y50</f>
        <v>0</v>
      </c>
      <c r="V50" s="52" t="e">
        <f>U50/$X$5*100</f>
        <v>#DIV/0!</v>
      </c>
      <c r="W50" s="53">
        <f>COUNTIFS('00 Encuesta'!$B$2:$B$511,"*f)*",'00 Encuesta'!$C$2:$C$511,"*c)*",'00 Encuesta'!$E$2:$E$511,"*a)*",'00 Encuesta'!$I$2:$I$511,"*d)*")</f>
        <v>0</v>
      </c>
      <c r="X50" s="52" t="e">
        <f>W50/$X$6*100</f>
        <v>#DIV/0!</v>
      </c>
      <c r="Y50" s="53">
        <f>COUNTIFS('00 Encuesta'!$B$2:$B$511,"*f)*",'00 Encuesta'!$C$2:$C$511,"*c)*",'00 Encuesta'!$E$2:$E$511,"*b)*",'00 Encuesta'!$I$2:$I$511,"*d)*")</f>
        <v>0</v>
      </c>
      <c r="Z50" s="52" t="e">
        <f>Y50/$X$7*100</f>
        <v>#DIV/0!</v>
      </c>
      <c r="AA50" s="3"/>
      <c r="AB50" s="62">
        <f t="shared" si="6"/>
        <v>2</v>
      </c>
      <c r="AC50" s="52">
        <f>AB50*100/$AC$5</f>
        <v>4.7619047619047619</v>
      </c>
      <c r="AD50" s="7"/>
      <c r="AE50" s="7"/>
      <c r="AF50" s="9" t="str">
        <f t="shared" si="49"/>
        <v>d) No sé</v>
      </c>
      <c r="AG50" s="72">
        <f>J50</f>
        <v>4.5454545454545459</v>
      </c>
      <c r="AH50" s="72">
        <f>L50</f>
        <v>5</v>
      </c>
      <c r="AI50" s="73">
        <f>H50</f>
        <v>4.7619047619047619</v>
      </c>
      <c r="AJ50" s="73"/>
      <c r="AK50" s="76" t="e">
        <f>Q50</f>
        <v>#DIV/0!</v>
      </c>
      <c r="AL50" s="76" t="e">
        <f>S50</f>
        <v>#DIV/0!</v>
      </c>
      <c r="AM50" s="76" t="e">
        <f>O50</f>
        <v>#DIV/0!</v>
      </c>
      <c r="AN50" s="76"/>
      <c r="AO50" s="81" t="e">
        <f>X50</f>
        <v>#DIV/0!</v>
      </c>
      <c r="AP50" s="81" t="e">
        <f>Z50</f>
        <v>#DIV/0!</v>
      </c>
      <c r="AQ50" s="81" t="e">
        <f>V50</f>
        <v>#DIV/0!</v>
      </c>
      <c r="AR50" s="7"/>
      <c r="AS50" s="76">
        <f t="shared" si="1"/>
        <v>4.7619047619047619</v>
      </c>
      <c r="AT50" s="7"/>
      <c r="AU50" s="7"/>
      <c r="AV50" s="7"/>
      <c r="AW50" s="7"/>
      <c r="AX50" s="7"/>
      <c r="AY50" s="7"/>
      <c r="AZ50" s="7"/>
      <c r="BA50" s="7"/>
      <c r="BB50" s="7"/>
      <c r="BC50" s="7"/>
      <c r="BD50" s="7"/>
      <c r="BE50" s="7"/>
      <c r="BF50" s="3"/>
      <c r="BG50" s="3"/>
      <c r="BH50" s="3"/>
      <c r="BI50" s="3"/>
      <c r="BJ50" s="3"/>
      <c r="BK50" s="3"/>
      <c r="BL50" s="3"/>
      <c r="BM50" s="3"/>
      <c r="BN50" s="3"/>
      <c r="BO50" s="3"/>
      <c r="BP50" s="3"/>
      <c r="BQ50" s="3"/>
      <c r="BR50" s="3"/>
      <c r="BS50" s="3"/>
      <c r="BT50" s="3"/>
      <c r="BU50" s="3"/>
      <c r="BV50" s="3"/>
      <c r="BW50" s="3"/>
    </row>
    <row r="51" spans="1:75" x14ac:dyDescent="0.3">
      <c r="A51" s="8" t="s">
        <v>23</v>
      </c>
      <c r="B51" s="9" t="s">
        <v>24</v>
      </c>
      <c r="C51" s="7"/>
      <c r="D51" s="7"/>
      <c r="E51" s="7"/>
      <c r="F51" s="71"/>
      <c r="G51" s="51">
        <f>I51+K51</f>
        <v>0</v>
      </c>
      <c r="H51" s="52">
        <f>G51/$J$5*100</f>
        <v>0</v>
      </c>
      <c r="I51" s="53"/>
      <c r="J51" s="52">
        <f>I51/$J$6*100</f>
        <v>0</v>
      </c>
      <c r="K51" s="53"/>
      <c r="L51" s="52">
        <f>K51/$J$7*100</f>
        <v>0</v>
      </c>
      <c r="M51" s="23"/>
      <c r="N51" s="51">
        <f>P51+R51</f>
        <v>0</v>
      </c>
      <c r="O51" s="52" t="e">
        <f>N51/$Q$5*100</f>
        <v>#DIV/0!</v>
      </c>
      <c r="P51" s="53"/>
      <c r="Q51" s="52" t="e">
        <f>P51/$Q$6*100</f>
        <v>#DIV/0!</v>
      </c>
      <c r="R51" s="53"/>
      <c r="S51" s="52" t="e">
        <f>R51/$Q$7*100</f>
        <v>#DIV/0!</v>
      </c>
      <c r="T51" s="3"/>
      <c r="U51" s="51">
        <f>W51+Y51</f>
        <v>0</v>
      </c>
      <c r="V51" s="52" t="e">
        <f>U51/$X$5*100</f>
        <v>#DIV/0!</v>
      </c>
      <c r="W51" s="53"/>
      <c r="X51" s="52" t="e">
        <f>W51/$X$6*100</f>
        <v>#DIV/0!</v>
      </c>
      <c r="Y51" s="53"/>
      <c r="Z51" s="52" t="e">
        <f>Y51/$X$7*100</f>
        <v>#DIV/0!</v>
      </c>
      <c r="AA51" s="3"/>
      <c r="AB51" s="62">
        <f t="shared" si="6"/>
        <v>0</v>
      </c>
      <c r="AC51" s="52">
        <f>AB51*100/$AC$5</f>
        <v>0</v>
      </c>
      <c r="AD51" s="7"/>
      <c r="AE51" s="7"/>
      <c r="AF51" s="9" t="str">
        <f t="shared" si="49"/>
        <v>S/R Sin Respuesta</v>
      </c>
      <c r="AG51" s="72">
        <f>J51</f>
        <v>0</v>
      </c>
      <c r="AH51" s="72">
        <f>L51</f>
        <v>0</v>
      </c>
      <c r="AI51" s="73">
        <f>H51</f>
        <v>0</v>
      </c>
      <c r="AJ51" s="73"/>
      <c r="AK51" s="76" t="e">
        <f>Q51</f>
        <v>#DIV/0!</v>
      </c>
      <c r="AL51" s="76" t="e">
        <f>S51</f>
        <v>#DIV/0!</v>
      </c>
      <c r="AM51" s="76" t="e">
        <f>O51</f>
        <v>#DIV/0!</v>
      </c>
      <c r="AN51" s="76"/>
      <c r="AO51" s="81" t="e">
        <f>X51</f>
        <v>#DIV/0!</v>
      </c>
      <c r="AP51" s="81" t="e">
        <f>Z51</f>
        <v>#DIV/0!</v>
      </c>
      <c r="AQ51" s="81" t="e">
        <f>V51</f>
        <v>#DIV/0!</v>
      </c>
      <c r="AR51" s="7"/>
      <c r="AS51" s="76">
        <f t="shared" si="1"/>
        <v>0</v>
      </c>
      <c r="AT51" s="7"/>
      <c r="AU51" s="7"/>
      <c r="AV51" s="7"/>
      <c r="AW51" s="7"/>
      <c r="AX51" s="7"/>
      <c r="AY51" s="7"/>
      <c r="AZ51" s="7"/>
      <c r="BA51" s="7"/>
      <c r="BB51" s="7"/>
      <c r="BC51" s="7"/>
      <c r="BD51" s="7"/>
      <c r="BE51" s="7"/>
      <c r="BF51" s="3"/>
      <c r="BG51" s="3"/>
      <c r="BH51" s="3"/>
      <c r="BI51" s="3"/>
      <c r="BJ51" s="3"/>
      <c r="BK51" s="3"/>
      <c r="BL51" s="3"/>
      <c r="BM51" s="3"/>
      <c r="BN51" s="3"/>
      <c r="BO51" s="3"/>
      <c r="BP51" s="3"/>
      <c r="BQ51" s="3"/>
      <c r="BR51" s="3"/>
      <c r="BS51" s="3"/>
      <c r="BT51" s="3"/>
      <c r="BU51" s="3"/>
      <c r="BV51" s="3"/>
      <c r="BW51" s="3"/>
    </row>
    <row r="52" spans="1:75" x14ac:dyDescent="0.3">
      <c r="A52" s="8"/>
      <c r="B52" s="9"/>
      <c r="C52" s="7"/>
      <c r="D52" s="7"/>
      <c r="E52" s="7"/>
      <c r="F52" s="7"/>
      <c r="G52" s="7"/>
      <c r="H52" s="7"/>
      <c r="I52" s="7"/>
      <c r="J52" s="7"/>
      <c r="K52" s="7"/>
      <c r="L52" s="7"/>
      <c r="M52" s="7"/>
      <c r="N52" s="7"/>
      <c r="O52" s="7"/>
      <c r="P52" s="7"/>
      <c r="Q52" s="7"/>
      <c r="R52" s="7"/>
      <c r="S52" s="7"/>
      <c r="T52" s="7"/>
      <c r="U52" s="7"/>
      <c r="V52" s="7"/>
      <c r="W52" s="7"/>
      <c r="X52" s="7"/>
      <c r="Y52" s="7"/>
      <c r="Z52" s="7"/>
      <c r="AA52" s="7"/>
      <c r="AB52" s="6"/>
      <c r="AC52" s="41"/>
      <c r="AD52" s="7"/>
      <c r="AE52" s="7"/>
      <c r="AF52" s="7"/>
      <c r="AG52" s="82">
        <f>(+$F47*I47+$F48*I48+$F49*I49+$F50*I50)/(+I47+I48+I49+I50)</f>
        <v>88.095238095238102</v>
      </c>
      <c r="AH52" s="82">
        <f>($F47*K47+$F48*K48+$F49*K49+$F50*K50)/(+K47+K48+K49+K50)</f>
        <v>87.5</v>
      </c>
      <c r="AI52" s="82">
        <f>($F47*G47+$F48*G48+$F49*G49+$F50*G50)/(G47+G48+G49+G50)</f>
        <v>87.804878048780495</v>
      </c>
      <c r="AJ52" s="82"/>
      <c r="AK52" s="82" t="e">
        <f>($F47*P47+$F48*P48+$F49*P49+$F50*P50)/(P47+P48+P49+P50)</f>
        <v>#DIV/0!</v>
      </c>
      <c r="AL52" s="82" t="e">
        <f>($F47*R47+$F48*R48+$F49*R49+$F50*R50)/(R47+R48+R49+R50)</f>
        <v>#DIV/0!</v>
      </c>
      <c r="AM52" s="82" t="e">
        <f>($F47*N47+$F48*N48+$F49*N49+$F50*N50)/(N47+N48+N49+N50)</f>
        <v>#DIV/0!</v>
      </c>
      <c r="AN52" s="82"/>
      <c r="AO52" s="82" t="e">
        <f>($F47*W47+$F48*W48+$F49*W49+$F50*W50)/(W47+W48+W49+W50)</f>
        <v>#DIV/0!</v>
      </c>
      <c r="AP52" s="82" t="e">
        <f>($F47*Y47+$F48*Y48+$F49*Y49+$F50*Y50)/(Y47+Y48+Y49+Y50)</f>
        <v>#DIV/0!</v>
      </c>
      <c r="AQ52" s="82" t="e">
        <f>($F47*U47+$F48*U48+$F49*U49+$F50*U50)/(U47+U48+U49+U50)</f>
        <v>#DIV/0!</v>
      </c>
      <c r="AR52" s="7"/>
      <c r="AS52" s="76"/>
      <c r="AT52" s="7"/>
      <c r="AU52" s="7"/>
      <c r="AV52" s="7"/>
      <c r="AW52" s="7"/>
      <c r="AX52" s="7"/>
      <c r="AY52" s="7"/>
      <c r="AZ52" s="7"/>
      <c r="BA52" s="7"/>
      <c r="BB52" s="7"/>
      <c r="BC52" s="7"/>
      <c r="BD52" s="7"/>
      <c r="BE52" s="7"/>
      <c r="BF52" s="3"/>
      <c r="BG52" s="3"/>
      <c r="BH52" s="3"/>
      <c r="BI52" s="3"/>
      <c r="BJ52" s="3"/>
      <c r="BK52" s="3"/>
      <c r="BL52" s="3"/>
      <c r="BM52" s="3"/>
      <c r="BN52" s="3"/>
      <c r="BO52" s="3"/>
      <c r="BP52" s="3"/>
      <c r="BQ52" s="3"/>
      <c r="BR52" s="3"/>
      <c r="BS52" s="3"/>
      <c r="BT52" s="3"/>
      <c r="BU52" s="3"/>
      <c r="BV52" s="3"/>
      <c r="BW52" s="3"/>
    </row>
    <row r="53" spans="1:75" x14ac:dyDescent="0.3">
      <c r="A53" s="70" t="s">
        <v>53</v>
      </c>
      <c r="B53" s="9" t="s">
        <v>54</v>
      </c>
      <c r="C53" s="7"/>
      <c r="D53" s="7"/>
      <c r="E53" s="7"/>
      <c r="F53" s="71"/>
      <c r="G53" s="51"/>
      <c r="H53" s="52"/>
      <c r="I53" s="53"/>
      <c r="J53" s="52"/>
      <c r="K53" s="53"/>
      <c r="L53" s="66"/>
      <c r="M53" s="23"/>
      <c r="N53" s="51"/>
      <c r="O53" s="52"/>
      <c r="P53" s="53"/>
      <c r="Q53" s="52"/>
      <c r="R53" s="53"/>
      <c r="S53" s="66"/>
      <c r="T53" s="3"/>
      <c r="U53" s="51"/>
      <c r="V53" s="52"/>
      <c r="W53" s="53"/>
      <c r="X53" s="52"/>
      <c r="Y53" s="53"/>
      <c r="Z53" s="66"/>
      <c r="AA53" s="3"/>
      <c r="AB53" s="62"/>
      <c r="AC53" s="52"/>
      <c r="AD53" s="7"/>
      <c r="AE53" s="7"/>
      <c r="AF53" s="88" t="str">
        <f>A53&amp;" "&amp;B53</f>
        <v>09 Bienes en perfecto funcionamiento: (V/R)</v>
      </c>
      <c r="AG53" s="7"/>
      <c r="AH53" s="7"/>
      <c r="AI53" s="7"/>
      <c r="AJ53" s="7"/>
      <c r="AK53" s="7"/>
      <c r="AL53" s="7"/>
      <c r="AM53" s="7"/>
      <c r="AN53" s="7"/>
      <c r="AO53" s="7"/>
      <c r="AP53" s="7"/>
      <c r="AQ53" s="7"/>
      <c r="AR53" s="7"/>
      <c r="AS53" s="76"/>
      <c r="AT53" s="7"/>
      <c r="AU53" s="7"/>
      <c r="AV53" s="7"/>
      <c r="AW53" s="7"/>
      <c r="AX53" s="7"/>
      <c r="AY53" s="7"/>
      <c r="AZ53" s="7"/>
      <c r="BA53" s="7"/>
      <c r="BB53" s="7"/>
      <c r="BC53" s="7"/>
      <c r="BD53" s="7"/>
      <c r="BE53" s="7"/>
      <c r="BF53" s="3"/>
      <c r="BG53" s="3"/>
      <c r="BH53" s="3"/>
      <c r="BI53" s="3"/>
      <c r="BJ53" s="3"/>
      <c r="BK53" s="3"/>
      <c r="BL53" s="3"/>
      <c r="BM53" s="3"/>
      <c r="BN53" s="3"/>
      <c r="BO53" s="3"/>
      <c r="BP53" s="3"/>
      <c r="BQ53" s="3"/>
      <c r="BR53" s="3"/>
      <c r="BS53" s="3"/>
      <c r="BT53" s="3"/>
      <c r="BU53" s="3"/>
      <c r="BV53" s="3"/>
      <c r="BW53" s="3"/>
    </row>
    <row r="54" spans="1:75" x14ac:dyDescent="0.3">
      <c r="A54" s="8" t="s">
        <v>17</v>
      </c>
      <c r="B54" s="9" t="s">
        <v>55</v>
      </c>
      <c r="C54" s="7"/>
      <c r="D54" s="7"/>
      <c r="E54" s="7"/>
      <c r="F54" s="71"/>
      <c r="G54" s="51">
        <f t="shared" ref="G54:G64" si="50">I54+K54</f>
        <v>22</v>
      </c>
      <c r="H54" s="52">
        <f t="shared" ref="H54:H64" si="51">G54/$J$5*100</f>
        <v>52.380952380952387</v>
      </c>
      <c r="I54" s="53">
        <f>COUNTIFS('00 Encuesta'!$B$2:$B$511,"*f)*",'00 Encuesta'!$C$2:$C$511,"*a)*",'00 Encuesta'!$E$2:$E$511,"*a)*",'00 Encuesta'!$J$2:$J$511,"*a)*")</f>
        <v>13</v>
      </c>
      <c r="J54" s="52">
        <f t="shared" ref="J54:J64" si="52">I54/$J$6*100</f>
        <v>59.090909090909093</v>
      </c>
      <c r="K54" s="53">
        <f>COUNTIFS('00 Encuesta'!$B$2:$B$511,"*f)*",'00 Encuesta'!$C$2:$C$511,"*a)*",'00 Encuesta'!$E$2:$E$511,"*b)*",'00 Encuesta'!$J$2:$J$511,"*a)*")</f>
        <v>9</v>
      </c>
      <c r="L54" s="52">
        <f t="shared" ref="L54:L64" si="53">K54/$J$7*100</f>
        <v>45</v>
      </c>
      <c r="M54" s="23"/>
      <c r="N54" s="51">
        <f t="shared" ref="N54:N64" si="54">P54+R54</f>
        <v>0</v>
      </c>
      <c r="O54" s="52" t="e">
        <f t="shared" ref="O54:O64" si="55">N54/$Q$5*100</f>
        <v>#DIV/0!</v>
      </c>
      <c r="P54" s="53">
        <f>COUNTIFS('00 Encuesta'!$B$2:$B$511,"*f)*",'00 Encuesta'!$C$2:$C$511,"*b)*",'00 Encuesta'!$E$2:$E$511,"*a)*",'00 Encuesta'!$J$2:$J$511,"*a)*")</f>
        <v>0</v>
      </c>
      <c r="Q54" s="52" t="e">
        <f t="shared" ref="Q54:Q64" si="56">P54/$Q$6*100</f>
        <v>#DIV/0!</v>
      </c>
      <c r="R54" s="53">
        <f>COUNTIFS('00 Encuesta'!$B$2:$B$511,"*f)*",'00 Encuesta'!$C$2:$C$511,"*b)*",'00 Encuesta'!$E$2:$E$511,"*b)*",'00 Encuesta'!$J$2:$J$511,"*a)*")</f>
        <v>0</v>
      </c>
      <c r="S54" s="52" t="e">
        <f t="shared" ref="S54:S64" si="57">R54/$Q$7*100</f>
        <v>#DIV/0!</v>
      </c>
      <c r="T54" s="3"/>
      <c r="U54" s="51">
        <f t="shared" ref="U54:U64" si="58">W54+Y54</f>
        <v>0</v>
      </c>
      <c r="V54" s="52" t="e">
        <f t="shared" ref="V54:V64" si="59">U54/$X$5*100</f>
        <v>#DIV/0!</v>
      </c>
      <c r="W54" s="53">
        <f>COUNTIFS('00 Encuesta'!$B$2:$B$511,"*f)*",'00 Encuesta'!$C$2:$C$511,"*c)*",'00 Encuesta'!$E$2:$E$511,"*a)*",'00 Encuesta'!$J$2:$J$511,"*a)*")</f>
        <v>0</v>
      </c>
      <c r="X54" s="52" t="e">
        <f t="shared" ref="X54:X64" si="60">W54/$X$6*100</f>
        <v>#DIV/0!</v>
      </c>
      <c r="Y54" s="53">
        <f>COUNTIFS('00 Encuesta'!$B$2:$B$511,"*f)*",'00 Encuesta'!$C$2:$C$511,"*c)*",'00 Encuesta'!$E$2:$E$511,"*b)*",'00 Encuesta'!$J$2:$J$511,"*a)*")</f>
        <v>0</v>
      </c>
      <c r="Z54" s="52" t="e">
        <f t="shared" ref="Z54:Z64" si="61">Y54/$X$7*100</f>
        <v>#DIV/0!</v>
      </c>
      <c r="AA54" s="3"/>
      <c r="AB54" s="62">
        <f t="shared" si="6"/>
        <v>22</v>
      </c>
      <c r="AC54" s="52">
        <f t="shared" ref="AC54:AC64" si="62">AB54*100/$AC$5</f>
        <v>52.38095238095238</v>
      </c>
      <c r="AD54" s="7"/>
      <c r="AE54" s="7"/>
      <c r="AF54" s="9" t="str">
        <f t="shared" ref="AF54:AF65" si="63">A54&amp;" "&amp;B54</f>
        <v>a) Videojuegos consola</v>
      </c>
      <c r="AG54" s="72">
        <f t="shared" ref="AG54:AG65" si="64">J54</f>
        <v>59.090909090909093</v>
      </c>
      <c r="AH54" s="72">
        <f t="shared" ref="AH54:AH65" si="65">L54</f>
        <v>45</v>
      </c>
      <c r="AI54" s="73">
        <f t="shared" ref="AI54:AI65" si="66">H54</f>
        <v>52.380952380952387</v>
      </c>
      <c r="AJ54" s="73"/>
      <c r="AK54" s="76" t="e">
        <f t="shared" ref="AK54:AK65" si="67">Q54</f>
        <v>#DIV/0!</v>
      </c>
      <c r="AL54" s="76" t="e">
        <f t="shared" ref="AL54:AL65" si="68">S54</f>
        <v>#DIV/0!</v>
      </c>
      <c r="AM54" s="76" t="e">
        <f t="shared" ref="AM54:AM65" si="69">O54</f>
        <v>#DIV/0!</v>
      </c>
      <c r="AN54" s="76"/>
      <c r="AO54" s="81" t="e">
        <f t="shared" ref="AO54:AO65" si="70">X54</f>
        <v>#DIV/0!</v>
      </c>
      <c r="AP54" s="81" t="e">
        <f t="shared" ref="AP54:AP65" si="71">Z54</f>
        <v>#DIV/0!</v>
      </c>
      <c r="AQ54" s="81" t="e">
        <f t="shared" ref="AQ54:AQ65" si="72">V54</f>
        <v>#DIV/0!</v>
      </c>
      <c r="AR54" s="7"/>
      <c r="AS54" s="76">
        <f t="shared" si="1"/>
        <v>52.38095238095238</v>
      </c>
      <c r="AT54" s="7"/>
      <c r="AU54" s="7"/>
      <c r="AV54" s="7"/>
      <c r="AW54" s="7"/>
      <c r="AX54" s="7"/>
      <c r="AY54" s="7"/>
      <c r="AZ54" s="7"/>
      <c r="BA54" s="7"/>
      <c r="BB54" s="7"/>
      <c r="BC54" s="7"/>
      <c r="BD54" s="7"/>
      <c r="BE54" s="7"/>
      <c r="BF54" s="3"/>
      <c r="BG54" s="3"/>
      <c r="BH54" s="3"/>
      <c r="BI54" s="3"/>
      <c r="BJ54" s="3"/>
      <c r="BK54" s="3"/>
      <c r="BL54" s="3"/>
      <c r="BM54" s="3"/>
      <c r="BN54" s="3"/>
      <c r="BO54" s="3"/>
      <c r="BP54" s="3"/>
      <c r="BQ54" s="3"/>
      <c r="BR54" s="3"/>
      <c r="BS54" s="3"/>
      <c r="BT54" s="3"/>
      <c r="BU54" s="3"/>
      <c r="BV54" s="3"/>
      <c r="BW54" s="3"/>
    </row>
    <row r="55" spans="1:75" x14ac:dyDescent="0.3">
      <c r="A55" s="8" t="s">
        <v>18</v>
      </c>
      <c r="B55" s="9" t="s">
        <v>56</v>
      </c>
      <c r="C55" s="7"/>
      <c r="D55" s="7"/>
      <c r="E55" s="7"/>
      <c r="F55" s="71"/>
      <c r="G55" s="51">
        <f t="shared" si="50"/>
        <v>34</v>
      </c>
      <c r="H55" s="52">
        <f t="shared" si="51"/>
        <v>80.952380952380949</v>
      </c>
      <c r="I55" s="53">
        <f>COUNTIFS('00 Encuesta'!$B$2:$B$511,"*f)*",'00 Encuesta'!$C$2:$C$511,"*a)*",'00 Encuesta'!$E$2:$E$511,"*a)*",'00 Encuesta'!$J$2:$J$511,"*b)*")</f>
        <v>18</v>
      </c>
      <c r="J55" s="52">
        <f t="shared" si="52"/>
        <v>81.818181818181827</v>
      </c>
      <c r="K55" s="53">
        <f>COUNTIFS('00 Encuesta'!$B$2:$B$511,"*f)*",'00 Encuesta'!$C$2:$C$511,"*a)*",'00 Encuesta'!$E$2:$E$511,"*b)*",'00 Encuesta'!$J$2:$J$511,"*b)*")</f>
        <v>16</v>
      </c>
      <c r="L55" s="52">
        <f t="shared" si="53"/>
        <v>80</v>
      </c>
      <c r="M55" s="23"/>
      <c r="N55" s="51">
        <f t="shared" si="54"/>
        <v>0</v>
      </c>
      <c r="O55" s="52" t="e">
        <f t="shared" si="55"/>
        <v>#DIV/0!</v>
      </c>
      <c r="P55" s="53">
        <f>COUNTIFS('00 Encuesta'!$B$2:$B$511,"*f)*",'00 Encuesta'!$C$2:$C$511,"*b)*",'00 Encuesta'!$E$2:$E$511,"*a)*",'00 Encuesta'!$J$2:$J$511,"*b)*")</f>
        <v>0</v>
      </c>
      <c r="Q55" s="52" t="e">
        <f t="shared" si="56"/>
        <v>#DIV/0!</v>
      </c>
      <c r="R55" s="53">
        <f>COUNTIFS('00 Encuesta'!$B$2:$B$511,"*f)*",'00 Encuesta'!$C$2:$C$511,"*b)*",'00 Encuesta'!$E$2:$E$511,"*b)*",'00 Encuesta'!$J$2:$J$511,"*b)*")</f>
        <v>0</v>
      </c>
      <c r="S55" s="52" t="e">
        <f t="shared" si="57"/>
        <v>#DIV/0!</v>
      </c>
      <c r="T55" s="3"/>
      <c r="U55" s="51">
        <f t="shared" si="58"/>
        <v>0</v>
      </c>
      <c r="V55" s="52" t="e">
        <f t="shared" si="59"/>
        <v>#DIV/0!</v>
      </c>
      <c r="W55" s="53">
        <f>COUNTIFS('00 Encuesta'!$B$2:$B$511,"*f)*",'00 Encuesta'!$C$2:$C$511,"*c)*",'00 Encuesta'!$E$2:$E$511,"*a)*",'00 Encuesta'!$J$2:$J$511,"*b)*")</f>
        <v>0</v>
      </c>
      <c r="X55" s="52" t="e">
        <f t="shared" si="60"/>
        <v>#DIV/0!</v>
      </c>
      <c r="Y55" s="53">
        <f>COUNTIFS('00 Encuesta'!$B$2:$B$511,"*f)*",'00 Encuesta'!$C$2:$C$511,"*c)*",'00 Encuesta'!$E$2:$E$511,"*b)*",'00 Encuesta'!$J$2:$J$511,"*b)*")</f>
        <v>0</v>
      </c>
      <c r="Z55" s="52" t="e">
        <f t="shared" si="61"/>
        <v>#DIV/0!</v>
      </c>
      <c r="AA55" s="3"/>
      <c r="AB55" s="62">
        <f t="shared" si="6"/>
        <v>34</v>
      </c>
      <c r="AC55" s="52">
        <f t="shared" si="62"/>
        <v>80.952380952380949</v>
      </c>
      <c r="AD55" s="7"/>
      <c r="AE55" s="7"/>
      <c r="AF55" s="9" t="str">
        <f t="shared" si="63"/>
        <v>b) Lavadora</v>
      </c>
      <c r="AG55" s="72">
        <f t="shared" si="64"/>
        <v>81.818181818181827</v>
      </c>
      <c r="AH55" s="72">
        <f t="shared" si="65"/>
        <v>80</v>
      </c>
      <c r="AI55" s="73">
        <f t="shared" si="66"/>
        <v>80.952380952380949</v>
      </c>
      <c r="AJ55" s="73"/>
      <c r="AK55" s="76" t="e">
        <f t="shared" si="67"/>
        <v>#DIV/0!</v>
      </c>
      <c r="AL55" s="76" t="e">
        <f t="shared" si="68"/>
        <v>#DIV/0!</v>
      </c>
      <c r="AM55" s="76" t="e">
        <f t="shared" si="69"/>
        <v>#DIV/0!</v>
      </c>
      <c r="AN55" s="76"/>
      <c r="AO55" s="81" t="e">
        <f t="shared" si="70"/>
        <v>#DIV/0!</v>
      </c>
      <c r="AP55" s="81" t="e">
        <f t="shared" si="71"/>
        <v>#DIV/0!</v>
      </c>
      <c r="AQ55" s="81" t="e">
        <f t="shared" si="72"/>
        <v>#DIV/0!</v>
      </c>
      <c r="AR55" s="7"/>
      <c r="AS55" s="76">
        <f t="shared" si="1"/>
        <v>80.952380952380949</v>
      </c>
      <c r="AT55" s="7"/>
      <c r="AU55" s="7"/>
      <c r="AV55" s="7"/>
      <c r="AW55" s="7"/>
      <c r="AX55" s="7"/>
      <c r="AY55" s="7"/>
      <c r="AZ55" s="7"/>
      <c r="BA55" s="7"/>
      <c r="BB55" s="7"/>
      <c r="BC55" s="7"/>
      <c r="BD55" s="7"/>
      <c r="BE55" s="7"/>
      <c r="BF55" s="3"/>
      <c r="BG55" s="3"/>
      <c r="BH55" s="3"/>
      <c r="BI55" s="3"/>
      <c r="BJ55" s="3"/>
      <c r="BK55" s="3"/>
      <c r="BL55" s="3"/>
      <c r="BM55" s="3"/>
      <c r="BN55" s="3"/>
      <c r="BO55" s="3"/>
      <c r="BP55" s="3"/>
      <c r="BQ55" s="3"/>
      <c r="BR55" s="3"/>
      <c r="BS55" s="3"/>
      <c r="BT55" s="3"/>
      <c r="BU55" s="3"/>
      <c r="BV55" s="3"/>
      <c r="BW55" s="3"/>
    </row>
    <row r="56" spans="1:75" x14ac:dyDescent="0.3">
      <c r="A56" s="8" t="s">
        <v>20</v>
      </c>
      <c r="B56" s="9" t="s">
        <v>57</v>
      </c>
      <c r="C56" s="7"/>
      <c r="D56" s="7"/>
      <c r="E56" s="7"/>
      <c r="F56" s="71"/>
      <c r="G56" s="51">
        <f t="shared" si="50"/>
        <v>23</v>
      </c>
      <c r="H56" s="52">
        <f t="shared" si="51"/>
        <v>54.761904761904766</v>
      </c>
      <c r="I56" s="53">
        <f>COUNTIFS('00 Encuesta'!$B$2:$B$511,"*f)*",'00 Encuesta'!$C$2:$C$511,"*a)*",'00 Encuesta'!$E$2:$E$511,"*a)*",'00 Encuesta'!$J$2:$J$511,"*c)*")</f>
        <v>14</v>
      </c>
      <c r="J56" s="52">
        <f t="shared" si="52"/>
        <v>63.636363636363633</v>
      </c>
      <c r="K56" s="53">
        <f>COUNTIFS('00 Encuesta'!$B$2:$B$511,"*f)*",'00 Encuesta'!$C$2:$C$511,"*a)*",'00 Encuesta'!$E$2:$E$511,"*b)*",'00 Encuesta'!$J$2:$J$511,"*c)*")</f>
        <v>9</v>
      </c>
      <c r="L56" s="52">
        <f t="shared" si="53"/>
        <v>45</v>
      </c>
      <c r="M56" s="23"/>
      <c r="N56" s="51">
        <f t="shared" si="54"/>
        <v>0</v>
      </c>
      <c r="O56" s="52" t="e">
        <f t="shared" si="55"/>
        <v>#DIV/0!</v>
      </c>
      <c r="P56" s="53">
        <f>COUNTIFS('00 Encuesta'!$B$2:$B$511,"*f)*",'00 Encuesta'!$C$2:$C$511,"*b)*",'00 Encuesta'!$E$2:$E$511,"*a)*",'00 Encuesta'!$J$2:$J$511,"*c)*")</f>
        <v>0</v>
      </c>
      <c r="Q56" s="52" t="e">
        <f t="shared" si="56"/>
        <v>#DIV/0!</v>
      </c>
      <c r="R56" s="53">
        <f>COUNTIFS('00 Encuesta'!$B$2:$B$511,"*f)*",'00 Encuesta'!$C$2:$C$511,"*b)*",'00 Encuesta'!$E$2:$E$511,"*b)*",'00 Encuesta'!$J$2:$J$511,"*c)*")</f>
        <v>0</v>
      </c>
      <c r="S56" s="52" t="e">
        <f t="shared" si="57"/>
        <v>#DIV/0!</v>
      </c>
      <c r="T56" s="3"/>
      <c r="U56" s="51">
        <f t="shared" si="58"/>
        <v>0</v>
      </c>
      <c r="V56" s="52" t="e">
        <f t="shared" si="59"/>
        <v>#DIV/0!</v>
      </c>
      <c r="W56" s="53">
        <f>COUNTIFS('00 Encuesta'!$B$2:$B$511,"*f)*",'00 Encuesta'!$C$2:$C$511,"*c)*",'00 Encuesta'!$E$2:$E$511,"*a)*",'00 Encuesta'!$J$2:$J$511,"*c)*")</f>
        <v>0</v>
      </c>
      <c r="X56" s="52" t="e">
        <f t="shared" si="60"/>
        <v>#DIV/0!</v>
      </c>
      <c r="Y56" s="53">
        <f>COUNTIFS('00 Encuesta'!$B$2:$B$511,"*f)*",'00 Encuesta'!$C$2:$C$511,"*c)*",'00 Encuesta'!$E$2:$E$511,"*b)*",'00 Encuesta'!$J$2:$J$511,"*c)*")</f>
        <v>0</v>
      </c>
      <c r="Z56" s="52" t="e">
        <f t="shared" si="61"/>
        <v>#DIV/0!</v>
      </c>
      <c r="AA56" s="3"/>
      <c r="AB56" s="62">
        <f t="shared" si="6"/>
        <v>23</v>
      </c>
      <c r="AC56" s="52">
        <f t="shared" si="62"/>
        <v>54.761904761904759</v>
      </c>
      <c r="AD56" s="7"/>
      <c r="AE56" s="7"/>
      <c r="AF56" s="9" t="str">
        <f t="shared" si="63"/>
        <v>c) Microondas</v>
      </c>
      <c r="AG56" s="72">
        <f t="shared" si="64"/>
        <v>63.636363636363633</v>
      </c>
      <c r="AH56" s="72">
        <f t="shared" si="65"/>
        <v>45</v>
      </c>
      <c r="AI56" s="73">
        <f t="shared" si="66"/>
        <v>54.761904761904766</v>
      </c>
      <c r="AJ56" s="73"/>
      <c r="AK56" s="76" t="e">
        <f t="shared" si="67"/>
        <v>#DIV/0!</v>
      </c>
      <c r="AL56" s="76" t="e">
        <f t="shared" si="68"/>
        <v>#DIV/0!</v>
      </c>
      <c r="AM56" s="76" t="e">
        <f t="shared" si="69"/>
        <v>#DIV/0!</v>
      </c>
      <c r="AN56" s="76"/>
      <c r="AO56" s="81" t="e">
        <f t="shared" si="70"/>
        <v>#DIV/0!</v>
      </c>
      <c r="AP56" s="81" t="e">
        <f t="shared" si="71"/>
        <v>#DIV/0!</v>
      </c>
      <c r="AQ56" s="81" t="e">
        <f t="shared" si="72"/>
        <v>#DIV/0!</v>
      </c>
      <c r="AR56" s="7"/>
      <c r="AS56" s="76">
        <f t="shared" si="1"/>
        <v>54.761904761904759</v>
      </c>
      <c r="AT56" s="7"/>
      <c r="AU56" s="7"/>
      <c r="AV56" s="7"/>
      <c r="AW56" s="7"/>
      <c r="AX56" s="7"/>
      <c r="AY56" s="7"/>
      <c r="AZ56" s="7"/>
      <c r="BA56" s="7"/>
      <c r="BB56" s="7"/>
      <c r="BC56" s="7"/>
      <c r="BD56" s="7"/>
      <c r="BE56" s="7"/>
      <c r="BF56" s="3"/>
      <c r="BG56" s="3"/>
      <c r="BH56" s="3"/>
      <c r="BI56" s="3"/>
      <c r="BJ56" s="3"/>
      <c r="BK56" s="3"/>
      <c r="BL56" s="3"/>
      <c r="BM56" s="3"/>
      <c r="BN56" s="3"/>
      <c r="BO56" s="3"/>
      <c r="BP56" s="3"/>
      <c r="BQ56" s="3"/>
      <c r="BR56" s="3"/>
      <c r="BS56" s="3"/>
      <c r="BT56" s="3"/>
      <c r="BU56" s="3"/>
      <c r="BV56" s="3"/>
      <c r="BW56" s="3"/>
    </row>
    <row r="57" spans="1:75" x14ac:dyDescent="0.3">
      <c r="A57" s="8" t="s">
        <v>21</v>
      </c>
      <c r="B57" s="9" t="s">
        <v>58</v>
      </c>
      <c r="C57" s="7"/>
      <c r="D57" s="7"/>
      <c r="E57" s="7"/>
      <c r="F57" s="71"/>
      <c r="G57" s="51">
        <f t="shared" si="50"/>
        <v>21</v>
      </c>
      <c r="H57" s="52">
        <f t="shared" si="51"/>
        <v>50</v>
      </c>
      <c r="I57" s="53">
        <f>COUNTIFS('00 Encuesta'!$B$2:$B$511,"*f)*",'00 Encuesta'!$C$2:$C$511,"*a)*",'00 Encuesta'!$E$2:$E$511,"*a)*",'00 Encuesta'!$J$2:$J$511,"*d)*")</f>
        <v>13</v>
      </c>
      <c r="J57" s="52">
        <f t="shared" si="52"/>
        <v>59.090909090909093</v>
      </c>
      <c r="K57" s="53">
        <f>COUNTIFS('00 Encuesta'!$B$2:$B$511,"*f)*",'00 Encuesta'!$C$2:$C$511,"*a)*",'00 Encuesta'!$E$2:$E$511,"*b)*",'00 Encuesta'!$J$2:$J$511,"*d)*")</f>
        <v>8</v>
      </c>
      <c r="L57" s="52">
        <f t="shared" si="53"/>
        <v>40</v>
      </c>
      <c r="M57" s="23"/>
      <c r="N57" s="51">
        <f t="shared" si="54"/>
        <v>0</v>
      </c>
      <c r="O57" s="52" t="e">
        <f t="shared" si="55"/>
        <v>#DIV/0!</v>
      </c>
      <c r="P57" s="53">
        <f>COUNTIFS('00 Encuesta'!$B$2:$B$511,"*f)*",'00 Encuesta'!$C$2:$C$511,"*b)*",'00 Encuesta'!$E$2:$E$511,"*a)*",'00 Encuesta'!$J$2:$J$511,"*d)*")</f>
        <v>0</v>
      </c>
      <c r="Q57" s="52" t="e">
        <f t="shared" si="56"/>
        <v>#DIV/0!</v>
      </c>
      <c r="R57" s="53">
        <f>COUNTIFS('00 Encuesta'!$B$2:$B$511,"*f)*",'00 Encuesta'!$C$2:$C$511,"*b)*",'00 Encuesta'!$E$2:$E$511,"*b)*",'00 Encuesta'!$J$2:$J$511,"*d)*")</f>
        <v>0</v>
      </c>
      <c r="S57" s="52" t="e">
        <f t="shared" si="57"/>
        <v>#DIV/0!</v>
      </c>
      <c r="T57" s="3"/>
      <c r="U57" s="51">
        <f t="shared" si="58"/>
        <v>0</v>
      </c>
      <c r="V57" s="52" t="e">
        <f t="shared" si="59"/>
        <v>#DIV/0!</v>
      </c>
      <c r="W57" s="53">
        <f>COUNTIFS('00 Encuesta'!$B$2:$B$511,"*f)*",'00 Encuesta'!$C$2:$C$511,"*c)*",'00 Encuesta'!$E$2:$E$511,"*a)*",'00 Encuesta'!$J$2:$J$511,"*d)*")</f>
        <v>0</v>
      </c>
      <c r="X57" s="52" t="e">
        <f t="shared" si="60"/>
        <v>#DIV/0!</v>
      </c>
      <c r="Y57" s="53">
        <f>COUNTIFS('00 Encuesta'!$B$2:$B$511,"*f)*",'00 Encuesta'!$C$2:$C$511,"*c)*",'00 Encuesta'!$E$2:$E$511,"*b)*",'00 Encuesta'!$J$2:$J$511,"*d)*")</f>
        <v>0</v>
      </c>
      <c r="Z57" s="52" t="e">
        <f t="shared" si="61"/>
        <v>#DIV/0!</v>
      </c>
      <c r="AA57" s="3"/>
      <c r="AB57" s="62">
        <f t="shared" si="6"/>
        <v>21</v>
      </c>
      <c r="AC57" s="52">
        <f t="shared" si="62"/>
        <v>50</v>
      </c>
      <c r="AD57" s="7"/>
      <c r="AE57" s="7"/>
      <c r="AF57" s="9" t="str">
        <f t="shared" si="63"/>
        <v>d) Televisión plana</v>
      </c>
      <c r="AG57" s="72">
        <f t="shared" si="64"/>
        <v>59.090909090909093</v>
      </c>
      <c r="AH57" s="72">
        <f t="shared" si="65"/>
        <v>40</v>
      </c>
      <c r="AI57" s="73">
        <f t="shared" si="66"/>
        <v>50</v>
      </c>
      <c r="AJ57" s="73"/>
      <c r="AK57" s="76" t="e">
        <f t="shared" si="67"/>
        <v>#DIV/0!</v>
      </c>
      <c r="AL57" s="76" t="e">
        <f t="shared" si="68"/>
        <v>#DIV/0!</v>
      </c>
      <c r="AM57" s="76" t="e">
        <f t="shared" si="69"/>
        <v>#DIV/0!</v>
      </c>
      <c r="AN57" s="76"/>
      <c r="AO57" s="81" t="e">
        <f t="shared" si="70"/>
        <v>#DIV/0!</v>
      </c>
      <c r="AP57" s="81" t="e">
        <f t="shared" si="71"/>
        <v>#DIV/0!</v>
      </c>
      <c r="AQ57" s="81" t="e">
        <f t="shared" si="72"/>
        <v>#DIV/0!</v>
      </c>
      <c r="AR57" s="7"/>
      <c r="AS57" s="76">
        <f t="shared" si="1"/>
        <v>50</v>
      </c>
      <c r="AT57" s="7"/>
      <c r="AU57" s="7"/>
      <c r="AV57" s="7"/>
      <c r="AW57" s="7"/>
      <c r="AX57" s="7"/>
      <c r="AY57" s="7"/>
      <c r="AZ57" s="7"/>
      <c r="BA57" s="7"/>
      <c r="BB57" s="7"/>
      <c r="BC57" s="7"/>
      <c r="BD57" s="7"/>
      <c r="BE57" s="7"/>
      <c r="BF57" s="3"/>
      <c r="BG57" s="3"/>
      <c r="BH57" s="3"/>
      <c r="BI57" s="3"/>
      <c r="BJ57" s="3"/>
      <c r="BK57" s="3"/>
      <c r="BL57" s="3"/>
      <c r="BM57" s="3"/>
      <c r="BN57" s="3"/>
      <c r="BO57" s="3"/>
      <c r="BP57" s="3"/>
      <c r="BQ57" s="3"/>
      <c r="BR57" s="3"/>
      <c r="BS57" s="3"/>
      <c r="BT57" s="3"/>
      <c r="BU57" s="3"/>
      <c r="BV57" s="3"/>
      <c r="BW57" s="3"/>
    </row>
    <row r="58" spans="1:75" x14ac:dyDescent="0.3">
      <c r="A58" s="8" t="s">
        <v>22</v>
      </c>
      <c r="B58" s="9" t="s">
        <v>59</v>
      </c>
      <c r="C58" s="7"/>
      <c r="D58" s="7"/>
      <c r="E58" s="7"/>
      <c r="F58" s="71"/>
      <c r="G58" s="51">
        <f t="shared" si="50"/>
        <v>5</v>
      </c>
      <c r="H58" s="52">
        <f t="shared" si="51"/>
        <v>11.904761904761903</v>
      </c>
      <c r="I58" s="53">
        <f>COUNTIFS('00 Encuesta'!$B$2:$B$511,"*f)*",'00 Encuesta'!$C$2:$C$511,"*a)*",'00 Encuesta'!$E$2:$E$511,"*a)*",'00 Encuesta'!$J$2:$J$511,"*e)*")</f>
        <v>5</v>
      </c>
      <c r="J58" s="52">
        <f t="shared" si="52"/>
        <v>22.727272727272727</v>
      </c>
      <c r="K58" s="53">
        <f>COUNTIFS('00 Encuesta'!$B$2:$B$511,"*f)*",'00 Encuesta'!$C$2:$C$511,"*a)*",'00 Encuesta'!$E$2:$E$511,"*b)*",'00 Encuesta'!$J$2:$J$511,"*e)*")</f>
        <v>0</v>
      </c>
      <c r="L58" s="52">
        <f t="shared" si="53"/>
        <v>0</v>
      </c>
      <c r="M58" s="23"/>
      <c r="N58" s="51">
        <f t="shared" si="54"/>
        <v>0</v>
      </c>
      <c r="O58" s="52" t="e">
        <f t="shared" si="55"/>
        <v>#DIV/0!</v>
      </c>
      <c r="P58" s="53">
        <f>COUNTIFS('00 Encuesta'!$B$2:$B$511,"*f)*",'00 Encuesta'!$C$2:$C$511,"*b)*",'00 Encuesta'!$E$2:$E$511,"*a)*",'00 Encuesta'!$J$2:$J$511,"*e)*")</f>
        <v>0</v>
      </c>
      <c r="Q58" s="52" t="e">
        <f t="shared" si="56"/>
        <v>#DIV/0!</v>
      </c>
      <c r="R58" s="53">
        <f>COUNTIFS('00 Encuesta'!$B$2:$B$511,"*f)*",'00 Encuesta'!$C$2:$C$511,"*b)*",'00 Encuesta'!$E$2:$E$511,"*b)*",'00 Encuesta'!$J$2:$J$511,"*e)*")</f>
        <v>0</v>
      </c>
      <c r="S58" s="52" t="e">
        <f t="shared" si="57"/>
        <v>#DIV/0!</v>
      </c>
      <c r="T58" s="3"/>
      <c r="U58" s="51">
        <f t="shared" si="58"/>
        <v>0</v>
      </c>
      <c r="V58" s="52" t="e">
        <f t="shared" si="59"/>
        <v>#DIV/0!</v>
      </c>
      <c r="W58" s="53">
        <f>COUNTIFS('00 Encuesta'!$B$2:$B$511,"*f)*",'00 Encuesta'!$C$2:$C$511,"*c)*",'00 Encuesta'!$E$2:$E$511,"*a)*",'00 Encuesta'!$J$2:$J$511,"*e)*")</f>
        <v>0</v>
      </c>
      <c r="X58" s="52" t="e">
        <f t="shared" si="60"/>
        <v>#DIV/0!</v>
      </c>
      <c r="Y58" s="53">
        <f>COUNTIFS('00 Encuesta'!$B$2:$B$511,"*f)*",'00 Encuesta'!$C$2:$C$511,"*c)*",'00 Encuesta'!$E$2:$E$511,"*b)*",'00 Encuesta'!$J$2:$J$511,"*e)*")</f>
        <v>0</v>
      </c>
      <c r="Z58" s="52" t="e">
        <f t="shared" si="61"/>
        <v>#DIV/0!</v>
      </c>
      <c r="AA58" s="3"/>
      <c r="AB58" s="62">
        <f t="shared" si="6"/>
        <v>5</v>
      </c>
      <c r="AC58" s="52">
        <f t="shared" si="62"/>
        <v>11.904761904761905</v>
      </c>
      <c r="AD58" s="7"/>
      <c r="AE58" s="7"/>
      <c r="AF58" s="9" t="str">
        <f t="shared" si="63"/>
        <v>e) Moto</v>
      </c>
      <c r="AG58" s="72">
        <f t="shared" si="64"/>
        <v>22.727272727272727</v>
      </c>
      <c r="AH58" s="72">
        <f t="shared" si="65"/>
        <v>0</v>
      </c>
      <c r="AI58" s="73">
        <f t="shared" si="66"/>
        <v>11.904761904761903</v>
      </c>
      <c r="AJ58" s="73"/>
      <c r="AK58" s="76" t="e">
        <f t="shared" si="67"/>
        <v>#DIV/0!</v>
      </c>
      <c r="AL58" s="76" t="e">
        <f t="shared" si="68"/>
        <v>#DIV/0!</v>
      </c>
      <c r="AM58" s="76" t="e">
        <f t="shared" si="69"/>
        <v>#DIV/0!</v>
      </c>
      <c r="AN58" s="76"/>
      <c r="AO58" s="81" t="e">
        <f t="shared" si="70"/>
        <v>#DIV/0!</v>
      </c>
      <c r="AP58" s="81" t="e">
        <f t="shared" si="71"/>
        <v>#DIV/0!</v>
      </c>
      <c r="AQ58" s="81" t="e">
        <f t="shared" si="72"/>
        <v>#DIV/0!</v>
      </c>
      <c r="AR58" s="7"/>
      <c r="AS58" s="76">
        <f t="shared" si="1"/>
        <v>11.904761904761905</v>
      </c>
      <c r="AT58" s="7"/>
      <c r="AU58" s="7"/>
      <c r="AV58" s="7"/>
      <c r="AW58" s="7"/>
      <c r="AX58" s="7"/>
      <c r="AY58" s="7"/>
      <c r="AZ58" s="7"/>
      <c r="BA58" s="7"/>
      <c r="BB58" s="7"/>
      <c r="BC58" s="7"/>
      <c r="BD58" s="7"/>
      <c r="BE58" s="7"/>
      <c r="BF58" s="3"/>
      <c r="BG58" s="3"/>
      <c r="BH58" s="3"/>
      <c r="BI58" s="3"/>
      <c r="BJ58" s="3"/>
      <c r="BK58" s="3"/>
      <c r="BL58" s="3"/>
      <c r="BM58" s="3"/>
      <c r="BN58" s="3"/>
      <c r="BO58" s="3"/>
      <c r="BP58" s="3"/>
      <c r="BQ58" s="3"/>
      <c r="BR58" s="3"/>
      <c r="BS58" s="3"/>
      <c r="BT58" s="3"/>
      <c r="BU58" s="3"/>
      <c r="BV58" s="3"/>
      <c r="BW58" s="3"/>
    </row>
    <row r="59" spans="1:75" x14ac:dyDescent="0.3">
      <c r="A59" s="8" t="s">
        <v>45</v>
      </c>
      <c r="B59" s="9" t="s">
        <v>60</v>
      </c>
      <c r="C59" s="7"/>
      <c r="D59" s="7"/>
      <c r="E59" s="7"/>
      <c r="F59" s="71"/>
      <c r="G59" s="51">
        <f t="shared" si="50"/>
        <v>8</v>
      </c>
      <c r="H59" s="52">
        <f t="shared" si="51"/>
        <v>19.047619047619047</v>
      </c>
      <c r="I59" s="53">
        <f>COUNTIFS('00 Encuesta'!$B$2:$B$511,"*f)*",'00 Encuesta'!$C$2:$C$511,"*a)*",'00 Encuesta'!$E$2:$E$511,"*a)*",'00 Encuesta'!$J$2:$J$511,"*f)*")</f>
        <v>5</v>
      </c>
      <c r="J59" s="52">
        <f t="shared" si="52"/>
        <v>22.727272727272727</v>
      </c>
      <c r="K59" s="53">
        <f>COUNTIFS('00 Encuesta'!$B$2:$B$511,"*f)*",'00 Encuesta'!$C$2:$C$511,"*a)*",'00 Encuesta'!$E$2:$E$511,"*b)*",'00 Encuesta'!$J$2:$J$511,"*f)*")</f>
        <v>3</v>
      </c>
      <c r="L59" s="52">
        <f t="shared" si="53"/>
        <v>15</v>
      </c>
      <c r="M59" s="23"/>
      <c r="N59" s="51">
        <f t="shared" si="54"/>
        <v>0</v>
      </c>
      <c r="O59" s="52" t="e">
        <f t="shared" si="55"/>
        <v>#DIV/0!</v>
      </c>
      <c r="P59" s="53">
        <f>COUNTIFS('00 Encuesta'!$B$2:$B$511,"*f)*",'00 Encuesta'!$C$2:$C$511,"*b)*",'00 Encuesta'!$E$2:$E$511,"*a)*",'00 Encuesta'!$J$2:$J$511,"*f)*")</f>
        <v>0</v>
      </c>
      <c r="Q59" s="52" t="e">
        <f t="shared" si="56"/>
        <v>#DIV/0!</v>
      </c>
      <c r="R59" s="53">
        <f>COUNTIFS('00 Encuesta'!$B$2:$B$511,"*f)*",'00 Encuesta'!$C$2:$C$511,"*b)*",'00 Encuesta'!$E$2:$E$511,"*b)*",'00 Encuesta'!$J$2:$J$511,"*f)*")</f>
        <v>0</v>
      </c>
      <c r="S59" s="52" t="e">
        <f t="shared" si="57"/>
        <v>#DIV/0!</v>
      </c>
      <c r="T59" s="3"/>
      <c r="U59" s="51">
        <f t="shared" si="58"/>
        <v>0</v>
      </c>
      <c r="V59" s="52" t="e">
        <f t="shared" si="59"/>
        <v>#DIV/0!</v>
      </c>
      <c r="W59" s="53">
        <f>COUNTIFS('00 Encuesta'!$B$2:$B$511,"*f)*",'00 Encuesta'!$C$2:$C$511,"*c)*",'00 Encuesta'!$E$2:$E$511,"*a)*",'00 Encuesta'!$J$2:$J$511,"*f)*")</f>
        <v>0</v>
      </c>
      <c r="X59" s="52" t="e">
        <f t="shared" si="60"/>
        <v>#DIV/0!</v>
      </c>
      <c r="Y59" s="53">
        <f>COUNTIFS('00 Encuesta'!$B$2:$B$511,"*f)*",'00 Encuesta'!$C$2:$C$511,"*c)*",'00 Encuesta'!$E$2:$E$511,"*b)*",'00 Encuesta'!$J$2:$J$511,"*f)*")</f>
        <v>0</v>
      </c>
      <c r="Z59" s="52" t="e">
        <f t="shared" si="61"/>
        <v>#DIV/0!</v>
      </c>
      <c r="AA59" s="3"/>
      <c r="AB59" s="62">
        <f t="shared" si="6"/>
        <v>8</v>
      </c>
      <c r="AC59" s="52">
        <f t="shared" si="62"/>
        <v>19.047619047619047</v>
      </c>
      <c r="AD59" s="7"/>
      <c r="AE59" s="7"/>
      <c r="AF59" s="9" t="str">
        <f t="shared" si="63"/>
        <v>f) MP3</v>
      </c>
      <c r="AG59" s="72">
        <f t="shared" si="64"/>
        <v>22.727272727272727</v>
      </c>
      <c r="AH59" s="72">
        <f t="shared" si="65"/>
        <v>15</v>
      </c>
      <c r="AI59" s="73">
        <f t="shared" si="66"/>
        <v>19.047619047619047</v>
      </c>
      <c r="AJ59" s="73"/>
      <c r="AK59" s="76" t="e">
        <f t="shared" si="67"/>
        <v>#DIV/0!</v>
      </c>
      <c r="AL59" s="76" t="e">
        <f t="shared" si="68"/>
        <v>#DIV/0!</v>
      </c>
      <c r="AM59" s="76" t="e">
        <f t="shared" si="69"/>
        <v>#DIV/0!</v>
      </c>
      <c r="AN59" s="76"/>
      <c r="AO59" s="81" t="e">
        <f t="shared" si="70"/>
        <v>#DIV/0!</v>
      </c>
      <c r="AP59" s="81" t="e">
        <f t="shared" si="71"/>
        <v>#DIV/0!</v>
      </c>
      <c r="AQ59" s="81" t="e">
        <f t="shared" si="72"/>
        <v>#DIV/0!</v>
      </c>
      <c r="AR59" s="7"/>
      <c r="AS59" s="76">
        <f t="shared" si="1"/>
        <v>19.047619047619047</v>
      </c>
      <c r="AT59" s="7"/>
      <c r="AU59" s="7"/>
      <c r="AV59" s="7"/>
      <c r="AW59" s="7"/>
      <c r="AX59" s="7"/>
      <c r="AY59" s="7"/>
      <c r="AZ59" s="7"/>
      <c r="BA59" s="7"/>
      <c r="BB59" s="7"/>
      <c r="BC59" s="7"/>
      <c r="BD59" s="7"/>
      <c r="BE59" s="7"/>
      <c r="BF59" s="3"/>
      <c r="BG59" s="3"/>
      <c r="BH59" s="3"/>
      <c r="BI59" s="3"/>
      <c r="BJ59" s="3"/>
      <c r="BK59" s="3"/>
      <c r="BL59" s="3"/>
      <c r="BM59" s="3"/>
      <c r="BN59" s="3"/>
      <c r="BO59" s="3"/>
      <c r="BP59" s="3"/>
      <c r="BQ59" s="3"/>
      <c r="BR59" s="3"/>
      <c r="BS59" s="3"/>
      <c r="BT59" s="3"/>
      <c r="BU59" s="3"/>
      <c r="BV59" s="3"/>
      <c r="BW59" s="3"/>
    </row>
    <row r="60" spans="1:75" x14ac:dyDescent="0.3">
      <c r="A60" s="8" t="s">
        <v>61</v>
      </c>
      <c r="B60" s="9" t="s">
        <v>62</v>
      </c>
      <c r="C60" s="7"/>
      <c r="D60" s="7"/>
      <c r="E60" s="7"/>
      <c r="F60" s="71"/>
      <c r="G60" s="51">
        <f t="shared" si="50"/>
        <v>8</v>
      </c>
      <c r="H60" s="52">
        <f t="shared" si="51"/>
        <v>19.047619047619047</v>
      </c>
      <c r="I60" s="53">
        <f>COUNTIFS('00 Encuesta'!$B$2:$B$511,"*f)*",'00 Encuesta'!$C$2:$C$511,"*a)*",'00 Encuesta'!$E$2:$E$511,"*a)*",'00 Encuesta'!$J$2:$J$511,"*g)*")</f>
        <v>5</v>
      </c>
      <c r="J60" s="52">
        <f t="shared" si="52"/>
        <v>22.727272727272727</v>
      </c>
      <c r="K60" s="53">
        <f>COUNTIFS('00 Encuesta'!$B$2:$B$511,"*f)*",'00 Encuesta'!$C$2:$C$511,"*a)*",'00 Encuesta'!$E$2:$E$511,"*b)*",'00 Encuesta'!$J$2:$J$511,"*g)*")</f>
        <v>3</v>
      </c>
      <c r="L60" s="52">
        <f t="shared" si="53"/>
        <v>15</v>
      </c>
      <c r="M60" s="23"/>
      <c r="N60" s="51">
        <f t="shared" si="54"/>
        <v>0</v>
      </c>
      <c r="O60" s="52" t="e">
        <f t="shared" si="55"/>
        <v>#DIV/0!</v>
      </c>
      <c r="P60" s="53">
        <f>COUNTIFS('00 Encuesta'!$B$2:$B$511,"*f)*",'00 Encuesta'!$C$2:$C$511,"*b)*",'00 Encuesta'!$E$2:$E$511,"*a)*",'00 Encuesta'!$J$2:$J$511,"*g)*")</f>
        <v>0</v>
      </c>
      <c r="Q60" s="52" t="e">
        <f t="shared" si="56"/>
        <v>#DIV/0!</v>
      </c>
      <c r="R60" s="53">
        <f>COUNTIFS('00 Encuesta'!$B$2:$B$511,"*f)*",'00 Encuesta'!$C$2:$C$511,"*b)*",'00 Encuesta'!$E$2:$E$511,"*b)*",'00 Encuesta'!$J$2:$J$511,"*g)*")</f>
        <v>0</v>
      </c>
      <c r="S60" s="52" t="e">
        <f t="shared" si="57"/>
        <v>#DIV/0!</v>
      </c>
      <c r="T60" s="3"/>
      <c r="U60" s="51">
        <f t="shared" si="58"/>
        <v>0</v>
      </c>
      <c r="V60" s="52" t="e">
        <f t="shared" si="59"/>
        <v>#DIV/0!</v>
      </c>
      <c r="W60" s="53">
        <f>COUNTIFS('00 Encuesta'!$B$2:$B$511,"*f)*",'00 Encuesta'!$C$2:$C$511,"*c)*",'00 Encuesta'!$E$2:$E$511,"*a)*",'00 Encuesta'!$J$2:$J$511,"*g)*")</f>
        <v>0</v>
      </c>
      <c r="X60" s="52" t="e">
        <f t="shared" si="60"/>
        <v>#DIV/0!</v>
      </c>
      <c r="Y60" s="53">
        <f>COUNTIFS('00 Encuesta'!$B$2:$B$511,"*f)*",'00 Encuesta'!$C$2:$C$511,"*c)*",'00 Encuesta'!$E$2:$E$511,"*b)*",'00 Encuesta'!$J$2:$J$511,"*g)*")</f>
        <v>0</v>
      </c>
      <c r="Z60" s="52" t="e">
        <f t="shared" si="61"/>
        <v>#DIV/0!</v>
      </c>
      <c r="AA60" s="3"/>
      <c r="AB60" s="62">
        <f t="shared" si="6"/>
        <v>8</v>
      </c>
      <c r="AC60" s="52">
        <f t="shared" si="62"/>
        <v>19.047619047619047</v>
      </c>
      <c r="AD60" s="7"/>
      <c r="AE60" s="7"/>
      <c r="AF60" s="9" t="str">
        <f t="shared" si="63"/>
        <v>g) MP4</v>
      </c>
      <c r="AG60" s="72">
        <f t="shared" si="64"/>
        <v>22.727272727272727</v>
      </c>
      <c r="AH60" s="72">
        <f t="shared" si="65"/>
        <v>15</v>
      </c>
      <c r="AI60" s="73">
        <f t="shared" si="66"/>
        <v>19.047619047619047</v>
      </c>
      <c r="AJ60" s="73"/>
      <c r="AK60" s="76" t="e">
        <f t="shared" si="67"/>
        <v>#DIV/0!</v>
      </c>
      <c r="AL60" s="76" t="e">
        <f t="shared" si="68"/>
        <v>#DIV/0!</v>
      </c>
      <c r="AM60" s="76" t="e">
        <f t="shared" si="69"/>
        <v>#DIV/0!</v>
      </c>
      <c r="AN60" s="76"/>
      <c r="AO60" s="81" t="e">
        <f t="shared" si="70"/>
        <v>#DIV/0!</v>
      </c>
      <c r="AP60" s="81" t="e">
        <f t="shared" si="71"/>
        <v>#DIV/0!</v>
      </c>
      <c r="AQ60" s="81" t="e">
        <f t="shared" si="72"/>
        <v>#DIV/0!</v>
      </c>
      <c r="AR60" s="7"/>
      <c r="AS60" s="76">
        <f t="shared" si="1"/>
        <v>19.047619047619047</v>
      </c>
      <c r="AT60" s="7"/>
      <c r="AU60" s="7"/>
      <c r="AV60" s="7"/>
      <c r="AW60" s="7"/>
      <c r="AX60" s="7"/>
      <c r="AY60" s="7"/>
      <c r="AZ60" s="7"/>
      <c r="BA60" s="7"/>
      <c r="BB60" s="7"/>
      <c r="BC60" s="7"/>
      <c r="BD60" s="7"/>
      <c r="BE60" s="7"/>
      <c r="BF60" s="3"/>
      <c r="BG60" s="3"/>
      <c r="BH60" s="3"/>
      <c r="BI60" s="3"/>
      <c r="BJ60" s="3"/>
      <c r="BK60" s="3"/>
      <c r="BL60" s="3"/>
      <c r="BM60" s="3"/>
      <c r="BN60" s="3"/>
      <c r="BO60" s="3"/>
      <c r="BP60" s="3"/>
      <c r="BQ60" s="3"/>
      <c r="BR60" s="3"/>
      <c r="BS60" s="3"/>
      <c r="BT60" s="3"/>
      <c r="BU60" s="3"/>
      <c r="BV60" s="3"/>
      <c r="BW60" s="3"/>
    </row>
    <row r="61" spans="1:75" x14ac:dyDescent="0.3">
      <c r="A61" s="8" t="s">
        <v>63</v>
      </c>
      <c r="B61" s="9" t="s">
        <v>64</v>
      </c>
      <c r="C61" s="7"/>
      <c r="D61" s="7"/>
      <c r="E61" s="7"/>
      <c r="F61" s="71"/>
      <c r="G61" s="51">
        <f t="shared" si="50"/>
        <v>13</v>
      </c>
      <c r="H61" s="52">
        <f t="shared" si="51"/>
        <v>30.952380952380953</v>
      </c>
      <c r="I61" s="53">
        <f>COUNTIFS('00 Encuesta'!$B$2:$B$511,"*f)*",'00 Encuesta'!$C$2:$C$511,"*a)*",'00 Encuesta'!$E$2:$E$511,"*a)*",'00 Encuesta'!$J$2:$J$511,"*h)*")</f>
        <v>7</v>
      </c>
      <c r="J61" s="52">
        <f t="shared" si="52"/>
        <v>31.818181818181817</v>
      </c>
      <c r="K61" s="53">
        <f>COUNTIFS('00 Encuesta'!$B$2:$B$511,"*f)*",'00 Encuesta'!$C$2:$C$511,"*a)*",'00 Encuesta'!$E$2:$E$511,"*b)*",'00 Encuesta'!$J$2:$J$511,"*h)*")</f>
        <v>6</v>
      </c>
      <c r="L61" s="52">
        <f t="shared" si="53"/>
        <v>30</v>
      </c>
      <c r="M61" s="23"/>
      <c r="N61" s="51">
        <f t="shared" si="54"/>
        <v>0</v>
      </c>
      <c r="O61" s="52" t="e">
        <f t="shared" si="55"/>
        <v>#DIV/0!</v>
      </c>
      <c r="P61" s="53">
        <f>COUNTIFS('00 Encuesta'!$B$2:$B$511,"*f)*",'00 Encuesta'!$C$2:$C$511,"*b)*",'00 Encuesta'!$E$2:$E$511,"*a)*",'00 Encuesta'!$J$2:$J$511,"*h)*")</f>
        <v>0</v>
      </c>
      <c r="Q61" s="52" t="e">
        <f t="shared" si="56"/>
        <v>#DIV/0!</v>
      </c>
      <c r="R61" s="53">
        <f>COUNTIFS('00 Encuesta'!$B$2:$B$511,"*f)*",'00 Encuesta'!$C$2:$C$511,"*b)*",'00 Encuesta'!$E$2:$E$511,"*b)*",'00 Encuesta'!$J$2:$J$511,"*h)*")</f>
        <v>0</v>
      </c>
      <c r="S61" s="52" t="e">
        <f t="shared" si="57"/>
        <v>#DIV/0!</v>
      </c>
      <c r="T61" s="3"/>
      <c r="U61" s="51">
        <f t="shared" si="58"/>
        <v>0</v>
      </c>
      <c r="V61" s="52" t="e">
        <f t="shared" si="59"/>
        <v>#DIV/0!</v>
      </c>
      <c r="W61" s="53">
        <f>COUNTIFS('00 Encuesta'!$B$2:$B$511,"*f)*",'00 Encuesta'!$C$2:$C$511,"*c)*",'00 Encuesta'!$E$2:$E$511,"*a)*",'00 Encuesta'!$J$2:$J$511,"*h)*")</f>
        <v>0</v>
      </c>
      <c r="X61" s="52" t="e">
        <f t="shared" si="60"/>
        <v>#DIV/0!</v>
      </c>
      <c r="Y61" s="53">
        <f>COUNTIFS('00 Encuesta'!$B$2:$B$511,"*f)*",'00 Encuesta'!$C$2:$C$511,"*c)*",'00 Encuesta'!$E$2:$E$511,"*b)*",'00 Encuesta'!$J$2:$J$511,"*h)*")</f>
        <v>0</v>
      </c>
      <c r="Z61" s="52" t="e">
        <f t="shared" si="61"/>
        <v>#DIV/0!</v>
      </c>
      <c r="AA61" s="3"/>
      <c r="AB61" s="62">
        <f t="shared" si="6"/>
        <v>13</v>
      </c>
      <c r="AC61" s="52">
        <f t="shared" si="62"/>
        <v>30.952380952380953</v>
      </c>
      <c r="AD61" s="7"/>
      <c r="AE61" s="7"/>
      <c r="AF61" s="9" t="str">
        <f t="shared" si="63"/>
        <v>h) Carro</v>
      </c>
      <c r="AG61" s="72">
        <f t="shared" si="64"/>
        <v>31.818181818181817</v>
      </c>
      <c r="AH61" s="72">
        <f t="shared" si="65"/>
        <v>30</v>
      </c>
      <c r="AI61" s="73">
        <f t="shared" si="66"/>
        <v>30.952380952380953</v>
      </c>
      <c r="AJ61" s="73"/>
      <c r="AK61" s="76" t="e">
        <f t="shared" si="67"/>
        <v>#DIV/0!</v>
      </c>
      <c r="AL61" s="76" t="e">
        <f t="shared" si="68"/>
        <v>#DIV/0!</v>
      </c>
      <c r="AM61" s="76" t="e">
        <f t="shared" si="69"/>
        <v>#DIV/0!</v>
      </c>
      <c r="AN61" s="76"/>
      <c r="AO61" s="81" t="e">
        <f t="shared" si="70"/>
        <v>#DIV/0!</v>
      </c>
      <c r="AP61" s="81" t="e">
        <f t="shared" si="71"/>
        <v>#DIV/0!</v>
      </c>
      <c r="AQ61" s="81" t="e">
        <f t="shared" si="72"/>
        <v>#DIV/0!</v>
      </c>
      <c r="AR61" s="7"/>
      <c r="AS61" s="76">
        <f t="shared" si="1"/>
        <v>30.952380952380953</v>
      </c>
      <c r="AT61" s="7"/>
      <c r="AU61" s="7"/>
      <c r="AV61" s="7"/>
      <c r="AW61" s="7"/>
      <c r="AX61" s="7"/>
      <c r="AY61" s="7"/>
      <c r="AZ61" s="7"/>
      <c r="BA61" s="7"/>
      <c r="BB61" s="7"/>
      <c r="BC61" s="7"/>
      <c r="BD61" s="7"/>
      <c r="BE61" s="7"/>
      <c r="BF61" s="3"/>
      <c r="BG61" s="3"/>
      <c r="BH61" s="3"/>
      <c r="BI61" s="3"/>
      <c r="BJ61" s="3"/>
      <c r="BK61" s="3"/>
      <c r="BL61" s="3"/>
      <c r="BM61" s="3"/>
      <c r="BN61" s="3"/>
      <c r="BO61" s="3"/>
      <c r="BP61" s="3"/>
      <c r="BQ61" s="3"/>
      <c r="BR61" s="3"/>
      <c r="BS61" s="3"/>
      <c r="BT61" s="3"/>
      <c r="BU61" s="3"/>
      <c r="BV61" s="3"/>
      <c r="BW61" s="3"/>
    </row>
    <row r="62" spans="1:75" x14ac:dyDescent="0.3">
      <c r="A62" s="8" t="s">
        <v>65</v>
      </c>
      <c r="B62" s="9" t="s">
        <v>66</v>
      </c>
      <c r="C62" s="7"/>
      <c r="D62" s="7"/>
      <c r="E62" s="7"/>
      <c r="F62" s="71"/>
      <c r="G62" s="51">
        <f t="shared" si="50"/>
        <v>34</v>
      </c>
      <c r="H62" s="52">
        <f t="shared" si="51"/>
        <v>80.952380952380949</v>
      </c>
      <c r="I62" s="53">
        <f>COUNTIFS('00 Encuesta'!$B$2:$B$511,"*f)*",'00 Encuesta'!$C$2:$C$511,"*a)*",'00 Encuesta'!$E$2:$E$511,"*a)*",'00 Encuesta'!$J$2:$J$511,"*i)*")</f>
        <v>19</v>
      </c>
      <c r="J62" s="52">
        <f t="shared" si="52"/>
        <v>86.36363636363636</v>
      </c>
      <c r="K62" s="53">
        <f>COUNTIFS('00 Encuesta'!$B$2:$B$511,"*f)*",'00 Encuesta'!$C$2:$C$511,"*a)*",'00 Encuesta'!$E$2:$E$511,"*b)*",'00 Encuesta'!$J$2:$J$511,"*i)*")</f>
        <v>15</v>
      </c>
      <c r="L62" s="52">
        <f t="shared" si="53"/>
        <v>75</v>
      </c>
      <c r="M62" s="23"/>
      <c r="N62" s="51">
        <f t="shared" si="54"/>
        <v>0</v>
      </c>
      <c r="O62" s="52" t="e">
        <f t="shared" si="55"/>
        <v>#DIV/0!</v>
      </c>
      <c r="P62" s="53">
        <f>COUNTIFS('00 Encuesta'!$B$2:$B$511,"*f)*",'00 Encuesta'!$C$2:$C$511,"*b)*",'00 Encuesta'!$E$2:$E$511,"*a)*",'00 Encuesta'!$J$2:$J$511,"*i)*")</f>
        <v>0</v>
      </c>
      <c r="Q62" s="52" t="e">
        <f t="shared" si="56"/>
        <v>#DIV/0!</v>
      </c>
      <c r="R62" s="53">
        <f>COUNTIFS('00 Encuesta'!$B$2:$B$511,"*f)*",'00 Encuesta'!$C$2:$C$511,"*b)*",'00 Encuesta'!$E$2:$E$511,"*b)*",'00 Encuesta'!$J$2:$J$511,"*i)*")</f>
        <v>0</v>
      </c>
      <c r="S62" s="52" t="e">
        <f t="shared" si="57"/>
        <v>#DIV/0!</v>
      </c>
      <c r="T62" s="3"/>
      <c r="U62" s="51">
        <f t="shared" si="58"/>
        <v>0</v>
      </c>
      <c r="V62" s="52" t="e">
        <f t="shared" si="59"/>
        <v>#DIV/0!</v>
      </c>
      <c r="W62" s="53">
        <f>COUNTIFS('00 Encuesta'!$B$2:$B$511,"*f)*",'00 Encuesta'!$C$2:$C$511,"*c)*",'00 Encuesta'!$E$2:$E$511,"*a)*",'00 Encuesta'!$J$2:$J$511,"*i)*")</f>
        <v>0</v>
      </c>
      <c r="X62" s="52" t="e">
        <f t="shared" si="60"/>
        <v>#DIV/0!</v>
      </c>
      <c r="Y62" s="53">
        <f>COUNTIFS('00 Encuesta'!$B$2:$B$511,"*f)*",'00 Encuesta'!$C$2:$C$511,"*c)*",'00 Encuesta'!$E$2:$E$511,"*b)*",'00 Encuesta'!$J$2:$J$511,"*i)*")</f>
        <v>0</v>
      </c>
      <c r="Z62" s="52" t="e">
        <f t="shared" si="61"/>
        <v>#DIV/0!</v>
      </c>
      <c r="AA62" s="3"/>
      <c r="AB62" s="62">
        <f t="shared" si="6"/>
        <v>34</v>
      </c>
      <c r="AC62" s="52">
        <f t="shared" si="62"/>
        <v>80.952380952380949</v>
      </c>
      <c r="AD62" s="7"/>
      <c r="AE62" s="7"/>
      <c r="AF62" s="9" t="str">
        <f t="shared" si="63"/>
        <v>i) Computadora</v>
      </c>
      <c r="AG62" s="72">
        <f t="shared" si="64"/>
        <v>86.36363636363636</v>
      </c>
      <c r="AH62" s="72">
        <f t="shared" si="65"/>
        <v>75</v>
      </c>
      <c r="AI62" s="73">
        <f t="shared" si="66"/>
        <v>80.952380952380949</v>
      </c>
      <c r="AJ62" s="73"/>
      <c r="AK62" s="76" t="e">
        <f t="shared" si="67"/>
        <v>#DIV/0!</v>
      </c>
      <c r="AL62" s="76" t="e">
        <f t="shared" si="68"/>
        <v>#DIV/0!</v>
      </c>
      <c r="AM62" s="76" t="e">
        <f t="shared" si="69"/>
        <v>#DIV/0!</v>
      </c>
      <c r="AN62" s="76"/>
      <c r="AO62" s="81" t="e">
        <f t="shared" si="70"/>
        <v>#DIV/0!</v>
      </c>
      <c r="AP62" s="81" t="e">
        <f t="shared" si="71"/>
        <v>#DIV/0!</v>
      </c>
      <c r="AQ62" s="81" t="e">
        <f t="shared" si="72"/>
        <v>#DIV/0!</v>
      </c>
      <c r="AR62" s="7"/>
      <c r="AS62" s="76">
        <f t="shared" si="1"/>
        <v>80.952380952380949</v>
      </c>
      <c r="AT62" s="7"/>
      <c r="AU62" s="7"/>
      <c r="AV62" s="7"/>
      <c r="AW62" s="7"/>
      <c r="AX62" s="7"/>
      <c r="AY62" s="7"/>
      <c r="AZ62" s="7"/>
      <c r="BA62" s="7"/>
      <c r="BB62" s="7"/>
      <c r="BC62" s="7"/>
      <c r="BD62" s="7"/>
      <c r="BE62" s="7"/>
      <c r="BF62" s="3"/>
      <c r="BG62" s="3"/>
      <c r="BH62" s="3"/>
      <c r="BI62" s="3"/>
      <c r="BJ62" s="3"/>
      <c r="BK62" s="3"/>
      <c r="BL62" s="3"/>
      <c r="BM62" s="3"/>
      <c r="BN62" s="3"/>
      <c r="BO62" s="3"/>
      <c r="BP62" s="3"/>
      <c r="BQ62" s="3"/>
      <c r="BR62" s="3"/>
      <c r="BS62" s="3"/>
      <c r="BT62" s="3"/>
      <c r="BU62" s="3"/>
      <c r="BV62" s="3"/>
      <c r="BW62" s="3"/>
    </row>
    <row r="63" spans="1:75" x14ac:dyDescent="0.3">
      <c r="A63" s="1" t="s">
        <v>67</v>
      </c>
      <c r="B63" s="1" t="s">
        <v>68</v>
      </c>
      <c r="C63" s="3"/>
      <c r="D63" s="7"/>
      <c r="E63" s="7"/>
      <c r="F63" s="71"/>
      <c r="G63" s="51">
        <f t="shared" si="50"/>
        <v>18</v>
      </c>
      <c r="H63" s="52">
        <f t="shared" si="51"/>
        <v>42.857142857142854</v>
      </c>
      <c r="I63" s="53">
        <f>COUNTIFS('00 Encuesta'!$B$2:$B$511,"*f)*",'00 Encuesta'!$C$2:$C$511,"*a)*",'00 Encuesta'!$E$2:$E$511,"*a)*",'00 Encuesta'!$J$2:$J$511,"*j)*")</f>
        <v>11</v>
      </c>
      <c r="J63" s="52">
        <f t="shared" si="52"/>
        <v>50</v>
      </c>
      <c r="K63" s="53">
        <f>COUNTIFS('00 Encuesta'!$B$2:$B$511,"*f)*",'00 Encuesta'!$C$2:$C$511,"*a)*",'00 Encuesta'!$E$2:$E$511,"*b)*",'00 Encuesta'!$J$2:$J$511,"*j)*")</f>
        <v>7</v>
      </c>
      <c r="L63" s="52">
        <f t="shared" si="53"/>
        <v>35</v>
      </c>
      <c r="M63" s="23"/>
      <c r="N63" s="51">
        <f t="shared" si="54"/>
        <v>0</v>
      </c>
      <c r="O63" s="52" t="e">
        <f t="shared" si="55"/>
        <v>#DIV/0!</v>
      </c>
      <c r="P63" s="53">
        <f>COUNTIFS('00 Encuesta'!$B$2:$B$511,"*f)*",'00 Encuesta'!$C$2:$C$511,"*b)*",'00 Encuesta'!$E$2:$E$511,"*a)*",'00 Encuesta'!$J$2:$J$511,"*j)*")</f>
        <v>0</v>
      </c>
      <c r="Q63" s="52" t="e">
        <f t="shared" si="56"/>
        <v>#DIV/0!</v>
      </c>
      <c r="R63" s="53">
        <f>COUNTIFS('00 Encuesta'!$B$2:$B$511,"*f)*",'00 Encuesta'!$C$2:$C$511,"*b)*",'00 Encuesta'!$E$2:$E$511,"*b)*",'00 Encuesta'!$J$2:$J$511,"*j)*")</f>
        <v>0</v>
      </c>
      <c r="S63" s="52" t="e">
        <f t="shared" si="57"/>
        <v>#DIV/0!</v>
      </c>
      <c r="T63" s="3"/>
      <c r="U63" s="51">
        <f t="shared" si="58"/>
        <v>0</v>
      </c>
      <c r="V63" s="52" t="e">
        <f t="shared" si="59"/>
        <v>#DIV/0!</v>
      </c>
      <c r="W63" s="53">
        <f>COUNTIFS('00 Encuesta'!$B$2:$B$511,"*f)*",'00 Encuesta'!$C$2:$C$511,"*c)*",'00 Encuesta'!$E$2:$E$511,"*a)*",'00 Encuesta'!$J$2:$J$511,"*j)*")</f>
        <v>0</v>
      </c>
      <c r="X63" s="52" t="e">
        <f t="shared" si="60"/>
        <v>#DIV/0!</v>
      </c>
      <c r="Y63" s="53">
        <f>COUNTIFS('00 Encuesta'!$B$2:$B$511,"*f)*",'00 Encuesta'!$C$2:$C$511,"*c)*",'00 Encuesta'!$E$2:$E$511,"*b)*",'00 Encuesta'!$J$2:$J$511,"*j)*")</f>
        <v>0</v>
      </c>
      <c r="Z63" s="52" t="e">
        <f t="shared" si="61"/>
        <v>#DIV/0!</v>
      </c>
      <c r="AA63" s="3"/>
      <c r="AB63" s="62">
        <f t="shared" si="6"/>
        <v>18</v>
      </c>
      <c r="AC63" s="52">
        <f t="shared" si="62"/>
        <v>42.857142857142854</v>
      </c>
      <c r="AD63" s="7"/>
      <c r="AE63" s="7"/>
      <c r="AF63" s="9" t="str">
        <f t="shared" si="63"/>
        <v>j) Cámara digital</v>
      </c>
      <c r="AG63" s="72">
        <f t="shared" si="64"/>
        <v>50</v>
      </c>
      <c r="AH63" s="72">
        <f t="shared" si="65"/>
        <v>35</v>
      </c>
      <c r="AI63" s="73">
        <f t="shared" si="66"/>
        <v>42.857142857142854</v>
      </c>
      <c r="AJ63" s="73"/>
      <c r="AK63" s="76" t="e">
        <f t="shared" si="67"/>
        <v>#DIV/0!</v>
      </c>
      <c r="AL63" s="76" t="e">
        <f t="shared" si="68"/>
        <v>#DIV/0!</v>
      </c>
      <c r="AM63" s="76" t="e">
        <f t="shared" si="69"/>
        <v>#DIV/0!</v>
      </c>
      <c r="AN63" s="76"/>
      <c r="AO63" s="81" t="e">
        <f t="shared" si="70"/>
        <v>#DIV/0!</v>
      </c>
      <c r="AP63" s="81" t="e">
        <f t="shared" si="71"/>
        <v>#DIV/0!</v>
      </c>
      <c r="AQ63" s="81" t="e">
        <f t="shared" si="72"/>
        <v>#DIV/0!</v>
      </c>
      <c r="AR63" s="7"/>
      <c r="AS63" s="76">
        <f t="shared" si="1"/>
        <v>42.857142857142854</v>
      </c>
      <c r="AT63" s="7"/>
      <c r="AU63" s="7"/>
      <c r="AV63" s="7"/>
      <c r="AW63" s="7"/>
      <c r="AX63" s="7"/>
      <c r="AY63" s="7"/>
      <c r="AZ63" s="7"/>
      <c r="BA63" s="7"/>
      <c r="BB63" s="7"/>
      <c r="BC63" s="7"/>
      <c r="BD63" s="7"/>
      <c r="BE63" s="7"/>
      <c r="BF63" s="3"/>
      <c r="BG63" s="3"/>
      <c r="BH63" s="3"/>
      <c r="BI63" s="3"/>
      <c r="BJ63" s="3"/>
      <c r="BK63" s="3"/>
      <c r="BL63" s="3"/>
      <c r="BM63" s="3"/>
      <c r="BN63" s="3"/>
      <c r="BO63" s="3"/>
      <c r="BP63" s="3"/>
      <c r="BQ63" s="3"/>
      <c r="BR63" s="3"/>
      <c r="BS63" s="3"/>
      <c r="BT63" s="3"/>
      <c r="BU63" s="3"/>
      <c r="BV63" s="3"/>
      <c r="BW63" s="3"/>
    </row>
    <row r="64" spans="1:75" x14ac:dyDescent="0.3">
      <c r="A64" s="1" t="s">
        <v>69</v>
      </c>
      <c r="B64" s="2" t="s">
        <v>70</v>
      </c>
      <c r="C64" s="3"/>
      <c r="D64" s="7"/>
      <c r="E64" s="7"/>
      <c r="F64" s="71"/>
      <c r="G64" s="51">
        <f t="shared" si="50"/>
        <v>38</v>
      </c>
      <c r="H64" s="52">
        <f t="shared" si="51"/>
        <v>90.476190476190482</v>
      </c>
      <c r="I64" s="53">
        <f>COUNTIFS('00 Encuesta'!$B$2:$B$511,"*f)*",'00 Encuesta'!$C$2:$C$511,"*a)*",'00 Encuesta'!$E$2:$E$511,"*a)*",'00 Encuesta'!$J$2:$J$511,"*k)*")</f>
        <v>20</v>
      </c>
      <c r="J64" s="52">
        <f t="shared" si="52"/>
        <v>90.909090909090907</v>
      </c>
      <c r="K64" s="53">
        <f>COUNTIFS('00 Encuesta'!$B$2:$B$511,"*f)*",'00 Encuesta'!$C$2:$C$511,"*a)*",'00 Encuesta'!$E$2:$E$511,"*b)*",'00 Encuesta'!$J$2:$J$511,"*k)*")</f>
        <v>18</v>
      </c>
      <c r="L64" s="52">
        <f t="shared" si="53"/>
        <v>90</v>
      </c>
      <c r="M64" s="23"/>
      <c r="N64" s="51">
        <f t="shared" si="54"/>
        <v>0</v>
      </c>
      <c r="O64" s="52" t="e">
        <f t="shared" si="55"/>
        <v>#DIV/0!</v>
      </c>
      <c r="P64" s="53">
        <f>COUNTIFS('00 Encuesta'!$B$2:$B$511,"*f)*",'00 Encuesta'!$C$2:$C$511,"*b)*",'00 Encuesta'!$E$2:$E$511,"*a)*",'00 Encuesta'!$J$2:$J$511,"*k)*")</f>
        <v>0</v>
      </c>
      <c r="Q64" s="52" t="e">
        <f t="shared" si="56"/>
        <v>#DIV/0!</v>
      </c>
      <c r="R64" s="53">
        <f>COUNTIFS('00 Encuesta'!$B$2:$B$511,"*f)*",'00 Encuesta'!$C$2:$C$511,"*b)*",'00 Encuesta'!$E$2:$E$511,"*b)*",'00 Encuesta'!$J$2:$J$511,"*k)*")</f>
        <v>0</v>
      </c>
      <c r="S64" s="52" t="e">
        <f t="shared" si="57"/>
        <v>#DIV/0!</v>
      </c>
      <c r="T64" s="3"/>
      <c r="U64" s="51">
        <f t="shared" si="58"/>
        <v>0</v>
      </c>
      <c r="V64" s="52" t="e">
        <f t="shared" si="59"/>
        <v>#DIV/0!</v>
      </c>
      <c r="W64" s="53">
        <f>COUNTIFS('00 Encuesta'!$B$2:$B$511,"*f)*",'00 Encuesta'!$C$2:$C$511,"*c)*",'00 Encuesta'!$E$2:$E$511,"*a)*",'00 Encuesta'!$J$2:$J$511,"*k)*")</f>
        <v>0</v>
      </c>
      <c r="X64" s="52" t="e">
        <f t="shared" si="60"/>
        <v>#DIV/0!</v>
      </c>
      <c r="Y64" s="53">
        <f>COUNTIFS('00 Encuesta'!$B$2:$B$511,"*f)*",'00 Encuesta'!$C$2:$C$511,"*c)*",'00 Encuesta'!$E$2:$E$511,"*b)*",'00 Encuesta'!$J$2:$J$511,"*k)*")</f>
        <v>0</v>
      </c>
      <c r="Z64" s="52" t="e">
        <f t="shared" si="61"/>
        <v>#DIV/0!</v>
      </c>
      <c r="AA64" s="3"/>
      <c r="AB64" s="62">
        <f t="shared" si="6"/>
        <v>38</v>
      </c>
      <c r="AC64" s="52">
        <f t="shared" si="62"/>
        <v>90.476190476190482</v>
      </c>
      <c r="AD64" s="7"/>
      <c r="AE64" s="7"/>
      <c r="AF64" s="9" t="str">
        <f t="shared" si="63"/>
        <v>k) Aire acondicionado</v>
      </c>
      <c r="AG64" s="72">
        <f t="shared" si="64"/>
        <v>90.909090909090907</v>
      </c>
      <c r="AH64" s="72">
        <f t="shared" si="65"/>
        <v>90</v>
      </c>
      <c r="AI64" s="73">
        <f t="shared" si="66"/>
        <v>90.476190476190482</v>
      </c>
      <c r="AJ64" s="73"/>
      <c r="AK64" s="76" t="e">
        <f t="shared" si="67"/>
        <v>#DIV/0!</v>
      </c>
      <c r="AL64" s="76" t="e">
        <f t="shared" si="68"/>
        <v>#DIV/0!</v>
      </c>
      <c r="AM64" s="76" t="e">
        <f t="shared" si="69"/>
        <v>#DIV/0!</v>
      </c>
      <c r="AN64" s="76"/>
      <c r="AO64" s="81" t="e">
        <f t="shared" si="70"/>
        <v>#DIV/0!</v>
      </c>
      <c r="AP64" s="81" t="e">
        <f t="shared" si="71"/>
        <v>#DIV/0!</v>
      </c>
      <c r="AQ64" s="81" t="e">
        <f t="shared" si="72"/>
        <v>#DIV/0!</v>
      </c>
      <c r="AR64" s="7"/>
      <c r="AS64" s="76">
        <f t="shared" si="1"/>
        <v>90.476190476190482</v>
      </c>
      <c r="AT64" s="7"/>
      <c r="AU64" s="7"/>
      <c r="AV64" s="7"/>
      <c r="AW64" s="7"/>
      <c r="AX64" s="7"/>
      <c r="AY64" s="7"/>
      <c r="AZ64" s="7"/>
      <c r="BA64" s="7"/>
      <c r="BB64" s="7"/>
      <c r="BC64" s="7"/>
      <c r="BD64" s="7"/>
      <c r="BE64" s="7"/>
      <c r="BF64" s="3"/>
      <c r="BG64" s="3"/>
      <c r="BH64" s="3"/>
      <c r="BI64" s="3"/>
      <c r="BJ64" s="3"/>
      <c r="BK64" s="3"/>
      <c r="BL64" s="3"/>
      <c r="BM64" s="3"/>
      <c r="BN64" s="3"/>
      <c r="BO64" s="3"/>
      <c r="BP64" s="3"/>
      <c r="BQ64" s="3"/>
      <c r="BR64" s="3"/>
      <c r="BS64" s="3"/>
      <c r="BT64" s="3"/>
      <c r="BU64" s="3"/>
      <c r="BV64" s="3"/>
      <c r="BW64" s="3"/>
    </row>
    <row r="65" spans="1:75" x14ac:dyDescent="0.3">
      <c r="A65" s="8" t="s">
        <v>23</v>
      </c>
      <c r="B65" s="9" t="s">
        <v>24</v>
      </c>
      <c r="C65" s="7"/>
      <c r="D65" s="7"/>
      <c r="E65" s="7"/>
      <c r="F65" s="7"/>
      <c r="G65" s="7"/>
      <c r="H65" s="7"/>
      <c r="I65" s="7"/>
      <c r="J65" s="7"/>
      <c r="K65" s="7"/>
      <c r="L65" s="7"/>
      <c r="M65" s="7"/>
      <c r="N65" s="7"/>
      <c r="O65" s="7"/>
      <c r="P65" s="7"/>
      <c r="Q65" s="7"/>
      <c r="R65" s="7"/>
      <c r="S65" s="7"/>
      <c r="T65" s="7"/>
      <c r="U65" s="7"/>
      <c r="V65" s="7"/>
      <c r="W65" s="7"/>
      <c r="X65" s="7"/>
      <c r="Y65" s="7"/>
      <c r="Z65" s="7"/>
      <c r="AA65" s="7"/>
      <c r="AB65" s="6"/>
      <c r="AC65" s="41"/>
      <c r="AD65" s="7"/>
      <c r="AE65" s="7"/>
      <c r="AF65" s="9" t="str">
        <f t="shared" si="63"/>
        <v>S/R Sin Respuesta</v>
      </c>
      <c r="AG65" s="72">
        <f t="shared" si="64"/>
        <v>0</v>
      </c>
      <c r="AH65" s="72">
        <f t="shared" si="65"/>
        <v>0</v>
      </c>
      <c r="AI65" s="73">
        <f t="shared" si="66"/>
        <v>0</v>
      </c>
      <c r="AJ65" s="73"/>
      <c r="AK65" s="76">
        <f t="shared" si="67"/>
        <v>0</v>
      </c>
      <c r="AL65" s="76">
        <f t="shared" si="68"/>
        <v>0</v>
      </c>
      <c r="AM65" s="76">
        <f t="shared" si="69"/>
        <v>0</v>
      </c>
      <c r="AN65" s="76"/>
      <c r="AO65" s="81">
        <f t="shared" si="70"/>
        <v>0</v>
      </c>
      <c r="AP65" s="81">
        <f t="shared" si="71"/>
        <v>0</v>
      </c>
      <c r="AQ65" s="81">
        <f t="shared" si="72"/>
        <v>0</v>
      </c>
      <c r="AR65" s="7"/>
      <c r="AS65" s="76">
        <f t="shared" si="1"/>
        <v>0</v>
      </c>
      <c r="AT65" s="7"/>
      <c r="AU65" s="7"/>
      <c r="AV65" s="7"/>
      <c r="AW65" s="7"/>
      <c r="AX65" s="7"/>
      <c r="AY65" s="7"/>
      <c r="AZ65" s="7"/>
      <c r="BA65" s="7"/>
      <c r="BB65" s="7"/>
      <c r="BC65" s="7"/>
      <c r="BD65" s="7"/>
      <c r="BE65" s="7"/>
      <c r="BF65" s="3"/>
      <c r="BG65" s="3"/>
      <c r="BH65" s="3"/>
      <c r="BI65" s="3"/>
      <c r="BJ65" s="3"/>
      <c r="BK65" s="3"/>
      <c r="BL65" s="3"/>
      <c r="BM65" s="3"/>
      <c r="BN65" s="3"/>
      <c r="BO65" s="3"/>
      <c r="BP65" s="3"/>
      <c r="BQ65" s="3"/>
      <c r="BR65" s="3"/>
      <c r="BS65" s="3"/>
      <c r="BT65" s="3"/>
      <c r="BU65" s="3"/>
      <c r="BV65" s="3"/>
      <c r="BW65" s="3"/>
    </row>
    <row r="66" spans="1:75" x14ac:dyDescent="0.3">
      <c r="A66" s="70"/>
      <c r="B66" s="9"/>
      <c r="C66" s="7"/>
      <c r="D66" s="7"/>
      <c r="E66" s="7"/>
      <c r="F66" s="7"/>
      <c r="G66" s="7"/>
      <c r="H66" s="7"/>
      <c r="I66" s="7"/>
      <c r="J66" s="7"/>
      <c r="K66" s="7"/>
      <c r="L66" s="7"/>
      <c r="M66" s="7"/>
      <c r="N66" s="7"/>
      <c r="O66" s="7"/>
      <c r="P66" s="7"/>
      <c r="Q66" s="7"/>
      <c r="R66" s="7"/>
      <c r="S66" s="7"/>
      <c r="T66" s="7"/>
      <c r="U66" s="7"/>
      <c r="V66" s="7"/>
      <c r="W66" s="7"/>
      <c r="X66" s="7"/>
      <c r="Y66" s="7"/>
      <c r="Z66" s="7"/>
      <c r="AA66" s="7"/>
      <c r="AB66" s="6"/>
      <c r="AC66" s="41"/>
      <c r="AD66" s="7"/>
      <c r="AE66" s="7"/>
      <c r="AF66" s="7"/>
      <c r="AG66" s="7"/>
      <c r="AH66" s="7"/>
      <c r="AI66" s="7"/>
      <c r="AJ66" s="7"/>
      <c r="AK66" s="7"/>
      <c r="AL66" s="7"/>
      <c r="AM66" s="7"/>
      <c r="AN66" s="7"/>
      <c r="AO66" s="7"/>
      <c r="AP66" s="7"/>
      <c r="AQ66" s="7"/>
      <c r="AR66" s="7"/>
      <c r="AS66" s="76"/>
      <c r="AT66" s="7"/>
      <c r="AU66" s="7"/>
      <c r="AV66" s="7"/>
      <c r="AW66" s="7"/>
      <c r="AX66" s="7"/>
      <c r="AY66" s="7"/>
      <c r="AZ66" s="7"/>
      <c r="BA66" s="7"/>
      <c r="BB66" s="7"/>
      <c r="BC66" s="7"/>
      <c r="BD66" s="7"/>
      <c r="BE66" s="7"/>
      <c r="BF66" s="3"/>
      <c r="BG66" s="3"/>
      <c r="BH66" s="3"/>
      <c r="BI66" s="3"/>
      <c r="BJ66" s="3"/>
      <c r="BK66" s="3"/>
      <c r="BL66" s="3"/>
      <c r="BM66" s="3"/>
      <c r="BN66" s="3"/>
      <c r="BO66" s="3"/>
      <c r="BP66" s="3"/>
      <c r="BQ66" s="3"/>
      <c r="BR66" s="3"/>
      <c r="BS66" s="3"/>
      <c r="BT66" s="3"/>
      <c r="BU66" s="3"/>
      <c r="BV66" s="3"/>
      <c r="BW66" s="3"/>
    </row>
    <row r="67" spans="1:75" x14ac:dyDescent="0.3">
      <c r="A67" s="70">
        <v>10</v>
      </c>
      <c r="B67" s="9" t="s">
        <v>71</v>
      </c>
      <c r="C67" s="7"/>
      <c r="D67" s="7"/>
      <c r="E67" s="7"/>
      <c r="F67" s="71"/>
      <c r="G67" s="51"/>
      <c r="H67" s="52"/>
      <c r="I67" s="53"/>
      <c r="J67" s="52"/>
      <c r="K67" s="53"/>
      <c r="L67" s="66"/>
      <c r="M67" s="23"/>
      <c r="N67" s="51"/>
      <c r="O67" s="52"/>
      <c r="P67" s="53"/>
      <c r="Q67" s="52"/>
      <c r="R67" s="53"/>
      <c r="S67" s="66"/>
      <c r="T67" s="3"/>
      <c r="U67" s="51"/>
      <c r="V67" s="52"/>
      <c r="W67" s="53"/>
      <c r="X67" s="52"/>
      <c r="Y67" s="53"/>
      <c r="Z67" s="66"/>
      <c r="AA67" s="3"/>
      <c r="AB67" s="62"/>
      <c r="AC67" s="52"/>
      <c r="AD67" s="7"/>
      <c r="AE67" s="7"/>
      <c r="AF67" s="88" t="str">
        <f>A67&amp;" "&amp;B67</f>
        <v>10 En tu hogar, personas con empleo actualmente:</v>
      </c>
      <c r="AG67" s="7"/>
      <c r="AH67" s="7"/>
      <c r="AI67" s="7"/>
      <c r="AJ67" s="7"/>
      <c r="AK67" s="7"/>
      <c r="AL67" s="7"/>
      <c r="AM67" s="7"/>
      <c r="AN67" s="7"/>
      <c r="AO67" s="7"/>
      <c r="AP67" s="7"/>
      <c r="AQ67" s="7"/>
      <c r="AR67" s="7"/>
      <c r="AS67" s="76"/>
      <c r="AT67" s="7"/>
      <c r="AU67" s="7"/>
      <c r="AV67" s="7"/>
      <c r="AW67" s="7"/>
      <c r="AX67" s="7"/>
      <c r="AY67" s="7"/>
      <c r="AZ67" s="7"/>
      <c r="BA67" s="7"/>
      <c r="BB67" s="7"/>
      <c r="BC67" s="7"/>
      <c r="BD67" s="7"/>
      <c r="BE67" s="7"/>
      <c r="BF67" s="3"/>
      <c r="BG67" s="3"/>
      <c r="BH67" s="3"/>
      <c r="BI67" s="3"/>
      <c r="BJ67" s="3"/>
      <c r="BK67" s="3"/>
      <c r="BL67" s="3"/>
      <c r="BM67" s="3"/>
      <c r="BN67" s="3"/>
      <c r="BO67" s="3"/>
      <c r="BP67" s="3"/>
      <c r="BQ67" s="3"/>
      <c r="BR67" s="3"/>
      <c r="BS67" s="3"/>
      <c r="BT67" s="3"/>
      <c r="BU67" s="3"/>
      <c r="BV67" s="3"/>
      <c r="BW67" s="3"/>
    </row>
    <row r="68" spans="1:75" x14ac:dyDescent="0.3">
      <c r="A68" s="8" t="s">
        <v>17</v>
      </c>
      <c r="B68" s="9" t="s">
        <v>72</v>
      </c>
      <c r="C68" s="7"/>
      <c r="D68" s="7"/>
      <c r="E68" s="7"/>
      <c r="F68" s="71"/>
      <c r="G68" s="51">
        <f>I68+K68</f>
        <v>0</v>
      </c>
      <c r="H68" s="52">
        <f>G68/$J$5*100</f>
        <v>0</v>
      </c>
      <c r="I68" s="53">
        <f>COUNTIFS('00 Encuesta'!$B$2:$B$511,"*f)*",'00 Encuesta'!$C$2:$C$511,"*a)*",'00 Encuesta'!$E$2:$E$511,"*a)*",'00 Encuesta'!$K$2:$K$511,"*a)*")</f>
        <v>0</v>
      </c>
      <c r="J68" s="52">
        <f t="shared" ref="J68:J74" si="73">I68/$J$6*100</f>
        <v>0</v>
      </c>
      <c r="K68" s="53">
        <f>COUNTIFS('00 Encuesta'!$B$2:$B$511,"*f)*",'00 Encuesta'!$C$2:$C$511,"*a)*",'00 Encuesta'!$E$2:$E$511,"*b)*",'00 Encuesta'!$K$2:$K$511,"*a)*")</f>
        <v>0</v>
      </c>
      <c r="L68" s="52">
        <f t="shared" ref="L68:L74" si="74">K68/$J$7*100</f>
        <v>0</v>
      </c>
      <c r="M68" s="23"/>
      <c r="N68" s="51">
        <f t="shared" ref="N68:N74" si="75">P68+R68</f>
        <v>0</v>
      </c>
      <c r="O68" s="52" t="e">
        <f t="shared" ref="O68:O74" si="76">N68/$Q$5*100</f>
        <v>#DIV/0!</v>
      </c>
      <c r="P68" s="53">
        <f>COUNTIFS('00 Encuesta'!$B$2:$B$511,"*f)*",'00 Encuesta'!$C$2:$C$511,"*b)*",'00 Encuesta'!$E$2:$E$511,"*a)*",'00 Encuesta'!$K$2:$K$511,"*a)*")</f>
        <v>0</v>
      </c>
      <c r="Q68" s="52" t="e">
        <f t="shared" ref="Q68:Q74" si="77">P68/$Q$6*100</f>
        <v>#DIV/0!</v>
      </c>
      <c r="R68" s="53">
        <f>COUNTIFS('00 Encuesta'!$B$2:$B$511,"*f)*",'00 Encuesta'!$C$2:$C$511,"*b)*",'00 Encuesta'!$E$2:$E$511,"*b)*",'00 Encuesta'!$K$2:$K$511,"*a)*")</f>
        <v>0</v>
      </c>
      <c r="S68" s="52" t="e">
        <f t="shared" ref="S68:S74" si="78">R68/$Q$7*100</f>
        <v>#DIV/0!</v>
      </c>
      <c r="T68" s="3"/>
      <c r="U68" s="51">
        <f t="shared" ref="U68:U74" si="79">W68+Y68</f>
        <v>0</v>
      </c>
      <c r="V68" s="52" t="e">
        <f t="shared" ref="V68:V74" si="80">U68/$X$5*100</f>
        <v>#DIV/0!</v>
      </c>
      <c r="W68" s="53">
        <f>COUNTIFS('00 Encuesta'!$B$2:$B$511,"*f)*",'00 Encuesta'!$C$2:$C$511,"*c)*",'00 Encuesta'!$E$2:$E$511,"*a)*",'00 Encuesta'!$K$2:$K$511,"*a)*")</f>
        <v>0</v>
      </c>
      <c r="X68" s="52" t="e">
        <f t="shared" ref="X68:X74" si="81">W68/$X$6*100</f>
        <v>#DIV/0!</v>
      </c>
      <c r="Y68" s="53">
        <f>COUNTIFS('00 Encuesta'!$B$2:$B$511,"*f)*",'00 Encuesta'!$C$2:$C$511,"*c)*",'00 Encuesta'!$E$2:$E$511,"*b)*",'00 Encuesta'!$K$2:$K$511,"*a)*")</f>
        <v>0</v>
      </c>
      <c r="Z68" s="52" t="e">
        <f t="shared" ref="Z68:Z74" si="82">Y68/$X$7*100</f>
        <v>#DIV/0!</v>
      </c>
      <c r="AA68" s="3"/>
      <c r="AB68" s="62">
        <f t="shared" ref="AB68:AB74" si="83">G68+N68+U68</f>
        <v>0</v>
      </c>
      <c r="AC68" s="52">
        <f t="shared" ref="AC68:AC74" si="84">AB68*100/$AC$5</f>
        <v>0</v>
      </c>
      <c r="AD68" s="7"/>
      <c r="AE68" s="7"/>
      <c r="AF68" s="9" t="str">
        <f t="shared" ref="AF68:AF74" si="85">A68&amp;" "&amp;B68</f>
        <v>a) Ninguna</v>
      </c>
      <c r="AG68" s="72">
        <f t="shared" ref="AG68:AG74" si="86">J68</f>
        <v>0</v>
      </c>
      <c r="AH68" s="72">
        <f t="shared" ref="AH68:AH74" si="87">L68</f>
        <v>0</v>
      </c>
      <c r="AI68" s="73">
        <f t="shared" ref="AI68:AI74" si="88">H68</f>
        <v>0</v>
      </c>
      <c r="AJ68" s="73"/>
      <c r="AK68" s="76" t="e">
        <f t="shared" ref="AK68:AK74" si="89">Q68</f>
        <v>#DIV/0!</v>
      </c>
      <c r="AL68" s="76" t="e">
        <f t="shared" ref="AL68:AL74" si="90">S68</f>
        <v>#DIV/0!</v>
      </c>
      <c r="AM68" s="76" t="e">
        <f t="shared" ref="AM68:AM74" si="91">O68</f>
        <v>#DIV/0!</v>
      </c>
      <c r="AN68" s="76"/>
      <c r="AO68" s="81" t="e">
        <f t="shared" ref="AO68:AO74" si="92">X68</f>
        <v>#DIV/0!</v>
      </c>
      <c r="AP68" s="81" t="e">
        <f t="shared" ref="AP68:AP74" si="93">Z68</f>
        <v>#DIV/0!</v>
      </c>
      <c r="AQ68" s="81" t="e">
        <f t="shared" ref="AQ68:AQ74" si="94">V68</f>
        <v>#DIV/0!</v>
      </c>
      <c r="AR68" s="7"/>
      <c r="AS68" s="76">
        <f t="shared" si="1"/>
        <v>0</v>
      </c>
      <c r="AT68" s="7"/>
      <c r="AU68" s="7"/>
      <c r="AV68" s="7"/>
      <c r="AW68" s="7"/>
      <c r="AX68" s="7"/>
      <c r="AY68" s="7"/>
      <c r="AZ68" s="7"/>
      <c r="BA68" s="7"/>
      <c r="BB68" s="7"/>
      <c r="BC68" s="7"/>
      <c r="BD68" s="7"/>
      <c r="BE68" s="7"/>
      <c r="BF68" s="3"/>
      <c r="BG68" s="3"/>
      <c r="BH68" s="3"/>
      <c r="BI68" s="3"/>
      <c r="BJ68" s="3"/>
      <c r="BK68" s="3"/>
      <c r="BL68" s="3"/>
      <c r="BM68" s="3"/>
      <c r="BN68" s="3"/>
      <c r="BO68" s="3"/>
      <c r="BP68" s="3"/>
      <c r="BQ68" s="3"/>
      <c r="BR68" s="3"/>
      <c r="BS68" s="3"/>
      <c r="BT68" s="3"/>
      <c r="BU68" s="3"/>
      <c r="BV68" s="3"/>
      <c r="BW68" s="3"/>
    </row>
    <row r="69" spans="1:75" x14ac:dyDescent="0.3">
      <c r="A69" s="8" t="s">
        <v>18</v>
      </c>
      <c r="B69" s="9" t="s">
        <v>73</v>
      </c>
      <c r="C69" s="7"/>
      <c r="D69" s="7"/>
      <c r="E69" s="7"/>
      <c r="F69" s="71"/>
      <c r="G69" s="51">
        <f t="shared" ref="G69:G74" si="95">I69+K69</f>
        <v>11</v>
      </c>
      <c r="H69" s="52">
        <f t="shared" ref="H69:H74" si="96">G69/$J$5*100</f>
        <v>26.190476190476193</v>
      </c>
      <c r="I69" s="53">
        <f>COUNTIFS('00 Encuesta'!$B$2:$B$511,"*f)*",'00 Encuesta'!$C$2:$C$511,"*a)*",'00 Encuesta'!$E$2:$E$511,"*a)*",'00 Encuesta'!$K$2:$K$511,"*b)*")</f>
        <v>5</v>
      </c>
      <c r="J69" s="52">
        <f t="shared" si="73"/>
        <v>22.727272727272727</v>
      </c>
      <c r="K69" s="53">
        <f>COUNTIFS('00 Encuesta'!$B$2:$B$511,"*f)*",'00 Encuesta'!$C$2:$C$511,"*a)*",'00 Encuesta'!$E$2:$E$511,"*b)*",'00 Encuesta'!$K$2:$K$511,"*b)*")</f>
        <v>6</v>
      </c>
      <c r="L69" s="52">
        <f t="shared" si="74"/>
        <v>30</v>
      </c>
      <c r="M69" s="23"/>
      <c r="N69" s="51">
        <f t="shared" si="75"/>
        <v>0</v>
      </c>
      <c r="O69" s="52" t="e">
        <f t="shared" si="76"/>
        <v>#DIV/0!</v>
      </c>
      <c r="P69" s="53">
        <f>COUNTIFS('00 Encuesta'!$B$2:$B$511,"*f)*",'00 Encuesta'!$C$2:$C$511,"*b)*",'00 Encuesta'!$E$2:$E$511,"*a)*",'00 Encuesta'!$K$2:$K$511,"*b)*")</f>
        <v>0</v>
      </c>
      <c r="Q69" s="52" t="e">
        <f t="shared" si="77"/>
        <v>#DIV/0!</v>
      </c>
      <c r="R69" s="53">
        <f>COUNTIFS('00 Encuesta'!$B$2:$B$511,"*f)*",'00 Encuesta'!$C$2:$C$511,"*b)*",'00 Encuesta'!$E$2:$E$511,"*b)*",'00 Encuesta'!$K$2:$K$511,"*b)*")</f>
        <v>0</v>
      </c>
      <c r="S69" s="52" t="e">
        <f t="shared" si="78"/>
        <v>#DIV/0!</v>
      </c>
      <c r="T69" s="3"/>
      <c r="U69" s="51">
        <f t="shared" si="79"/>
        <v>0</v>
      </c>
      <c r="V69" s="52" t="e">
        <f t="shared" si="80"/>
        <v>#DIV/0!</v>
      </c>
      <c r="W69" s="53">
        <f>COUNTIFS('00 Encuesta'!$B$2:$B$511,"*f)*",'00 Encuesta'!$C$2:$C$511,"*c)*",'00 Encuesta'!$E$2:$E$511,"*a)*",'00 Encuesta'!$K$2:$K$511,"*b)*")</f>
        <v>0</v>
      </c>
      <c r="X69" s="52" t="e">
        <f t="shared" si="81"/>
        <v>#DIV/0!</v>
      </c>
      <c r="Y69" s="53">
        <f>COUNTIFS('00 Encuesta'!$B$2:$B$511,"*f)*",'00 Encuesta'!$C$2:$C$511,"*c)*",'00 Encuesta'!$E$2:$E$511,"*b)*",'00 Encuesta'!$K$2:$K$511,"*b)*")</f>
        <v>0</v>
      </c>
      <c r="Z69" s="52" t="e">
        <f t="shared" si="82"/>
        <v>#DIV/0!</v>
      </c>
      <c r="AA69" s="3"/>
      <c r="AB69" s="62">
        <f t="shared" si="83"/>
        <v>11</v>
      </c>
      <c r="AC69" s="52">
        <f t="shared" si="84"/>
        <v>26.19047619047619</v>
      </c>
      <c r="AD69" s="7"/>
      <c r="AE69" s="7"/>
      <c r="AF69" s="9" t="str">
        <f t="shared" si="85"/>
        <v>b) Una</v>
      </c>
      <c r="AG69" s="72">
        <f t="shared" si="86"/>
        <v>22.727272727272727</v>
      </c>
      <c r="AH69" s="72">
        <f t="shared" si="87"/>
        <v>30</v>
      </c>
      <c r="AI69" s="73">
        <f t="shared" si="88"/>
        <v>26.190476190476193</v>
      </c>
      <c r="AJ69" s="73"/>
      <c r="AK69" s="76" t="e">
        <f t="shared" si="89"/>
        <v>#DIV/0!</v>
      </c>
      <c r="AL69" s="76" t="e">
        <f t="shared" si="90"/>
        <v>#DIV/0!</v>
      </c>
      <c r="AM69" s="76" t="e">
        <f t="shared" si="91"/>
        <v>#DIV/0!</v>
      </c>
      <c r="AN69" s="76"/>
      <c r="AO69" s="81" t="e">
        <f t="shared" si="92"/>
        <v>#DIV/0!</v>
      </c>
      <c r="AP69" s="81" t="e">
        <f t="shared" si="93"/>
        <v>#DIV/0!</v>
      </c>
      <c r="AQ69" s="81" t="e">
        <f t="shared" si="94"/>
        <v>#DIV/0!</v>
      </c>
      <c r="AR69" s="7"/>
      <c r="AS69" s="76">
        <f t="shared" si="1"/>
        <v>26.19047619047619</v>
      </c>
      <c r="AT69" s="7"/>
      <c r="AU69" s="7"/>
      <c r="AV69" s="7"/>
      <c r="AW69" s="7"/>
      <c r="AX69" s="7"/>
      <c r="AY69" s="7"/>
      <c r="AZ69" s="7"/>
      <c r="BA69" s="7"/>
      <c r="BB69" s="7"/>
      <c r="BC69" s="7"/>
      <c r="BD69" s="7"/>
      <c r="BE69" s="7"/>
      <c r="BF69" s="3"/>
      <c r="BG69" s="3"/>
      <c r="BH69" s="3"/>
      <c r="BI69" s="3"/>
      <c r="BJ69" s="3"/>
      <c r="BK69" s="3"/>
      <c r="BL69" s="3"/>
      <c r="BM69" s="3"/>
      <c r="BN69" s="3"/>
      <c r="BO69" s="3"/>
      <c r="BP69" s="3"/>
      <c r="BQ69" s="3"/>
      <c r="BR69" s="3"/>
      <c r="BS69" s="3"/>
      <c r="BT69" s="3"/>
      <c r="BU69" s="3"/>
      <c r="BV69" s="3"/>
      <c r="BW69" s="3"/>
    </row>
    <row r="70" spans="1:75" x14ac:dyDescent="0.3">
      <c r="A70" s="8" t="s">
        <v>20</v>
      </c>
      <c r="B70" s="9" t="s">
        <v>74</v>
      </c>
      <c r="C70" s="7"/>
      <c r="D70" s="7"/>
      <c r="E70" s="7"/>
      <c r="F70" s="71"/>
      <c r="G70" s="51">
        <f t="shared" si="95"/>
        <v>13</v>
      </c>
      <c r="H70" s="52">
        <f t="shared" si="96"/>
        <v>30.952380952380953</v>
      </c>
      <c r="I70" s="53">
        <f>COUNTIFS('00 Encuesta'!$B$2:$B$511,"*f)*",'00 Encuesta'!$C$2:$C$511,"*a)*",'00 Encuesta'!$E$2:$E$511,"*a)*",'00 Encuesta'!$K$2:$K$511,"*c)*")</f>
        <v>6</v>
      </c>
      <c r="J70" s="52">
        <f t="shared" si="73"/>
        <v>27.27272727272727</v>
      </c>
      <c r="K70" s="53">
        <f>COUNTIFS('00 Encuesta'!$B$2:$B$511,"*f)*",'00 Encuesta'!$C$2:$C$511,"*a)*",'00 Encuesta'!$E$2:$E$511,"*b)*",'00 Encuesta'!$K$2:$K$511,"*c)*")</f>
        <v>7</v>
      </c>
      <c r="L70" s="52">
        <f t="shared" si="74"/>
        <v>35</v>
      </c>
      <c r="M70" s="23"/>
      <c r="N70" s="51">
        <f t="shared" si="75"/>
        <v>0</v>
      </c>
      <c r="O70" s="52" t="e">
        <f t="shared" si="76"/>
        <v>#DIV/0!</v>
      </c>
      <c r="P70" s="53">
        <f>COUNTIFS('00 Encuesta'!$B$2:$B$511,"*f)*",'00 Encuesta'!$C$2:$C$511,"*b)*",'00 Encuesta'!$E$2:$E$511,"*a)*",'00 Encuesta'!$K$2:$K$511,"*c)*")</f>
        <v>0</v>
      </c>
      <c r="Q70" s="52" t="e">
        <f t="shared" si="77"/>
        <v>#DIV/0!</v>
      </c>
      <c r="R70" s="53">
        <f>COUNTIFS('00 Encuesta'!$B$2:$B$511,"*f)*",'00 Encuesta'!$C$2:$C$511,"*b)*",'00 Encuesta'!$E$2:$E$511,"*b)*",'00 Encuesta'!$K$2:$K$511,"*c)*")</f>
        <v>0</v>
      </c>
      <c r="S70" s="52" t="e">
        <f t="shared" si="78"/>
        <v>#DIV/0!</v>
      </c>
      <c r="T70" s="3"/>
      <c r="U70" s="51">
        <f t="shared" si="79"/>
        <v>0</v>
      </c>
      <c r="V70" s="52" t="e">
        <f t="shared" si="80"/>
        <v>#DIV/0!</v>
      </c>
      <c r="W70" s="53">
        <f>COUNTIFS('00 Encuesta'!$B$2:$B$511,"*f)*",'00 Encuesta'!$C$2:$C$511,"*c)*",'00 Encuesta'!$E$2:$E$511,"*a)*",'00 Encuesta'!$K$2:$K$511,"*c)*")</f>
        <v>0</v>
      </c>
      <c r="X70" s="52" t="e">
        <f t="shared" si="81"/>
        <v>#DIV/0!</v>
      </c>
      <c r="Y70" s="53">
        <f>COUNTIFS('00 Encuesta'!$B$2:$B$511,"*f)*",'00 Encuesta'!$C$2:$C$511,"*c)*",'00 Encuesta'!$E$2:$E$511,"*b)*",'00 Encuesta'!$K$2:$K$511,"*c)*")</f>
        <v>0</v>
      </c>
      <c r="Z70" s="52" t="e">
        <f t="shared" si="82"/>
        <v>#DIV/0!</v>
      </c>
      <c r="AA70" s="3"/>
      <c r="AB70" s="62">
        <f t="shared" si="83"/>
        <v>13</v>
      </c>
      <c r="AC70" s="52">
        <f t="shared" si="84"/>
        <v>30.952380952380953</v>
      </c>
      <c r="AD70" s="7"/>
      <c r="AE70" s="7"/>
      <c r="AF70" s="9" t="str">
        <f t="shared" si="85"/>
        <v>c) Dos</v>
      </c>
      <c r="AG70" s="72">
        <f t="shared" si="86"/>
        <v>27.27272727272727</v>
      </c>
      <c r="AH70" s="72">
        <f t="shared" si="87"/>
        <v>35</v>
      </c>
      <c r="AI70" s="73">
        <f t="shared" si="88"/>
        <v>30.952380952380953</v>
      </c>
      <c r="AJ70" s="73"/>
      <c r="AK70" s="76" t="e">
        <f t="shared" si="89"/>
        <v>#DIV/0!</v>
      </c>
      <c r="AL70" s="76" t="e">
        <f t="shared" si="90"/>
        <v>#DIV/0!</v>
      </c>
      <c r="AM70" s="76" t="e">
        <f t="shared" si="91"/>
        <v>#DIV/0!</v>
      </c>
      <c r="AN70" s="76"/>
      <c r="AO70" s="81" t="e">
        <f t="shared" si="92"/>
        <v>#DIV/0!</v>
      </c>
      <c r="AP70" s="81" t="e">
        <f t="shared" si="93"/>
        <v>#DIV/0!</v>
      </c>
      <c r="AQ70" s="81" t="e">
        <f t="shared" si="94"/>
        <v>#DIV/0!</v>
      </c>
      <c r="AR70" s="7"/>
      <c r="AS70" s="76">
        <f t="shared" si="1"/>
        <v>30.952380952380953</v>
      </c>
      <c r="AT70" s="7"/>
      <c r="AU70" s="7"/>
      <c r="AV70" s="7"/>
      <c r="AW70" s="7"/>
      <c r="AX70" s="7"/>
      <c r="AY70" s="7"/>
      <c r="AZ70" s="7"/>
      <c r="BA70" s="7"/>
      <c r="BB70" s="7"/>
      <c r="BC70" s="7"/>
      <c r="BD70" s="7"/>
      <c r="BE70" s="7"/>
      <c r="BF70" s="3"/>
      <c r="BG70" s="3"/>
      <c r="BH70" s="3"/>
      <c r="BI70" s="3"/>
      <c r="BJ70" s="3"/>
      <c r="BK70" s="3"/>
      <c r="BL70" s="3"/>
      <c r="BM70" s="3"/>
      <c r="BN70" s="3"/>
      <c r="BO70" s="3"/>
      <c r="BP70" s="3"/>
      <c r="BQ70" s="3"/>
      <c r="BR70" s="3"/>
      <c r="BS70" s="3"/>
      <c r="BT70" s="3"/>
      <c r="BU70" s="3"/>
      <c r="BV70" s="3"/>
      <c r="BW70" s="3"/>
    </row>
    <row r="71" spans="1:75" x14ac:dyDescent="0.3">
      <c r="A71" s="8" t="s">
        <v>21</v>
      </c>
      <c r="B71" s="9" t="s">
        <v>75</v>
      </c>
      <c r="C71" s="7"/>
      <c r="D71" s="7"/>
      <c r="E71" s="7"/>
      <c r="F71" s="71"/>
      <c r="G71" s="51">
        <f t="shared" si="95"/>
        <v>4</v>
      </c>
      <c r="H71" s="52">
        <f t="shared" si="96"/>
        <v>9.5238095238095237</v>
      </c>
      <c r="I71" s="53">
        <f>COUNTIFS('00 Encuesta'!$B$2:$B$511,"*f)*",'00 Encuesta'!$C$2:$C$511,"*a)*",'00 Encuesta'!$E$2:$E$511,"*a)*",'00 Encuesta'!$K$2:$K$511,"*d)*")</f>
        <v>0</v>
      </c>
      <c r="J71" s="52">
        <f t="shared" si="73"/>
        <v>0</v>
      </c>
      <c r="K71" s="53">
        <f>COUNTIFS('00 Encuesta'!$B$2:$B$511,"*f)*",'00 Encuesta'!$C$2:$C$511,"*a)*",'00 Encuesta'!$E$2:$E$511,"*b)*",'00 Encuesta'!$K$2:$K$511,"*d)*")</f>
        <v>4</v>
      </c>
      <c r="L71" s="52">
        <f t="shared" si="74"/>
        <v>20</v>
      </c>
      <c r="M71" s="23"/>
      <c r="N71" s="51">
        <f t="shared" si="75"/>
        <v>0</v>
      </c>
      <c r="O71" s="52" t="e">
        <f t="shared" si="76"/>
        <v>#DIV/0!</v>
      </c>
      <c r="P71" s="53">
        <f>COUNTIFS('00 Encuesta'!$B$2:$B$511,"*f)*",'00 Encuesta'!$C$2:$C$511,"*b)*",'00 Encuesta'!$E$2:$E$511,"*a)*",'00 Encuesta'!$K$2:$K$511,"*d)*")</f>
        <v>0</v>
      </c>
      <c r="Q71" s="52" t="e">
        <f t="shared" si="77"/>
        <v>#DIV/0!</v>
      </c>
      <c r="R71" s="53">
        <f>COUNTIFS('00 Encuesta'!$B$2:$B$511,"*f)*",'00 Encuesta'!$C$2:$C$511,"*b)*",'00 Encuesta'!$E$2:$E$511,"*b)*",'00 Encuesta'!$K$2:$K$511,"*d)*")</f>
        <v>0</v>
      </c>
      <c r="S71" s="52" t="e">
        <f t="shared" si="78"/>
        <v>#DIV/0!</v>
      </c>
      <c r="T71" s="3"/>
      <c r="U71" s="51">
        <f t="shared" si="79"/>
        <v>0</v>
      </c>
      <c r="V71" s="52" t="e">
        <f t="shared" si="80"/>
        <v>#DIV/0!</v>
      </c>
      <c r="W71" s="53">
        <f>COUNTIFS('00 Encuesta'!$B$2:$B$511,"*f)*",'00 Encuesta'!$C$2:$C$511,"*c)*",'00 Encuesta'!$E$2:$E$511,"*a)*",'00 Encuesta'!$K$2:$K$511,"*d)*")</f>
        <v>0</v>
      </c>
      <c r="X71" s="52" t="e">
        <f t="shared" si="81"/>
        <v>#DIV/0!</v>
      </c>
      <c r="Y71" s="53">
        <f>COUNTIFS('00 Encuesta'!$B$2:$B$511,"*f)*",'00 Encuesta'!$C$2:$C$511,"*c)*",'00 Encuesta'!$E$2:$E$511,"*b)*",'00 Encuesta'!$K$2:$K$511,"*d)*")</f>
        <v>0</v>
      </c>
      <c r="Z71" s="52" t="e">
        <f t="shared" si="82"/>
        <v>#DIV/0!</v>
      </c>
      <c r="AA71" s="3"/>
      <c r="AB71" s="62">
        <f t="shared" si="83"/>
        <v>4</v>
      </c>
      <c r="AC71" s="52">
        <f t="shared" si="84"/>
        <v>9.5238095238095237</v>
      </c>
      <c r="AD71" s="7"/>
      <c r="AE71" s="7"/>
      <c r="AF71" s="9" t="str">
        <f t="shared" si="85"/>
        <v>d) Tres</v>
      </c>
      <c r="AG71" s="72">
        <f t="shared" si="86"/>
        <v>0</v>
      </c>
      <c r="AH71" s="72">
        <f t="shared" si="87"/>
        <v>20</v>
      </c>
      <c r="AI71" s="73">
        <f t="shared" si="88"/>
        <v>9.5238095238095237</v>
      </c>
      <c r="AJ71" s="73"/>
      <c r="AK71" s="76" t="e">
        <f t="shared" si="89"/>
        <v>#DIV/0!</v>
      </c>
      <c r="AL71" s="76" t="e">
        <f t="shared" si="90"/>
        <v>#DIV/0!</v>
      </c>
      <c r="AM71" s="76" t="e">
        <f t="shared" si="91"/>
        <v>#DIV/0!</v>
      </c>
      <c r="AN71" s="76"/>
      <c r="AO71" s="81" t="e">
        <f t="shared" si="92"/>
        <v>#DIV/0!</v>
      </c>
      <c r="AP71" s="81" t="e">
        <f t="shared" si="93"/>
        <v>#DIV/0!</v>
      </c>
      <c r="AQ71" s="81" t="e">
        <f t="shared" si="94"/>
        <v>#DIV/0!</v>
      </c>
      <c r="AR71" s="7"/>
      <c r="AS71" s="76">
        <f t="shared" si="1"/>
        <v>9.5238095238095237</v>
      </c>
      <c r="AT71" s="7"/>
      <c r="AU71" s="7"/>
      <c r="AV71" s="7"/>
      <c r="AW71" s="7"/>
      <c r="AX71" s="7"/>
      <c r="AY71" s="7"/>
      <c r="AZ71" s="7"/>
      <c r="BA71" s="7"/>
      <c r="BB71" s="7"/>
      <c r="BC71" s="7"/>
      <c r="BD71" s="7"/>
      <c r="BE71" s="7"/>
      <c r="BF71" s="3"/>
      <c r="BG71" s="3"/>
      <c r="BH71" s="3"/>
      <c r="BI71" s="3"/>
      <c r="BJ71" s="3"/>
      <c r="BK71" s="3"/>
      <c r="BL71" s="3"/>
      <c r="BM71" s="3"/>
      <c r="BN71" s="3"/>
      <c r="BO71" s="3"/>
      <c r="BP71" s="3"/>
      <c r="BQ71" s="3"/>
      <c r="BR71" s="3"/>
      <c r="BS71" s="3"/>
      <c r="BT71" s="3"/>
      <c r="BU71" s="3"/>
      <c r="BV71" s="3"/>
      <c r="BW71" s="3"/>
    </row>
    <row r="72" spans="1:75" x14ac:dyDescent="0.3">
      <c r="A72" s="8" t="s">
        <v>22</v>
      </c>
      <c r="B72" s="9" t="s">
        <v>76</v>
      </c>
      <c r="C72" s="7"/>
      <c r="D72" s="7"/>
      <c r="E72" s="7"/>
      <c r="F72" s="71"/>
      <c r="G72" s="51">
        <f t="shared" si="95"/>
        <v>3</v>
      </c>
      <c r="H72" s="52">
        <f t="shared" si="96"/>
        <v>7.1428571428571423</v>
      </c>
      <c r="I72" s="53">
        <f>COUNTIFS('00 Encuesta'!$B$2:$B$511,"*f)*",'00 Encuesta'!$C$2:$C$511,"*a)*",'00 Encuesta'!$E$2:$E$511,"*a)*",'00 Encuesta'!$K$2:$K$511,"*e)*")</f>
        <v>2</v>
      </c>
      <c r="J72" s="52">
        <f t="shared" si="73"/>
        <v>9.0909090909090917</v>
      </c>
      <c r="K72" s="53">
        <f>COUNTIFS('00 Encuesta'!$B$2:$B$511,"*f)*",'00 Encuesta'!$C$2:$C$511,"*a)*",'00 Encuesta'!$E$2:$E$511,"*b)*",'00 Encuesta'!$K$2:$K$511,"*e)*")</f>
        <v>1</v>
      </c>
      <c r="L72" s="52">
        <f t="shared" si="74"/>
        <v>5</v>
      </c>
      <c r="M72" s="23"/>
      <c r="N72" s="51">
        <f t="shared" si="75"/>
        <v>0</v>
      </c>
      <c r="O72" s="52" t="e">
        <f t="shared" si="76"/>
        <v>#DIV/0!</v>
      </c>
      <c r="P72" s="53">
        <f>COUNTIFS('00 Encuesta'!$B$2:$B$511,"*f)*",'00 Encuesta'!$C$2:$C$511,"*b)*",'00 Encuesta'!$E$2:$E$511,"*a)*",'00 Encuesta'!$K$2:$K$511,"*e)*")</f>
        <v>0</v>
      </c>
      <c r="Q72" s="52" t="e">
        <f t="shared" si="77"/>
        <v>#DIV/0!</v>
      </c>
      <c r="R72" s="53">
        <f>COUNTIFS('00 Encuesta'!$B$2:$B$511,"*f)*",'00 Encuesta'!$C$2:$C$511,"*b)*",'00 Encuesta'!$E$2:$E$511,"*b)*",'00 Encuesta'!$K$2:$K$511,"*e)*")</f>
        <v>0</v>
      </c>
      <c r="S72" s="52" t="e">
        <f t="shared" si="78"/>
        <v>#DIV/0!</v>
      </c>
      <c r="T72" s="3"/>
      <c r="U72" s="51">
        <f t="shared" si="79"/>
        <v>0</v>
      </c>
      <c r="V72" s="52" t="e">
        <f t="shared" si="80"/>
        <v>#DIV/0!</v>
      </c>
      <c r="W72" s="53">
        <f>COUNTIFS('00 Encuesta'!$B$2:$B$511,"*f)*",'00 Encuesta'!$C$2:$C$511,"*c)*",'00 Encuesta'!$E$2:$E$511,"*a)*",'00 Encuesta'!$K$2:$K$511,"*e)*")</f>
        <v>0</v>
      </c>
      <c r="X72" s="52" t="e">
        <f t="shared" si="81"/>
        <v>#DIV/0!</v>
      </c>
      <c r="Y72" s="53">
        <f>COUNTIFS('00 Encuesta'!$B$2:$B$511,"*f)*",'00 Encuesta'!$C$2:$C$511,"*c)*",'00 Encuesta'!$E$2:$E$511,"*b)*",'00 Encuesta'!$K$2:$K$511,"*e)*")</f>
        <v>0</v>
      </c>
      <c r="Z72" s="52" t="e">
        <f t="shared" si="82"/>
        <v>#DIV/0!</v>
      </c>
      <c r="AA72" s="3"/>
      <c r="AB72" s="62">
        <f t="shared" si="83"/>
        <v>3</v>
      </c>
      <c r="AC72" s="52">
        <f t="shared" si="84"/>
        <v>7.1428571428571432</v>
      </c>
      <c r="AD72" s="7"/>
      <c r="AE72" s="7"/>
      <c r="AF72" s="9" t="str">
        <f t="shared" si="85"/>
        <v>e) Cuatro</v>
      </c>
      <c r="AG72" s="72">
        <f t="shared" si="86"/>
        <v>9.0909090909090917</v>
      </c>
      <c r="AH72" s="72">
        <f t="shared" si="87"/>
        <v>5</v>
      </c>
      <c r="AI72" s="73">
        <f t="shared" si="88"/>
        <v>7.1428571428571423</v>
      </c>
      <c r="AJ72" s="73"/>
      <c r="AK72" s="76" t="e">
        <f t="shared" si="89"/>
        <v>#DIV/0!</v>
      </c>
      <c r="AL72" s="76" t="e">
        <f t="shared" si="90"/>
        <v>#DIV/0!</v>
      </c>
      <c r="AM72" s="76" t="e">
        <f t="shared" si="91"/>
        <v>#DIV/0!</v>
      </c>
      <c r="AN72" s="76"/>
      <c r="AO72" s="81" t="e">
        <f t="shared" si="92"/>
        <v>#DIV/0!</v>
      </c>
      <c r="AP72" s="81" t="e">
        <f t="shared" si="93"/>
        <v>#DIV/0!</v>
      </c>
      <c r="AQ72" s="81" t="e">
        <f t="shared" si="94"/>
        <v>#DIV/0!</v>
      </c>
      <c r="AR72" s="7"/>
      <c r="AS72" s="76">
        <f t="shared" si="1"/>
        <v>7.1428571428571432</v>
      </c>
      <c r="AT72" s="7"/>
      <c r="AU72" s="7"/>
      <c r="AV72" s="7"/>
      <c r="AW72" s="7"/>
      <c r="AX72" s="7"/>
      <c r="AY72" s="7"/>
      <c r="AZ72" s="7"/>
      <c r="BA72" s="7"/>
      <c r="BB72" s="7"/>
      <c r="BC72" s="7"/>
      <c r="BD72" s="7"/>
      <c r="BE72" s="7"/>
      <c r="BF72" s="3"/>
      <c r="BG72" s="3"/>
      <c r="BH72" s="3"/>
      <c r="BI72" s="3"/>
      <c r="BJ72" s="3"/>
      <c r="BK72" s="3"/>
      <c r="BL72" s="3"/>
      <c r="BM72" s="3"/>
      <c r="BN72" s="3"/>
      <c r="BO72" s="3"/>
      <c r="BP72" s="3"/>
      <c r="BQ72" s="3"/>
      <c r="BR72" s="3"/>
      <c r="BS72" s="3"/>
      <c r="BT72" s="3"/>
      <c r="BU72" s="3"/>
      <c r="BV72" s="3"/>
      <c r="BW72" s="3"/>
    </row>
    <row r="73" spans="1:75" x14ac:dyDescent="0.3">
      <c r="A73" s="8" t="s">
        <v>45</v>
      </c>
      <c r="B73" s="9" t="s">
        <v>77</v>
      </c>
      <c r="C73" s="7"/>
      <c r="D73" s="7"/>
      <c r="E73" s="7"/>
      <c r="F73" s="71"/>
      <c r="G73" s="51">
        <f t="shared" si="95"/>
        <v>10</v>
      </c>
      <c r="H73" s="52">
        <f t="shared" si="96"/>
        <v>23.809523809523807</v>
      </c>
      <c r="I73" s="53">
        <f>COUNTIFS('00 Encuesta'!$B$2:$B$511,"*f)*",'00 Encuesta'!$C$2:$C$511,"*a)*",'00 Encuesta'!$E$2:$E$511,"*a)*",'00 Encuesta'!$K$2:$K$511,"*f)*")</f>
        <v>8</v>
      </c>
      <c r="J73" s="52">
        <f t="shared" si="73"/>
        <v>36.363636363636367</v>
      </c>
      <c r="K73" s="53">
        <f>COUNTIFS('00 Encuesta'!$B$2:$B$511,"*f)*",'00 Encuesta'!$C$2:$C$511,"*a)*",'00 Encuesta'!$E$2:$E$511,"*b)*",'00 Encuesta'!$K$2:$K$511,"*f)*")</f>
        <v>2</v>
      </c>
      <c r="L73" s="52">
        <f t="shared" si="74"/>
        <v>10</v>
      </c>
      <c r="M73" s="23"/>
      <c r="N73" s="51">
        <f t="shared" si="75"/>
        <v>0</v>
      </c>
      <c r="O73" s="52" t="e">
        <f t="shared" si="76"/>
        <v>#DIV/0!</v>
      </c>
      <c r="P73" s="53">
        <f>COUNTIFS('00 Encuesta'!$B$2:$B$511,"*f)*",'00 Encuesta'!$C$2:$C$511,"*b)*",'00 Encuesta'!$E$2:$E$511,"*a)*",'00 Encuesta'!$K$2:$K$511,"*f)*")</f>
        <v>0</v>
      </c>
      <c r="Q73" s="52" t="e">
        <f t="shared" si="77"/>
        <v>#DIV/0!</v>
      </c>
      <c r="R73" s="53">
        <f>COUNTIFS('00 Encuesta'!$B$2:$B$511,"*f)*",'00 Encuesta'!$C$2:$C$511,"*b)*",'00 Encuesta'!$E$2:$E$511,"*b)*",'00 Encuesta'!$K$2:$K$511,"*f)*")</f>
        <v>0</v>
      </c>
      <c r="S73" s="52" t="e">
        <f t="shared" si="78"/>
        <v>#DIV/0!</v>
      </c>
      <c r="T73" s="3"/>
      <c r="U73" s="51">
        <f t="shared" si="79"/>
        <v>0</v>
      </c>
      <c r="V73" s="52" t="e">
        <f t="shared" si="80"/>
        <v>#DIV/0!</v>
      </c>
      <c r="W73" s="53">
        <f>COUNTIFS('00 Encuesta'!$B$2:$B$511,"*f)*",'00 Encuesta'!$C$2:$C$511,"*c)*",'00 Encuesta'!$E$2:$E$511,"*a)*",'00 Encuesta'!$K$2:$K$511,"*f)*")</f>
        <v>0</v>
      </c>
      <c r="X73" s="52" t="e">
        <f t="shared" si="81"/>
        <v>#DIV/0!</v>
      </c>
      <c r="Y73" s="53">
        <f>COUNTIFS('00 Encuesta'!$B$2:$B$511,"*f)*",'00 Encuesta'!$C$2:$C$511,"*c)*",'00 Encuesta'!$E$2:$E$511,"*b)*",'00 Encuesta'!$K$2:$K$511,"*f)*")</f>
        <v>0</v>
      </c>
      <c r="Z73" s="52" t="e">
        <f t="shared" si="82"/>
        <v>#DIV/0!</v>
      </c>
      <c r="AA73" s="3"/>
      <c r="AB73" s="62">
        <f t="shared" si="83"/>
        <v>10</v>
      </c>
      <c r="AC73" s="52">
        <f t="shared" si="84"/>
        <v>23.80952380952381</v>
      </c>
      <c r="AD73" s="7"/>
      <c r="AE73" s="7"/>
      <c r="AF73" s="9" t="str">
        <f t="shared" si="85"/>
        <v>f) Más de cuatro</v>
      </c>
      <c r="AG73" s="72">
        <f t="shared" si="86"/>
        <v>36.363636363636367</v>
      </c>
      <c r="AH73" s="72">
        <f t="shared" si="87"/>
        <v>10</v>
      </c>
      <c r="AI73" s="73">
        <f t="shared" si="88"/>
        <v>23.809523809523807</v>
      </c>
      <c r="AJ73" s="73"/>
      <c r="AK73" s="76" t="e">
        <f t="shared" si="89"/>
        <v>#DIV/0!</v>
      </c>
      <c r="AL73" s="76" t="e">
        <f t="shared" si="90"/>
        <v>#DIV/0!</v>
      </c>
      <c r="AM73" s="76" t="e">
        <f t="shared" si="91"/>
        <v>#DIV/0!</v>
      </c>
      <c r="AN73" s="76"/>
      <c r="AO73" s="81" t="e">
        <f t="shared" si="92"/>
        <v>#DIV/0!</v>
      </c>
      <c r="AP73" s="81" t="e">
        <f t="shared" si="93"/>
        <v>#DIV/0!</v>
      </c>
      <c r="AQ73" s="81" t="e">
        <f t="shared" si="94"/>
        <v>#DIV/0!</v>
      </c>
      <c r="AR73" s="7"/>
      <c r="AS73" s="76">
        <f t="shared" si="1"/>
        <v>23.80952380952381</v>
      </c>
      <c r="AT73" s="7"/>
      <c r="AU73" s="7"/>
      <c r="AV73" s="7"/>
      <c r="AW73" s="7"/>
      <c r="AX73" s="7"/>
      <c r="AY73" s="7"/>
      <c r="AZ73" s="7"/>
      <c r="BA73" s="7"/>
      <c r="BB73" s="7"/>
      <c r="BC73" s="7"/>
      <c r="BD73" s="7"/>
      <c r="BE73" s="7"/>
      <c r="BF73" s="3"/>
      <c r="BG73" s="3"/>
      <c r="BH73" s="3"/>
      <c r="BI73" s="3"/>
      <c r="BJ73" s="3"/>
      <c r="BK73" s="3"/>
      <c r="BL73" s="3"/>
      <c r="BM73" s="3"/>
      <c r="BN73" s="3"/>
      <c r="BO73" s="3"/>
      <c r="BP73" s="3"/>
      <c r="BQ73" s="3"/>
      <c r="BR73" s="3"/>
      <c r="BS73" s="3"/>
      <c r="BT73" s="3"/>
      <c r="BU73" s="3"/>
      <c r="BV73" s="3"/>
      <c r="BW73" s="3"/>
    </row>
    <row r="74" spans="1:75" x14ac:dyDescent="0.3">
      <c r="A74" s="8" t="s">
        <v>23</v>
      </c>
      <c r="B74" s="9" t="s">
        <v>24</v>
      </c>
      <c r="C74" s="7"/>
      <c r="D74" s="7"/>
      <c r="E74" s="7"/>
      <c r="F74" s="71"/>
      <c r="G74" s="51">
        <f t="shared" si="95"/>
        <v>0</v>
      </c>
      <c r="H74" s="52">
        <f t="shared" si="96"/>
        <v>0</v>
      </c>
      <c r="I74" s="53"/>
      <c r="J74" s="52">
        <f t="shared" si="73"/>
        <v>0</v>
      </c>
      <c r="K74" s="53"/>
      <c r="L74" s="52">
        <f t="shared" si="74"/>
        <v>0</v>
      </c>
      <c r="M74" s="23"/>
      <c r="N74" s="51">
        <f t="shared" si="75"/>
        <v>0</v>
      </c>
      <c r="O74" s="52" t="e">
        <f t="shared" si="76"/>
        <v>#DIV/0!</v>
      </c>
      <c r="P74" s="53"/>
      <c r="Q74" s="52" t="e">
        <f t="shared" si="77"/>
        <v>#DIV/0!</v>
      </c>
      <c r="R74" s="53"/>
      <c r="S74" s="52" t="e">
        <f t="shared" si="78"/>
        <v>#DIV/0!</v>
      </c>
      <c r="T74" s="3"/>
      <c r="U74" s="51">
        <f t="shared" si="79"/>
        <v>0</v>
      </c>
      <c r="V74" s="52" t="e">
        <f t="shared" si="80"/>
        <v>#DIV/0!</v>
      </c>
      <c r="W74" s="53"/>
      <c r="X74" s="52" t="e">
        <f t="shared" si="81"/>
        <v>#DIV/0!</v>
      </c>
      <c r="Y74" s="53"/>
      <c r="Z74" s="52" t="e">
        <f t="shared" si="82"/>
        <v>#DIV/0!</v>
      </c>
      <c r="AA74" s="3"/>
      <c r="AB74" s="62">
        <f t="shared" si="83"/>
        <v>0</v>
      </c>
      <c r="AC74" s="52">
        <f t="shared" si="84"/>
        <v>0</v>
      </c>
      <c r="AD74" s="7"/>
      <c r="AE74" s="7"/>
      <c r="AF74" s="9" t="str">
        <f t="shared" si="85"/>
        <v>S/R Sin Respuesta</v>
      </c>
      <c r="AG74" s="72">
        <f t="shared" si="86"/>
        <v>0</v>
      </c>
      <c r="AH74" s="72">
        <f t="shared" si="87"/>
        <v>0</v>
      </c>
      <c r="AI74" s="73">
        <f t="shared" si="88"/>
        <v>0</v>
      </c>
      <c r="AJ74" s="73"/>
      <c r="AK74" s="76" t="e">
        <f t="shared" si="89"/>
        <v>#DIV/0!</v>
      </c>
      <c r="AL74" s="76" t="e">
        <f t="shared" si="90"/>
        <v>#DIV/0!</v>
      </c>
      <c r="AM74" s="76" t="e">
        <f t="shared" si="91"/>
        <v>#DIV/0!</v>
      </c>
      <c r="AN74" s="76"/>
      <c r="AO74" s="81" t="e">
        <f t="shared" si="92"/>
        <v>#DIV/0!</v>
      </c>
      <c r="AP74" s="81" t="e">
        <f t="shared" si="93"/>
        <v>#DIV/0!</v>
      </c>
      <c r="AQ74" s="81" t="e">
        <f t="shared" si="94"/>
        <v>#DIV/0!</v>
      </c>
      <c r="AR74" s="7"/>
      <c r="AS74" s="76">
        <f t="shared" si="1"/>
        <v>0</v>
      </c>
      <c r="AT74" s="7"/>
      <c r="AU74" s="7"/>
      <c r="AV74" s="7"/>
      <c r="AW74" s="7"/>
      <c r="AX74" s="7"/>
      <c r="AY74" s="7"/>
      <c r="AZ74" s="7"/>
      <c r="BA74" s="7"/>
      <c r="BB74" s="7"/>
      <c r="BC74" s="7"/>
      <c r="BD74" s="7"/>
      <c r="BE74" s="7"/>
      <c r="BF74" s="3"/>
      <c r="BG74" s="3"/>
      <c r="BH74" s="3"/>
      <c r="BI74" s="3"/>
      <c r="BJ74" s="3"/>
      <c r="BK74" s="3"/>
      <c r="BL74" s="3"/>
      <c r="BM74" s="3"/>
      <c r="BN74" s="3"/>
      <c r="BO74" s="3"/>
      <c r="BP74" s="3"/>
      <c r="BQ74" s="3"/>
      <c r="BR74" s="3"/>
      <c r="BS74" s="3"/>
      <c r="BT74" s="3"/>
      <c r="BU74" s="3"/>
      <c r="BV74" s="3"/>
      <c r="BW74" s="3"/>
    </row>
    <row r="75" spans="1:75" x14ac:dyDescent="0.3">
      <c r="A75" s="8"/>
      <c r="B75" s="9"/>
      <c r="C75" s="7"/>
      <c r="D75" s="7"/>
      <c r="E75" s="7"/>
      <c r="F75" s="71"/>
      <c r="G75" s="23"/>
      <c r="H75" s="22"/>
      <c r="I75" s="23"/>
      <c r="J75" s="22"/>
      <c r="K75" s="23"/>
      <c r="L75" s="22"/>
      <c r="M75" s="23"/>
      <c r="N75" s="23"/>
      <c r="O75" s="22"/>
      <c r="P75" s="23"/>
      <c r="Q75" s="22"/>
      <c r="R75" s="23"/>
      <c r="S75" s="22"/>
      <c r="T75" s="3"/>
      <c r="U75" s="23"/>
      <c r="V75" s="22"/>
      <c r="W75" s="23"/>
      <c r="X75" s="22"/>
      <c r="Y75" s="23"/>
      <c r="Z75" s="22"/>
      <c r="AA75" s="3"/>
      <c r="AB75" s="24"/>
      <c r="AC75" s="22"/>
      <c r="AD75" s="7"/>
      <c r="AE75" s="7"/>
      <c r="AF75" s="7"/>
      <c r="AG75" s="7"/>
      <c r="AH75" s="7"/>
      <c r="AI75" s="7"/>
      <c r="AJ75" s="7"/>
      <c r="AK75" s="7"/>
      <c r="AL75" s="7"/>
      <c r="AM75" s="7"/>
      <c r="AN75" s="7"/>
      <c r="AO75" s="7"/>
      <c r="AP75" s="7"/>
      <c r="AQ75" s="7"/>
      <c r="AR75" s="7"/>
      <c r="AS75" s="76"/>
      <c r="AT75" s="7"/>
      <c r="AU75" s="7"/>
      <c r="AV75" s="7"/>
      <c r="AW75" s="7"/>
      <c r="AX75" s="7"/>
      <c r="AY75" s="7"/>
      <c r="AZ75" s="7"/>
      <c r="BA75" s="7"/>
      <c r="BB75" s="7"/>
      <c r="BC75" s="7"/>
      <c r="BD75" s="7"/>
      <c r="BE75" s="7"/>
      <c r="BF75" s="3"/>
      <c r="BG75" s="3"/>
      <c r="BH75" s="3"/>
      <c r="BI75" s="3"/>
      <c r="BJ75" s="3"/>
      <c r="BK75" s="3"/>
      <c r="BL75" s="3"/>
      <c r="BM75" s="3"/>
      <c r="BN75" s="3"/>
      <c r="BO75" s="3"/>
      <c r="BP75" s="3"/>
      <c r="BQ75" s="3"/>
      <c r="BR75" s="3"/>
      <c r="BS75" s="3"/>
      <c r="BT75" s="3"/>
      <c r="BU75" s="3"/>
      <c r="BV75" s="3"/>
      <c r="BW75" s="3"/>
    </row>
    <row r="76" spans="1:75" x14ac:dyDescent="0.3">
      <c r="A76" s="8"/>
      <c r="B76" s="9"/>
      <c r="C76" s="7"/>
      <c r="D76" s="7"/>
      <c r="E76" s="7"/>
      <c r="F76" s="7"/>
      <c r="G76" s="7"/>
      <c r="H76" s="7"/>
      <c r="I76" s="7"/>
      <c r="J76" s="7"/>
      <c r="K76" s="7"/>
      <c r="L76" s="7"/>
      <c r="M76" s="7"/>
      <c r="N76" s="7"/>
      <c r="O76" s="7"/>
      <c r="P76" s="7"/>
      <c r="Q76" s="7"/>
      <c r="R76" s="7"/>
      <c r="S76" s="7"/>
      <c r="T76" s="7"/>
      <c r="U76" s="7"/>
      <c r="V76" s="7"/>
      <c r="W76" s="7"/>
      <c r="X76" s="7"/>
      <c r="Y76" s="7"/>
      <c r="Z76" s="7"/>
      <c r="AA76" s="7"/>
      <c r="AB76" s="6"/>
      <c r="AC76" s="41"/>
      <c r="AD76" s="7"/>
      <c r="AE76" s="7"/>
      <c r="AF76" s="7"/>
      <c r="AG76" s="7"/>
      <c r="AH76" s="7"/>
      <c r="AI76" s="7"/>
      <c r="AJ76" s="7"/>
      <c r="AK76" s="7"/>
      <c r="AL76" s="7"/>
      <c r="AM76" s="7"/>
      <c r="AN76" s="7"/>
      <c r="AO76" s="7"/>
      <c r="AP76" s="7"/>
      <c r="AQ76" s="7"/>
      <c r="AR76" s="7"/>
      <c r="AS76" s="76"/>
      <c r="AT76" s="7"/>
      <c r="AU76" s="7"/>
      <c r="AV76" s="7"/>
      <c r="AW76" s="7"/>
      <c r="AX76" s="7"/>
      <c r="AY76" s="7"/>
      <c r="AZ76" s="7"/>
      <c r="BA76" s="7"/>
      <c r="BB76" s="7"/>
      <c r="BC76" s="7"/>
      <c r="BD76" s="7"/>
      <c r="BE76" s="7"/>
      <c r="BF76" s="3"/>
      <c r="BG76" s="3"/>
      <c r="BH76" s="3"/>
      <c r="BI76" s="3"/>
      <c r="BJ76" s="3"/>
      <c r="BK76" s="3"/>
      <c r="BL76" s="3"/>
      <c r="BM76" s="3"/>
      <c r="BN76" s="3"/>
      <c r="BO76" s="3"/>
      <c r="BP76" s="3"/>
      <c r="BQ76" s="3"/>
      <c r="BR76" s="3"/>
      <c r="BS76" s="3"/>
      <c r="BT76" s="3"/>
      <c r="BU76" s="3"/>
      <c r="BV76" s="3"/>
      <c r="BW76" s="3"/>
    </row>
    <row r="77" spans="1:75" x14ac:dyDescent="0.3">
      <c r="A77" s="70" t="s">
        <v>78</v>
      </c>
      <c r="B77" s="9" t="s">
        <v>79</v>
      </c>
      <c r="C77" s="7"/>
      <c r="D77" s="7"/>
      <c r="E77" s="7"/>
      <c r="F77" s="71"/>
      <c r="G77" s="51"/>
      <c r="H77" s="52"/>
      <c r="I77" s="53"/>
      <c r="J77" s="52"/>
      <c r="K77" s="53"/>
      <c r="L77" s="66"/>
      <c r="M77" s="23"/>
      <c r="N77" s="51"/>
      <c r="O77" s="52"/>
      <c r="P77" s="53"/>
      <c r="Q77" s="52"/>
      <c r="R77" s="53"/>
      <c r="S77" s="66"/>
      <c r="T77" s="3"/>
      <c r="U77" s="51"/>
      <c r="V77" s="52"/>
      <c r="W77" s="53"/>
      <c r="X77" s="52"/>
      <c r="Y77" s="53"/>
      <c r="Z77" s="66"/>
      <c r="AA77" s="3"/>
      <c r="AB77" s="62"/>
      <c r="AC77" s="52"/>
      <c r="AD77" s="7"/>
      <c r="AE77" s="7"/>
      <c r="AF77" s="88" t="str">
        <f>A77&amp;" "&amp;B77</f>
        <v>11 Señala las tres opciones que más valoras en tu vida</v>
      </c>
      <c r="AG77" s="7"/>
      <c r="AH77" s="7"/>
      <c r="AI77" s="7"/>
      <c r="AJ77" s="7"/>
      <c r="AK77" s="7"/>
      <c r="AL77" s="7"/>
      <c r="AM77" s="7"/>
      <c r="AN77" s="7"/>
      <c r="AO77" s="7"/>
      <c r="AP77" s="7"/>
      <c r="AQ77" s="7"/>
      <c r="AR77" s="7"/>
      <c r="AS77" s="76"/>
      <c r="AT77" s="7"/>
      <c r="AU77" s="7"/>
      <c r="AV77" s="7"/>
      <c r="AW77" s="7"/>
      <c r="AX77" s="7"/>
      <c r="AY77" s="7"/>
      <c r="AZ77" s="7"/>
      <c r="BA77" s="7"/>
      <c r="BB77" s="7"/>
      <c r="BC77" s="7"/>
      <c r="BD77" s="7"/>
      <c r="BE77" s="7"/>
      <c r="BF77" s="3"/>
      <c r="BG77" s="3"/>
      <c r="BH77" s="3"/>
      <c r="BI77" s="3"/>
      <c r="BJ77" s="3"/>
      <c r="BK77" s="3"/>
      <c r="BL77" s="3"/>
      <c r="BM77" s="3"/>
      <c r="BN77" s="3"/>
      <c r="BO77" s="3"/>
      <c r="BP77" s="3"/>
      <c r="BQ77" s="3"/>
      <c r="BR77" s="3"/>
      <c r="BS77" s="3"/>
      <c r="BT77" s="3"/>
      <c r="BU77" s="3"/>
      <c r="BV77" s="3"/>
      <c r="BW77" s="3"/>
    </row>
    <row r="78" spans="1:75" x14ac:dyDescent="0.3">
      <c r="A78" s="8" t="s">
        <v>17</v>
      </c>
      <c r="B78" s="9" t="s">
        <v>80</v>
      </c>
      <c r="C78" s="7"/>
      <c r="D78" s="7"/>
      <c r="E78" s="7"/>
      <c r="F78" s="71"/>
      <c r="G78" s="51">
        <f t="shared" ref="G78:G88" si="97">I78+K78</f>
        <v>39</v>
      </c>
      <c r="H78" s="52">
        <f t="shared" ref="H78:H88" si="98">G78/$J$5*100</f>
        <v>92.857142857142861</v>
      </c>
      <c r="I78" s="53">
        <f>COUNTIFS('00 Encuesta'!$B$2:$B$511,"*f)*",'00 Encuesta'!$C$2:$C$511,"*a)*",'00 Encuesta'!$E$2:$E$511,"*a)*",'00 Encuesta'!$L$2:$L$511,"*a)*")</f>
        <v>19</v>
      </c>
      <c r="J78" s="52">
        <f t="shared" ref="J78:J88" si="99">I78/$J$6*100</f>
        <v>86.36363636363636</v>
      </c>
      <c r="K78" s="53">
        <f>COUNTIFS('00 Encuesta'!$B$2:$B$511,"*f)*",'00 Encuesta'!$C$2:$C$511,"*a)*",'00 Encuesta'!$E$2:$E$511,"*b)*",'00 Encuesta'!$L$2:$L$511,"*a)*")</f>
        <v>20</v>
      </c>
      <c r="L78" s="52">
        <f t="shared" ref="L78:L88" si="100">K78/$J$7*100</f>
        <v>100</v>
      </c>
      <c r="M78" s="23"/>
      <c r="N78" s="51">
        <f t="shared" ref="N78:N88" si="101">P78+R78</f>
        <v>0</v>
      </c>
      <c r="O78" s="52" t="e">
        <f t="shared" ref="O78:O88" si="102">N78/$Q$5*100</f>
        <v>#DIV/0!</v>
      </c>
      <c r="P78" s="53">
        <f>COUNTIFS('00 Encuesta'!$B$2:$B$511,"*f)*",'00 Encuesta'!$C$2:$C$511,"*b)*",'00 Encuesta'!$E$2:$E$511,"*a)*",'00 Encuesta'!$L$2:$L$511,"*a)*")</f>
        <v>0</v>
      </c>
      <c r="Q78" s="52" t="e">
        <f t="shared" ref="Q78:Q88" si="103">P78/$Q$6*100</f>
        <v>#DIV/0!</v>
      </c>
      <c r="R78" s="53">
        <f>COUNTIFS('00 Encuesta'!$B$2:$B$511,"*f)*",'00 Encuesta'!$C$2:$C$511,"*b)*",'00 Encuesta'!$E$2:$E$511,"*b)*",'00 Encuesta'!$L$2:$L$511,"*a)*")</f>
        <v>0</v>
      </c>
      <c r="S78" s="52" t="e">
        <f t="shared" ref="S78:S88" si="104">R78/$Q$7*100</f>
        <v>#DIV/0!</v>
      </c>
      <c r="T78" s="3"/>
      <c r="U78" s="51">
        <f t="shared" ref="U78:U88" si="105">W78+Y78</f>
        <v>0</v>
      </c>
      <c r="V78" s="52" t="e">
        <f t="shared" ref="V78:V88" si="106">U78/$X$5*100</f>
        <v>#DIV/0!</v>
      </c>
      <c r="W78" s="53">
        <f>COUNTIFS('00 Encuesta'!$B$2:$B$511,"*f)*",'00 Encuesta'!$C$2:$C$511,"*c)*",'00 Encuesta'!$E$2:$E$511,"*a)*",'00 Encuesta'!$L$2:$L$511,"*a)*")</f>
        <v>0</v>
      </c>
      <c r="X78" s="52" t="e">
        <f>W78/$X$6*100</f>
        <v>#DIV/0!</v>
      </c>
      <c r="Y78" s="53">
        <f>COUNTIFS('00 Encuesta'!$B$2:$B$511,"*f)*",'00 Encuesta'!$C$2:$C$511,"*c)*",'00 Encuesta'!$E$2:$E$511,"*b)*",'00 Encuesta'!$L$2:$L$511,"*a)*")</f>
        <v>0</v>
      </c>
      <c r="Z78" s="52" t="e">
        <f t="shared" ref="Z78:Z88" si="107">Y78/$X$7*100</f>
        <v>#DIV/0!</v>
      </c>
      <c r="AA78" s="3"/>
      <c r="AB78" s="62">
        <f t="shared" ref="AB78:AB88" si="108">G78+N78+U78</f>
        <v>39</v>
      </c>
      <c r="AC78" s="52">
        <f t="shared" ref="AC78:AC88" si="109">AB78*100/$AC$5</f>
        <v>92.857142857142861</v>
      </c>
      <c r="AD78" s="7"/>
      <c r="AE78" s="7"/>
      <c r="AF78" s="9" t="str">
        <f t="shared" ref="AF78:AF89" si="110">A78&amp;" "&amp;B78</f>
        <v>a) La familia</v>
      </c>
      <c r="AG78" s="72">
        <f t="shared" ref="AG78:AG89" si="111">J78</f>
        <v>86.36363636363636</v>
      </c>
      <c r="AH78" s="72">
        <f t="shared" ref="AH78:AH89" si="112">L78</f>
        <v>100</v>
      </c>
      <c r="AI78" s="73">
        <f t="shared" ref="AI78:AI89" si="113">H78</f>
        <v>92.857142857142861</v>
      </c>
      <c r="AJ78" s="73"/>
      <c r="AK78" s="76" t="e">
        <f t="shared" ref="AK78:AK89" si="114">Q78</f>
        <v>#DIV/0!</v>
      </c>
      <c r="AL78" s="76" t="e">
        <f t="shared" ref="AL78:AL89" si="115">S78</f>
        <v>#DIV/0!</v>
      </c>
      <c r="AM78" s="76" t="e">
        <f t="shared" ref="AM78:AM89" si="116">O78</f>
        <v>#DIV/0!</v>
      </c>
      <c r="AN78" s="76"/>
      <c r="AO78" s="81" t="e">
        <f>X78</f>
        <v>#DIV/0!</v>
      </c>
      <c r="AP78" s="81" t="e">
        <f t="shared" ref="AP78:AP89" si="117">Z78</f>
        <v>#DIV/0!</v>
      </c>
      <c r="AQ78" s="81" t="e">
        <f t="shared" ref="AQ78:AQ89" si="118">V78</f>
        <v>#DIV/0!</v>
      </c>
      <c r="AR78" s="7"/>
      <c r="AS78" s="76">
        <f t="shared" si="1"/>
        <v>92.857142857142861</v>
      </c>
      <c r="AT78" s="7"/>
      <c r="AU78" s="7"/>
      <c r="AV78" s="7"/>
      <c r="AW78" s="7"/>
      <c r="AX78" s="7"/>
      <c r="AY78" s="7"/>
      <c r="AZ78" s="7"/>
      <c r="BA78" s="7"/>
      <c r="BB78" s="7"/>
      <c r="BC78" s="7"/>
      <c r="BD78" s="7"/>
      <c r="BE78" s="7"/>
      <c r="BF78" s="3"/>
      <c r="BG78" s="3"/>
      <c r="BH78" s="3"/>
      <c r="BI78" s="3"/>
      <c r="BJ78" s="3"/>
      <c r="BK78" s="3"/>
      <c r="BL78" s="3"/>
      <c r="BM78" s="3"/>
      <c r="BN78" s="3"/>
      <c r="BO78" s="3"/>
      <c r="BP78" s="3"/>
      <c r="BQ78" s="3"/>
      <c r="BR78" s="3"/>
      <c r="BS78" s="3"/>
      <c r="BT78" s="3"/>
      <c r="BU78" s="3"/>
      <c r="BV78" s="3"/>
      <c r="BW78" s="3"/>
    </row>
    <row r="79" spans="1:75" x14ac:dyDescent="0.3">
      <c r="A79" s="8" t="s">
        <v>18</v>
      </c>
      <c r="B79" s="9" t="s">
        <v>81</v>
      </c>
      <c r="C79" s="7"/>
      <c r="D79" s="7"/>
      <c r="E79" s="7"/>
      <c r="F79" s="71"/>
      <c r="G79" s="51">
        <f t="shared" si="97"/>
        <v>18</v>
      </c>
      <c r="H79" s="52">
        <f t="shared" si="98"/>
        <v>42.857142857142854</v>
      </c>
      <c r="I79" s="53">
        <f>COUNTIFS('00 Encuesta'!$B$2:$B$511,"*f)*",'00 Encuesta'!$C$2:$C$511,"*a)*",'00 Encuesta'!$E$2:$E$511,"*a)*",'00 Encuesta'!$L$2:$L$511,"*b)*")</f>
        <v>9</v>
      </c>
      <c r="J79" s="52">
        <f t="shared" si="99"/>
        <v>40.909090909090914</v>
      </c>
      <c r="K79" s="53">
        <f>COUNTIFS('00 Encuesta'!$B$2:$B$511,"*f)*",'00 Encuesta'!$C$2:$C$511,"*a)*",'00 Encuesta'!$E$2:$E$511,"*b)*",'00 Encuesta'!$L$2:$L$511,"*b)*")</f>
        <v>9</v>
      </c>
      <c r="L79" s="52">
        <f t="shared" si="100"/>
        <v>45</v>
      </c>
      <c r="M79" s="23"/>
      <c r="N79" s="51">
        <f t="shared" si="101"/>
        <v>0</v>
      </c>
      <c r="O79" s="52" t="e">
        <f t="shared" si="102"/>
        <v>#DIV/0!</v>
      </c>
      <c r="P79" s="53">
        <f>COUNTIFS('00 Encuesta'!$B$2:$B$511,"*f)*",'00 Encuesta'!$C$2:$C$511,"*b)*",'00 Encuesta'!$E$2:$E$511,"*a)*",'00 Encuesta'!$L$2:$L$511,"*b)*")</f>
        <v>0</v>
      </c>
      <c r="Q79" s="52" t="e">
        <f t="shared" si="103"/>
        <v>#DIV/0!</v>
      </c>
      <c r="R79" s="53">
        <f>COUNTIFS('00 Encuesta'!$B$2:$B$511,"*f)*",'00 Encuesta'!$C$2:$C$511,"*b)*",'00 Encuesta'!$E$2:$E$511,"*b)*",'00 Encuesta'!$L$2:$L$511,"*b)*")</f>
        <v>0</v>
      </c>
      <c r="S79" s="52" t="e">
        <f t="shared" si="104"/>
        <v>#DIV/0!</v>
      </c>
      <c r="T79" s="3"/>
      <c r="U79" s="51">
        <f t="shared" si="105"/>
        <v>0</v>
      </c>
      <c r="V79" s="52" t="e">
        <f t="shared" si="106"/>
        <v>#DIV/0!</v>
      </c>
      <c r="W79" s="53">
        <f>COUNTIFS('00 Encuesta'!$B$2:$B$511,"*f)*",'00 Encuesta'!$C$2:$C$511,"*c)*",'00 Encuesta'!$E$2:$E$511,"*a)*",'00 Encuesta'!$L$2:$L$511,"*b)*")</f>
        <v>0</v>
      </c>
      <c r="X79" s="52" t="e">
        <f t="shared" ref="X79:X88" si="119">W79/$X$6*100</f>
        <v>#DIV/0!</v>
      </c>
      <c r="Y79" s="53">
        <f>COUNTIFS('00 Encuesta'!$B$2:$B$511,"*f)*",'00 Encuesta'!$C$2:$C$511,"*c)*",'00 Encuesta'!$E$2:$E$511,"*b)*",'00 Encuesta'!$L$2:$L$511,"*b)*")</f>
        <v>0</v>
      </c>
      <c r="Z79" s="52" t="e">
        <f t="shared" si="107"/>
        <v>#DIV/0!</v>
      </c>
      <c r="AA79" s="3"/>
      <c r="AB79" s="62">
        <f t="shared" si="108"/>
        <v>18</v>
      </c>
      <c r="AC79" s="52">
        <f t="shared" si="109"/>
        <v>42.857142857142854</v>
      </c>
      <c r="AD79" s="7"/>
      <c r="AE79" s="7"/>
      <c r="AF79" s="9" t="str">
        <f t="shared" si="110"/>
        <v>b) Los amigos</v>
      </c>
      <c r="AG79" s="72">
        <f t="shared" si="111"/>
        <v>40.909090909090914</v>
      </c>
      <c r="AH79" s="72">
        <f t="shared" si="112"/>
        <v>45</v>
      </c>
      <c r="AI79" s="73">
        <f t="shared" si="113"/>
        <v>42.857142857142854</v>
      </c>
      <c r="AJ79" s="73"/>
      <c r="AK79" s="76" t="e">
        <f t="shared" si="114"/>
        <v>#DIV/0!</v>
      </c>
      <c r="AL79" s="76" t="e">
        <f t="shared" si="115"/>
        <v>#DIV/0!</v>
      </c>
      <c r="AM79" s="76" t="e">
        <f t="shared" si="116"/>
        <v>#DIV/0!</v>
      </c>
      <c r="AN79" s="76"/>
      <c r="AO79" s="81" t="e">
        <f t="shared" ref="AO79:AO89" si="120">X79</f>
        <v>#DIV/0!</v>
      </c>
      <c r="AP79" s="81" t="e">
        <f t="shared" si="117"/>
        <v>#DIV/0!</v>
      </c>
      <c r="AQ79" s="81" t="e">
        <f t="shared" si="118"/>
        <v>#DIV/0!</v>
      </c>
      <c r="AR79" s="7"/>
      <c r="AS79" s="76">
        <f t="shared" si="1"/>
        <v>42.857142857142854</v>
      </c>
      <c r="AT79" s="7"/>
      <c r="AU79" s="7"/>
      <c r="AV79" s="7"/>
      <c r="AW79" s="7"/>
      <c r="AX79" s="7"/>
      <c r="AY79" s="7"/>
      <c r="AZ79" s="7"/>
      <c r="BA79" s="7"/>
      <c r="BB79" s="7"/>
      <c r="BC79" s="7"/>
      <c r="BD79" s="7"/>
      <c r="BE79" s="7"/>
      <c r="BF79" s="3"/>
      <c r="BG79" s="3"/>
      <c r="BH79" s="3"/>
      <c r="BI79" s="3"/>
      <c r="BJ79" s="3"/>
      <c r="BK79" s="3"/>
      <c r="BL79" s="3"/>
      <c r="BM79" s="3"/>
      <c r="BN79" s="3"/>
      <c r="BO79" s="3"/>
      <c r="BP79" s="3"/>
      <c r="BQ79" s="3"/>
      <c r="BR79" s="3"/>
      <c r="BS79" s="3"/>
      <c r="BT79" s="3"/>
      <c r="BU79" s="3"/>
      <c r="BV79" s="3"/>
      <c r="BW79" s="3"/>
    </row>
    <row r="80" spans="1:75" x14ac:dyDescent="0.3">
      <c r="A80" s="8" t="s">
        <v>20</v>
      </c>
      <c r="B80" s="9" t="s">
        <v>82</v>
      </c>
      <c r="C80" s="7"/>
      <c r="D80" s="7"/>
      <c r="E80" s="7"/>
      <c r="F80" s="71"/>
      <c r="G80" s="51">
        <f t="shared" si="97"/>
        <v>24</v>
      </c>
      <c r="H80" s="52">
        <f t="shared" si="98"/>
        <v>57.142857142857139</v>
      </c>
      <c r="I80" s="53">
        <f>COUNTIFS('00 Encuesta'!$B$2:$B$511,"*f)*",'00 Encuesta'!$C$2:$C$511,"*a)*",'00 Encuesta'!$E$2:$E$511,"*a)*",'00 Encuesta'!$L$2:$L$511,"*c)*")</f>
        <v>13</v>
      </c>
      <c r="J80" s="52">
        <f t="shared" si="99"/>
        <v>59.090909090909093</v>
      </c>
      <c r="K80" s="53">
        <f>COUNTIFS('00 Encuesta'!$B$2:$B$511,"*f)*",'00 Encuesta'!$C$2:$C$511,"*a)*",'00 Encuesta'!$E$2:$E$511,"*b)*",'00 Encuesta'!$L$2:$L$511,"*c)*")</f>
        <v>11</v>
      </c>
      <c r="L80" s="52">
        <f t="shared" si="100"/>
        <v>55.000000000000007</v>
      </c>
      <c r="M80" s="23"/>
      <c r="N80" s="51">
        <f t="shared" si="101"/>
        <v>0</v>
      </c>
      <c r="O80" s="52" t="e">
        <f t="shared" si="102"/>
        <v>#DIV/0!</v>
      </c>
      <c r="P80" s="53">
        <f>COUNTIFS('00 Encuesta'!$B$2:$B$511,"*f)*",'00 Encuesta'!$C$2:$C$511,"*b)*",'00 Encuesta'!$E$2:$E$511,"*a)*",'00 Encuesta'!$L$2:$L$511,"*c)*")</f>
        <v>0</v>
      </c>
      <c r="Q80" s="52" t="e">
        <f t="shared" si="103"/>
        <v>#DIV/0!</v>
      </c>
      <c r="R80" s="53">
        <f>COUNTIFS('00 Encuesta'!$B$2:$B$511,"*f)*",'00 Encuesta'!$C$2:$C$511,"*b)*",'00 Encuesta'!$E$2:$E$511,"*b)*",'00 Encuesta'!$L$2:$L$511,"*c)*")</f>
        <v>0</v>
      </c>
      <c r="S80" s="52" t="e">
        <f t="shared" si="104"/>
        <v>#DIV/0!</v>
      </c>
      <c r="T80" s="3"/>
      <c r="U80" s="51">
        <f t="shared" si="105"/>
        <v>0</v>
      </c>
      <c r="V80" s="52" t="e">
        <f t="shared" si="106"/>
        <v>#DIV/0!</v>
      </c>
      <c r="W80" s="53">
        <f>COUNTIFS('00 Encuesta'!$B$2:$B$511,"*f)*",'00 Encuesta'!$C$2:$C$511,"*c)*",'00 Encuesta'!$E$2:$E$511,"*a)*",'00 Encuesta'!$L$2:$L$511,"*c)*")</f>
        <v>0</v>
      </c>
      <c r="X80" s="52" t="e">
        <f t="shared" si="119"/>
        <v>#DIV/0!</v>
      </c>
      <c r="Y80" s="53">
        <f>COUNTIFS('00 Encuesta'!$B$2:$B$511,"*f)*",'00 Encuesta'!$C$2:$C$511,"*c)*",'00 Encuesta'!$E$2:$E$511,"*b)*",'00 Encuesta'!$L$2:$L$511,"*c)*")</f>
        <v>0</v>
      </c>
      <c r="Z80" s="52" t="e">
        <f t="shared" si="107"/>
        <v>#DIV/0!</v>
      </c>
      <c r="AA80" s="3"/>
      <c r="AB80" s="62">
        <f t="shared" si="108"/>
        <v>24</v>
      </c>
      <c r="AC80" s="52">
        <f t="shared" si="109"/>
        <v>57.142857142857146</v>
      </c>
      <c r="AD80" s="7"/>
      <c r="AE80" s="7"/>
      <c r="AF80" s="9" t="str">
        <f t="shared" si="110"/>
        <v>c) Los estudios</v>
      </c>
      <c r="AG80" s="72">
        <f t="shared" si="111"/>
        <v>59.090909090909093</v>
      </c>
      <c r="AH80" s="72">
        <f t="shared" si="112"/>
        <v>55.000000000000007</v>
      </c>
      <c r="AI80" s="73">
        <f t="shared" si="113"/>
        <v>57.142857142857139</v>
      </c>
      <c r="AJ80" s="73"/>
      <c r="AK80" s="76" t="e">
        <f t="shared" si="114"/>
        <v>#DIV/0!</v>
      </c>
      <c r="AL80" s="76" t="e">
        <f t="shared" si="115"/>
        <v>#DIV/0!</v>
      </c>
      <c r="AM80" s="76" t="e">
        <f t="shared" si="116"/>
        <v>#DIV/0!</v>
      </c>
      <c r="AN80" s="76"/>
      <c r="AO80" s="81" t="e">
        <f t="shared" si="120"/>
        <v>#DIV/0!</v>
      </c>
      <c r="AP80" s="81" t="e">
        <f t="shared" si="117"/>
        <v>#DIV/0!</v>
      </c>
      <c r="AQ80" s="81" t="e">
        <f t="shared" si="118"/>
        <v>#DIV/0!</v>
      </c>
      <c r="AR80" s="7"/>
      <c r="AS80" s="76">
        <f t="shared" ref="AS80:AS141" si="121">AC80</f>
        <v>57.142857142857146</v>
      </c>
      <c r="AT80" s="7"/>
      <c r="AU80" s="7"/>
      <c r="AV80" s="7"/>
      <c r="AW80" s="7"/>
      <c r="AX80" s="7"/>
      <c r="AY80" s="7"/>
      <c r="AZ80" s="7"/>
      <c r="BA80" s="7"/>
      <c r="BB80" s="7"/>
      <c r="BC80" s="7"/>
      <c r="BD80" s="7"/>
      <c r="BE80" s="7"/>
      <c r="BF80" s="3"/>
      <c r="BG80" s="3"/>
      <c r="BH80" s="3"/>
      <c r="BI80" s="3"/>
      <c r="BJ80" s="3"/>
      <c r="BK80" s="3"/>
      <c r="BL80" s="3"/>
      <c r="BM80" s="3"/>
      <c r="BN80" s="3"/>
      <c r="BO80" s="3"/>
      <c r="BP80" s="3"/>
      <c r="BQ80" s="3"/>
      <c r="BR80" s="3"/>
      <c r="BS80" s="3"/>
      <c r="BT80" s="3"/>
      <c r="BU80" s="3"/>
      <c r="BV80" s="3"/>
      <c r="BW80" s="3"/>
    </row>
    <row r="81" spans="1:75" x14ac:dyDescent="0.3">
      <c r="A81" s="8" t="s">
        <v>21</v>
      </c>
      <c r="B81" s="9" t="s">
        <v>83</v>
      </c>
      <c r="C81" s="7"/>
      <c r="D81" s="7"/>
      <c r="E81" s="7"/>
      <c r="F81" s="71"/>
      <c r="G81" s="51">
        <f t="shared" si="97"/>
        <v>3</v>
      </c>
      <c r="H81" s="52">
        <f t="shared" si="98"/>
        <v>7.1428571428571423</v>
      </c>
      <c r="I81" s="53">
        <f>COUNTIFS('00 Encuesta'!$B$2:$B$511,"*f)*",'00 Encuesta'!$C$2:$C$511,"*a)*",'00 Encuesta'!$E$2:$E$511,"*a)*",'00 Encuesta'!$L$2:$L$511,"*d)*")</f>
        <v>1</v>
      </c>
      <c r="J81" s="52">
        <f t="shared" si="99"/>
        <v>4.5454545454545459</v>
      </c>
      <c r="K81" s="53">
        <f>COUNTIFS('00 Encuesta'!$B$2:$B$511,"*f)*",'00 Encuesta'!$C$2:$C$511,"*a)*",'00 Encuesta'!$E$2:$E$511,"*b)*",'00 Encuesta'!$L$2:$L$511,"*d)*")</f>
        <v>2</v>
      </c>
      <c r="L81" s="52">
        <f t="shared" si="100"/>
        <v>10</v>
      </c>
      <c r="M81" s="23"/>
      <c r="N81" s="51">
        <f t="shared" si="101"/>
        <v>0</v>
      </c>
      <c r="O81" s="52" t="e">
        <f t="shared" si="102"/>
        <v>#DIV/0!</v>
      </c>
      <c r="P81" s="53">
        <f>COUNTIFS('00 Encuesta'!$B$2:$B$511,"*f)*",'00 Encuesta'!$C$2:$C$511,"*b)*",'00 Encuesta'!$E$2:$E$511,"*a)*",'00 Encuesta'!$L$2:$L$511,"*d)*")</f>
        <v>0</v>
      </c>
      <c r="Q81" s="52" t="e">
        <f t="shared" si="103"/>
        <v>#DIV/0!</v>
      </c>
      <c r="R81" s="53">
        <f>COUNTIFS('00 Encuesta'!$B$2:$B$511,"*f)*",'00 Encuesta'!$C$2:$C$511,"*b)*",'00 Encuesta'!$E$2:$E$511,"*b)*",'00 Encuesta'!$L$2:$L$511,"*d)*")</f>
        <v>0</v>
      </c>
      <c r="S81" s="52" t="e">
        <f t="shared" si="104"/>
        <v>#DIV/0!</v>
      </c>
      <c r="T81" s="3"/>
      <c r="U81" s="51">
        <f t="shared" si="105"/>
        <v>0</v>
      </c>
      <c r="V81" s="52" t="e">
        <f t="shared" si="106"/>
        <v>#DIV/0!</v>
      </c>
      <c r="W81" s="53">
        <f>COUNTIFS('00 Encuesta'!$B$2:$B$511,"*f)*",'00 Encuesta'!$C$2:$C$511,"*c)*",'00 Encuesta'!$E$2:$E$511,"*a)*",'00 Encuesta'!$L$2:$L$511,"*d)*")</f>
        <v>0</v>
      </c>
      <c r="X81" s="52" t="e">
        <f t="shared" si="119"/>
        <v>#DIV/0!</v>
      </c>
      <c r="Y81" s="53">
        <f>COUNTIFS('00 Encuesta'!$B$2:$B$511,"*f)*",'00 Encuesta'!$C$2:$C$511,"*c)*",'00 Encuesta'!$E$2:$E$511,"*b)*",'00 Encuesta'!$L$2:$L$511,"*d)*")</f>
        <v>0</v>
      </c>
      <c r="Z81" s="52" t="e">
        <f t="shared" si="107"/>
        <v>#DIV/0!</v>
      </c>
      <c r="AA81" s="3"/>
      <c r="AB81" s="62">
        <f t="shared" si="108"/>
        <v>3</v>
      </c>
      <c r="AC81" s="52">
        <f t="shared" si="109"/>
        <v>7.1428571428571432</v>
      </c>
      <c r="AD81" s="7"/>
      <c r="AE81" s="7"/>
      <c r="AF81" s="9" t="str">
        <f t="shared" si="110"/>
        <v>d) El cuidado de mi cuerpo</v>
      </c>
      <c r="AG81" s="72">
        <f t="shared" si="111"/>
        <v>4.5454545454545459</v>
      </c>
      <c r="AH81" s="72">
        <f t="shared" si="112"/>
        <v>10</v>
      </c>
      <c r="AI81" s="73">
        <f t="shared" si="113"/>
        <v>7.1428571428571423</v>
      </c>
      <c r="AJ81" s="73"/>
      <c r="AK81" s="76" t="e">
        <f t="shared" si="114"/>
        <v>#DIV/0!</v>
      </c>
      <c r="AL81" s="76" t="e">
        <f t="shared" si="115"/>
        <v>#DIV/0!</v>
      </c>
      <c r="AM81" s="76" t="e">
        <f t="shared" si="116"/>
        <v>#DIV/0!</v>
      </c>
      <c r="AN81" s="76"/>
      <c r="AO81" s="81" t="e">
        <f t="shared" si="120"/>
        <v>#DIV/0!</v>
      </c>
      <c r="AP81" s="81" t="e">
        <f t="shared" si="117"/>
        <v>#DIV/0!</v>
      </c>
      <c r="AQ81" s="81" t="e">
        <f t="shared" si="118"/>
        <v>#DIV/0!</v>
      </c>
      <c r="AR81" s="7"/>
      <c r="AS81" s="76">
        <f t="shared" si="121"/>
        <v>7.1428571428571432</v>
      </c>
      <c r="AT81" s="7"/>
      <c r="AU81" s="7"/>
      <c r="AV81" s="7"/>
      <c r="AW81" s="7"/>
      <c r="AX81" s="7"/>
      <c r="AY81" s="7"/>
      <c r="AZ81" s="7"/>
      <c r="BA81" s="7"/>
      <c r="BB81" s="7"/>
      <c r="BC81" s="7"/>
      <c r="BD81" s="7"/>
      <c r="BE81" s="7"/>
      <c r="BF81" s="3"/>
      <c r="BG81" s="3"/>
      <c r="BH81" s="3"/>
      <c r="BI81" s="3"/>
      <c r="BJ81" s="3"/>
      <c r="BK81" s="3"/>
      <c r="BL81" s="3"/>
      <c r="BM81" s="3"/>
      <c r="BN81" s="3"/>
      <c r="BO81" s="3"/>
      <c r="BP81" s="3"/>
      <c r="BQ81" s="3"/>
      <c r="BR81" s="3"/>
      <c r="BS81" s="3"/>
      <c r="BT81" s="3"/>
      <c r="BU81" s="3"/>
      <c r="BV81" s="3"/>
      <c r="BW81" s="3"/>
    </row>
    <row r="82" spans="1:75" x14ac:dyDescent="0.3">
      <c r="A82" s="8" t="s">
        <v>22</v>
      </c>
      <c r="B82" s="9" t="s">
        <v>84</v>
      </c>
      <c r="C82" s="7"/>
      <c r="D82" s="7"/>
      <c r="E82" s="56"/>
      <c r="F82" s="71"/>
      <c r="G82" s="51">
        <f t="shared" si="97"/>
        <v>0</v>
      </c>
      <c r="H82" s="52">
        <f t="shared" si="98"/>
        <v>0</v>
      </c>
      <c r="I82" s="53">
        <f>COUNTIFS('00 Encuesta'!$B$2:$B$511,"*f)*",'00 Encuesta'!$C$2:$C$511,"*a)*",'00 Encuesta'!$E$2:$E$511,"*a)*",'00 Encuesta'!$L$2:$L$511,"*e)*")</f>
        <v>0</v>
      </c>
      <c r="J82" s="52">
        <f t="shared" si="99"/>
        <v>0</v>
      </c>
      <c r="K82" s="53">
        <f>COUNTIFS('00 Encuesta'!$B$2:$B$511,"*f)*",'00 Encuesta'!$C$2:$C$511,"*a)*",'00 Encuesta'!$E$2:$E$511,"*b)*",'00 Encuesta'!$L$2:$L$511,"*e)*")</f>
        <v>0</v>
      </c>
      <c r="L82" s="52">
        <f t="shared" si="100"/>
        <v>0</v>
      </c>
      <c r="M82" s="23"/>
      <c r="N82" s="51">
        <f t="shared" si="101"/>
        <v>0</v>
      </c>
      <c r="O82" s="52" t="e">
        <f t="shared" si="102"/>
        <v>#DIV/0!</v>
      </c>
      <c r="P82" s="53">
        <f>COUNTIFS('00 Encuesta'!$B$2:$B$511,"*f)*",'00 Encuesta'!$C$2:$C$511,"*b)*",'00 Encuesta'!$E$2:$E$511,"*a)*",'00 Encuesta'!$L$2:$L$511,"*e)*")</f>
        <v>0</v>
      </c>
      <c r="Q82" s="52" t="e">
        <f t="shared" si="103"/>
        <v>#DIV/0!</v>
      </c>
      <c r="R82" s="53">
        <f>COUNTIFS('00 Encuesta'!$B$2:$B$511,"*f)*",'00 Encuesta'!$C$2:$C$511,"*b)*",'00 Encuesta'!$E$2:$E$511,"*b)*",'00 Encuesta'!$L$2:$L$511,"*e)*")</f>
        <v>0</v>
      </c>
      <c r="S82" s="52" t="e">
        <f t="shared" si="104"/>
        <v>#DIV/0!</v>
      </c>
      <c r="T82" s="3"/>
      <c r="U82" s="51">
        <f t="shared" si="105"/>
        <v>0</v>
      </c>
      <c r="V82" s="52" t="e">
        <f t="shared" si="106"/>
        <v>#DIV/0!</v>
      </c>
      <c r="W82" s="53">
        <f>COUNTIFS('00 Encuesta'!$B$2:$B$511,"*f)*",'00 Encuesta'!$C$2:$C$511,"*c)*",'00 Encuesta'!$E$2:$E$511,"*a)*",'00 Encuesta'!$L$2:$L$511,"*e)*")</f>
        <v>0</v>
      </c>
      <c r="X82" s="52" t="e">
        <f t="shared" si="119"/>
        <v>#DIV/0!</v>
      </c>
      <c r="Y82" s="53">
        <f>COUNTIFS('00 Encuesta'!$B$2:$B$511,"*f)*",'00 Encuesta'!$C$2:$C$511,"*c)*",'00 Encuesta'!$E$2:$E$511,"*b)*",'00 Encuesta'!$L$2:$L$511,"*e)*")</f>
        <v>0</v>
      </c>
      <c r="Z82" s="52" t="e">
        <f t="shared" si="107"/>
        <v>#DIV/0!</v>
      </c>
      <c r="AA82" s="3"/>
      <c r="AB82" s="62">
        <f t="shared" si="108"/>
        <v>0</v>
      </c>
      <c r="AC82" s="52">
        <f t="shared" si="109"/>
        <v>0</v>
      </c>
      <c r="AD82" s="7"/>
      <c r="AE82" s="7"/>
      <c r="AF82" s="9" t="str">
        <f t="shared" si="110"/>
        <v>e) Disponer de dinero</v>
      </c>
      <c r="AG82" s="72">
        <f t="shared" si="111"/>
        <v>0</v>
      </c>
      <c r="AH82" s="72">
        <f t="shared" si="112"/>
        <v>0</v>
      </c>
      <c r="AI82" s="73">
        <f t="shared" si="113"/>
        <v>0</v>
      </c>
      <c r="AJ82" s="73"/>
      <c r="AK82" s="76" t="e">
        <f t="shared" si="114"/>
        <v>#DIV/0!</v>
      </c>
      <c r="AL82" s="76" t="e">
        <f t="shared" si="115"/>
        <v>#DIV/0!</v>
      </c>
      <c r="AM82" s="76" t="e">
        <f t="shared" si="116"/>
        <v>#DIV/0!</v>
      </c>
      <c r="AN82" s="76"/>
      <c r="AO82" s="81" t="e">
        <f t="shared" si="120"/>
        <v>#DIV/0!</v>
      </c>
      <c r="AP82" s="81" t="e">
        <f t="shared" si="117"/>
        <v>#DIV/0!</v>
      </c>
      <c r="AQ82" s="81" t="e">
        <f t="shared" si="118"/>
        <v>#DIV/0!</v>
      </c>
      <c r="AR82" s="7"/>
      <c r="AS82" s="76">
        <f t="shared" si="121"/>
        <v>0</v>
      </c>
      <c r="AT82" s="7"/>
      <c r="AU82" s="7"/>
      <c r="AV82" s="7"/>
      <c r="AW82" s="7"/>
      <c r="AX82" s="7"/>
      <c r="AY82" s="7"/>
      <c r="AZ82" s="7"/>
      <c r="BA82" s="7"/>
      <c r="BB82" s="7"/>
      <c r="BC82" s="7"/>
      <c r="BD82" s="7"/>
      <c r="BE82" s="7"/>
      <c r="BF82" s="3"/>
      <c r="BG82" s="3"/>
      <c r="BH82" s="3"/>
      <c r="BI82" s="3"/>
      <c r="BJ82" s="3"/>
      <c r="BK82" s="3"/>
      <c r="BL82" s="3"/>
      <c r="BM82" s="3"/>
      <c r="BN82" s="3"/>
      <c r="BO82" s="3"/>
      <c r="BP82" s="3"/>
      <c r="BQ82" s="3"/>
      <c r="BR82" s="3"/>
      <c r="BS82" s="3"/>
      <c r="BT82" s="3"/>
      <c r="BU82" s="3"/>
      <c r="BV82" s="3"/>
      <c r="BW82" s="3"/>
    </row>
    <row r="83" spans="1:75" x14ac:dyDescent="0.3">
      <c r="A83" s="8" t="s">
        <v>45</v>
      </c>
      <c r="B83" s="9" t="s">
        <v>85</v>
      </c>
      <c r="C83" s="7"/>
      <c r="D83" s="7"/>
      <c r="E83" s="7"/>
      <c r="F83" s="71"/>
      <c r="G83" s="51">
        <f t="shared" si="97"/>
        <v>14</v>
      </c>
      <c r="H83" s="52">
        <f t="shared" si="98"/>
        <v>33.333333333333329</v>
      </c>
      <c r="I83" s="53">
        <f>COUNTIFS('00 Encuesta'!$B$2:$B$511,"*f)*",'00 Encuesta'!$C$2:$C$511,"*a)*",'00 Encuesta'!$E$2:$E$511,"*a)*",'00 Encuesta'!$L$2:$L$511,"*f)*")</f>
        <v>5</v>
      </c>
      <c r="J83" s="52">
        <f t="shared" si="99"/>
        <v>22.727272727272727</v>
      </c>
      <c r="K83" s="53">
        <f>COUNTIFS('00 Encuesta'!$B$2:$B$511,"*f)*",'00 Encuesta'!$C$2:$C$511,"*a)*",'00 Encuesta'!$E$2:$E$511,"*b)*",'00 Encuesta'!$L$2:$L$511,"*f)*")</f>
        <v>9</v>
      </c>
      <c r="L83" s="52">
        <f t="shared" si="100"/>
        <v>45</v>
      </c>
      <c r="M83" s="23"/>
      <c r="N83" s="51">
        <f t="shared" si="101"/>
        <v>0</v>
      </c>
      <c r="O83" s="52" t="e">
        <f t="shared" si="102"/>
        <v>#DIV/0!</v>
      </c>
      <c r="P83" s="53">
        <f>COUNTIFS('00 Encuesta'!$B$2:$B$511,"*f)*",'00 Encuesta'!$C$2:$C$511,"*b)*",'00 Encuesta'!$E$2:$E$511,"*a)*",'00 Encuesta'!$L$2:$L$511,"*f)*")</f>
        <v>0</v>
      </c>
      <c r="Q83" s="52" t="e">
        <f t="shared" si="103"/>
        <v>#DIV/0!</v>
      </c>
      <c r="R83" s="53">
        <f>COUNTIFS('00 Encuesta'!$B$2:$B$511,"*f)*",'00 Encuesta'!$C$2:$C$511,"*b)*",'00 Encuesta'!$E$2:$E$511,"*b)*",'00 Encuesta'!$L$2:$L$511,"*f)*")</f>
        <v>0</v>
      </c>
      <c r="S83" s="52" t="e">
        <f t="shared" si="104"/>
        <v>#DIV/0!</v>
      </c>
      <c r="T83" s="3"/>
      <c r="U83" s="51">
        <f t="shared" si="105"/>
        <v>0</v>
      </c>
      <c r="V83" s="52" t="e">
        <f t="shared" si="106"/>
        <v>#DIV/0!</v>
      </c>
      <c r="W83" s="53">
        <f>COUNTIFS('00 Encuesta'!$B$2:$B$511,"*f)*",'00 Encuesta'!$C$2:$C$511,"*c)*",'00 Encuesta'!$E$2:$E$511,"*a)*",'00 Encuesta'!$L$2:$L$511,"*f)*")</f>
        <v>0</v>
      </c>
      <c r="X83" s="52" t="e">
        <f t="shared" si="119"/>
        <v>#DIV/0!</v>
      </c>
      <c r="Y83" s="53">
        <f>COUNTIFS('00 Encuesta'!$B$2:$B$511,"*f)*",'00 Encuesta'!$C$2:$C$511,"*c)*",'00 Encuesta'!$E$2:$E$511,"*b)*",'00 Encuesta'!$L$2:$L$511,"*f)*")</f>
        <v>0</v>
      </c>
      <c r="Z83" s="52" t="e">
        <f t="shared" si="107"/>
        <v>#DIV/0!</v>
      </c>
      <c r="AA83" s="3"/>
      <c r="AB83" s="62">
        <f t="shared" si="108"/>
        <v>14</v>
      </c>
      <c r="AC83" s="52">
        <f t="shared" si="109"/>
        <v>33.333333333333336</v>
      </c>
      <c r="AD83" s="7"/>
      <c r="AE83" s="7"/>
      <c r="AF83" s="9" t="str">
        <f t="shared" si="110"/>
        <v>f) Mi fe y vida cristiana</v>
      </c>
      <c r="AG83" s="72">
        <f t="shared" si="111"/>
        <v>22.727272727272727</v>
      </c>
      <c r="AH83" s="72">
        <f t="shared" si="112"/>
        <v>45</v>
      </c>
      <c r="AI83" s="73">
        <f t="shared" si="113"/>
        <v>33.333333333333329</v>
      </c>
      <c r="AJ83" s="73"/>
      <c r="AK83" s="76" t="e">
        <f t="shared" si="114"/>
        <v>#DIV/0!</v>
      </c>
      <c r="AL83" s="76" t="e">
        <f t="shared" si="115"/>
        <v>#DIV/0!</v>
      </c>
      <c r="AM83" s="76" t="e">
        <f t="shared" si="116"/>
        <v>#DIV/0!</v>
      </c>
      <c r="AN83" s="76"/>
      <c r="AO83" s="81" t="e">
        <f t="shared" si="120"/>
        <v>#DIV/0!</v>
      </c>
      <c r="AP83" s="81" t="e">
        <f t="shared" si="117"/>
        <v>#DIV/0!</v>
      </c>
      <c r="AQ83" s="81" t="e">
        <f t="shared" si="118"/>
        <v>#DIV/0!</v>
      </c>
      <c r="AR83" s="7"/>
      <c r="AS83" s="76">
        <f t="shared" si="121"/>
        <v>33.333333333333336</v>
      </c>
      <c r="AT83" s="7"/>
      <c r="AU83" s="7"/>
      <c r="AV83" s="7"/>
      <c r="AW83" s="7"/>
      <c r="AX83" s="7"/>
      <c r="AY83" s="7"/>
      <c r="AZ83" s="7"/>
      <c r="BA83" s="7"/>
      <c r="BB83" s="7"/>
      <c r="BC83" s="7"/>
      <c r="BD83" s="7"/>
      <c r="BE83" s="7"/>
      <c r="BF83" s="3"/>
      <c r="BG83" s="3"/>
      <c r="BH83" s="3"/>
      <c r="BI83" s="3"/>
      <c r="BJ83" s="3"/>
      <c r="BK83" s="3"/>
      <c r="BL83" s="3"/>
      <c r="BM83" s="3"/>
      <c r="BN83" s="3"/>
      <c r="BO83" s="3"/>
      <c r="BP83" s="3"/>
      <c r="BQ83" s="3"/>
      <c r="BR83" s="3"/>
      <c r="BS83" s="3"/>
      <c r="BT83" s="3"/>
      <c r="BU83" s="3"/>
      <c r="BV83" s="3"/>
      <c r="BW83" s="3"/>
    </row>
    <row r="84" spans="1:75" x14ac:dyDescent="0.3">
      <c r="A84" s="8" t="s">
        <v>61</v>
      </c>
      <c r="B84" s="9" t="s">
        <v>86</v>
      </c>
      <c r="C84" s="7"/>
      <c r="D84" s="7"/>
      <c r="E84" s="7"/>
      <c r="F84" s="71"/>
      <c r="G84" s="51">
        <f t="shared" si="97"/>
        <v>8</v>
      </c>
      <c r="H84" s="52">
        <f t="shared" si="98"/>
        <v>19.047619047619047</v>
      </c>
      <c r="I84" s="53">
        <f>COUNTIFS('00 Encuesta'!$B$2:$B$511,"*f)*",'00 Encuesta'!$C$2:$C$511,"*a)*",'00 Encuesta'!$E$2:$E$511,"*a)*",'00 Encuesta'!$L$2:$L$511,"*g)*")</f>
        <v>3</v>
      </c>
      <c r="J84" s="52">
        <f t="shared" si="99"/>
        <v>13.636363636363635</v>
      </c>
      <c r="K84" s="53">
        <f>COUNTIFS('00 Encuesta'!$B$2:$B$511,"*f)*",'00 Encuesta'!$C$2:$C$511,"*a)*",'00 Encuesta'!$E$2:$E$511,"*b)*",'00 Encuesta'!$L$2:$L$511,"*g)*")</f>
        <v>5</v>
      </c>
      <c r="L84" s="52">
        <f t="shared" si="100"/>
        <v>25</v>
      </c>
      <c r="M84" s="23"/>
      <c r="N84" s="51">
        <f t="shared" si="101"/>
        <v>0</v>
      </c>
      <c r="O84" s="52" t="e">
        <f t="shared" si="102"/>
        <v>#DIV/0!</v>
      </c>
      <c r="P84" s="53">
        <f>COUNTIFS('00 Encuesta'!$B$2:$B$511,"*f)*",'00 Encuesta'!$C$2:$C$511,"*b)*",'00 Encuesta'!$E$2:$E$511,"*a)*",'00 Encuesta'!$L$2:$L$511,"*g)*")</f>
        <v>0</v>
      </c>
      <c r="Q84" s="52" t="e">
        <f t="shared" si="103"/>
        <v>#DIV/0!</v>
      </c>
      <c r="R84" s="53">
        <f>COUNTIFS('00 Encuesta'!$B$2:$B$511,"*f)*",'00 Encuesta'!$C$2:$C$511,"*b)*",'00 Encuesta'!$E$2:$E$511,"*b)*",'00 Encuesta'!$L$2:$L$511,"*g)*")</f>
        <v>0</v>
      </c>
      <c r="S84" s="52" t="e">
        <f t="shared" si="104"/>
        <v>#DIV/0!</v>
      </c>
      <c r="T84" s="3"/>
      <c r="U84" s="51">
        <f t="shared" si="105"/>
        <v>0</v>
      </c>
      <c r="V84" s="52" t="e">
        <f t="shared" si="106"/>
        <v>#DIV/0!</v>
      </c>
      <c r="W84" s="53">
        <f>COUNTIFS('00 Encuesta'!$B$2:$B$511,"*f)*",'00 Encuesta'!$C$2:$C$511,"*c)*",'00 Encuesta'!$E$2:$E$511,"*a)*",'00 Encuesta'!$L$2:$L$511,"*g)*")</f>
        <v>0</v>
      </c>
      <c r="X84" s="52" t="e">
        <f t="shared" si="119"/>
        <v>#DIV/0!</v>
      </c>
      <c r="Y84" s="53">
        <f>COUNTIFS('00 Encuesta'!$B$2:$B$511,"*f)*",'00 Encuesta'!$C$2:$C$511,"*c)*",'00 Encuesta'!$E$2:$E$511,"*b)*",'00 Encuesta'!$L$2:$L$511,"*g)*")</f>
        <v>0</v>
      </c>
      <c r="Z84" s="52" t="e">
        <f t="shared" si="107"/>
        <v>#DIV/0!</v>
      </c>
      <c r="AA84" s="3"/>
      <c r="AB84" s="62">
        <f t="shared" si="108"/>
        <v>8</v>
      </c>
      <c r="AC84" s="52">
        <f t="shared" si="109"/>
        <v>19.047619047619047</v>
      </c>
      <c r="AD84" s="7"/>
      <c r="AE84" s="7"/>
      <c r="AF84" s="9" t="str">
        <f t="shared" si="110"/>
        <v>g) La felicidad</v>
      </c>
      <c r="AG84" s="72">
        <f t="shared" si="111"/>
        <v>13.636363636363635</v>
      </c>
      <c r="AH84" s="72">
        <f t="shared" si="112"/>
        <v>25</v>
      </c>
      <c r="AI84" s="73">
        <f t="shared" si="113"/>
        <v>19.047619047619047</v>
      </c>
      <c r="AJ84" s="73"/>
      <c r="AK84" s="76" t="e">
        <f t="shared" si="114"/>
        <v>#DIV/0!</v>
      </c>
      <c r="AL84" s="76" t="e">
        <f t="shared" si="115"/>
        <v>#DIV/0!</v>
      </c>
      <c r="AM84" s="76" t="e">
        <f t="shared" si="116"/>
        <v>#DIV/0!</v>
      </c>
      <c r="AN84" s="76"/>
      <c r="AO84" s="81" t="e">
        <f t="shared" si="120"/>
        <v>#DIV/0!</v>
      </c>
      <c r="AP84" s="81" t="e">
        <f t="shared" si="117"/>
        <v>#DIV/0!</v>
      </c>
      <c r="AQ84" s="81" t="e">
        <f t="shared" si="118"/>
        <v>#DIV/0!</v>
      </c>
      <c r="AR84" s="7"/>
      <c r="AS84" s="76">
        <f t="shared" si="121"/>
        <v>19.047619047619047</v>
      </c>
      <c r="AT84" s="7"/>
      <c r="AU84" s="7"/>
      <c r="AV84" s="7"/>
      <c r="AW84" s="7"/>
      <c r="AX84" s="7"/>
      <c r="AY84" s="7"/>
      <c r="AZ84" s="7"/>
      <c r="BA84" s="7"/>
      <c r="BB84" s="7"/>
      <c r="BC84" s="7"/>
      <c r="BD84" s="7"/>
      <c r="BE84" s="7"/>
      <c r="BF84" s="3"/>
      <c r="BG84" s="3"/>
      <c r="BH84" s="3"/>
      <c r="BI84" s="3"/>
      <c r="BJ84" s="3"/>
      <c r="BK84" s="3"/>
      <c r="BL84" s="3"/>
      <c r="BM84" s="3"/>
      <c r="BN84" s="3"/>
      <c r="BO84" s="3"/>
      <c r="BP84" s="3"/>
      <c r="BQ84" s="3"/>
      <c r="BR84" s="3"/>
      <c r="BS84" s="3"/>
      <c r="BT84" s="3"/>
      <c r="BU84" s="3"/>
      <c r="BV84" s="3"/>
      <c r="BW84" s="3"/>
    </row>
    <row r="85" spans="1:75" x14ac:dyDescent="0.3">
      <c r="A85" s="8" t="s">
        <v>63</v>
      </c>
      <c r="B85" s="9" t="s">
        <v>87</v>
      </c>
      <c r="C85" s="7"/>
      <c r="D85" s="7"/>
      <c r="E85" s="7"/>
      <c r="F85" s="71"/>
      <c r="G85" s="51">
        <f t="shared" si="97"/>
        <v>0</v>
      </c>
      <c r="H85" s="52">
        <f t="shared" si="98"/>
        <v>0</v>
      </c>
      <c r="I85" s="53">
        <f>COUNTIFS('00 Encuesta'!$B$2:$B$511,"*f)*",'00 Encuesta'!$C$2:$C$511,"*a)*",'00 Encuesta'!$E$2:$E$511,"*a)*",'00 Encuesta'!$L$2:$L$511,"*h)*")</f>
        <v>0</v>
      </c>
      <c r="J85" s="52">
        <f t="shared" si="99"/>
        <v>0</v>
      </c>
      <c r="K85" s="53">
        <f>COUNTIFS('00 Encuesta'!$B$2:$B$511,"*f)*",'00 Encuesta'!$C$2:$C$511,"*a)*",'00 Encuesta'!$E$2:$E$511,"*b)*",'00 Encuesta'!$L$2:$L$511,"*h)*")</f>
        <v>0</v>
      </c>
      <c r="L85" s="52">
        <f t="shared" si="100"/>
        <v>0</v>
      </c>
      <c r="M85" s="23"/>
      <c r="N85" s="51">
        <f t="shared" si="101"/>
        <v>0</v>
      </c>
      <c r="O85" s="52" t="e">
        <f t="shared" si="102"/>
        <v>#DIV/0!</v>
      </c>
      <c r="P85" s="53">
        <f>COUNTIFS('00 Encuesta'!$B$2:$B$511,"*f)*",'00 Encuesta'!$C$2:$C$511,"*b)*",'00 Encuesta'!$E$2:$E$511,"*a)*",'00 Encuesta'!$L$2:$L$511,"*h)*")</f>
        <v>0</v>
      </c>
      <c r="Q85" s="52" t="e">
        <f t="shared" si="103"/>
        <v>#DIV/0!</v>
      </c>
      <c r="R85" s="53">
        <f>COUNTIFS('00 Encuesta'!$B$2:$B$511,"*f)*",'00 Encuesta'!$C$2:$C$511,"*b)*",'00 Encuesta'!$E$2:$E$511,"*b)*",'00 Encuesta'!$L$2:$L$511,"*h)*")</f>
        <v>0</v>
      </c>
      <c r="S85" s="52" t="e">
        <f t="shared" si="104"/>
        <v>#DIV/0!</v>
      </c>
      <c r="T85" s="3"/>
      <c r="U85" s="51">
        <f t="shared" si="105"/>
        <v>0</v>
      </c>
      <c r="V85" s="52" t="e">
        <f t="shared" si="106"/>
        <v>#DIV/0!</v>
      </c>
      <c r="W85" s="53">
        <f>COUNTIFS('00 Encuesta'!$B$2:$B$511,"*f)*",'00 Encuesta'!$C$2:$C$511,"*c)*",'00 Encuesta'!$E$2:$E$511,"*a)*",'00 Encuesta'!$L$2:$L$511,"*h)*")</f>
        <v>0</v>
      </c>
      <c r="X85" s="52" t="e">
        <f t="shared" si="119"/>
        <v>#DIV/0!</v>
      </c>
      <c r="Y85" s="53">
        <f>COUNTIFS('00 Encuesta'!$B$2:$B$511,"*f)*",'00 Encuesta'!$C$2:$C$511,"*c)*",'00 Encuesta'!$E$2:$E$511,"*b)*",'00 Encuesta'!$L$2:$L$511,"*h)*")</f>
        <v>0</v>
      </c>
      <c r="Z85" s="52" t="e">
        <f t="shared" si="107"/>
        <v>#DIV/0!</v>
      </c>
      <c r="AA85" s="3"/>
      <c r="AB85" s="62">
        <f t="shared" si="108"/>
        <v>0</v>
      </c>
      <c r="AC85" s="52">
        <f t="shared" si="109"/>
        <v>0</v>
      </c>
      <c r="AD85" s="7"/>
      <c r="AE85" s="7"/>
      <c r="AF85" s="9" t="str">
        <f t="shared" si="110"/>
        <v>h) La sexualidad</v>
      </c>
      <c r="AG85" s="72">
        <f t="shared" si="111"/>
        <v>0</v>
      </c>
      <c r="AH85" s="72">
        <f t="shared" si="112"/>
        <v>0</v>
      </c>
      <c r="AI85" s="73">
        <f t="shared" si="113"/>
        <v>0</v>
      </c>
      <c r="AJ85" s="73"/>
      <c r="AK85" s="76" t="e">
        <f t="shared" si="114"/>
        <v>#DIV/0!</v>
      </c>
      <c r="AL85" s="76" t="e">
        <f t="shared" si="115"/>
        <v>#DIV/0!</v>
      </c>
      <c r="AM85" s="76" t="e">
        <f t="shared" si="116"/>
        <v>#DIV/0!</v>
      </c>
      <c r="AN85" s="76"/>
      <c r="AO85" s="81" t="e">
        <f t="shared" si="120"/>
        <v>#DIV/0!</v>
      </c>
      <c r="AP85" s="81" t="e">
        <f t="shared" si="117"/>
        <v>#DIV/0!</v>
      </c>
      <c r="AQ85" s="81" t="e">
        <f t="shared" si="118"/>
        <v>#DIV/0!</v>
      </c>
      <c r="AR85" s="7"/>
      <c r="AS85" s="76">
        <f t="shared" si="121"/>
        <v>0</v>
      </c>
      <c r="AT85" s="7"/>
      <c r="AU85" s="7"/>
      <c r="AV85" s="7"/>
      <c r="AW85" s="7"/>
      <c r="AX85" s="7"/>
      <c r="AY85" s="7"/>
      <c r="AZ85" s="7"/>
      <c r="BA85" s="7"/>
      <c r="BB85" s="7"/>
      <c r="BC85" s="7"/>
      <c r="BD85" s="7"/>
      <c r="BE85" s="7"/>
      <c r="BF85" s="3"/>
      <c r="BG85" s="3"/>
      <c r="BH85" s="3"/>
      <c r="BI85" s="3"/>
      <c r="BJ85" s="3"/>
      <c r="BK85" s="3"/>
      <c r="BL85" s="3"/>
      <c r="BM85" s="3"/>
      <c r="BN85" s="3"/>
      <c r="BO85" s="3"/>
      <c r="BP85" s="3"/>
      <c r="BQ85" s="3"/>
      <c r="BR85" s="3"/>
      <c r="BS85" s="3"/>
      <c r="BT85" s="3"/>
      <c r="BU85" s="3"/>
      <c r="BV85" s="3"/>
      <c r="BW85" s="3"/>
    </row>
    <row r="86" spans="1:75" x14ac:dyDescent="0.3">
      <c r="A86" s="8" t="s">
        <v>65</v>
      </c>
      <c r="B86" s="9" t="s">
        <v>88</v>
      </c>
      <c r="C86" s="7"/>
      <c r="D86" s="7"/>
      <c r="E86" s="7"/>
      <c r="F86" s="71"/>
      <c r="G86" s="51">
        <f t="shared" si="97"/>
        <v>5</v>
      </c>
      <c r="H86" s="52">
        <f t="shared" si="98"/>
        <v>11.904761904761903</v>
      </c>
      <c r="I86" s="53">
        <f>COUNTIFS('00 Encuesta'!$B$2:$B$511,"*f)*",'00 Encuesta'!$C$2:$C$511,"*a)*",'00 Encuesta'!$E$2:$E$511,"*a)*",'00 Encuesta'!$L$2:$L$511,"*i)*")</f>
        <v>3</v>
      </c>
      <c r="J86" s="52">
        <f t="shared" si="99"/>
        <v>13.636363636363635</v>
      </c>
      <c r="K86" s="53">
        <f>COUNTIFS('00 Encuesta'!$B$2:$B$511,"*f)*",'00 Encuesta'!$C$2:$C$511,"*a)*",'00 Encuesta'!$E$2:$E$511,"*b)*",'00 Encuesta'!$L$2:$L$511,"*i)*")</f>
        <v>2</v>
      </c>
      <c r="L86" s="52">
        <f t="shared" si="100"/>
        <v>10</v>
      </c>
      <c r="M86" s="23"/>
      <c r="N86" s="51">
        <f t="shared" si="101"/>
        <v>0</v>
      </c>
      <c r="O86" s="52" t="e">
        <f t="shared" si="102"/>
        <v>#DIV/0!</v>
      </c>
      <c r="P86" s="53">
        <f>COUNTIFS('00 Encuesta'!$B$2:$B$511,"*f)*",'00 Encuesta'!$C$2:$C$511,"*b)*",'00 Encuesta'!$E$2:$E$511,"*a)*",'00 Encuesta'!$L$2:$L$511,"*i)*")</f>
        <v>0</v>
      </c>
      <c r="Q86" s="52" t="e">
        <f t="shared" si="103"/>
        <v>#DIV/0!</v>
      </c>
      <c r="R86" s="53">
        <f>COUNTIFS('00 Encuesta'!$B$2:$B$511,"*f)*",'00 Encuesta'!$C$2:$C$511,"*b)*",'00 Encuesta'!$E$2:$E$511,"*b)*",'00 Encuesta'!$L$2:$L$511,"*i)*")</f>
        <v>0</v>
      </c>
      <c r="S86" s="52" t="e">
        <f t="shared" si="104"/>
        <v>#DIV/0!</v>
      </c>
      <c r="T86" s="3"/>
      <c r="U86" s="51">
        <f t="shared" si="105"/>
        <v>0</v>
      </c>
      <c r="V86" s="52" t="e">
        <f t="shared" si="106"/>
        <v>#DIV/0!</v>
      </c>
      <c r="W86" s="53">
        <f>COUNTIFS('00 Encuesta'!$B$2:$B$511,"*f)*",'00 Encuesta'!$C$2:$C$511,"*c)*",'00 Encuesta'!$E$2:$E$511,"*a)*",'00 Encuesta'!$L$2:$L$511,"*i)*")</f>
        <v>0</v>
      </c>
      <c r="X86" s="52" t="e">
        <f t="shared" si="119"/>
        <v>#DIV/0!</v>
      </c>
      <c r="Y86" s="53">
        <f>COUNTIFS('00 Encuesta'!$B$2:$B$511,"*f)*",'00 Encuesta'!$C$2:$C$511,"*c)*",'00 Encuesta'!$E$2:$E$511,"*b)*",'00 Encuesta'!$L$2:$L$511,"*i)*")</f>
        <v>0</v>
      </c>
      <c r="Z86" s="52" t="e">
        <f t="shared" si="107"/>
        <v>#DIV/0!</v>
      </c>
      <c r="AA86" s="3"/>
      <c r="AB86" s="62">
        <f t="shared" si="108"/>
        <v>5</v>
      </c>
      <c r="AC86" s="52">
        <f t="shared" si="109"/>
        <v>11.904761904761905</v>
      </c>
      <c r="AD86" s="7"/>
      <c r="AE86" s="7"/>
      <c r="AF86" s="9" t="str">
        <f t="shared" si="110"/>
        <v>i) La música</v>
      </c>
      <c r="AG86" s="72">
        <f t="shared" si="111"/>
        <v>13.636363636363635</v>
      </c>
      <c r="AH86" s="72">
        <f t="shared" si="112"/>
        <v>10</v>
      </c>
      <c r="AI86" s="73">
        <f t="shared" si="113"/>
        <v>11.904761904761903</v>
      </c>
      <c r="AJ86" s="73"/>
      <c r="AK86" s="76" t="e">
        <f t="shared" si="114"/>
        <v>#DIV/0!</v>
      </c>
      <c r="AL86" s="76" t="e">
        <f t="shared" si="115"/>
        <v>#DIV/0!</v>
      </c>
      <c r="AM86" s="76" t="e">
        <f t="shared" si="116"/>
        <v>#DIV/0!</v>
      </c>
      <c r="AN86" s="76"/>
      <c r="AO86" s="81" t="e">
        <f t="shared" si="120"/>
        <v>#DIV/0!</v>
      </c>
      <c r="AP86" s="81" t="e">
        <f t="shared" si="117"/>
        <v>#DIV/0!</v>
      </c>
      <c r="AQ86" s="81" t="e">
        <f t="shared" si="118"/>
        <v>#DIV/0!</v>
      </c>
      <c r="AR86" s="7"/>
      <c r="AS86" s="76">
        <f t="shared" si="121"/>
        <v>11.904761904761905</v>
      </c>
      <c r="AT86" s="7"/>
      <c r="AU86" s="7"/>
      <c r="AV86" s="7"/>
      <c r="AW86" s="7"/>
      <c r="AX86" s="7"/>
      <c r="AY86" s="7"/>
      <c r="AZ86" s="7"/>
      <c r="BA86" s="7"/>
      <c r="BB86" s="7"/>
      <c r="BC86" s="7"/>
      <c r="BD86" s="7"/>
      <c r="BE86" s="7"/>
      <c r="BF86" s="3"/>
      <c r="BG86" s="3"/>
      <c r="BH86" s="3"/>
      <c r="BI86" s="3"/>
      <c r="BJ86" s="3"/>
      <c r="BK86" s="3"/>
      <c r="BL86" s="3"/>
      <c r="BM86" s="3"/>
      <c r="BN86" s="3"/>
      <c r="BO86" s="3"/>
      <c r="BP86" s="3"/>
      <c r="BQ86" s="3"/>
      <c r="BR86" s="3"/>
      <c r="BS86" s="3"/>
      <c r="BT86" s="3"/>
      <c r="BU86" s="3"/>
      <c r="BV86" s="3"/>
      <c r="BW86" s="3"/>
    </row>
    <row r="87" spans="1:75" x14ac:dyDescent="0.3">
      <c r="A87" s="1" t="s">
        <v>67</v>
      </c>
      <c r="B87" s="2" t="s">
        <v>89</v>
      </c>
      <c r="C87" s="3"/>
      <c r="D87" s="7"/>
      <c r="E87" s="7"/>
      <c r="F87" s="71"/>
      <c r="G87" s="51">
        <f t="shared" si="97"/>
        <v>4</v>
      </c>
      <c r="H87" s="52">
        <f t="shared" si="98"/>
        <v>9.5238095238095237</v>
      </c>
      <c r="I87" s="53">
        <f>COUNTIFS('00 Encuesta'!$B$2:$B$511,"*f)*",'00 Encuesta'!$C$2:$C$511,"*a)*",'00 Encuesta'!$E$2:$E$511,"*a)*",'00 Encuesta'!$L$2:$L$511,"*j)*")</f>
        <v>4</v>
      </c>
      <c r="J87" s="52">
        <f t="shared" si="99"/>
        <v>18.181818181818183</v>
      </c>
      <c r="K87" s="53">
        <f>COUNTIFS('00 Encuesta'!$B$2:$B$511,"*f)*",'00 Encuesta'!$C$2:$C$511,"*a)*",'00 Encuesta'!$E$2:$E$511,"*b)*",'00 Encuesta'!$L$2:$L$511,"*j)*")</f>
        <v>0</v>
      </c>
      <c r="L87" s="52">
        <f t="shared" si="100"/>
        <v>0</v>
      </c>
      <c r="M87" s="23"/>
      <c r="N87" s="51">
        <f t="shared" si="101"/>
        <v>0</v>
      </c>
      <c r="O87" s="52" t="e">
        <f t="shared" si="102"/>
        <v>#DIV/0!</v>
      </c>
      <c r="P87" s="53">
        <f>COUNTIFS('00 Encuesta'!$B$2:$B$511,"*f)*",'00 Encuesta'!$C$2:$C$511,"*b)*",'00 Encuesta'!$E$2:$E$511,"*a)*",'00 Encuesta'!$L$2:$L$511,"*j)*")</f>
        <v>0</v>
      </c>
      <c r="Q87" s="52" t="e">
        <f t="shared" si="103"/>
        <v>#DIV/0!</v>
      </c>
      <c r="R87" s="53">
        <f>COUNTIFS('00 Encuesta'!$B$2:$B$511,"*f)*",'00 Encuesta'!$C$2:$C$511,"*b)*",'00 Encuesta'!$E$2:$E$511,"*b)*",'00 Encuesta'!$L$2:$L$511,"*j)*")</f>
        <v>0</v>
      </c>
      <c r="S87" s="52" t="e">
        <f t="shared" si="104"/>
        <v>#DIV/0!</v>
      </c>
      <c r="T87" s="3"/>
      <c r="U87" s="51">
        <f t="shared" si="105"/>
        <v>0</v>
      </c>
      <c r="V87" s="52" t="e">
        <f t="shared" si="106"/>
        <v>#DIV/0!</v>
      </c>
      <c r="W87" s="53">
        <f>COUNTIFS('00 Encuesta'!$B$2:$B$511,"*f)*",'00 Encuesta'!$C$2:$C$511,"*c)*",'00 Encuesta'!$E$2:$E$511,"*a)*",'00 Encuesta'!$L$2:$L$511,"*j)*")</f>
        <v>0</v>
      </c>
      <c r="X87" s="52" t="e">
        <f t="shared" si="119"/>
        <v>#DIV/0!</v>
      </c>
      <c r="Y87" s="53">
        <f>COUNTIFS('00 Encuesta'!$B$2:$B$511,"*f)*",'00 Encuesta'!$C$2:$C$511,"*c)*",'00 Encuesta'!$E$2:$E$511,"*b)*",'00 Encuesta'!$L$2:$L$511,"*j)*")</f>
        <v>0</v>
      </c>
      <c r="Z87" s="52" t="e">
        <f t="shared" si="107"/>
        <v>#DIV/0!</v>
      </c>
      <c r="AA87" s="3"/>
      <c r="AB87" s="62">
        <f t="shared" si="108"/>
        <v>4</v>
      </c>
      <c r="AC87" s="52">
        <f t="shared" si="109"/>
        <v>9.5238095238095237</v>
      </c>
      <c r="AD87" s="7"/>
      <c r="AE87" s="7"/>
      <c r="AF87" s="9" t="str">
        <f t="shared" si="110"/>
        <v>j) El deporte</v>
      </c>
      <c r="AG87" s="72">
        <f t="shared" si="111"/>
        <v>18.181818181818183</v>
      </c>
      <c r="AH87" s="72">
        <f t="shared" si="112"/>
        <v>0</v>
      </c>
      <c r="AI87" s="73">
        <f t="shared" si="113"/>
        <v>9.5238095238095237</v>
      </c>
      <c r="AJ87" s="73"/>
      <c r="AK87" s="76" t="e">
        <f t="shared" si="114"/>
        <v>#DIV/0!</v>
      </c>
      <c r="AL87" s="76" t="e">
        <f t="shared" si="115"/>
        <v>#DIV/0!</v>
      </c>
      <c r="AM87" s="76" t="e">
        <f t="shared" si="116"/>
        <v>#DIV/0!</v>
      </c>
      <c r="AN87" s="76"/>
      <c r="AO87" s="81" t="e">
        <f t="shared" si="120"/>
        <v>#DIV/0!</v>
      </c>
      <c r="AP87" s="81" t="e">
        <f t="shared" si="117"/>
        <v>#DIV/0!</v>
      </c>
      <c r="AQ87" s="81" t="e">
        <f t="shared" si="118"/>
        <v>#DIV/0!</v>
      </c>
      <c r="AR87" s="7"/>
      <c r="AS87" s="76">
        <f t="shared" si="121"/>
        <v>9.5238095238095237</v>
      </c>
      <c r="AT87" s="7"/>
      <c r="AU87" s="7"/>
      <c r="AV87" s="7"/>
      <c r="AW87" s="7"/>
      <c r="AX87" s="7"/>
      <c r="AY87" s="7"/>
      <c r="AZ87" s="7"/>
      <c r="BA87" s="7"/>
      <c r="BB87" s="7"/>
      <c r="BC87" s="7"/>
      <c r="BD87" s="7"/>
      <c r="BE87" s="7"/>
      <c r="BF87" s="3"/>
      <c r="BG87" s="3"/>
      <c r="BH87" s="3"/>
      <c r="BI87" s="3"/>
      <c r="BJ87" s="3"/>
      <c r="BK87" s="3"/>
      <c r="BL87" s="3"/>
      <c r="BM87" s="3"/>
      <c r="BN87" s="3"/>
      <c r="BO87" s="3"/>
      <c r="BP87" s="3"/>
      <c r="BQ87" s="3"/>
      <c r="BR87" s="3"/>
      <c r="BS87" s="3"/>
      <c r="BT87" s="3"/>
      <c r="BU87" s="3"/>
      <c r="BV87" s="3"/>
      <c r="BW87" s="3"/>
    </row>
    <row r="88" spans="1:75" x14ac:dyDescent="0.3">
      <c r="A88" s="1" t="s">
        <v>69</v>
      </c>
      <c r="B88" s="2" t="s">
        <v>90</v>
      </c>
      <c r="C88" s="3"/>
      <c r="D88" s="7"/>
      <c r="E88" s="7"/>
      <c r="F88" s="71"/>
      <c r="G88" s="51">
        <f t="shared" si="97"/>
        <v>0</v>
      </c>
      <c r="H88" s="52">
        <f t="shared" si="98"/>
        <v>0</v>
      </c>
      <c r="I88" s="53">
        <f>COUNTIFS('00 Encuesta'!$B$2:$B$511,"*f)*",'00 Encuesta'!$C$2:$C$511,"*a)*",'00 Encuesta'!$E$2:$E$511,"*a)*",'00 Encuesta'!$L$2:$L$511,"*k)*")</f>
        <v>0</v>
      </c>
      <c r="J88" s="52">
        <f t="shared" si="99"/>
        <v>0</v>
      </c>
      <c r="K88" s="53">
        <f>COUNTIFS('00 Encuesta'!$B$2:$B$511,"*f)*",'00 Encuesta'!$C$2:$C$511,"*a)*",'00 Encuesta'!$E$2:$E$511,"*b)*",'00 Encuesta'!$L$2:$L$511,"*k)*")</f>
        <v>0</v>
      </c>
      <c r="L88" s="52">
        <f t="shared" si="100"/>
        <v>0</v>
      </c>
      <c r="M88" s="23"/>
      <c r="N88" s="51">
        <f t="shared" si="101"/>
        <v>0</v>
      </c>
      <c r="O88" s="52" t="e">
        <f t="shared" si="102"/>
        <v>#DIV/0!</v>
      </c>
      <c r="P88" s="53">
        <f>COUNTIFS('00 Encuesta'!$B$2:$B$511,"*f)*",'00 Encuesta'!$C$2:$C$511,"*b)*",'00 Encuesta'!$E$2:$E$511,"*a)*",'00 Encuesta'!$L$2:$L$511,"*k)*")</f>
        <v>0</v>
      </c>
      <c r="Q88" s="52" t="e">
        <f t="shared" si="103"/>
        <v>#DIV/0!</v>
      </c>
      <c r="R88" s="53">
        <f>COUNTIFS('00 Encuesta'!$B$2:$B$511,"*f)*",'00 Encuesta'!$C$2:$C$511,"*b)*",'00 Encuesta'!$E$2:$E$511,"*b)*",'00 Encuesta'!$L$2:$L$511,"*k)*")</f>
        <v>0</v>
      </c>
      <c r="S88" s="52" t="e">
        <f t="shared" si="104"/>
        <v>#DIV/0!</v>
      </c>
      <c r="T88" s="3"/>
      <c r="U88" s="51">
        <f t="shared" si="105"/>
        <v>0</v>
      </c>
      <c r="V88" s="52" t="e">
        <f t="shared" si="106"/>
        <v>#DIV/0!</v>
      </c>
      <c r="W88" s="53">
        <f>COUNTIFS('00 Encuesta'!$B$2:$B$511,"*f)*",'00 Encuesta'!$C$2:$C$511,"*c)*",'00 Encuesta'!$E$2:$E$511,"*a)*",'00 Encuesta'!$L$2:$L$511,"*k)*")</f>
        <v>0</v>
      </c>
      <c r="X88" s="52" t="e">
        <f t="shared" si="119"/>
        <v>#DIV/0!</v>
      </c>
      <c r="Y88" s="53">
        <f>COUNTIFS('00 Encuesta'!$B$2:$B$511,"*f)*",'00 Encuesta'!$C$2:$C$511,"*c)*",'00 Encuesta'!$E$2:$E$511,"*b)*",'00 Encuesta'!$L$2:$L$511,"*k)*")</f>
        <v>0</v>
      </c>
      <c r="Z88" s="52" t="e">
        <f t="shared" si="107"/>
        <v>#DIV/0!</v>
      </c>
      <c r="AA88" s="3"/>
      <c r="AB88" s="62">
        <f t="shared" si="108"/>
        <v>0</v>
      </c>
      <c r="AC88" s="52">
        <f t="shared" si="109"/>
        <v>0</v>
      </c>
      <c r="AD88" s="7"/>
      <c r="AE88" s="7"/>
      <c r="AF88" s="9" t="str">
        <f t="shared" si="110"/>
        <v>k) Internet</v>
      </c>
      <c r="AG88" s="72">
        <f t="shared" si="111"/>
        <v>0</v>
      </c>
      <c r="AH88" s="72">
        <f t="shared" si="112"/>
        <v>0</v>
      </c>
      <c r="AI88" s="73">
        <f t="shared" si="113"/>
        <v>0</v>
      </c>
      <c r="AJ88" s="73"/>
      <c r="AK88" s="76" t="e">
        <f t="shared" si="114"/>
        <v>#DIV/0!</v>
      </c>
      <c r="AL88" s="76" t="e">
        <f t="shared" si="115"/>
        <v>#DIV/0!</v>
      </c>
      <c r="AM88" s="76" t="e">
        <f t="shared" si="116"/>
        <v>#DIV/0!</v>
      </c>
      <c r="AN88" s="76"/>
      <c r="AO88" s="81" t="e">
        <f t="shared" si="120"/>
        <v>#DIV/0!</v>
      </c>
      <c r="AP88" s="81" t="e">
        <f t="shared" si="117"/>
        <v>#DIV/0!</v>
      </c>
      <c r="AQ88" s="81" t="e">
        <f t="shared" si="118"/>
        <v>#DIV/0!</v>
      </c>
      <c r="AR88" s="7"/>
      <c r="AS88" s="76">
        <f t="shared" si="121"/>
        <v>0</v>
      </c>
      <c r="AT88" s="7"/>
      <c r="AU88" s="7"/>
      <c r="AV88" s="7"/>
      <c r="AW88" s="7"/>
      <c r="AX88" s="7"/>
      <c r="AY88" s="7"/>
      <c r="AZ88" s="7"/>
      <c r="BA88" s="7"/>
      <c r="BB88" s="7"/>
      <c r="BC88" s="7"/>
      <c r="BD88" s="7"/>
      <c r="BE88" s="7"/>
      <c r="BF88" s="3"/>
      <c r="BG88" s="3"/>
      <c r="BH88" s="3"/>
      <c r="BI88" s="3"/>
      <c r="BJ88" s="3"/>
      <c r="BK88" s="3"/>
      <c r="BL88" s="3"/>
      <c r="BM88" s="3"/>
      <c r="BN88" s="3"/>
      <c r="BO88" s="3"/>
      <c r="BP88" s="3"/>
      <c r="BQ88" s="3"/>
      <c r="BR88" s="3"/>
      <c r="BS88" s="3"/>
      <c r="BT88" s="3"/>
      <c r="BU88" s="3"/>
      <c r="BV88" s="3"/>
      <c r="BW88" s="3"/>
    </row>
    <row r="89" spans="1:75" x14ac:dyDescent="0.3">
      <c r="A89" s="8" t="s">
        <v>23</v>
      </c>
      <c r="B89" s="9" t="s">
        <v>24</v>
      </c>
      <c r="C89" s="7"/>
      <c r="D89" s="7"/>
      <c r="E89" s="7"/>
      <c r="F89" s="7"/>
      <c r="G89" s="7"/>
      <c r="H89" s="7"/>
      <c r="I89" s="7"/>
      <c r="J89" s="7"/>
      <c r="K89" s="7"/>
      <c r="L89" s="7"/>
      <c r="M89" s="7"/>
      <c r="N89" s="7"/>
      <c r="O89" s="7"/>
      <c r="P89" s="7"/>
      <c r="Q89" s="7"/>
      <c r="R89" s="7"/>
      <c r="S89" s="7"/>
      <c r="T89" s="7"/>
      <c r="U89" s="7"/>
      <c r="V89" s="7"/>
      <c r="W89" s="7"/>
      <c r="X89" s="7"/>
      <c r="Y89" s="7"/>
      <c r="Z89" s="7"/>
      <c r="AA89" s="7"/>
      <c r="AB89" s="6"/>
      <c r="AC89" s="41"/>
      <c r="AD89" s="7"/>
      <c r="AE89" s="7"/>
      <c r="AF89" s="9" t="str">
        <f t="shared" si="110"/>
        <v>S/R Sin Respuesta</v>
      </c>
      <c r="AG89" s="72">
        <f t="shared" si="111"/>
        <v>0</v>
      </c>
      <c r="AH89" s="72">
        <f t="shared" si="112"/>
        <v>0</v>
      </c>
      <c r="AI89" s="73">
        <f t="shared" si="113"/>
        <v>0</v>
      </c>
      <c r="AJ89" s="73"/>
      <c r="AK89" s="76">
        <f t="shared" si="114"/>
        <v>0</v>
      </c>
      <c r="AL89" s="76">
        <f t="shared" si="115"/>
        <v>0</v>
      </c>
      <c r="AM89" s="76">
        <f t="shared" si="116"/>
        <v>0</v>
      </c>
      <c r="AN89" s="76"/>
      <c r="AO89" s="81">
        <f t="shared" si="120"/>
        <v>0</v>
      </c>
      <c r="AP89" s="81">
        <f t="shared" si="117"/>
        <v>0</v>
      </c>
      <c r="AQ89" s="81">
        <f t="shared" si="118"/>
        <v>0</v>
      </c>
      <c r="AR89" s="7"/>
      <c r="AS89" s="76">
        <f t="shared" si="121"/>
        <v>0</v>
      </c>
      <c r="AT89" s="7"/>
      <c r="AU89" s="7"/>
      <c r="AV89" s="7"/>
      <c r="AW89" s="7"/>
      <c r="AX89" s="7"/>
      <c r="AY89" s="7"/>
      <c r="AZ89" s="7"/>
      <c r="BA89" s="7"/>
      <c r="BB89" s="7"/>
      <c r="BC89" s="7"/>
      <c r="BD89" s="7"/>
      <c r="BE89" s="7"/>
      <c r="BF89" s="3"/>
      <c r="BG89" s="3"/>
      <c r="BH89" s="3"/>
      <c r="BI89" s="3"/>
      <c r="BJ89" s="3"/>
      <c r="BK89" s="3"/>
      <c r="BL89" s="3"/>
      <c r="BM89" s="3"/>
      <c r="BN89" s="3"/>
      <c r="BO89" s="3"/>
      <c r="BP89" s="3"/>
      <c r="BQ89" s="3"/>
      <c r="BR89" s="3"/>
      <c r="BS89" s="3"/>
      <c r="BT89" s="3"/>
      <c r="BU89" s="3"/>
      <c r="BV89" s="3"/>
      <c r="BW89" s="3"/>
    </row>
    <row r="90" spans="1:75" x14ac:dyDescent="0.3">
      <c r="A90" s="8"/>
      <c r="B90" s="9"/>
      <c r="C90" s="7"/>
      <c r="D90" s="7"/>
      <c r="E90" s="7"/>
      <c r="F90" s="7"/>
      <c r="G90" s="7"/>
      <c r="H90" s="7"/>
      <c r="I90" s="7"/>
      <c r="J90" s="7"/>
      <c r="K90" s="7"/>
      <c r="L90" s="7"/>
      <c r="M90" s="7"/>
      <c r="N90" s="7"/>
      <c r="O90" s="7"/>
      <c r="P90" s="7"/>
      <c r="Q90" s="7"/>
      <c r="R90" s="7"/>
      <c r="S90" s="7"/>
      <c r="T90" s="7"/>
      <c r="U90" s="7"/>
      <c r="V90" s="7"/>
      <c r="W90" s="7"/>
      <c r="X90" s="7"/>
      <c r="Y90" s="7"/>
      <c r="Z90" s="7"/>
      <c r="AA90" s="7"/>
      <c r="AB90" s="6"/>
      <c r="AC90" s="41"/>
      <c r="AD90" s="7"/>
      <c r="AE90" s="7"/>
      <c r="AF90" s="7"/>
      <c r="AG90" s="7"/>
      <c r="AH90" s="7"/>
      <c r="AI90" s="7"/>
      <c r="AJ90" s="7"/>
      <c r="AK90" s="7"/>
      <c r="AL90" s="7"/>
      <c r="AM90" s="7"/>
      <c r="AN90" s="7"/>
      <c r="AO90" s="7"/>
      <c r="AP90" s="7"/>
      <c r="AQ90" s="7"/>
      <c r="AR90" s="7"/>
      <c r="AS90" s="76"/>
      <c r="AT90" s="7"/>
      <c r="AU90" s="7"/>
      <c r="AV90" s="7"/>
      <c r="AW90" s="7"/>
      <c r="AX90" s="7"/>
      <c r="AY90" s="7"/>
      <c r="AZ90" s="7"/>
      <c r="BA90" s="7"/>
      <c r="BB90" s="7"/>
      <c r="BC90" s="7"/>
      <c r="BD90" s="7"/>
      <c r="BE90" s="7"/>
      <c r="BF90" s="3"/>
      <c r="BG90" s="3"/>
      <c r="BH90" s="3"/>
      <c r="BI90" s="3"/>
      <c r="BJ90" s="3"/>
      <c r="BK90" s="3"/>
      <c r="BL90" s="3"/>
      <c r="BM90" s="3"/>
      <c r="BN90" s="3"/>
      <c r="BO90" s="3"/>
      <c r="BP90" s="3"/>
      <c r="BQ90" s="3"/>
      <c r="BR90" s="3"/>
      <c r="BS90" s="3"/>
      <c r="BT90" s="3"/>
      <c r="BU90" s="3"/>
      <c r="BV90" s="3"/>
      <c r="BW90" s="3"/>
    </row>
    <row r="91" spans="1:75" x14ac:dyDescent="0.3">
      <c r="A91" s="70" t="s">
        <v>91</v>
      </c>
      <c r="B91" s="9" t="s">
        <v>92</v>
      </c>
      <c r="C91" s="7"/>
      <c r="D91" s="7"/>
      <c r="E91" s="7"/>
      <c r="F91" s="71"/>
      <c r="G91" s="51"/>
      <c r="H91" s="52"/>
      <c r="I91" s="53"/>
      <c r="J91" s="52"/>
      <c r="K91" s="53"/>
      <c r="L91" s="66"/>
      <c r="M91" s="23"/>
      <c r="N91" s="51"/>
      <c r="O91" s="52"/>
      <c r="P91" s="53"/>
      <c r="Q91" s="52"/>
      <c r="R91" s="53"/>
      <c r="S91" s="66"/>
      <c r="T91" s="3"/>
      <c r="U91" s="51"/>
      <c r="V91" s="52"/>
      <c r="W91" s="53"/>
      <c r="X91" s="52"/>
      <c r="Y91" s="53"/>
      <c r="Z91" s="66"/>
      <c r="AA91" s="3"/>
      <c r="AB91" s="62"/>
      <c r="AC91" s="52"/>
      <c r="AD91" s="7"/>
      <c r="AE91" s="7"/>
      <c r="AF91" s="88" t="str">
        <f>A91&amp;" "&amp;B91</f>
        <v>12 Lo que mas me preocupa en mi vida es:</v>
      </c>
      <c r="AG91" s="7"/>
      <c r="AH91" s="7"/>
      <c r="AI91" s="7"/>
      <c r="AJ91" s="7"/>
      <c r="AK91" s="7"/>
      <c r="AL91" s="7"/>
      <c r="AM91" s="7"/>
      <c r="AN91" s="7"/>
      <c r="AO91" s="7"/>
      <c r="AP91" s="7"/>
      <c r="AQ91" s="7"/>
      <c r="AR91" s="7"/>
      <c r="AS91" s="76"/>
      <c r="AT91" s="7"/>
      <c r="AU91" s="7"/>
      <c r="AV91" s="7"/>
      <c r="AW91" s="7"/>
      <c r="AX91" s="7"/>
      <c r="AY91" s="7"/>
      <c r="AZ91" s="7"/>
      <c r="BA91" s="7"/>
      <c r="BB91" s="7"/>
      <c r="BC91" s="7"/>
      <c r="BD91" s="7"/>
      <c r="BE91" s="7"/>
      <c r="BF91" s="3"/>
      <c r="BG91" s="3"/>
      <c r="BH91" s="3"/>
      <c r="BI91" s="3"/>
      <c r="BJ91" s="3"/>
      <c r="BK91" s="3"/>
      <c r="BL91" s="3"/>
      <c r="BM91" s="3"/>
      <c r="BN91" s="3"/>
      <c r="BO91" s="3"/>
      <c r="BP91" s="3"/>
      <c r="BQ91" s="3"/>
      <c r="BR91" s="3"/>
      <c r="BS91" s="3"/>
      <c r="BT91" s="3"/>
      <c r="BU91" s="3"/>
      <c r="BV91" s="3"/>
      <c r="BW91" s="3"/>
    </row>
    <row r="92" spans="1:75" x14ac:dyDescent="0.3">
      <c r="A92" s="8" t="s">
        <v>17</v>
      </c>
      <c r="B92" s="9" t="s">
        <v>93</v>
      </c>
      <c r="C92" s="7"/>
      <c r="D92" s="7"/>
      <c r="E92" s="7"/>
      <c r="F92" s="71"/>
      <c r="G92" s="51">
        <f t="shared" ref="G92:G99" si="122">I92+K92</f>
        <v>7</v>
      </c>
      <c r="H92" s="52">
        <f t="shared" ref="H92:H99" si="123">G92/$J$5*100</f>
        <v>16.666666666666664</v>
      </c>
      <c r="I92" s="53">
        <f>COUNTIFS('00 Encuesta'!$B$2:$B$511,"*f)*",'00 Encuesta'!$C$2:$C$511,"*a)*",'00 Encuesta'!$E$2:$E$511,"*a)*",'00 Encuesta'!$N$2:$N$511,"*a)*")</f>
        <v>6</v>
      </c>
      <c r="J92" s="52">
        <f t="shared" ref="J92:J99" si="124">I92/$J$6*100</f>
        <v>27.27272727272727</v>
      </c>
      <c r="K92" s="53">
        <f>COUNTIFS('00 Encuesta'!$B$2:$B$511,"*f)*",'00 Encuesta'!$C$2:$C$511,"*a)*",'00 Encuesta'!$E$2:$E$511,"*b)*",'00 Encuesta'!$N$2:$N$511,"*a)*")</f>
        <v>1</v>
      </c>
      <c r="L92" s="52">
        <f t="shared" ref="L92:L99" si="125">K92/$J$7*100</f>
        <v>5</v>
      </c>
      <c r="M92" s="23"/>
      <c r="N92" s="51">
        <f t="shared" ref="N92:N99" si="126">P92+R92</f>
        <v>0</v>
      </c>
      <c r="O92" s="52" t="e">
        <f t="shared" ref="O92:O99" si="127">N92/$Q$5*100</f>
        <v>#DIV/0!</v>
      </c>
      <c r="P92" s="53">
        <f>COUNTIFS('00 Encuesta'!$B$2:$B$511,"*f)*",'00 Encuesta'!$C$2:$C$511,"*b)*",'00 Encuesta'!$E$2:$E$511,"*a)*",'00 Encuesta'!$N$2:$N$511,"*a)*")</f>
        <v>0</v>
      </c>
      <c r="Q92" s="52" t="e">
        <f t="shared" ref="Q92:Q99" si="128">P92/$Q$6*100</f>
        <v>#DIV/0!</v>
      </c>
      <c r="R92" s="53">
        <f>COUNTIFS('00 Encuesta'!$B$2:$B$511,"*f)*",'00 Encuesta'!$C$2:$C$511,"*b)*",'00 Encuesta'!$E$2:$E$511,"*b)*",'00 Encuesta'!$N$2:$N$511,"*a)*")</f>
        <v>0</v>
      </c>
      <c r="S92" s="52" t="e">
        <f t="shared" ref="S92:S99" si="129">R92/$Q$7*100</f>
        <v>#DIV/0!</v>
      </c>
      <c r="T92" s="3"/>
      <c r="U92" s="51">
        <f t="shared" ref="U92:U99" si="130">W92+Y92</f>
        <v>0</v>
      </c>
      <c r="V92" s="52" t="e">
        <f t="shared" ref="V92:V99" si="131">U92/$X$5*100</f>
        <v>#DIV/0!</v>
      </c>
      <c r="W92" s="53">
        <f>COUNTIFS('00 Encuesta'!$B$2:$B$511,"*f)*",'00 Encuesta'!$C$2:$C$511,"*c)*",'00 Encuesta'!$E$2:$E$511,"*a)*",'00 Encuesta'!$N$2:$N$511,"*a)*")</f>
        <v>0</v>
      </c>
      <c r="X92" s="52" t="e">
        <f t="shared" ref="X92:X99" si="132">W92/$X$6*100</f>
        <v>#DIV/0!</v>
      </c>
      <c r="Y92" s="53">
        <f>COUNTIFS('00 Encuesta'!$B$2:$B$511,"*f)*",'00 Encuesta'!$C$2:$C$511,"*c)*",'00 Encuesta'!$E$2:$E$511,"*b)*",'00 Encuesta'!$N$2:$N$511,"*a)*")</f>
        <v>0</v>
      </c>
      <c r="Z92" s="52" t="e">
        <f t="shared" ref="Z92:Z99" si="133">Y92/$X$7*100</f>
        <v>#DIV/0!</v>
      </c>
      <c r="AA92" s="3"/>
      <c r="AB92" s="62">
        <f t="shared" ref="AB92:AB99" si="134">G92+N92+U92</f>
        <v>7</v>
      </c>
      <c r="AC92" s="52">
        <f t="shared" ref="AC92:AC99" si="135">AB92*100/$AC$5</f>
        <v>16.666666666666668</v>
      </c>
      <c r="AD92" s="7"/>
      <c r="AE92" s="7"/>
      <c r="AF92" s="9" t="str">
        <f t="shared" ref="AF92:AF100" si="136">A92&amp;" "&amp;B92</f>
        <v>a) Seguridad personal  (la violencia y la delincuencia)</v>
      </c>
      <c r="AG92" s="72">
        <f t="shared" ref="AG92:AG100" si="137">J92</f>
        <v>27.27272727272727</v>
      </c>
      <c r="AH92" s="72">
        <f t="shared" ref="AH92:AH100" si="138">L92</f>
        <v>5</v>
      </c>
      <c r="AI92" s="73">
        <f t="shared" ref="AI92:AI100" si="139">H92</f>
        <v>16.666666666666664</v>
      </c>
      <c r="AJ92" s="73"/>
      <c r="AK92" s="76" t="e">
        <f t="shared" ref="AK92:AK100" si="140">Q92</f>
        <v>#DIV/0!</v>
      </c>
      <c r="AL92" s="76" t="e">
        <f t="shared" ref="AL92:AL100" si="141">S92</f>
        <v>#DIV/0!</v>
      </c>
      <c r="AM92" s="76" t="e">
        <f t="shared" ref="AM92:AM100" si="142">O92</f>
        <v>#DIV/0!</v>
      </c>
      <c r="AN92" s="76"/>
      <c r="AO92" s="81" t="e">
        <f t="shared" ref="AO92:AO100" si="143">X92</f>
        <v>#DIV/0!</v>
      </c>
      <c r="AP92" s="81" t="e">
        <f t="shared" ref="AP92:AP100" si="144">Z92</f>
        <v>#DIV/0!</v>
      </c>
      <c r="AQ92" s="81" t="e">
        <f t="shared" ref="AQ92:AQ100" si="145">V92</f>
        <v>#DIV/0!</v>
      </c>
      <c r="AR92" s="7"/>
      <c r="AS92" s="76">
        <f t="shared" si="121"/>
        <v>16.666666666666668</v>
      </c>
      <c r="AT92" s="7"/>
      <c r="AU92" s="7"/>
      <c r="AV92" s="7"/>
      <c r="AW92" s="7"/>
      <c r="AX92" s="7"/>
      <c r="AY92" s="7"/>
      <c r="AZ92" s="7"/>
      <c r="BA92" s="7"/>
      <c r="BB92" s="7"/>
      <c r="BC92" s="7"/>
      <c r="BD92" s="7"/>
      <c r="BE92" s="7"/>
      <c r="BF92" s="3"/>
      <c r="BG92" s="3"/>
      <c r="BH92" s="3"/>
      <c r="BI92" s="3"/>
      <c r="BJ92" s="3"/>
      <c r="BK92" s="3"/>
      <c r="BL92" s="3"/>
      <c r="BM92" s="3"/>
      <c r="BN92" s="3"/>
      <c r="BO92" s="3"/>
      <c r="BP92" s="3"/>
      <c r="BQ92" s="3"/>
      <c r="BR92" s="3"/>
      <c r="BS92" s="3"/>
      <c r="BT92" s="3"/>
      <c r="BU92" s="3"/>
      <c r="BV92" s="3"/>
      <c r="BW92" s="3"/>
    </row>
    <row r="93" spans="1:75" x14ac:dyDescent="0.3">
      <c r="A93" s="8" t="s">
        <v>18</v>
      </c>
      <c r="B93" s="9" t="s">
        <v>94</v>
      </c>
      <c r="C93" s="7"/>
      <c r="D93" s="7"/>
      <c r="E93" s="7"/>
      <c r="F93" s="71"/>
      <c r="G93" s="51">
        <f t="shared" si="122"/>
        <v>14</v>
      </c>
      <c r="H93" s="52">
        <f t="shared" si="123"/>
        <v>33.333333333333329</v>
      </c>
      <c r="I93" s="53">
        <f>COUNTIFS('00 Encuesta'!$B$2:$B$511,"*f)*",'00 Encuesta'!$C$2:$C$511,"*a)*",'00 Encuesta'!$E$2:$E$511,"*a)*",'00 Encuesta'!$N$2:$N$511,"*b)*")</f>
        <v>8</v>
      </c>
      <c r="J93" s="52">
        <f t="shared" si="124"/>
        <v>36.363636363636367</v>
      </c>
      <c r="K93" s="53">
        <f>COUNTIFS('00 Encuesta'!$B$2:$B$511,"*f)*",'00 Encuesta'!$C$2:$C$511,"*a)*",'00 Encuesta'!$E$2:$E$511,"*b)*",'00 Encuesta'!$N$2:$N$511,"*b)*")</f>
        <v>6</v>
      </c>
      <c r="L93" s="52">
        <f t="shared" si="125"/>
        <v>30</v>
      </c>
      <c r="M93" s="23"/>
      <c r="N93" s="51">
        <f t="shared" si="126"/>
        <v>0</v>
      </c>
      <c r="O93" s="52" t="e">
        <f t="shared" si="127"/>
        <v>#DIV/0!</v>
      </c>
      <c r="P93" s="53">
        <f>COUNTIFS('00 Encuesta'!$B$2:$B$511,"*f)*",'00 Encuesta'!$C$2:$C$511,"*b)*",'00 Encuesta'!$E$2:$E$511,"*a)*",'00 Encuesta'!$N$2:$N$511,"*b)*")</f>
        <v>0</v>
      </c>
      <c r="Q93" s="52" t="e">
        <f t="shared" si="128"/>
        <v>#DIV/0!</v>
      </c>
      <c r="R93" s="53">
        <f>COUNTIFS('00 Encuesta'!$B$2:$B$511,"*f)*",'00 Encuesta'!$C$2:$C$511,"*b)*",'00 Encuesta'!$E$2:$E$511,"*b)*",'00 Encuesta'!$N$2:$N$511,"*b)*")</f>
        <v>0</v>
      </c>
      <c r="S93" s="52" t="e">
        <f t="shared" si="129"/>
        <v>#DIV/0!</v>
      </c>
      <c r="T93" s="3"/>
      <c r="U93" s="51">
        <f t="shared" si="130"/>
        <v>0</v>
      </c>
      <c r="V93" s="52" t="e">
        <f t="shared" si="131"/>
        <v>#DIV/0!</v>
      </c>
      <c r="W93" s="53">
        <f>COUNTIFS('00 Encuesta'!$B$2:$B$511,"*f)*",'00 Encuesta'!$C$2:$C$511,"*c)*",'00 Encuesta'!$E$2:$E$511,"*a)*",'00 Encuesta'!$N$2:$N$511,"*b)*")</f>
        <v>0</v>
      </c>
      <c r="X93" s="52" t="e">
        <f t="shared" si="132"/>
        <v>#DIV/0!</v>
      </c>
      <c r="Y93" s="53">
        <f>COUNTIFS('00 Encuesta'!$B$2:$B$511,"*f)*",'00 Encuesta'!$C$2:$C$511,"*c)*",'00 Encuesta'!$E$2:$E$511,"*b)*",'00 Encuesta'!$N$2:$N$511,"*b)*")</f>
        <v>0</v>
      </c>
      <c r="Z93" s="52" t="e">
        <f t="shared" si="133"/>
        <v>#DIV/0!</v>
      </c>
      <c r="AA93" s="3"/>
      <c r="AB93" s="62">
        <f t="shared" si="134"/>
        <v>14</v>
      </c>
      <c r="AC93" s="52">
        <f t="shared" si="135"/>
        <v>33.333333333333336</v>
      </c>
      <c r="AD93" s="7"/>
      <c r="AE93" s="7"/>
      <c r="AF93" s="9" t="str">
        <f t="shared" si="136"/>
        <v>b) El futuro</v>
      </c>
      <c r="AG93" s="72">
        <f t="shared" si="137"/>
        <v>36.363636363636367</v>
      </c>
      <c r="AH93" s="72">
        <f t="shared" si="138"/>
        <v>30</v>
      </c>
      <c r="AI93" s="73">
        <f t="shared" si="139"/>
        <v>33.333333333333329</v>
      </c>
      <c r="AJ93" s="73"/>
      <c r="AK93" s="76" t="e">
        <f t="shared" si="140"/>
        <v>#DIV/0!</v>
      </c>
      <c r="AL93" s="76" t="e">
        <f t="shared" si="141"/>
        <v>#DIV/0!</v>
      </c>
      <c r="AM93" s="76" t="e">
        <f t="shared" si="142"/>
        <v>#DIV/0!</v>
      </c>
      <c r="AN93" s="76"/>
      <c r="AO93" s="81" t="e">
        <f t="shared" si="143"/>
        <v>#DIV/0!</v>
      </c>
      <c r="AP93" s="81" t="e">
        <f t="shared" si="144"/>
        <v>#DIV/0!</v>
      </c>
      <c r="AQ93" s="81" t="e">
        <f t="shared" si="145"/>
        <v>#DIV/0!</v>
      </c>
      <c r="AR93" s="7"/>
      <c r="AS93" s="76">
        <f t="shared" si="121"/>
        <v>33.333333333333336</v>
      </c>
      <c r="AT93" s="7"/>
      <c r="AU93" s="7"/>
      <c r="AV93" s="7"/>
      <c r="AW93" s="7"/>
      <c r="AX93" s="7"/>
      <c r="AY93" s="7"/>
      <c r="AZ93" s="7"/>
      <c r="BA93" s="7"/>
      <c r="BB93" s="7"/>
      <c r="BC93" s="7"/>
      <c r="BD93" s="7"/>
      <c r="BE93" s="7"/>
      <c r="BF93" s="3"/>
      <c r="BG93" s="3"/>
      <c r="BH93" s="3"/>
      <c r="BI93" s="3"/>
      <c r="BJ93" s="3"/>
      <c r="BK93" s="3"/>
      <c r="BL93" s="3"/>
      <c r="BM93" s="3"/>
      <c r="BN93" s="3"/>
      <c r="BO93" s="3"/>
      <c r="BP93" s="3"/>
      <c r="BQ93" s="3"/>
      <c r="BR93" s="3"/>
      <c r="BS93" s="3"/>
      <c r="BT93" s="3"/>
      <c r="BU93" s="3"/>
      <c r="BV93" s="3"/>
      <c r="BW93" s="3"/>
    </row>
    <row r="94" spans="1:75" x14ac:dyDescent="0.3">
      <c r="A94" s="8" t="s">
        <v>20</v>
      </c>
      <c r="B94" s="9" t="s">
        <v>95</v>
      </c>
      <c r="C94" s="7"/>
      <c r="D94" s="7"/>
      <c r="E94" s="7"/>
      <c r="F94" s="71"/>
      <c r="G94" s="51">
        <f t="shared" si="122"/>
        <v>0</v>
      </c>
      <c r="H94" s="52">
        <f t="shared" si="123"/>
        <v>0</v>
      </c>
      <c r="I94" s="53">
        <f>COUNTIFS('00 Encuesta'!$B$2:$B$511,"*f)*",'00 Encuesta'!$C$2:$C$511,"*a)*",'00 Encuesta'!$E$2:$E$511,"*a)*",'00 Encuesta'!$N$2:$N$511,"*c)*")</f>
        <v>0</v>
      </c>
      <c r="J94" s="52">
        <f t="shared" si="124"/>
        <v>0</v>
      </c>
      <c r="K94" s="53">
        <f>COUNTIFS('00 Encuesta'!$B$2:$B$511,"*f)*",'00 Encuesta'!$C$2:$C$511,"*a)*",'00 Encuesta'!$E$2:$E$511,"*b)*",'00 Encuesta'!$N$2:$N$511,"*c)*")</f>
        <v>0</v>
      </c>
      <c r="L94" s="52">
        <f t="shared" si="125"/>
        <v>0</v>
      </c>
      <c r="M94" s="23"/>
      <c r="N94" s="51">
        <f t="shared" si="126"/>
        <v>0</v>
      </c>
      <c r="O94" s="52" t="e">
        <f t="shared" si="127"/>
        <v>#DIV/0!</v>
      </c>
      <c r="P94" s="53">
        <f>COUNTIFS('00 Encuesta'!$B$2:$B$511,"*f)*",'00 Encuesta'!$C$2:$C$511,"*b)*",'00 Encuesta'!$E$2:$E$511,"*a)*",'00 Encuesta'!$N$2:$N$511,"*c)*")</f>
        <v>0</v>
      </c>
      <c r="Q94" s="52" t="e">
        <f t="shared" si="128"/>
        <v>#DIV/0!</v>
      </c>
      <c r="R94" s="53">
        <f>COUNTIFS('00 Encuesta'!$B$2:$B$511,"*f)*",'00 Encuesta'!$C$2:$C$511,"*b)*",'00 Encuesta'!$E$2:$E$511,"*b)*",'00 Encuesta'!$N$2:$N$511,"*c)*")</f>
        <v>0</v>
      </c>
      <c r="S94" s="52" t="e">
        <f t="shared" si="129"/>
        <v>#DIV/0!</v>
      </c>
      <c r="T94" s="3"/>
      <c r="U94" s="51">
        <f t="shared" si="130"/>
        <v>0</v>
      </c>
      <c r="V94" s="52" t="e">
        <f t="shared" si="131"/>
        <v>#DIV/0!</v>
      </c>
      <c r="W94" s="53">
        <f>COUNTIFS('00 Encuesta'!$B$2:$B$511,"*f)*",'00 Encuesta'!$C$2:$C$511,"*c)*",'00 Encuesta'!$E$2:$E$511,"*a)*",'00 Encuesta'!$N$2:$N$511,"*c)*")</f>
        <v>0</v>
      </c>
      <c r="X94" s="52" t="e">
        <f t="shared" si="132"/>
        <v>#DIV/0!</v>
      </c>
      <c r="Y94" s="53">
        <f>COUNTIFS('00 Encuesta'!$B$2:$B$511,"*f)*",'00 Encuesta'!$C$2:$C$511,"*c)*",'00 Encuesta'!$E$2:$E$511,"*b)*",'00 Encuesta'!$N$2:$N$511,"*c)*")</f>
        <v>0</v>
      </c>
      <c r="Z94" s="52" t="e">
        <f t="shared" si="133"/>
        <v>#DIV/0!</v>
      </c>
      <c r="AA94" s="3"/>
      <c r="AB94" s="62">
        <f t="shared" si="134"/>
        <v>0</v>
      </c>
      <c r="AC94" s="52">
        <f t="shared" si="135"/>
        <v>0</v>
      </c>
      <c r="AD94" s="7"/>
      <c r="AE94" s="7"/>
      <c r="AF94" s="9" t="str">
        <f t="shared" si="136"/>
        <v>c) Yo mismo</v>
      </c>
      <c r="AG94" s="72">
        <f t="shared" si="137"/>
        <v>0</v>
      </c>
      <c r="AH94" s="72">
        <f t="shared" si="138"/>
        <v>0</v>
      </c>
      <c r="AI94" s="73">
        <f t="shared" si="139"/>
        <v>0</v>
      </c>
      <c r="AJ94" s="73"/>
      <c r="AK94" s="76" t="e">
        <f t="shared" si="140"/>
        <v>#DIV/0!</v>
      </c>
      <c r="AL94" s="76" t="e">
        <f t="shared" si="141"/>
        <v>#DIV/0!</v>
      </c>
      <c r="AM94" s="76" t="e">
        <f t="shared" si="142"/>
        <v>#DIV/0!</v>
      </c>
      <c r="AN94" s="76"/>
      <c r="AO94" s="81" t="e">
        <f t="shared" si="143"/>
        <v>#DIV/0!</v>
      </c>
      <c r="AP94" s="81" t="e">
        <f t="shared" si="144"/>
        <v>#DIV/0!</v>
      </c>
      <c r="AQ94" s="81" t="e">
        <f t="shared" si="145"/>
        <v>#DIV/0!</v>
      </c>
      <c r="AR94" s="7"/>
      <c r="AS94" s="76">
        <f t="shared" si="121"/>
        <v>0</v>
      </c>
      <c r="AT94" s="7"/>
      <c r="AU94" s="7"/>
      <c r="AV94" s="7"/>
      <c r="AW94" s="7"/>
      <c r="AX94" s="7"/>
      <c r="AY94" s="7"/>
      <c r="AZ94" s="7"/>
      <c r="BA94" s="7"/>
      <c r="BB94" s="7"/>
      <c r="BC94" s="7"/>
      <c r="BD94" s="7"/>
      <c r="BE94" s="7"/>
      <c r="BF94" s="3"/>
      <c r="BG94" s="3"/>
      <c r="BH94" s="3"/>
      <c r="BI94" s="3"/>
      <c r="BJ94" s="3"/>
      <c r="BK94" s="3"/>
      <c r="BL94" s="3"/>
      <c r="BM94" s="3"/>
      <c r="BN94" s="3"/>
      <c r="BO94" s="3"/>
      <c r="BP94" s="3"/>
      <c r="BQ94" s="3"/>
      <c r="BR94" s="3"/>
      <c r="BS94" s="3"/>
      <c r="BT94" s="3"/>
      <c r="BU94" s="3"/>
      <c r="BV94" s="3"/>
      <c r="BW94" s="3"/>
    </row>
    <row r="95" spans="1:75" x14ac:dyDescent="0.3">
      <c r="A95" s="8" t="s">
        <v>21</v>
      </c>
      <c r="B95" s="9" t="s">
        <v>96</v>
      </c>
      <c r="C95" s="7"/>
      <c r="D95" s="7"/>
      <c r="E95" s="7"/>
      <c r="F95" s="71"/>
      <c r="G95" s="51">
        <f t="shared" si="122"/>
        <v>10</v>
      </c>
      <c r="H95" s="52">
        <f t="shared" si="123"/>
        <v>23.809523809523807</v>
      </c>
      <c r="I95" s="53">
        <f>COUNTIFS('00 Encuesta'!$B$2:$B$511,"*f)*",'00 Encuesta'!$C$2:$C$511,"*a)*",'00 Encuesta'!$E$2:$E$511,"*a)*",'00 Encuesta'!$N$2:$N$511,"*d)*")</f>
        <v>5</v>
      </c>
      <c r="J95" s="52">
        <f t="shared" si="124"/>
        <v>22.727272727272727</v>
      </c>
      <c r="K95" s="53">
        <f>COUNTIFS('00 Encuesta'!$B$2:$B$511,"*f)*",'00 Encuesta'!$C$2:$C$511,"*a)*",'00 Encuesta'!$E$2:$E$511,"*b)*",'00 Encuesta'!$N$2:$N$511,"*d)*")</f>
        <v>5</v>
      </c>
      <c r="L95" s="52">
        <f t="shared" si="125"/>
        <v>25</v>
      </c>
      <c r="M95" s="23"/>
      <c r="N95" s="51">
        <f t="shared" si="126"/>
        <v>0</v>
      </c>
      <c r="O95" s="52" t="e">
        <f t="shared" si="127"/>
        <v>#DIV/0!</v>
      </c>
      <c r="P95" s="53">
        <f>COUNTIFS('00 Encuesta'!$B$2:$B$511,"*f)*",'00 Encuesta'!$C$2:$C$511,"*b)*",'00 Encuesta'!$E$2:$E$511,"*a)*",'00 Encuesta'!$N$2:$N$511,"*d)*")</f>
        <v>0</v>
      </c>
      <c r="Q95" s="52" t="e">
        <f t="shared" si="128"/>
        <v>#DIV/0!</v>
      </c>
      <c r="R95" s="53">
        <f>COUNTIFS('00 Encuesta'!$B$2:$B$511,"*f)*",'00 Encuesta'!$C$2:$C$511,"*b)*",'00 Encuesta'!$E$2:$E$511,"*b)*",'00 Encuesta'!$N$2:$N$511,"*d)*")</f>
        <v>0</v>
      </c>
      <c r="S95" s="52" t="e">
        <f t="shared" si="129"/>
        <v>#DIV/0!</v>
      </c>
      <c r="T95" s="3"/>
      <c r="U95" s="51">
        <f t="shared" si="130"/>
        <v>0</v>
      </c>
      <c r="V95" s="52" t="e">
        <f t="shared" si="131"/>
        <v>#DIV/0!</v>
      </c>
      <c r="W95" s="53">
        <f>COUNTIFS('00 Encuesta'!$B$2:$B$511,"*f)*",'00 Encuesta'!$C$2:$C$511,"*c)*",'00 Encuesta'!$E$2:$E$511,"*a)*",'00 Encuesta'!$N$2:$N$511,"*d)*")</f>
        <v>0</v>
      </c>
      <c r="X95" s="52" t="e">
        <f t="shared" si="132"/>
        <v>#DIV/0!</v>
      </c>
      <c r="Y95" s="53">
        <f>COUNTIFS('00 Encuesta'!$B$2:$B$511,"*f)*",'00 Encuesta'!$C$2:$C$511,"*c)*",'00 Encuesta'!$E$2:$E$511,"*b)*",'00 Encuesta'!$N$2:$N$511,"*d)*")</f>
        <v>0</v>
      </c>
      <c r="Z95" s="52" t="e">
        <f t="shared" si="133"/>
        <v>#DIV/0!</v>
      </c>
      <c r="AA95" s="3"/>
      <c r="AB95" s="62">
        <f t="shared" si="134"/>
        <v>10</v>
      </c>
      <c r="AC95" s="52">
        <f t="shared" si="135"/>
        <v>23.80952380952381</v>
      </c>
      <c r="AD95" s="7"/>
      <c r="AE95" s="7"/>
      <c r="AF95" s="9" t="str">
        <f t="shared" si="136"/>
        <v>d) Los problemas familiares</v>
      </c>
      <c r="AG95" s="72">
        <f t="shared" si="137"/>
        <v>22.727272727272727</v>
      </c>
      <c r="AH95" s="72">
        <f t="shared" si="138"/>
        <v>25</v>
      </c>
      <c r="AI95" s="73">
        <f t="shared" si="139"/>
        <v>23.809523809523807</v>
      </c>
      <c r="AJ95" s="73"/>
      <c r="AK95" s="76" t="e">
        <f t="shared" si="140"/>
        <v>#DIV/0!</v>
      </c>
      <c r="AL95" s="76" t="e">
        <f t="shared" si="141"/>
        <v>#DIV/0!</v>
      </c>
      <c r="AM95" s="76" t="e">
        <f t="shared" si="142"/>
        <v>#DIV/0!</v>
      </c>
      <c r="AN95" s="76"/>
      <c r="AO95" s="81" t="e">
        <f t="shared" si="143"/>
        <v>#DIV/0!</v>
      </c>
      <c r="AP95" s="81" t="e">
        <f t="shared" si="144"/>
        <v>#DIV/0!</v>
      </c>
      <c r="AQ95" s="81" t="e">
        <f t="shared" si="145"/>
        <v>#DIV/0!</v>
      </c>
      <c r="AR95" s="7"/>
      <c r="AS95" s="76">
        <f t="shared" si="121"/>
        <v>23.80952380952381</v>
      </c>
      <c r="AT95" s="7"/>
      <c r="AU95" s="7"/>
      <c r="AV95" s="7"/>
      <c r="AW95" s="7"/>
      <c r="AX95" s="7"/>
      <c r="AY95" s="7"/>
      <c r="AZ95" s="7"/>
      <c r="BA95" s="7"/>
      <c r="BB95" s="7"/>
      <c r="BC95" s="7"/>
      <c r="BD95" s="7"/>
      <c r="BE95" s="7"/>
      <c r="BF95" s="3"/>
      <c r="BG95" s="3"/>
      <c r="BH95" s="3"/>
      <c r="BI95" s="3"/>
      <c r="BJ95" s="3"/>
      <c r="BK95" s="3"/>
      <c r="BL95" s="3"/>
      <c r="BM95" s="3"/>
      <c r="BN95" s="3"/>
      <c r="BO95" s="3"/>
      <c r="BP95" s="3"/>
      <c r="BQ95" s="3"/>
      <c r="BR95" s="3"/>
      <c r="BS95" s="3"/>
      <c r="BT95" s="3"/>
      <c r="BU95" s="3"/>
      <c r="BV95" s="3"/>
      <c r="BW95" s="3"/>
    </row>
    <row r="96" spans="1:75" x14ac:dyDescent="0.3">
      <c r="A96" s="8" t="s">
        <v>22</v>
      </c>
      <c r="B96" s="9" t="s">
        <v>97</v>
      </c>
      <c r="C96" s="7"/>
      <c r="D96" s="7"/>
      <c r="E96" s="7"/>
      <c r="F96" s="71"/>
      <c r="G96" s="51">
        <f t="shared" si="122"/>
        <v>3</v>
      </c>
      <c r="H96" s="52">
        <f t="shared" si="123"/>
        <v>7.1428571428571423</v>
      </c>
      <c r="I96" s="53">
        <f>COUNTIFS('00 Encuesta'!$B$2:$B$511,"*f)*",'00 Encuesta'!$C$2:$C$511,"*a)*",'00 Encuesta'!$E$2:$E$511,"*a)*",'00 Encuesta'!$N$2:$N$511,"*e)*")</f>
        <v>0</v>
      </c>
      <c r="J96" s="52">
        <f t="shared" si="124"/>
        <v>0</v>
      </c>
      <c r="K96" s="53">
        <f>COUNTIFS('00 Encuesta'!$B$2:$B$511,"*f)*",'00 Encuesta'!$C$2:$C$511,"*a)*",'00 Encuesta'!$E$2:$E$511,"*b)*",'00 Encuesta'!$N$2:$N$511,"*e)*")</f>
        <v>3</v>
      </c>
      <c r="L96" s="52">
        <f t="shared" si="125"/>
        <v>15</v>
      </c>
      <c r="M96" s="23"/>
      <c r="N96" s="51">
        <f t="shared" si="126"/>
        <v>0</v>
      </c>
      <c r="O96" s="52" t="e">
        <f t="shared" si="127"/>
        <v>#DIV/0!</v>
      </c>
      <c r="P96" s="53">
        <f>COUNTIFS('00 Encuesta'!$B$2:$B$511,"*f)*",'00 Encuesta'!$C$2:$C$511,"*b)*",'00 Encuesta'!$E$2:$E$511,"*a)*",'00 Encuesta'!$N$2:$N$511,"*e)*")</f>
        <v>0</v>
      </c>
      <c r="Q96" s="52" t="e">
        <f t="shared" si="128"/>
        <v>#DIV/0!</v>
      </c>
      <c r="R96" s="53">
        <f>COUNTIFS('00 Encuesta'!$B$2:$B$511,"*f)*",'00 Encuesta'!$C$2:$C$511,"*b)*",'00 Encuesta'!$E$2:$E$511,"*b)*",'00 Encuesta'!$N$2:$N$511,"*e)*")</f>
        <v>0</v>
      </c>
      <c r="S96" s="52" t="e">
        <f t="shared" si="129"/>
        <v>#DIV/0!</v>
      </c>
      <c r="T96" s="3"/>
      <c r="U96" s="51">
        <f t="shared" si="130"/>
        <v>0</v>
      </c>
      <c r="V96" s="52" t="e">
        <f t="shared" si="131"/>
        <v>#DIV/0!</v>
      </c>
      <c r="W96" s="53">
        <f>COUNTIFS('00 Encuesta'!$B$2:$B$511,"*f)*",'00 Encuesta'!$C$2:$C$511,"*c)*",'00 Encuesta'!$E$2:$E$511,"*a)*",'00 Encuesta'!$N$2:$N$511,"*e)*")</f>
        <v>0</v>
      </c>
      <c r="X96" s="52" t="e">
        <f t="shared" si="132"/>
        <v>#DIV/0!</v>
      </c>
      <c r="Y96" s="53">
        <f>COUNTIFS('00 Encuesta'!$B$2:$B$511,"*f)*",'00 Encuesta'!$C$2:$C$511,"*c)*",'00 Encuesta'!$E$2:$E$511,"*b)*",'00 Encuesta'!$N$2:$N$511,"*e)*")</f>
        <v>0</v>
      </c>
      <c r="Z96" s="52" t="e">
        <f t="shared" si="133"/>
        <v>#DIV/0!</v>
      </c>
      <c r="AA96" s="3"/>
      <c r="AB96" s="62">
        <f t="shared" si="134"/>
        <v>3</v>
      </c>
      <c r="AC96" s="52">
        <f t="shared" si="135"/>
        <v>7.1428571428571432</v>
      </c>
      <c r="AD96" s="7"/>
      <c r="AE96" s="7"/>
      <c r="AF96" s="9" t="str">
        <f t="shared" si="136"/>
        <v>e) La situación económica</v>
      </c>
      <c r="AG96" s="72">
        <f t="shared" si="137"/>
        <v>0</v>
      </c>
      <c r="AH96" s="72">
        <f t="shared" si="138"/>
        <v>15</v>
      </c>
      <c r="AI96" s="73">
        <f t="shared" si="139"/>
        <v>7.1428571428571423</v>
      </c>
      <c r="AJ96" s="73"/>
      <c r="AK96" s="76" t="e">
        <f t="shared" si="140"/>
        <v>#DIV/0!</v>
      </c>
      <c r="AL96" s="76" t="e">
        <f t="shared" si="141"/>
        <v>#DIV/0!</v>
      </c>
      <c r="AM96" s="76" t="e">
        <f t="shared" si="142"/>
        <v>#DIV/0!</v>
      </c>
      <c r="AN96" s="76"/>
      <c r="AO96" s="81" t="e">
        <f t="shared" si="143"/>
        <v>#DIV/0!</v>
      </c>
      <c r="AP96" s="81" t="e">
        <f t="shared" si="144"/>
        <v>#DIV/0!</v>
      </c>
      <c r="AQ96" s="81" t="e">
        <f t="shared" si="145"/>
        <v>#DIV/0!</v>
      </c>
      <c r="AR96" s="7"/>
      <c r="AS96" s="76">
        <f t="shared" si="121"/>
        <v>7.1428571428571432</v>
      </c>
      <c r="AT96" s="7"/>
      <c r="AU96" s="7"/>
      <c r="AV96" s="7"/>
      <c r="AW96" s="7"/>
      <c r="AX96" s="7"/>
      <c r="AY96" s="7"/>
      <c r="AZ96" s="7"/>
      <c r="BA96" s="7"/>
      <c r="BB96" s="7"/>
      <c r="BC96" s="7"/>
      <c r="BD96" s="7"/>
      <c r="BE96" s="7"/>
      <c r="BF96" s="3"/>
      <c r="BG96" s="3"/>
      <c r="BH96" s="3"/>
      <c r="BI96" s="3"/>
      <c r="BJ96" s="3"/>
      <c r="BK96" s="3"/>
      <c r="BL96" s="3"/>
      <c r="BM96" s="3"/>
      <c r="BN96" s="3"/>
      <c r="BO96" s="3"/>
      <c r="BP96" s="3"/>
      <c r="BQ96" s="3"/>
      <c r="BR96" s="3"/>
      <c r="BS96" s="3"/>
      <c r="BT96" s="3"/>
      <c r="BU96" s="3"/>
      <c r="BV96" s="3"/>
      <c r="BW96" s="3"/>
    </row>
    <row r="97" spans="1:75" x14ac:dyDescent="0.3">
      <c r="A97" s="8" t="s">
        <v>45</v>
      </c>
      <c r="B97" s="9" t="s">
        <v>98</v>
      </c>
      <c r="C97" s="7"/>
      <c r="D97" s="7"/>
      <c r="E97" s="7"/>
      <c r="F97" s="71"/>
      <c r="G97" s="51">
        <f t="shared" si="122"/>
        <v>1</v>
      </c>
      <c r="H97" s="52">
        <f t="shared" si="123"/>
        <v>2.3809523809523809</v>
      </c>
      <c r="I97" s="53">
        <f>COUNTIFS('00 Encuesta'!$B$2:$B$511,"*f)*",'00 Encuesta'!$C$2:$C$511,"*a)*",'00 Encuesta'!$E$2:$E$511,"*a)*",'00 Encuesta'!$N$2:$N$511,"*f)*")</f>
        <v>0</v>
      </c>
      <c r="J97" s="52">
        <f t="shared" si="124"/>
        <v>0</v>
      </c>
      <c r="K97" s="53">
        <f>COUNTIFS('00 Encuesta'!$B$2:$B$511,"*f)*",'00 Encuesta'!$C$2:$C$511,"*a)*",'00 Encuesta'!$E$2:$E$511,"*b)*",'00 Encuesta'!$N$2:$N$511,"*f)*")</f>
        <v>1</v>
      </c>
      <c r="L97" s="52">
        <f t="shared" si="125"/>
        <v>5</v>
      </c>
      <c r="M97" s="23"/>
      <c r="N97" s="51">
        <f t="shared" si="126"/>
        <v>0</v>
      </c>
      <c r="O97" s="52" t="e">
        <f t="shared" si="127"/>
        <v>#DIV/0!</v>
      </c>
      <c r="P97" s="53">
        <f>COUNTIFS('00 Encuesta'!$B$2:$B$511,"*f)*",'00 Encuesta'!$C$2:$C$511,"*b)*",'00 Encuesta'!$E$2:$E$511,"*a)*",'00 Encuesta'!$N$2:$N$511,"*f)*")</f>
        <v>0</v>
      </c>
      <c r="Q97" s="52" t="e">
        <f t="shared" si="128"/>
        <v>#DIV/0!</v>
      </c>
      <c r="R97" s="53">
        <f>COUNTIFS('00 Encuesta'!$B$2:$B$511,"*f)*",'00 Encuesta'!$C$2:$C$511,"*b)*",'00 Encuesta'!$E$2:$E$511,"*b)*",'00 Encuesta'!$N$2:$N$511,"*f)*")</f>
        <v>0</v>
      </c>
      <c r="S97" s="52" t="e">
        <f t="shared" si="129"/>
        <v>#DIV/0!</v>
      </c>
      <c r="T97" s="3"/>
      <c r="U97" s="51">
        <f t="shared" si="130"/>
        <v>0</v>
      </c>
      <c r="V97" s="52" t="e">
        <f t="shared" si="131"/>
        <v>#DIV/0!</v>
      </c>
      <c r="W97" s="53">
        <f>COUNTIFS('00 Encuesta'!$B$2:$B$511,"*f)*",'00 Encuesta'!$C$2:$C$511,"*c)*",'00 Encuesta'!$E$2:$E$511,"*a)*",'00 Encuesta'!$N$2:$N$511,"*f)*")</f>
        <v>0</v>
      </c>
      <c r="X97" s="52" t="e">
        <f t="shared" si="132"/>
        <v>#DIV/0!</v>
      </c>
      <c r="Y97" s="53">
        <f>COUNTIFS('00 Encuesta'!$B$2:$B$511,"*f)*",'00 Encuesta'!$C$2:$C$511,"*c)*",'00 Encuesta'!$E$2:$E$511,"*b)*",'00 Encuesta'!$N$2:$N$511,"*f)*")</f>
        <v>0</v>
      </c>
      <c r="Z97" s="52" t="e">
        <f t="shared" si="133"/>
        <v>#DIV/0!</v>
      </c>
      <c r="AA97" s="3"/>
      <c r="AB97" s="62">
        <f t="shared" si="134"/>
        <v>1</v>
      </c>
      <c r="AC97" s="52">
        <f t="shared" si="135"/>
        <v>2.3809523809523809</v>
      </c>
      <c r="AD97" s="7"/>
      <c r="AE97" s="7"/>
      <c r="AF97" s="9" t="str">
        <f t="shared" si="136"/>
        <v>f) La situación política del país</v>
      </c>
      <c r="AG97" s="72">
        <f t="shared" si="137"/>
        <v>0</v>
      </c>
      <c r="AH97" s="72">
        <f t="shared" si="138"/>
        <v>5</v>
      </c>
      <c r="AI97" s="73">
        <f t="shared" si="139"/>
        <v>2.3809523809523809</v>
      </c>
      <c r="AJ97" s="73"/>
      <c r="AK97" s="76" t="e">
        <f t="shared" si="140"/>
        <v>#DIV/0!</v>
      </c>
      <c r="AL97" s="76" t="e">
        <f t="shared" si="141"/>
        <v>#DIV/0!</v>
      </c>
      <c r="AM97" s="76" t="e">
        <f t="shared" si="142"/>
        <v>#DIV/0!</v>
      </c>
      <c r="AN97" s="76"/>
      <c r="AO97" s="81" t="e">
        <f t="shared" si="143"/>
        <v>#DIV/0!</v>
      </c>
      <c r="AP97" s="81" t="e">
        <f t="shared" si="144"/>
        <v>#DIV/0!</v>
      </c>
      <c r="AQ97" s="81" t="e">
        <f t="shared" si="145"/>
        <v>#DIV/0!</v>
      </c>
      <c r="AR97" s="7"/>
      <c r="AS97" s="76">
        <f t="shared" si="121"/>
        <v>2.3809523809523809</v>
      </c>
      <c r="AT97" s="7"/>
      <c r="AU97" s="7"/>
      <c r="AV97" s="7"/>
      <c r="AW97" s="7"/>
      <c r="AX97" s="7"/>
      <c r="AY97" s="7"/>
      <c r="AZ97" s="7"/>
      <c r="BA97" s="7"/>
      <c r="BB97" s="7"/>
      <c r="BC97" s="7"/>
      <c r="BD97" s="7"/>
      <c r="BE97" s="7"/>
      <c r="BF97" s="3"/>
      <c r="BG97" s="3"/>
      <c r="BH97" s="3"/>
      <c r="BI97" s="3"/>
      <c r="BJ97" s="3"/>
      <c r="BK97" s="3"/>
      <c r="BL97" s="3"/>
      <c r="BM97" s="3"/>
      <c r="BN97" s="3"/>
      <c r="BO97" s="3"/>
      <c r="BP97" s="3"/>
      <c r="BQ97" s="3"/>
      <c r="BR97" s="3"/>
      <c r="BS97" s="3"/>
      <c r="BT97" s="3"/>
      <c r="BU97" s="3"/>
      <c r="BV97" s="3"/>
      <c r="BW97" s="3"/>
    </row>
    <row r="98" spans="1:75" x14ac:dyDescent="0.3">
      <c r="A98" s="8" t="s">
        <v>61</v>
      </c>
      <c r="B98" s="9" t="s">
        <v>99</v>
      </c>
      <c r="C98" s="7"/>
      <c r="D98" s="7"/>
      <c r="E98" s="7"/>
      <c r="F98" s="71"/>
      <c r="G98" s="51">
        <f t="shared" si="122"/>
        <v>5</v>
      </c>
      <c r="H98" s="52">
        <f t="shared" si="123"/>
        <v>11.904761904761903</v>
      </c>
      <c r="I98" s="53">
        <f>COUNTIFS('00 Encuesta'!$B$2:$B$511,"*f)*",'00 Encuesta'!$C$2:$C$511,"*a)*",'00 Encuesta'!$E$2:$E$511,"*a)*",'00 Encuesta'!$N$2:$N$511,"*g)*")</f>
        <v>2</v>
      </c>
      <c r="J98" s="52">
        <f t="shared" si="124"/>
        <v>9.0909090909090917</v>
      </c>
      <c r="K98" s="53">
        <f>COUNTIFS('00 Encuesta'!$B$2:$B$511,"*f)*",'00 Encuesta'!$C$2:$C$511,"*a)*",'00 Encuesta'!$E$2:$E$511,"*b)*",'00 Encuesta'!$N$2:$N$511,"*g)*")</f>
        <v>3</v>
      </c>
      <c r="L98" s="52">
        <f t="shared" si="125"/>
        <v>15</v>
      </c>
      <c r="M98" s="23"/>
      <c r="N98" s="51">
        <f t="shared" si="126"/>
        <v>0</v>
      </c>
      <c r="O98" s="52" t="e">
        <f t="shared" si="127"/>
        <v>#DIV/0!</v>
      </c>
      <c r="P98" s="53">
        <f>COUNTIFS('00 Encuesta'!$B$2:$B$511,"*f)*",'00 Encuesta'!$C$2:$C$511,"*b)*",'00 Encuesta'!$E$2:$E$511,"*a)*",'00 Encuesta'!$N$2:$N$511,"*g)*")</f>
        <v>0</v>
      </c>
      <c r="Q98" s="52" t="e">
        <f t="shared" si="128"/>
        <v>#DIV/0!</v>
      </c>
      <c r="R98" s="53">
        <f>COUNTIFS('00 Encuesta'!$B$2:$B$511,"*f)*",'00 Encuesta'!$C$2:$C$511,"*b)*",'00 Encuesta'!$E$2:$E$511,"*b)*",'00 Encuesta'!$N$2:$N$511,"*g)*")</f>
        <v>0</v>
      </c>
      <c r="S98" s="52" t="e">
        <f t="shared" si="129"/>
        <v>#DIV/0!</v>
      </c>
      <c r="T98" s="3"/>
      <c r="U98" s="51">
        <f t="shared" si="130"/>
        <v>0</v>
      </c>
      <c r="V98" s="52" t="e">
        <f t="shared" si="131"/>
        <v>#DIV/0!</v>
      </c>
      <c r="W98" s="53">
        <f>COUNTIFS('00 Encuesta'!$B$2:$B$511,"*f)*",'00 Encuesta'!$C$2:$C$511,"*c)*",'00 Encuesta'!$E$2:$E$511,"*a)*",'00 Encuesta'!$N$2:$N$511,"*g)*")</f>
        <v>0</v>
      </c>
      <c r="X98" s="52" t="e">
        <f t="shared" si="132"/>
        <v>#DIV/0!</v>
      </c>
      <c r="Y98" s="53">
        <f>COUNTIFS('00 Encuesta'!$B$2:$B$511,"*f)*",'00 Encuesta'!$C$2:$C$511,"*c)*",'00 Encuesta'!$E$2:$E$511,"*b)*",'00 Encuesta'!$N$2:$N$511,"*g)*")</f>
        <v>0</v>
      </c>
      <c r="Z98" s="52" t="e">
        <f t="shared" si="133"/>
        <v>#DIV/0!</v>
      </c>
      <c r="AA98" s="3"/>
      <c r="AB98" s="62">
        <f t="shared" si="134"/>
        <v>5</v>
      </c>
      <c r="AC98" s="52">
        <f t="shared" si="135"/>
        <v>11.904761904761905</v>
      </c>
      <c r="AD98" s="7"/>
      <c r="AE98" s="7"/>
      <c r="AF98" s="9" t="str">
        <f t="shared" si="136"/>
        <v>g) Mis estudios</v>
      </c>
      <c r="AG98" s="72">
        <f t="shared" si="137"/>
        <v>9.0909090909090917</v>
      </c>
      <c r="AH98" s="72">
        <f t="shared" si="138"/>
        <v>15</v>
      </c>
      <c r="AI98" s="73">
        <f t="shared" si="139"/>
        <v>11.904761904761903</v>
      </c>
      <c r="AJ98" s="73"/>
      <c r="AK98" s="76" t="e">
        <f t="shared" si="140"/>
        <v>#DIV/0!</v>
      </c>
      <c r="AL98" s="76" t="e">
        <f t="shared" si="141"/>
        <v>#DIV/0!</v>
      </c>
      <c r="AM98" s="76" t="e">
        <f t="shared" si="142"/>
        <v>#DIV/0!</v>
      </c>
      <c r="AN98" s="76"/>
      <c r="AO98" s="81" t="e">
        <f t="shared" si="143"/>
        <v>#DIV/0!</v>
      </c>
      <c r="AP98" s="81" t="e">
        <f t="shared" si="144"/>
        <v>#DIV/0!</v>
      </c>
      <c r="AQ98" s="81" t="e">
        <f t="shared" si="145"/>
        <v>#DIV/0!</v>
      </c>
      <c r="AR98" s="7"/>
      <c r="AS98" s="76">
        <f t="shared" si="121"/>
        <v>11.904761904761905</v>
      </c>
      <c r="AT98" s="7"/>
      <c r="AU98" s="7"/>
      <c r="AV98" s="7"/>
      <c r="AW98" s="7"/>
      <c r="AX98" s="7"/>
      <c r="AY98" s="7"/>
      <c r="AZ98" s="7"/>
      <c r="BA98" s="7"/>
      <c r="BB98" s="7"/>
      <c r="BC98" s="7"/>
      <c r="BD98" s="7"/>
      <c r="BE98" s="7"/>
      <c r="BF98" s="3"/>
      <c r="BG98" s="3"/>
      <c r="BH98" s="3"/>
      <c r="BI98" s="3"/>
      <c r="BJ98" s="3"/>
      <c r="BK98" s="3"/>
      <c r="BL98" s="3"/>
      <c r="BM98" s="3"/>
      <c r="BN98" s="3"/>
      <c r="BO98" s="3"/>
      <c r="BP98" s="3"/>
      <c r="BQ98" s="3"/>
      <c r="BR98" s="3"/>
      <c r="BS98" s="3"/>
      <c r="BT98" s="3"/>
      <c r="BU98" s="3"/>
      <c r="BV98" s="3"/>
      <c r="BW98" s="3"/>
    </row>
    <row r="99" spans="1:75" x14ac:dyDescent="0.3">
      <c r="A99" s="8" t="s">
        <v>63</v>
      </c>
      <c r="B99" s="9" t="s">
        <v>81</v>
      </c>
      <c r="C99" s="7"/>
      <c r="D99" s="7"/>
      <c r="E99" s="7"/>
      <c r="F99" s="71"/>
      <c r="G99" s="51">
        <f t="shared" si="122"/>
        <v>0</v>
      </c>
      <c r="H99" s="52">
        <f t="shared" si="123"/>
        <v>0</v>
      </c>
      <c r="I99" s="53">
        <f>COUNTIFS('00 Encuesta'!$B$2:$B$511,"*f)*",'00 Encuesta'!$C$2:$C$511,"*a)*",'00 Encuesta'!$E$2:$E$511,"*a)*",'00 Encuesta'!$N$2:$N$511,"*h)*")</f>
        <v>0</v>
      </c>
      <c r="J99" s="52">
        <f t="shared" si="124"/>
        <v>0</v>
      </c>
      <c r="K99" s="53">
        <f>COUNTIFS('00 Encuesta'!$B$2:$B$511,"*f)*",'00 Encuesta'!$C$2:$C$511,"*a)*",'00 Encuesta'!$E$2:$E$511,"*b)*",'00 Encuesta'!$N$2:$N$511,"*h)*")</f>
        <v>0</v>
      </c>
      <c r="L99" s="52">
        <f t="shared" si="125"/>
        <v>0</v>
      </c>
      <c r="M99" s="23"/>
      <c r="N99" s="51">
        <f t="shared" si="126"/>
        <v>0</v>
      </c>
      <c r="O99" s="52" t="e">
        <f t="shared" si="127"/>
        <v>#DIV/0!</v>
      </c>
      <c r="P99" s="53">
        <f>COUNTIFS('00 Encuesta'!$B$2:$B$511,"*f)*",'00 Encuesta'!$C$2:$C$511,"*b)*",'00 Encuesta'!$E$2:$E$511,"*a)*",'00 Encuesta'!$N$2:$N$511,"*h)*")</f>
        <v>0</v>
      </c>
      <c r="Q99" s="52" t="e">
        <f t="shared" si="128"/>
        <v>#DIV/0!</v>
      </c>
      <c r="R99" s="53">
        <f>COUNTIFS('00 Encuesta'!$B$2:$B$511,"*f)*",'00 Encuesta'!$C$2:$C$511,"*b)*",'00 Encuesta'!$E$2:$E$511,"*b)*",'00 Encuesta'!$N$2:$N$511,"*h)*")</f>
        <v>0</v>
      </c>
      <c r="S99" s="52" t="e">
        <f t="shared" si="129"/>
        <v>#DIV/0!</v>
      </c>
      <c r="T99" s="3"/>
      <c r="U99" s="51">
        <f t="shared" si="130"/>
        <v>0</v>
      </c>
      <c r="V99" s="52" t="e">
        <f t="shared" si="131"/>
        <v>#DIV/0!</v>
      </c>
      <c r="W99" s="53">
        <f>COUNTIFS('00 Encuesta'!$B$2:$B$511,"*f)*",'00 Encuesta'!$C$2:$C$511,"*c)*",'00 Encuesta'!$E$2:$E$511,"*a)*",'00 Encuesta'!$N$2:$N$511,"*h)*")</f>
        <v>0</v>
      </c>
      <c r="X99" s="52" t="e">
        <f t="shared" si="132"/>
        <v>#DIV/0!</v>
      </c>
      <c r="Y99" s="53">
        <f>COUNTIFS('00 Encuesta'!$B$2:$B$511,"*f)*",'00 Encuesta'!$C$2:$C$511,"*c)*",'00 Encuesta'!$E$2:$E$511,"*b)*",'00 Encuesta'!$N$2:$N$511,"*h)*")</f>
        <v>0</v>
      </c>
      <c r="Z99" s="52" t="e">
        <f t="shared" si="133"/>
        <v>#DIV/0!</v>
      </c>
      <c r="AA99" s="3"/>
      <c r="AB99" s="62">
        <f t="shared" si="134"/>
        <v>0</v>
      </c>
      <c r="AC99" s="52">
        <f t="shared" si="135"/>
        <v>0</v>
      </c>
      <c r="AD99" s="7"/>
      <c r="AE99" s="7"/>
      <c r="AF99" s="9" t="str">
        <f t="shared" si="136"/>
        <v>h) Los amigos</v>
      </c>
      <c r="AG99" s="72">
        <f t="shared" si="137"/>
        <v>0</v>
      </c>
      <c r="AH99" s="72">
        <f t="shared" si="138"/>
        <v>0</v>
      </c>
      <c r="AI99" s="73">
        <f t="shared" si="139"/>
        <v>0</v>
      </c>
      <c r="AJ99" s="73"/>
      <c r="AK99" s="76" t="e">
        <f t="shared" si="140"/>
        <v>#DIV/0!</v>
      </c>
      <c r="AL99" s="76" t="e">
        <f t="shared" si="141"/>
        <v>#DIV/0!</v>
      </c>
      <c r="AM99" s="76" t="e">
        <f t="shared" si="142"/>
        <v>#DIV/0!</v>
      </c>
      <c r="AN99" s="76"/>
      <c r="AO99" s="81" t="e">
        <f t="shared" si="143"/>
        <v>#DIV/0!</v>
      </c>
      <c r="AP99" s="81" t="e">
        <f t="shared" si="144"/>
        <v>#DIV/0!</v>
      </c>
      <c r="AQ99" s="81" t="e">
        <f t="shared" si="145"/>
        <v>#DIV/0!</v>
      </c>
      <c r="AR99" s="7"/>
      <c r="AS99" s="76">
        <f t="shared" si="121"/>
        <v>0</v>
      </c>
      <c r="AT99" s="7"/>
      <c r="AU99" s="7"/>
      <c r="AV99" s="7"/>
      <c r="AW99" s="7"/>
      <c r="AX99" s="7"/>
      <c r="AY99" s="7"/>
      <c r="AZ99" s="7"/>
      <c r="BA99" s="7"/>
      <c r="BB99" s="7"/>
      <c r="BC99" s="7"/>
      <c r="BD99" s="7"/>
      <c r="BE99" s="7"/>
      <c r="BF99" s="3"/>
      <c r="BG99" s="3"/>
      <c r="BH99" s="3"/>
      <c r="BI99" s="3"/>
      <c r="BJ99" s="3"/>
      <c r="BK99" s="3"/>
      <c r="BL99" s="3"/>
      <c r="BM99" s="3"/>
      <c r="BN99" s="3"/>
      <c r="BO99" s="3"/>
      <c r="BP99" s="3"/>
      <c r="BQ99" s="3"/>
      <c r="BR99" s="3"/>
      <c r="BS99" s="3"/>
      <c r="BT99" s="3"/>
      <c r="BU99" s="3"/>
      <c r="BV99" s="3"/>
      <c r="BW99" s="3"/>
    </row>
    <row r="100" spans="1:75" x14ac:dyDescent="0.3">
      <c r="A100" s="8" t="s">
        <v>23</v>
      </c>
      <c r="B100" s="9" t="s">
        <v>24</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6"/>
      <c r="AC100" s="41"/>
      <c r="AD100" s="7"/>
      <c r="AE100" s="7"/>
      <c r="AF100" s="9" t="str">
        <f t="shared" si="136"/>
        <v>S/R Sin Respuesta</v>
      </c>
      <c r="AG100" s="72">
        <f t="shared" si="137"/>
        <v>0</v>
      </c>
      <c r="AH100" s="72">
        <f t="shared" si="138"/>
        <v>0</v>
      </c>
      <c r="AI100" s="73">
        <f t="shared" si="139"/>
        <v>0</v>
      </c>
      <c r="AJ100" s="73"/>
      <c r="AK100" s="76">
        <f t="shared" si="140"/>
        <v>0</v>
      </c>
      <c r="AL100" s="76">
        <f t="shared" si="141"/>
        <v>0</v>
      </c>
      <c r="AM100" s="76">
        <f t="shared" si="142"/>
        <v>0</v>
      </c>
      <c r="AN100" s="76"/>
      <c r="AO100" s="81">
        <f t="shared" si="143"/>
        <v>0</v>
      </c>
      <c r="AP100" s="81">
        <f t="shared" si="144"/>
        <v>0</v>
      </c>
      <c r="AQ100" s="81">
        <f t="shared" si="145"/>
        <v>0</v>
      </c>
      <c r="AR100" s="7"/>
      <c r="AS100" s="76">
        <f t="shared" si="121"/>
        <v>0</v>
      </c>
      <c r="AT100" s="7"/>
      <c r="AU100" s="7"/>
      <c r="AV100" s="7"/>
      <c r="AW100" s="7"/>
      <c r="AX100" s="7"/>
      <c r="AY100" s="7"/>
      <c r="AZ100" s="7"/>
      <c r="BA100" s="7"/>
      <c r="BB100" s="7"/>
      <c r="BC100" s="7"/>
      <c r="BD100" s="7"/>
      <c r="BE100" s="7"/>
      <c r="BF100" s="3"/>
      <c r="BG100" s="3"/>
      <c r="BH100" s="3"/>
      <c r="BI100" s="3"/>
      <c r="BJ100" s="3"/>
      <c r="BK100" s="3"/>
      <c r="BL100" s="3"/>
      <c r="BM100" s="3"/>
      <c r="BN100" s="3"/>
      <c r="BO100" s="3"/>
      <c r="BP100" s="3"/>
      <c r="BQ100" s="3"/>
      <c r="BR100" s="3"/>
      <c r="BS100" s="3"/>
      <c r="BT100" s="3"/>
      <c r="BU100" s="3"/>
      <c r="BV100" s="3"/>
      <c r="BW100" s="3"/>
    </row>
    <row r="101" spans="1:75" x14ac:dyDescent="0.3">
      <c r="A101" s="70"/>
      <c r="B101" s="9"/>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6"/>
      <c r="AC101" s="41"/>
      <c r="AD101" s="7"/>
      <c r="AE101" s="7"/>
      <c r="AF101" s="7"/>
      <c r="AG101" s="7"/>
      <c r="AH101" s="7"/>
      <c r="AI101" s="7"/>
      <c r="AJ101" s="7"/>
      <c r="AK101" s="7"/>
      <c r="AL101" s="7"/>
      <c r="AM101" s="7"/>
      <c r="AN101" s="7"/>
      <c r="AO101" s="7"/>
      <c r="AP101" s="7"/>
      <c r="AQ101" s="7"/>
      <c r="AR101" s="7"/>
      <c r="AS101" s="76"/>
      <c r="AT101" s="7"/>
      <c r="AU101" s="7"/>
      <c r="AV101" s="7"/>
      <c r="AW101" s="7"/>
      <c r="AX101" s="7"/>
      <c r="AY101" s="7"/>
      <c r="AZ101" s="7"/>
      <c r="BA101" s="7"/>
      <c r="BB101" s="7"/>
      <c r="BC101" s="7"/>
      <c r="BD101" s="7"/>
      <c r="BE101" s="7"/>
      <c r="BF101" s="3"/>
      <c r="BG101" s="3"/>
      <c r="BH101" s="3"/>
      <c r="BI101" s="3"/>
      <c r="BJ101" s="3"/>
      <c r="BK101" s="3"/>
      <c r="BL101" s="3"/>
      <c r="BM101" s="3"/>
      <c r="BN101" s="3"/>
      <c r="BO101" s="3"/>
      <c r="BP101" s="3"/>
      <c r="BQ101" s="3"/>
      <c r="BR101" s="3"/>
      <c r="BS101" s="3"/>
      <c r="BT101" s="3"/>
      <c r="BU101" s="3"/>
      <c r="BV101" s="3"/>
      <c r="BW101" s="3"/>
    </row>
    <row r="102" spans="1:75" x14ac:dyDescent="0.3">
      <c r="A102" s="70" t="s">
        <v>100</v>
      </c>
      <c r="B102" s="9" t="s">
        <v>101</v>
      </c>
      <c r="C102" s="7"/>
      <c r="D102" s="7"/>
      <c r="E102" s="7"/>
      <c r="F102" s="71"/>
      <c r="G102" s="51"/>
      <c r="H102" s="52"/>
      <c r="I102" s="53"/>
      <c r="J102" s="52"/>
      <c r="K102" s="53"/>
      <c r="L102" s="66"/>
      <c r="M102" s="23"/>
      <c r="N102" s="51"/>
      <c r="O102" s="52"/>
      <c r="P102" s="53"/>
      <c r="Q102" s="52"/>
      <c r="R102" s="53"/>
      <c r="S102" s="66"/>
      <c r="T102" s="3"/>
      <c r="U102" s="51"/>
      <c r="V102" s="52"/>
      <c r="W102" s="53"/>
      <c r="X102" s="52"/>
      <c r="Y102" s="53"/>
      <c r="Z102" s="66"/>
      <c r="AA102" s="3"/>
      <c r="AB102" s="62"/>
      <c r="AC102" s="52"/>
      <c r="AD102" s="7"/>
      <c r="AE102" s="7"/>
      <c r="AF102" s="88" t="str">
        <f t="shared" ref="AF102:AF107" si="146">A102&amp;" "&amp;B102</f>
        <v>13 ¿En que medida dialogas con tus padres?:</v>
      </c>
      <c r="AG102" s="7"/>
      <c r="AH102" s="7"/>
      <c r="AI102" s="7"/>
      <c r="AJ102" s="7"/>
      <c r="AK102" s="7"/>
      <c r="AL102" s="7"/>
      <c r="AM102" s="7"/>
      <c r="AN102" s="7"/>
      <c r="AO102" s="7"/>
      <c r="AP102" s="7"/>
      <c r="AQ102" s="7"/>
      <c r="AR102" s="7"/>
      <c r="AS102" s="76"/>
      <c r="AT102" s="7"/>
      <c r="AU102" s="7"/>
      <c r="AV102" s="7"/>
      <c r="AW102" s="7"/>
      <c r="AX102" s="7"/>
      <c r="AY102" s="7"/>
      <c r="AZ102" s="7"/>
      <c r="BA102" s="7"/>
      <c r="BB102" s="7"/>
      <c r="BC102" s="7"/>
      <c r="BD102" s="7"/>
      <c r="BE102" s="7"/>
      <c r="BF102" s="3"/>
      <c r="BG102" s="3"/>
      <c r="BH102" s="3"/>
      <c r="BI102" s="3"/>
      <c r="BJ102" s="3"/>
      <c r="BK102" s="3"/>
      <c r="BL102" s="3"/>
      <c r="BM102" s="3"/>
      <c r="BN102" s="3"/>
      <c r="BO102" s="3"/>
      <c r="BP102" s="3"/>
      <c r="BQ102" s="3"/>
      <c r="BR102" s="3"/>
      <c r="BS102" s="3"/>
      <c r="BT102" s="3"/>
      <c r="BU102" s="3"/>
      <c r="BV102" s="3"/>
      <c r="BW102" s="3"/>
    </row>
    <row r="103" spans="1:75" x14ac:dyDescent="0.3">
      <c r="A103" s="8" t="s">
        <v>17</v>
      </c>
      <c r="B103" s="9" t="s">
        <v>102</v>
      </c>
      <c r="C103" s="7"/>
      <c r="D103" s="7"/>
      <c r="E103" s="7"/>
      <c r="F103" s="71">
        <v>100</v>
      </c>
      <c r="G103" s="51">
        <f>I103+K103</f>
        <v>25</v>
      </c>
      <c r="H103" s="52">
        <f>G103/$J$5*100</f>
        <v>59.523809523809526</v>
      </c>
      <c r="I103" s="53">
        <f>COUNTIFS('00 Encuesta'!$B$2:$B$511,"*f)*",'00 Encuesta'!$C$2:$C$511,"*a)*",'00 Encuesta'!$E$2:$E$511,"*a)*",'00 Encuesta'!$O$2:$O$511,"*a)*")</f>
        <v>13</v>
      </c>
      <c r="J103" s="52">
        <f>I103/$J$6*100</f>
        <v>59.090909090909093</v>
      </c>
      <c r="K103" s="53">
        <f>COUNTIFS('00 Encuesta'!$B$2:$B$511,"*f)*",'00 Encuesta'!$C$2:$C$511,"*a)*",'00 Encuesta'!$E$2:$E$511,"*b)*",'00 Encuesta'!$O$2:$O$511,"*a)*")</f>
        <v>12</v>
      </c>
      <c r="L103" s="52">
        <f>K103/$J$7*100</f>
        <v>60</v>
      </c>
      <c r="M103" s="23"/>
      <c r="N103" s="51">
        <f>P103+R103</f>
        <v>0</v>
      </c>
      <c r="O103" s="52" t="e">
        <f>N103/$Q$5*100</f>
        <v>#DIV/0!</v>
      </c>
      <c r="P103" s="53">
        <f>COUNTIFS('00 Encuesta'!$B$2:$B$511,"*f)*",'00 Encuesta'!$C$2:$C$511,"*b)*",'00 Encuesta'!$E$2:$E$511,"*a)*",'00 Encuesta'!$O$2:$O$511,"*a)*")</f>
        <v>0</v>
      </c>
      <c r="Q103" s="52" t="e">
        <f>P103/$Q$6*100</f>
        <v>#DIV/0!</v>
      </c>
      <c r="R103" s="53">
        <f>COUNTIFS('00 Encuesta'!$B$2:$B$511,"*f)*",'00 Encuesta'!$C$2:$C$511,"*b)*",'00 Encuesta'!$E$2:$E$511,"*b)*",'00 Encuesta'!$O$2:$O$511,"*a)*")</f>
        <v>0</v>
      </c>
      <c r="S103" s="52" t="e">
        <f>R103/$Q$7*100</f>
        <v>#DIV/0!</v>
      </c>
      <c r="T103" s="3"/>
      <c r="U103" s="51">
        <f>W103+Y103</f>
        <v>0</v>
      </c>
      <c r="V103" s="52" t="e">
        <f>U103/$X$5*100</f>
        <v>#DIV/0!</v>
      </c>
      <c r="W103" s="53">
        <f>COUNTIFS('00 Encuesta'!$B$2:$B$511,"*f)*",'00 Encuesta'!$C$2:$C$511,"*c)*",'00 Encuesta'!$E$2:$E$511,"*a)*",'00 Encuesta'!$O$2:$O$511,"*a)*")</f>
        <v>0</v>
      </c>
      <c r="X103" s="52" t="e">
        <f>W103/$X$6*100</f>
        <v>#DIV/0!</v>
      </c>
      <c r="Y103" s="53">
        <f>COUNTIFS('00 Encuesta'!$B$2:$B$511,"*f)*",'00 Encuesta'!$C$2:$C$511,"*c)*",'00 Encuesta'!$E$2:$E$511,"*b)*",'00 Encuesta'!$O$2:$O$511,"*a)*")</f>
        <v>0</v>
      </c>
      <c r="Z103" s="52" t="e">
        <f>Y103/$X$7*100</f>
        <v>#DIV/0!</v>
      </c>
      <c r="AA103" s="3"/>
      <c r="AB103" s="62">
        <f>G103+N103+U103</f>
        <v>25</v>
      </c>
      <c r="AC103" s="52">
        <f>AB103*100/$AC$5</f>
        <v>59.523809523809526</v>
      </c>
      <c r="AD103" s="7"/>
      <c r="AE103" s="7"/>
      <c r="AF103" s="9" t="str">
        <f t="shared" si="146"/>
        <v>a) Mucho</v>
      </c>
      <c r="AG103" s="72">
        <f>J103</f>
        <v>59.090909090909093</v>
      </c>
      <c r="AH103" s="72">
        <f>L103</f>
        <v>60</v>
      </c>
      <c r="AI103" s="73">
        <f>H103</f>
        <v>59.523809523809526</v>
      </c>
      <c r="AJ103" s="73"/>
      <c r="AK103" s="76" t="e">
        <f>Q103</f>
        <v>#DIV/0!</v>
      </c>
      <c r="AL103" s="76" t="e">
        <f>S103</f>
        <v>#DIV/0!</v>
      </c>
      <c r="AM103" s="76" t="e">
        <f>O103</f>
        <v>#DIV/0!</v>
      </c>
      <c r="AN103" s="76"/>
      <c r="AO103" s="81" t="e">
        <f>X103</f>
        <v>#DIV/0!</v>
      </c>
      <c r="AP103" s="81" t="e">
        <f>Z103</f>
        <v>#DIV/0!</v>
      </c>
      <c r="AQ103" s="81" t="e">
        <f>V103</f>
        <v>#DIV/0!</v>
      </c>
      <c r="AR103" s="7"/>
      <c r="AS103" s="76">
        <f t="shared" si="121"/>
        <v>59.523809523809526</v>
      </c>
      <c r="AT103" s="7"/>
      <c r="AU103" s="7"/>
      <c r="AV103" s="7"/>
      <c r="AW103" s="7"/>
      <c r="AX103" s="7"/>
      <c r="AY103" s="7"/>
      <c r="AZ103" s="7"/>
      <c r="BA103" s="7"/>
      <c r="BB103" s="7"/>
      <c r="BC103" s="7"/>
      <c r="BD103" s="7"/>
      <c r="BE103" s="7"/>
      <c r="BF103" s="3"/>
      <c r="BG103" s="3"/>
      <c r="BH103" s="3"/>
      <c r="BI103" s="3"/>
      <c r="BJ103" s="3"/>
      <c r="BK103" s="3"/>
      <c r="BL103" s="3"/>
      <c r="BM103" s="3"/>
      <c r="BN103" s="3"/>
      <c r="BO103" s="3"/>
      <c r="BP103" s="3"/>
      <c r="BQ103" s="3"/>
      <c r="BR103" s="3"/>
      <c r="BS103" s="3"/>
      <c r="BT103" s="3"/>
      <c r="BU103" s="3"/>
      <c r="BV103" s="3"/>
      <c r="BW103" s="3"/>
    </row>
    <row r="104" spans="1:75" x14ac:dyDescent="0.3">
      <c r="A104" s="8" t="s">
        <v>18</v>
      </c>
      <c r="B104" s="9" t="s">
        <v>103</v>
      </c>
      <c r="C104" s="7"/>
      <c r="D104" s="7"/>
      <c r="E104" s="7"/>
      <c r="F104" s="71">
        <v>66.66</v>
      </c>
      <c r="G104" s="51">
        <f>I104+K104</f>
        <v>6</v>
      </c>
      <c r="H104" s="52">
        <f>G104/$J$5*100</f>
        <v>14.285714285714285</v>
      </c>
      <c r="I104" s="53">
        <f>COUNTIFS('00 Encuesta'!$B$2:$B$511,"*f)*",'00 Encuesta'!$C$2:$C$511,"*a)*",'00 Encuesta'!$E$2:$E$511,"*a)*",'00 Encuesta'!$O$2:$O$511,"*b)*")</f>
        <v>3</v>
      </c>
      <c r="J104" s="52">
        <f>I104/$J$6*100</f>
        <v>13.636363636363635</v>
      </c>
      <c r="K104" s="53">
        <f>COUNTIFS('00 Encuesta'!$B$2:$B$511,"*f)*",'00 Encuesta'!$C$2:$C$511,"*a)*",'00 Encuesta'!$E$2:$E$511,"*b)*",'00 Encuesta'!$O$2:$O$511,"*b)*")</f>
        <v>3</v>
      </c>
      <c r="L104" s="52">
        <f>K104/$J$7*100</f>
        <v>15</v>
      </c>
      <c r="M104" s="23"/>
      <c r="N104" s="51">
        <f>P104+R104</f>
        <v>0</v>
      </c>
      <c r="O104" s="52" t="e">
        <f>N104/$Q$5*100</f>
        <v>#DIV/0!</v>
      </c>
      <c r="P104" s="53">
        <f>COUNTIFS('00 Encuesta'!$B$2:$B$511,"*f)*",'00 Encuesta'!$C$2:$C$511,"*b)*",'00 Encuesta'!$E$2:$E$511,"*a)*",'00 Encuesta'!$O$2:$O$511,"*b)*")</f>
        <v>0</v>
      </c>
      <c r="Q104" s="52" t="e">
        <f>P104/$Q$6*100</f>
        <v>#DIV/0!</v>
      </c>
      <c r="R104" s="53">
        <f>COUNTIFS('00 Encuesta'!$B$2:$B$511,"*f)*",'00 Encuesta'!$C$2:$C$511,"*b)*",'00 Encuesta'!$E$2:$E$511,"*b)*",'00 Encuesta'!$O$2:$O$511,"*b)*")</f>
        <v>0</v>
      </c>
      <c r="S104" s="52" t="e">
        <f>R104/$Q$7*100</f>
        <v>#DIV/0!</v>
      </c>
      <c r="T104" s="3"/>
      <c r="U104" s="51">
        <f>W104+Y104</f>
        <v>0</v>
      </c>
      <c r="V104" s="52" t="e">
        <f>U104/$X$5*100</f>
        <v>#DIV/0!</v>
      </c>
      <c r="W104" s="53">
        <f>COUNTIFS('00 Encuesta'!$B$2:$B$511,"*f)*",'00 Encuesta'!$C$2:$C$511,"*c)*",'00 Encuesta'!$E$2:$E$511,"*a)*",'00 Encuesta'!$O$2:$O$511,"*b)*")</f>
        <v>0</v>
      </c>
      <c r="X104" s="52" t="e">
        <f>W104/$X$6*100</f>
        <v>#DIV/0!</v>
      </c>
      <c r="Y104" s="53">
        <f>COUNTIFS('00 Encuesta'!$B$2:$B$511,"*f)*",'00 Encuesta'!$C$2:$C$511,"*c)*",'00 Encuesta'!$E$2:$E$511,"*b)*",'00 Encuesta'!$O$2:$O$511,"*b)*")</f>
        <v>0</v>
      </c>
      <c r="Z104" s="52" t="e">
        <f>Y104/$X$7*100</f>
        <v>#DIV/0!</v>
      </c>
      <c r="AA104" s="3"/>
      <c r="AB104" s="62">
        <f>G104+N104+U104</f>
        <v>6</v>
      </c>
      <c r="AC104" s="52">
        <f>AB104*100/$AC$5</f>
        <v>14.285714285714286</v>
      </c>
      <c r="AD104" s="7"/>
      <c r="AE104" s="7"/>
      <c r="AF104" s="9" t="str">
        <f t="shared" si="146"/>
        <v>b) Suficiente</v>
      </c>
      <c r="AG104" s="72">
        <f>J104</f>
        <v>13.636363636363635</v>
      </c>
      <c r="AH104" s="72">
        <f>L104</f>
        <v>15</v>
      </c>
      <c r="AI104" s="73">
        <f>H104</f>
        <v>14.285714285714285</v>
      </c>
      <c r="AJ104" s="73"/>
      <c r="AK104" s="76" t="e">
        <f>Q104</f>
        <v>#DIV/0!</v>
      </c>
      <c r="AL104" s="76" t="e">
        <f>S104</f>
        <v>#DIV/0!</v>
      </c>
      <c r="AM104" s="76" t="e">
        <f>O104</f>
        <v>#DIV/0!</v>
      </c>
      <c r="AN104" s="76"/>
      <c r="AO104" s="81" t="e">
        <f>X104</f>
        <v>#DIV/0!</v>
      </c>
      <c r="AP104" s="81" t="e">
        <f>Z104</f>
        <v>#DIV/0!</v>
      </c>
      <c r="AQ104" s="81" t="e">
        <f>V104</f>
        <v>#DIV/0!</v>
      </c>
      <c r="AR104" s="7"/>
      <c r="AS104" s="76">
        <f t="shared" si="121"/>
        <v>14.285714285714286</v>
      </c>
      <c r="AT104" s="7"/>
      <c r="AU104" s="7"/>
      <c r="AV104" s="7"/>
      <c r="AW104" s="7"/>
      <c r="AX104" s="7"/>
      <c r="AY104" s="7"/>
      <c r="AZ104" s="7"/>
      <c r="BA104" s="7"/>
      <c r="BB104" s="7"/>
      <c r="BC104" s="7"/>
      <c r="BD104" s="7"/>
      <c r="BE104" s="7"/>
      <c r="BF104" s="3"/>
      <c r="BG104" s="3"/>
      <c r="BH104" s="3"/>
      <c r="BI104" s="3"/>
      <c r="BJ104" s="3"/>
      <c r="BK104" s="3"/>
      <c r="BL104" s="3"/>
      <c r="BM104" s="3"/>
      <c r="BN104" s="3"/>
      <c r="BO104" s="3"/>
      <c r="BP104" s="3"/>
      <c r="BQ104" s="3"/>
      <c r="BR104" s="3"/>
      <c r="BS104" s="3"/>
      <c r="BT104" s="3"/>
      <c r="BU104" s="3"/>
      <c r="BV104" s="3"/>
      <c r="BW104" s="3"/>
    </row>
    <row r="105" spans="1:75" x14ac:dyDescent="0.3">
      <c r="A105" s="8" t="s">
        <v>20</v>
      </c>
      <c r="B105" s="9" t="s">
        <v>104</v>
      </c>
      <c r="C105" s="7"/>
      <c r="D105" s="7"/>
      <c r="E105" s="7"/>
      <c r="F105" s="71">
        <v>33.33</v>
      </c>
      <c r="G105" s="51">
        <f>I105+K105</f>
        <v>9</v>
      </c>
      <c r="H105" s="52">
        <f>G105/$J$5*100</f>
        <v>21.428571428571427</v>
      </c>
      <c r="I105" s="53">
        <f>COUNTIFS('00 Encuesta'!$B$2:$B$511,"*f)*",'00 Encuesta'!$C$2:$C$511,"*a)*",'00 Encuesta'!$E$2:$E$511,"*a)*",'00 Encuesta'!$O$2:$O$511,"*c)*")</f>
        <v>5</v>
      </c>
      <c r="J105" s="52">
        <f>I105/$J$6*100</f>
        <v>22.727272727272727</v>
      </c>
      <c r="K105" s="53">
        <f>COUNTIFS('00 Encuesta'!$B$2:$B$511,"*f)*",'00 Encuesta'!$C$2:$C$511,"*a)*",'00 Encuesta'!$E$2:$E$511,"*b)*",'00 Encuesta'!$O$2:$O$511,"*c)*")</f>
        <v>4</v>
      </c>
      <c r="L105" s="52">
        <f>K105/$J$7*100</f>
        <v>20</v>
      </c>
      <c r="M105" s="23"/>
      <c r="N105" s="51">
        <f>P105+R105</f>
        <v>0</v>
      </c>
      <c r="O105" s="52" t="e">
        <f>N105/$Q$5*100</f>
        <v>#DIV/0!</v>
      </c>
      <c r="P105" s="53">
        <f>COUNTIFS('00 Encuesta'!$B$2:$B$511,"*f)*",'00 Encuesta'!$C$2:$C$511,"*b)*",'00 Encuesta'!$E$2:$E$511,"*a)*",'00 Encuesta'!$O$2:$O$511,"*c)*")</f>
        <v>0</v>
      </c>
      <c r="Q105" s="52" t="e">
        <f>P105/$Q$6*100</f>
        <v>#DIV/0!</v>
      </c>
      <c r="R105" s="53">
        <f>COUNTIFS('00 Encuesta'!$B$2:$B$511,"*f)*",'00 Encuesta'!$C$2:$C$511,"*b)*",'00 Encuesta'!$E$2:$E$511,"*b)*",'00 Encuesta'!$O$2:$O$511,"*c)*")</f>
        <v>0</v>
      </c>
      <c r="S105" s="52" t="e">
        <f>R105/$Q$7*100</f>
        <v>#DIV/0!</v>
      </c>
      <c r="T105" s="3"/>
      <c r="U105" s="51">
        <f>W105+Y105</f>
        <v>0</v>
      </c>
      <c r="V105" s="52" t="e">
        <f>U105/$X$5*100</f>
        <v>#DIV/0!</v>
      </c>
      <c r="W105" s="53">
        <f>COUNTIFS('00 Encuesta'!$B$2:$B$511,"*f)*",'00 Encuesta'!$C$2:$C$511,"*c)*",'00 Encuesta'!$E$2:$E$511,"*a)*",'00 Encuesta'!$O$2:$O$511,"*c)*")</f>
        <v>0</v>
      </c>
      <c r="X105" s="52" t="e">
        <f>W105/$X$6*100</f>
        <v>#DIV/0!</v>
      </c>
      <c r="Y105" s="53">
        <f>COUNTIFS('00 Encuesta'!$B$2:$B$511,"*f)*",'00 Encuesta'!$C$2:$C$511,"*c)*",'00 Encuesta'!$E$2:$E$511,"*b)*",'00 Encuesta'!$O$2:$O$511,"*c)*")</f>
        <v>0</v>
      </c>
      <c r="Z105" s="52" t="e">
        <f>Y105/$X$7*100</f>
        <v>#DIV/0!</v>
      </c>
      <c r="AA105" s="3"/>
      <c r="AB105" s="62">
        <f>G105+N105+U105</f>
        <v>9</v>
      </c>
      <c r="AC105" s="52">
        <f>AB105*100/$AC$5</f>
        <v>21.428571428571427</v>
      </c>
      <c r="AD105" s="7"/>
      <c r="AE105" s="7"/>
      <c r="AF105" s="9" t="str">
        <f t="shared" si="146"/>
        <v>c) Poco</v>
      </c>
      <c r="AG105" s="72">
        <f>J105</f>
        <v>22.727272727272727</v>
      </c>
      <c r="AH105" s="72">
        <f>L105</f>
        <v>20</v>
      </c>
      <c r="AI105" s="73">
        <f>H105</f>
        <v>21.428571428571427</v>
      </c>
      <c r="AJ105" s="73"/>
      <c r="AK105" s="76" t="e">
        <f>Q105</f>
        <v>#DIV/0!</v>
      </c>
      <c r="AL105" s="76" t="e">
        <f>S105</f>
        <v>#DIV/0!</v>
      </c>
      <c r="AM105" s="76" t="e">
        <f>O105</f>
        <v>#DIV/0!</v>
      </c>
      <c r="AN105" s="76"/>
      <c r="AO105" s="81" t="e">
        <f>X105</f>
        <v>#DIV/0!</v>
      </c>
      <c r="AP105" s="81" t="e">
        <f>Z105</f>
        <v>#DIV/0!</v>
      </c>
      <c r="AQ105" s="81" t="e">
        <f>V105</f>
        <v>#DIV/0!</v>
      </c>
      <c r="AR105" s="7"/>
      <c r="AS105" s="76">
        <f t="shared" si="121"/>
        <v>21.428571428571427</v>
      </c>
      <c r="AT105" s="7"/>
      <c r="AU105" s="7"/>
      <c r="AV105" s="7"/>
      <c r="AW105" s="7"/>
      <c r="AX105" s="7"/>
      <c r="AY105" s="7"/>
      <c r="AZ105" s="7"/>
      <c r="BA105" s="7"/>
      <c r="BB105" s="7"/>
      <c r="BC105" s="7"/>
      <c r="BD105" s="7"/>
      <c r="BE105" s="7"/>
      <c r="BF105" s="3"/>
      <c r="BG105" s="3"/>
      <c r="BH105" s="3"/>
      <c r="BI105" s="3"/>
      <c r="BJ105" s="3"/>
      <c r="BK105" s="3"/>
      <c r="BL105" s="3"/>
      <c r="BM105" s="3"/>
      <c r="BN105" s="3"/>
      <c r="BO105" s="3"/>
      <c r="BP105" s="3"/>
      <c r="BQ105" s="3"/>
      <c r="BR105" s="3"/>
      <c r="BS105" s="3"/>
      <c r="BT105" s="3"/>
      <c r="BU105" s="3"/>
      <c r="BV105" s="3"/>
      <c r="BW105" s="3"/>
    </row>
    <row r="106" spans="1:75" x14ac:dyDescent="0.3">
      <c r="A106" s="8" t="s">
        <v>21</v>
      </c>
      <c r="B106" s="9" t="s">
        <v>105</v>
      </c>
      <c r="C106" s="7"/>
      <c r="D106" s="7"/>
      <c r="E106" s="7"/>
      <c r="F106" s="71">
        <v>0</v>
      </c>
      <c r="G106" s="51">
        <f>I106+K106</f>
        <v>1</v>
      </c>
      <c r="H106" s="52">
        <f>G106/$J$5*100</f>
        <v>2.3809523809523809</v>
      </c>
      <c r="I106" s="53">
        <f>COUNTIFS('00 Encuesta'!$B$2:$B$511,"*f)*",'00 Encuesta'!$C$2:$C$511,"*a)*",'00 Encuesta'!$E$2:$E$511,"*a)*",'00 Encuesta'!$O$2:$O$511,"*d)*")</f>
        <v>0</v>
      </c>
      <c r="J106" s="52">
        <f>I106/$J$6*100</f>
        <v>0</v>
      </c>
      <c r="K106" s="53">
        <f>COUNTIFS('00 Encuesta'!$B$2:$B$511,"*f)*",'00 Encuesta'!$C$2:$C$511,"*a)*",'00 Encuesta'!$E$2:$E$511,"*b)*",'00 Encuesta'!$O$2:$O$511,"*d)*")</f>
        <v>1</v>
      </c>
      <c r="L106" s="52">
        <f>K106/$J$7*100</f>
        <v>5</v>
      </c>
      <c r="M106" s="23"/>
      <c r="N106" s="51">
        <f>P106+R106</f>
        <v>0</v>
      </c>
      <c r="O106" s="52" t="e">
        <f>N106/$Q$5*100</f>
        <v>#DIV/0!</v>
      </c>
      <c r="P106" s="53">
        <f>COUNTIFS('00 Encuesta'!$B$2:$B$511,"*f)*",'00 Encuesta'!$C$2:$C$511,"*b)*",'00 Encuesta'!$E$2:$E$511,"*a)*",'00 Encuesta'!$O$2:$O$511,"*d)*")</f>
        <v>0</v>
      </c>
      <c r="Q106" s="52" t="e">
        <f>P106/$Q$6*100</f>
        <v>#DIV/0!</v>
      </c>
      <c r="R106" s="53">
        <f>COUNTIFS('00 Encuesta'!$B$2:$B$511,"*f)*",'00 Encuesta'!$C$2:$C$511,"*b)*",'00 Encuesta'!$E$2:$E$511,"*b)*",'00 Encuesta'!$O$2:$O$511,"*d)*")</f>
        <v>0</v>
      </c>
      <c r="S106" s="52" t="e">
        <f>R106/$Q$7*100</f>
        <v>#DIV/0!</v>
      </c>
      <c r="T106" s="3"/>
      <c r="U106" s="51">
        <f>W106+Y106</f>
        <v>0</v>
      </c>
      <c r="V106" s="52" t="e">
        <f>U106/$X$5*100</f>
        <v>#DIV/0!</v>
      </c>
      <c r="W106" s="53">
        <f>COUNTIFS('00 Encuesta'!$B$2:$B$511,"*f)*",'00 Encuesta'!$C$2:$C$511,"*c)*",'00 Encuesta'!$E$2:$E$511,"*a)*",'00 Encuesta'!$O$2:$O$511,"*d)*")</f>
        <v>0</v>
      </c>
      <c r="X106" s="52" t="e">
        <f>W106/$X$6*100</f>
        <v>#DIV/0!</v>
      </c>
      <c r="Y106" s="53">
        <f>COUNTIFS('00 Encuesta'!$B$2:$B$511,"*f)*",'00 Encuesta'!$C$2:$C$511,"*c)*",'00 Encuesta'!$E$2:$E$511,"*b)*",'00 Encuesta'!$O$2:$O$511,"*d)*")</f>
        <v>0</v>
      </c>
      <c r="Z106" s="52" t="e">
        <f>Y106/$X$7*100</f>
        <v>#DIV/0!</v>
      </c>
      <c r="AA106" s="3"/>
      <c r="AB106" s="62">
        <f>G106+N106+U106</f>
        <v>1</v>
      </c>
      <c r="AC106" s="52">
        <f>AB106*100/$AC$5</f>
        <v>2.3809523809523809</v>
      </c>
      <c r="AD106" s="7"/>
      <c r="AE106" s="7"/>
      <c r="AF106" s="9" t="str">
        <f t="shared" si="146"/>
        <v>d) Nada</v>
      </c>
      <c r="AG106" s="72">
        <f>J106</f>
        <v>0</v>
      </c>
      <c r="AH106" s="72">
        <f>L106</f>
        <v>5</v>
      </c>
      <c r="AI106" s="73">
        <f>H106</f>
        <v>2.3809523809523809</v>
      </c>
      <c r="AJ106" s="73"/>
      <c r="AK106" s="76" t="e">
        <f>Q106</f>
        <v>#DIV/0!</v>
      </c>
      <c r="AL106" s="76" t="e">
        <f>S106</f>
        <v>#DIV/0!</v>
      </c>
      <c r="AM106" s="76" t="e">
        <f>O106</f>
        <v>#DIV/0!</v>
      </c>
      <c r="AN106" s="76"/>
      <c r="AO106" s="81" t="e">
        <f>X106</f>
        <v>#DIV/0!</v>
      </c>
      <c r="AP106" s="81" t="e">
        <f>Z106</f>
        <v>#DIV/0!</v>
      </c>
      <c r="AQ106" s="81" t="e">
        <f>V106</f>
        <v>#DIV/0!</v>
      </c>
      <c r="AR106" s="7"/>
      <c r="AS106" s="76">
        <f t="shared" si="121"/>
        <v>2.3809523809523809</v>
      </c>
      <c r="AT106" s="7"/>
      <c r="AU106" s="7"/>
      <c r="AV106" s="7"/>
      <c r="AW106" s="7"/>
      <c r="AX106" s="7"/>
      <c r="AY106" s="7"/>
      <c r="AZ106" s="7"/>
      <c r="BA106" s="7"/>
      <c r="BB106" s="7"/>
      <c r="BC106" s="7"/>
      <c r="BD106" s="7"/>
      <c r="BE106" s="7"/>
      <c r="BF106" s="3"/>
      <c r="BG106" s="3"/>
      <c r="BH106" s="3"/>
      <c r="BI106" s="3"/>
      <c r="BJ106" s="3"/>
      <c r="BK106" s="3"/>
      <c r="BL106" s="3"/>
      <c r="BM106" s="3"/>
      <c r="BN106" s="3"/>
      <c r="BO106" s="3"/>
      <c r="BP106" s="3"/>
      <c r="BQ106" s="3"/>
      <c r="BR106" s="3"/>
      <c r="BS106" s="3"/>
      <c r="BT106" s="3"/>
      <c r="BU106" s="3"/>
      <c r="BV106" s="3"/>
      <c r="BW106" s="3"/>
    </row>
    <row r="107" spans="1:75" x14ac:dyDescent="0.3">
      <c r="A107" s="8" t="s">
        <v>23</v>
      </c>
      <c r="B107" s="9" t="s">
        <v>24</v>
      </c>
      <c r="C107" s="7"/>
      <c r="D107" s="7"/>
      <c r="E107" s="7"/>
      <c r="F107" s="71"/>
      <c r="G107" s="51">
        <f>I107+K107</f>
        <v>0</v>
      </c>
      <c r="H107" s="52">
        <f>G107/$J$5*100</f>
        <v>0</v>
      </c>
      <c r="I107" s="53"/>
      <c r="J107" s="52">
        <f>I107/$J$6*100</f>
        <v>0</v>
      </c>
      <c r="K107" s="53"/>
      <c r="L107" s="52">
        <f>K107/$J$7*100</f>
        <v>0</v>
      </c>
      <c r="M107" s="23"/>
      <c r="N107" s="51">
        <f>P107+R107</f>
        <v>0</v>
      </c>
      <c r="O107" s="52" t="e">
        <f>N107/$Q$5*100</f>
        <v>#DIV/0!</v>
      </c>
      <c r="P107" s="53"/>
      <c r="Q107" s="52" t="e">
        <f>P107/$Q$6*100</f>
        <v>#DIV/0!</v>
      </c>
      <c r="R107" s="53"/>
      <c r="S107" s="52" t="e">
        <f>R107/$Q$7*100</f>
        <v>#DIV/0!</v>
      </c>
      <c r="T107" s="3"/>
      <c r="U107" s="51">
        <f>W107+Y107</f>
        <v>0</v>
      </c>
      <c r="V107" s="52" t="e">
        <f>U107/$X$5*100</f>
        <v>#DIV/0!</v>
      </c>
      <c r="W107" s="53"/>
      <c r="X107" s="52" t="e">
        <f>W107/$X$6*100</f>
        <v>#DIV/0!</v>
      </c>
      <c r="Y107" s="53"/>
      <c r="Z107" s="52" t="e">
        <f>Y107/$X$7*100</f>
        <v>#DIV/0!</v>
      </c>
      <c r="AA107" s="3"/>
      <c r="AB107" s="62">
        <f>G107+N107+U107</f>
        <v>0</v>
      </c>
      <c r="AC107" s="52">
        <f>AB107*100/$AC$5</f>
        <v>0</v>
      </c>
      <c r="AD107" s="7"/>
      <c r="AE107" s="7"/>
      <c r="AF107" s="9" t="str">
        <f t="shared" si="146"/>
        <v>S/R Sin Respuesta</v>
      </c>
      <c r="AG107" s="72">
        <f>J107</f>
        <v>0</v>
      </c>
      <c r="AH107" s="72">
        <f>L107</f>
        <v>0</v>
      </c>
      <c r="AI107" s="73">
        <f>H107</f>
        <v>0</v>
      </c>
      <c r="AJ107" s="73"/>
      <c r="AK107" s="76" t="e">
        <f>Q107</f>
        <v>#DIV/0!</v>
      </c>
      <c r="AL107" s="76" t="e">
        <f>S107</f>
        <v>#DIV/0!</v>
      </c>
      <c r="AM107" s="76" t="e">
        <f>O107</f>
        <v>#DIV/0!</v>
      </c>
      <c r="AN107" s="76"/>
      <c r="AO107" s="81" t="e">
        <f>X107</f>
        <v>#DIV/0!</v>
      </c>
      <c r="AP107" s="81" t="e">
        <f>Z107</f>
        <v>#DIV/0!</v>
      </c>
      <c r="AQ107" s="81" t="e">
        <f>V107</f>
        <v>#DIV/0!</v>
      </c>
      <c r="AR107" s="7"/>
      <c r="AS107" s="76">
        <f t="shared" si="121"/>
        <v>0</v>
      </c>
      <c r="AT107" s="7"/>
      <c r="AU107" s="7"/>
      <c r="AV107" s="7"/>
      <c r="AW107" s="7"/>
      <c r="AX107" s="7"/>
      <c r="AY107" s="7"/>
      <c r="AZ107" s="7"/>
      <c r="BA107" s="7"/>
      <c r="BB107" s="7"/>
      <c r="BC107" s="7"/>
      <c r="BD107" s="7"/>
      <c r="BE107" s="7"/>
      <c r="BF107" s="3"/>
      <c r="BG107" s="3"/>
      <c r="BH107" s="3"/>
      <c r="BI107" s="3"/>
      <c r="BJ107" s="3"/>
      <c r="BK107" s="3"/>
      <c r="BL107" s="3"/>
      <c r="BM107" s="3"/>
      <c r="BN107" s="3"/>
      <c r="BO107" s="3"/>
      <c r="BP107" s="3"/>
      <c r="BQ107" s="3"/>
      <c r="BR107" s="3"/>
      <c r="BS107" s="3"/>
      <c r="BT107" s="3"/>
      <c r="BU107" s="3"/>
      <c r="BV107" s="3"/>
      <c r="BW107" s="3"/>
    </row>
    <row r="108" spans="1:75" x14ac:dyDescent="0.3">
      <c r="A108" s="8"/>
      <c r="B108" s="9"/>
      <c r="C108" s="7"/>
      <c r="D108" s="7"/>
      <c r="E108" s="7"/>
      <c r="F108" s="71"/>
      <c r="G108" s="23"/>
      <c r="H108" s="22"/>
      <c r="I108" s="23"/>
      <c r="J108" s="22"/>
      <c r="K108" s="23"/>
      <c r="L108" s="22"/>
      <c r="M108" s="23"/>
      <c r="N108" s="23"/>
      <c r="O108" s="22"/>
      <c r="P108" s="23"/>
      <c r="Q108" s="22"/>
      <c r="R108" s="23"/>
      <c r="S108" s="22"/>
      <c r="T108" s="3"/>
      <c r="U108" s="23"/>
      <c r="V108" s="22"/>
      <c r="W108" s="23"/>
      <c r="X108" s="22"/>
      <c r="Y108" s="23"/>
      <c r="Z108" s="22"/>
      <c r="AA108" s="3"/>
      <c r="AB108" s="24"/>
      <c r="AC108" s="22"/>
      <c r="AD108" s="7"/>
      <c r="AE108" s="7"/>
      <c r="AF108" s="7"/>
      <c r="AG108" s="82">
        <f>(+$F103*I103+$F104*I104+$F105*I105+$F106*I106)/(+I103+I104+I105+I106)</f>
        <v>79.363333333333344</v>
      </c>
      <c r="AH108" s="82">
        <f>($F103*K103+$F104*K104+$F105*K105+$F106*K106)/(+K103+K104+K105+K106)</f>
        <v>76.664999999999992</v>
      </c>
      <c r="AI108" s="82">
        <f>($F103*G103+$F104*G104+$F105*G105+$F106*G106)/(G103+G104+G105+G106)</f>
        <v>78.047073170731707</v>
      </c>
      <c r="AJ108" s="82"/>
      <c r="AK108" s="82" t="e">
        <f>($F103*P103+$F104*P104+$F105*P105+$F106*P106)/(P103+P104+P105+P106)</f>
        <v>#DIV/0!</v>
      </c>
      <c r="AL108" s="82" t="e">
        <f>($F103*R103+$F104*R104+$F105*R105+$F106*R106)/(R103+R104+R105+R106)</f>
        <v>#DIV/0!</v>
      </c>
      <c r="AM108" s="82" t="e">
        <f>($F103*N103+$F104*N104+$F105*N105+$F106*N106)/(N103+N104+N105+N106)</f>
        <v>#DIV/0!</v>
      </c>
      <c r="AN108" s="82"/>
      <c r="AO108" s="82" t="e">
        <f>($F103*W103+$F104*W104+$F105*W105+$F106*W106)/(W103+W104+W105+W106)</f>
        <v>#DIV/0!</v>
      </c>
      <c r="AP108" s="82" t="e">
        <f>($F103*Y103+$F104*Y104+$F105*Y105+$F106*Y106)/(Y103+Y104+Y105+Y106)</f>
        <v>#DIV/0!</v>
      </c>
      <c r="AQ108" s="82" t="e">
        <f>($F103*U103+$F104*U104+$F105*U105+$F106*U106)/(U103+U104+U105+U106)</f>
        <v>#DIV/0!</v>
      </c>
      <c r="AR108" s="7"/>
      <c r="AS108" s="76">
        <f t="shared" si="121"/>
        <v>0</v>
      </c>
      <c r="AT108" s="7"/>
      <c r="AU108" s="7"/>
      <c r="AV108" s="7"/>
      <c r="AW108" s="7"/>
      <c r="AX108" s="7"/>
      <c r="AY108" s="7"/>
      <c r="AZ108" s="7"/>
      <c r="BA108" s="7"/>
      <c r="BB108" s="7"/>
      <c r="BC108" s="7"/>
      <c r="BD108" s="7"/>
      <c r="BE108" s="7"/>
      <c r="BF108" s="3"/>
      <c r="BG108" s="3"/>
      <c r="BH108" s="3"/>
      <c r="BI108" s="3"/>
      <c r="BJ108" s="3"/>
      <c r="BK108" s="3"/>
      <c r="BL108" s="3"/>
      <c r="BM108" s="3"/>
      <c r="BN108" s="3"/>
      <c r="BO108" s="3"/>
      <c r="BP108" s="3"/>
      <c r="BQ108" s="3"/>
      <c r="BR108" s="3"/>
      <c r="BS108" s="3"/>
      <c r="BT108" s="3"/>
      <c r="BU108" s="3"/>
      <c r="BV108" s="3"/>
      <c r="BW108" s="3"/>
    </row>
    <row r="109" spans="1:75" x14ac:dyDescent="0.3">
      <c r="A109" s="70"/>
      <c r="B109" s="9"/>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6"/>
      <c r="AC109" s="41"/>
      <c r="AD109" s="7"/>
      <c r="AE109" s="7"/>
      <c r="AF109" s="7"/>
      <c r="AG109" s="7"/>
      <c r="AH109" s="7"/>
      <c r="AI109" s="7"/>
      <c r="AJ109" s="7"/>
      <c r="AK109" s="7"/>
      <c r="AL109" s="7"/>
      <c r="AM109" s="7"/>
      <c r="AN109" s="7"/>
      <c r="AO109" s="7"/>
      <c r="AP109" s="7"/>
      <c r="AQ109" s="7"/>
      <c r="AR109" s="7"/>
      <c r="AS109" s="76"/>
      <c r="AT109" s="7"/>
      <c r="AU109" s="7"/>
      <c r="AV109" s="7"/>
      <c r="AW109" s="7"/>
      <c r="AX109" s="7"/>
      <c r="AY109" s="7"/>
      <c r="AZ109" s="7"/>
      <c r="BA109" s="7"/>
      <c r="BB109" s="7"/>
      <c r="BC109" s="7"/>
      <c r="BD109" s="7"/>
      <c r="BE109" s="7"/>
      <c r="BF109" s="3"/>
      <c r="BG109" s="3"/>
      <c r="BH109" s="3"/>
      <c r="BI109" s="3"/>
      <c r="BJ109" s="3"/>
      <c r="BK109" s="3"/>
      <c r="BL109" s="3"/>
      <c r="BM109" s="3"/>
      <c r="BN109" s="3"/>
      <c r="BO109" s="3"/>
      <c r="BP109" s="3"/>
      <c r="BQ109" s="3"/>
      <c r="BR109" s="3"/>
      <c r="BS109" s="3"/>
      <c r="BT109" s="3"/>
      <c r="BU109" s="3"/>
      <c r="BV109" s="3"/>
      <c r="BW109" s="3"/>
    </row>
    <row r="110" spans="1:75" x14ac:dyDescent="0.3">
      <c r="A110" s="70" t="s">
        <v>106</v>
      </c>
      <c r="B110" s="9" t="s">
        <v>107</v>
      </c>
      <c r="C110" s="7"/>
      <c r="D110" s="7"/>
      <c r="E110" s="7"/>
      <c r="F110" s="71"/>
      <c r="G110" s="51"/>
      <c r="H110" s="52"/>
      <c r="I110" s="53"/>
      <c r="J110" s="52"/>
      <c r="K110" s="53"/>
      <c r="L110" s="66"/>
      <c r="M110" s="23"/>
      <c r="N110" s="51"/>
      <c r="O110" s="52"/>
      <c r="P110" s="53"/>
      <c r="Q110" s="52"/>
      <c r="R110" s="53"/>
      <c r="S110" s="66"/>
      <c r="T110" s="3"/>
      <c r="U110" s="51"/>
      <c r="V110" s="52"/>
      <c r="W110" s="53"/>
      <c r="X110" s="52"/>
      <c r="Y110" s="53"/>
      <c r="Z110" s="66"/>
      <c r="AA110" s="3"/>
      <c r="AB110" s="62"/>
      <c r="AC110" s="52"/>
      <c r="AD110" s="7"/>
      <c r="AE110" s="7"/>
      <c r="AF110" s="88" t="str">
        <f t="shared" ref="AF110:AF115" si="147">A110&amp;" "&amp;B110</f>
        <v>14 En que medida contribuyes en los oficios de tu casa?:</v>
      </c>
      <c r="AG110" s="7"/>
      <c r="AH110" s="7"/>
      <c r="AI110" s="7"/>
      <c r="AJ110" s="7"/>
      <c r="AK110" s="7"/>
      <c r="AL110" s="7"/>
      <c r="AM110" s="7"/>
      <c r="AN110" s="7"/>
      <c r="AO110" s="7"/>
      <c r="AP110" s="7"/>
      <c r="AQ110" s="7"/>
      <c r="AR110" s="7"/>
      <c r="AS110" s="76"/>
      <c r="AT110" s="7"/>
      <c r="AU110" s="7"/>
      <c r="AV110" s="7"/>
      <c r="AW110" s="7"/>
      <c r="AX110" s="7"/>
      <c r="AY110" s="7"/>
      <c r="AZ110" s="7"/>
      <c r="BA110" s="7"/>
      <c r="BB110" s="7"/>
      <c r="BC110" s="7"/>
      <c r="BD110" s="7"/>
      <c r="BE110" s="7"/>
      <c r="BF110" s="3"/>
      <c r="BG110" s="3"/>
      <c r="BH110" s="3"/>
      <c r="BI110" s="3"/>
      <c r="BJ110" s="3"/>
      <c r="BK110" s="3"/>
      <c r="BL110" s="3"/>
      <c r="BM110" s="3"/>
      <c r="BN110" s="3"/>
      <c r="BO110" s="3"/>
      <c r="BP110" s="3"/>
      <c r="BQ110" s="3"/>
      <c r="BR110" s="3"/>
      <c r="BS110" s="3"/>
      <c r="BT110" s="3"/>
      <c r="BU110" s="3"/>
      <c r="BV110" s="3"/>
      <c r="BW110" s="3"/>
    </row>
    <row r="111" spans="1:75" x14ac:dyDescent="0.3">
      <c r="A111" s="8" t="s">
        <v>17</v>
      </c>
      <c r="B111" s="9" t="s">
        <v>102</v>
      </c>
      <c r="C111" s="7"/>
      <c r="D111" s="7"/>
      <c r="E111" s="7"/>
      <c r="F111" s="71">
        <v>100</v>
      </c>
      <c r="G111" s="51">
        <f>I111+K111</f>
        <v>11</v>
      </c>
      <c r="H111" s="52">
        <f>G111/$J$5*100</f>
        <v>26.190476190476193</v>
      </c>
      <c r="I111" s="53">
        <f>COUNTIFS('00 Encuesta'!$B$2:$B$511,"*f)*",'00 Encuesta'!$C$2:$C$511,"*a)*",'00 Encuesta'!$E$2:$E$511,"*a)*",'00 Encuesta'!$P$2:$P$511,"*a)*")</f>
        <v>7</v>
      </c>
      <c r="J111" s="52">
        <f>I111/$J$6*100</f>
        <v>31.818181818181817</v>
      </c>
      <c r="K111" s="53">
        <f>COUNTIFS('00 Encuesta'!$B$2:$B$511,"*f)*",'00 Encuesta'!$C$2:$C$511,"*a)*",'00 Encuesta'!$E$2:$E$511,"*b)*",'00 Encuesta'!$P$2:$P$511,"*a)*")</f>
        <v>4</v>
      </c>
      <c r="L111" s="52">
        <f>K111/$J$7*100</f>
        <v>20</v>
      </c>
      <c r="M111" s="23"/>
      <c r="N111" s="51">
        <f>P111+R111</f>
        <v>0</v>
      </c>
      <c r="O111" s="52" t="e">
        <f>N111/$Q$5*100</f>
        <v>#DIV/0!</v>
      </c>
      <c r="P111" s="53">
        <f>COUNTIFS('00 Encuesta'!$B$2:$B$511,"*f)*",'00 Encuesta'!$C$2:$C$511,"*b)*",'00 Encuesta'!$E$2:$E$511,"*a)*",'00 Encuesta'!$P$2:$P$511,"*a)*")</f>
        <v>0</v>
      </c>
      <c r="Q111" s="52" t="e">
        <f>P111/$Q$6*100</f>
        <v>#DIV/0!</v>
      </c>
      <c r="R111" s="53">
        <f>COUNTIFS('00 Encuesta'!$B$2:$B$511,"*f)*",'00 Encuesta'!$C$2:$C$511,"*b)*",'00 Encuesta'!$E$2:$E$511,"*b)*",'00 Encuesta'!$P$2:$P$511,"*a)*")</f>
        <v>0</v>
      </c>
      <c r="S111" s="52" t="e">
        <f>R111/$Q$7*100</f>
        <v>#DIV/0!</v>
      </c>
      <c r="T111" s="3"/>
      <c r="U111" s="51">
        <f>W111+Y111</f>
        <v>0</v>
      </c>
      <c r="V111" s="52" t="e">
        <f>U111/$X$5*100</f>
        <v>#DIV/0!</v>
      </c>
      <c r="W111" s="53">
        <f>COUNTIFS('00 Encuesta'!$B$2:$B$511,"*f)*",'00 Encuesta'!$C$2:$C$511,"*c)*",'00 Encuesta'!$E$2:$E$511,"*a)*",'00 Encuesta'!$P$2:$P$511,"*a)*")</f>
        <v>0</v>
      </c>
      <c r="X111" s="52" t="e">
        <f>W111/$X$6*100</f>
        <v>#DIV/0!</v>
      </c>
      <c r="Y111" s="53">
        <f>COUNTIFS('00 Encuesta'!$B$2:$B$511,"*f)*",'00 Encuesta'!$C$2:$C$511,"*c)*",'00 Encuesta'!$E$2:$E$511,"*b)*",'00 Encuesta'!$P$2:$P$511,"*a)*")</f>
        <v>0</v>
      </c>
      <c r="Z111" s="52" t="e">
        <f>Y111/$X$7*100</f>
        <v>#DIV/0!</v>
      </c>
      <c r="AA111" s="3"/>
      <c r="AB111" s="62">
        <f>G111+N111+U111</f>
        <v>11</v>
      </c>
      <c r="AC111" s="52">
        <f>AB111*100/$AC$5</f>
        <v>26.19047619047619</v>
      </c>
      <c r="AD111" s="7"/>
      <c r="AE111" s="7"/>
      <c r="AF111" s="9" t="str">
        <f t="shared" si="147"/>
        <v>a) Mucho</v>
      </c>
      <c r="AG111" s="72">
        <f>J111</f>
        <v>31.818181818181817</v>
      </c>
      <c r="AH111" s="72">
        <f>L111</f>
        <v>20</v>
      </c>
      <c r="AI111" s="73">
        <f>H111</f>
        <v>26.190476190476193</v>
      </c>
      <c r="AJ111" s="73"/>
      <c r="AK111" s="76" t="e">
        <f>Q111</f>
        <v>#DIV/0!</v>
      </c>
      <c r="AL111" s="76" t="e">
        <f>S111</f>
        <v>#DIV/0!</v>
      </c>
      <c r="AM111" s="76" t="e">
        <f>O111</f>
        <v>#DIV/0!</v>
      </c>
      <c r="AN111" s="76"/>
      <c r="AO111" s="81" t="e">
        <f>X111</f>
        <v>#DIV/0!</v>
      </c>
      <c r="AP111" s="81" t="e">
        <f>Z111</f>
        <v>#DIV/0!</v>
      </c>
      <c r="AQ111" s="81" t="e">
        <f>V111</f>
        <v>#DIV/0!</v>
      </c>
      <c r="AR111" s="7"/>
      <c r="AS111" s="76">
        <f t="shared" si="121"/>
        <v>26.19047619047619</v>
      </c>
      <c r="AT111" s="7"/>
      <c r="AU111" s="7"/>
      <c r="AV111" s="7"/>
      <c r="AW111" s="7"/>
      <c r="AX111" s="7"/>
      <c r="AY111" s="7"/>
      <c r="AZ111" s="7"/>
      <c r="BA111" s="7"/>
      <c r="BB111" s="7"/>
      <c r="BC111" s="7"/>
      <c r="BD111" s="7"/>
      <c r="BE111" s="7"/>
      <c r="BF111" s="3"/>
      <c r="BG111" s="3"/>
      <c r="BH111" s="3"/>
      <c r="BI111" s="3"/>
      <c r="BJ111" s="3"/>
      <c r="BK111" s="3"/>
      <c r="BL111" s="3"/>
      <c r="BM111" s="3"/>
      <c r="BN111" s="3"/>
      <c r="BO111" s="3"/>
      <c r="BP111" s="3"/>
      <c r="BQ111" s="3"/>
      <c r="BR111" s="3"/>
      <c r="BS111" s="3"/>
      <c r="BT111" s="3"/>
      <c r="BU111" s="3"/>
      <c r="BV111" s="3"/>
      <c r="BW111" s="3"/>
    </row>
    <row r="112" spans="1:75" x14ac:dyDescent="0.3">
      <c r="A112" s="8" t="s">
        <v>18</v>
      </c>
      <c r="B112" s="9" t="s">
        <v>103</v>
      </c>
      <c r="C112" s="7"/>
      <c r="D112" s="7"/>
      <c r="E112" s="7"/>
      <c r="F112" s="71">
        <v>66.66</v>
      </c>
      <c r="G112" s="51">
        <f>I112+K112</f>
        <v>16</v>
      </c>
      <c r="H112" s="52">
        <f>G112/$J$5*100</f>
        <v>38.095238095238095</v>
      </c>
      <c r="I112" s="53">
        <f>COUNTIFS('00 Encuesta'!$B$2:$B$511,"*f)*",'00 Encuesta'!$C$2:$C$511,"*a)*",'00 Encuesta'!$E$2:$E$511,"*a)*",'00 Encuesta'!$P$2:$P$511,"*b)*")</f>
        <v>6</v>
      </c>
      <c r="J112" s="52">
        <f>I112/$J$6*100</f>
        <v>27.27272727272727</v>
      </c>
      <c r="K112" s="53">
        <f>COUNTIFS('00 Encuesta'!$B$2:$B$511,"*f)*",'00 Encuesta'!$C$2:$C$511,"*a)*",'00 Encuesta'!$E$2:$E$511,"*b)*",'00 Encuesta'!$P$2:$P$511,"*b)*")</f>
        <v>10</v>
      </c>
      <c r="L112" s="52">
        <f>K112/$J$7*100</f>
        <v>50</v>
      </c>
      <c r="M112" s="23"/>
      <c r="N112" s="51">
        <f>P112+R112</f>
        <v>0</v>
      </c>
      <c r="O112" s="52" t="e">
        <f>N112/$Q$5*100</f>
        <v>#DIV/0!</v>
      </c>
      <c r="P112" s="53">
        <f>COUNTIFS('00 Encuesta'!$B$2:$B$511,"*f)*",'00 Encuesta'!$C$2:$C$511,"*b)*",'00 Encuesta'!$E$2:$E$511,"*a)*",'00 Encuesta'!$P$2:$P$511,"*b)*")</f>
        <v>0</v>
      </c>
      <c r="Q112" s="52" t="e">
        <f>P112/$Q$6*100</f>
        <v>#DIV/0!</v>
      </c>
      <c r="R112" s="53">
        <f>COUNTIFS('00 Encuesta'!$B$2:$B$511,"*f)*",'00 Encuesta'!$C$2:$C$511,"*b)*",'00 Encuesta'!$E$2:$E$511,"*b)*",'00 Encuesta'!$P$2:$P$511,"*b)*")</f>
        <v>0</v>
      </c>
      <c r="S112" s="52" t="e">
        <f>R112/$Q$7*100</f>
        <v>#DIV/0!</v>
      </c>
      <c r="T112" s="3"/>
      <c r="U112" s="51">
        <f>W112+Y112</f>
        <v>0</v>
      </c>
      <c r="V112" s="52" t="e">
        <f>U112/$X$5*100</f>
        <v>#DIV/0!</v>
      </c>
      <c r="W112" s="53">
        <f>COUNTIFS('00 Encuesta'!$B$2:$B$511,"*f)*",'00 Encuesta'!$C$2:$C$511,"*c)*",'00 Encuesta'!$E$2:$E$511,"*a)*",'00 Encuesta'!$P$2:$P$511,"*b)*")</f>
        <v>0</v>
      </c>
      <c r="X112" s="52" t="e">
        <f>W112/$X$6*100</f>
        <v>#DIV/0!</v>
      </c>
      <c r="Y112" s="53">
        <f>COUNTIFS('00 Encuesta'!$B$2:$B$511,"*f)*",'00 Encuesta'!$C$2:$C$511,"*c)*",'00 Encuesta'!$E$2:$E$511,"*b)*",'00 Encuesta'!$P$2:$P$511,"*b)*")</f>
        <v>0</v>
      </c>
      <c r="Z112" s="52" t="e">
        <f>Y112/$X$7*100</f>
        <v>#DIV/0!</v>
      </c>
      <c r="AA112" s="3"/>
      <c r="AB112" s="62">
        <f>G112+N112+U112</f>
        <v>16</v>
      </c>
      <c r="AC112" s="52">
        <f>AB112*100/$AC$5</f>
        <v>38.095238095238095</v>
      </c>
      <c r="AD112" s="7"/>
      <c r="AE112" s="7"/>
      <c r="AF112" s="9" t="str">
        <f t="shared" si="147"/>
        <v>b) Suficiente</v>
      </c>
      <c r="AG112" s="72">
        <f>J112</f>
        <v>27.27272727272727</v>
      </c>
      <c r="AH112" s="72">
        <f>L112</f>
        <v>50</v>
      </c>
      <c r="AI112" s="73">
        <f>H112</f>
        <v>38.095238095238095</v>
      </c>
      <c r="AJ112" s="73"/>
      <c r="AK112" s="76" t="e">
        <f>Q112</f>
        <v>#DIV/0!</v>
      </c>
      <c r="AL112" s="76" t="e">
        <f>S112</f>
        <v>#DIV/0!</v>
      </c>
      <c r="AM112" s="76" t="e">
        <f>O112</f>
        <v>#DIV/0!</v>
      </c>
      <c r="AN112" s="76"/>
      <c r="AO112" s="81" t="e">
        <f>X112</f>
        <v>#DIV/0!</v>
      </c>
      <c r="AP112" s="81" t="e">
        <f>Z112</f>
        <v>#DIV/0!</v>
      </c>
      <c r="AQ112" s="81" t="e">
        <f>V112</f>
        <v>#DIV/0!</v>
      </c>
      <c r="AR112" s="7"/>
      <c r="AS112" s="76">
        <f t="shared" si="121"/>
        <v>38.095238095238095</v>
      </c>
      <c r="AT112" s="7"/>
      <c r="AU112" s="7"/>
      <c r="AV112" s="7"/>
      <c r="AW112" s="7"/>
      <c r="AX112" s="7"/>
      <c r="AY112" s="7"/>
      <c r="AZ112" s="7"/>
      <c r="BA112" s="7"/>
      <c r="BB112" s="7"/>
      <c r="BC112" s="7"/>
      <c r="BD112" s="7"/>
      <c r="BE112" s="7"/>
      <c r="BF112" s="3"/>
      <c r="BG112" s="3"/>
      <c r="BH112" s="3"/>
      <c r="BI112" s="3"/>
      <c r="BJ112" s="3"/>
      <c r="BK112" s="3"/>
      <c r="BL112" s="3"/>
      <c r="BM112" s="3"/>
      <c r="BN112" s="3"/>
      <c r="BO112" s="3"/>
      <c r="BP112" s="3"/>
      <c r="BQ112" s="3"/>
      <c r="BR112" s="3"/>
      <c r="BS112" s="3"/>
      <c r="BT112" s="3"/>
      <c r="BU112" s="3"/>
      <c r="BV112" s="3"/>
      <c r="BW112" s="3"/>
    </row>
    <row r="113" spans="1:75" x14ac:dyDescent="0.3">
      <c r="A113" s="8" t="s">
        <v>20</v>
      </c>
      <c r="B113" s="9" t="s">
        <v>104</v>
      </c>
      <c r="C113" s="7"/>
      <c r="D113" s="7"/>
      <c r="E113" s="7"/>
      <c r="F113" s="71">
        <v>33.33</v>
      </c>
      <c r="G113" s="51">
        <f>I113+K113</f>
        <v>13</v>
      </c>
      <c r="H113" s="52">
        <f>G113/$J$5*100</f>
        <v>30.952380952380953</v>
      </c>
      <c r="I113" s="53">
        <f>COUNTIFS('00 Encuesta'!$B$2:$B$511,"*f)*",'00 Encuesta'!$C$2:$C$511,"*a)*",'00 Encuesta'!$E$2:$E$511,"*a)*",'00 Encuesta'!$P$2:$P$511,"*c)*")</f>
        <v>8</v>
      </c>
      <c r="J113" s="52">
        <f>I113/$J$6*100</f>
        <v>36.363636363636367</v>
      </c>
      <c r="K113" s="53">
        <f>COUNTIFS('00 Encuesta'!$B$2:$B$511,"*f)*",'00 Encuesta'!$C$2:$C$511,"*a)*",'00 Encuesta'!$E$2:$E$511,"*b)*",'00 Encuesta'!$P$2:$P$511,"*c)*")</f>
        <v>5</v>
      </c>
      <c r="L113" s="52">
        <f>K113/$J$7*100</f>
        <v>25</v>
      </c>
      <c r="M113" s="23"/>
      <c r="N113" s="51">
        <f>P113+R113</f>
        <v>0</v>
      </c>
      <c r="O113" s="52" t="e">
        <f>N113/$Q$5*100</f>
        <v>#DIV/0!</v>
      </c>
      <c r="P113" s="53">
        <f>COUNTIFS('00 Encuesta'!$B$2:$B$511,"*f)*",'00 Encuesta'!$C$2:$C$511,"*b)*",'00 Encuesta'!$E$2:$E$511,"*a)*",'00 Encuesta'!$P$2:$P$511,"*c)*")</f>
        <v>0</v>
      </c>
      <c r="Q113" s="52" t="e">
        <f>P113/$Q$6*100</f>
        <v>#DIV/0!</v>
      </c>
      <c r="R113" s="53">
        <f>COUNTIFS('00 Encuesta'!$B$2:$B$511,"*f)*",'00 Encuesta'!$C$2:$C$511,"*b)*",'00 Encuesta'!$E$2:$E$511,"*b)*",'00 Encuesta'!$P$2:$P$511,"*c)*")</f>
        <v>0</v>
      </c>
      <c r="S113" s="52" t="e">
        <f>R113/$Q$7*100</f>
        <v>#DIV/0!</v>
      </c>
      <c r="T113" s="3"/>
      <c r="U113" s="51">
        <f>W113+Y113</f>
        <v>0</v>
      </c>
      <c r="V113" s="52" t="e">
        <f>U113/$X$5*100</f>
        <v>#DIV/0!</v>
      </c>
      <c r="W113" s="53">
        <f>COUNTIFS('00 Encuesta'!$B$2:$B$511,"*f)*",'00 Encuesta'!$C$2:$C$511,"*c)*",'00 Encuesta'!$E$2:$E$511,"*a)*",'00 Encuesta'!$P$2:$P$511,"*c)*")</f>
        <v>0</v>
      </c>
      <c r="X113" s="52" t="e">
        <f>W113/$X$6*100</f>
        <v>#DIV/0!</v>
      </c>
      <c r="Y113" s="53">
        <f>COUNTIFS('00 Encuesta'!$B$2:$B$511,"*f)*",'00 Encuesta'!$C$2:$C$511,"*c)*",'00 Encuesta'!$E$2:$E$511,"*b)*",'00 Encuesta'!$P$2:$P$511,"*c)*")</f>
        <v>0</v>
      </c>
      <c r="Z113" s="52" t="e">
        <f>Y113/$X$7*100</f>
        <v>#DIV/0!</v>
      </c>
      <c r="AA113" s="3"/>
      <c r="AB113" s="62">
        <f>G113+N113+U113</f>
        <v>13</v>
      </c>
      <c r="AC113" s="52">
        <f>AB113*100/$AC$5</f>
        <v>30.952380952380953</v>
      </c>
      <c r="AD113" s="7"/>
      <c r="AE113" s="7"/>
      <c r="AF113" s="9" t="str">
        <f t="shared" si="147"/>
        <v>c) Poco</v>
      </c>
      <c r="AG113" s="72">
        <f>J113</f>
        <v>36.363636363636367</v>
      </c>
      <c r="AH113" s="72">
        <f>L113</f>
        <v>25</v>
      </c>
      <c r="AI113" s="73">
        <f>H113</f>
        <v>30.952380952380953</v>
      </c>
      <c r="AJ113" s="73"/>
      <c r="AK113" s="76" t="e">
        <f>Q113</f>
        <v>#DIV/0!</v>
      </c>
      <c r="AL113" s="76" t="e">
        <f>S113</f>
        <v>#DIV/0!</v>
      </c>
      <c r="AM113" s="76" t="e">
        <f>O113</f>
        <v>#DIV/0!</v>
      </c>
      <c r="AN113" s="76"/>
      <c r="AO113" s="81" t="e">
        <f>X113</f>
        <v>#DIV/0!</v>
      </c>
      <c r="AP113" s="81" t="e">
        <f>Z113</f>
        <v>#DIV/0!</v>
      </c>
      <c r="AQ113" s="81" t="e">
        <f>V113</f>
        <v>#DIV/0!</v>
      </c>
      <c r="AR113" s="7"/>
      <c r="AS113" s="76">
        <f t="shared" si="121"/>
        <v>30.952380952380953</v>
      </c>
      <c r="AT113" s="7"/>
      <c r="AU113" s="7"/>
      <c r="AV113" s="7"/>
      <c r="AW113" s="7"/>
      <c r="AX113" s="7"/>
      <c r="AY113" s="7"/>
      <c r="AZ113" s="7"/>
      <c r="BA113" s="7"/>
      <c r="BB113" s="7"/>
      <c r="BC113" s="7"/>
      <c r="BD113" s="7"/>
      <c r="BE113" s="7"/>
      <c r="BF113" s="3"/>
      <c r="BG113" s="3"/>
      <c r="BH113" s="3"/>
      <c r="BI113" s="3"/>
      <c r="BJ113" s="3"/>
      <c r="BK113" s="3"/>
      <c r="BL113" s="3"/>
      <c r="BM113" s="3"/>
      <c r="BN113" s="3"/>
      <c r="BO113" s="3"/>
      <c r="BP113" s="3"/>
      <c r="BQ113" s="3"/>
      <c r="BR113" s="3"/>
      <c r="BS113" s="3"/>
      <c r="BT113" s="3"/>
      <c r="BU113" s="3"/>
      <c r="BV113" s="3"/>
      <c r="BW113" s="3"/>
    </row>
    <row r="114" spans="1:75" x14ac:dyDescent="0.3">
      <c r="A114" s="8" t="s">
        <v>21</v>
      </c>
      <c r="B114" s="9" t="s">
        <v>105</v>
      </c>
      <c r="C114" s="7"/>
      <c r="D114" s="7"/>
      <c r="E114" s="7"/>
      <c r="F114" s="71">
        <v>0</v>
      </c>
      <c r="G114" s="51">
        <f>I114+K114</f>
        <v>1</v>
      </c>
      <c r="H114" s="52">
        <f>G114/$J$5*100</f>
        <v>2.3809523809523809</v>
      </c>
      <c r="I114" s="53">
        <f>COUNTIFS('00 Encuesta'!$B$2:$B$511,"*f)*",'00 Encuesta'!$C$2:$C$511,"*a)*",'00 Encuesta'!$E$2:$E$511,"*a)*",'00 Encuesta'!$P$2:$P$511,"*d)*")</f>
        <v>0</v>
      </c>
      <c r="J114" s="52">
        <f>I114/$J$6*100</f>
        <v>0</v>
      </c>
      <c r="K114" s="53">
        <f>COUNTIFS('00 Encuesta'!$B$2:$B$511,"*f)*",'00 Encuesta'!$C$2:$C$511,"*a)*",'00 Encuesta'!$E$2:$E$511,"*b)*",'00 Encuesta'!$P$2:$P$511,"*d)*")</f>
        <v>1</v>
      </c>
      <c r="L114" s="52">
        <f>K114/$J$7*100</f>
        <v>5</v>
      </c>
      <c r="M114" s="23"/>
      <c r="N114" s="51">
        <f>P114+R114</f>
        <v>0</v>
      </c>
      <c r="O114" s="52" t="e">
        <f>N114/$Q$5*100</f>
        <v>#DIV/0!</v>
      </c>
      <c r="P114" s="53">
        <f>COUNTIFS('00 Encuesta'!$B$2:$B$511,"*f)*",'00 Encuesta'!$C$2:$C$511,"*b)*",'00 Encuesta'!$E$2:$E$511,"*a)*",'00 Encuesta'!$P$2:$P$511,"*d)*")</f>
        <v>0</v>
      </c>
      <c r="Q114" s="52" t="e">
        <f>P114/$Q$6*100</f>
        <v>#DIV/0!</v>
      </c>
      <c r="R114" s="53">
        <f>COUNTIFS('00 Encuesta'!$B$2:$B$511,"*f)*",'00 Encuesta'!$C$2:$C$511,"*b)*",'00 Encuesta'!$E$2:$E$511,"*b)*",'00 Encuesta'!$P$2:$P$511,"*d)*")</f>
        <v>0</v>
      </c>
      <c r="S114" s="52" t="e">
        <f>R114/$Q$7*100</f>
        <v>#DIV/0!</v>
      </c>
      <c r="T114" s="3"/>
      <c r="U114" s="51">
        <f>W114+Y114</f>
        <v>0</v>
      </c>
      <c r="V114" s="52" t="e">
        <f>U114/$X$5*100</f>
        <v>#DIV/0!</v>
      </c>
      <c r="W114" s="53">
        <f>COUNTIFS('00 Encuesta'!$B$2:$B$511,"*f)*",'00 Encuesta'!$C$2:$C$511,"*c)*",'00 Encuesta'!$E$2:$E$511,"*a)*",'00 Encuesta'!$P$2:$P$511,"*d)*")</f>
        <v>0</v>
      </c>
      <c r="X114" s="52" t="e">
        <f>W114/$X$6*100</f>
        <v>#DIV/0!</v>
      </c>
      <c r="Y114" s="53">
        <f>COUNTIFS('00 Encuesta'!$B$2:$B$511,"*f)*",'00 Encuesta'!$C$2:$C$511,"*c)*",'00 Encuesta'!$E$2:$E$511,"*b)*",'00 Encuesta'!$P$2:$P$511,"*d)*")</f>
        <v>0</v>
      </c>
      <c r="Z114" s="52" t="e">
        <f>Y114/$X$7*100</f>
        <v>#DIV/0!</v>
      </c>
      <c r="AA114" s="3"/>
      <c r="AB114" s="62">
        <f>G114+N114+U114</f>
        <v>1</v>
      </c>
      <c r="AC114" s="52">
        <f>AB114*100/$AC$5</f>
        <v>2.3809523809523809</v>
      </c>
      <c r="AD114" s="7"/>
      <c r="AE114" s="7"/>
      <c r="AF114" s="9" t="str">
        <f t="shared" si="147"/>
        <v>d) Nada</v>
      </c>
      <c r="AG114" s="72">
        <f>J114</f>
        <v>0</v>
      </c>
      <c r="AH114" s="72">
        <f>L114</f>
        <v>5</v>
      </c>
      <c r="AI114" s="73">
        <f>H114</f>
        <v>2.3809523809523809</v>
      </c>
      <c r="AJ114" s="73"/>
      <c r="AK114" s="76" t="e">
        <f>Q114</f>
        <v>#DIV/0!</v>
      </c>
      <c r="AL114" s="76" t="e">
        <f>S114</f>
        <v>#DIV/0!</v>
      </c>
      <c r="AM114" s="76" t="e">
        <f>O114</f>
        <v>#DIV/0!</v>
      </c>
      <c r="AN114" s="76"/>
      <c r="AO114" s="81" t="e">
        <f>X114</f>
        <v>#DIV/0!</v>
      </c>
      <c r="AP114" s="81" t="e">
        <f>Z114</f>
        <v>#DIV/0!</v>
      </c>
      <c r="AQ114" s="81" t="e">
        <f>V114</f>
        <v>#DIV/0!</v>
      </c>
      <c r="AR114" s="7"/>
      <c r="AS114" s="76">
        <f t="shared" si="121"/>
        <v>2.3809523809523809</v>
      </c>
      <c r="AT114" s="7"/>
      <c r="AU114" s="7"/>
      <c r="AV114" s="7"/>
      <c r="AW114" s="7"/>
      <c r="AX114" s="7"/>
      <c r="AY114" s="7"/>
      <c r="AZ114" s="7"/>
      <c r="BA114" s="7"/>
      <c r="BB114" s="7"/>
      <c r="BC114" s="7"/>
      <c r="BD114" s="7"/>
      <c r="BE114" s="7"/>
      <c r="BF114" s="3"/>
      <c r="BG114" s="3"/>
      <c r="BH114" s="3"/>
      <c r="BI114" s="3"/>
      <c r="BJ114" s="3"/>
      <c r="BK114" s="3"/>
      <c r="BL114" s="3"/>
      <c r="BM114" s="3"/>
      <c r="BN114" s="3"/>
      <c r="BO114" s="3"/>
      <c r="BP114" s="3"/>
      <c r="BQ114" s="3"/>
      <c r="BR114" s="3"/>
      <c r="BS114" s="3"/>
      <c r="BT114" s="3"/>
      <c r="BU114" s="3"/>
      <c r="BV114" s="3"/>
      <c r="BW114" s="3"/>
    </row>
    <row r="115" spans="1:75" x14ac:dyDescent="0.3">
      <c r="A115" s="8" t="s">
        <v>23</v>
      </c>
      <c r="B115" s="9" t="s">
        <v>24</v>
      </c>
      <c r="C115" s="7"/>
      <c r="D115" s="7"/>
      <c r="E115" s="7"/>
      <c r="F115" s="71"/>
      <c r="G115" s="51">
        <f>I115+K115</f>
        <v>0</v>
      </c>
      <c r="H115" s="52">
        <f>G115/$J$5*100</f>
        <v>0</v>
      </c>
      <c r="I115" s="53"/>
      <c r="J115" s="52">
        <f>I115/$J$6*100</f>
        <v>0</v>
      </c>
      <c r="K115" s="53"/>
      <c r="L115" s="52">
        <f>K115/$J$7*100</f>
        <v>0</v>
      </c>
      <c r="M115" s="23"/>
      <c r="N115" s="51">
        <f>P115+R115</f>
        <v>0</v>
      </c>
      <c r="O115" s="52" t="e">
        <f>N115/$Q$5*100</f>
        <v>#DIV/0!</v>
      </c>
      <c r="P115" s="53"/>
      <c r="Q115" s="52" t="e">
        <f>P115/$Q$6*100</f>
        <v>#DIV/0!</v>
      </c>
      <c r="R115" s="53"/>
      <c r="S115" s="52" t="e">
        <f>R115/$Q$7*100</f>
        <v>#DIV/0!</v>
      </c>
      <c r="T115" s="3"/>
      <c r="U115" s="51">
        <f>W115+Y115</f>
        <v>0</v>
      </c>
      <c r="V115" s="52" t="e">
        <f>U115/$X$5*100</f>
        <v>#DIV/0!</v>
      </c>
      <c r="W115" s="53"/>
      <c r="X115" s="52" t="e">
        <f>W115/$X$6*100</f>
        <v>#DIV/0!</v>
      </c>
      <c r="Y115" s="53"/>
      <c r="Z115" s="52" t="e">
        <f>Y115/$X$7*100</f>
        <v>#DIV/0!</v>
      </c>
      <c r="AA115" s="3"/>
      <c r="AB115" s="62">
        <f>G115+N115+U115</f>
        <v>0</v>
      </c>
      <c r="AC115" s="52">
        <f>AB115*100/$AC$5</f>
        <v>0</v>
      </c>
      <c r="AD115" s="7"/>
      <c r="AE115" s="7"/>
      <c r="AF115" s="9" t="str">
        <f t="shared" si="147"/>
        <v>S/R Sin Respuesta</v>
      </c>
      <c r="AG115" s="72">
        <f>J115</f>
        <v>0</v>
      </c>
      <c r="AH115" s="72">
        <f>L115</f>
        <v>0</v>
      </c>
      <c r="AI115" s="73">
        <f>H115</f>
        <v>0</v>
      </c>
      <c r="AJ115" s="73"/>
      <c r="AK115" s="76" t="e">
        <f>Q115</f>
        <v>#DIV/0!</v>
      </c>
      <c r="AL115" s="76" t="e">
        <f>S115</f>
        <v>#DIV/0!</v>
      </c>
      <c r="AM115" s="76" t="e">
        <f>O115</f>
        <v>#DIV/0!</v>
      </c>
      <c r="AN115" s="76"/>
      <c r="AO115" s="81" t="e">
        <f>X115</f>
        <v>#DIV/0!</v>
      </c>
      <c r="AP115" s="81" t="e">
        <f>Z115</f>
        <v>#DIV/0!</v>
      </c>
      <c r="AQ115" s="81" t="e">
        <f>V115</f>
        <v>#DIV/0!</v>
      </c>
      <c r="AR115" s="7"/>
      <c r="AS115" s="76">
        <f t="shared" si="121"/>
        <v>0</v>
      </c>
      <c r="AT115" s="7"/>
      <c r="AU115" s="7"/>
      <c r="AV115" s="7"/>
      <c r="AW115" s="7"/>
      <c r="AX115" s="7"/>
      <c r="AY115" s="7"/>
      <c r="AZ115" s="7"/>
      <c r="BA115" s="7"/>
      <c r="BB115" s="7"/>
      <c r="BC115" s="7"/>
      <c r="BD115" s="7"/>
      <c r="BE115" s="7"/>
      <c r="BF115" s="3"/>
      <c r="BG115" s="3"/>
      <c r="BH115" s="3"/>
      <c r="BI115" s="3"/>
      <c r="BJ115" s="3"/>
      <c r="BK115" s="3"/>
      <c r="BL115" s="3"/>
      <c r="BM115" s="3"/>
      <c r="BN115" s="3"/>
      <c r="BO115" s="3"/>
      <c r="BP115" s="3"/>
      <c r="BQ115" s="3"/>
      <c r="BR115" s="3"/>
      <c r="BS115" s="3"/>
      <c r="BT115" s="3"/>
      <c r="BU115" s="3"/>
      <c r="BV115" s="3"/>
      <c r="BW115" s="3"/>
    </row>
    <row r="116" spans="1:75" x14ac:dyDescent="0.3">
      <c r="A116" s="8"/>
      <c r="B116" s="9"/>
      <c r="C116" s="7"/>
      <c r="D116" s="7"/>
      <c r="E116" s="7"/>
      <c r="F116" s="71"/>
      <c r="G116" s="23"/>
      <c r="H116" s="22"/>
      <c r="I116" s="23"/>
      <c r="J116" s="22"/>
      <c r="K116" s="23"/>
      <c r="L116" s="22"/>
      <c r="M116" s="23"/>
      <c r="N116" s="23"/>
      <c r="O116" s="22"/>
      <c r="P116" s="23"/>
      <c r="Q116" s="22"/>
      <c r="R116" s="23"/>
      <c r="S116" s="22"/>
      <c r="T116" s="3"/>
      <c r="U116" s="23"/>
      <c r="V116" s="22"/>
      <c r="W116" s="23"/>
      <c r="X116" s="22"/>
      <c r="Y116" s="23"/>
      <c r="Z116" s="22"/>
      <c r="AA116" s="3"/>
      <c r="AB116" s="24"/>
      <c r="AC116" s="22"/>
      <c r="AD116" s="7"/>
      <c r="AE116" s="7"/>
      <c r="AF116" s="7"/>
      <c r="AG116" s="82">
        <f>(+$F111*I111+$F112*I112+$F113*I113+$F114*I114)/(+I111+I112+I113+I114)</f>
        <v>65.076190476190476</v>
      </c>
      <c r="AH116" s="82">
        <f>($F111*K111+$F112*K112+$F113*K113+$F114*K114)/(+K111+K112+K113+K114)</f>
        <v>61.662500000000001</v>
      </c>
      <c r="AI116" s="82">
        <f>($F111*G111+$F112*G112+$F113*G113+$F114*G114)/(G111+G112+G113+G114)</f>
        <v>63.410975609756093</v>
      </c>
      <c r="AJ116" s="82"/>
      <c r="AK116" s="82" t="e">
        <f>($F111*P111+$F112*P112+$F113*P113+$F114*P114)/(P111+P112+P113+P114)</f>
        <v>#DIV/0!</v>
      </c>
      <c r="AL116" s="82" t="e">
        <f>($F111*R111+$F112*R112+$F113*R113+$F114*R114)/(R111+R112+R113+R114)</f>
        <v>#DIV/0!</v>
      </c>
      <c r="AM116" s="82" t="e">
        <f>($F111*N111+$F112*N112+$F113*N113+$F114*N114)/(N111+N112+N113+N114)</f>
        <v>#DIV/0!</v>
      </c>
      <c r="AN116" s="82"/>
      <c r="AO116" s="82" t="e">
        <f>($F111*W111+$F112*W112+$F113*W113+$F114*W114)/(W111+W112+W113+W114)</f>
        <v>#DIV/0!</v>
      </c>
      <c r="AP116" s="82" t="e">
        <f>($F111*Y111+$F112*Y112+$F113*Y113+$F114*Y114)/(Y111+Y112+Y113+Y114)</f>
        <v>#DIV/0!</v>
      </c>
      <c r="AQ116" s="82" t="e">
        <f>($F111*U111+$F112*U112+$F113*U113+$F114*U114)/(U111+U112+U113+U114)</f>
        <v>#DIV/0!</v>
      </c>
      <c r="AR116" s="7"/>
      <c r="AS116" s="76">
        <f t="shared" si="121"/>
        <v>0</v>
      </c>
      <c r="AT116" s="7"/>
      <c r="AU116" s="7"/>
      <c r="AV116" s="7"/>
      <c r="AW116" s="7"/>
      <c r="AX116" s="7"/>
      <c r="AY116" s="7"/>
      <c r="AZ116" s="7"/>
      <c r="BA116" s="7"/>
      <c r="BB116" s="7"/>
      <c r="BC116" s="7"/>
      <c r="BD116" s="7"/>
      <c r="BE116" s="7"/>
      <c r="BF116" s="3"/>
      <c r="BG116" s="3"/>
      <c r="BH116" s="3"/>
      <c r="BI116" s="3"/>
      <c r="BJ116" s="3"/>
      <c r="BK116" s="3"/>
      <c r="BL116" s="3"/>
      <c r="BM116" s="3"/>
      <c r="BN116" s="3"/>
      <c r="BO116" s="3"/>
      <c r="BP116" s="3"/>
      <c r="BQ116" s="3"/>
      <c r="BR116" s="3"/>
      <c r="BS116" s="3"/>
      <c r="BT116" s="3"/>
      <c r="BU116" s="3"/>
      <c r="BV116" s="3"/>
      <c r="BW116" s="3"/>
    </row>
    <row r="117" spans="1:75" x14ac:dyDescent="0.3">
      <c r="A117" s="8"/>
      <c r="B117" s="9"/>
      <c r="C117" s="7"/>
      <c r="D117" s="7"/>
      <c r="E117" s="7"/>
      <c r="F117" s="71"/>
      <c r="G117" s="23"/>
      <c r="H117" s="22"/>
      <c r="I117" s="23"/>
      <c r="J117" s="22"/>
      <c r="K117" s="23"/>
      <c r="L117" s="22"/>
      <c r="M117" s="23"/>
      <c r="N117" s="23"/>
      <c r="O117" s="22"/>
      <c r="P117" s="23"/>
      <c r="Q117" s="22"/>
      <c r="R117" s="23"/>
      <c r="S117" s="22"/>
      <c r="T117" s="3"/>
      <c r="U117" s="23"/>
      <c r="V117" s="22"/>
      <c r="W117" s="23"/>
      <c r="X117" s="22"/>
      <c r="Y117" s="23"/>
      <c r="Z117" s="22"/>
      <c r="AA117" s="3"/>
      <c r="AB117" s="24"/>
      <c r="AC117" s="22"/>
      <c r="AD117" s="7"/>
      <c r="AE117" s="7"/>
      <c r="AF117" s="7"/>
      <c r="AG117" s="7"/>
      <c r="AH117" s="7"/>
      <c r="AI117" s="7"/>
      <c r="AJ117" s="7"/>
      <c r="AK117" s="7"/>
      <c r="AL117" s="7"/>
      <c r="AM117" s="7"/>
      <c r="AN117" s="7"/>
      <c r="AO117" s="7"/>
      <c r="AP117" s="7"/>
      <c r="AQ117" s="7"/>
      <c r="AR117" s="7"/>
      <c r="AS117" s="76"/>
      <c r="AT117" s="7"/>
      <c r="AU117" s="7"/>
      <c r="AV117" s="7"/>
      <c r="AW117" s="7"/>
      <c r="AX117" s="7"/>
      <c r="AY117" s="7"/>
      <c r="AZ117" s="7"/>
      <c r="BA117" s="7"/>
      <c r="BB117" s="7"/>
      <c r="BC117" s="7"/>
      <c r="BD117" s="7"/>
      <c r="BE117" s="7"/>
      <c r="BF117" s="3"/>
      <c r="BG117" s="3"/>
      <c r="BH117" s="3"/>
      <c r="BI117" s="3"/>
      <c r="BJ117" s="3"/>
      <c r="BK117" s="3"/>
      <c r="BL117" s="3"/>
      <c r="BM117" s="3"/>
      <c r="BN117" s="3"/>
      <c r="BO117" s="3"/>
      <c r="BP117" s="3"/>
      <c r="BQ117" s="3"/>
      <c r="BR117" s="3"/>
      <c r="BS117" s="3"/>
      <c r="BT117" s="3"/>
      <c r="BU117" s="3"/>
      <c r="BV117" s="3"/>
      <c r="BW117" s="3"/>
    </row>
    <row r="118" spans="1:75" x14ac:dyDescent="0.3">
      <c r="A118" s="8"/>
      <c r="B118" s="9"/>
      <c r="C118" s="7"/>
      <c r="D118" s="7"/>
      <c r="E118" s="7"/>
      <c r="F118" s="71"/>
      <c r="G118" s="23"/>
      <c r="H118" s="22"/>
      <c r="I118" s="23"/>
      <c r="J118" s="22"/>
      <c r="K118" s="23"/>
      <c r="L118" s="22"/>
      <c r="M118" s="23"/>
      <c r="N118" s="23"/>
      <c r="O118" s="22"/>
      <c r="P118" s="23"/>
      <c r="Q118" s="22"/>
      <c r="R118" s="23"/>
      <c r="S118" s="22"/>
      <c r="T118" s="3"/>
      <c r="U118" s="23"/>
      <c r="V118" s="22"/>
      <c r="W118" s="23"/>
      <c r="X118" s="22"/>
      <c r="Y118" s="23"/>
      <c r="Z118" s="22"/>
      <c r="AA118" s="3"/>
      <c r="AB118" s="24"/>
      <c r="AC118" s="22"/>
      <c r="AD118" s="7"/>
      <c r="AE118" s="7"/>
      <c r="AF118" s="7"/>
      <c r="AG118" s="7"/>
      <c r="AH118" s="7"/>
      <c r="AI118" s="7"/>
      <c r="AJ118" s="7"/>
      <c r="AK118" s="7"/>
      <c r="AL118" s="7"/>
      <c r="AM118" s="7"/>
      <c r="AN118" s="7"/>
      <c r="AO118" s="7"/>
      <c r="AP118" s="7"/>
      <c r="AQ118" s="7"/>
      <c r="AR118" s="7"/>
      <c r="AS118" s="76"/>
      <c r="AT118" s="7"/>
      <c r="AU118" s="7"/>
      <c r="AV118" s="7"/>
      <c r="AW118" s="7"/>
      <c r="AX118" s="7"/>
      <c r="AY118" s="7"/>
      <c r="AZ118" s="7"/>
      <c r="BA118" s="7"/>
      <c r="BB118" s="7"/>
      <c r="BC118" s="7"/>
      <c r="BD118" s="7"/>
      <c r="BE118" s="7"/>
      <c r="BF118" s="3"/>
      <c r="BG118" s="3"/>
      <c r="BH118" s="3"/>
      <c r="BI118" s="3"/>
      <c r="BJ118" s="3"/>
      <c r="BK118" s="3"/>
      <c r="BL118" s="3"/>
      <c r="BM118" s="3"/>
      <c r="BN118" s="3"/>
      <c r="BO118" s="3"/>
      <c r="BP118" s="3"/>
      <c r="BQ118" s="3"/>
      <c r="BR118" s="3"/>
      <c r="BS118" s="3"/>
      <c r="BT118" s="3"/>
      <c r="BU118" s="3"/>
      <c r="BV118" s="3"/>
      <c r="BW118" s="3"/>
    </row>
    <row r="119" spans="1:75" x14ac:dyDescent="0.3">
      <c r="A119" s="70"/>
      <c r="B119" s="9"/>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6"/>
      <c r="AC119" s="41"/>
      <c r="AD119" s="7"/>
      <c r="AE119" s="7"/>
      <c r="AF119" s="7"/>
      <c r="AG119" s="7"/>
      <c r="AH119" s="7"/>
      <c r="AI119" s="7"/>
      <c r="AJ119" s="7"/>
      <c r="AK119" s="7"/>
      <c r="AL119" s="7"/>
      <c r="AM119" s="7"/>
      <c r="AN119" s="7"/>
      <c r="AO119" s="7"/>
      <c r="AP119" s="7"/>
      <c r="AQ119" s="7"/>
      <c r="AR119" s="7"/>
      <c r="AS119" s="76"/>
      <c r="AT119" s="7"/>
      <c r="AU119" s="7"/>
      <c r="AV119" s="7"/>
      <c r="AW119" s="7"/>
      <c r="AX119" s="7"/>
      <c r="AY119" s="7"/>
      <c r="AZ119" s="7"/>
      <c r="BA119" s="7"/>
      <c r="BB119" s="7"/>
      <c r="BC119" s="7"/>
      <c r="BD119" s="7"/>
      <c r="BE119" s="7"/>
      <c r="BF119" s="3"/>
      <c r="BG119" s="3"/>
      <c r="BH119" s="3"/>
      <c r="BI119" s="3"/>
      <c r="BJ119" s="3"/>
      <c r="BK119" s="3"/>
      <c r="BL119" s="3"/>
      <c r="BM119" s="3"/>
      <c r="BN119" s="3"/>
      <c r="BO119" s="3"/>
      <c r="BP119" s="3"/>
      <c r="BQ119" s="3"/>
      <c r="BR119" s="3"/>
      <c r="BS119" s="3"/>
      <c r="BT119" s="3"/>
      <c r="BU119" s="3"/>
      <c r="BV119" s="3"/>
      <c r="BW119" s="3"/>
    </row>
    <row r="120" spans="1:75" x14ac:dyDescent="0.3">
      <c r="A120" s="70">
        <v>15</v>
      </c>
      <c r="B120" s="9" t="s">
        <v>108</v>
      </c>
      <c r="C120" s="7"/>
      <c r="D120" s="7"/>
      <c r="E120" s="7"/>
      <c r="F120" s="71"/>
      <c r="G120" s="51"/>
      <c r="H120" s="52"/>
      <c r="I120" s="53"/>
      <c r="J120" s="52"/>
      <c r="K120" s="53"/>
      <c r="L120" s="66"/>
      <c r="M120" s="23"/>
      <c r="N120" s="51"/>
      <c r="O120" s="52"/>
      <c r="P120" s="53"/>
      <c r="Q120" s="52"/>
      <c r="R120" s="53"/>
      <c r="S120" s="66"/>
      <c r="T120" s="3"/>
      <c r="U120" s="51"/>
      <c r="V120" s="52"/>
      <c r="W120" s="53"/>
      <c r="X120" s="52"/>
      <c r="Y120" s="53"/>
      <c r="Z120" s="66"/>
      <c r="AA120" s="3"/>
      <c r="AB120" s="62"/>
      <c r="AC120" s="52"/>
      <c r="AD120" s="7"/>
      <c r="AE120" s="7"/>
      <c r="AF120" s="88" t="str">
        <f t="shared" ref="AF120:AF125" si="148">A120&amp;" "&amp;B120</f>
        <v>15 El ambiente religioso que percibo en mi casa es:</v>
      </c>
      <c r="AG120" s="7"/>
      <c r="AH120" s="7"/>
      <c r="AI120" s="7"/>
      <c r="AJ120" s="7"/>
      <c r="AK120" s="7"/>
      <c r="AL120" s="7"/>
      <c r="AM120" s="7"/>
      <c r="AN120" s="7"/>
      <c r="AO120" s="7"/>
      <c r="AP120" s="7"/>
      <c r="AQ120" s="7"/>
      <c r="AR120" s="7"/>
      <c r="AS120" s="76"/>
      <c r="AT120" s="7"/>
      <c r="AU120" s="7"/>
      <c r="AV120" s="7"/>
      <c r="AW120" s="7"/>
      <c r="AX120" s="7"/>
      <c r="AY120" s="7"/>
      <c r="AZ120" s="7"/>
      <c r="BA120" s="7"/>
      <c r="BB120" s="7"/>
      <c r="BC120" s="7"/>
      <c r="BD120" s="7"/>
      <c r="BE120" s="7"/>
      <c r="BF120" s="3"/>
      <c r="BG120" s="3"/>
      <c r="BH120" s="3"/>
      <c r="BI120" s="3"/>
      <c r="BJ120" s="3"/>
      <c r="BK120" s="3"/>
      <c r="BL120" s="3"/>
      <c r="BM120" s="3"/>
      <c r="BN120" s="3"/>
      <c r="BO120" s="3"/>
      <c r="BP120" s="3"/>
      <c r="BQ120" s="3"/>
      <c r="BR120" s="3"/>
      <c r="BS120" s="3"/>
      <c r="BT120" s="3"/>
      <c r="BU120" s="3"/>
      <c r="BV120" s="3"/>
      <c r="BW120" s="3"/>
    </row>
    <row r="121" spans="1:75" x14ac:dyDescent="0.3">
      <c r="A121" s="8" t="s">
        <v>17</v>
      </c>
      <c r="B121" s="9" t="s">
        <v>102</v>
      </c>
      <c r="C121" s="7"/>
      <c r="D121" s="7"/>
      <c r="E121" s="7"/>
      <c r="F121" s="71">
        <v>100</v>
      </c>
      <c r="G121" s="51">
        <f>I121+K121</f>
        <v>11</v>
      </c>
      <c r="H121" s="52">
        <f>G121/$J$5*100</f>
        <v>26.190476190476193</v>
      </c>
      <c r="I121" s="53">
        <f>COUNTIFS('00 Encuesta'!$B$2:$B$511,"*f)*",'00 Encuesta'!$C$2:$C$511,"*a)*",'00 Encuesta'!$E$2:$E$511,"*a)*",'00 Encuesta'!$Q$2:$Q$511,"*a)*")</f>
        <v>7</v>
      </c>
      <c r="J121" s="52">
        <f>I121/$J$6*100</f>
        <v>31.818181818181817</v>
      </c>
      <c r="K121" s="53">
        <f>COUNTIFS('00 Encuesta'!$B$2:$B$511,"*f)*",'00 Encuesta'!$C$2:$C$511,"*a)*",'00 Encuesta'!$E$2:$E$511,"*b)*",'00 Encuesta'!$Q$2:$Q$511,"*a)*")</f>
        <v>4</v>
      </c>
      <c r="L121" s="52">
        <f>K121/$J$7*100</f>
        <v>20</v>
      </c>
      <c r="M121" s="23"/>
      <c r="N121" s="51">
        <f>P121+R121</f>
        <v>0</v>
      </c>
      <c r="O121" s="52" t="e">
        <f>N121/$Q$5*100</f>
        <v>#DIV/0!</v>
      </c>
      <c r="P121" s="53">
        <f>COUNTIFS('00 Encuesta'!$B$2:$B$511,"*f)*",'00 Encuesta'!$C$2:$C$511,"*b)*",'00 Encuesta'!$E$2:$E$511,"*a)*",'00 Encuesta'!$Q$2:$Q$511,"*a)*")</f>
        <v>0</v>
      </c>
      <c r="Q121" s="52" t="e">
        <f>P121/$Q$6*100</f>
        <v>#DIV/0!</v>
      </c>
      <c r="R121" s="53">
        <f>COUNTIFS('00 Encuesta'!$B$2:$B$511,"*f)*",'00 Encuesta'!$C$2:$C$511,"*b)*",'00 Encuesta'!$E$2:$E$511,"*b)*",'00 Encuesta'!$Q$2:$Q$511,"*a)*")</f>
        <v>0</v>
      </c>
      <c r="S121" s="52" t="e">
        <f>R121/$Q$7*100</f>
        <v>#DIV/0!</v>
      </c>
      <c r="T121" s="3"/>
      <c r="U121" s="51">
        <f>W121+Y121</f>
        <v>0</v>
      </c>
      <c r="V121" s="52" t="e">
        <f>U121/$X$5*100</f>
        <v>#DIV/0!</v>
      </c>
      <c r="W121" s="53">
        <f>COUNTIFS('00 Encuesta'!$B$2:$B$511,"*f)*",'00 Encuesta'!$C$2:$C$511,"*c)*",'00 Encuesta'!$E$2:$E$511,"*a)*",'00 Encuesta'!$Q$2:$Q$511,"*a)*")</f>
        <v>0</v>
      </c>
      <c r="X121" s="52" t="e">
        <f>W121/$X$6*100</f>
        <v>#DIV/0!</v>
      </c>
      <c r="Y121" s="53">
        <f>COUNTIFS('00 Encuesta'!$B$2:$B$511,"*f)*",'00 Encuesta'!$C$2:$C$511,"*c)*",'00 Encuesta'!$E$2:$E$511,"*b)*",'00 Encuesta'!$Q$2:$Q$511,"*a)*")</f>
        <v>0</v>
      </c>
      <c r="Z121" s="52" t="e">
        <f>Y121/$X$7*100</f>
        <v>#DIV/0!</v>
      </c>
      <c r="AA121" s="3"/>
      <c r="AB121" s="62">
        <f>G121+N121+U121</f>
        <v>11</v>
      </c>
      <c r="AC121" s="52">
        <f>AB121*100/$AC$5</f>
        <v>26.19047619047619</v>
      </c>
      <c r="AD121" s="7"/>
      <c r="AE121" s="7"/>
      <c r="AF121" s="9" t="str">
        <f t="shared" si="148"/>
        <v>a) Mucho</v>
      </c>
      <c r="AG121" s="72">
        <f>J121</f>
        <v>31.818181818181817</v>
      </c>
      <c r="AH121" s="72">
        <f>L121</f>
        <v>20</v>
      </c>
      <c r="AI121" s="73">
        <f>H121</f>
        <v>26.190476190476193</v>
      </c>
      <c r="AJ121" s="73"/>
      <c r="AK121" s="76" t="e">
        <f>Q121</f>
        <v>#DIV/0!</v>
      </c>
      <c r="AL121" s="76" t="e">
        <f>S121</f>
        <v>#DIV/0!</v>
      </c>
      <c r="AM121" s="76" t="e">
        <f>O121</f>
        <v>#DIV/0!</v>
      </c>
      <c r="AN121" s="76"/>
      <c r="AO121" s="81" t="e">
        <f>X121</f>
        <v>#DIV/0!</v>
      </c>
      <c r="AP121" s="81" t="e">
        <f>Z121</f>
        <v>#DIV/0!</v>
      </c>
      <c r="AQ121" s="81" t="e">
        <f>V121</f>
        <v>#DIV/0!</v>
      </c>
      <c r="AR121" s="7"/>
      <c r="AS121" s="76">
        <f t="shared" si="121"/>
        <v>26.19047619047619</v>
      </c>
      <c r="AT121" s="7"/>
      <c r="AU121" s="7"/>
      <c r="AV121" s="7"/>
      <c r="AW121" s="7"/>
      <c r="AX121" s="7"/>
      <c r="AY121" s="7"/>
      <c r="AZ121" s="7"/>
      <c r="BA121" s="7"/>
      <c r="BB121" s="7"/>
      <c r="BC121" s="7"/>
      <c r="BD121" s="7"/>
      <c r="BE121" s="7"/>
      <c r="BF121" s="3"/>
      <c r="BG121" s="3"/>
      <c r="BH121" s="3"/>
      <c r="BI121" s="3"/>
      <c r="BJ121" s="3"/>
      <c r="BK121" s="3"/>
      <c r="BL121" s="3"/>
      <c r="BM121" s="3"/>
      <c r="BN121" s="3"/>
      <c r="BO121" s="3"/>
      <c r="BP121" s="3"/>
      <c r="BQ121" s="3"/>
      <c r="BR121" s="3"/>
      <c r="BS121" s="3"/>
      <c r="BT121" s="3"/>
      <c r="BU121" s="3"/>
      <c r="BV121" s="3"/>
      <c r="BW121" s="3"/>
    </row>
    <row r="122" spans="1:75" x14ac:dyDescent="0.3">
      <c r="A122" s="8" t="s">
        <v>18</v>
      </c>
      <c r="B122" s="9" t="s">
        <v>103</v>
      </c>
      <c r="C122" s="7"/>
      <c r="D122" s="7"/>
      <c r="E122" s="7"/>
      <c r="F122" s="71">
        <v>66.66</v>
      </c>
      <c r="G122" s="51">
        <f>I122+K122</f>
        <v>20</v>
      </c>
      <c r="H122" s="52">
        <f>G122/$J$5*100</f>
        <v>47.619047619047613</v>
      </c>
      <c r="I122" s="53">
        <f>COUNTIFS('00 Encuesta'!$B$2:$B$511,"*f)*",'00 Encuesta'!$C$2:$C$511,"*a)*",'00 Encuesta'!$E$2:$E$511,"*a)*",'00 Encuesta'!$Q$2:$Q$511,"*b)*")</f>
        <v>10</v>
      </c>
      <c r="J122" s="52">
        <f>I122/$J$6*100</f>
        <v>45.454545454545453</v>
      </c>
      <c r="K122" s="53">
        <f>COUNTIFS('00 Encuesta'!$B$2:$B$511,"*f)*",'00 Encuesta'!$C$2:$C$511,"*a)*",'00 Encuesta'!$E$2:$E$511,"*b)*",'00 Encuesta'!$Q$2:$Q$511,"*b)*")</f>
        <v>10</v>
      </c>
      <c r="L122" s="52">
        <f>K122/$J$7*100</f>
        <v>50</v>
      </c>
      <c r="M122" s="23"/>
      <c r="N122" s="51">
        <f>P122+R122</f>
        <v>0</v>
      </c>
      <c r="O122" s="52" t="e">
        <f>N122/$Q$5*100</f>
        <v>#DIV/0!</v>
      </c>
      <c r="P122" s="53">
        <f>COUNTIFS('00 Encuesta'!$B$2:$B$511,"*f)*",'00 Encuesta'!$C$2:$C$511,"*b)*",'00 Encuesta'!$E$2:$E$511,"*a)*",'00 Encuesta'!$Q$2:$Q$511,"*b)*")</f>
        <v>0</v>
      </c>
      <c r="Q122" s="52" t="e">
        <f>P122/$Q$6*100</f>
        <v>#DIV/0!</v>
      </c>
      <c r="R122" s="53">
        <f>COUNTIFS('00 Encuesta'!$B$2:$B$511,"*f)*",'00 Encuesta'!$C$2:$C$511,"*b)*",'00 Encuesta'!$E$2:$E$511,"*b)*",'00 Encuesta'!$Q$2:$Q$511,"*b)*")</f>
        <v>0</v>
      </c>
      <c r="S122" s="52" t="e">
        <f>R122/$Q$7*100</f>
        <v>#DIV/0!</v>
      </c>
      <c r="T122" s="3"/>
      <c r="U122" s="51">
        <f>W122+Y122</f>
        <v>0</v>
      </c>
      <c r="V122" s="52" t="e">
        <f>U122/$X$5*100</f>
        <v>#DIV/0!</v>
      </c>
      <c r="W122" s="53">
        <f>COUNTIFS('00 Encuesta'!$B$2:$B$511,"*f)*",'00 Encuesta'!$C$2:$C$511,"*c)*",'00 Encuesta'!$E$2:$E$511,"*a)*",'00 Encuesta'!$Q$2:$Q$511,"*b)*")</f>
        <v>0</v>
      </c>
      <c r="X122" s="52" t="e">
        <f>W122/$X$6*100</f>
        <v>#DIV/0!</v>
      </c>
      <c r="Y122" s="53">
        <f>COUNTIFS('00 Encuesta'!$B$2:$B$511,"*f)*",'00 Encuesta'!$C$2:$C$511,"*c)*",'00 Encuesta'!$E$2:$E$511,"*b)*",'00 Encuesta'!$Q$2:$Q$511,"*b)*")</f>
        <v>0</v>
      </c>
      <c r="Z122" s="52" t="e">
        <f>Y122/$X$7*100</f>
        <v>#DIV/0!</v>
      </c>
      <c r="AA122" s="3"/>
      <c r="AB122" s="62">
        <f>G122+N122+U122</f>
        <v>20</v>
      </c>
      <c r="AC122" s="52">
        <f>AB122*100/$AC$5</f>
        <v>47.61904761904762</v>
      </c>
      <c r="AD122" s="7"/>
      <c r="AE122" s="7"/>
      <c r="AF122" s="9" t="str">
        <f t="shared" si="148"/>
        <v>b) Suficiente</v>
      </c>
      <c r="AG122" s="72">
        <f>J122</f>
        <v>45.454545454545453</v>
      </c>
      <c r="AH122" s="72">
        <f>L122</f>
        <v>50</v>
      </c>
      <c r="AI122" s="73">
        <f>H122</f>
        <v>47.619047619047613</v>
      </c>
      <c r="AJ122" s="73"/>
      <c r="AK122" s="76" t="e">
        <f>Q122</f>
        <v>#DIV/0!</v>
      </c>
      <c r="AL122" s="76" t="e">
        <f>S122</f>
        <v>#DIV/0!</v>
      </c>
      <c r="AM122" s="76" t="e">
        <f>O122</f>
        <v>#DIV/0!</v>
      </c>
      <c r="AN122" s="76"/>
      <c r="AO122" s="81" t="e">
        <f>X122</f>
        <v>#DIV/0!</v>
      </c>
      <c r="AP122" s="81" t="e">
        <f>Z122</f>
        <v>#DIV/0!</v>
      </c>
      <c r="AQ122" s="81" t="e">
        <f>V122</f>
        <v>#DIV/0!</v>
      </c>
      <c r="AR122" s="7"/>
      <c r="AS122" s="76">
        <f t="shared" si="121"/>
        <v>47.61904761904762</v>
      </c>
      <c r="AT122" s="7"/>
      <c r="AU122" s="7"/>
      <c r="AV122" s="7"/>
      <c r="AW122" s="7"/>
      <c r="AX122" s="7"/>
      <c r="AY122" s="7"/>
      <c r="AZ122" s="7"/>
      <c r="BA122" s="7"/>
      <c r="BB122" s="7"/>
      <c r="BC122" s="7"/>
      <c r="BD122" s="7"/>
      <c r="BE122" s="7"/>
      <c r="BF122" s="3"/>
      <c r="BG122" s="3"/>
      <c r="BH122" s="3"/>
      <c r="BI122" s="3"/>
      <c r="BJ122" s="3"/>
      <c r="BK122" s="3"/>
      <c r="BL122" s="3"/>
      <c r="BM122" s="3"/>
      <c r="BN122" s="3"/>
      <c r="BO122" s="3"/>
      <c r="BP122" s="3"/>
      <c r="BQ122" s="3"/>
      <c r="BR122" s="3"/>
      <c r="BS122" s="3"/>
      <c r="BT122" s="3"/>
      <c r="BU122" s="3"/>
      <c r="BV122" s="3"/>
      <c r="BW122" s="3"/>
    </row>
    <row r="123" spans="1:75" x14ac:dyDescent="0.3">
      <c r="A123" s="8" t="s">
        <v>20</v>
      </c>
      <c r="B123" s="9" t="s">
        <v>104</v>
      </c>
      <c r="C123" s="7"/>
      <c r="D123" s="7"/>
      <c r="E123" s="7"/>
      <c r="F123" s="71">
        <v>33.33</v>
      </c>
      <c r="G123" s="51">
        <f>I123+K123</f>
        <v>9</v>
      </c>
      <c r="H123" s="52">
        <f>G123/$J$5*100</f>
        <v>21.428571428571427</v>
      </c>
      <c r="I123" s="53">
        <f>COUNTIFS('00 Encuesta'!$B$2:$B$511,"*f)*",'00 Encuesta'!$C$2:$C$511,"*a)*",'00 Encuesta'!$E$2:$E$511,"*a)*",'00 Encuesta'!$Q$2:$Q$511,"*c)*")</f>
        <v>4</v>
      </c>
      <c r="J123" s="52">
        <f>I123/$J$6*100</f>
        <v>18.181818181818183</v>
      </c>
      <c r="K123" s="53">
        <f>COUNTIFS('00 Encuesta'!$B$2:$B$511,"*f)*",'00 Encuesta'!$C$2:$C$511,"*a)*",'00 Encuesta'!$E$2:$E$511,"*b)*",'00 Encuesta'!$Q$2:$Q$511,"*c)*")</f>
        <v>5</v>
      </c>
      <c r="L123" s="52">
        <f>K123/$J$7*100</f>
        <v>25</v>
      </c>
      <c r="M123" s="23"/>
      <c r="N123" s="51">
        <f>P123+R123</f>
        <v>0</v>
      </c>
      <c r="O123" s="52" t="e">
        <f>N123/$Q$5*100</f>
        <v>#DIV/0!</v>
      </c>
      <c r="P123" s="53">
        <f>COUNTIFS('00 Encuesta'!$B$2:$B$511,"*f)*",'00 Encuesta'!$C$2:$C$511,"*b)*",'00 Encuesta'!$E$2:$E$511,"*a)*",'00 Encuesta'!$Q$2:$Q$511,"*c)*")</f>
        <v>0</v>
      </c>
      <c r="Q123" s="52" t="e">
        <f>P123/$Q$6*100</f>
        <v>#DIV/0!</v>
      </c>
      <c r="R123" s="53">
        <f>COUNTIFS('00 Encuesta'!$B$2:$B$511,"*f)*",'00 Encuesta'!$C$2:$C$511,"*b)*",'00 Encuesta'!$E$2:$E$511,"*b)*",'00 Encuesta'!$Q$2:$Q$511,"*c)*")</f>
        <v>0</v>
      </c>
      <c r="S123" s="52" t="e">
        <f>R123/$Q$7*100</f>
        <v>#DIV/0!</v>
      </c>
      <c r="T123" s="3"/>
      <c r="U123" s="51">
        <f>W123+Y123</f>
        <v>0</v>
      </c>
      <c r="V123" s="52" t="e">
        <f>U123/$X$5*100</f>
        <v>#DIV/0!</v>
      </c>
      <c r="W123" s="53">
        <f>COUNTIFS('00 Encuesta'!$B$2:$B$511,"*f)*",'00 Encuesta'!$C$2:$C$511,"*c)*",'00 Encuesta'!$E$2:$E$511,"*a)*",'00 Encuesta'!$Q$2:$Q$511,"*c)*")</f>
        <v>0</v>
      </c>
      <c r="X123" s="52" t="e">
        <f>W123/$X$6*100</f>
        <v>#DIV/0!</v>
      </c>
      <c r="Y123" s="53">
        <f>COUNTIFS('00 Encuesta'!$B$2:$B$511,"*f)*",'00 Encuesta'!$C$2:$C$511,"*c)*",'00 Encuesta'!$E$2:$E$511,"*b)*",'00 Encuesta'!$Q$2:$Q$511,"*c)*")</f>
        <v>0</v>
      </c>
      <c r="Z123" s="52" t="e">
        <f>Y123/$X$7*100</f>
        <v>#DIV/0!</v>
      </c>
      <c r="AA123" s="3"/>
      <c r="AB123" s="62">
        <f>G123+N123+U123</f>
        <v>9</v>
      </c>
      <c r="AC123" s="52">
        <f>AB123*100/$AC$5</f>
        <v>21.428571428571427</v>
      </c>
      <c r="AD123" s="7"/>
      <c r="AE123" s="7"/>
      <c r="AF123" s="9" t="str">
        <f t="shared" si="148"/>
        <v>c) Poco</v>
      </c>
      <c r="AG123" s="72">
        <f>J123</f>
        <v>18.181818181818183</v>
      </c>
      <c r="AH123" s="72">
        <f>L123</f>
        <v>25</v>
      </c>
      <c r="AI123" s="73">
        <f>H123</f>
        <v>21.428571428571427</v>
      </c>
      <c r="AJ123" s="73"/>
      <c r="AK123" s="76" t="e">
        <f>Q123</f>
        <v>#DIV/0!</v>
      </c>
      <c r="AL123" s="76" t="e">
        <f>S123</f>
        <v>#DIV/0!</v>
      </c>
      <c r="AM123" s="76" t="e">
        <f>O123</f>
        <v>#DIV/0!</v>
      </c>
      <c r="AN123" s="76"/>
      <c r="AO123" s="81" t="e">
        <f>X123</f>
        <v>#DIV/0!</v>
      </c>
      <c r="AP123" s="81" t="e">
        <f>Z123</f>
        <v>#DIV/0!</v>
      </c>
      <c r="AQ123" s="81" t="e">
        <f>V123</f>
        <v>#DIV/0!</v>
      </c>
      <c r="AR123" s="7"/>
      <c r="AS123" s="76">
        <f t="shared" si="121"/>
        <v>21.428571428571427</v>
      </c>
      <c r="AT123" s="7"/>
      <c r="AU123" s="7"/>
      <c r="AV123" s="7"/>
      <c r="AW123" s="7"/>
      <c r="AX123" s="7"/>
      <c r="AY123" s="7"/>
      <c r="AZ123" s="7"/>
      <c r="BA123" s="7"/>
      <c r="BB123" s="7"/>
      <c r="BC123" s="7"/>
      <c r="BD123" s="7"/>
      <c r="BE123" s="7"/>
      <c r="BF123" s="3"/>
      <c r="BG123" s="3"/>
      <c r="BH123" s="3"/>
      <c r="BI123" s="3"/>
      <c r="BJ123" s="3"/>
      <c r="BK123" s="3"/>
      <c r="BL123" s="3"/>
      <c r="BM123" s="3"/>
      <c r="BN123" s="3"/>
      <c r="BO123" s="3"/>
      <c r="BP123" s="3"/>
      <c r="BQ123" s="3"/>
      <c r="BR123" s="3"/>
      <c r="BS123" s="3"/>
      <c r="BT123" s="3"/>
      <c r="BU123" s="3"/>
      <c r="BV123" s="3"/>
      <c r="BW123" s="3"/>
    </row>
    <row r="124" spans="1:75" x14ac:dyDescent="0.3">
      <c r="A124" s="8" t="s">
        <v>21</v>
      </c>
      <c r="B124" s="9" t="s">
        <v>105</v>
      </c>
      <c r="C124" s="7"/>
      <c r="D124" s="7"/>
      <c r="E124" s="7"/>
      <c r="F124" s="71">
        <v>0</v>
      </c>
      <c r="G124" s="51">
        <f>I124+K124</f>
        <v>1</v>
      </c>
      <c r="H124" s="52">
        <f>G124/$J$5*100</f>
        <v>2.3809523809523809</v>
      </c>
      <c r="I124" s="53">
        <f>COUNTIFS('00 Encuesta'!$B$2:$B$511,"*f)*",'00 Encuesta'!$C$2:$C$511,"*a)*",'00 Encuesta'!$E$2:$E$511,"*a)*",'00 Encuesta'!$Q$2:$Q$511,"*d)*")</f>
        <v>0</v>
      </c>
      <c r="J124" s="52">
        <f>I124/$J$6*100</f>
        <v>0</v>
      </c>
      <c r="K124" s="53">
        <f>COUNTIFS('00 Encuesta'!$B$2:$B$511,"*f)*",'00 Encuesta'!$C$2:$C$511,"*a)*",'00 Encuesta'!$E$2:$E$511,"*b)*",'00 Encuesta'!$Q$2:$Q$511,"*d)*")</f>
        <v>1</v>
      </c>
      <c r="L124" s="52">
        <f>K124/$J$7*100</f>
        <v>5</v>
      </c>
      <c r="M124" s="23"/>
      <c r="N124" s="51">
        <f>P124+R124</f>
        <v>0</v>
      </c>
      <c r="O124" s="52" t="e">
        <f>N124/$Q$5*100</f>
        <v>#DIV/0!</v>
      </c>
      <c r="P124" s="53">
        <f>COUNTIFS('00 Encuesta'!$B$2:$B$511,"*f)*",'00 Encuesta'!$C$2:$C$511,"*b)*",'00 Encuesta'!$E$2:$E$511,"*a)*",'00 Encuesta'!$Q$2:$Q$511,"*d)*")</f>
        <v>0</v>
      </c>
      <c r="Q124" s="52" t="e">
        <f>P124/$Q$6*100</f>
        <v>#DIV/0!</v>
      </c>
      <c r="R124" s="53">
        <f>COUNTIFS('00 Encuesta'!$B$2:$B$511,"*f)*",'00 Encuesta'!$C$2:$C$511,"*b)*",'00 Encuesta'!$E$2:$E$511,"*b)*",'00 Encuesta'!$Q$2:$Q$511,"*d)*")</f>
        <v>0</v>
      </c>
      <c r="S124" s="52" t="e">
        <f>R124/$Q$7*100</f>
        <v>#DIV/0!</v>
      </c>
      <c r="T124" s="3"/>
      <c r="U124" s="51">
        <f>W124+Y124</f>
        <v>0</v>
      </c>
      <c r="V124" s="52" t="e">
        <f>U124/$X$5*100</f>
        <v>#DIV/0!</v>
      </c>
      <c r="W124" s="53">
        <f>COUNTIFS('00 Encuesta'!$B$2:$B$511,"*f)*",'00 Encuesta'!$C$2:$C$511,"*c)*",'00 Encuesta'!$E$2:$E$511,"*a)*",'00 Encuesta'!$Q$2:$Q$511,"*d)*")</f>
        <v>0</v>
      </c>
      <c r="X124" s="52" t="e">
        <f>W124/$X$6*100</f>
        <v>#DIV/0!</v>
      </c>
      <c r="Y124" s="53">
        <f>COUNTIFS('00 Encuesta'!$B$2:$B$511,"*f)*",'00 Encuesta'!$C$2:$C$511,"*c)*",'00 Encuesta'!$E$2:$E$511,"*b)*",'00 Encuesta'!$Q$2:$Q$511,"*d)*")</f>
        <v>0</v>
      </c>
      <c r="Z124" s="52" t="e">
        <f>Y124/$X$7*100</f>
        <v>#DIV/0!</v>
      </c>
      <c r="AA124" s="3"/>
      <c r="AB124" s="62">
        <f>G124+N124+U124</f>
        <v>1</v>
      </c>
      <c r="AC124" s="52">
        <f>AB124*100/$AC$5</f>
        <v>2.3809523809523809</v>
      </c>
      <c r="AD124" s="7"/>
      <c r="AE124" s="7"/>
      <c r="AF124" s="9" t="str">
        <f t="shared" si="148"/>
        <v>d) Nada</v>
      </c>
      <c r="AG124" s="72">
        <f>J124</f>
        <v>0</v>
      </c>
      <c r="AH124" s="72">
        <f>L124</f>
        <v>5</v>
      </c>
      <c r="AI124" s="73">
        <f>H124</f>
        <v>2.3809523809523809</v>
      </c>
      <c r="AJ124" s="73"/>
      <c r="AK124" s="76" t="e">
        <f>Q124</f>
        <v>#DIV/0!</v>
      </c>
      <c r="AL124" s="76" t="e">
        <f>S124</f>
        <v>#DIV/0!</v>
      </c>
      <c r="AM124" s="76" t="e">
        <f>O124</f>
        <v>#DIV/0!</v>
      </c>
      <c r="AN124" s="76"/>
      <c r="AO124" s="81" t="e">
        <f>X124</f>
        <v>#DIV/0!</v>
      </c>
      <c r="AP124" s="81" t="e">
        <f>Z124</f>
        <v>#DIV/0!</v>
      </c>
      <c r="AQ124" s="81" t="e">
        <f>V124</f>
        <v>#DIV/0!</v>
      </c>
      <c r="AR124" s="7"/>
      <c r="AS124" s="76">
        <f t="shared" si="121"/>
        <v>2.3809523809523809</v>
      </c>
      <c r="AT124" s="7"/>
      <c r="AU124" s="7"/>
      <c r="AV124" s="7"/>
      <c r="AW124" s="7"/>
      <c r="AX124" s="7"/>
      <c r="AY124" s="7"/>
      <c r="AZ124" s="7"/>
      <c r="BA124" s="7"/>
      <c r="BB124" s="7"/>
      <c r="BC124" s="7"/>
      <c r="BD124" s="7"/>
      <c r="BE124" s="7"/>
      <c r="BF124" s="3"/>
      <c r="BG124" s="3"/>
      <c r="BH124" s="3"/>
      <c r="BI124" s="3"/>
      <c r="BJ124" s="3"/>
      <c r="BK124" s="3"/>
      <c r="BL124" s="3"/>
      <c r="BM124" s="3"/>
      <c r="BN124" s="3"/>
      <c r="BO124" s="3"/>
      <c r="BP124" s="3"/>
      <c r="BQ124" s="3"/>
      <c r="BR124" s="3"/>
      <c r="BS124" s="3"/>
      <c r="BT124" s="3"/>
      <c r="BU124" s="3"/>
      <c r="BV124" s="3"/>
      <c r="BW124" s="3"/>
    </row>
    <row r="125" spans="1:75" x14ac:dyDescent="0.3">
      <c r="A125" s="8" t="s">
        <v>23</v>
      </c>
      <c r="B125" s="9" t="s">
        <v>24</v>
      </c>
      <c r="C125" s="7"/>
      <c r="D125" s="7"/>
      <c r="E125" s="7"/>
      <c r="F125" s="71"/>
      <c r="G125" s="51">
        <f>I125+K125</f>
        <v>0</v>
      </c>
      <c r="H125" s="52">
        <f>G125/$J$5*100</f>
        <v>0</v>
      </c>
      <c r="I125" s="53"/>
      <c r="J125" s="52">
        <f>I125/$J$6*100</f>
        <v>0</v>
      </c>
      <c r="K125" s="53"/>
      <c r="L125" s="52">
        <f>K125/$J$7*100</f>
        <v>0</v>
      </c>
      <c r="M125" s="23"/>
      <c r="N125" s="51">
        <f>P125+R125</f>
        <v>0</v>
      </c>
      <c r="O125" s="52" t="e">
        <f>N125/$Q$5*100</f>
        <v>#DIV/0!</v>
      </c>
      <c r="P125" s="53"/>
      <c r="Q125" s="52" t="e">
        <f>P125/$Q$6*100</f>
        <v>#DIV/0!</v>
      </c>
      <c r="R125" s="53"/>
      <c r="S125" s="52" t="e">
        <f>R125/$Q$7*100</f>
        <v>#DIV/0!</v>
      </c>
      <c r="T125" s="3"/>
      <c r="U125" s="51">
        <f>W125+Y125</f>
        <v>0</v>
      </c>
      <c r="V125" s="52" t="e">
        <f>U125/$X$5*100</f>
        <v>#DIV/0!</v>
      </c>
      <c r="W125" s="53"/>
      <c r="X125" s="52" t="e">
        <f>W125/$X$6*100</f>
        <v>#DIV/0!</v>
      </c>
      <c r="Y125" s="53"/>
      <c r="Z125" s="52" t="e">
        <f>Y125/$X$7*100</f>
        <v>#DIV/0!</v>
      </c>
      <c r="AA125" s="3"/>
      <c r="AB125" s="62">
        <f>G125+N125+U125</f>
        <v>0</v>
      </c>
      <c r="AC125" s="52">
        <f>AB125*100/$AC$5</f>
        <v>0</v>
      </c>
      <c r="AD125" s="7"/>
      <c r="AE125" s="7"/>
      <c r="AF125" s="9" t="str">
        <f t="shared" si="148"/>
        <v>S/R Sin Respuesta</v>
      </c>
      <c r="AG125" s="72">
        <f>J125</f>
        <v>0</v>
      </c>
      <c r="AH125" s="72">
        <f>L125</f>
        <v>0</v>
      </c>
      <c r="AI125" s="73">
        <f>H125</f>
        <v>0</v>
      </c>
      <c r="AJ125" s="73"/>
      <c r="AK125" s="76" t="e">
        <f>Q125</f>
        <v>#DIV/0!</v>
      </c>
      <c r="AL125" s="76" t="e">
        <f>S125</f>
        <v>#DIV/0!</v>
      </c>
      <c r="AM125" s="76" t="e">
        <f>O125</f>
        <v>#DIV/0!</v>
      </c>
      <c r="AN125" s="76"/>
      <c r="AO125" s="81" t="e">
        <f>X125</f>
        <v>#DIV/0!</v>
      </c>
      <c r="AP125" s="81" t="e">
        <f>Z125</f>
        <v>#DIV/0!</v>
      </c>
      <c r="AQ125" s="81" t="e">
        <f>V125</f>
        <v>#DIV/0!</v>
      </c>
      <c r="AR125" s="7"/>
      <c r="AS125" s="76">
        <f t="shared" si="121"/>
        <v>0</v>
      </c>
      <c r="AT125" s="7"/>
      <c r="AU125" s="7"/>
      <c r="AV125" s="7"/>
      <c r="AW125" s="7"/>
      <c r="AX125" s="7"/>
      <c r="AY125" s="7"/>
      <c r="AZ125" s="7"/>
      <c r="BA125" s="7"/>
      <c r="BB125" s="7"/>
      <c r="BC125" s="7"/>
      <c r="BD125" s="7"/>
      <c r="BE125" s="7"/>
      <c r="BF125" s="3"/>
      <c r="BG125" s="3"/>
      <c r="BH125" s="3"/>
      <c r="BI125" s="3"/>
      <c r="BJ125" s="3"/>
      <c r="BK125" s="3"/>
      <c r="BL125" s="3"/>
      <c r="BM125" s="3"/>
      <c r="BN125" s="3"/>
      <c r="BO125" s="3"/>
      <c r="BP125" s="3"/>
      <c r="BQ125" s="3"/>
      <c r="BR125" s="3"/>
      <c r="BS125" s="3"/>
      <c r="BT125" s="3"/>
      <c r="BU125" s="3"/>
      <c r="BV125" s="3"/>
      <c r="BW125" s="3"/>
    </row>
    <row r="126" spans="1:75" x14ac:dyDescent="0.3">
      <c r="A126" s="8"/>
      <c r="B126" s="9"/>
      <c r="C126" s="7"/>
      <c r="D126" s="7"/>
      <c r="E126" s="7"/>
      <c r="F126" s="71"/>
      <c r="G126" s="23"/>
      <c r="H126" s="22"/>
      <c r="I126" s="23"/>
      <c r="J126" s="22"/>
      <c r="K126" s="23"/>
      <c r="L126" s="22"/>
      <c r="M126" s="23"/>
      <c r="N126" s="23"/>
      <c r="O126" s="22"/>
      <c r="P126" s="23"/>
      <c r="Q126" s="22"/>
      <c r="R126" s="23"/>
      <c r="S126" s="22"/>
      <c r="T126" s="3"/>
      <c r="U126" s="23"/>
      <c r="V126" s="22"/>
      <c r="W126" s="23"/>
      <c r="X126" s="22"/>
      <c r="Y126" s="23"/>
      <c r="Z126" s="22"/>
      <c r="AA126" s="3"/>
      <c r="AB126" s="24"/>
      <c r="AC126" s="22"/>
      <c r="AD126" s="7"/>
      <c r="AE126" s="7"/>
      <c r="AF126" s="7"/>
      <c r="AG126" s="82">
        <f>(+$F121*I121+$F122*I122+$F123*I123+$F124*I124)/(+I121+I122+I123+I124)</f>
        <v>71.424761904761894</v>
      </c>
      <c r="AH126" s="82">
        <f>($F121*K121+$F122*K122+$F123*K123+$F124*K124)/(+K121+K122+K123+K124)</f>
        <v>61.662500000000001</v>
      </c>
      <c r="AI126" s="82">
        <f>($F121*G121+$F122*G122+$F123*G123+$F124*G124)/(G121+G122+G123+G124)</f>
        <v>66.662682926829262</v>
      </c>
      <c r="AJ126" s="82"/>
      <c r="AK126" s="82" t="e">
        <f>($F121*P121+$F122*P122+$F123*P123+$F124*P124)/(P121+P122+P123+P124)</f>
        <v>#DIV/0!</v>
      </c>
      <c r="AL126" s="82" t="e">
        <f>($F121*R121+$F122*R122+$F123*R123+$F124*R124)/(R121+R122+R123+R124)</f>
        <v>#DIV/0!</v>
      </c>
      <c r="AM126" s="82" t="e">
        <f>($F121*N121+$F122*N122+$F123*N123+$F124*N124)/(N121+N122+N123+N124)</f>
        <v>#DIV/0!</v>
      </c>
      <c r="AN126" s="82"/>
      <c r="AO126" s="82" t="e">
        <f>($F121*W121+$F122*W122+$F123*W123+$F124*W124)/(W121+W122+W123+W124)</f>
        <v>#DIV/0!</v>
      </c>
      <c r="AP126" s="82" t="e">
        <f>($F121*Y121+$F122*Y122+$F123*Y123+$F124*Y124)/(Y121+Y122+Y123+Y124)</f>
        <v>#DIV/0!</v>
      </c>
      <c r="AQ126" s="82" t="e">
        <f>($F121*U121+$F122*U122+$F123*U123+$F124*U124)/(U121+U122+U123+U124)</f>
        <v>#DIV/0!</v>
      </c>
      <c r="AR126" s="7"/>
      <c r="AS126" s="76"/>
      <c r="AT126" s="7"/>
      <c r="AU126" s="7"/>
      <c r="AV126" s="7"/>
      <c r="AW126" s="7"/>
      <c r="AX126" s="7"/>
      <c r="AY126" s="7"/>
      <c r="AZ126" s="7"/>
      <c r="BA126" s="7"/>
      <c r="BB126" s="7"/>
      <c r="BC126" s="7"/>
      <c r="BD126" s="7"/>
      <c r="BE126" s="7"/>
      <c r="BF126" s="3"/>
      <c r="BG126" s="3"/>
      <c r="BH126" s="3"/>
      <c r="BI126" s="3"/>
      <c r="BJ126" s="3"/>
      <c r="BK126" s="3"/>
      <c r="BL126" s="3"/>
      <c r="BM126" s="3"/>
      <c r="BN126" s="3"/>
      <c r="BO126" s="3"/>
      <c r="BP126" s="3"/>
      <c r="BQ126" s="3"/>
      <c r="BR126" s="3"/>
      <c r="BS126" s="3"/>
      <c r="BT126" s="3"/>
      <c r="BU126" s="3"/>
      <c r="BV126" s="3"/>
      <c r="BW126" s="3"/>
    </row>
    <row r="127" spans="1:75" x14ac:dyDescent="0.3">
      <c r="A127" s="8"/>
      <c r="B127" s="9"/>
      <c r="C127" s="7"/>
      <c r="D127" s="7"/>
      <c r="E127" s="7"/>
      <c r="F127" s="71"/>
      <c r="G127" s="23"/>
      <c r="H127" s="22"/>
      <c r="I127" s="23"/>
      <c r="J127" s="22"/>
      <c r="K127" s="23"/>
      <c r="L127" s="22"/>
      <c r="M127" s="23"/>
      <c r="N127" s="23"/>
      <c r="O127" s="22"/>
      <c r="P127" s="23"/>
      <c r="Q127" s="22"/>
      <c r="R127" s="23"/>
      <c r="S127" s="22"/>
      <c r="T127" s="3"/>
      <c r="U127" s="23"/>
      <c r="V127" s="22"/>
      <c r="W127" s="23"/>
      <c r="X127" s="22"/>
      <c r="Y127" s="23"/>
      <c r="Z127" s="22"/>
      <c r="AA127" s="3"/>
      <c r="AB127" s="24"/>
      <c r="AC127" s="22"/>
      <c r="AD127" s="7"/>
      <c r="AE127" s="7"/>
      <c r="AF127" s="7"/>
      <c r="AG127" s="7"/>
      <c r="AH127" s="7"/>
      <c r="AI127" s="7"/>
      <c r="AJ127" s="7"/>
      <c r="AK127" s="7"/>
      <c r="AL127" s="7"/>
      <c r="AM127" s="7"/>
      <c r="AN127" s="7"/>
      <c r="AO127" s="7"/>
      <c r="AP127" s="7"/>
      <c r="AQ127" s="7"/>
      <c r="AR127" s="7"/>
      <c r="AS127" s="76"/>
      <c r="AT127" s="7"/>
      <c r="AU127" s="7"/>
      <c r="AV127" s="7"/>
      <c r="AW127" s="7"/>
      <c r="AX127" s="7"/>
      <c r="AY127" s="7"/>
      <c r="AZ127" s="7"/>
      <c r="BA127" s="7"/>
      <c r="BB127" s="7"/>
      <c r="BC127" s="7"/>
      <c r="BD127" s="7"/>
      <c r="BE127" s="7"/>
      <c r="BF127" s="3"/>
      <c r="BG127" s="3"/>
      <c r="BH127" s="3"/>
      <c r="BI127" s="3"/>
      <c r="BJ127" s="3"/>
      <c r="BK127" s="3"/>
      <c r="BL127" s="3"/>
      <c r="BM127" s="3"/>
      <c r="BN127" s="3"/>
      <c r="BO127" s="3"/>
      <c r="BP127" s="3"/>
      <c r="BQ127" s="3"/>
      <c r="BR127" s="3"/>
      <c r="BS127" s="3"/>
      <c r="BT127" s="3"/>
      <c r="BU127" s="3"/>
      <c r="BV127" s="3"/>
      <c r="BW127" s="3"/>
    </row>
    <row r="128" spans="1:75" x14ac:dyDescent="0.3">
      <c r="A128" s="70"/>
      <c r="B128" s="9"/>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6"/>
      <c r="AC128" s="41"/>
      <c r="AD128" s="7"/>
      <c r="AE128" s="7"/>
      <c r="AF128" s="7"/>
      <c r="AG128" s="7"/>
      <c r="AH128" s="7"/>
      <c r="AI128" s="7"/>
      <c r="AJ128" s="7"/>
      <c r="AK128" s="7"/>
      <c r="AL128" s="7"/>
      <c r="AM128" s="7"/>
      <c r="AN128" s="7"/>
      <c r="AO128" s="7"/>
      <c r="AP128" s="7"/>
      <c r="AQ128" s="7"/>
      <c r="AR128" s="7"/>
      <c r="AS128" s="76"/>
      <c r="AT128" s="7"/>
      <c r="AU128" s="7"/>
      <c r="AV128" s="7"/>
      <c r="AW128" s="7"/>
      <c r="AX128" s="7"/>
      <c r="AY128" s="7"/>
      <c r="AZ128" s="7"/>
      <c r="BA128" s="7"/>
      <c r="BB128" s="7"/>
      <c r="BC128" s="7"/>
      <c r="BD128" s="7"/>
      <c r="BE128" s="7"/>
      <c r="BF128" s="3"/>
      <c r="BG128" s="3"/>
      <c r="BH128" s="3"/>
      <c r="BI128" s="3"/>
      <c r="BJ128" s="3"/>
      <c r="BK128" s="3"/>
      <c r="BL128" s="3"/>
      <c r="BM128" s="3"/>
      <c r="BN128" s="3"/>
      <c r="BO128" s="3"/>
      <c r="BP128" s="3"/>
      <c r="BQ128" s="3"/>
      <c r="BR128" s="3"/>
      <c r="BS128" s="3"/>
      <c r="BT128" s="3"/>
      <c r="BU128" s="3"/>
      <c r="BV128" s="3"/>
      <c r="BW128" s="3"/>
    </row>
    <row r="129" spans="1:75" x14ac:dyDescent="0.3">
      <c r="A129" s="70">
        <v>16</v>
      </c>
      <c r="B129" s="9" t="s">
        <v>109</v>
      </c>
      <c r="C129" s="7"/>
      <c r="D129" s="7"/>
      <c r="E129" s="7"/>
      <c r="F129" s="71"/>
      <c r="G129" s="51"/>
      <c r="H129" s="52"/>
      <c r="I129" s="53"/>
      <c r="J129" s="52"/>
      <c r="K129" s="53"/>
      <c r="L129" s="66"/>
      <c r="M129" s="23"/>
      <c r="N129" s="51"/>
      <c r="O129" s="52"/>
      <c r="P129" s="53"/>
      <c r="Q129" s="52"/>
      <c r="R129" s="53"/>
      <c r="S129" s="66"/>
      <c r="T129" s="3"/>
      <c r="U129" s="51"/>
      <c r="V129" s="52"/>
      <c r="W129" s="53"/>
      <c r="X129" s="52"/>
      <c r="Y129" s="53"/>
      <c r="Z129" s="66"/>
      <c r="AA129" s="3"/>
      <c r="AB129" s="62"/>
      <c r="AC129" s="52"/>
      <c r="AD129" s="7"/>
      <c r="AE129" s="7"/>
      <c r="AF129" s="88" t="str">
        <f>A129&amp;" "&amp;B129</f>
        <v>16 Los tres aspectos de mi vida por los que más se preocupan mis padres son</v>
      </c>
      <c r="AG129" s="7"/>
      <c r="AH129" s="7"/>
      <c r="AI129" s="7"/>
      <c r="AJ129" s="7"/>
      <c r="AK129" s="7"/>
      <c r="AL129" s="7"/>
      <c r="AM129" s="7"/>
      <c r="AN129" s="7"/>
      <c r="AO129" s="7"/>
      <c r="AP129" s="7"/>
      <c r="AQ129" s="7"/>
      <c r="AR129" s="7"/>
      <c r="AS129" s="76"/>
      <c r="AT129" s="7"/>
      <c r="AU129" s="7"/>
      <c r="AV129" s="7"/>
      <c r="AW129" s="7"/>
      <c r="AX129" s="7"/>
      <c r="AY129" s="7"/>
      <c r="AZ129" s="7"/>
      <c r="BA129" s="7"/>
      <c r="BB129" s="7"/>
      <c r="BC129" s="7"/>
      <c r="BD129" s="7"/>
      <c r="BE129" s="7"/>
      <c r="BF129" s="3"/>
      <c r="BG129" s="3"/>
      <c r="BH129" s="3"/>
      <c r="BI129" s="3"/>
      <c r="BJ129" s="3"/>
      <c r="BK129" s="3"/>
      <c r="BL129" s="3"/>
      <c r="BM129" s="3"/>
      <c r="BN129" s="3"/>
      <c r="BO129" s="3"/>
      <c r="BP129" s="3"/>
      <c r="BQ129" s="3"/>
      <c r="BR129" s="3"/>
      <c r="BS129" s="3"/>
      <c r="BT129" s="3"/>
      <c r="BU129" s="3"/>
      <c r="BV129" s="3"/>
      <c r="BW129" s="3"/>
    </row>
    <row r="130" spans="1:75" x14ac:dyDescent="0.3">
      <c r="A130" s="8" t="s">
        <v>17</v>
      </c>
      <c r="B130" s="9" t="s">
        <v>80</v>
      </c>
      <c r="C130" s="7"/>
      <c r="D130" s="7"/>
      <c r="E130" s="7"/>
      <c r="F130" s="71"/>
      <c r="G130" s="51">
        <f t="shared" ref="G130:G140" si="149">I130+K130</f>
        <v>21</v>
      </c>
      <c r="H130" s="52">
        <f t="shared" ref="H130:H140" si="150">G130/$J$5*100</f>
        <v>50</v>
      </c>
      <c r="I130" s="53">
        <f>COUNTIFS('00 Encuesta'!$B$2:$B$511,"*f)*",'00 Encuesta'!$C$2:$C$511,"*a)*",'00 Encuesta'!$E$2:$E$511,"*a)*",'00 Encuesta'!$R$2:$R$511,"*a)*")</f>
        <v>8</v>
      </c>
      <c r="J130" s="52">
        <f t="shared" ref="J130:J140" si="151">I130/$J$6*100</f>
        <v>36.363636363636367</v>
      </c>
      <c r="K130" s="53">
        <f>COUNTIFS('00 Encuesta'!$B$2:$B$511,"*f)*",'00 Encuesta'!$C$2:$C$511,"*a)*",'00 Encuesta'!$E$2:$E$511,"*b)*",'00 Encuesta'!$R$2:$R$511,"*a)*")</f>
        <v>13</v>
      </c>
      <c r="L130" s="52">
        <f t="shared" ref="L130:L140" si="152">K130/$J$7*100</f>
        <v>65</v>
      </c>
      <c r="M130" s="23"/>
      <c r="N130" s="51">
        <f t="shared" ref="N130:N140" si="153">P130+R130</f>
        <v>0</v>
      </c>
      <c r="O130" s="52" t="e">
        <f t="shared" ref="O130:O140" si="154">N130/$Q$5*100</f>
        <v>#DIV/0!</v>
      </c>
      <c r="P130" s="53">
        <f>COUNTIFS('00 Encuesta'!$B$2:$B$511,"*f)*",'00 Encuesta'!$C$2:$C$511,"*b)*",'00 Encuesta'!$E$2:$E$511,"*a)*",'00 Encuesta'!$R$2:$R$511,"*a)*")</f>
        <v>0</v>
      </c>
      <c r="Q130" s="52" t="e">
        <f t="shared" ref="Q130:Q140" si="155">P130/$Q$6*100</f>
        <v>#DIV/0!</v>
      </c>
      <c r="R130" s="53">
        <f>COUNTIFS('00 Encuesta'!$B$2:$B$511,"*f)*",'00 Encuesta'!$C$2:$C$511,"*b)*",'00 Encuesta'!$E$2:$E$511,"*b)*",'00 Encuesta'!$R$2:$R$511,"*a)*")</f>
        <v>0</v>
      </c>
      <c r="S130" s="52" t="e">
        <f t="shared" ref="S130:S140" si="156">R130/$Q$7*100</f>
        <v>#DIV/0!</v>
      </c>
      <c r="T130" s="3"/>
      <c r="U130" s="51">
        <f t="shared" ref="U130:U140" si="157">W130+Y130</f>
        <v>0</v>
      </c>
      <c r="V130" s="52" t="e">
        <f t="shared" ref="V130:V140" si="158">U130/$X$5*100</f>
        <v>#DIV/0!</v>
      </c>
      <c r="W130" s="53">
        <f>COUNTIFS('00 Encuesta'!$B$2:$B$511,"*f)*",'00 Encuesta'!$C$2:$C$511,"*c)*",'00 Encuesta'!$E$2:$E$511,"*a)*",'00 Encuesta'!$R$2:$R$511,"*a)*")</f>
        <v>0</v>
      </c>
      <c r="X130" s="52" t="e">
        <f t="shared" ref="X130:X140" si="159">W130/$X$6*100</f>
        <v>#DIV/0!</v>
      </c>
      <c r="Y130" s="53">
        <f>COUNTIFS('00 Encuesta'!$B$2:$B$511,"*f)*",'00 Encuesta'!$C$2:$C$511,"*c)*",'00 Encuesta'!$E$2:$E$511,"*b)*",'00 Encuesta'!$R$2:$R$511,"*a)*")</f>
        <v>0</v>
      </c>
      <c r="Z130" s="52" t="e">
        <f t="shared" ref="Z130:Z140" si="160">Y130/$X$7*100</f>
        <v>#DIV/0!</v>
      </c>
      <c r="AA130" s="3"/>
      <c r="AB130" s="62">
        <f t="shared" ref="AB130:AB140" si="161">G130+N130+U130</f>
        <v>21</v>
      </c>
      <c r="AC130" s="52">
        <f t="shared" ref="AC130:AC140" si="162">AB130*100/$AC$5</f>
        <v>50</v>
      </c>
      <c r="AD130" s="7"/>
      <c r="AE130" s="7"/>
      <c r="AF130" s="9" t="str">
        <f t="shared" ref="AF130:AF141" si="163">A130&amp;" "&amp;B130</f>
        <v>a) La familia</v>
      </c>
      <c r="AG130" s="72">
        <f t="shared" ref="AG130:AG141" si="164">J130</f>
        <v>36.363636363636367</v>
      </c>
      <c r="AH130" s="72">
        <f t="shared" ref="AH130:AH141" si="165">L130</f>
        <v>65</v>
      </c>
      <c r="AI130" s="73">
        <f t="shared" ref="AI130:AI141" si="166">H130</f>
        <v>50</v>
      </c>
      <c r="AJ130" s="73"/>
      <c r="AK130" s="76" t="e">
        <f t="shared" ref="AK130:AK141" si="167">Q130</f>
        <v>#DIV/0!</v>
      </c>
      <c r="AL130" s="76" t="e">
        <f t="shared" ref="AL130:AL141" si="168">S130</f>
        <v>#DIV/0!</v>
      </c>
      <c r="AM130" s="76" t="e">
        <f t="shared" ref="AM130:AM141" si="169">O130</f>
        <v>#DIV/0!</v>
      </c>
      <c r="AN130" s="76"/>
      <c r="AO130" s="81" t="e">
        <f t="shared" ref="AO130:AO141" si="170">X130</f>
        <v>#DIV/0!</v>
      </c>
      <c r="AP130" s="81" t="e">
        <f t="shared" ref="AP130:AP141" si="171">Z130</f>
        <v>#DIV/0!</v>
      </c>
      <c r="AQ130" s="81" t="e">
        <f t="shared" ref="AQ130:AQ141" si="172">V130</f>
        <v>#DIV/0!</v>
      </c>
      <c r="AR130" s="7"/>
      <c r="AS130" s="76">
        <f t="shared" si="121"/>
        <v>50</v>
      </c>
      <c r="AT130" s="7"/>
      <c r="AU130" s="7"/>
      <c r="AV130" s="7"/>
      <c r="AW130" s="7"/>
      <c r="AX130" s="7"/>
      <c r="AY130" s="7"/>
      <c r="AZ130" s="7"/>
      <c r="BA130" s="7"/>
      <c r="BB130" s="7"/>
      <c r="BC130" s="7"/>
      <c r="BD130" s="7"/>
      <c r="BE130" s="7"/>
      <c r="BF130" s="3"/>
      <c r="BG130" s="3"/>
      <c r="BH130" s="3"/>
      <c r="BI130" s="3"/>
      <c r="BJ130" s="3"/>
      <c r="BK130" s="3"/>
      <c r="BL130" s="3"/>
      <c r="BM130" s="3"/>
      <c r="BN130" s="3"/>
      <c r="BO130" s="3"/>
      <c r="BP130" s="3"/>
      <c r="BQ130" s="3"/>
      <c r="BR130" s="3"/>
      <c r="BS130" s="3"/>
      <c r="BT130" s="3"/>
      <c r="BU130" s="3"/>
      <c r="BV130" s="3"/>
      <c r="BW130" s="3"/>
    </row>
    <row r="131" spans="1:75" x14ac:dyDescent="0.3">
      <c r="A131" s="8" t="s">
        <v>18</v>
      </c>
      <c r="B131" s="9" t="s">
        <v>81</v>
      </c>
      <c r="C131" s="7"/>
      <c r="D131" s="7"/>
      <c r="E131" s="7"/>
      <c r="F131" s="71"/>
      <c r="G131" s="51">
        <f t="shared" si="149"/>
        <v>11</v>
      </c>
      <c r="H131" s="52">
        <f t="shared" si="150"/>
        <v>26.190476190476193</v>
      </c>
      <c r="I131" s="53">
        <f>COUNTIFS('00 Encuesta'!$B$2:$B$511,"*f)*",'00 Encuesta'!$C$2:$C$511,"*a)*",'00 Encuesta'!$E$2:$E$511,"*a)*",'00 Encuesta'!$R$2:$R$511,"*b)*")</f>
        <v>8</v>
      </c>
      <c r="J131" s="52">
        <f t="shared" si="151"/>
        <v>36.363636363636367</v>
      </c>
      <c r="K131" s="53">
        <f>COUNTIFS('00 Encuesta'!$B$2:$B$511,"*f)*",'00 Encuesta'!$C$2:$C$511,"*a)*",'00 Encuesta'!$E$2:$E$511,"*b)*",'00 Encuesta'!$R$2:$R$511,"*b)*")</f>
        <v>3</v>
      </c>
      <c r="L131" s="52">
        <f t="shared" si="152"/>
        <v>15</v>
      </c>
      <c r="M131" s="23"/>
      <c r="N131" s="51">
        <f t="shared" si="153"/>
        <v>0</v>
      </c>
      <c r="O131" s="52" t="e">
        <f t="shared" si="154"/>
        <v>#DIV/0!</v>
      </c>
      <c r="P131" s="53">
        <f>COUNTIFS('00 Encuesta'!$B$2:$B$511,"*f)*",'00 Encuesta'!$C$2:$C$511,"*b)*",'00 Encuesta'!$E$2:$E$511,"*a)*",'00 Encuesta'!$R$2:$R$511,"*b)*")</f>
        <v>0</v>
      </c>
      <c r="Q131" s="52" t="e">
        <f t="shared" si="155"/>
        <v>#DIV/0!</v>
      </c>
      <c r="R131" s="53">
        <f>COUNTIFS('00 Encuesta'!$B$2:$B$511,"*f)*",'00 Encuesta'!$C$2:$C$511,"*b)*",'00 Encuesta'!$E$2:$E$511,"*b)*",'00 Encuesta'!$R$2:$R$511,"*b)*")</f>
        <v>0</v>
      </c>
      <c r="S131" s="52" t="e">
        <f t="shared" si="156"/>
        <v>#DIV/0!</v>
      </c>
      <c r="T131" s="3"/>
      <c r="U131" s="51">
        <f t="shared" si="157"/>
        <v>0</v>
      </c>
      <c r="V131" s="52" t="e">
        <f t="shared" si="158"/>
        <v>#DIV/0!</v>
      </c>
      <c r="W131" s="53">
        <f>COUNTIFS('00 Encuesta'!$B$2:$B$511,"*f)*",'00 Encuesta'!$C$2:$C$511,"*c)*",'00 Encuesta'!$E$2:$E$511,"*a)*",'00 Encuesta'!$R$2:$R$511,"*b)*")</f>
        <v>0</v>
      </c>
      <c r="X131" s="52" t="e">
        <f t="shared" si="159"/>
        <v>#DIV/0!</v>
      </c>
      <c r="Y131" s="53">
        <f>COUNTIFS('00 Encuesta'!$B$2:$B$511,"*f)*",'00 Encuesta'!$C$2:$C$511,"*c)*",'00 Encuesta'!$E$2:$E$511,"*b)*",'00 Encuesta'!$R$2:$R$511,"*b)*")</f>
        <v>0</v>
      </c>
      <c r="Z131" s="52" t="e">
        <f t="shared" si="160"/>
        <v>#DIV/0!</v>
      </c>
      <c r="AA131" s="3"/>
      <c r="AB131" s="62">
        <f t="shared" si="161"/>
        <v>11</v>
      </c>
      <c r="AC131" s="52">
        <f t="shared" si="162"/>
        <v>26.19047619047619</v>
      </c>
      <c r="AD131" s="7"/>
      <c r="AE131" s="7"/>
      <c r="AF131" s="9" t="str">
        <f t="shared" si="163"/>
        <v>b) Los amigos</v>
      </c>
      <c r="AG131" s="72">
        <f t="shared" si="164"/>
        <v>36.363636363636367</v>
      </c>
      <c r="AH131" s="72">
        <f t="shared" si="165"/>
        <v>15</v>
      </c>
      <c r="AI131" s="73">
        <f t="shared" si="166"/>
        <v>26.190476190476193</v>
      </c>
      <c r="AJ131" s="73"/>
      <c r="AK131" s="76" t="e">
        <f t="shared" si="167"/>
        <v>#DIV/0!</v>
      </c>
      <c r="AL131" s="76" t="e">
        <f t="shared" si="168"/>
        <v>#DIV/0!</v>
      </c>
      <c r="AM131" s="76" t="e">
        <f t="shared" si="169"/>
        <v>#DIV/0!</v>
      </c>
      <c r="AN131" s="76"/>
      <c r="AO131" s="81" t="e">
        <f t="shared" si="170"/>
        <v>#DIV/0!</v>
      </c>
      <c r="AP131" s="81" t="e">
        <f t="shared" si="171"/>
        <v>#DIV/0!</v>
      </c>
      <c r="AQ131" s="81" t="e">
        <f t="shared" si="172"/>
        <v>#DIV/0!</v>
      </c>
      <c r="AR131" s="7"/>
      <c r="AS131" s="76">
        <f t="shared" si="121"/>
        <v>26.19047619047619</v>
      </c>
      <c r="AT131" s="7"/>
      <c r="AU131" s="7"/>
      <c r="AV131" s="7"/>
      <c r="AW131" s="7"/>
      <c r="AX131" s="7"/>
      <c r="AY131" s="7"/>
      <c r="AZ131" s="7"/>
      <c r="BA131" s="7"/>
      <c r="BB131" s="7"/>
      <c r="BC131" s="7"/>
      <c r="BD131" s="7"/>
      <c r="BE131" s="7"/>
      <c r="BF131" s="3"/>
      <c r="BG131" s="3"/>
      <c r="BH131" s="3"/>
      <c r="BI131" s="3"/>
      <c r="BJ131" s="3"/>
      <c r="BK131" s="3"/>
      <c r="BL131" s="3"/>
      <c r="BM131" s="3"/>
      <c r="BN131" s="3"/>
      <c r="BO131" s="3"/>
      <c r="BP131" s="3"/>
      <c r="BQ131" s="3"/>
      <c r="BR131" s="3"/>
      <c r="BS131" s="3"/>
      <c r="BT131" s="3"/>
      <c r="BU131" s="3"/>
      <c r="BV131" s="3"/>
      <c r="BW131" s="3"/>
    </row>
    <row r="132" spans="1:75" x14ac:dyDescent="0.3">
      <c r="A132" s="8" t="s">
        <v>20</v>
      </c>
      <c r="B132" s="9" t="s">
        <v>82</v>
      </c>
      <c r="C132" s="7"/>
      <c r="D132" s="7"/>
      <c r="E132" s="7"/>
      <c r="F132" s="71"/>
      <c r="G132" s="51">
        <f t="shared" si="149"/>
        <v>27</v>
      </c>
      <c r="H132" s="52">
        <f t="shared" si="150"/>
        <v>64.285714285714292</v>
      </c>
      <c r="I132" s="53">
        <f>COUNTIFS('00 Encuesta'!$B$2:$B$511,"*f)*",'00 Encuesta'!$C$2:$C$511,"*a)*",'00 Encuesta'!$E$2:$E$511,"*a)*",'00 Encuesta'!$R$2:$R$511,"*c)*")</f>
        <v>12</v>
      </c>
      <c r="J132" s="52">
        <f t="shared" si="151"/>
        <v>54.54545454545454</v>
      </c>
      <c r="K132" s="53">
        <f>COUNTIFS('00 Encuesta'!$B$2:$B$511,"*f)*",'00 Encuesta'!$C$2:$C$511,"*a)*",'00 Encuesta'!$E$2:$E$511,"*b)*",'00 Encuesta'!$R$2:$R$511,"*c)*")</f>
        <v>15</v>
      </c>
      <c r="L132" s="52">
        <f t="shared" si="152"/>
        <v>75</v>
      </c>
      <c r="M132" s="23"/>
      <c r="N132" s="51">
        <f t="shared" si="153"/>
        <v>0</v>
      </c>
      <c r="O132" s="52" t="e">
        <f t="shared" si="154"/>
        <v>#DIV/0!</v>
      </c>
      <c r="P132" s="53">
        <f>COUNTIFS('00 Encuesta'!$B$2:$B$511,"*f)*",'00 Encuesta'!$C$2:$C$511,"*b)*",'00 Encuesta'!$E$2:$E$511,"*a)*",'00 Encuesta'!$R$2:$R$511,"*c)*")</f>
        <v>0</v>
      </c>
      <c r="Q132" s="52" t="e">
        <f t="shared" si="155"/>
        <v>#DIV/0!</v>
      </c>
      <c r="R132" s="53">
        <f>COUNTIFS('00 Encuesta'!$B$2:$B$511,"*f)*",'00 Encuesta'!$C$2:$C$511,"*b)*",'00 Encuesta'!$E$2:$E$511,"*b)*",'00 Encuesta'!$R$2:$R$511,"*c)*")</f>
        <v>0</v>
      </c>
      <c r="S132" s="52" t="e">
        <f t="shared" si="156"/>
        <v>#DIV/0!</v>
      </c>
      <c r="T132" s="3"/>
      <c r="U132" s="51">
        <f t="shared" si="157"/>
        <v>0</v>
      </c>
      <c r="V132" s="52" t="e">
        <f t="shared" si="158"/>
        <v>#DIV/0!</v>
      </c>
      <c r="W132" s="53">
        <f>COUNTIFS('00 Encuesta'!$B$2:$B$511,"*f)*",'00 Encuesta'!$C$2:$C$511,"*c)*",'00 Encuesta'!$E$2:$E$511,"*a)*",'00 Encuesta'!$R$2:$R$511,"*c)*")</f>
        <v>0</v>
      </c>
      <c r="X132" s="52" t="e">
        <f t="shared" si="159"/>
        <v>#DIV/0!</v>
      </c>
      <c r="Y132" s="53">
        <f>COUNTIFS('00 Encuesta'!$B$2:$B$511,"*f)*",'00 Encuesta'!$C$2:$C$511,"*c)*",'00 Encuesta'!$E$2:$E$511,"*b)*",'00 Encuesta'!$R$2:$R$511,"*c)*")</f>
        <v>0</v>
      </c>
      <c r="Z132" s="52" t="e">
        <f t="shared" si="160"/>
        <v>#DIV/0!</v>
      </c>
      <c r="AA132" s="3"/>
      <c r="AB132" s="62">
        <f t="shared" si="161"/>
        <v>27</v>
      </c>
      <c r="AC132" s="52">
        <f t="shared" si="162"/>
        <v>64.285714285714292</v>
      </c>
      <c r="AD132" s="7"/>
      <c r="AE132" s="7"/>
      <c r="AF132" s="9" t="str">
        <f t="shared" si="163"/>
        <v>c) Los estudios</v>
      </c>
      <c r="AG132" s="72">
        <f t="shared" si="164"/>
        <v>54.54545454545454</v>
      </c>
      <c r="AH132" s="72">
        <f t="shared" si="165"/>
        <v>75</v>
      </c>
      <c r="AI132" s="73">
        <f t="shared" si="166"/>
        <v>64.285714285714292</v>
      </c>
      <c r="AJ132" s="73"/>
      <c r="AK132" s="76" t="e">
        <f t="shared" si="167"/>
        <v>#DIV/0!</v>
      </c>
      <c r="AL132" s="76" t="e">
        <f t="shared" si="168"/>
        <v>#DIV/0!</v>
      </c>
      <c r="AM132" s="76" t="e">
        <f t="shared" si="169"/>
        <v>#DIV/0!</v>
      </c>
      <c r="AN132" s="76"/>
      <c r="AO132" s="81" t="e">
        <f t="shared" si="170"/>
        <v>#DIV/0!</v>
      </c>
      <c r="AP132" s="81" t="e">
        <f t="shared" si="171"/>
        <v>#DIV/0!</v>
      </c>
      <c r="AQ132" s="81" t="e">
        <f t="shared" si="172"/>
        <v>#DIV/0!</v>
      </c>
      <c r="AR132" s="7"/>
      <c r="AS132" s="76">
        <f t="shared" si="121"/>
        <v>64.285714285714292</v>
      </c>
      <c r="AT132" s="7"/>
      <c r="AU132" s="7"/>
      <c r="AV132" s="7"/>
      <c r="AW132" s="7"/>
      <c r="AX132" s="7"/>
      <c r="AY132" s="7"/>
      <c r="AZ132" s="7"/>
      <c r="BA132" s="7"/>
      <c r="BB132" s="7"/>
      <c r="BC132" s="7"/>
      <c r="BD132" s="7"/>
      <c r="BE132" s="7"/>
      <c r="BF132" s="3"/>
      <c r="BG132" s="3"/>
      <c r="BH132" s="3"/>
      <c r="BI132" s="3"/>
      <c r="BJ132" s="3"/>
      <c r="BK132" s="3"/>
      <c r="BL132" s="3"/>
      <c r="BM132" s="3"/>
      <c r="BN132" s="3"/>
      <c r="BO132" s="3"/>
      <c r="BP132" s="3"/>
      <c r="BQ132" s="3"/>
      <c r="BR132" s="3"/>
      <c r="BS132" s="3"/>
      <c r="BT132" s="3"/>
      <c r="BU132" s="3"/>
      <c r="BV132" s="3"/>
      <c r="BW132" s="3"/>
    </row>
    <row r="133" spans="1:75" x14ac:dyDescent="0.3">
      <c r="A133" s="8" t="s">
        <v>21</v>
      </c>
      <c r="B133" s="9" t="s">
        <v>83</v>
      </c>
      <c r="C133" s="7"/>
      <c r="D133" s="7"/>
      <c r="E133" s="7"/>
      <c r="F133" s="71"/>
      <c r="G133" s="51">
        <f t="shared" si="149"/>
        <v>10</v>
      </c>
      <c r="H133" s="52">
        <f t="shared" si="150"/>
        <v>23.809523809523807</v>
      </c>
      <c r="I133" s="53">
        <f>COUNTIFS('00 Encuesta'!$B$2:$B$511,"*f)*",'00 Encuesta'!$C$2:$C$511,"*a)*",'00 Encuesta'!$E$2:$E$511,"*a)*",'00 Encuesta'!$R$2:$R$511,"*d)*")</f>
        <v>5</v>
      </c>
      <c r="J133" s="52">
        <f t="shared" si="151"/>
        <v>22.727272727272727</v>
      </c>
      <c r="K133" s="53">
        <f>COUNTIFS('00 Encuesta'!$B$2:$B$511,"*f)*",'00 Encuesta'!$C$2:$C$511,"*a)*",'00 Encuesta'!$E$2:$E$511,"*b)*",'00 Encuesta'!$R$2:$R$511,"*d)*")</f>
        <v>5</v>
      </c>
      <c r="L133" s="52">
        <f t="shared" si="152"/>
        <v>25</v>
      </c>
      <c r="M133" s="23"/>
      <c r="N133" s="51">
        <f t="shared" si="153"/>
        <v>0</v>
      </c>
      <c r="O133" s="52" t="e">
        <f t="shared" si="154"/>
        <v>#DIV/0!</v>
      </c>
      <c r="P133" s="53">
        <f>COUNTIFS('00 Encuesta'!$B$2:$B$511,"*f)*",'00 Encuesta'!$C$2:$C$511,"*b)*",'00 Encuesta'!$E$2:$E$511,"*a)*",'00 Encuesta'!$R$2:$R$511,"*d)*")</f>
        <v>0</v>
      </c>
      <c r="Q133" s="52" t="e">
        <f t="shared" si="155"/>
        <v>#DIV/0!</v>
      </c>
      <c r="R133" s="53">
        <f>COUNTIFS('00 Encuesta'!$B$2:$B$511,"*f)*",'00 Encuesta'!$C$2:$C$511,"*b)*",'00 Encuesta'!$E$2:$E$511,"*b)*",'00 Encuesta'!$R$2:$R$511,"*d)*")</f>
        <v>0</v>
      </c>
      <c r="S133" s="52" t="e">
        <f t="shared" si="156"/>
        <v>#DIV/0!</v>
      </c>
      <c r="T133" s="3"/>
      <c r="U133" s="51">
        <f t="shared" si="157"/>
        <v>0</v>
      </c>
      <c r="V133" s="52" t="e">
        <f t="shared" si="158"/>
        <v>#DIV/0!</v>
      </c>
      <c r="W133" s="53">
        <f>COUNTIFS('00 Encuesta'!$B$2:$B$511,"*f)*",'00 Encuesta'!$C$2:$C$511,"*c)*",'00 Encuesta'!$E$2:$E$511,"*a)*",'00 Encuesta'!$R$2:$R$511,"*d)*")</f>
        <v>0</v>
      </c>
      <c r="X133" s="52" t="e">
        <f t="shared" si="159"/>
        <v>#DIV/0!</v>
      </c>
      <c r="Y133" s="53">
        <f>COUNTIFS('00 Encuesta'!$B$2:$B$511,"*f)*",'00 Encuesta'!$C$2:$C$511,"*c)*",'00 Encuesta'!$E$2:$E$511,"*b)*",'00 Encuesta'!$R$2:$R$511,"*d)*")</f>
        <v>0</v>
      </c>
      <c r="Z133" s="52" t="e">
        <f t="shared" si="160"/>
        <v>#DIV/0!</v>
      </c>
      <c r="AA133" s="3"/>
      <c r="AB133" s="62">
        <f t="shared" si="161"/>
        <v>10</v>
      </c>
      <c r="AC133" s="52">
        <f t="shared" si="162"/>
        <v>23.80952380952381</v>
      </c>
      <c r="AD133" s="7"/>
      <c r="AE133" s="7"/>
      <c r="AF133" s="9" t="str">
        <f t="shared" si="163"/>
        <v>d) El cuidado de mi cuerpo</v>
      </c>
      <c r="AG133" s="72">
        <f t="shared" si="164"/>
        <v>22.727272727272727</v>
      </c>
      <c r="AH133" s="72">
        <f t="shared" si="165"/>
        <v>25</v>
      </c>
      <c r="AI133" s="73">
        <f t="shared" si="166"/>
        <v>23.809523809523807</v>
      </c>
      <c r="AJ133" s="73"/>
      <c r="AK133" s="76" t="e">
        <f t="shared" si="167"/>
        <v>#DIV/0!</v>
      </c>
      <c r="AL133" s="76" t="e">
        <f t="shared" si="168"/>
        <v>#DIV/0!</v>
      </c>
      <c r="AM133" s="76" t="e">
        <f t="shared" si="169"/>
        <v>#DIV/0!</v>
      </c>
      <c r="AN133" s="76"/>
      <c r="AO133" s="81" t="e">
        <f t="shared" si="170"/>
        <v>#DIV/0!</v>
      </c>
      <c r="AP133" s="81" t="e">
        <f t="shared" si="171"/>
        <v>#DIV/0!</v>
      </c>
      <c r="AQ133" s="81" t="e">
        <f t="shared" si="172"/>
        <v>#DIV/0!</v>
      </c>
      <c r="AR133" s="7"/>
      <c r="AS133" s="76">
        <f t="shared" si="121"/>
        <v>23.80952380952381</v>
      </c>
      <c r="AT133" s="7"/>
      <c r="AU133" s="7"/>
      <c r="AV133" s="7"/>
      <c r="AW133" s="7"/>
      <c r="AX133" s="7"/>
      <c r="AY133" s="7"/>
      <c r="AZ133" s="7"/>
      <c r="BA133" s="7"/>
      <c r="BB133" s="7"/>
      <c r="BC133" s="7"/>
      <c r="BD133" s="7"/>
      <c r="BE133" s="7"/>
      <c r="BF133" s="3"/>
      <c r="BG133" s="3"/>
      <c r="BH133" s="3"/>
      <c r="BI133" s="3"/>
      <c r="BJ133" s="3"/>
      <c r="BK133" s="3"/>
      <c r="BL133" s="3"/>
      <c r="BM133" s="3"/>
      <c r="BN133" s="3"/>
      <c r="BO133" s="3"/>
      <c r="BP133" s="3"/>
      <c r="BQ133" s="3"/>
      <c r="BR133" s="3"/>
      <c r="BS133" s="3"/>
      <c r="BT133" s="3"/>
      <c r="BU133" s="3"/>
      <c r="BV133" s="3"/>
      <c r="BW133" s="3"/>
    </row>
    <row r="134" spans="1:75" x14ac:dyDescent="0.3">
      <c r="A134" s="8" t="s">
        <v>22</v>
      </c>
      <c r="B134" s="9" t="s">
        <v>84</v>
      </c>
      <c r="C134" s="7"/>
      <c r="D134" s="7"/>
      <c r="E134" s="7"/>
      <c r="F134" s="71"/>
      <c r="G134" s="51">
        <f t="shared" si="149"/>
        <v>0</v>
      </c>
      <c r="H134" s="52">
        <f t="shared" si="150"/>
        <v>0</v>
      </c>
      <c r="I134" s="53">
        <f>COUNTIFS('00 Encuesta'!$B$2:$B$511,"*f)*",'00 Encuesta'!$C$2:$C$511,"*a)*",'00 Encuesta'!$E$2:$E$511,"*a)*",'00 Encuesta'!$R$2:$R$511,"*e)*")</f>
        <v>0</v>
      </c>
      <c r="J134" s="52">
        <f t="shared" si="151"/>
        <v>0</v>
      </c>
      <c r="K134" s="53">
        <f>COUNTIFS('00 Encuesta'!$B$2:$B$511,"*f)*",'00 Encuesta'!$C$2:$C$511,"*a)*",'00 Encuesta'!$E$2:$E$511,"*b)*",'00 Encuesta'!$R$2:$R$511,"*e)*")</f>
        <v>0</v>
      </c>
      <c r="L134" s="52">
        <f t="shared" si="152"/>
        <v>0</v>
      </c>
      <c r="M134" s="23"/>
      <c r="N134" s="51">
        <f t="shared" si="153"/>
        <v>0</v>
      </c>
      <c r="O134" s="52" t="e">
        <f t="shared" si="154"/>
        <v>#DIV/0!</v>
      </c>
      <c r="P134" s="53">
        <f>COUNTIFS('00 Encuesta'!$B$2:$B$511,"*f)*",'00 Encuesta'!$C$2:$C$511,"*b)*",'00 Encuesta'!$E$2:$E$511,"*a)*",'00 Encuesta'!$R$2:$R$511,"*e)*")</f>
        <v>0</v>
      </c>
      <c r="Q134" s="52" t="e">
        <f t="shared" si="155"/>
        <v>#DIV/0!</v>
      </c>
      <c r="R134" s="53">
        <f>COUNTIFS('00 Encuesta'!$B$2:$B$511,"*f)*",'00 Encuesta'!$C$2:$C$511,"*b)*",'00 Encuesta'!$E$2:$E$511,"*b)*",'00 Encuesta'!$R$2:$R$511,"*e)*")</f>
        <v>0</v>
      </c>
      <c r="S134" s="52" t="e">
        <f t="shared" si="156"/>
        <v>#DIV/0!</v>
      </c>
      <c r="T134" s="3"/>
      <c r="U134" s="51">
        <f t="shared" si="157"/>
        <v>0</v>
      </c>
      <c r="V134" s="52" t="e">
        <f t="shared" si="158"/>
        <v>#DIV/0!</v>
      </c>
      <c r="W134" s="53">
        <f>COUNTIFS('00 Encuesta'!$B$2:$B$511,"*f)*",'00 Encuesta'!$C$2:$C$511,"*c)*",'00 Encuesta'!$E$2:$E$511,"*a)*",'00 Encuesta'!$R$2:$R$511,"*e)*")</f>
        <v>0</v>
      </c>
      <c r="X134" s="52" t="e">
        <f t="shared" si="159"/>
        <v>#DIV/0!</v>
      </c>
      <c r="Y134" s="53">
        <f>COUNTIFS('00 Encuesta'!$B$2:$B$511,"*f)*",'00 Encuesta'!$C$2:$C$511,"*c)*",'00 Encuesta'!$E$2:$E$511,"*b)*",'00 Encuesta'!$R$2:$R$511,"*e)*")</f>
        <v>0</v>
      </c>
      <c r="Z134" s="52" t="e">
        <f t="shared" si="160"/>
        <v>#DIV/0!</v>
      </c>
      <c r="AA134" s="3"/>
      <c r="AB134" s="62">
        <f t="shared" si="161"/>
        <v>0</v>
      </c>
      <c r="AC134" s="52">
        <f t="shared" si="162"/>
        <v>0</v>
      </c>
      <c r="AD134" s="7"/>
      <c r="AE134" s="7"/>
      <c r="AF134" s="9" t="str">
        <f t="shared" si="163"/>
        <v>e) Disponer de dinero</v>
      </c>
      <c r="AG134" s="72">
        <f t="shared" si="164"/>
        <v>0</v>
      </c>
      <c r="AH134" s="72">
        <f t="shared" si="165"/>
        <v>0</v>
      </c>
      <c r="AI134" s="73">
        <f t="shared" si="166"/>
        <v>0</v>
      </c>
      <c r="AJ134" s="73"/>
      <c r="AK134" s="76" t="e">
        <f t="shared" si="167"/>
        <v>#DIV/0!</v>
      </c>
      <c r="AL134" s="76" t="e">
        <f t="shared" si="168"/>
        <v>#DIV/0!</v>
      </c>
      <c r="AM134" s="76" t="e">
        <f t="shared" si="169"/>
        <v>#DIV/0!</v>
      </c>
      <c r="AN134" s="76"/>
      <c r="AO134" s="81" t="e">
        <f t="shared" si="170"/>
        <v>#DIV/0!</v>
      </c>
      <c r="AP134" s="81" t="e">
        <f t="shared" si="171"/>
        <v>#DIV/0!</v>
      </c>
      <c r="AQ134" s="81" t="e">
        <f t="shared" si="172"/>
        <v>#DIV/0!</v>
      </c>
      <c r="AR134" s="7"/>
      <c r="AS134" s="76">
        <f t="shared" si="121"/>
        <v>0</v>
      </c>
      <c r="AT134" s="7"/>
      <c r="AU134" s="7"/>
      <c r="AV134" s="7"/>
      <c r="AW134" s="7"/>
      <c r="AX134" s="7"/>
      <c r="AY134" s="7"/>
      <c r="AZ134" s="7"/>
      <c r="BA134" s="7"/>
      <c r="BB134" s="7"/>
      <c r="BC134" s="7"/>
      <c r="BD134" s="7"/>
      <c r="BE134" s="7"/>
      <c r="BF134" s="3"/>
      <c r="BG134" s="3"/>
      <c r="BH134" s="3"/>
      <c r="BI134" s="3"/>
      <c r="BJ134" s="3"/>
      <c r="BK134" s="3"/>
      <c r="BL134" s="3"/>
      <c r="BM134" s="3"/>
      <c r="BN134" s="3"/>
      <c r="BO134" s="3"/>
      <c r="BP134" s="3"/>
      <c r="BQ134" s="3"/>
      <c r="BR134" s="3"/>
      <c r="BS134" s="3"/>
      <c r="BT134" s="3"/>
      <c r="BU134" s="3"/>
      <c r="BV134" s="3"/>
      <c r="BW134" s="3"/>
    </row>
    <row r="135" spans="1:75" x14ac:dyDescent="0.3">
      <c r="A135" s="8" t="s">
        <v>45</v>
      </c>
      <c r="B135" s="9" t="s">
        <v>110</v>
      </c>
      <c r="C135" s="7"/>
      <c r="D135" s="7"/>
      <c r="E135" s="7"/>
      <c r="F135" s="71"/>
      <c r="G135" s="51">
        <f t="shared" si="149"/>
        <v>13</v>
      </c>
      <c r="H135" s="52">
        <f t="shared" si="150"/>
        <v>30.952380952380953</v>
      </c>
      <c r="I135" s="53">
        <f>COUNTIFS('00 Encuesta'!$B$2:$B$511,"*f)*",'00 Encuesta'!$C$2:$C$511,"*a)*",'00 Encuesta'!$E$2:$E$511,"*a)*",'00 Encuesta'!$R$2:$R$511,"*f)*")</f>
        <v>3</v>
      </c>
      <c r="J135" s="52">
        <f t="shared" si="151"/>
        <v>13.636363636363635</v>
      </c>
      <c r="K135" s="53">
        <f>COUNTIFS('00 Encuesta'!$B$2:$B$511,"*f)*",'00 Encuesta'!$C$2:$C$511,"*a)*",'00 Encuesta'!$E$2:$E$511,"*b)*",'00 Encuesta'!$R$2:$R$511,"*f)*")</f>
        <v>10</v>
      </c>
      <c r="L135" s="52">
        <f t="shared" si="152"/>
        <v>50</v>
      </c>
      <c r="M135" s="23"/>
      <c r="N135" s="51">
        <f t="shared" si="153"/>
        <v>0</v>
      </c>
      <c r="O135" s="52" t="e">
        <f t="shared" si="154"/>
        <v>#DIV/0!</v>
      </c>
      <c r="P135" s="53">
        <f>COUNTIFS('00 Encuesta'!$B$2:$B$511,"*f)*",'00 Encuesta'!$C$2:$C$511,"*b)*",'00 Encuesta'!$E$2:$E$511,"*a)*",'00 Encuesta'!$R$2:$R$511,"*f)*")</f>
        <v>0</v>
      </c>
      <c r="Q135" s="52" t="e">
        <f t="shared" si="155"/>
        <v>#DIV/0!</v>
      </c>
      <c r="R135" s="53">
        <f>COUNTIFS('00 Encuesta'!$B$2:$B$511,"*f)*",'00 Encuesta'!$C$2:$C$511,"*b)*",'00 Encuesta'!$E$2:$E$511,"*b)*",'00 Encuesta'!$R$2:$R$511,"*f)*")</f>
        <v>0</v>
      </c>
      <c r="S135" s="52" t="e">
        <f t="shared" si="156"/>
        <v>#DIV/0!</v>
      </c>
      <c r="T135" s="3"/>
      <c r="U135" s="51">
        <f t="shared" si="157"/>
        <v>0</v>
      </c>
      <c r="V135" s="52" t="e">
        <f t="shared" si="158"/>
        <v>#DIV/0!</v>
      </c>
      <c r="W135" s="53">
        <f>COUNTIFS('00 Encuesta'!$B$2:$B$511,"*f)*",'00 Encuesta'!$C$2:$C$511,"*c)*",'00 Encuesta'!$E$2:$E$511,"*a)*",'00 Encuesta'!$R$2:$R$511,"*f)*")</f>
        <v>0</v>
      </c>
      <c r="X135" s="52" t="e">
        <f t="shared" si="159"/>
        <v>#DIV/0!</v>
      </c>
      <c r="Y135" s="53">
        <f>COUNTIFS('00 Encuesta'!$B$2:$B$511,"*f)*",'00 Encuesta'!$C$2:$C$511,"*c)*",'00 Encuesta'!$E$2:$E$511,"*b)*",'00 Encuesta'!$R$2:$R$511,"*f)*")</f>
        <v>0</v>
      </c>
      <c r="Z135" s="52" t="e">
        <f t="shared" si="160"/>
        <v>#DIV/0!</v>
      </c>
      <c r="AA135" s="3"/>
      <c r="AB135" s="62">
        <f t="shared" si="161"/>
        <v>13</v>
      </c>
      <c r="AC135" s="52">
        <f t="shared" si="162"/>
        <v>30.952380952380953</v>
      </c>
      <c r="AD135" s="7"/>
      <c r="AE135" s="7"/>
      <c r="AF135" s="9" t="str">
        <f t="shared" si="163"/>
        <v>f) Mi fe y mi vida cristiana</v>
      </c>
      <c r="AG135" s="72">
        <f t="shared" si="164"/>
        <v>13.636363636363635</v>
      </c>
      <c r="AH135" s="72">
        <f t="shared" si="165"/>
        <v>50</v>
      </c>
      <c r="AI135" s="73">
        <f t="shared" si="166"/>
        <v>30.952380952380953</v>
      </c>
      <c r="AJ135" s="73"/>
      <c r="AK135" s="76" t="e">
        <f t="shared" si="167"/>
        <v>#DIV/0!</v>
      </c>
      <c r="AL135" s="76" t="e">
        <f t="shared" si="168"/>
        <v>#DIV/0!</v>
      </c>
      <c r="AM135" s="76" t="e">
        <f t="shared" si="169"/>
        <v>#DIV/0!</v>
      </c>
      <c r="AN135" s="76"/>
      <c r="AO135" s="81" t="e">
        <f t="shared" si="170"/>
        <v>#DIV/0!</v>
      </c>
      <c r="AP135" s="81" t="e">
        <f t="shared" si="171"/>
        <v>#DIV/0!</v>
      </c>
      <c r="AQ135" s="81" t="e">
        <f t="shared" si="172"/>
        <v>#DIV/0!</v>
      </c>
      <c r="AR135" s="7"/>
      <c r="AS135" s="76">
        <f t="shared" si="121"/>
        <v>30.952380952380953</v>
      </c>
      <c r="AT135" s="7"/>
      <c r="AU135" s="7"/>
      <c r="AV135" s="7"/>
      <c r="AW135" s="7"/>
      <c r="AX135" s="7"/>
      <c r="AY135" s="7"/>
      <c r="AZ135" s="7"/>
      <c r="BA135" s="7"/>
      <c r="BB135" s="7"/>
      <c r="BC135" s="7"/>
      <c r="BD135" s="7"/>
      <c r="BE135" s="7"/>
      <c r="BF135" s="3"/>
      <c r="BG135" s="3"/>
      <c r="BH135" s="3"/>
      <c r="BI135" s="3"/>
      <c r="BJ135" s="3"/>
      <c r="BK135" s="3"/>
      <c r="BL135" s="3"/>
      <c r="BM135" s="3"/>
      <c r="BN135" s="3"/>
      <c r="BO135" s="3"/>
      <c r="BP135" s="3"/>
      <c r="BQ135" s="3"/>
      <c r="BR135" s="3"/>
      <c r="BS135" s="3"/>
      <c r="BT135" s="3"/>
      <c r="BU135" s="3"/>
      <c r="BV135" s="3"/>
      <c r="BW135" s="3"/>
    </row>
    <row r="136" spans="1:75" x14ac:dyDescent="0.3">
      <c r="A136" s="8" t="s">
        <v>61</v>
      </c>
      <c r="B136" s="9" t="s">
        <v>86</v>
      </c>
      <c r="C136" s="7"/>
      <c r="D136" s="7"/>
      <c r="E136" s="7"/>
      <c r="F136" s="71"/>
      <c r="G136" s="51">
        <f t="shared" si="149"/>
        <v>10</v>
      </c>
      <c r="H136" s="52">
        <f t="shared" si="150"/>
        <v>23.809523809523807</v>
      </c>
      <c r="I136" s="53">
        <f>COUNTIFS('00 Encuesta'!$B$2:$B$511,"*f)*",'00 Encuesta'!$C$2:$C$511,"*a)*",'00 Encuesta'!$E$2:$E$511,"*a)*",'00 Encuesta'!$R$2:$R$511,"*g)*")</f>
        <v>5</v>
      </c>
      <c r="J136" s="52">
        <f t="shared" si="151"/>
        <v>22.727272727272727</v>
      </c>
      <c r="K136" s="53">
        <f>COUNTIFS('00 Encuesta'!$B$2:$B$511,"*f)*",'00 Encuesta'!$C$2:$C$511,"*a)*",'00 Encuesta'!$E$2:$E$511,"*b)*",'00 Encuesta'!$R$2:$R$511,"*g)*")</f>
        <v>5</v>
      </c>
      <c r="L136" s="52">
        <f t="shared" si="152"/>
        <v>25</v>
      </c>
      <c r="M136" s="23"/>
      <c r="N136" s="51">
        <f t="shared" si="153"/>
        <v>0</v>
      </c>
      <c r="O136" s="52" t="e">
        <f t="shared" si="154"/>
        <v>#DIV/0!</v>
      </c>
      <c r="P136" s="53">
        <f>COUNTIFS('00 Encuesta'!$B$2:$B$511,"*f)*",'00 Encuesta'!$C$2:$C$511,"*b)*",'00 Encuesta'!$E$2:$E$511,"*a)*",'00 Encuesta'!$R$2:$R$511,"*g)*")</f>
        <v>0</v>
      </c>
      <c r="Q136" s="52" t="e">
        <f t="shared" si="155"/>
        <v>#DIV/0!</v>
      </c>
      <c r="R136" s="53">
        <f>COUNTIFS('00 Encuesta'!$B$2:$B$511,"*f)*",'00 Encuesta'!$C$2:$C$511,"*b)*",'00 Encuesta'!$E$2:$E$511,"*b)*",'00 Encuesta'!$R$2:$R$511,"*g)*")</f>
        <v>0</v>
      </c>
      <c r="S136" s="52" t="e">
        <f t="shared" si="156"/>
        <v>#DIV/0!</v>
      </c>
      <c r="T136" s="3"/>
      <c r="U136" s="51">
        <f t="shared" si="157"/>
        <v>0</v>
      </c>
      <c r="V136" s="52" t="e">
        <f t="shared" si="158"/>
        <v>#DIV/0!</v>
      </c>
      <c r="W136" s="53">
        <f>COUNTIFS('00 Encuesta'!$B$2:$B$511,"*f)*",'00 Encuesta'!$C$2:$C$511,"*c)*",'00 Encuesta'!$E$2:$E$511,"*a)*",'00 Encuesta'!$R$2:$R$511,"*g)*")</f>
        <v>0</v>
      </c>
      <c r="X136" s="52" t="e">
        <f t="shared" si="159"/>
        <v>#DIV/0!</v>
      </c>
      <c r="Y136" s="53">
        <f>COUNTIFS('00 Encuesta'!$B$2:$B$511,"*f)*",'00 Encuesta'!$C$2:$C$511,"*c)*",'00 Encuesta'!$E$2:$E$511,"*b)*",'00 Encuesta'!$R$2:$R$511,"*g)*")</f>
        <v>0</v>
      </c>
      <c r="Z136" s="52" t="e">
        <f t="shared" si="160"/>
        <v>#DIV/0!</v>
      </c>
      <c r="AA136" s="3"/>
      <c r="AB136" s="62">
        <f t="shared" si="161"/>
        <v>10</v>
      </c>
      <c r="AC136" s="52">
        <f t="shared" si="162"/>
        <v>23.80952380952381</v>
      </c>
      <c r="AD136" s="7"/>
      <c r="AE136" s="7"/>
      <c r="AF136" s="9" t="str">
        <f t="shared" si="163"/>
        <v>g) La felicidad</v>
      </c>
      <c r="AG136" s="72">
        <f t="shared" si="164"/>
        <v>22.727272727272727</v>
      </c>
      <c r="AH136" s="72">
        <f t="shared" si="165"/>
        <v>25</v>
      </c>
      <c r="AI136" s="73">
        <f t="shared" si="166"/>
        <v>23.809523809523807</v>
      </c>
      <c r="AJ136" s="73"/>
      <c r="AK136" s="76" t="e">
        <f t="shared" si="167"/>
        <v>#DIV/0!</v>
      </c>
      <c r="AL136" s="76" t="e">
        <f t="shared" si="168"/>
        <v>#DIV/0!</v>
      </c>
      <c r="AM136" s="76" t="e">
        <f t="shared" si="169"/>
        <v>#DIV/0!</v>
      </c>
      <c r="AN136" s="76"/>
      <c r="AO136" s="81" t="e">
        <f t="shared" si="170"/>
        <v>#DIV/0!</v>
      </c>
      <c r="AP136" s="81" t="e">
        <f t="shared" si="171"/>
        <v>#DIV/0!</v>
      </c>
      <c r="AQ136" s="81" t="e">
        <f t="shared" si="172"/>
        <v>#DIV/0!</v>
      </c>
      <c r="AR136" s="7"/>
      <c r="AS136" s="76">
        <f t="shared" si="121"/>
        <v>23.80952380952381</v>
      </c>
      <c r="AT136" s="7"/>
      <c r="AU136" s="7"/>
      <c r="AV136" s="7"/>
      <c r="AW136" s="7"/>
      <c r="AX136" s="7"/>
      <c r="AY136" s="7"/>
      <c r="AZ136" s="7"/>
      <c r="BA136" s="7"/>
      <c r="BB136" s="7"/>
      <c r="BC136" s="7"/>
      <c r="BD136" s="7"/>
      <c r="BE136" s="7"/>
      <c r="BF136" s="3"/>
      <c r="BG136" s="3"/>
      <c r="BH136" s="3"/>
      <c r="BI136" s="3"/>
      <c r="BJ136" s="3"/>
      <c r="BK136" s="3"/>
      <c r="BL136" s="3"/>
      <c r="BM136" s="3"/>
      <c r="BN136" s="3"/>
      <c r="BO136" s="3"/>
      <c r="BP136" s="3"/>
      <c r="BQ136" s="3"/>
      <c r="BR136" s="3"/>
      <c r="BS136" s="3"/>
      <c r="BT136" s="3"/>
      <c r="BU136" s="3"/>
      <c r="BV136" s="3"/>
      <c r="BW136" s="3"/>
    </row>
    <row r="137" spans="1:75" x14ac:dyDescent="0.3">
      <c r="A137" s="8" t="s">
        <v>63</v>
      </c>
      <c r="B137" s="9" t="s">
        <v>87</v>
      </c>
      <c r="C137" s="7"/>
      <c r="D137" s="7"/>
      <c r="E137" s="7"/>
      <c r="F137" s="71"/>
      <c r="G137" s="51">
        <f t="shared" si="149"/>
        <v>3</v>
      </c>
      <c r="H137" s="52">
        <f t="shared" si="150"/>
        <v>7.1428571428571423</v>
      </c>
      <c r="I137" s="53">
        <f>COUNTIFS('00 Encuesta'!$B$2:$B$511,"*f)*",'00 Encuesta'!$C$2:$C$511,"*a)*",'00 Encuesta'!$E$2:$E$511,"*a)*",'00 Encuesta'!$R$2:$R$511,"*h)*")</f>
        <v>3</v>
      </c>
      <c r="J137" s="52">
        <f t="shared" si="151"/>
        <v>13.636363636363635</v>
      </c>
      <c r="K137" s="53">
        <f>COUNTIFS('00 Encuesta'!$B$2:$B$511,"*f)*",'00 Encuesta'!$C$2:$C$511,"*a)*",'00 Encuesta'!$E$2:$E$511,"*b)*",'00 Encuesta'!$R$2:$R$511,"*h)*")</f>
        <v>0</v>
      </c>
      <c r="L137" s="52">
        <f t="shared" si="152"/>
        <v>0</v>
      </c>
      <c r="M137" s="23"/>
      <c r="N137" s="51">
        <f t="shared" si="153"/>
        <v>0</v>
      </c>
      <c r="O137" s="52" t="e">
        <f t="shared" si="154"/>
        <v>#DIV/0!</v>
      </c>
      <c r="P137" s="53">
        <f>COUNTIFS('00 Encuesta'!$B$2:$B$511,"*f)*",'00 Encuesta'!$C$2:$C$511,"*b)*",'00 Encuesta'!$E$2:$E$511,"*a)*",'00 Encuesta'!$R$2:$R$511,"*h)*")</f>
        <v>0</v>
      </c>
      <c r="Q137" s="52" t="e">
        <f t="shared" si="155"/>
        <v>#DIV/0!</v>
      </c>
      <c r="R137" s="53">
        <f>COUNTIFS('00 Encuesta'!$B$2:$B$511,"*f)*",'00 Encuesta'!$C$2:$C$511,"*b)*",'00 Encuesta'!$E$2:$E$511,"*b)*",'00 Encuesta'!$R$2:$R$511,"*h)*")</f>
        <v>0</v>
      </c>
      <c r="S137" s="52" t="e">
        <f t="shared" si="156"/>
        <v>#DIV/0!</v>
      </c>
      <c r="T137" s="3"/>
      <c r="U137" s="51">
        <f t="shared" si="157"/>
        <v>0</v>
      </c>
      <c r="V137" s="52" t="e">
        <f t="shared" si="158"/>
        <v>#DIV/0!</v>
      </c>
      <c r="W137" s="53">
        <f>COUNTIFS('00 Encuesta'!$B$2:$B$511,"*f)*",'00 Encuesta'!$C$2:$C$511,"*c)*",'00 Encuesta'!$E$2:$E$511,"*a)*",'00 Encuesta'!$R$2:$R$511,"*h)*")</f>
        <v>0</v>
      </c>
      <c r="X137" s="52" t="e">
        <f t="shared" si="159"/>
        <v>#DIV/0!</v>
      </c>
      <c r="Y137" s="53">
        <f>COUNTIFS('00 Encuesta'!$B$2:$B$511,"*f)*",'00 Encuesta'!$C$2:$C$511,"*c)*",'00 Encuesta'!$E$2:$E$511,"*b)*",'00 Encuesta'!$R$2:$R$511,"*h)*")</f>
        <v>0</v>
      </c>
      <c r="Z137" s="52" t="e">
        <f t="shared" si="160"/>
        <v>#DIV/0!</v>
      </c>
      <c r="AA137" s="3"/>
      <c r="AB137" s="62">
        <f t="shared" si="161"/>
        <v>3</v>
      </c>
      <c r="AC137" s="52">
        <f t="shared" si="162"/>
        <v>7.1428571428571432</v>
      </c>
      <c r="AD137" s="7"/>
      <c r="AE137" s="7"/>
      <c r="AF137" s="9" t="str">
        <f t="shared" si="163"/>
        <v>h) La sexualidad</v>
      </c>
      <c r="AG137" s="72">
        <f t="shared" si="164"/>
        <v>13.636363636363635</v>
      </c>
      <c r="AH137" s="72">
        <f t="shared" si="165"/>
        <v>0</v>
      </c>
      <c r="AI137" s="73">
        <f t="shared" si="166"/>
        <v>7.1428571428571423</v>
      </c>
      <c r="AJ137" s="73"/>
      <c r="AK137" s="76" t="e">
        <f t="shared" si="167"/>
        <v>#DIV/0!</v>
      </c>
      <c r="AL137" s="76" t="e">
        <f t="shared" si="168"/>
        <v>#DIV/0!</v>
      </c>
      <c r="AM137" s="76" t="e">
        <f t="shared" si="169"/>
        <v>#DIV/0!</v>
      </c>
      <c r="AN137" s="76"/>
      <c r="AO137" s="81" t="e">
        <f t="shared" si="170"/>
        <v>#DIV/0!</v>
      </c>
      <c r="AP137" s="81" t="e">
        <f t="shared" si="171"/>
        <v>#DIV/0!</v>
      </c>
      <c r="AQ137" s="81" t="e">
        <f t="shared" si="172"/>
        <v>#DIV/0!</v>
      </c>
      <c r="AR137" s="7"/>
      <c r="AS137" s="76">
        <f t="shared" si="121"/>
        <v>7.1428571428571432</v>
      </c>
      <c r="AT137" s="7"/>
      <c r="AU137" s="7"/>
      <c r="AV137" s="7"/>
      <c r="AW137" s="7"/>
      <c r="AX137" s="7"/>
      <c r="AY137" s="7"/>
      <c r="AZ137" s="7"/>
      <c r="BA137" s="7"/>
      <c r="BB137" s="7"/>
      <c r="BC137" s="7"/>
      <c r="BD137" s="7"/>
      <c r="BE137" s="7"/>
      <c r="BF137" s="3"/>
      <c r="BG137" s="3"/>
      <c r="BH137" s="3"/>
      <c r="BI137" s="3"/>
      <c r="BJ137" s="3"/>
      <c r="BK137" s="3"/>
      <c r="BL137" s="3"/>
      <c r="BM137" s="3"/>
      <c r="BN137" s="3"/>
      <c r="BO137" s="3"/>
      <c r="BP137" s="3"/>
      <c r="BQ137" s="3"/>
      <c r="BR137" s="3"/>
      <c r="BS137" s="3"/>
      <c r="BT137" s="3"/>
      <c r="BU137" s="3"/>
      <c r="BV137" s="3"/>
      <c r="BW137" s="3"/>
    </row>
    <row r="138" spans="1:75" x14ac:dyDescent="0.3">
      <c r="A138" s="1" t="s">
        <v>65</v>
      </c>
      <c r="B138" s="2" t="s">
        <v>88</v>
      </c>
      <c r="C138" s="3"/>
      <c r="D138" s="7"/>
      <c r="E138" s="7"/>
      <c r="F138" s="71"/>
      <c r="G138" s="51">
        <f t="shared" si="149"/>
        <v>0</v>
      </c>
      <c r="H138" s="52">
        <f t="shared" si="150"/>
        <v>0</v>
      </c>
      <c r="I138" s="53">
        <f>COUNTIFS('00 Encuesta'!$B$2:$B$511,"*f)*",'00 Encuesta'!$C$2:$C$511,"*a)*",'00 Encuesta'!$E$2:$E$511,"*a)*",'00 Encuesta'!$R$2:$R$511,"*i)*")</f>
        <v>0</v>
      </c>
      <c r="J138" s="52">
        <f t="shared" si="151"/>
        <v>0</v>
      </c>
      <c r="K138" s="53">
        <f>COUNTIFS('00 Encuesta'!$B$2:$B$511,"*f)*",'00 Encuesta'!$C$2:$C$511,"*a)*",'00 Encuesta'!$E$2:$E$511,"*b)*",'00 Encuesta'!$R$2:$R$511,"*i)*")</f>
        <v>0</v>
      </c>
      <c r="L138" s="52">
        <f t="shared" si="152"/>
        <v>0</v>
      </c>
      <c r="M138" s="23"/>
      <c r="N138" s="51">
        <f t="shared" si="153"/>
        <v>0</v>
      </c>
      <c r="O138" s="52" t="e">
        <f t="shared" si="154"/>
        <v>#DIV/0!</v>
      </c>
      <c r="P138" s="53">
        <f>COUNTIFS('00 Encuesta'!$B$2:$B$511,"*f)*",'00 Encuesta'!$C$2:$C$511,"*b)*",'00 Encuesta'!$E$2:$E$511,"*a)*",'00 Encuesta'!$R$2:$R$511,"*i)*")</f>
        <v>0</v>
      </c>
      <c r="Q138" s="52" t="e">
        <f t="shared" si="155"/>
        <v>#DIV/0!</v>
      </c>
      <c r="R138" s="53">
        <f>COUNTIFS('00 Encuesta'!$B$2:$B$511,"*f)*",'00 Encuesta'!$C$2:$C$511,"*b)*",'00 Encuesta'!$E$2:$E$511,"*b)*",'00 Encuesta'!$R$2:$R$511,"*i)*")</f>
        <v>0</v>
      </c>
      <c r="S138" s="52" t="e">
        <f t="shared" si="156"/>
        <v>#DIV/0!</v>
      </c>
      <c r="T138" s="3"/>
      <c r="U138" s="51">
        <f t="shared" si="157"/>
        <v>0</v>
      </c>
      <c r="V138" s="52" t="e">
        <f t="shared" si="158"/>
        <v>#DIV/0!</v>
      </c>
      <c r="W138" s="53">
        <f>COUNTIFS('00 Encuesta'!$B$2:$B$511,"*f)*",'00 Encuesta'!$C$2:$C$511,"*c)*",'00 Encuesta'!$E$2:$E$511,"*a)*",'00 Encuesta'!$R$2:$R$511,"*i)*")</f>
        <v>0</v>
      </c>
      <c r="X138" s="52" t="e">
        <f t="shared" si="159"/>
        <v>#DIV/0!</v>
      </c>
      <c r="Y138" s="53">
        <f>COUNTIFS('00 Encuesta'!$B$2:$B$511,"*f)*",'00 Encuesta'!$C$2:$C$511,"*c)*",'00 Encuesta'!$E$2:$E$511,"*b)*",'00 Encuesta'!$R$2:$R$511,"*i)*")</f>
        <v>0</v>
      </c>
      <c r="Z138" s="52" t="e">
        <f t="shared" si="160"/>
        <v>#DIV/0!</v>
      </c>
      <c r="AA138" s="3"/>
      <c r="AB138" s="62">
        <f t="shared" si="161"/>
        <v>0</v>
      </c>
      <c r="AC138" s="52">
        <f t="shared" si="162"/>
        <v>0</v>
      </c>
      <c r="AD138" s="7"/>
      <c r="AE138" s="7"/>
      <c r="AF138" s="9" t="str">
        <f t="shared" si="163"/>
        <v>i) La música</v>
      </c>
      <c r="AG138" s="72">
        <f t="shared" si="164"/>
        <v>0</v>
      </c>
      <c r="AH138" s="72">
        <f t="shared" si="165"/>
        <v>0</v>
      </c>
      <c r="AI138" s="73">
        <f t="shared" si="166"/>
        <v>0</v>
      </c>
      <c r="AJ138" s="73"/>
      <c r="AK138" s="76" t="e">
        <f t="shared" si="167"/>
        <v>#DIV/0!</v>
      </c>
      <c r="AL138" s="76" t="e">
        <f t="shared" si="168"/>
        <v>#DIV/0!</v>
      </c>
      <c r="AM138" s="76" t="e">
        <f t="shared" si="169"/>
        <v>#DIV/0!</v>
      </c>
      <c r="AN138" s="76"/>
      <c r="AO138" s="81" t="e">
        <f t="shared" si="170"/>
        <v>#DIV/0!</v>
      </c>
      <c r="AP138" s="81" t="e">
        <f t="shared" si="171"/>
        <v>#DIV/0!</v>
      </c>
      <c r="AQ138" s="81" t="e">
        <f t="shared" si="172"/>
        <v>#DIV/0!</v>
      </c>
      <c r="AR138" s="7"/>
      <c r="AS138" s="76">
        <f t="shared" si="121"/>
        <v>0</v>
      </c>
      <c r="AT138" s="7"/>
      <c r="AU138" s="7"/>
      <c r="AV138" s="7"/>
      <c r="AW138" s="7"/>
      <c r="AX138" s="7"/>
      <c r="AY138" s="7"/>
      <c r="AZ138" s="7"/>
      <c r="BA138" s="7"/>
      <c r="BB138" s="7"/>
      <c r="BC138" s="7"/>
      <c r="BD138" s="7"/>
      <c r="BE138" s="7"/>
      <c r="BF138" s="3"/>
      <c r="BG138" s="3"/>
      <c r="BH138" s="3"/>
      <c r="BI138" s="3"/>
      <c r="BJ138" s="3"/>
      <c r="BK138" s="3"/>
      <c r="BL138" s="3"/>
      <c r="BM138" s="3"/>
      <c r="BN138" s="3"/>
      <c r="BO138" s="3"/>
      <c r="BP138" s="3"/>
      <c r="BQ138" s="3"/>
      <c r="BR138" s="3"/>
      <c r="BS138" s="3"/>
      <c r="BT138" s="3"/>
      <c r="BU138" s="3"/>
      <c r="BV138" s="3"/>
      <c r="BW138" s="3"/>
    </row>
    <row r="139" spans="1:75" x14ac:dyDescent="0.3">
      <c r="A139" s="1" t="s">
        <v>67</v>
      </c>
      <c r="B139" s="2" t="s">
        <v>89</v>
      </c>
      <c r="C139" s="3"/>
      <c r="D139" s="7"/>
      <c r="E139" s="7"/>
      <c r="F139" s="71"/>
      <c r="G139" s="51">
        <f t="shared" si="149"/>
        <v>2</v>
      </c>
      <c r="H139" s="52">
        <f t="shared" si="150"/>
        <v>4.7619047619047619</v>
      </c>
      <c r="I139" s="53">
        <f>COUNTIFS('00 Encuesta'!$B$2:$B$511,"*f)*",'00 Encuesta'!$C$2:$C$511,"*a)*",'00 Encuesta'!$E$2:$E$511,"*a)*",'00 Encuesta'!$R$2:$R$511,"*j)*")</f>
        <v>2</v>
      </c>
      <c r="J139" s="52">
        <f t="shared" si="151"/>
        <v>9.0909090909090917</v>
      </c>
      <c r="K139" s="53">
        <f>COUNTIFS('00 Encuesta'!$B$2:$B$511,"*f)*",'00 Encuesta'!$C$2:$C$511,"*a)*",'00 Encuesta'!$E$2:$E$511,"*b)*",'00 Encuesta'!$R$2:$R$511,"*j)*")</f>
        <v>0</v>
      </c>
      <c r="L139" s="52">
        <f t="shared" si="152"/>
        <v>0</v>
      </c>
      <c r="M139" s="23"/>
      <c r="N139" s="51">
        <f t="shared" si="153"/>
        <v>0</v>
      </c>
      <c r="O139" s="52" t="e">
        <f t="shared" si="154"/>
        <v>#DIV/0!</v>
      </c>
      <c r="P139" s="53">
        <f>COUNTIFS('00 Encuesta'!$B$2:$B$511,"*f)*",'00 Encuesta'!$C$2:$C$511,"*b)*",'00 Encuesta'!$E$2:$E$511,"*a)*",'00 Encuesta'!$R$2:$R$511,"*j)*")</f>
        <v>0</v>
      </c>
      <c r="Q139" s="52" t="e">
        <f t="shared" si="155"/>
        <v>#DIV/0!</v>
      </c>
      <c r="R139" s="53">
        <f>COUNTIFS('00 Encuesta'!$B$2:$B$511,"*f)*",'00 Encuesta'!$C$2:$C$511,"*b)*",'00 Encuesta'!$E$2:$E$511,"*b)*",'00 Encuesta'!$R$2:$R$511,"*j)*")</f>
        <v>0</v>
      </c>
      <c r="S139" s="52" t="e">
        <f t="shared" si="156"/>
        <v>#DIV/0!</v>
      </c>
      <c r="T139" s="3"/>
      <c r="U139" s="51">
        <f t="shared" si="157"/>
        <v>0</v>
      </c>
      <c r="V139" s="52" t="e">
        <f t="shared" si="158"/>
        <v>#DIV/0!</v>
      </c>
      <c r="W139" s="53">
        <f>COUNTIFS('00 Encuesta'!$B$2:$B$511,"*f)*",'00 Encuesta'!$C$2:$C$511,"*c)*",'00 Encuesta'!$E$2:$E$511,"*a)*",'00 Encuesta'!$R$2:$R$511,"*j)*")</f>
        <v>0</v>
      </c>
      <c r="X139" s="52" t="e">
        <f t="shared" si="159"/>
        <v>#DIV/0!</v>
      </c>
      <c r="Y139" s="53">
        <f>COUNTIFS('00 Encuesta'!$B$2:$B$511,"*f)*",'00 Encuesta'!$C$2:$C$511,"*c)*",'00 Encuesta'!$E$2:$E$511,"*b)*",'00 Encuesta'!$R$2:$R$511,"*j)*")</f>
        <v>0</v>
      </c>
      <c r="Z139" s="52" t="e">
        <f t="shared" si="160"/>
        <v>#DIV/0!</v>
      </c>
      <c r="AA139" s="3"/>
      <c r="AB139" s="62">
        <f t="shared" si="161"/>
        <v>2</v>
      </c>
      <c r="AC139" s="52">
        <f t="shared" si="162"/>
        <v>4.7619047619047619</v>
      </c>
      <c r="AD139" s="7"/>
      <c r="AE139" s="7"/>
      <c r="AF139" s="9" t="str">
        <f t="shared" si="163"/>
        <v>j) El deporte</v>
      </c>
      <c r="AG139" s="72">
        <f t="shared" si="164"/>
        <v>9.0909090909090917</v>
      </c>
      <c r="AH139" s="72">
        <f t="shared" si="165"/>
        <v>0</v>
      </c>
      <c r="AI139" s="73">
        <f t="shared" si="166"/>
        <v>4.7619047619047619</v>
      </c>
      <c r="AJ139" s="73"/>
      <c r="AK139" s="76" t="e">
        <f t="shared" si="167"/>
        <v>#DIV/0!</v>
      </c>
      <c r="AL139" s="76" t="e">
        <f t="shared" si="168"/>
        <v>#DIV/0!</v>
      </c>
      <c r="AM139" s="76" t="e">
        <f t="shared" si="169"/>
        <v>#DIV/0!</v>
      </c>
      <c r="AN139" s="76"/>
      <c r="AO139" s="81" t="e">
        <f t="shared" si="170"/>
        <v>#DIV/0!</v>
      </c>
      <c r="AP139" s="81" t="e">
        <f t="shared" si="171"/>
        <v>#DIV/0!</v>
      </c>
      <c r="AQ139" s="81" t="e">
        <f t="shared" si="172"/>
        <v>#DIV/0!</v>
      </c>
      <c r="AR139" s="7"/>
      <c r="AS139" s="76">
        <f t="shared" si="121"/>
        <v>4.7619047619047619</v>
      </c>
      <c r="AT139" s="7"/>
      <c r="AU139" s="7"/>
      <c r="AV139" s="7"/>
      <c r="AW139" s="7"/>
      <c r="AX139" s="7"/>
      <c r="AY139" s="7"/>
      <c r="AZ139" s="7"/>
      <c r="BA139" s="7"/>
      <c r="BB139" s="7"/>
      <c r="BC139" s="7"/>
      <c r="BD139" s="7"/>
      <c r="BE139" s="7"/>
      <c r="BF139" s="3"/>
      <c r="BG139" s="3"/>
      <c r="BH139" s="3"/>
      <c r="BI139" s="3"/>
      <c r="BJ139" s="3"/>
      <c r="BK139" s="3"/>
      <c r="BL139" s="3"/>
      <c r="BM139" s="3"/>
      <c r="BN139" s="3"/>
      <c r="BO139" s="3"/>
      <c r="BP139" s="3"/>
      <c r="BQ139" s="3"/>
      <c r="BR139" s="3"/>
      <c r="BS139" s="3"/>
      <c r="BT139" s="3"/>
      <c r="BU139" s="3"/>
      <c r="BV139" s="3"/>
      <c r="BW139" s="3"/>
    </row>
    <row r="140" spans="1:75" x14ac:dyDescent="0.3">
      <c r="A140" s="8" t="s">
        <v>69</v>
      </c>
      <c r="B140" s="9" t="s">
        <v>90</v>
      </c>
      <c r="C140" s="7"/>
      <c r="D140" s="7"/>
      <c r="E140" s="7"/>
      <c r="F140" s="71"/>
      <c r="G140" s="51">
        <f t="shared" si="149"/>
        <v>2</v>
      </c>
      <c r="H140" s="52">
        <f t="shared" si="150"/>
        <v>4.7619047619047619</v>
      </c>
      <c r="I140" s="53">
        <f>COUNTIFS('00 Encuesta'!$B$2:$B$511,"*f)*",'00 Encuesta'!$C$2:$C$511,"*a)*",'00 Encuesta'!$E$2:$E$511,"*a)*",'00 Encuesta'!$R$2:$R$511,"*k)*")</f>
        <v>2</v>
      </c>
      <c r="J140" s="52">
        <f t="shared" si="151"/>
        <v>9.0909090909090917</v>
      </c>
      <c r="K140" s="53">
        <f>COUNTIFS('00 Encuesta'!$B$2:$B$511,"*f)*",'00 Encuesta'!$C$2:$C$511,"*a)*",'00 Encuesta'!$E$2:$E$511,"*b)*",'00 Encuesta'!$R$2:$R$511,"*k)*")</f>
        <v>0</v>
      </c>
      <c r="L140" s="52">
        <f t="shared" si="152"/>
        <v>0</v>
      </c>
      <c r="M140" s="23"/>
      <c r="N140" s="51">
        <f t="shared" si="153"/>
        <v>0</v>
      </c>
      <c r="O140" s="52" t="e">
        <f t="shared" si="154"/>
        <v>#DIV/0!</v>
      </c>
      <c r="P140" s="53">
        <f>COUNTIFS('00 Encuesta'!$B$2:$B$511,"*f)*",'00 Encuesta'!$C$2:$C$511,"*b)*",'00 Encuesta'!$E$2:$E$511,"*a)*",'00 Encuesta'!$R$2:$R$511,"*k)*")</f>
        <v>0</v>
      </c>
      <c r="Q140" s="52" t="e">
        <f t="shared" si="155"/>
        <v>#DIV/0!</v>
      </c>
      <c r="R140" s="53">
        <f>COUNTIFS('00 Encuesta'!$B$2:$B$511,"*f)*",'00 Encuesta'!$C$2:$C$511,"*b)*",'00 Encuesta'!$E$2:$E$511,"*b)*",'00 Encuesta'!$R$2:$R$511,"*k)*")</f>
        <v>0</v>
      </c>
      <c r="S140" s="52" t="e">
        <f t="shared" si="156"/>
        <v>#DIV/0!</v>
      </c>
      <c r="T140" s="3"/>
      <c r="U140" s="51">
        <f t="shared" si="157"/>
        <v>0</v>
      </c>
      <c r="V140" s="52" t="e">
        <f t="shared" si="158"/>
        <v>#DIV/0!</v>
      </c>
      <c r="W140" s="53">
        <f>COUNTIFS('00 Encuesta'!$B$2:$B$511,"*f)*",'00 Encuesta'!$C$2:$C$511,"*c)*",'00 Encuesta'!$E$2:$E$511,"*a)*",'00 Encuesta'!$R$2:$R$511,"*k)*")</f>
        <v>0</v>
      </c>
      <c r="X140" s="52" t="e">
        <f t="shared" si="159"/>
        <v>#DIV/0!</v>
      </c>
      <c r="Y140" s="53">
        <f>COUNTIFS('00 Encuesta'!$B$2:$B$511,"*f)*",'00 Encuesta'!$C$2:$C$511,"*c)*",'00 Encuesta'!$E$2:$E$511,"*b)*",'00 Encuesta'!$R$2:$R$511,"*k)*")</f>
        <v>0</v>
      </c>
      <c r="Z140" s="52" t="e">
        <f t="shared" si="160"/>
        <v>#DIV/0!</v>
      </c>
      <c r="AA140" s="3"/>
      <c r="AB140" s="62">
        <f t="shared" si="161"/>
        <v>2</v>
      </c>
      <c r="AC140" s="52">
        <f t="shared" si="162"/>
        <v>4.7619047619047619</v>
      </c>
      <c r="AD140" s="7"/>
      <c r="AE140" s="7"/>
      <c r="AF140" s="9" t="str">
        <f t="shared" si="163"/>
        <v>k) Internet</v>
      </c>
      <c r="AG140" s="72">
        <f t="shared" si="164"/>
        <v>9.0909090909090917</v>
      </c>
      <c r="AH140" s="72">
        <f t="shared" si="165"/>
        <v>0</v>
      </c>
      <c r="AI140" s="73">
        <f t="shared" si="166"/>
        <v>4.7619047619047619</v>
      </c>
      <c r="AJ140" s="73"/>
      <c r="AK140" s="76" t="e">
        <f t="shared" si="167"/>
        <v>#DIV/0!</v>
      </c>
      <c r="AL140" s="76" t="e">
        <f t="shared" si="168"/>
        <v>#DIV/0!</v>
      </c>
      <c r="AM140" s="76" t="e">
        <f t="shared" si="169"/>
        <v>#DIV/0!</v>
      </c>
      <c r="AN140" s="76"/>
      <c r="AO140" s="81" t="e">
        <f t="shared" si="170"/>
        <v>#DIV/0!</v>
      </c>
      <c r="AP140" s="81" t="e">
        <f t="shared" si="171"/>
        <v>#DIV/0!</v>
      </c>
      <c r="AQ140" s="81" t="e">
        <f t="shared" si="172"/>
        <v>#DIV/0!</v>
      </c>
      <c r="AR140" s="7"/>
      <c r="AS140" s="76">
        <f t="shared" si="121"/>
        <v>4.7619047619047619</v>
      </c>
      <c r="AT140" s="7"/>
      <c r="AU140" s="7"/>
      <c r="AV140" s="7"/>
      <c r="AW140" s="7"/>
      <c r="AX140" s="7"/>
      <c r="AY140" s="7"/>
      <c r="AZ140" s="7"/>
      <c r="BA140" s="7"/>
      <c r="BB140" s="7"/>
      <c r="BC140" s="7"/>
      <c r="BD140" s="7"/>
      <c r="BE140" s="7"/>
      <c r="BF140" s="3"/>
      <c r="BG140" s="3"/>
      <c r="BH140" s="3"/>
      <c r="BI140" s="3"/>
      <c r="BJ140" s="3"/>
      <c r="BK140" s="3"/>
      <c r="BL140" s="3"/>
      <c r="BM140" s="3"/>
      <c r="BN140" s="3"/>
      <c r="BO140" s="3"/>
      <c r="BP140" s="3"/>
      <c r="BQ140" s="3"/>
      <c r="BR140" s="3"/>
      <c r="BS140" s="3"/>
      <c r="BT140" s="3"/>
      <c r="BU140" s="3"/>
      <c r="BV140" s="3"/>
      <c r="BW140" s="3"/>
    </row>
    <row r="141" spans="1:75" x14ac:dyDescent="0.3">
      <c r="A141" s="8" t="s">
        <v>23</v>
      </c>
      <c r="B141" s="9" t="s">
        <v>24</v>
      </c>
      <c r="C141" s="7"/>
      <c r="D141" s="7"/>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83"/>
      <c r="AC141" s="41"/>
      <c r="AD141" s="71"/>
      <c r="AE141" s="7"/>
      <c r="AF141" s="9" t="str">
        <f t="shared" si="163"/>
        <v>S/R Sin Respuesta</v>
      </c>
      <c r="AG141" s="72">
        <f t="shared" si="164"/>
        <v>0</v>
      </c>
      <c r="AH141" s="72">
        <f t="shared" si="165"/>
        <v>0</v>
      </c>
      <c r="AI141" s="73">
        <f t="shared" si="166"/>
        <v>0</v>
      </c>
      <c r="AJ141" s="73"/>
      <c r="AK141" s="76">
        <f t="shared" si="167"/>
        <v>0</v>
      </c>
      <c r="AL141" s="76">
        <f t="shared" si="168"/>
        <v>0</v>
      </c>
      <c r="AM141" s="76">
        <f t="shared" si="169"/>
        <v>0</v>
      </c>
      <c r="AN141" s="76"/>
      <c r="AO141" s="81">
        <f t="shared" si="170"/>
        <v>0</v>
      </c>
      <c r="AP141" s="81">
        <f t="shared" si="171"/>
        <v>0</v>
      </c>
      <c r="AQ141" s="81">
        <f t="shared" si="172"/>
        <v>0</v>
      </c>
      <c r="AR141" s="7"/>
      <c r="AS141" s="76">
        <f t="shared" si="121"/>
        <v>0</v>
      </c>
      <c r="AT141" s="7"/>
      <c r="AU141" s="7"/>
      <c r="AV141" s="7"/>
      <c r="AW141" s="7"/>
      <c r="AX141" s="7"/>
      <c r="AY141" s="7"/>
      <c r="AZ141" s="7"/>
      <c r="BA141" s="7"/>
      <c r="BB141" s="7"/>
      <c r="BC141" s="7"/>
      <c r="BD141" s="7"/>
      <c r="BE141" s="7"/>
      <c r="BF141" s="3"/>
      <c r="BG141" s="3"/>
      <c r="BH141" s="3"/>
      <c r="BI141" s="3"/>
      <c r="BJ141" s="3"/>
      <c r="BK141" s="3"/>
      <c r="BL141" s="3"/>
      <c r="BM141" s="3"/>
      <c r="BN141" s="3"/>
      <c r="BO141" s="3"/>
      <c r="BP141" s="3"/>
      <c r="BQ141" s="3"/>
      <c r="BR141" s="3"/>
      <c r="BS141" s="3"/>
      <c r="BT141" s="3"/>
      <c r="BU141" s="3"/>
      <c r="BV141" s="3"/>
      <c r="BW141" s="3"/>
    </row>
    <row r="142" spans="1:75" x14ac:dyDescent="0.3">
      <c r="A142" s="70"/>
      <c r="B142" s="9"/>
      <c r="C142" s="7"/>
      <c r="D142" s="7"/>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83"/>
      <c r="AC142" s="41"/>
      <c r="AD142" s="71"/>
      <c r="AE142" s="7"/>
      <c r="AF142" s="7"/>
      <c r="AG142" s="7"/>
      <c r="AH142" s="7"/>
      <c r="AI142" s="7"/>
      <c r="AJ142" s="7"/>
      <c r="AK142" s="7"/>
      <c r="AL142" s="7"/>
      <c r="AM142" s="7"/>
      <c r="AN142" s="7"/>
      <c r="AO142" s="7"/>
      <c r="AP142" s="7"/>
      <c r="AQ142" s="7"/>
      <c r="AR142" s="7"/>
      <c r="AS142" s="76"/>
      <c r="AT142" s="7"/>
      <c r="AU142" s="7"/>
      <c r="AV142" s="7"/>
      <c r="AW142" s="7"/>
      <c r="AX142" s="7"/>
      <c r="AY142" s="7"/>
      <c r="AZ142" s="7"/>
      <c r="BA142" s="7"/>
      <c r="BB142" s="7"/>
      <c r="BC142" s="7"/>
      <c r="BD142" s="7"/>
      <c r="BE142" s="7"/>
      <c r="BF142" s="3"/>
      <c r="BG142" s="3"/>
      <c r="BH142" s="3"/>
      <c r="BI142" s="3"/>
      <c r="BJ142" s="3"/>
      <c r="BK142" s="3"/>
      <c r="BL142" s="3"/>
      <c r="BM142" s="3"/>
      <c r="BN142" s="3"/>
      <c r="BO142" s="3"/>
      <c r="BP142" s="3"/>
      <c r="BQ142" s="3"/>
      <c r="BR142" s="3"/>
      <c r="BS142" s="3"/>
      <c r="BT142" s="3"/>
      <c r="BU142" s="3"/>
      <c r="BV142" s="3"/>
      <c r="BW142" s="3"/>
    </row>
    <row r="143" spans="1:75" x14ac:dyDescent="0.3">
      <c r="A143" s="70">
        <v>17</v>
      </c>
      <c r="B143" s="9" t="s">
        <v>111</v>
      </c>
      <c r="C143" s="7"/>
      <c r="D143" s="7"/>
      <c r="E143" s="7"/>
      <c r="F143" s="71"/>
      <c r="G143" s="51"/>
      <c r="H143" s="52"/>
      <c r="I143" s="53"/>
      <c r="J143" s="52"/>
      <c r="K143" s="53"/>
      <c r="L143" s="66"/>
      <c r="M143" s="23"/>
      <c r="N143" s="51"/>
      <c r="O143" s="52"/>
      <c r="P143" s="53"/>
      <c r="Q143" s="52"/>
      <c r="R143" s="53"/>
      <c r="S143" s="66"/>
      <c r="T143" s="3"/>
      <c r="U143" s="51"/>
      <c r="V143" s="52"/>
      <c r="W143" s="53"/>
      <c r="X143" s="52"/>
      <c r="Y143" s="53"/>
      <c r="Z143" s="66"/>
      <c r="AA143" s="3"/>
      <c r="AB143" s="62"/>
      <c r="AC143" s="52"/>
      <c r="AD143" s="7"/>
      <c r="AE143" s="7"/>
      <c r="AF143" s="88" t="str">
        <f t="shared" ref="AF143:AF148" si="173">A143&amp;" "&amp;B143</f>
        <v>17 Siento que existe un Dios que me ama:</v>
      </c>
      <c r="AG143" s="7"/>
      <c r="AH143" s="7"/>
      <c r="AI143" s="7"/>
      <c r="AJ143" s="7"/>
      <c r="AK143" s="7"/>
      <c r="AL143" s="7"/>
      <c r="AM143" s="7"/>
      <c r="AN143" s="7"/>
      <c r="AO143" s="7"/>
      <c r="AP143" s="7"/>
      <c r="AQ143" s="7"/>
      <c r="AR143" s="7"/>
      <c r="AS143" s="76"/>
      <c r="AT143" s="7"/>
      <c r="AU143" s="7"/>
      <c r="AV143" s="7"/>
      <c r="AW143" s="7"/>
      <c r="AX143" s="7"/>
      <c r="AY143" s="7"/>
      <c r="AZ143" s="7"/>
      <c r="BA143" s="7"/>
      <c r="BB143" s="7"/>
      <c r="BC143" s="7"/>
      <c r="BD143" s="7"/>
      <c r="BE143" s="7"/>
      <c r="BF143" s="3"/>
      <c r="BG143" s="3"/>
      <c r="BH143" s="3"/>
      <c r="BI143" s="3"/>
      <c r="BJ143" s="3"/>
      <c r="BK143" s="3"/>
      <c r="BL143" s="3"/>
      <c r="BM143" s="3"/>
      <c r="BN143" s="3"/>
      <c r="BO143" s="3"/>
      <c r="BP143" s="3"/>
      <c r="BQ143" s="3"/>
      <c r="BR143" s="3"/>
      <c r="BS143" s="3"/>
      <c r="BT143" s="3"/>
      <c r="BU143" s="3"/>
      <c r="BV143" s="3"/>
      <c r="BW143" s="3"/>
    </row>
    <row r="144" spans="1:75" x14ac:dyDescent="0.3">
      <c r="A144" s="8" t="s">
        <v>17</v>
      </c>
      <c r="B144" s="9" t="s">
        <v>102</v>
      </c>
      <c r="C144" s="7"/>
      <c r="D144" s="7"/>
      <c r="E144" s="7"/>
      <c r="F144" s="71">
        <v>100</v>
      </c>
      <c r="G144" s="51">
        <f>I144+K144</f>
        <v>39</v>
      </c>
      <c r="H144" s="52">
        <f>G144/$J$5*100</f>
        <v>92.857142857142861</v>
      </c>
      <c r="I144" s="53">
        <f>COUNTIFS('00 Encuesta'!$B$2:$B$511,"*f)*",'00 Encuesta'!$C$2:$C$511,"*a)*",'00 Encuesta'!$E$2:$E$511,"*a)*",'00 Encuesta'!$T$2:$T$511,"*a)*")</f>
        <v>20</v>
      </c>
      <c r="J144" s="52">
        <f>I144/$J$6*100</f>
        <v>90.909090909090907</v>
      </c>
      <c r="K144" s="53">
        <f>COUNTIFS('00 Encuesta'!$B$2:$B$511,"*f)*",'00 Encuesta'!$C$2:$C$511,"*a)*",'00 Encuesta'!$E$2:$E$511,"*b)*",'00 Encuesta'!$T$2:$T$511,"*a)*")</f>
        <v>19</v>
      </c>
      <c r="L144" s="52">
        <f>K144/$J$7*100</f>
        <v>95</v>
      </c>
      <c r="M144" s="23"/>
      <c r="N144" s="51">
        <f>P144+R144</f>
        <v>0</v>
      </c>
      <c r="O144" s="52" t="e">
        <f>N144/$Q$5*100</f>
        <v>#DIV/0!</v>
      </c>
      <c r="P144" s="53">
        <f>COUNTIFS('00 Encuesta'!$B$2:$B$511,"*f)*",'00 Encuesta'!$C$2:$C$511,"*b)*",'00 Encuesta'!$E$2:$E$511,"*a)*",'00 Encuesta'!$T$2:$T$511,"*a)*")</f>
        <v>0</v>
      </c>
      <c r="Q144" s="52" t="e">
        <f>P144/$Q$6*100</f>
        <v>#DIV/0!</v>
      </c>
      <c r="R144" s="53">
        <f>COUNTIFS('00 Encuesta'!$B$2:$B$511,"*f)*",'00 Encuesta'!$C$2:$C$511,"*b)*",'00 Encuesta'!$E$2:$E$511,"*b)*",'00 Encuesta'!$T$2:$T$511,"*a)*")</f>
        <v>0</v>
      </c>
      <c r="S144" s="52" t="e">
        <f>R144/$Q$7*100</f>
        <v>#DIV/0!</v>
      </c>
      <c r="T144" s="3"/>
      <c r="U144" s="51">
        <f>W144+Y144</f>
        <v>0</v>
      </c>
      <c r="V144" s="52" t="e">
        <f>U144/$X$5*100</f>
        <v>#DIV/0!</v>
      </c>
      <c r="W144" s="53">
        <f>COUNTIFS('00 Encuesta'!$B$2:$B$511,"*f)*",'00 Encuesta'!$C$2:$C$511,"*c)*",'00 Encuesta'!$E$2:$E$511,"*a)*",'00 Encuesta'!$T$2:$T$511,"*a)*")</f>
        <v>0</v>
      </c>
      <c r="X144" s="52" t="e">
        <f>W144/$X$6*100</f>
        <v>#DIV/0!</v>
      </c>
      <c r="Y144" s="53">
        <f>COUNTIFS('00 Encuesta'!$B$2:$B$511,"*f)*",'00 Encuesta'!$C$2:$C$511,"*c)*",'00 Encuesta'!$E$2:$E$511,"*b)*",'00 Encuesta'!$T$2:$T$511,"*a)*")</f>
        <v>0</v>
      </c>
      <c r="Z144" s="52" t="e">
        <f>Y144/$X$7*100</f>
        <v>#DIV/0!</v>
      </c>
      <c r="AA144" s="3"/>
      <c r="AB144" s="62">
        <f>G144+N144+U144</f>
        <v>39</v>
      </c>
      <c r="AC144" s="52">
        <f>AB144*100/$AC$5</f>
        <v>92.857142857142861</v>
      </c>
      <c r="AD144" s="7"/>
      <c r="AE144" s="7"/>
      <c r="AF144" s="9" t="str">
        <f t="shared" si="173"/>
        <v>a) Mucho</v>
      </c>
      <c r="AG144" s="72">
        <f>J144</f>
        <v>90.909090909090907</v>
      </c>
      <c r="AH144" s="72">
        <f>L144</f>
        <v>95</v>
      </c>
      <c r="AI144" s="73">
        <f>H144</f>
        <v>92.857142857142861</v>
      </c>
      <c r="AJ144" s="73"/>
      <c r="AK144" s="76" t="e">
        <f>Q144</f>
        <v>#DIV/0!</v>
      </c>
      <c r="AL144" s="76" t="e">
        <f>S144</f>
        <v>#DIV/0!</v>
      </c>
      <c r="AM144" s="76" t="e">
        <f>O144</f>
        <v>#DIV/0!</v>
      </c>
      <c r="AN144" s="76"/>
      <c r="AO144" s="81" t="e">
        <f>X144</f>
        <v>#DIV/0!</v>
      </c>
      <c r="AP144" s="81" t="e">
        <f>Z144</f>
        <v>#DIV/0!</v>
      </c>
      <c r="AQ144" s="81" t="e">
        <f>V144</f>
        <v>#DIV/0!</v>
      </c>
      <c r="AR144" s="7"/>
      <c r="AS144" s="76">
        <f t="shared" ref="AS144:AS206" si="174">AC144</f>
        <v>92.857142857142861</v>
      </c>
      <c r="AT144" s="7"/>
      <c r="AU144" s="7"/>
      <c r="AV144" s="7"/>
      <c r="AW144" s="7"/>
      <c r="AX144" s="7"/>
      <c r="AY144" s="7"/>
      <c r="AZ144" s="7"/>
      <c r="BA144" s="7"/>
      <c r="BB144" s="7"/>
      <c r="BC144" s="7"/>
      <c r="BD144" s="7"/>
      <c r="BE144" s="7"/>
      <c r="BF144" s="3"/>
      <c r="BG144" s="3"/>
      <c r="BH144" s="3"/>
      <c r="BI144" s="3"/>
      <c r="BJ144" s="3"/>
      <c r="BK144" s="3"/>
      <c r="BL144" s="3"/>
      <c r="BM144" s="3"/>
      <c r="BN144" s="3"/>
      <c r="BO144" s="3"/>
      <c r="BP144" s="3"/>
      <c r="BQ144" s="3"/>
      <c r="BR144" s="3"/>
      <c r="BS144" s="3"/>
      <c r="BT144" s="3"/>
      <c r="BU144" s="3"/>
      <c r="BV144" s="3"/>
      <c r="BW144" s="3"/>
    </row>
    <row r="145" spans="1:75" x14ac:dyDescent="0.3">
      <c r="A145" s="8" t="s">
        <v>18</v>
      </c>
      <c r="B145" s="9" t="s">
        <v>103</v>
      </c>
      <c r="C145" s="7"/>
      <c r="D145" s="7"/>
      <c r="E145" s="7"/>
      <c r="F145" s="71">
        <v>66.66</v>
      </c>
      <c r="G145" s="51">
        <f>I145+K145</f>
        <v>2</v>
      </c>
      <c r="H145" s="52">
        <f>G145/$J$5*100</f>
        <v>4.7619047619047619</v>
      </c>
      <c r="I145" s="53">
        <f>COUNTIFS('00 Encuesta'!$B$2:$B$511,"*f)*",'00 Encuesta'!$C$2:$C$511,"*a)*",'00 Encuesta'!$E$2:$E$511,"*a)*",'00 Encuesta'!$T$2:$T$511,"*b)*")</f>
        <v>1</v>
      </c>
      <c r="J145" s="52">
        <f>I145/$J$6*100</f>
        <v>4.5454545454545459</v>
      </c>
      <c r="K145" s="53">
        <f>COUNTIFS('00 Encuesta'!$B$2:$B$511,"*f)*",'00 Encuesta'!$C$2:$C$511,"*a)*",'00 Encuesta'!$E$2:$E$511,"*b)*",'00 Encuesta'!$T$2:$T$511,"*b)*")</f>
        <v>1</v>
      </c>
      <c r="L145" s="52">
        <f>K145/$J$7*100</f>
        <v>5</v>
      </c>
      <c r="M145" s="23"/>
      <c r="N145" s="51">
        <f>P145+R145</f>
        <v>0</v>
      </c>
      <c r="O145" s="52" t="e">
        <f>N145/$Q$5*100</f>
        <v>#DIV/0!</v>
      </c>
      <c r="P145" s="53">
        <f>COUNTIFS('00 Encuesta'!$B$2:$B$511,"*f)*",'00 Encuesta'!$C$2:$C$511,"*b)*",'00 Encuesta'!$E$2:$E$511,"*a)*",'00 Encuesta'!$T$2:$T$511,"*b)*")</f>
        <v>0</v>
      </c>
      <c r="Q145" s="52" t="e">
        <f>P145/$Q$6*100</f>
        <v>#DIV/0!</v>
      </c>
      <c r="R145" s="53">
        <f>COUNTIFS('00 Encuesta'!$B$2:$B$511,"*f)*",'00 Encuesta'!$C$2:$C$511,"*b)*",'00 Encuesta'!$E$2:$E$511,"*b)*",'00 Encuesta'!$T$2:$T$511,"*b)*")</f>
        <v>0</v>
      </c>
      <c r="S145" s="52" t="e">
        <f>R145/$Q$7*100</f>
        <v>#DIV/0!</v>
      </c>
      <c r="T145" s="3"/>
      <c r="U145" s="51">
        <f>W145+Y145</f>
        <v>0</v>
      </c>
      <c r="V145" s="52" t="e">
        <f>U145/$X$5*100</f>
        <v>#DIV/0!</v>
      </c>
      <c r="W145" s="53">
        <f>COUNTIFS('00 Encuesta'!$B$2:$B$511,"*f)*",'00 Encuesta'!$C$2:$C$511,"*c)*",'00 Encuesta'!$E$2:$E$511,"*a)*",'00 Encuesta'!$T$2:$T$511,"*b)*")</f>
        <v>0</v>
      </c>
      <c r="X145" s="52" t="e">
        <f>W145/$X$6*100</f>
        <v>#DIV/0!</v>
      </c>
      <c r="Y145" s="53">
        <f>COUNTIFS('00 Encuesta'!$B$2:$B$511,"*f)*",'00 Encuesta'!$C$2:$C$511,"*c)*",'00 Encuesta'!$E$2:$E$511,"*b)*",'00 Encuesta'!$T$2:$T$511,"*b)*")</f>
        <v>0</v>
      </c>
      <c r="Z145" s="52" t="e">
        <f>Y145/$X$7*100</f>
        <v>#DIV/0!</v>
      </c>
      <c r="AA145" s="3"/>
      <c r="AB145" s="62">
        <f>G145+N145+U145</f>
        <v>2</v>
      </c>
      <c r="AC145" s="52">
        <f>AB145*100/$AC$5</f>
        <v>4.7619047619047619</v>
      </c>
      <c r="AD145" s="7"/>
      <c r="AE145" s="7"/>
      <c r="AF145" s="9" t="str">
        <f t="shared" si="173"/>
        <v>b) Suficiente</v>
      </c>
      <c r="AG145" s="72">
        <f>J145</f>
        <v>4.5454545454545459</v>
      </c>
      <c r="AH145" s="72">
        <f>L145</f>
        <v>5</v>
      </c>
      <c r="AI145" s="73">
        <f>H145</f>
        <v>4.7619047619047619</v>
      </c>
      <c r="AJ145" s="73"/>
      <c r="AK145" s="76" t="e">
        <f>Q145</f>
        <v>#DIV/0!</v>
      </c>
      <c r="AL145" s="76" t="e">
        <f>S145</f>
        <v>#DIV/0!</v>
      </c>
      <c r="AM145" s="76" t="e">
        <f>O145</f>
        <v>#DIV/0!</v>
      </c>
      <c r="AN145" s="76"/>
      <c r="AO145" s="81" t="e">
        <f>X145</f>
        <v>#DIV/0!</v>
      </c>
      <c r="AP145" s="81" t="e">
        <f>Z145</f>
        <v>#DIV/0!</v>
      </c>
      <c r="AQ145" s="81" t="e">
        <f>V145</f>
        <v>#DIV/0!</v>
      </c>
      <c r="AR145" s="7"/>
      <c r="AS145" s="76">
        <f t="shared" si="174"/>
        <v>4.7619047619047619</v>
      </c>
      <c r="AT145" s="7"/>
      <c r="AU145" s="7"/>
      <c r="AV145" s="7"/>
      <c r="AW145" s="7"/>
      <c r="AX145" s="7"/>
      <c r="AY145" s="7"/>
      <c r="AZ145" s="7"/>
      <c r="BA145" s="7"/>
      <c r="BB145" s="7"/>
      <c r="BC145" s="7"/>
      <c r="BD145" s="7"/>
      <c r="BE145" s="7"/>
      <c r="BF145" s="3"/>
      <c r="BG145" s="3"/>
      <c r="BH145" s="3"/>
      <c r="BI145" s="3"/>
      <c r="BJ145" s="3"/>
      <c r="BK145" s="3"/>
      <c r="BL145" s="3"/>
      <c r="BM145" s="3"/>
      <c r="BN145" s="3"/>
      <c r="BO145" s="3"/>
      <c r="BP145" s="3"/>
      <c r="BQ145" s="3"/>
      <c r="BR145" s="3"/>
      <c r="BS145" s="3"/>
      <c r="BT145" s="3"/>
      <c r="BU145" s="3"/>
      <c r="BV145" s="3"/>
      <c r="BW145" s="3"/>
    </row>
    <row r="146" spans="1:75" x14ac:dyDescent="0.3">
      <c r="A146" s="8" t="s">
        <v>20</v>
      </c>
      <c r="B146" s="9" t="s">
        <v>104</v>
      </c>
      <c r="C146" s="7"/>
      <c r="D146" s="7"/>
      <c r="E146" s="7"/>
      <c r="F146" s="71">
        <v>33.33</v>
      </c>
      <c r="G146" s="51">
        <f>I146+K146</f>
        <v>0</v>
      </c>
      <c r="H146" s="52">
        <f>G146/$J$5*100</f>
        <v>0</v>
      </c>
      <c r="I146" s="53">
        <f>COUNTIFS('00 Encuesta'!$B$2:$B$511,"*f)*",'00 Encuesta'!$C$2:$C$511,"*a)*",'00 Encuesta'!$E$2:$E$511,"*a)*",'00 Encuesta'!$T$2:$T$511,"*c)*")</f>
        <v>0</v>
      </c>
      <c r="J146" s="52">
        <f>I146/$J$6*100</f>
        <v>0</v>
      </c>
      <c r="K146" s="53">
        <f>COUNTIFS('00 Encuesta'!$B$2:$B$511,"*f)*",'00 Encuesta'!$C$2:$C$511,"*a)*",'00 Encuesta'!$E$2:$E$511,"*b)*",'00 Encuesta'!$T$2:$T$511,"*c)*")</f>
        <v>0</v>
      </c>
      <c r="L146" s="52">
        <f>K146/$J$7*100</f>
        <v>0</v>
      </c>
      <c r="M146" s="23"/>
      <c r="N146" s="51">
        <f>P146+R146</f>
        <v>0</v>
      </c>
      <c r="O146" s="52" t="e">
        <f>N146/$Q$5*100</f>
        <v>#DIV/0!</v>
      </c>
      <c r="P146" s="53">
        <f>COUNTIFS('00 Encuesta'!$B$2:$B$511,"*f)*",'00 Encuesta'!$C$2:$C$511,"*b)*",'00 Encuesta'!$E$2:$E$511,"*a)*",'00 Encuesta'!$T$2:$T$511,"*c)*")</f>
        <v>0</v>
      </c>
      <c r="Q146" s="52" t="e">
        <f>P146/$Q$6*100</f>
        <v>#DIV/0!</v>
      </c>
      <c r="R146" s="53">
        <f>COUNTIFS('00 Encuesta'!$B$2:$B$511,"*f)*",'00 Encuesta'!$C$2:$C$511,"*b)*",'00 Encuesta'!$E$2:$E$511,"*b)*",'00 Encuesta'!$T$2:$T$511,"*c)*")</f>
        <v>0</v>
      </c>
      <c r="S146" s="52" t="e">
        <f>R146/$Q$7*100</f>
        <v>#DIV/0!</v>
      </c>
      <c r="T146" s="3"/>
      <c r="U146" s="51">
        <f>W146+Y146</f>
        <v>0</v>
      </c>
      <c r="V146" s="52" t="e">
        <f>U146/$X$5*100</f>
        <v>#DIV/0!</v>
      </c>
      <c r="W146" s="53">
        <f>COUNTIFS('00 Encuesta'!$B$2:$B$511,"*f)*",'00 Encuesta'!$C$2:$C$511,"*c)*",'00 Encuesta'!$E$2:$E$511,"*a)*",'00 Encuesta'!$T$2:$T$511,"*c)*")</f>
        <v>0</v>
      </c>
      <c r="X146" s="52" t="e">
        <f>W146/$X$6*100</f>
        <v>#DIV/0!</v>
      </c>
      <c r="Y146" s="53">
        <f>COUNTIFS('00 Encuesta'!$B$2:$B$511,"*f)*",'00 Encuesta'!$C$2:$C$511,"*c)*",'00 Encuesta'!$E$2:$E$511,"*b)*",'00 Encuesta'!$T$2:$T$511,"*c)*")</f>
        <v>0</v>
      </c>
      <c r="Z146" s="52" t="e">
        <f>Y146/$X$7*100</f>
        <v>#DIV/0!</v>
      </c>
      <c r="AA146" s="3"/>
      <c r="AB146" s="62">
        <f>G146+N146+U146</f>
        <v>0</v>
      </c>
      <c r="AC146" s="52">
        <f>AB146*100/$AC$5</f>
        <v>0</v>
      </c>
      <c r="AD146" s="7"/>
      <c r="AE146" s="7"/>
      <c r="AF146" s="9" t="str">
        <f t="shared" si="173"/>
        <v>c) Poco</v>
      </c>
      <c r="AG146" s="72">
        <f>J146</f>
        <v>0</v>
      </c>
      <c r="AH146" s="72">
        <f>L146</f>
        <v>0</v>
      </c>
      <c r="AI146" s="73">
        <f>H146</f>
        <v>0</v>
      </c>
      <c r="AJ146" s="73"/>
      <c r="AK146" s="76" t="e">
        <f>Q146</f>
        <v>#DIV/0!</v>
      </c>
      <c r="AL146" s="76" t="e">
        <f>S146</f>
        <v>#DIV/0!</v>
      </c>
      <c r="AM146" s="76" t="e">
        <f>O146</f>
        <v>#DIV/0!</v>
      </c>
      <c r="AN146" s="76"/>
      <c r="AO146" s="81" t="e">
        <f>X146</f>
        <v>#DIV/0!</v>
      </c>
      <c r="AP146" s="81" t="e">
        <f>Z146</f>
        <v>#DIV/0!</v>
      </c>
      <c r="AQ146" s="81" t="e">
        <f>V146</f>
        <v>#DIV/0!</v>
      </c>
      <c r="AR146" s="7"/>
      <c r="AS146" s="76">
        <f t="shared" si="174"/>
        <v>0</v>
      </c>
      <c r="AT146" s="7"/>
      <c r="AU146" s="7"/>
      <c r="AV146" s="7"/>
      <c r="AW146" s="7"/>
      <c r="AX146" s="7"/>
      <c r="AY146" s="7"/>
      <c r="AZ146" s="7"/>
      <c r="BA146" s="7"/>
      <c r="BB146" s="7"/>
      <c r="BC146" s="7"/>
      <c r="BD146" s="7"/>
      <c r="BE146" s="7"/>
      <c r="BF146" s="3"/>
      <c r="BG146" s="3"/>
      <c r="BH146" s="3"/>
      <c r="BI146" s="3"/>
      <c r="BJ146" s="3"/>
      <c r="BK146" s="3"/>
      <c r="BL146" s="3"/>
      <c r="BM146" s="3"/>
      <c r="BN146" s="3"/>
      <c r="BO146" s="3"/>
      <c r="BP146" s="3"/>
      <c r="BQ146" s="3"/>
      <c r="BR146" s="3"/>
      <c r="BS146" s="3"/>
      <c r="BT146" s="3"/>
      <c r="BU146" s="3"/>
      <c r="BV146" s="3"/>
      <c r="BW146" s="3"/>
    </row>
    <row r="147" spans="1:75" x14ac:dyDescent="0.3">
      <c r="A147" s="8" t="s">
        <v>21</v>
      </c>
      <c r="B147" s="9" t="s">
        <v>105</v>
      </c>
      <c r="C147" s="7"/>
      <c r="D147" s="7"/>
      <c r="E147" s="7"/>
      <c r="F147" s="71">
        <v>0</v>
      </c>
      <c r="G147" s="51">
        <f>I147+K147</f>
        <v>0</v>
      </c>
      <c r="H147" s="52">
        <f>G147/$J$5*100</f>
        <v>0</v>
      </c>
      <c r="I147" s="53">
        <f>COUNTIFS('00 Encuesta'!$B$2:$B$511,"*f)*",'00 Encuesta'!$C$2:$C$511,"*a)*",'00 Encuesta'!$E$2:$E$511,"*a)*",'00 Encuesta'!$T$2:$T$511,"*d)*")</f>
        <v>0</v>
      </c>
      <c r="J147" s="52">
        <f>I147/$J$6*100</f>
        <v>0</v>
      </c>
      <c r="K147" s="53">
        <f>COUNTIFS('00 Encuesta'!$B$2:$B$511,"*f)*",'00 Encuesta'!$C$2:$C$511,"*a)*",'00 Encuesta'!$E$2:$E$511,"*b)*",'00 Encuesta'!$T$2:$T$511,"*d)*")</f>
        <v>0</v>
      </c>
      <c r="L147" s="52">
        <f>K147/$J$7*100</f>
        <v>0</v>
      </c>
      <c r="M147" s="23"/>
      <c r="N147" s="51">
        <f>P147+R147</f>
        <v>0</v>
      </c>
      <c r="O147" s="52" t="e">
        <f>N147/$Q$5*100</f>
        <v>#DIV/0!</v>
      </c>
      <c r="P147" s="53">
        <f>COUNTIFS('00 Encuesta'!$B$2:$B$511,"*f)*",'00 Encuesta'!$C$2:$C$511,"*b)*",'00 Encuesta'!$E$2:$E$511,"*a)*",'00 Encuesta'!$T$2:$T$511,"*d)*")</f>
        <v>0</v>
      </c>
      <c r="Q147" s="52" t="e">
        <f>P147/$Q$6*100</f>
        <v>#DIV/0!</v>
      </c>
      <c r="R147" s="53">
        <f>COUNTIFS('00 Encuesta'!$B$2:$B$511,"*f)*",'00 Encuesta'!$C$2:$C$511,"*b)*",'00 Encuesta'!$E$2:$E$511,"*b)*",'00 Encuesta'!$T$2:$T$511,"*d)*")</f>
        <v>0</v>
      </c>
      <c r="S147" s="52" t="e">
        <f>R147/$Q$7*100</f>
        <v>#DIV/0!</v>
      </c>
      <c r="T147" s="3"/>
      <c r="U147" s="51">
        <f>W147+Y147</f>
        <v>0</v>
      </c>
      <c r="V147" s="52" t="e">
        <f>U147/$X$5*100</f>
        <v>#DIV/0!</v>
      </c>
      <c r="W147" s="53">
        <f>COUNTIFS('00 Encuesta'!$B$2:$B$511,"*f)*",'00 Encuesta'!$C$2:$C$511,"*c)*",'00 Encuesta'!$E$2:$E$511,"*a)*",'00 Encuesta'!$T$2:$T$511,"*d)*")</f>
        <v>0</v>
      </c>
      <c r="X147" s="52" t="e">
        <f>W147/$X$6*100</f>
        <v>#DIV/0!</v>
      </c>
      <c r="Y147" s="53">
        <f>COUNTIFS('00 Encuesta'!$B$2:$B$511,"*f)*",'00 Encuesta'!$C$2:$C$511,"*c)*",'00 Encuesta'!$E$2:$E$511,"*b)*",'00 Encuesta'!$T$2:$T$511,"*d)*")</f>
        <v>0</v>
      </c>
      <c r="Z147" s="52" t="e">
        <f>Y147/$X$7*100</f>
        <v>#DIV/0!</v>
      </c>
      <c r="AA147" s="3"/>
      <c r="AB147" s="62">
        <f>G147+N147+U147</f>
        <v>0</v>
      </c>
      <c r="AC147" s="52">
        <f>AB147*100/$AC$5</f>
        <v>0</v>
      </c>
      <c r="AD147" s="7"/>
      <c r="AE147" s="7"/>
      <c r="AF147" s="9" t="str">
        <f t="shared" si="173"/>
        <v>d) Nada</v>
      </c>
      <c r="AG147" s="72">
        <f>J147</f>
        <v>0</v>
      </c>
      <c r="AH147" s="72">
        <f>L147</f>
        <v>0</v>
      </c>
      <c r="AI147" s="73">
        <f>H147</f>
        <v>0</v>
      </c>
      <c r="AJ147" s="73"/>
      <c r="AK147" s="76" t="e">
        <f>Q147</f>
        <v>#DIV/0!</v>
      </c>
      <c r="AL147" s="76" t="e">
        <f>S147</f>
        <v>#DIV/0!</v>
      </c>
      <c r="AM147" s="76" t="e">
        <f>O147</f>
        <v>#DIV/0!</v>
      </c>
      <c r="AN147" s="76"/>
      <c r="AO147" s="81" t="e">
        <f>X147</f>
        <v>#DIV/0!</v>
      </c>
      <c r="AP147" s="81" t="e">
        <f>Z147</f>
        <v>#DIV/0!</v>
      </c>
      <c r="AQ147" s="81" t="e">
        <f>V147</f>
        <v>#DIV/0!</v>
      </c>
      <c r="AR147" s="7"/>
      <c r="AS147" s="76">
        <f t="shared" si="174"/>
        <v>0</v>
      </c>
      <c r="AT147" s="7"/>
      <c r="AU147" s="7"/>
      <c r="AV147" s="7"/>
      <c r="AW147" s="7"/>
      <c r="AX147" s="7"/>
      <c r="AY147" s="7"/>
      <c r="AZ147" s="7"/>
      <c r="BA147" s="7"/>
      <c r="BB147" s="7"/>
      <c r="BC147" s="7"/>
      <c r="BD147" s="7"/>
      <c r="BE147" s="7"/>
      <c r="BF147" s="3"/>
      <c r="BG147" s="3"/>
      <c r="BH147" s="3"/>
      <c r="BI147" s="3"/>
      <c r="BJ147" s="3"/>
      <c r="BK147" s="3"/>
      <c r="BL147" s="3"/>
      <c r="BM147" s="3"/>
      <c r="BN147" s="3"/>
      <c r="BO147" s="3"/>
      <c r="BP147" s="3"/>
      <c r="BQ147" s="3"/>
      <c r="BR147" s="3"/>
      <c r="BS147" s="3"/>
      <c r="BT147" s="3"/>
      <c r="BU147" s="3"/>
      <c r="BV147" s="3"/>
      <c r="BW147" s="3"/>
    </row>
    <row r="148" spans="1:75" x14ac:dyDescent="0.3">
      <c r="A148" s="8" t="s">
        <v>23</v>
      </c>
      <c r="B148" s="9" t="s">
        <v>24</v>
      </c>
      <c r="C148" s="7"/>
      <c r="D148" s="7"/>
      <c r="E148" s="7"/>
      <c r="F148" s="71"/>
      <c r="G148" s="51">
        <f>I148+K148</f>
        <v>0</v>
      </c>
      <c r="H148" s="52">
        <f>G148/$J$5*100</f>
        <v>0</v>
      </c>
      <c r="I148" s="53"/>
      <c r="J148" s="52">
        <f>I148/$J$6*100</f>
        <v>0</v>
      </c>
      <c r="K148" s="53"/>
      <c r="L148" s="52">
        <f>K148/$J$7*100</f>
        <v>0</v>
      </c>
      <c r="M148" s="23"/>
      <c r="N148" s="51">
        <f>P148+R148</f>
        <v>0</v>
      </c>
      <c r="O148" s="52" t="e">
        <f>N148/$Q$5*100</f>
        <v>#DIV/0!</v>
      </c>
      <c r="P148" s="53"/>
      <c r="Q148" s="52" t="e">
        <f>P148/$Q$6*100</f>
        <v>#DIV/0!</v>
      </c>
      <c r="R148" s="53"/>
      <c r="S148" s="52" t="e">
        <f>R148/$Q$7*100</f>
        <v>#DIV/0!</v>
      </c>
      <c r="T148" s="3"/>
      <c r="U148" s="51">
        <f>W148+Y148</f>
        <v>0</v>
      </c>
      <c r="V148" s="52" t="e">
        <f>U148/$X$5*100</f>
        <v>#DIV/0!</v>
      </c>
      <c r="W148" s="53"/>
      <c r="X148" s="52" t="e">
        <f>W148/$X$6*100</f>
        <v>#DIV/0!</v>
      </c>
      <c r="Y148" s="53"/>
      <c r="Z148" s="52" t="e">
        <f>Y148/$X$7*100</f>
        <v>#DIV/0!</v>
      </c>
      <c r="AA148" s="3"/>
      <c r="AB148" s="62">
        <f>G148+N148+U148</f>
        <v>0</v>
      </c>
      <c r="AC148" s="52">
        <f>AB148*100/$AC$5</f>
        <v>0</v>
      </c>
      <c r="AD148" s="7"/>
      <c r="AE148" s="7"/>
      <c r="AF148" s="9" t="str">
        <f t="shared" si="173"/>
        <v>S/R Sin Respuesta</v>
      </c>
      <c r="AG148" s="72">
        <f>J148</f>
        <v>0</v>
      </c>
      <c r="AH148" s="72">
        <f>L148</f>
        <v>0</v>
      </c>
      <c r="AI148" s="73">
        <f>H148</f>
        <v>0</v>
      </c>
      <c r="AJ148" s="73"/>
      <c r="AK148" s="76" t="e">
        <f>Q148</f>
        <v>#DIV/0!</v>
      </c>
      <c r="AL148" s="76" t="e">
        <f>S148</f>
        <v>#DIV/0!</v>
      </c>
      <c r="AM148" s="76" t="e">
        <f>O148</f>
        <v>#DIV/0!</v>
      </c>
      <c r="AN148" s="76"/>
      <c r="AO148" s="81" t="e">
        <f>X148</f>
        <v>#DIV/0!</v>
      </c>
      <c r="AP148" s="81" t="e">
        <f>Z148</f>
        <v>#DIV/0!</v>
      </c>
      <c r="AQ148" s="81" t="e">
        <f>V148</f>
        <v>#DIV/0!</v>
      </c>
      <c r="AR148" s="7"/>
      <c r="AS148" s="76">
        <f t="shared" si="174"/>
        <v>0</v>
      </c>
      <c r="AT148" s="7"/>
      <c r="AU148" s="7"/>
      <c r="AV148" s="7"/>
      <c r="AW148" s="7"/>
      <c r="AX148" s="7"/>
      <c r="AY148" s="7"/>
      <c r="AZ148" s="7"/>
      <c r="BA148" s="7"/>
      <c r="BB148" s="7"/>
      <c r="BC148" s="7"/>
      <c r="BD148" s="7"/>
      <c r="BE148" s="7"/>
      <c r="BF148" s="3"/>
      <c r="BG148" s="3"/>
      <c r="BH148" s="3"/>
      <c r="BI148" s="3"/>
      <c r="BJ148" s="3"/>
      <c r="BK148" s="3"/>
      <c r="BL148" s="3"/>
      <c r="BM148" s="3"/>
      <c r="BN148" s="3"/>
      <c r="BO148" s="3"/>
      <c r="BP148" s="3"/>
      <c r="BQ148" s="3"/>
      <c r="BR148" s="3"/>
      <c r="BS148" s="3"/>
      <c r="BT148" s="3"/>
      <c r="BU148" s="3"/>
      <c r="BV148" s="3"/>
      <c r="BW148" s="3"/>
    </row>
    <row r="149" spans="1:75" x14ac:dyDescent="0.3">
      <c r="A149" s="8"/>
      <c r="B149" s="9"/>
      <c r="C149" s="7"/>
      <c r="D149" s="7"/>
      <c r="E149" s="7"/>
      <c r="F149" s="71"/>
      <c r="G149" s="23"/>
      <c r="H149" s="22"/>
      <c r="I149" s="23"/>
      <c r="J149" s="22"/>
      <c r="K149" s="23"/>
      <c r="L149" s="22"/>
      <c r="M149" s="23"/>
      <c r="N149" s="23"/>
      <c r="O149" s="22"/>
      <c r="P149" s="23"/>
      <c r="Q149" s="22"/>
      <c r="R149" s="23"/>
      <c r="S149" s="22"/>
      <c r="T149" s="3"/>
      <c r="U149" s="23"/>
      <c r="V149" s="22"/>
      <c r="W149" s="23"/>
      <c r="X149" s="22"/>
      <c r="Y149" s="23"/>
      <c r="Z149" s="22"/>
      <c r="AA149" s="3"/>
      <c r="AB149" s="24"/>
      <c r="AC149" s="22"/>
      <c r="AD149" s="7"/>
      <c r="AE149" s="7"/>
      <c r="AF149" s="7"/>
      <c r="AG149" s="82">
        <f>(+$F144*I144+$F145*I145+$F146*I146+$F147*I147)/(+I144+I145+I146+I147)</f>
        <v>98.412380952380943</v>
      </c>
      <c r="AH149" s="82">
        <f>($F144*K144+$F145*K145+$F146*K146+$F147*K147)/(+K144+K145+K146+K147)</f>
        <v>98.332999999999998</v>
      </c>
      <c r="AI149" s="82">
        <f>($F144*G144+$F145*G145+$F146*G146+$F147*G147)/(G144+G145+G146+G147)</f>
        <v>98.373658536585367</v>
      </c>
      <c r="AJ149" s="82"/>
      <c r="AK149" s="82" t="e">
        <f>($F144*P144+$F145*P145+$F146*P146+$F147*P147)/(P144+P145+P146+P147)</f>
        <v>#DIV/0!</v>
      </c>
      <c r="AL149" s="82" t="e">
        <f>($F144*R144+$F145*R145+$F146*R146+$F147*R147)/(R144+R145+R146+R147)</f>
        <v>#DIV/0!</v>
      </c>
      <c r="AM149" s="82" t="e">
        <f>($F144*N144+$F145*N145+$F146*N146+$F147*N147)/(N144+N145+N146+N147)</f>
        <v>#DIV/0!</v>
      </c>
      <c r="AN149" s="82"/>
      <c r="AO149" s="82" t="e">
        <f>($F144*W144+$F145*W145+$F146*W146+$F147*W147)/(W144+W145+W146+W147)</f>
        <v>#DIV/0!</v>
      </c>
      <c r="AP149" s="82" t="e">
        <f>($F144*Y144+$F145*Y145+$F146*Y146+$F147*Y147)/(Y144+Y145+Y146+Y147)</f>
        <v>#DIV/0!</v>
      </c>
      <c r="AQ149" s="82" t="e">
        <f>($F144*U144+$F145*U145+$F146*U146+$F147*U147)/(U144+U145+U146+U147)</f>
        <v>#DIV/0!</v>
      </c>
      <c r="AR149" s="7"/>
      <c r="AS149" s="76"/>
      <c r="AT149" s="7"/>
      <c r="AU149" s="7"/>
      <c r="AV149" s="7"/>
      <c r="AW149" s="7"/>
      <c r="AX149" s="7"/>
      <c r="AY149" s="7"/>
      <c r="AZ149" s="7"/>
      <c r="BA149" s="7"/>
      <c r="BB149" s="7"/>
      <c r="BC149" s="7"/>
      <c r="BD149" s="7"/>
      <c r="BE149" s="7"/>
      <c r="BF149" s="3"/>
      <c r="BG149" s="3"/>
      <c r="BH149" s="3"/>
      <c r="BI149" s="3"/>
      <c r="BJ149" s="3"/>
      <c r="BK149" s="3"/>
      <c r="BL149" s="3"/>
      <c r="BM149" s="3"/>
      <c r="BN149" s="3"/>
      <c r="BO149" s="3"/>
      <c r="BP149" s="3"/>
      <c r="BQ149" s="3"/>
      <c r="BR149" s="3"/>
      <c r="BS149" s="3"/>
      <c r="BT149" s="3"/>
      <c r="BU149" s="3"/>
      <c r="BV149" s="3"/>
      <c r="BW149" s="3"/>
    </row>
    <row r="150" spans="1:75" x14ac:dyDescent="0.3">
      <c r="A150" s="8"/>
      <c r="B150" s="9"/>
      <c r="C150" s="7"/>
      <c r="D150" s="7"/>
      <c r="E150" s="7"/>
      <c r="F150" s="71"/>
      <c r="G150" s="23"/>
      <c r="H150" s="22"/>
      <c r="I150" s="23"/>
      <c r="J150" s="22"/>
      <c r="K150" s="23"/>
      <c r="L150" s="22"/>
      <c r="M150" s="23"/>
      <c r="N150" s="23"/>
      <c r="O150" s="22"/>
      <c r="P150" s="23"/>
      <c r="Q150" s="22"/>
      <c r="R150" s="23"/>
      <c r="S150" s="22"/>
      <c r="T150" s="3"/>
      <c r="U150" s="23"/>
      <c r="V150" s="22"/>
      <c r="W150" s="23"/>
      <c r="X150" s="22"/>
      <c r="Y150" s="23"/>
      <c r="Z150" s="22"/>
      <c r="AA150" s="3"/>
      <c r="AB150" s="24"/>
      <c r="AC150" s="22"/>
      <c r="AD150" s="7"/>
      <c r="AE150" s="7"/>
      <c r="AF150" s="7"/>
      <c r="AG150" s="7"/>
      <c r="AH150" s="7"/>
      <c r="AI150" s="7"/>
      <c r="AJ150" s="7"/>
      <c r="AK150" s="7"/>
      <c r="AL150" s="7"/>
      <c r="AM150" s="7"/>
      <c r="AN150" s="7"/>
      <c r="AO150" s="7"/>
      <c r="AP150" s="7"/>
      <c r="AQ150" s="7"/>
      <c r="AR150" s="7"/>
      <c r="AS150" s="76"/>
      <c r="AT150" s="7"/>
      <c r="AU150" s="7"/>
      <c r="AV150" s="7"/>
      <c r="AW150" s="7"/>
      <c r="AX150" s="7"/>
      <c r="AY150" s="7"/>
      <c r="AZ150" s="7"/>
      <c r="BA150" s="7"/>
      <c r="BB150" s="7"/>
      <c r="BC150" s="7"/>
      <c r="BD150" s="7"/>
      <c r="BE150" s="7"/>
      <c r="BF150" s="3"/>
      <c r="BG150" s="3"/>
      <c r="BH150" s="3"/>
      <c r="BI150" s="3"/>
      <c r="BJ150" s="3"/>
      <c r="BK150" s="3"/>
      <c r="BL150" s="3"/>
      <c r="BM150" s="3"/>
      <c r="BN150" s="3"/>
      <c r="BO150" s="3"/>
      <c r="BP150" s="3"/>
      <c r="BQ150" s="3"/>
      <c r="BR150" s="3"/>
      <c r="BS150" s="3"/>
      <c r="BT150" s="3"/>
      <c r="BU150" s="3"/>
      <c r="BV150" s="3"/>
      <c r="BW150" s="3"/>
    </row>
    <row r="151" spans="1:75" x14ac:dyDescent="0.3">
      <c r="A151" s="70"/>
      <c r="B151" s="9"/>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6"/>
      <c r="AC151" s="41"/>
      <c r="AD151" s="7"/>
      <c r="AE151" s="7"/>
      <c r="AF151" s="7"/>
      <c r="AG151" s="7"/>
      <c r="AH151" s="7"/>
      <c r="AI151" s="7"/>
      <c r="AJ151" s="7"/>
      <c r="AK151" s="7"/>
      <c r="AL151" s="7"/>
      <c r="AM151" s="7"/>
      <c r="AN151" s="7"/>
      <c r="AO151" s="7"/>
      <c r="AP151" s="7"/>
      <c r="AQ151" s="7"/>
      <c r="AR151" s="7"/>
      <c r="AS151" s="76"/>
      <c r="AT151" s="7"/>
      <c r="AU151" s="7"/>
      <c r="AV151" s="7"/>
      <c r="AW151" s="7"/>
      <c r="AX151" s="7"/>
      <c r="AY151" s="7"/>
      <c r="AZ151" s="7"/>
      <c r="BA151" s="7"/>
      <c r="BB151" s="7"/>
      <c r="BC151" s="7"/>
      <c r="BD151" s="7"/>
      <c r="BE151" s="7"/>
      <c r="BF151" s="3"/>
      <c r="BG151" s="3"/>
      <c r="BH151" s="3"/>
      <c r="BI151" s="3"/>
      <c r="BJ151" s="3"/>
      <c r="BK151" s="3"/>
      <c r="BL151" s="3"/>
      <c r="BM151" s="3"/>
      <c r="BN151" s="3"/>
      <c r="BO151" s="3"/>
      <c r="BP151" s="3"/>
      <c r="BQ151" s="3"/>
      <c r="BR151" s="3"/>
      <c r="BS151" s="3"/>
      <c r="BT151" s="3"/>
      <c r="BU151" s="3"/>
      <c r="BV151" s="3"/>
      <c r="BW151" s="3"/>
    </row>
    <row r="152" spans="1:75" x14ac:dyDescent="0.3">
      <c r="A152" s="70" t="s">
        <v>112</v>
      </c>
      <c r="B152" s="9" t="s">
        <v>113</v>
      </c>
      <c r="C152" s="7"/>
      <c r="D152" s="7"/>
      <c r="E152" s="7"/>
      <c r="F152" s="71"/>
      <c r="G152" s="51"/>
      <c r="H152" s="52"/>
      <c r="I152" s="53"/>
      <c r="J152" s="52"/>
      <c r="K152" s="53"/>
      <c r="L152" s="66"/>
      <c r="M152" s="23"/>
      <c r="N152" s="51"/>
      <c r="O152" s="52"/>
      <c r="P152" s="53"/>
      <c r="Q152" s="52"/>
      <c r="R152" s="53"/>
      <c r="S152" s="66"/>
      <c r="T152" s="3"/>
      <c r="U152" s="51"/>
      <c r="V152" s="52"/>
      <c r="W152" s="53"/>
      <c r="X152" s="52"/>
      <c r="Y152" s="53"/>
      <c r="Z152" s="66"/>
      <c r="AA152" s="3"/>
      <c r="AB152" s="62"/>
      <c r="AC152" s="52"/>
      <c r="AD152" s="7"/>
      <c r="AE152" s="7"/>
      <c r="AF152" s="88" t="str">
        <f>A152&amp;" "&amp;B152</f>
        <v>18 Señala aquellas opciones donde sientes a Dios (V/R)</v>
      </c>
      <c r="AG152" s="7"/>
      <c r="AH152" s="7"/>
      <c r="AI152" s="7"/>
      <c r="AJ152" s="7"/>
      <c r="AK152" s="7"/>
      <c r="AL152" s="7"/>
      <c r="AM152" s="7"/>
      <c r="AN152" s="7"/>
      <c r="AO152" s="7"/>
      <c r="AP152" s="7"/>
      <c r="AQ152" s="7"/>
      <c r="AR152" s="7"/>
      <c r="AS152" s="76"/>
      <c r="AT152" s="7"/>
      <c r="AU152" s="7"/>
      <c r="AV152" s="7"/>
      <c r="AW152" s="7"/>
      <c r="AX152" s="7"/>
      <c r="AY152" s="7"/>
      <c r="AZ152" s="7"/>
      <c r="BA152" s="7"/>
      <c r="BB152" s="7"/>
      <c r="BC152" s="7"/>
      <c r="BD152" s="7"/>
      <c r="BE152" s="7"/>
      <c r="BF152" s="3"/>
      <c r="BG152" s="3"/>
      <c r="BH152" s="3"/>
      <c r="BI152" s="3"/>
      <c r="BJ152" s="3"/>
      <c r="BK152" s="3"/>
      <c r="BL152" s="3"/>
      <c r="BM152" s="3"/>
      <c r="BN152" s="3"/>
      <c r="BO152" s="3"/>
      <c r="BP152" s="3"/>
      <c r="BQ152" s="3"/>
      <c r="BR152" s="3"/>
      <c r="BS152" s="3"/>
      <c r="BT152" s="3"/>
      <c r="BU152" s="3"/>
      <c r="BV152" s="3"/>
      <c r="BW152" s="3"/>
    </row>
    <row r="153" spans="1:75" x14ac:dyDescent="0.3">
      <c r="A153" s="8" t="s">
        <v>17</v>
      </c>
      <c r="B153" s="9" t="s">
        <v>114</v>
      </c>
      <c r="C153" s="7"/>
      <c r="D153" s="7"/>
      <c r="E153" s="7"/>
      <c r="F153" s="71"/>
      <c r="G153" s="51">
        <f t="shared" ref="G153:G164" si="175">I153+K153</f>
        <v>38</v>
      </c>
      <c r="H153" s="52">
        <f t="shared" ref="H153:H164" si="176">G153/$J$5*100</f>
        <v>90.476190476190482</v>
      </c>
      <c r="I153" s="53">
        <f>COUNTIFS('00 Encuesta'!$B$2:$B$511,"*f)*",'00 Encuesta'!$C$2:$C$511,"*a)*",'00 Encuesta'!$E$2:$E$511,"*a)*",'00 Encuesta'!$U$2:$U$511,"*a)*")</f>
        <v>19</v>
      </c>
      <c r="J153" s="52">
        <f t="shared" ref="J153:J164" si="177">I153/$J$6*100</f>
        <v>86.36363636363636</v>
      </c>
      <c r="K153" s="53">
        <f>COUNTIFS('00 Encuesta'!$B$2:$B$511,"*f)*",'00 Encuesta'!$C$2:$C$511,"*a)*",'00 Encuesta'!$E$2:$E$511,"*b)*",'00 Encuesta'!$U$2:$U$511,"*a)*")</f>
        <v>19</v>
      </c>
      <c r="L153" s="52">
        <f t="shared" ref="L153:L164" si="178">K153/$J$7*100</f>
        <v>95</v>
      </c>
      <c r="M153" s="23"/>
      <c r="N153" s="51">
        <f t="shared" ref="N153:N164" si="179">P153+R153</f>
        <v>0</v>
      </c>
      <c r="O153" s="52" t="e">
        <f t="shared" ref="O153:O164" si="180">N153/$Q$5*100</f>
        <v>#DIV/0!</v>
      </c>
      <c r="P153" s="53">
        <f>COUNTIFS('00 Encuesta'!$B$2:$B$511,"*f)*",'00 Encuesta'!$C$2:$C$511,"*b)*",'00 Encuesta'!$E$2:$E$511,"*a)*",'00 Encuesta'!$U$2:$U$511,"*a)*")</f>
        <v>0</v>
      </c>
      <c r="Q153" s="52" t="e">
        <f t="shared" ref="Q153:Q164" si="181">P153/$Q$6*100</f>
        <v>#DIV/0!</v>
      </c>
      <c r="R153" s="53">
        <f>COUNTIFS('00 Encuesta'!$B$2:$B$511,"*f)*",'00 Encuesta'!$C$2:$C$511,"*b)*",'00 Encuesta'!$E$2:$E$511,"*b)*",'00 Encuesta'!$U$2:$U$511,"*a)*")</f>
        <v>0</v>
      </c>
      <c r="S153" s="52" t="e">
        <f t="shared" ref="S153:S164" si="182">R153/$Q$7*100</f>
        <v>#DIV/0!</v>
      </c>
      <c r="T153" s="3"/>
      <c r="U153" s="51">
        <f t="shared" ref="U153:U164" si="183">W153+Y153</f>
        <v>0</v>
      </c>
      <c r="V153" s="52" t="e">
        <f t="shared" ref="V153:V164" si="184">U153/$X$5*100</f>
        <v>#DIV/0!</v>
      </c>
      <c r="W153" s="53">
        <f>COUNTIFS('00 Encuesta'!$B$2:$B$511,"*f)*",'00 Encuesta'!$C$2:$C$511,"*c)*",'00 Encuesta'!$E$2:$E$511,"*a)*",'00 Encuesta'!$U$2:$U$511,"*a)*")</f>
        <v>0</v>
      </c>
      <c r="X153" s="52" t="e">
        <f t="shared" ref="X153:X164" si="185">W153/$X$6*100</f>
        <v>#DIV/0!</v>
      </c>
      <c r="Y153" s="53">
        <f>COUNTIFS('00 Encuesta'!$B$2:$B$511,"*f)*",'00 Encuesta'!$C$2:$C$511,"*c)*",'00 Encuesta'!$E$2:$E$511,"*b)*",'00 Encuesta'!$U$2:$U$511,"*a)*")</f>
        <v>0</v>
      </c>
      <c r="Z153" s="52" t="e">
        <f t="shared" ref="Z153:Z164" si="186">Y153/$X$7*100</f>
        <v>#DIV/0!</v>
      </c>
      <c r="AA153" s="3"/>
      <c r="AB153" s="62">
        <f t="shared" ref="AB153:AB164" si="187">G153+N153+U153</f>
        <v>38</v>
      </c>
      <c r="AC153" s="52">
        <f t="shared" ref="AC153:AC164" si="188">AB153*100/$AC$5</f>
        <v>90.476190476190482</v>
      </c>
      <c r="AD153" s="7"/>
      <c r="AE153" s="7"/>
      <c r="AF153" s="9" t="str">
        <f t="shared" ref="AF153:AF165" si="189">A153&amp;" "&amp;B153</f>
        <v>a) La iglesia</v>
      </c>
      <c r="AG153" s="72">
        <f t="shared" ref="AG153:AG165" si="190">J153</f>
        <v>86.36363636363636</v>
      </c>
      <c r="AH153" s="72">
        <f t="shared" ref="AH153:AH165" si="191">L153</f>
        <v>95</v>
      </c>
      <c r="AI153" s="73">
        <f t="shared" ref="AI153:AI165" si="192">H153</f>
        <v>90.476190476190482</v>
      </c>
      <c r="AJ153" s="73"/>
      <c r="AK153" s="76" t="e">
        <f t="shared" ref="AK153:AK165" si="193">Q153</f>
        <v>#DIV/0!</v>
      </c>
      <c r="AL153" s="76" t="e">
        <f t="shared" ref="AL153:AL165" si="194">S153</f>
        <v>#DIV/0!</v>
      </c>
      <c r="AM153" s="76" t="e">
        <f t="shared" ref="AM153:AM165" si="195">O153</f>
        <v>#DIV/0!</v>
      </c>
      <c r="AN153" s="76"/>
      <c r="AO153" s="81" t="e">
        <f t="shared" ref="AO153:AO165" si="196">X153</f>
        <v>#DIV/0!</v>
      </c>
      <c r="AP153" s="81" t="e">
        <f t="shared" ref="AP153:AP165" si="197">Z153</f>
        <v>#DIV/0!</v>
      </c>
      <c r="AQ153" s="81" t="e">
        <f t="shared" ref="AQ153:AQ165" si="198">V153</f>
        <v>#DIV/0!</v>
      </c>
      <c r="AR153" s="7"/>
      <c r="AS153" s="76">
        <f t="shared" si="174"/>
        <v>90.476190476190482</v>
      </c>
      <c r="AT153" s="7"/>
      <c r="AU153" s="7"/>
      <c r="AV153" s="7"/>
      <c r="AW153" s="7"/>
      <c r="AX153" s="7"/>
      <c r="AY153" s="7"/>
      <c r="AZ153" s="7"/>
      <c r="BA153" s="7"/>
      <c r="BB153" s="7"/>
      <c r="BC153" s="7"/>
      <c r="BD153" s="7"/>
      <c r="BE153" s="7"/>
      <c r="BF153" s="3"/>
      <c r="BG153" s="3"/>
      <c r="BH153" s="3"/>
      <c r="BI153" s="3"/>
      <c r="BJ153" s="3"/>
      <c r="BK153" s="3"/>
      <c r="BL153" s="3"/>
      <c r="BM153" s="3"/>
      <c r="BN153" s="3"/>
      <c r="BO153" s="3"/>
      <c r="BP153" s="3"/>
      <c r="BQ153" s="3"/>
      <c r="BR153" s="3"/>
      <c r="BS153" s="3"/>
      <c r="BT153" s="3"/>
      <c r="BU153" s="3"/>
      <c r="BV153" s="3"/>
      <c r="BW153" s="3"/>
    </row>
    <row r="154" spans="1:75" x14ac:dyDescent="0.3">
      <c r="A154" s="8" t="s">
        <v>18</v>
      </c>
      <c r="B154" s="9" t="s">
        <v>115</v>
      </c>
      <c r="C154" s="7"/>
      <c r="D154" s="7"/>
      <c r="E154" s="7"/>
      <c r="F154" s="71"/>
      <c r="G154" s="51">
        <f t="shared" si="175"/>
        <v>16</v>
      </c>
      <c r="H154" s="52">
        <f t="shared" si="176"/>
        <v>38.095238095238095</v>
      </c>
      <c r="I154" s="53">
        <f>COUNTIFS('00 Encuesta'!$B$2:$B$511,"*f)*",'00 Encuesta'!$C$2:$C$511,"*a)*",'00 Encuesta'!$E$2:$E$511,"*a)*",'00 Encuesta'!$U$2:$U$511,"*b)*")</f>
        <v>8</v>
      </c>
      <c r="J154" s="52">
        <f t="shared" si="177"/>
        <v>36.363636363636367</v>
      </c>
      <c r="K154" s="53">
        <f>COUNTIFS('00 Encuesta'!$B$2:$B$511,"*f)*",'00 Encuesta'!$C$2:$C$511,"*a)*",'00 Encuesta'!$E$2:$E$511,"*b)*",'00 Encuesta'!$U$2:$U$511,"*b)*")</f>
        <v>8</v>
      </c>
      <c r="L154" s="52">
        <f t="shared" si="178"/>
        <v>40</v>
      </c>
      <c r="M154" s="23"/>
      <c r="N154" s="51">
        <f t="shared" si="179"/>
        <v>0</v>
      </c>
      <c r="O154" s="52" t="e">
        <f t="shared" si="180"/>
        <v>#DIV/0!</v>
      </c>
      <c r="P154" s="53">
        <f>COUNTIFS('00 Encuesta'!$B$2:$B$511,"*f)*",'00 Encuesta'!$C$2:$C$511,"*b)*",'00 Encuesta'!$E$2:$E$511,"*a)*",'00 Encuesta'!$U$2:$U$511,"*b)*")</f>
        <v>0</v>
      </c>
      <c r="Q154" s="52" t="e">
        <f t="shared" si="181"/>
        <v>#DIV/0!</v>
      </c>
      <c r="R154" s="53">
        <f>COUNTIFS('00 Encuesta'!$B$2:$B$511,"*f)*",'00 Encuesta'!$C$2:$C$511,"*b)*",'00 Encuesta'!$E$2:$E$511,"*b)*",'00 Encuesta'!$U$2:$U$511,"*b)*")</f>
        <v>0</v>
      </c>
      <c r="S154" s="52" t="e">
        <f t="shared" si="182"/>
        <v>#DIV/0!</v>
      </c>
      <c r="T154" s="3"/>
      <c r="U154" s="51">
        <f t="shared" si="183"/>
        <v>0</v>
      </c>
      <c r="V154" s="52" t="e">
        <f t="shared" si="184"/>
        <v>#DIV/0!</v>
      </c>
      <c r="W154" s="53">
        <f>COUNTIFS('00 Encuesta'!$B$2:$B$511,"*f)*",'00 Encuesta'!$C$2:$C$511,"*c)*",'00 Encuesta'!$E$2:$E$511,"*a)*",'00 Encuesta'!$U$2:$U$511,"*b)*")</f>
        <v>0</v>
      </c>
      <c r="X154" s="52" t="e">
        <f t="shared" si="185"/>
        <v>#DIV/0!</v>
      </c>
      <c r="Y154" s="53">
        <f>COUNTIFS('00 Encuesta'!$B$2:$B$511,"*f)*",'00 Encuesta'!$C$2:$C$511,"*c)*",'00 Encuesta'!$E$2:$E$511,"*b)*",'00 Encuesta'!$U$2:$U$511,"*b)*")</f>
        <v>0</v>
      </c>
      <c r="Z154" s="52" t="e">
        <f t="shared" si="186"/>
        <v>#DIV/0!</v>
      </c>
      <c r="AA154" s="3"/>
      <c r="AB154" s="62">
        <f t="shared" si="187"/>
        <v>16</v>
      </c>
      <c r="AC154" s="52">
        <f t="shared" si="188"/>
        <v>38.095238095238095</v>
      </c>
      <c r="AD154" s="7"/>
      <c r="AE154" s="7"/>
      <c r="AF154" s="9" t="str">
        <f t="shared" si="189"/>
        <v>b) La naturaleza</v>
      </c>
      <c r="AG154" s="72">
        <f t="shared" si="190"/>
        <v>36.363636363636367</v>
      </c>
      <c r="AH154" s="72">
        <f t="shared" si="191"/>
        <v>40</v>
      </c>
      <c r="AI154" s="73">
        <f t="shared" si="192"/>
        <v>38.095238095238095</v>
      </c>
      <c r="AJ154" s="73"/>
      <c r="AK154" s="76" t="e">
        <f t="shared" si="193"/>
        <v>#DIV/0!</v>
      </c>
      <c r="AL154" s="76" t="e">
        <f t="shared" si="194"/>
        <v>#DIV/0!</v>
      </c>
      <c r="AM154" s="76" t="e">
        <f t="shared" si="195"/>
        <v>#DIV/0!</v>
      </c>
      <c r="AN154" s="76"/>
      <c r="AO154" s="81" t="e">
        <f t="shared" si="196"/>
        <v>#DIV/0!</v>
      </c>
      <c r="AP154" s="81" t="e">
        <f t="shared" si="197"/>
        <v>#DIV/0!</v>
      </c>
      <c r="AQ154" s="81" t="e">
        <f t="shared" si="198"/>
        <v>#DIV/0!</v>
      </c>
      <c r="AR154" s="7"/>
      <c r="AS154" s="76">
        <f t="shared" si="174"/>
        <v>38.095238095238095</v>
      </c>
      <c r="AT154" s="7"/>
      <c r="AU154" s="7"/>
      <c r="AV154" s="7"/>
      <c r="AW154" s="7"/>
      <c r="AX154" s="7"/>
      <c r="AY154" s="7"/>
      <c r="AZ154" s="7"/>
      <c r="BA154" s="7"/>
      <c r="BB154" s="7"/>
      <c r="BC154" s="7"/>
      <c r="BD154" s="7"/>
      <c r="BE154" s="7"/>
      <c r="BF154" s="3"/>
      <c r="BG154" s="3"/>
      <c r="BH154" s="3"/>
      <c r="BI154" s="3"/>
      <c r="BJ154" s="3"/>
      <c r="BK154" s="3"/>
      <c r="BL154" s="3"/>
      <c r="BM154" s="3"/>
      <c r="BN154" s="3"/>
      <c r="BO154" s="3"/>
      <c r="BP154" s="3"/>
      <c r="BQ154" s="3"/>
      <c r="BR154" s="3"/>
      <c r="BS154" s="3"/>
      <c r="BT154" s="3"/>
      <c r="BU154" s="3"/>
      <c r="BV154" s="3"/>
      <c r="BW154" s="3"/>
    </row>
    <row r="155" spans="1:75" x14ac:dyDescent="0.3">
      <c r="A155" s="8" t="s">
        <v>20</v>
      </c>
      <c r="B155" s="9" t="s">
        <v>116</v>
      </c>
      <c r="C155" s="7"/>
      <c r="D155" s="7"/>
      <c r="E155" s="7"/>
      <c r="F155" s="71"/>
      <c r="G155" s="51">
        <f t="shared" si="175"/>
        <v>13</v>
      </c>
      <c r="H155" s="52">
        <f t="shared" si="176"/>
        <v>30.952380952380953</v>
      </c>
      <c r="I155" s="53">
        <f>COUNTIFS('00 Encuesta'!$B$2:$B$511,"*f)*",'00 Encuesta'!$C$2:$C$511,"*a)*",'00 Encuesta'!$E$2:$E$511,"*a)*",'00 Encuesta'!$U$2:$U$511,"*c)*")</f>
        <v>8</v>
      </c>
      <c r="J155" s="52">
        <f t="shared" si="177"/>
        <v>36.363636363636367</v>
      </c>
      <c r="K155" s="53">
        <f>COUNTIFS('00 Encuesta'!$B$2:$B$511,"*f)*",'00 Encuesta'!$C$2:$C$511,"*a)*",'00 Encuesta'!$E$2:$E$511,"*b)*",'00 Encuesta'!$U$2:$U$511,"*c)*")</f>
        <v>5</v>
      </c>
      <c r="L155" s="52">
        <f t="shared" si="178"/>
        <v>25</v>
      </c>
      <c r="M155" s="23"/>
      <c r="N155" s="51">
        <f t="shared" si="179"/>
        <v>0</v>
      </c>
      <c r="O155" s="52" t="e">
        <f t="shared" si="180"/>
        <v>#DIV/0!</v>
      </c>
      <c r="P155" s="53">
        <f>COUNTIFS('00 Encuesta'!$B$2:$B$511,"*f)*",'00 Encuesta'!$C$2:$C$511,"*b)*",'00 Encuesta'!$E$2:$E$511,"*a)*",'00 Encuesta'!$U$2:$U$511,"*c)*")</f>
        <v>0</v>
      </c>
      <c r="Q155" s="52" t="e">
        <f t="shared" si="181"/>
        <v>#DIV/0!</v>
      </c>
      <c r="R155" s="53">
        <f>COUNTIFS('00 Encuesta'!$B$2:$B$511,"*f)*",'00 Encuesta'!$C$2:$C$511,"*b)*",'00 Encuesta'!$E$2:$E$511,"*b)*",'00 Encuesta'!$U$2:$U$511,"*c)*")</f>
        <v>0</v>
      </c>
      <c r="S155" s="52" t="e">
        <f t="shared" si="182"/>
        <v>#DIV/0!</v>
      </c>
      <c r="T155" s="3"/>
      <c r="U155" s="51">
        <f t="shared" si="183"/>
        <v>0</v>
      </c>
      <c r="V155" s="52" t="e">
        <f t="shared" si="184"/>
        <v>#DIV/0!</v>
      </c>
      <c r="W155" s="53">
        <f>COUNTIFS('00 Encuesta'!$B$2:$B$511,"*f)*",'00 Encuesta'!$C$2:$C$511,"*c)*",'00 Encuesta'!$E$2:$E$511,"*a)*",'00 Encuesta'!$U$2:$U$511,"*c)*")</f>
        <v>0</v>
      </c>
      <c r="X155" s="52" t="e">
        <f t="shared" si="185"/>
        <v>#DIV/0!</v>
      </c>
      <c r="Y155" s="53">
        <f>COUNTIFS('00 Encuesta'!$B$2:$B$511,"*f)*",'00 Encuesta'!$C$2:$C$511,"*c)*",'00 Encuesta'!$E$2:$E$511,"*b)*",'00 Encuesta'!$U$2:$U$511,"*c)*")</f>
        <v>0</v>
      </c>
      <c r="Z155" s="52" t="e">
        <f t="shared" si="186"/>
        <v>#DIV/0!</v>
      </c>
      <c r="AA155" s="3"/>
      <c r="AB155" s="62">
        <f t="shared" si="187"/>
        <v>13</v>
      </c>
      <c r="AC155" s="52">
        <f t="shared" si="188"/>
        <v>30.952380952380953</v>
      </c>
      <c r="AD155" s="7"/>
      <c r="AE155" s="7"/>
      <c r="AF155" s="9" t="str">
        <f t="shared" si="189"/>
        <v>c) El salón de clase</v>
      </c>
      <c r="AG155" s="72">
        <f t="shared" si="190"/>
        <v>36.363636363636367</v>
      </c>
      <c r="AH155" s="72">
        <f t="shared" si="191"/>
        <v>25</v>
      </c>
      <c r="AI155" s="73">
        <f t="shared" si="192"/>
        <v>30.952380952380953</v>
      </c>
      <c r="AJ155" s="73"/>
      <c r="AK155" s="76" t="e">
        <f t="shared" si="193"/>
        <v>#DIV/0!</v>
      </c>
      <c r="AL155" s="76" t="e">
        <f t="shared" si="194"/>
        <v>#DIV/0!</v>
      </c>
      <c r="AM155" s="76" t="e">
        <f t="shared" si="195"/>
        <v>#DIV/0!</v>
      </c>
      <c r="AN155" s="76"/>
      <c r="AO155" s="81" t="e">
        <f t="shared" si="196"/>
        <v>#DIV/0!</v>
      </c>
      <c r="AP155" s="81" t="e">
        <f t="shared" si="197"/>
        <v>#DIV/0!</v>
      </c>
      <c r="AQ155" s="81" t="e">
        <f t="shared" si="198"/>
        <v>#DIV/0!</v>
      </c>
      <c r="AR155" s="7"/>
      <c r="AS155" s="76">
        <f t="shared" si="174"/>
        <v>30.952380952380953</v>
      </c>
      <c r="AT155" s="7"/>
      <c r="AU155" s="7"/>
      <c r="AV155" s="7"/>
      <c r="AW155" s="7"/>
      <c r="AX155" s="7"/>
      <c r="AY155" s="7"/>
      <c r="AZ155" s="7"/>
      <c r="BA155" s="7"/>
      <c r="BB155" s="7"/>
      <c r="BC155" s="7"/>
      <c r="BD155" s="7"/>
      <c r="BE155" s="7"/>
      <c r="BF155" s="3"/>
      <c r="BG155" s="3"/>
      <c r="BH155" s="3"/>
      <c r="BI155" s="3"/>
      <c r="BJ155" s="3"/>
      <c r="BK155" s="3"/>
      <c r="BL155" s="3"/>
      <c r="BM155" s="3"/>
      <c r="BN155" s="3"/>
      <c r="BO155" s="3"/>
      <c r="BP155" s="3"/>
      <c r="BQ155" s="3"/>
      <c r="BR155" s="3"/>
      <c r="BS155" s="3"/>
      <c r="BT155" s="3"/>
      <c r="BU155" s="3"/>
      <c r="BV155" s="3"/>
      <c r="BW155" s="3"/>
    </row>
    <row r="156" spans="1:75" x14ac:dyDescent="0.3">
      <c r="A156" s="8" t="s">
        <v>21</v>
      </c>
      <c r="B156" s="9" t="s">
        <v>117</v>
      </c>
      <c r="C156" s="7"/>
      <c r="D156" s="7"/>
      <c r="E156" s="7"/>
      <c r="F156" s="71"/>
      <c r="G156" s="51">
        <f t="shared" si="175"/>
        <v>21</v>
      </c>
      <c r="H156" s="52">
        <f t="shared" si="176"/>
        <v>50</v>
      </c>
      <c r="I156" s="53">
        <f>COUNTIFS('00 Encuesta'!$B$2:$B$511,"*f)*",'00 Encuesta'!$C$2:$C$511,"*a)*",'00 Encuesta'!$E$2:$E$511,"*a)*",'00 Encuesta'!$U$2:$U$511,"*d)*")</f>
        <v>10</v>
      </c>
      <c r="J156" s="52">
        <f t="shared" si="177"/>
        <v>45.454545454545453</v>
      </c>
      <c r="K156" s="53">
        <f>COUNTIFS('00 Encuesta'!$B$2:$B$511,"*f)*",'00 Encuesta'!$C$2:$C$511,"*a)*",'00 Encuesta'!$E$2:$E$511,"*b)*",'00 Encuesta'!$U$2:$U$511,"*d)*")</f>
        <v>11</v>
      </c>
      <c r="L156" s="52">
        <f t="shared" si="178"/>
        <v>55.000000000000007</v>
      </c>
      <c r="M156" s="23"/>
      <c r="N156" s="51">
        <f t="shared" si="179"/>
        <v>0</v>
      </c>
      <c r="O156" s="52" t="e">
        <f t="shared" si="180"/>
        <v>#DIV/0!</v>
      </c>
      <c r="P156" s="53">
        <f>COUNTIFS('00 Encuesta'!$B$2:$B$511,"*f)*",'00 Encuesta'!$C$2:$C$511,"*b)*",'00 Encuesta'!$E$2:$E$511,"*a)*",'00 Encuesta'!$U$2:$U$511,"*d)*")</f>
        <v>0</v>
      </c>
      <c r="Q156" s="52" t="e">
        <f t="shared" si="181"/>
        <v>#DIV/0!</v>
      </c>
      <c r="R156" s="53">
        <f>COUNTIFS('00 Encuesta'!$B$2:$B$511,"*f)*",'00 Encuesta'!$C$2:$C$511,"*b)*",'00 Encuesta'!$E$2:$E$511,"*b)*",'00 Encuesta'!$U$2:$U$511,"*d)*")</f>
        <v>0</v>
      </c>
      <c r="S156" s="52" t="e">
        <f t="shared" si="182"/>
        <v>#DIV/0!</v>
      </c>
      <c r="T156" s="3"/>
      <c r="U156" s="51">
        <f t="shared" si="183"/>
        <v>0</v>
      </c>
      <c r="V156" s="52" t="e">
        <f t="shared" si="184"/>
        <v>#DIV/0!</v>
      </c>
      <c r="W156" s="53">
        <f>COUNTIFS('00 Encuesta'!$B$2:$B$511,"*f)*",'00 Encuesta'!$C$2:$C$511,"*c)*",'00 Encuesta'!$E$2:$E$511,"*a)*",'00 Encuesta'!$U$2:$U$511,"*d)*")</f>
        <v>0</v>
      </c>
      <c r="X156" s="52" t="e">
        <f t="shared" si="185"/>
        <v>#DIV/0!</v>
      </c>
      <c r="Y156" s="53">
        <f>COUNTIFS('00 Encuesta'!$B$2:$B$511,"*f)*",'00 Encuesta'!$C$2:$C$511,"*c)*",'00 Encuesta'!$E$2:$E$511,"*b)*",'00 Encuesta'!$U$2:$U$511,"*d)*")</f>
        <v>0</v>
      </c>
      <c r="Z156" s="52" t="e">
        <f t="shared" si="186"/>
        <v>#DIV/0!</v>
      </c>
      <c r="AA156" s="3"/>
      <c r="AB156" s="62">
        <f t="shared" si="187"/>
        <v>21</v>
      </c>
      <c r="AC156" s="52">
        <f t="shared" si="188"/>
        <v>50</v>
      </c>
      <c r="AD156" s="7"/>
      <c r="AE156" s="7"/>
      <c r="AF156" s="9" t="str">
        <f t="shared" si="189"/>
        <v>d) Las convivencias</v>
      </c>
      <c r="AG156" s="72">
        <f t="shared" si="190"/>
        <v>45.454545454545453</v>
      </c>
      <c r="AH156" s="72">
        <f t="shared" si="191"/>
        <v>55.000000000000007</v>
      </c>
      <c r="AI156" s="73">
        <f t="shared" si="192"/>
        <v>50</v>
      </c>
      <c r="AJ156" s="73"/>
      <c r="AK156" s="76" t="e">
        <f t="shared" si="193"/>
        <v>#DIV/0!</v>
      </c>
      <c r="AL156" s="76" t="e">
        <f t="shared" si="194"/>
        <v>#DIV/0!</v>
      </c>
      <c r="AM156" s="76" t="e">
        <f t="shared" si="195"/>
        <v>#DIV/0!</v>
      </c>
      <c r="AN156" s="76"/>
      <c r="AO156" s="81" t="e">
        <f t="shared" si="196"/>
        <v>#DIV/0!</v>
      </c>
      <c r="AP156" s="81" t="e">
        <f t="shared" si="197"/>
        <v>#DIV/0!</v>
      </c>
      <c r="AQ156" s="81" t="e">
        <f t="shared" si="198"/>
        <v>#DIV/0!</v>
      </c>
      <c r="AR156" s="7"/>
      <c r="AS156" s="76">
        <f t="shared" si="174"/>
        <v>50</v>
      </c>
      <c r="AT156" s="7"/>
      <c r="AU156" s="7"/>
      <c r="AV156" s="7"/>
      <c r="AW156" s="7"/>
      <c r="AX156" s="7"/>
      <c r="AY156" s="7"/>
      <c r="AZ156" s="7"/>
      <c r="BA156" s="7"/>
      <c r="BB156" s="7"/>
      <c r="BC156" s="7"/>
      <c r="BD156" s="7"/>
      <c r="BE156" s="7"/>
      <c r="BF156" s="3"/>
      <c r="BG156" s="3"/>
      <c r="BH156" s="3"/>
      <c r="BI156" s="3"/>
      <c r="BJ156" s="3"/>
      <c r="BK156" s="3"/>
      <c r="BL156" s="3"/>
      <c r="BM156" s="3"/>
      <c r="BN156" s="3"/>
      <c r="BO156" s="3"/>
      <c r="BP156" s="3"/>
      <c r="BQ156" s="3"/>
      <c r="BR156" s="3"/>
      <c r="BS156" s="3"/>
      <c r="BT156" s="3"/>
      <c r="BU156" s="3"/>
      <c r="BV156" s="3"/>
      <c r="BW156" s="3"/>
    </row>
    <row r="157" spans="1:75" x14ac:dyDescent="0.3">
      <c r="A157" s="8" t="s">
        <v>22</v>
      </c>
      <c r="B157" s="9" t="s">
        <v>81</v>
      </c>
      <c r="C157" s="7"/>
      <c r="D157" s="7"/>
      <c r="E157" s="7"/>
      <c r="F157" s="71"/>
      <c r="G157" s="51">
        <f t="shared" si="175"/>
        <v>9</v>
      </c>
      <c r="H157" s="52">
        <f t="shared" si="176"/>
        <v>21.428571428571427</v>
      </c>
      <c r="I157" s="53">
        <f>COUNTIFS('00 Encuesta'!$B$2:$B$511,"*f)*",'00 Encuesta'!$C$2:$C$511,"*a)*",'00 Encuesta'!$E$2:$E$511,"*a)*",'00 Encuesta'!$U$2:$U$511,"*e)*")</f>
        <v>4</v>
      </c>
      <c r="J157" s="52">
        <f t="shared" si="177"/>
        <v>18.181818181818183</v>
      </c>
      <c r="K157" s="53">
        <f>COUNTIFS('00 Encuesta'!$B$2:$B$511,"*f)*",'00 Encuesta'!$C$2:$C$511,"*a)*",'00 Encuesta'!$E$2:$E$511,"*b)*",'00 Encuesta'!$U$2:$U$511,"*e)*")</f>
        <v>5</v>
      </c>
      <c r="L157" s="52">
        <f t="shared" si="178"/>
        <v>25</v>
      </c>
      <c r="M157" s="23"/>
      <c r="N157" s="51">
        <f t="shared" si="179"/>
        <v>0</v>
      </c>
      <c r="O157" s="52" t="e">
        <f t="shared" si="180"/>
        <v>#DIV/0!</v>
      </c>
      <c r="P157" s="53">
        <f>COUNTIFS('00 Encuesta'!$B$2:$B$511,"*f)*",'00 Encuesta'!$C$2:$C$511,"*b)*",'00 Encuesta'!$E$2:$E$511,"*a)*",'00 Encuesta'!$U$2:$U$511,"*e)*")</f>
        <v>0</v>
      </c>
      <c r="Q157" s="52" t="e">
        <f t="shared" si="181"/>
        <v>#DIV/0!</v>
      </c>
      <c r="R157" s="53">
        <f>COUNTIFS('00 Encuesta'!$B$2:$B$511,"*f)*",'00 Encuesta'!$C$2:$C$511,"*b)*",'00 Encuesta'!$E$2:$E$511,"*b)*",'00 Encuesta'!$U$2:$U$511,"*e)*")</f>
        <v>0</v>
      </c>
      <c r="S157" s="52" t="e">
        <f t="shared" si="182"/>
        <v>#DIV/0!</v>
      </c>
      <c r="T157" s="3"/>
      <c r="U157" s="51">
        <f t="shared" si="183"/>
        <v>0</v>
      </c>
      <c r="V157" s="52" t="e">
        <f t="shared" si="184"/>
        <v>#DIV/0!</v>
      </c>
      <c r="W157" s="53">
        <f>COUNTIFS('00 Encuesta'!$B$2:$B$511,"*f)*",'00 Encuesta'!$C$2:$C$511,"*c)*",'00 Encuesta'!$E$2:$E$511,"*a)*",'00 Encuesta'!$U$2:$U$511,"*e)*")</f>
        <v>0</v>
      </c>
      <c r="X157" s="52" t="e">
        <f t="shared" si="185"/>
        <v>#DIV/0!</v>
      </c>
      <c r="Y157" s="53">
        <f>COUNTIFS('00 Encuesta'!$B$2:$B$511,"*f)*",'00 Encuesta'!$C$2:$C$511,"*c)*",'00 Encuesta'!$E$2:$E$511,"*b)*",'00 Encuesta'!$U$2:$U$511,"*e)*")</f>
        <v>0</v>
      </c>
      <c r="Z157" s="52" t="e">
        <f t="shared" si="186"/>
        <v>#DIV/0!</v>
      </c>
      <c r="AA157" s="3"/>
      <c r="AB157" s="62">
        <f t="shared" si="187"/>
        <v>9</v>
      </c>
      <c r="AC157" s="52">
        <f t="shared" si="188"/>
        <v>21.428571428571427</v>
      </c>
      <c r="AD157" s="7"/>
      <c r="AE157" s="7"/>
      <c r="AF157" s="9" t="str">
        <f t="shared" si="189"/>
        <v>e) Los amigos</v>
      </c>
      <c r="AG157" s="72">
        <f t="shared" si="190"/>
        <v>18.181818181818183</v>
      </c>
      <c r="AH157" s="72">
        <f t="shared" si="191"/>
        <v>25</v>
      </c>
      <c r="AI157" s="73">
        <f t="shared" si="192"/>
        <v>21.428571428571427</v>
      </c>
      <c r="AJ157" s="73"/>
      <c r="AK157" s="76" t="e">
        <f t="shared" si="193"/>
        <v>#DIV/0!</v>
      </c>
      <c r="AL157" s="76" t="e">
        <f t="shared" si="194"/>
        <v>#DIV/0!</v>
      </c>
      <c r="AM157" s="76" t="e">
        <f t="shared" si="195"/>
        <v>#DIV/0!</v>
      </c>
      <c r="AN157" s="76"/>
      <c r="AO157" s="81" t="e">
        <f t="shared" si="196"/>
        <v>#DIV/0!</v>
      </c>
      <c r="AP157" s="81" t="e">
        <f t="shared" si="197"/>
        <v>#DIV/0!</v>
      </c>
      <c r="AQ157" s="81" t="e">
        <f t="shared" si="198"/>
        <v>#DIV/0!</v>
      </c>
      <c r="AR157" s="7"/>
      <c r="AS157" s="76">
        <f t="shared" si="174"/>
        <v>21.428571428571427</v>
      </c>
      <c r="AT157" s="7"/>
      <c r="AU157" s="7"/>
      <c r="AV157" s="7"/>
      <c r="AW157" s="7"/>
      <c r="AX157" s="7"/>
      <c r="AY157" s="7"/>
      <c r="AZ157" s="7"/>
      <c r="BA157" s="7"/>
      <c r="BB157" s="7"/>
      <c r="BC157" s="7"/>
      <c r="BD157" s="7"/>
      <c r="BE157" s="7"/>
      <c r="BF157" s="3"/>
      <c r="BG157" s="3"/>
      <c r="BH157" s="3"/>
      <c r="BI157" s="3"/>
      <c r="BJ157" s="3"/>
      <c r="BK157" s="3"/>
      <c r="BL157" s="3"/>
      <c r="BM157" s="3"/>
      <c r="BN157" s="3"/>
      <c r="BO157" s="3"/>
      <c r="BP157" s="3"/>
      <c r="BQ157" s="3"/>
      <c r="BR157" s="3"/>
      <c r="BS157" s="3"/>
      <c r="BT157" s="3"/>
      <c r="BU157" s="3"/>
      <c r="BV157" s="3"/>
      <c r="BW157" s="3"/>
    </row>
    <row r="158" spans="1:75" x14ac:dyDescent="0.3">
      <c r="A158" s="8" t="s">
        <v>45</v>
      </c>
      <c r="B158" s="9" t="s">
        <v>118</v>
      </c>
      <c r="C158" s="7"/>
      <c r="D158" s="7"/>
      <c r="E158" s="7"/>
      <c r="F158" s="71"/>
      <c r="G158" s="51">
        <f t="shared" si="175"/>
        <v>5</v>
      </c>
      <c r="H158" s="52">
        <f t="shared" si="176"/>
        <v>11.904761904761903</v>
      </c>
      <c r="I158" s="53">
        <f>COUNTIFS('00 Encuesta'!$B$2:$B$511,"*f)*",'00 Encuesta'!$C$2:$C$511,"*a)*",'00 Encuesta'!$E$2:$E$511,"*a)*",'00 Encuesta'!$U$2:$U$511,"*f)*")</f>
        <v>3</v>
      </c>
      <c r="J158" s="52">
        <f t="shared" si="177"/>
        <v>13.636363636363635</v>
      </c>
      <c r="K158" s="53">
        <f>COUNTIFS('00 Encuesta'!$B$2:$B$511,"*f)*",'00 Encuesta'!$C$2:$C$511,"*a)*",'00 Encuesta'!$E$2:$E$511,"*b)*",'00 Encuesta'!$U$2:$U$511,"*f)*")</f>
        <v>2</v>
      </c>
      <c r="L158" s="52">
        <f t="shared" si="178"/>
        <v>10</v>
      </c>
      <c r="M158" s="23"/>
      <c r="N158" s="51">
        <f t="shared" si="179"/>
        <v>0</v>
      </c>
      <c r="O158" s="52" t="e">
        <f t="shared" si="180"/>
        <v>#DIV/0!</v>
      </c>
      <c r="P158" s="53">
        <f>COUNTIFS('00 Encuesta'!$B$2:$B$511,"*f)*",'00 Encuesta'!$C$2:$C$511,"*b)*",'00 Encuesta'!$E$2:$E$511,"*a)*",'00 Encuesta'!$U$2:$U$511,"*f)*")</f>
        <v>0</v>
      </c>
      <c r="Q158" s="52" t="e">
        <f t="shared" si="181"/>
        <v>#DIV/0!</v>
      </c>
      <c r="R158" s="53">
        <f>COUNTIFS('00 Encuesta'!$B$2:$B$511,"*f)*",'00 Encuesta'!$C$2:$C$511,"*b)*",'00 Encuesta'!$E$2:$E$511,"*b)*",'00 Encuesta'!$U$2:$U$511,"*f)*")</f>
        <v>0</v>
      </c>
      <c r="S158" s="52" t="e">
        <f t="shared" si="182"/>
        <v>#DIV/0!</v>
      </c>
      <c r="T158" s="3"/>
      <c r="U158" s="51">
        <f t="shared" si="183"/>
        <v>0</v>
      </c>
      <c r="V158" s="52" t="e">
        <f t="shared" si="184"/>
        <v>#DIV/0!</v>
      </c>
      <c r="W158" s="53">
        <f>COUNTIFS('00 Encuesta'!$B$2:$B$511,"*f)*",'00 Encuesta'!$C$2:$C$511,"*c)*",'00 Encuesta'!$E$2:$E$511,"*a)*",'00 Encuesta'!$U$2:$U$511,"*f)*")</f>
        <v>0</v>
      </c>
      <c r="X158" s="52" t="e">
        <f t="shared" si="185"/>
        <v>#DIV/0!</v>
      </c>
      <c r="Y158" s="53">
        <f>COUNTIFS('00 Encuesta'!$B$2:$B$511,"*f)*",'00 Encuesta'!$C$2:$C$511,"*c)*",'00 Encuesta'!$E$2:$E$511,"*b)*",'00 Encuesta'!$U$2:$U$511,"*f)*")</f>
        <v>0</v>
      </c>
      <c r="Z158" s="52" t="e">
        <f t="shared" si="186"/>
        <v>#DIV/0!</v>
      </c>
      <c r="AA158" s="3"/>
      <c r="AB158" s="62">
        <f t="shared" si="187"/>
        <v>5</v>
      </c>
      <c r="AC158" s="52">
        <f t="shared" si="188"/>
        <v>11.904761904761905</v>
      </c>
      <c r="AD158" s="7"/>
      <c r="AE158" s="7"/>
      <c r="AF158" s="9" t="str">
        <f t="shared" si="189"/>
        <v>f) Todas las personas</v>
      </c>
      <c r="AG158" s="72">
        <f t="shared" si="190"/>
        <v>13.636363636363635</v>
      </c>
      <c r="AH158" s="72">
        <f t="shared" si="191"/>
        <v>10</v>
      </c>
      <c r="AI158" s="73">
        <f t="shared" si="192"/>
        <v>11.904761904761903</v>
      </c>
      <c r="AJ158" s="73"/>
      <c r="AK158" s="76" t="e">
        <f t="shared" si="193"/>
        <v>#DIV/0!</v>
      </c>
      <c r="AL158" s="76" t="e">
        <f t="shared" si="194"/>
        <v>#DIV/0!</v>
      </c>
      <c r="AM158" s="76" t="e">
        <f t="shared" si="195"/>
        <v>#DIV/0!</v>
      </c>
      <c r="AN158" s="76"/>
      <c r="AO158" s="81" t="e">
        <f t="shared" si="196"/>
        <v>#DIV/0!</v>
      </c>
      <c r="AP158" s="81" t="e">
        <f t="shared" si="197"/>
        <v>#DIV/0!</v>
      </c>
      <c r="AQ158" s="81" t="e">
        <f t="shared" si="198"/>
        <v>#DIV/0!</v>
      </c>
      <c r="AR158" s="7"/>
      <c r="AS158" s="76">
        <f t="shared" si="174"/>
        <v>11.904761904761905</v>
      </c>
      <c r="AT158" s="7"/>
      <c r="AU158" s="7"/>
      <c r="AV158" s="7"/>
      <c r="AW158" s="7"/>
      <c r="AX158" s="7"/>
      <c r="AY158" s="7"/>
      <c r="AZ158" s="7"/>
      <c r="BA158" s="7"/>
      <c r="BB158" s="7"/>
      <c r="BC158" s="7"/>
      <c r="BD158" s="7"/>
      <c r="BE158" s="7"/>
      <c r="BF158" s="3"/>
      <c r="BG158" s="3"/>
      <c r="BH158" s="3"/>
      <c r="BI158" s="3"/>
      <c r="BJ158" s="3"/>
      <c r="BK158" s="3"/>
      <c r="BL158" s="3"/>
      <c r="BM158" s="3"/>
      <c r="BN158" s="3"/>
      <c r="BO158" s="3"/>
      <c r="BP158" s="3"/>
      <c r="BQ158" s="3"/>
      <c r="BR158" s="3"/>
      <c r="BS158" s="3"/>
      <c r="BT158" s="3"/>
      <c r="BU158" s="3"/>
      <c r="BV158" s="3"/>
      <c r="BW158" s="3"/>
    </row>
    <row r="159" spans="1:75" x14ac:dyDescent="0.3">
      <c r="A159" s="8" t="s">
        <v>61</v>
      </c>
      <c r="B159" s="9" t="s">
        <v>119</v>
      </c>
      <c r="C159" s="7"/>
      <c r="D159" s="7"/>
      <c r="E159" s="56"/>
      <c r="F159" s="71"/>
      <c r="G159" s="51">
        <f t="shared" si="175"/>
        <v>27</v>
      </c>
      <c r="H159" s="52">
        <f t="shared" si="176"/>
        <v>64.285714285714292</v>
      </c>
      <c r="I159" s="53">
        <f>COUNTIFS('00 Encuesta'!$B$2:$B$511,"*f)*",'00 Encuesta'!$C$2:$C$511,"*a)*",'00 Encuesta'!$E$2:$E$511,"*a)*",'00 Encuesta'!$U$2:$U$511,"*g)*")</f>
        <v>11</v>
      </c>
      <c r="J159" s="52">
        <f t="shared" si="177"/>
        <v>50</v>
      </c>
      <c r="K159" s="53">
        <f>COUNTIFS('00 Encuesta'!$B$2:$B$511,"*f)*",'00 Encuesta'!$C$2:$C$511,"*a)*",'00 Encuesta'!$E$2:$E$511,"*b)*",'00 Encuesta'!$U$2:$U$511,"*g)*")</f>
        <v>16</v>
      </c>
      <c r="L159" s="52">
        <f t="shared" si="178"/>
        <v>80</v>
      </c>
      <c r="M159" s="23"/>
      <c r="N159" s="51">
        <f t="shared" si="179"/>
        <v>0</v>
      </c>
      <c r="O159" s="52" t="e">
        <f t="shared" si="180"/>
        <v>#DIV/0!</v>
      </c>
      <c r="P159" s="53">
        <f>COUNTIFS('00 Encuesta'!$B$2:$B$511,"*f)*",'00 Encuesta'!$C$2:$C$511,"*b)*",'00 Encuesta'!$E$2:$E$511,"*a)*",'00 Encuesta'!$U$2:$U$511,"*g)*")</f>
        <v>0</v>
      </c>
      <c r="Q159" s="52" t="e">
        <f t="shared" si="181"/>
        <v>#DIV/0!</v>
      </c>
      <c r="R159" s="53">
        <f>COUNTIFS('00 Encuesta'!$B$2:$B$511,"*f)*",'00 Encuesta'!$C$2:$C$511,"*b)*",'00 Encuesta'!$E$2:$E$511,"*b)*",'00 Encuesta'!$U$2:$U$511,"*g)*")</f>
        <v>0</v>
      </c>
      <c r="S159" s="52" t="e">
        <f t="shared" si="182"/>
        <v>#DIV/0!</v>
      </c>
      <c r="T159" s="3"/>
      <c r="U159" s="51">
        <f t="shared" si="183"/>
        <v>0</v>
      </c>
      <c r="V159" s="52" t="e">
        <f t="shared" si="184"/>
        <v>#DIV/0!</v>
      </c>
      <c r="W159" s="53">
        <f>COUNTIFS('00 Encuesta'!$B$2:$B$511,"*f)*",'00 Encuesta'!$C$2:$C$511,"*c)*",'00 Encuesta'!$E$2:$E$511,"*a)*",'00 Encuesta'!$U$2:$U$511,"*g)*")</f>
        <v>0</v>
      </c>
      <c r="X159" s="52" t="e">
        <f t="shared" si="185"/>
        <v>#DIV/0!</v>
      </c>
      <c r="Y159" s="53">
        <f>COUNTIFS('00 Encuesta'!$B$2:$B$511,"*f)*",'00 Encuesta'!$C$2:$C$511,"*c)*",'00 Encuesta'!$E$2:$E$511,"*b)*",'00 Encuesta'!$U$2:$U$511,"*g)*")</f>
        <v>0</v>
      </c>
      <c r="Z159" s="52" t="e">
        <f t="shared" si="186"/>
        <v>#DIV/0!</v>
      </c>
      <c r="AA159" s="3"/>
      <c r="AB159" s="62">
        <f t="shared" si="187"/>
        <v>27</v>
      </c>
      <c r="AC159" s="52">
        <f t="shared" si="188"/>
        <v>64.285714285714292</v>
      </c>
      <c r="AD159" s="7"/>
      <c r="AE159" s="7"/>
      <c r="AF159" s="9" t="str">
        <f t="shared" si="189"/>
        <v>g) Mi familia</v>
      </c>
      <c r="AG159" s="72">
        <f t="shared" si="190"/>
        <v>50</v>
      </c>
      <c r="AH159" s="72">
        <f t="shared" si="191"/>
        <v>80</v>
      </c>
      <c r="AI159" s="73">
        <f t="shared" si="192"/>
        <v>64.285714285714292</v>
      </c>
      <c r="AJ159" s="73"/>
      <c r="AK159" s="76" t="e">
        <f t="shared" si="193"/>
        <v>#DIV/0!</v>
      </c>
      <c r="AL159" s="76" t="e">
        <f t="shared" si="194"/>
        <v>#DIV/0!</v>
      </c>
      <c r="AM159" s="76" t="e">
        <f t="shared" si="195"/>
        <v>#DIV/0!</v>
      </c>
      <c r="AN159" s="76"/>
      <c r="AO159" s="81" t="e">
        <f t="shared" si="196"/>
        <v>#DIV/0!</v>
      </c>
      <c r="AP159" s="81" t="e">
        <f t="shared" si="197"/>
        <v>#DIV/0!</v>
      </c>
      <c r="AQ159" s="81" t="e">
        <f t="shared" si="198"/>
        <v>#DIV/0!</v>
      </c>
      <c r="AR159" s="7"/>
      <c r="AS159" s="76">
        <f t="shared" si="174"/>
        <v>64.285714285714292</v>
      </c>
      <c r="AT159" s="7"/>
      <c r="AU159" s="7"/>
      <c r="AV159" s="7"/>
      <c r="AW159" s="7"/>
      <c r="AX159" s="7"/>
      <c r="AY159" s="7"/>
      <c r="AZ159" s="7"/>
      <c r="BA159" s="7"/>
      <c r="BB159" s="7"/>
      <c r="BC159" s="7"/>
      <c r="BD159" s="7"/>
      <c r="BE159" s="7"/>
      <c r="BF159" s="3"/>
      <c r="BG159" s="3"/>
      <c r="BH159" s="3"/>
      <c r="BI159" s="3"/>
      <c r="BJ159" s="3"/>
      <c r="BK159" s="3"/>
      <c r="BL159" s="3"/>
      <c r="BM159" s="3"/>
      <c r="BN159" s="3"/>
      <c r="BO159" s="3"/>
      <c r="BP159" s="3"/>
      <c r="BQ159" s="3"/>
      <c r="BR159" s="3"/>
      <c r="BS159" s="3"/>
      <c r="BT159" s="3"/>
      <c r="BU159" s="3"/>
      <c r="BV159" s="3"/>
      <c r="BW159" s="3"/>
    </row>
    <row r="160" spans="1:75" x14ac:dyDescent="0.3">
      <c r="A160" s="8" t="s">
        <v>63</v>
      </c>
      <c r="B160" s="9" t="s">
        <v>120</v>
      </c>
      <c r="C160" s="7"/>
      <c r="D160" s="7"/>
      <c r="E160" s="7"/>
      <c r="F160" s="71"/>
      <c r="G160" s="51">
        <f t="shared" si="175"/>
        <v>17</v>
      </c>
      <c r="H160" s="52">
        <f t="shared" si="176"/>
        <v>40.476190476190474</v>
      </c>
      <c r="I160" s="53">
        <f>COUNTIFS('00 Encuesta'!$B$2:$B$511,"*f)*",'00 Encuesta'!$C$2:$C$511,"*a)*",'00 Encuesta'!$E$2:$E$511,"*a)*",'00 Encuesta'!$U$2:$U$511,"*h)*")</f>
        <v>10</v>
      </c>
      <c r="J160" s="52">
        <f t="shared" si="177"/>
        <v>45.454545454545453</v>
      </c>
      <c r="K160" s="53">
        <f>COUNTIFS('00 Encuesta'!$B$2:$B$511,"*f)*",'00 Encuesta'!$C$2:$C$511,"*a)*",'00 Encuesta'!$E$2:$E$511,"*b)*",'00 Encuesta'!$U$2:$U$511,"*h)*")</f>
        <v>7</v>
      </c>
      <c r="L160" s="52">
        <f t="shared" si="178"/>
        <v>35</v>
      </c>
      <c r="M160" s="23"/>
      <c r="N160" s="51">
        <f t="shared" si="179"/>
        <v>0</v>
      </c>
      <c r="O160" s="52" t="e">
        <f t="shared" si="180"/>
        <v>#DIV/0!</v>
      </c>
      <c r="P160" s="53">
        <f>COUNTIFS('00 Encuesta'!$B$2:$B$511,"*f)*",'00 Encuesta'!$C$2:$C$511,"*b)*",'00 Encuesta'!$E$2:$E$511,"*a)*",'00 Encuesta'!$U$2:$U$511,"*h)*")</f>
        <v>0</v>
      </c>
      <c r="Q160" s="52" t="e">
        <f t="shared" si="181"/>
        <v>#DIV/0!</v>
      </c>
      <c r="R160" s="53">
        <f>COUNTIFS('00 Encuesta'!$B$2:$B$511,"*f)*",'00 Encuesta'!$C$2:$C$511,"*b)*",'00 Encuesta'!$E$2:$E$511,"*b)*",'00 Encuesta'!$U$2:$U$511,"*h)*")</f>
        <v>0</v>
      </c>
      <c r="S160" s="52" t="e">
        <f t="shared" si="182"/>
        <v>#DIV/0!</v>
      </c>
      <c r="T160" s="3"/>
      <c r="U160" s="51">
        <f t="shared" si="183"/>
        <v>0</v>
      </c>
      <c r="V160" s="52" t="e">
        <f t="shared" si="184"/>
        <v>#DIV/0!</v>
      </c>
      <c r="W160" s="53">
        <f>COUNTIFS('00 Encuesta'!$B$2:$B$511,"*f)*",'00 Encuesta'!$C$2:$C$511,"*c)*",'00 Encuesta'!$E$2:$E$511,"*a)*",'00 Encuesta'!$U$2:$U$511,"*h)*")</f>
        <v>0</v>
      </c>
      <c r="X160" s="52" t="e">
        <f t="shared" si="185"/>
        <v>#DIV/0!</v>
      </c>
      <c r="Y160" s="53">
        <f>COUNTIFS('00 Encuesta'!$B$2:$B$511,"*f)*",'00 Encuesta'!$C$2:$C$511,"*c)*",'00 Encuesta'!$E$2:$E$511,"*b)*",'00 Encuesta'!$U$2:$U$511,"*h)*")</f>
        <v>0</v>
      </c>
      <c r="Z160" s="52" t="e">
        <f t="shared" si="186"/>
        <v>#DIV/0!</v>
      </c>
      <c r="AA160" s="3"/>
      <c r="AB160" s="62">
        <f t="shared" si="187"/>
        <v>17</v>
      </c>
      <c r="AC160" s="52">
        <f t="shared" si="188"/>
        <v>40.476190476190474</v>
      </c>
      <c r="AD160" s="7"/>
      <c r="AE160" s="7"/>
      <c r="AF160" s="9" t="str">
        <f t="shared" si="189"/>
        <v>h) Algunas personas cercanas a dios</v>
      </c>
      <c r="AG160" s="72">
        <f t="shared" si="190"/>
        <v>45.454545454545453</v>
      </c>
      <c r="AH160" s="72">
        <f t="shared" si="191"/>
        <v>35</v>
      </c>
      <c r="AI160" s="73">
        <f t="shared" si="192"/>
        <v>40.476190476190474</v>
      </c>
      <c r="AJ160" s="73"/>
      <c r="AK160" s="76" t="e">
        <f t="shared" si="193"/>
        <v>#DIV/0!</v>
      </c>
      <c r="AL160" s="76" t="e">
        <f t="shared" si="194"/>
        <v>#DIV/0!</v>
      </c>
      <c r="AM160" s="76" t="e">
        <f t="shared" si="195"/>
        <v>#DIV/0!</v>
      </c>
      <c r="AN160" s="76"/>
      <c r="AO160" s="81" t="e">
        <f t="shared" si="196"/>
        <v>#DIV/0!</v>
      </c>
      <c r="AP160" s="81" t="e">
        <f t="shared" si="197"/>
        <v>#DIV/0!</v>
      </c>
      <c r="AQ160" s="81" t="e">
        <f t="shared" si="198"/>
        <v>#DIV/0!</v>
      </c>
      <c r="AR160" s="7"/>
      <c r="AS160" s="76">
        <f t="shared" si="174"/>
        <v>40.476190476190474</v>
      </c>
      <c r="AT160" s="7"/>
      <c r="AU160" s="7"/>
      <c r="AV160" s="7"/>
      <c r="AW160" s="7"/>
      <c r="AX160" s="7"/>
      <c r="AY160" s="7"/>
      <c r="AZ160" s="7"/>
      <c r="BA160" s="7"/>
      <c r="BB160" s="7"/>
      <c r="BC160" s="7"/>
      <c r="BD160" s="7"/>
      <c r="BE160" s="7"/>
      <c r="BF160" s="3"/>
      <c r="BG160" s="3"/>
      <c r="BH160" s="3"/>
      <c r="BI160" s="3"/>
      <c r="BJ160" s="3"/>
      <c r="BK160" s="3"/>
      <c r="BL160" s="3"/>
      <c r="BM160" s="3"/>
      <c r="BN160" s="3"/>
      <c r="BO160" s="3"/>
      <c r="BP160" s="3"/>
      <c r="BQ160" s="3"/>
      <c r="BR160" s="3"/>
      <c r="BS160" s="3"/>
      <c r="BT160" s="3"/>
      <c r="BU160" s="3"/>
      <c r="BV160" s="3"/>
      <c r="BW160" s="3"/>
    </row>
    <row r="161" spans="1:75" x14ac:dyDescent="0.3">
      <c r="A161" s="8" t="s">
        <v>65</v>
      </c>
      <c r="B161" s="9" t="s">
        <v>121</v>
      </c>
      <c r="C161" s="7"/>
      <c r="D161" s="7"/>
      <c r="E161" s="7"/>
      <c r="F161" s="71"/>
      <c r="G161" s="51">
        <f t="shared" si="175"/>
        <v>17</v>
      </c>
      <c r="H161" s="52">
        <f t="shared" si="176"/>
        <v>40.476190476190474</v>
      </c>
      <c r="I161" s="53">
        <f>COUNTIFS('00 Encuesta'!$B$2:$B$511,"*f)*",'00 Encuesta'!$C$2:$C$511,"*a)*",'00 Encuesta'!$E$2:$E$511,"*a)*",'00 Encuesta'!$U$2:$U$511,"*i)*")</f>
        <v>9</v>
      </c>
      <c r="J161" s="52">
        <f t="shared" si="177"/>
        <v>40.909090909090914</v>
      </c>
      <c r="K161" s="53">
        <f>COUNTIFS('00 Encuesta'!$B$2:$B$511,"*f)*",'00 Encuesta'!$C$2:$C$511,"*a)*",'00 Encuesta'!$E$2:$E$511,"*b)*",'00 Encuesta'!$U$2:$U$511,"*i)*")</f>
        <v>8</v>
      </c>
      <c r="L161" s="52">
        <f t="shared" si="178"/>
        <v>40</v>
      </c>
      <c r="M161" s="23"/>
      <c r="N161" s="51">
        <f t="shared" si="179"/>
        <v>0</v>
      </c>
      <c r="O161" s="52" t="e">
        <f t="shared" si="180"/>
        <v>#DIV/0!</v>
      </c>
      <c r="P161" s="53">
        <f>COUNTIFS('00 Encuesta'!$B$2:$B$511,"*f)*",'00 Encuesta'!$C$2:$C$511,"*b)*",'00 Encuesta'!$E$2:$E$511,"*a)*",'00 Encuesta'!$U$2:$U$511,"*i)*")</f>
        <v>0</v>
      </c>
      <c r="Q161" s="52" t="e">
        <f t="shared" si="181"/>
        <v>#DIV/0!</v>
      </c>
      <c r="R161" s="53">
        <f>COUNTIFS('00 Encuesta'!$B$2:$B$511,"*f)*",'00 Encuesta'!$C$2:$C$511,"*b)*",'00 Encuesta'!$E$2:$E$511,"*b)*",'00 Encuesta'!$U$2:$U$511,"*i)*")</f>
        <v>0</v>
      </c>
      <c r="S161" s="52" t="e">
        <f t="shared" si="182"/>
        <v>#DIV/0!</v>
      </c>
      <c r="T161" s="3"/>
      <c r="U161" s="51">
        <f t="shared" si="183"/>
        <v>0</v>
      </c>
      <c r="V161" s="52" t="e">
        <f t="shared" si="184"/>
        <v>#DIV/0!</v>
      </c>
      <c r="W161" s="53">
        <f>COUNTIFS('00 Encuesta'!$B$2:$B$511,"*f)*",'00 Encuesta'!$C$2:$C$511,"*c)*",'00 Encuesta'!$E$2:$E$511,"*a)*",'00 Encuesta'!$U$2:$U$511,"*i)*")</f>
        <v>0</v>
      </c>
      <c r="X161" s="52" t="e">
        <f t="shared" si="185"/>
        <v>#DIV/0!</v>
      </c>
      <c r="Y161" s="53">
        <f>COUNTIFS('00 Encuesta'!$B$2:$B$511,"*f)*",'00 Encuesta'!$C$2:$C$511,"*c)*",'00 Encuesta'!$E$2:$E$511,"*b)*",'00 Encuesta'!$U$2:$U$511,"*i)*")</f>
        <v>0</v>
      </c>
      <c r="Z161" s="52" t="e">
        <f t="shared" si="186"/>
        <v>#DIV/0!</v>
      </c>
      <c r="AA161" s="3"/>
      <c r="AB161" s="62">
        <f t="shared" si="187"/>
        <v>17</v>
      </c>
      <c r="AC161" s="52">
        <f t="shared" si="188"/>
        <v>40.476190476190474</v>
      </c>
      <c r="AD161" s="7"/>
      <c r="AE161" s="7"/>
      <c r="AF161" s="9" t="str">
        <f t="shared" si="189"/>
        <v>i) Los necesitados</v>
      </c>
      <c r="AG161" s="72">
        <f t="shared" si="190"/>
        <v>40.909090909090914</v>
      </c>
      <c r="AH161" s="72">
        <f t="shared" si="191"/>
        <v>40</v>
      </c>
      <c r="AI161" s="73">
        <f t="shared" si="192"/>
        <v>40.476190476190474</v>
      </c>
      <c r="AJ161" s="73"/>
      <c r="AK161" s="76" t="e">
        <f t="shared" si="193"/>
        <v>#DIV/0!</v>
      </c>
      <c r="AL161" s="76" t="e">
        <f t="shared" si="194"/>
        <v>#DIV/0!</v>
      </c>
      <c r="AM161" s="76" t="e">
        <f t="shared" si="195"/>
        <v>#DIV/0!</v>
      </c>
      <c r="AN161" s="76"/>
      <c r="AO161" s="81" t="e">
        <f t="shared" si="196"/>
        <v>#DIV/0!</v>
      </c>
      <c r="AP161" s="81" t="e">
        <f t="shared" si="197"/>
        <v>#DIV/0!</v>
      </c>
      <c r="AQ161" s="81" t="e">
        <f t="shared" si="198"/>
        <v>#DIV/0!</v>
      </c>
      <c r="AR161" s="7"/>
      <c r="AS161" s="76">
        <f t="shared" si="174"/>
        <v>40.476190476190474</v>
      </c>
      <c r="AT161" s="7"/>
      <c r="AU161" s="7"/>
      <c r="AV161" s="7"/>
      <c r="AW161" s="7"/>
      <c r="AX161" s="7"/>
      <c r="AY161" s="7"/>
      <c r="AZ161" s="7"/>
      <c r="BA161" s="7"/>
      <c r="BB161" s="7"/>
      <c r="BC161" s="7"/>
      <c r="BD161" s="7"/>
      <c r="BE161" s="7"/>
      <c r="BF161" s="3"/>
      <c r="BG161" s="3"/>
      <c r="BH161" s="3"/>
      <c r="BI161" s="3"/>
      <c r="BJ161" s="3"/>
      <c r="BK161" s="3"/>
      <c r="BL161" s="3"/>
      <c r="BM161" s="3"/>
      <c r="BN161" s="3"/>
      <c r="BO161" s="3"/>
      <c r="BP161" s="3"/>
      <c r="BQ161" s="3"/>
      <c r="BR161" s="3"/>
      <c r="BS161" s="3"/>
      <c r="BT161" s="3"/>
      <c r="BU161" s="3"/>
      <c r="BV161" s="3"/>
      <c r="BW161" s="3"/>
    </row>
    <row r="162" spans="1:75" x14ac:dyDescent="0.3">
      <c r="A162" s="8" t="s">
        <v>67</v>
      </c>
      <c r="B162" s="9" t="s">
        <v>122</v>
      </c>
      <c r="C162" s="7"/>
      <c r="D162" s="7"/>
      <c r="E162" s="7"/>
      <c r="F162" s="71"/>
      <c r="G162" s="51">
        <f t="shared" si="175"/>
        <v>14</v>
      </c>
      <c r="H162" s="52">
        <f t="shared" si="176"/>
        <v>33.333333333333329</v>
      </c>
      <c r="I162" s="53">
        <f>COUNTIFS('00 Encuesta'!$B$2:$B$511,"*f)*",'00 Encuesta'!$C$2:$C$511,"*a)*",'00 Encuesta'!$E$2:$E$511,"*a)*",'00 Encuesta'!$U$2:$U$511,"*j)*")</f>
        <v>9</v>
      </c>
      <c r="J162" s="52">
        <f t="shared" si="177"/>
        <v>40.909090909090914</v>
      </c>
      <c r="K162" s="53">
        <f>COUNTIFS('00 Encuesta'!$B$2:$B$511,"*f)*",'00 Encuesta'!$C$2:$C$511,"*a)*",'00 Encuesta'!$E$2:$E$511,"*b)*",'00 Encuesta'!$U$2:$U$511,"*j)*")</f>
        <v>5</v>
      </c>
      <c r="L162" s="52">
        <f t="shared" si="178"/>
        <v>25</v>
      </c>
      <c r="M162" s="23"/>
      <c r="N162" s="51">
        <f t="shared" si="179"/>
        <v>0</v>
      </c>
      <c r="O162" s="52" t="e">
        <f t="shared" si="180"/>
        <v>#DIV/0!</v>
      </c>
      <c r="P162" s="53">
        <f>COUNTIFS('00 Encuesta'!$B$2:$B$511,"*f)*",'00 Encuesta'!$C$2:$C$511,"*b)*",'00 Encuesta'!$E$2:$E$511,"*a)*",'00 Encuesta'!$U$2:$U$511,"*j)*")</f>
        <v>0</v>
      </c>
      <c r="Q162" s="52" t="e">
        <f t="shared" si="181"/>
        <v>#DIV/0!</v>
      </c>
      <c r="R162" s="53">
        <f>COUNTIFS('00 Encuesta'!$B$2:$B$511,"*f)*",'00 Encuesta'!$C$2:$C$511,"*b)*",'00 Encuesta'!$E$2:$E$511,"*b)*",'00 Encuesta'!$U$2:$U$511,"*j)*")</f>
        <v>0</v>
      </c>
      <c r="S162" s="52" t="e">
        <f t="shared" si="182"/>
        <v>#DIV/0!</v>
      </c>
      <c r="T162" s="3"/>
      <c r="U162" s="51">
        <f t="shared" si="183"/>
        <v>0</v>
      </c>
      <c r="V162" s="52" t="e">
        <f t="shared" si="184"/>
        <v>#DIV/0!</v>
      </c>
      <c r="W162" s="53">
        <f>COUNTIFS('00 Encuesta'!$B$2:$B$511,"*f)*",'00 Encuesta'!$C$2:$C$511,"*c)*",'00 Encuesta'!$E$2:$E$511,"*a)*",'00 Encuesta'!$U$2:$U$511,"*j)*")</f>
        <v>0</v>
      </c>
      <c r="X162" s="52" t="e">
        <f t="shared" si="185"/>
        <v>#DIV/0!</v>
      </c>
      <c r="Y162" s="53">
        <f>COUNTIFS('00 Encuesta'!$B$2:$B$511,"*f)*",'00 Encuesta'!$C$2:$C$511,"*c)*",'00 Encuesta'!$E$2:$E$511,"*b)*",'00 Encuesta'!$U$2:$U$511,"*j)*")</f>
        <v>0</v>
      </c>
      <c r="Z162" s="52" t="e">
        <f t="shared" si="186"/>
        <v>#DIV/0!</v>
      </c>
      <c r="AA162" s="3"/>
      <c r="AB162" s="62">
        <f t="shared" si="187"/>
        <v>14</v>
      </c>
      <c r="AC162" s="52">
        <f t="shared" si="188"/>
        <v>33.333333333333336</v>
      </c>
      <c r="AD162" s="7"/>
      <c r="AE162" s="7"/>
      <c r="AF162" s="9" t="str">
        <f t="shared" si="189"/>
        <v>j) Todas partes</v>
      </c>
      <c r="AG162" s="72">
        <f t="shared" si="190"/>
        <v>40.909090909090914</v>
      </c>
      <c r="AH162" s="72">
        <f t="shared" si="191"/>
        <v>25</v>
      </c>
      <c r="AI162" s="73">
        <f t="shared" si="192"/>
        <v>33.333333333333329</v>
      </c>
      <c r="AJ162" s="73"/>
      <c r="AK162" s="76" t="e">
        <f t="shared" si="193"/>
        <v>#DIV/0!</v>
      </c>
      <c r="AL162" s="76" t="e">
        <f t="shared" si="194"/>
        <v>#DIV/0!</v>
      </c>
      <c r="AM162" s="76" t="e">
        <f t="shared" si="195"/>
        <v>#DIV/0!</v>
      </c>
      <c r="AN162" s="76"/>
      <c r="AO162" s="81" t="e">
        <f t="shared" si="196"/>
        <v>#DIV/0!</v>
      </c>
      <c r="AP162" s="81" t="e">
        <f t="shared" si="197"/>
        <v>#DIV/0!</v>
      </c>
      <c r="AQ162" s="81" t="e">
        <f t="shared" si="198"/>
        <v>#DIV/0!</v>
      </c>
      <c r="AR162" s="7"/>
      <c r="AS162" s="76">
        <f t="shared" si="174"/>
        <v>33.333333333333336</v>
      </c>
      <c r="AT162" s="7"/>
      <c r="AU162" s="7"/>
      <c r="AV162" s="7"/>
      <c r="AW162" s="7"/>
      <c r="AX162" s="7"/>
      <c r="AY162" s="7"/>
      <c r="AZ162" s="7"/>
      <c r="BA162" s="7"/>
      <c r="BB162" s="7"/>
      <c r="BC162" s="7"/>
      <c r="BD162" s="7"/>
      <c r="BE162" s="7"/>
      <c r="BF162" s="3"/>
      <c r="BG162" s="3"/>
      <c r="BH162" s="3"/>
      <c r="BI162" s="3"/>
      <c r="BJ162" s="3"/>
      <c r="BK162" s="3"/>
      <c r="BL162" s="3"/>
      <c r="BM162" s="3"/>
      <c r="BN162" s="3"/>
      <c r="BO162" s="3"/>
      <c r="BP162" s="3"/>
      <c r="BQ162" s="3"/>
      <c r="BR162" s="3"/>
      <c r="BS162" s="3"/>
      <c r="BT162" s="3"/>
      <c r="BU162" s="3"/>
      <c r="BV162" s="3"/>
      <c r="BW162" s="3"/>
    </row>
    <row r="163" spans="1:75" x14ac:dyDescent="0.3">
      <c r="A163" s="1" t="s">
        <v>69</v>
      </c>
      <c r="B163" s="2" t="s">
        <v>123</v>
      </c>
      <c r="C163" s="3"/>
      <c r="D163" s="7"/>
      <c r="E163" s="7"/>
      <c r="F163" s="71"/>
      <c r="G163" s="51">
        <f t="shared" si="175"/>
        <v>27</v>
      </c>
      <c r="H163" s="52">
        <f t="shared" si="176"/>
        <v>64.285714285714292</v>
      </c>
      <c r="I163" s="53">
        <f>COUNTIFS('00 Encuesta'!$B$2:$B$511,"*f)*",'00 Encuesta'!$C$2:$C$511,"*a)*",'00 Encuesta'!$E$2:$E$511,"*a)*",'00 Encuesta'!$U$2:$U$511,"*k)*")</f>
        <v>13</v>
      </c>
      <c r="J163" s="52">
        <f t="shared" si="177"/>
        <v>59.090909090909093</v>
      </c>
      <c r="K163" s="53">
        <f>COUNTIFS('00 Encuesta'!$B$2:$B$511,"*f)*",'00 Encuesta'!$C$2:$C$511,"*a)*",'00 Encuesta'!$E$2:$E$511,"*b)*",'00 Encuesta'!$U$2:$U$511,"*k)*")</f>
        <v>14</v>
      </c>
      <c r="L163" s="52">
        <f t="shared" si="178"/>
        <v>70</v>
      </c>
      <c r="M163" s="23"/>
      <c r="N163" s="51">
        <f t="shared" si="179"/>
        <v>0</v>
      </c>
      <c r="O163" s="52" t="e">
        <f t="shared" si="180"/>
        <v>#DIV/0!</v>
      </c>
      <c r="P163" s="53">
        <f>COUNTIFS('00 Encuesta'!$B$2:$B$511,"*f)*",'00 Encuesta'!$C$2:$C$511,"*b)*",'00 Encuesta'!$E$2:$E$511,"*a)*",'00 Encuesta'!$U$2:$U$511,"*k)*")</f>
        <v>0</v>
      </c>
      <c r="Q163" s="52" t="e">
        <f t="shared" si="181"/>
        <v>#DIV/0!</v>
      </c>
      <c r="R163" s="53">
        <f>COUNTIFS('00 Encuesta'!$B$2:$B$511,"*f)*",'00 Encuesta'!$C$2:$C$511,"*b)*",'00 Encuesta'!$E$2:$E$511,"*b)*",'00 Encuesta'!$U$2:$U$511,"*k)*")</f>
        <v>0</v>
      </c>
      <c r="S163" s="52" t="e">
        <f t="shared" si="182"/>
        <v>#DIV/0!</v>
      </c>
      <c r="T163" s="3"/>
      <c r="U163" s="51">
        <f t="shared" si="183"/>
        <v>0</v>
      </c>
      <c r="V163" s="52" t="e">
        <f t="shared" si="184"/>
        <v>#DIV/0!</v>
      </c>
      <c r="W163" s="53">
        <f>COUNTIFS('00 Encuesta'!$B$2:$B$511,"*f)*",'00 Encuesta'!$C$2:$C$511,"*c)*",'00 Encuesta'!$E$2:$E$511,"*a)*",'00 Encuesta'!$U$2:$U$511,"*k)*")</f>
        <v>0</v>
      </c>
      <c r="X163" s="52" t="e">
        <f t="shared" si="185"/>
        <v>#DIV/0!</v>
      </c>
      <c r="Y163" s="53">
        <f>COUNTIFS('00 Encuesta'!$B$2:$B$511,"*f)*",'00 Encuesta'!$C$2:$C$511,"*c)*",'00 Encuesta'!$E$2:$E$511,"*b)*",'00 Encuesta'!$U$2:$U$511,"*k)*")</f>
        <v>0</v>
      </c>
      <c r="Z163" s="52" t="e">
        <f t="shared" si="186"/>
        <v>#DIV/0!</v>
      </c>
      <c r="AA163" s="3"/>
      <c r="AB163" s="62">
        <f t="shared" si="187"/>
        <v>27</v>
      </c>
      <c r="AC163" s="52">
        <f t="shared" si="188"/>
        <v>64.285714285714292</v>
      </c>
      <c r="AD163" s="7"/>
      <c r="AE163" s="7"/>
      <c r="AF163" s="9" t="str">
        <f t="shared" si="189"/>
        <v>k) Oración</v>
      </c>
      <c r="AG163" s="72">
        <f t="shared" si="190"/>
        <v>59.090909090909093</v>
      </c>
      <c r="AH163" s="72">
        <f t="shared" si="191"/>
        <v>70</v>
      </c>
      <c r="AI163" s="73">
        <f t="shared" si="192"/>
        <v>64.285714285714292</v>
      </c>
      <c r="AJ163" s="73"/>
      <c r="AK163" s="76" t="e">
        <f t="shared" si="193"/>
        <v>#DIV/0!</v>
      </c>
      <c r="AL163" s="76" t="e">
        <f t="shared" si="194"/>
        <v>#DIV/0!</v>
      </c>
      <c r="AM163" s="76" t="e">
        <f t="shared" si="195"/>
        <v>#DIV/0!</v>
      </c>
      <c r="AN163" s="76"/>
      <c r="AO163" s="81" t="e">
        <f t="shared" si="196"/>
        <v>#DIV/0!</v>
      </c>
      <c r="AP163" s="81" t="e">
        <f t="shared" si="197"/>
        <v>#DIV/0!</v>
      </c>
      <c r="AQ163" s="81" t="e">
        <f t="shared" si="198"/>
        <v>#DIV/0!</v>
      </c>
      <c r="AR163" s="7"/>
      <c r="AS163" s="76">
        <f t="shared" si="174"/>
        <v>64.285714285714292</v>
      </c>
      <c r="AT163" s="7"/>
      <c r="AU163" s="7"/>
      <c r="AV163" s="7"/>
      <c r="AW163" s="7"/>
      <c r="AX163" s="7"/>
      <c r="AY163" s="7"/>
      <c r="AZ163" s="7"/>
      <c r="BA163" s="7"/>
      <c r="BB163" s="7"/>
      <c r="BC163" s="7"/>
      <c r="BD163" s="7"/>
      <c r="BE163" s="7"/>
      <c r="BF163" s="3"/>
      <c r="BG163" s="3"/>
      <c r="BH163" s="3"/>
      <c r="BI163" s="3"/>
      <c r="BJ163" s="3"/>
      <c r="BK163" s="3"/>
      <c r="BL163" s="3"/>
      <c r="BM163" s="3"/>
      <c r="BN163" s="3"/>
      <c r="BO163" s="3"/>
      <c r="BP163" s="3"/>
      <c r="BQ163" s="3"/>
      <c r="BR163" s="3"/>
      <c r="BS163" s="3"/>
      <c r="BT163" s="3"/>
      <c r="BU163" s="3"/>
      <c r="BV163" s="3"/>
      <c r="BW163" s="3"/>
    </row>
    <row r="164" spans="1:75" x14ac:dyDescent="0.3">
      <c r="A164" s="1" t="s">
        <v>124</v>
      </c>
      <c r="B164" s="2" t="s">
        <v>125</v>
      </c>
      <c r="C164" s="3"/>
      <c r="D164" s="7"/>
      <c r="E164" s="7"/>
      <c r="F164" s="71"/>
      <c r="G164" s="51">
        <f t="shared" si="175"/>
        <v>14</v>
      </c>
      <c r="H164" s="52">
        <f t="shared" si="176"/>
        <v>33.333333333333329</v>
      </c>
      <c r="I164" s="53">
        <f>COUNTIFS('00 Encuesta'!$B$2:$B$511,"*f)*",'00 Encuesta'!$C$2:$C$511,"*a)*",'00 Encuesta'!$E$2:$E$511,"*a)*",'00 Encuesta'!$U$2:$U$511,"*l)*")</f>
        <v>8</v>
      </c>
      <c r="J164" s="52">
        <f t="shared" si="177"/>
        <v>36.363636363636367</v>
      </c>
      <c r="K164" s="53">
        <f>COUNTIFS('00 Encuesta'!$B$2:$B$511,"*f)*",'00 Encuesta'!$C$2:$C$511,"*a)*",'00 Encuesta'!$E$2:$E$511,"*b)*",'00 Encuesta'!$U$2:$U$511,"*l)*")</f>
        <v>6</v>
      </c>
      <c r="L164" s="52">
        <f t="shared" si="178"/>
        <v>30</v>
      </c>
      <c r="M164" s="23"/>
      <c r="N164" s="51">
        <f t="shared" si="179"/>
        <v>0</v>
      </c>
      <c r="O164" s="52" t="e">
        <f t="shared" si="180"/>
        <v>#DIV/0!</v>
      </c>
      <c r="P164" s="53">
        <f>COUNTIFS('00 Encuesta'!$B$2:$B$511,"*f)*",'00 Encuesta'!$C$2:$C$511,"*b)*",'00 Encuesta'!$E$2:$E$511,"*a)*",'00 Encuesta'!$U$2:$U$511,"*l)*")</f>
        <v>0</v>
      </c>
      <c r="Q164" s="52" t="e">
        <f t="shared" si="181"/>
        <v>#DIV/0!</v>
      </c>
      <c r="R164" s="53">
        <f>COUNTIFS('00 Encuesta'!$B$2:$B$511,"*f)*",'00 Encuesta'!$C$2:$C$511,"*b)*",'00 Encuesta'!$E$2:$E$511,"*b)*",'00 Encuesta'!$U$2:$U$511,"*l)*")</f>
        <v>0</v>
      </c>
      <c r="S164" s="52" t="e">
        <f t="shared" si="182"/>
        <v>#DIV/0!</v>
      </c>
      <c r="T164" s="3"/>
      <c r="U164" s="51">
        <f t="shared" si="183"/>
        <v>0</v>
      </c>
      <c r="V164" s="52" t="e">
        <f t="shared" si="184"/>
        <v>#DIV/0!</v>
      </c>
      <c r="W164" s="53">
        <f>COUNTIFS('00 Encuesta'!$B$2:$B$511,"*f)*",'00 Encuesta'!$C$2:$C$511,"*c)*",'00 Encuesta'!$E$2:$E$511,"*a)*",'00 Encuesta'!$U$2:$U$511,"*l)*")</f>
        <v>0</v>
      </c>
      <c r="X164" s="52" t="e">
        <f t="shared" si="185"/>
        <v>#DIV/0!</v>
      </c>
      <c r="Y164" s="53">
        <f>COUNTIFS('00 Encuesta'!$B$2:$B$511,"*f)*",'00 Encuesta'!$C$2:$C$511,"*c)*",'00 Encuesta'!$E$2:$E$511,"*b)*",'00 Encuesta'!$U$2:$U$511,"*l)*")</f>
        <v>0</v>
      </c>
      <c r="Z164" s="52" t="e">
        <f t="shared" si="186"/>
        <v>#DIV/0!</v>
      </c>
      <c r="AA164" s="3"/>
      <c r="AB164" s="62">
        <f t="shared" si="187"/>
        <v>14</v>
      </c>
      <c r="AC164" s="52">
        <f t="shared" si="188"/>
        <v>33.333333333333336</v>
      </c>
      <c r="AD164" s="7"/>
      <c r="AE164" s="7"/>
      <c r="AF164" s="9" t="str">
        <f t="shared" si="189"/>
        <v>l) Sacramentos</v>
      </c>
      <c r="AG164" s="72">
        <f t="shared" si="190"/>
        <v>36.363636363636367</v>
      </c>
      <c r="AH164" s="72">
        <f t="shared" si="191"/>
        <v>30</v>
      </c>
      <c r="AI164" s="73">
        <f t="shared" si="192"/>
        <v>33.333333333333329</v>
      </c>
      <c r="AJ164" s="73"/>
      <c r="AK164" s="76" t="e">
        <f t="shared" si="193"/>
        <v>#DIV/0!</v>
      </c>
      <c r="AL164" s="76" t="e">
        <f t="shared" si="194"/>
        <v>#DIV/0!</v>
      </c>
      <c r="AM164" s="76" t="e">
        <f t="shared" si="195"/>
        <v>#DIV/0!</v>
      </c>
      <c r="AN164" s="76"/>
      <c r="AO164" s="81" t="e">
        <f t="shared" si="196"/>
        <v>#DIV/0!</v>
      </c>
      <c r="AP164" s="81" t="e">
        <f t="shared" si="197"/>
        <v>#DIV/0!</v>
      </c>
      <c r="AQ164" s="81" t="e">
        <f t="shared" si="198"/>
        <v>#DIV/0!</v>
      </c>
      <c r="AR164" s="7"/>
      <c r="AS164" s="76">
        <f t="shared" si="174"/>
        <v>33.333333333333336</v>
      </c>
      <c r="AT164" s="7"/>
      <c r="AU164" s="7"/>
      <c r="AV164" s="7"/>
      <c r="AW164" s="7"/>
      <c r="AX164" s="7"/>
      <c r="AY164" s="7"/>
      <c r="AZ164" s="7"/>
      <c r="BA164" s="7"/>
      <c r="BB164" s="7"/>
      <c r="BC164" s="7"/>
      <c r="BD164" s="7"/>
      <c r="BE164" s="7"/>
      <c r="BF164" s="3"/>
      <c r="BG164" s="3"/>
      <c r="BH164" s="3"/>
      <c r="BI164" s="3"/>
      <c r="BJ164" s="3"/>
      <c r="BK164" s="3"/>
      <c r="BL164" s="3"/>
      <c r="BM164" s="3"/>
      <c r="BN164" s="3"/>
      <c r="BO164" s="3"/>
      <c r="BP164" s="3"/>
      <c r="BQ164" s="3"/>
      <c r="BR164" s="3"/>
      <c r="BS164" s="3"/>
      <c r="BT164" s="3"/>
      <c r="BU164" s="3"/>
      <c r="BV164" s="3"/>
      <c r="BW164" s="3"/>
    </row>
    <row r="165" spans="1:75" x14ac:dyDescent="0.3">
      <c r="A165" s="8" t="s">
        <v>23</v>
      </c>
      <c r="B165" s="9" t="s">
        <v>24</v>
      </c>
      <c r="C165" s="7"/>
      <c r="D165" s="7"/>
      <c r="E165" s="7"/>
      <c r="F165" s="71"/>
      <c r="G165" s="71"/>
      <c r="H165" s="71"/>
      <c r="I165" s="71"/>
      <c r="J165" s="71"/>
      <c r="K165" s="71"/>
      <c r="L165" s="71"/>
      <c r="M165" s="71"/>
      <c r="N165" s="71"/>
      <c r="O165" s="71"/>
      <c r="P165" s="71"/>
      <c r="Q165" s="71"/>
      <c r="R165" s="71"/>
      <c r="S165" s="71"/>
      <c r="T165" s="71"/>
      <c r="U165" s="71"/>
      <c r="V165" s="71"/>
      <c r="W165" s="71"/>
      <c r="X165" s="71"/>
      <c r="Y165" s="71"/>
      <c r="Z165" s="71"/>
      <c r="AA165" s="71"/>
      <c r="AB165" s="6"/>
      <c r="AC165" s="41"/>
      <c r="AD165" s="7"/>
      <c r="AE165" s="7"/>
      <c r="AF165" s="9" t="str">
        <f t="shared" si="189"/>
        <v>S/R Sin Respuesta</v>
      </c>
      <c r="AG165" s="72">
        <f t="shared" si="190"/>
        <v>0</v>
      </c>
      <c r="AH165" s="72">
        <f t="shared" si="191"/>
        <v>0</v>
      </c>
      <c r="AI165" s="73">
        <f t="shared" si="192"/>
        <v>0</v>
      </c>
      <c r="AJ165" s="73"/>
      <c r="AK165" s="76">
        <f t="shared" si="193"/>
        <v>0</v>
      </c>
      <c r="AL165" s="76">
        <f t="shared" si="194"/>
        <v>0</v>
      </c>
      <c r="AM165" s="76">
        <f t="shared" si="195"/>
        <v>0</v>
      </c>
      <c r="AN165" s="76"/>
      <c r="AO165" s="81">
        <f t="shared" si="196"/>
        <v>0</v>
      </c>
      <c r="AP165" s="81">
        <f t="shared" si="197"/>
        <v>0</v>
      </c>
      <c r="AQ165" s="81">
        <f t="shared" si="198"/>
        <v>0</v>
      </c>
      <c r="AR165" s="7"/>
      <c r="AS165" s="76">
        <f t="shared" si="174"/>
        <v>0</v>
      </c>
      <c r="AT165" s="7"/>
      <c r="AU165" s="7"/>
      <c r="AV165" s="7"/>
      <c r="AW165" s="7"/>
      <c r="AX165" s="7"/>
      <c r="AY165" s="7"/>
      <c r="AZ165" s="7"/>
      <c r="BA165" s="7"/>
      <c r="BB165" s="7"/>
      <c r="BC165" s="7"/>
      <c r="BD165" s="7"/>
      <c r="BE165" s="7"/>
      <c r="BF165" s="3"/>
      <c r="BG165" s="3"/>
      <c r="BH165" s="3"/>
      <c r="BI165" s="3"/>
      <c r="BJ165" s="3"/>
      <c r="BK165" s="3"/>
      <c r="BL165" s="3"/>
      <c r="BM165" s="3"/>
      <c r="BN165" s="3"/>
      <c r="BO165" s="3"/>
      <c r="BP165" s="3"/>
      <c r="BQ165" s="3"/>
      <c r="BR165" s="3"/>
      <c r="BS165" s="3"/>
      <c r="BT165" s="3"/>
      <c r="BU165" s="3"/>
      <c r="BV165" s="3"/>
      <c r="BW165" s="3"/>
    </row>
    <row r="166" spans="1:75" x14ac:dyDescent="0.3">
      <c r="A166" s="8"/>
      <c r="B166" s="9"/>
      <c r="C166" s="7"/>
      <c r="D166" s="7"/>
      <c r="E166" s="7"/>
      <c r="F166" s="71"/>
      <c r="G166" s="71"/>
      <c r="H166" s="71"/>
      <c r="I166" s="71"/>
      <c r="J166" s="71"/>
      <c r="K166" s="71"/>
      <c r="L166" s="71"/>
      <c r="M166" s="71"/>
      <c r="N166" s="71"/>
      <c r="O166" s="71"/>
      <c r="P166" s="71"/>
      <c r="Q166" s="71"/>
      <c r="R166" s="71"/>
      <c r="S166" s="71"/>
      <c r="T166" s="71"/>
      <c r="U166" s="71"/>
      <c r="V166" s="71"/>
      <c r="W166" s="71"/>
      <c r="X166" s="71"/>
      <c r="Y166" s="71"/>
      <c r="Z166" s="71"/>
      <c r="AA166" s="71"/>
      <c r="AB166" s="6"/>
      <c r="AC166" s="41"/>
      <c r="AD166" s="3"/>
      <c r="AE166" s="3"/>
      <c r="AF166" s="3"/>
      <c r="AG166" s="3"/>
      <c r="AH166" s="3"/>
      <c r="AI166" s="3"/>
      <c r="AJ166" s="3"/>
      <c r="AK166" s="3"/>
      <c r="AL166" s="3"/>
      <c r="AM166" s="3"/>
      <c r="AN166" s="3"/>
      <c r="AO166" s="3"/>
      <c r="AP166" s="3"/>
      <c r="AQ166" s="3"/>
      <c r="AR166" s="3"/>
      <c r="AS166" s="76"/>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row>
    <row r="167" spans="1:75" x14ac:dyDescent="0.3">
      <c r="A167" s="70">
        <v>19</v>
      </c>
      <c r="B167" s="9" t="s">
        <v>126</v>
      </c>
      <c r="C167" s="7"/>
      <c r="D167" s="7"/>
      <c r="E167" s="7"/>
      <c r="F167" s="71"/>
      <c r="G167" s="51"/>
      <c r="H167" s="52"/>
      <c r="I167" s="53"/>
      <c r="J167" s="52"/>
      <c r="K167" s="53"/>
      <c r="L167" s="66"/>
      <c r="M167" s="23"/>
      <c r="N167" s="51"/>
      <c r="O167" s="52"/>
      <c r="P167" s="53"/>
      <c r="Q167" s="52"/>
      <c r="R167" s="53"/>
      <c r="S167" s="66"/>
      <c r="T167" s="3"/>
      <c r="U167" s="51"/>
      <c r="V167" s="52"/>
      <c r="W167" s="53"/>
      <c r="X167" s="52"/>
      <c r="Y167" s="53"/>
      <c r="Z167" s="66"/>
      <c r="AA167" s="3"/>
      <c r="AB167" s="62"/>
      <c r="AC167" s="52"/>
      <c r="AD167" s="3"/>
      <c r="AE167" s="3"/>
      <c r="AF167" s="88" t="str">
        <f t="shared" ref="AF167:AF172" si="199">A167&amp;" "&amp;B167</f>
        <v>19 La oración en mi vida:</v>
      </c>
      <c r="AG167" s="3"/>
      <c r="AH167" s="3"/>
      <c r="AI167" s="3"/>
      <c r="AJ167" s="3"/>
      <c r="AK167" s="3"/>
      <c r="AL167" s="3"/>
      <c r="AM167" s="3"/>
      <c r="AN167" s="3"/>
      <c r="AO167" s="3"/>
      <c r="AP167" s="3"/>
      <c r="AQ167" s="3"/>
      <c r="AR167" s="3"/>
      <c r="AS167" s="76"/>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row>
    <row r="168" spans="1:75" x14ac:dyDescent="0.3">
      <c r="A168" s="8" t="s">
        <v>17</v>
      </c>
      <c r="B168" s="9" t="s">
        <v>127</v>
      </c>
      <c r="C168" s="7"/>
      <c r="D168" s="7"/>
      <c r="E168" s="7"/>
      <c r="F168" s="71"/>
      <c r="G168" s="51">
        <f>I168+K168</f>
        <v>26</v>
      </c>
      <c r="H168" s="52">
        <f>G168/$J$5*100</f>
        <v>61.904761904761905</v>
      </c>
      <c r="I168" s="53">
        <f>COUNTIFS('00 Encuesta'!$B$2:$B$511,"*f)*",'00 Encuesta'!$C$2:$C$511,"*a)*",'00 Encuesta'!$E$2:$E$511,"*a)*",'00 Encuesta'!$V$2:$V$511,"*a)*")</f>
        <v>14</v>
      </c>
      <c r="J168" s="52">
        <f>I168/$J$6*100</f>
        <v>63.636363636363633</v>
      </c>
      <c r="K168" s="53">
        <f>COUNTIFS('00 Encuesta'!$B$2:$B$511,"*f)*",'00 Encuesta'!$C$2:$C$511,"*a)*",'00 Encuesta'!$E$2:$E$511,"*b)*",'00 Encuesta'!$V$2:$V$511,"*a)*")</f>
        <v>12</v>
      </c>
      <c r="L168" s="52">
        <f>K168/$J$7*100</f>
        <v>60</v>
      </c>
      <c r="M168" s="23"/>
      <c r="N168" s="51">
        <f>P168+R168</f>
        <v>0</v>
      </c>
      <c r="O168" s="52" t="e">
        <f>N168/$Q$5*100</f>
        <v>#DIV/0!</v>
      </c>
      <c r="P168" s="53">
        <f>COUNTIFS('00 Encuesta'!$B$2:$B$511,"*f)*",'00 Encuesta'!$C$2:$C$511,"*b)*",'00 Encuesta'!$E$2:$E$511,"*a)*",'00 Encuesta'!$V$2:$V$511,"*a)*")</f>
        <v>0</v>
      </c>
      <c r="Q168" s="52" t="e">
        <f>P168/$Q$6*100</f>
        <v>#DIV/0!</v>
      </c>
      <c r="R168" s="53">
        <f>COUNTIFS('00 Encuesta'!$B$2:$B$511,"*f)*",'00 Encuesta'!$C$2:$C$511,"*b)*",'00 Encuesta'!$E$2:$E$511,"*b)*",'00 Encuesta'!$V$2:$V$511,"*a)*")</f>
        <v>0</v>
      </c>
      <c r="S168" s="52" t="e">
        <f>R168/$Q$7*100</f>
        <v>#DIV/0!</v>
      </c>
      <c r="T168" s="3"/>
      <c r="U168" s="51">
        <f>W168+Y168</f>
        <v>0</v>
      </c>
      <c r="V168" s="52" t="e">
        <f>U168/$X$5*100</f>
        <v>#DIV/0!</v>
      </c>
      <c r="W168" s="53">
        <f>COUNTIFS('00 Encuesta'!$B$2:$B$511,"*f)*",'00 Encuesta'!$C$2:$C$511,"*c)*",'00 Encuesta'!$E$2:$E$511,"*a)*",'00 Encuesta'!$V$2:$V$511,"*a)*")</f>
        <v>0</v>
      </c>
      <c r="X168" s="52" t="e">
        <f>W168/$X$6*100</f>
        <v>#DIV/0!</v>
      </c>
      <c r="Y168" s="53">
        <f>COUNTIFS('00 Encuesta'!$B$2:$B$511,"*f)*",'00 Encuesta'!$C$2:$C$511,"*c)*",'00 Encuesta'!$E$2:$E$511,"*b)*",'00 Encuesta'!$V$2:$V$511,"*a)*")</f>
        <v>0</v>
      </c>
      <c r="Z168" s="52" t="e">
        <f>Y168/$X$7*100</f>
        <v>#DIV/0!</v>
      </c>
      <c r="AA168" s="3"/>
      <c r="AB168" s="62">
        <f>G168+N168+U168</f>
        <v>26</v>
      </c>
      <c r="AC168" s="52">
        <f>AB168*100/$AC$5</f>
        <v>61.904761904761905</v>
      </c>
      <c r="AD168" s="3"/>
      <c r="AE168" s="3"/>
      <c r="AF168" s="9" t="str">
        <f t="shared" si="199"/>
        <v>a) Suelo rezar por convicción o porque me gusta</v>
      </c>
      <c r="AG168" s="72">
        <f>J168</f>
        <v>63.636363636363633</v>
      </c>
      <c r="AH168" s="72">
        <f>L168</f>
        <v>60</v>
      </c>
      <c r="AI168" s="73">
        <f>H168</f>
        <v>61.904761904761905</v>
      </c>
      <c r="AJ168" s="73"/>
      <c r="AK168" s="76" t="e">
        <f>Q168</f>
        <v>#DIV/0!</v>
      </c>
      <c r="AL168" s="76" t="e">
        <f>S168</f>
        <v>#DIV/0!</v>
      </c>
      <c r="AM168" s="76" t="e">
        <f>O168</f>
        <v>#DIV/0!</v>
      </c>
      <c r="AN168" s="76"/>
      <c r="AO168" s="81" t="e">
        <f>X168</f>
        <v>#DIV/0!</v>
      </c>
      <c r="AP168" s="81" t="e">
        <f>Z168</f>
        <v>#DIV/0!</v>
      </c>
      <c r="AQ168" s="81" t="e">
        <f>V168</f>
        <v>#DIV/0!</v>
      </c>
      <c r="AR168" s="3"/>
      <c r="AS168" s="76">
        <f t="shared" si="174"/>
        <v>61.904761904761905</v>
      </c>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row>
    <row r="169" spans="1:75" x14ac:dyDescent="0.3">
      <c r="A169" s="8" t="s">
        <v>18</v>
      </c>
      <c r="B169" s="9" t="s">
        <v>128</v>
      </c>
      <c r="C169" s="7"/>
      <c r="D169" s="7"/>
      <c r="E169" s="7"/>
      <c r="F169" s="71"/>
      <c r="G169" s="51">
        <f>I169+K169</f>
        <v>10</v>
      </c>
      <c r="H169" s="52">
        <f>G169/$J$5*100</f>
        <v>23.809523809523807</v>
      </c>
      <c r="I169" s="53">
        <f>COUNTIFS('00 Encuesta'!$B$2:$B$511,"*f)*",'00 Encuesta'!$C$2:$C$511,"*a)*",'00 Encuesta'!$E$2:$E$511,"*a)*",'00 Encuesta'!$V$2:$V$511,"*b)*")</f>
        <v>4</v>
      </c>
      <c r="J169" s="52">
        <f>I169/$J$6*100</f>
        <v>18.181818181818183</v>
      </c>
      <c r="K169" s="53">
        <f>COUNTIFS('00 Encuesta'!$B$2:$B$511,"*f)*",'00 Encuesta'!$C$2:$C$511,"*a)*",'00 Encuesta'!$E$2:$E$511,"*b)*",'00 Encuesta'!$V$2:$V$511,"*b)*")</f>
        <v>6</v>
      </c>
      <c r="L169" s="52">
        <f>K169/$J$7*100</f>
        <v>30</v>
      </c>
      <c r="M169" s="23"/>
      <c r="N169" s="51">
        <f>P169+R169</f>
        <v>0</v>
      </c>
      <c r="O169" s="52" t="e">
        <f>N169/$Q$5*100</f>
        <v>#DIV/0!</v>
      </c>
      <c r="P169" s="53">
        <f>COUNTIFS('00 Encuesta'!$B$2:$B$511,"*f)*",'00 Encuesta'!$C$2:$C$511,"*b)*",'00 Encuesta'!$E$2:$E$511,"*a)*",'00 Encuesta'!$V$2:$V$511,"*b)*")</f>
        <v>0</v>
      </c>
      <c r="Q169" s="52" t="e">
        <f>P169/$Q$6*100</f>
        <v>#DIV/0!</v>
      </c>
      <c r="R169" s="53">
        <f>COUNTIFS('00 Encuesta'!$B$2:$B$511,"*f)*",'00 Encuesta'!$C$2:$C$511,"*b)*",'00 Encuesta'!$E$2:$E$511,"*b)*",'00 Encuesta'!$V$2:$V$511,"*b)*")</f>
        <v>0</v>
      </c>
      <c r="S169" s="52" t="e">
        <f>R169/$Q$7*100</f>
        <v>#DIV/0!</v>
      </c>
      <c r="T169" s="3"/>
      <c r="U169" s="51">
        <f>W169+Y169</f>
        <v>0</v>
      </c>
      <c r="V169" s="52" t="e">
        <f>U169/$X$5*100</f>
        <v>#DIV/0!</v>
      </c>
      <c r="W169" s="53">
        <f>COUNTIFS('00 Encuesta'!$B$2:$B$511,"*f)*",'00 Encuesta'!$C$2:$C$511,"*c)*",'00 Encuesta'!$E$2:$E$511,"*a)*",'00 Encuesta'!$V$2:$V$511,"*b)*")</f>
        <v>0</v>
      </c>
      <c r="X169" s="52" t="e">
        <f>W169/$X$6*100</f>
        <v>#DIV/0!</v>
      </c>
      <c r="Y169" s="53">
        <f>COUNTIFS('00 Encuesta'!$B$2:$B$511,"*f)*",'00 Encuesta'!$C$2:$C$511,"*c)*",'00 Encuesta'!$E$2:$E$511,"*b)*",'00 Encuesta'!$V$2:$V$511,"*b)*")</f>
        <v>0</v>
      </c>
      <c r="Z169" s="52" t="e">
        <f>Y169/$X$7*100</f>
        <v>#DIV/0!</v>
      </c>
      <c r="AA169" s="3"/>
      <c r="AB169" s="62">
        <f>G169+N169+U169</f>
        <v>10</v>
      </c>
      <c r="AC169" s="52">
        <f>AB169*100/$AC$5</f>
        <v>23.80952380952381</v>
      </c>
      <c r="AD169" s="7"/>
      <c r="AE169" s="7"/>
      <c r="AF169" s="9" t="str">
        <f t="shared" si="199"/>
        <v>b) Rezo por costumbre</v>
      </c>
      <c r="AG169" s="72">
        <f>J169</f>
        <v>18.181818181818183</v>
      </c>
      <c r="AH169" s="72">
        <f>L169</f>
        <v>30</v>
      </c>
      <c r="AI169" s="73">
        <f>H169</f>
        <v>23.809523809523807</v>
      </c>
      <c r="AJ169" s="73"/>
      <c r="AK169" s="76" t="e">
        <f>Q169</f>
        <v>#DIV/0!</v>
      </c>
      <c r="AL169" s="76" t="e">
        <f>S169</f>
        <v>#DIV/0!</v>
      </c>
      <c r="AM169" s="76" t="e">
        <f>O169</f>
        <v>#DIV/0!</v>
      </c>
      <c r="AN169" s="76"/>
      <c r="AO169" s="81" t="e">
        <f>X169</f>
        <v>#DIV/0!</v>
      </c>
      <c r="AP169" s="81" t="e">
        <f>Z169</f>
        <v>#DIV/0!</v>
      </c>
      <c r="AQ169" s="81" t="e">
        <f>V169</f>
        <v>#DIV/0!</v>
      </c>
      <c r="AR169" s="3"/>
      <c r="AS169" s="76">
        <f t="shared" si="174"/>
        <v>23.80952380952381</v>
      </c>
      <c r="AT169" s="7"/>
      <c r="AU169" s="7"/>
      <c r="AV169" s="7"/>
      <c r="AW169" s="7"/>
      <c r="AX169" s="7"/>
      <c r="AY169" s="7"/>
      <c r="AZ169" s="7"/>
      <c r="BA169" s="7"/>
      <c r="BB169" s="7"/>
      <c r="BC169" s="7"/>
      <c r="BD169" s="3"/>
      <c r="BE169" s="3"/>
      <c r="BF169" s="3"/>
      <c r="BG169" s="3"/>
      <c r="BH169" s="3"/>
      <c r="BI169" s="3"/>
      <c r="BJ169" s="3"/>
      <c r="BK169" s="3"/>
      <c r="BL169" s="3"/>
      <c r="BM169" s="3"/>
      <c r="BN169" s="3"/>
      <c r="BO169" s="3"/>
      <c r="BP169" s="3"/>
      <c r="BQ169" s="3"/>
      <c r="BR169" s="3"/>
      <c r="BS169" s="3"/>
      <c r="BT169" s="3"/>
      <c r="BU169" s="3"/>
      <c r="BV169" s="3"/>
      <c r="BW169" s="3"/>
    </row>
    <row r="170" spans="1:75" x14ac:dyDescent="0.3">
      <c r="A170" s="8" t="s">
        <v>20</v>
      </c>
      <c r="B170" s="9" t="s">
        <v>129</v>
      </c>
      <c r="C170" s="7"/>
      <c r="D170" s="7"/>
      <c r="E170" s="7"/>
      <c r="F170" s="71"/>
      <c r="G170" s="51">
        <f>I170+K170</f>
        <v>4</v>
      </c>
      <c r="H170" s="52">
        <f>G170/$J$5*100</f>
        <v>9.5238095238095237</v>
      </c>
      <c r="I170" s="53">
        <f>COUNTIFS('00 Encuesta'!$B$2:$B$511,"*f)*",'00 Encuesta'!$C$2:$C$511,"*a)*",'00 Encuesta'!$E$2:$E$511,"*a)*",'00 Encuesta'!$V$2:$V$511,"*c)*")</f>
        <v>2</v>
      </c>
      <c r="J170" s="52">
        <f>I170/$J$6*100</f>
        <v>9.0909090909090917</v>
      </c>
      <c r="K170" s="53">
        <f>COUNTIFS('00 Encuesta'!$B$2:$B$511,"*f)*",'00 Encuesta'!$C$2:$C$511,"*a)*",'00 Encuesta'!$E$2:$E$511,"*b)*",'00 Encuesta'!$V$2:$V$511,"*c)*")</f>
        <v>2</v>
      </c>
      <c r="L170" s="52">
        <f>K170/$J$7*100</f>
        <v>10</v>
      </c>
      <c r="M170" s="23"/>
      <c r="N170" s="51">
        <f>P170+R170</f>
        <v>0</v>
      </c>
      <c r="O170" s="52" t="e">
        <f>N170/$Q$5*100</f>
        <v>#DIV/0!</v>
      </c>
      <c r="P170" s="53">
        <f>COUNTIFS('00 Encuesta'!$B$2:$B$511,"*f)*",'00 Encuesta'!$C$2:$C$511,"*b)*",'00 Encuesta'!$E$2:$E$511,"*a)*",'00 Encuesta'!$V$2:$V$511,"*c)*")</f>
        <v>0</v>
      </c>
      <c r="Q170" s="52" t="e">
        <f>P170/$Q$6*100</f>
        <v>#DIV/0!</v>
      </c>
      <c r="R170" s="53">
        <f>COUNTIFS('00 Encuesta'!$B$2:$B$511,"*f)*",'00 Encuesta'!$C$2:$C$511,"*b)*",'00 Encuesta'!$E$2:$E$511,"*b)*",'00 Encuesta'!$V$2:$V$511,"*c)*")</f>
        <v>0</v>
      </c>
      <c r="S170" s="52" t="e">
        <f>R170/$Q$7*100</f>
        <v>#DIV/0!</v>
      </c>
      <c r="T170" s="3"/>
      <c r="U170" s="51">
        <f>W170+Y170</f>
        <v>0</v>
      </c>
      <c r="V170" s="52" t="e">
        <f>U170/$X$5*100</f>
        <v>#DIV/0!</v>
      </c>
      <c r="W170" s="53">
        <f>COUNTIFS('00 Encuesta'!$B$2:$B$511,"*f)*",'00 Encuesta'!$C$2:$C$511,"*c)*",'00 Encuesta'!$E$2:$E$511,"*a)*",'00 Encuesta'!$V$2:$V$511,"*c)*")</f>
        <v>0</v>
      </c>
      <c r="X170" s="52" t="e">
        <f>W170/$X$6*100</f>
        <v>#DIV/0!</v>
      </c>
      <c r="Y170" s="53">
        <f>COUNTIFS('00 Encuesta'!$B$2:$B$511,"*f)*",'00 Encuesta'!$C$2:$C$511,"*c)*",'00 Encuesta'!$E$2:$E$511,"*b)*",'00 Encuesta'!$V$2:$V$511,"*c)*")</f>
        <v>0</v>
      </c>
      <c r="Z170" s="52" t="e">
        <f>Y170/$X$7*100</f>
        <v>#DIV/0!</v>
      </c>
      <c r="AA170" s="3"/>
      <c r="AB170" s="62">
        <f>G170+N170+U170</f>
        <v>4</v>
      </c>
      <c r="AC170" s="52">
        <f>AB170*100/$AC$5</f>
        <v>9.5238095238095237</v>
      </c>
      <c r="AD170" s="7"/>
      <c r="AE170" s="7"/>
      <c r="AF170" s="9" t="str">
        <f t="shared" si="199"/>
        <v>c) Rezo solo en situación de dificultad</v>
      </c>
      <c r="AG170" s="72">
        <f>J170</f>
        <v>9.0909090909090917</v>
      </c>
      <c r="AH170" s="72">
        <f>L170</f>
        <v>10</v>
      </c>
      <c r="AI170" s="73">
        <f>H170</f>
        <v>9.5238095238095237</v>
      </c>
      <c r="AJ170" s="73"/>
      <c r="AK170" s="76" t="e">
        <f>Q170</f>
        <v>#DIV/0!</v>
      </c>
      <c r="AL170" s="76" t="e">
        <f>S170</f>
        <v>#DIV/0!</v>
      </c>
      <c r="AM170" s="76" t="e">
        <f>O170</f>
        <v>#DIV/0!</v>
      </c>
      <c r="AN170" s="76"/>
      <c r="AO170" s="81" t="e">
        <f>X170</f>
        <v>#DIV/0!</v>
      </c>
      <c r="AP170" s="81" t="e">
        <f>Z170</f>
        <v>#DIV/0!</v>
      </c>
      <c r="AQ170" s="81" t="e">
        <f>V170</f>
        <v>#DIV/0!</v>
      </c>
      <c r="AR170" s="7"/>
      <c r="AS170" s="76">
        <f t="shared" si="174"/>
        <v>9.5238095238095237</v>
      </c>
      <c r="AT170" s="7"/>
      <c r="AU170" s="7"/>
      <c r="AV170" s="7"/>
      <c r="AW170" s="7"/>
      <c r="AX170" s="7"/>
      <c r="AY170" s="7"/>
      <c r="AZ170" s="7"/>
      <c r="BA170" s="7"/>
      <c r="BB170" s="7"/>
      <c r="BC170" s="7"/>
      <c r="BD170" s="3"/>
      <c r="BE170" s="3"/>
      <c r="BF170" s="3"/>
      <c r="BG170" s="3"/>
      <c r="BH170" s="3"/>
      <c r="BI170" s="3"/>
      <c r="BJ170" s="3"/>
      <c r="BK170" s="3"/>
      <c r="BL170" s="3"/>
      <c r="BM170" s="3"/>
      <c r="BN170" s="3"/>
      <c r="BO170" s="3"/>
      <c r="BP170" s="3"/>
      <c r="BQ170" s="3"/>
      <c r="BR170" s="3"/>
      <c r="BS170" s="3"/>
      <c r="BT170" s="3"/>
      <c r="BU170" s="3"/>
      <c r="BV170" s="3"/>
      <c r="BW170" s="3"/>
    </row>
    <row r="171" spans="1:75" x14ac:dyDescent="0.3">
      <c r="A171" s="8" t="s">
        <v>21</v>
      </c>
      <c r="B171" s="9" t="s">
        <v>130</v>
      </c>
      <c r="C171" s="7"/>
      <c r="D171" s="7"/>
      <c r="E171" s="7"/>
      <c r="F171" s="71"/>
      <c r="G171" s="51">
        <f>I171+K171</f>
        <v>0</v>
      </c>
      <c r="H171" s="52">
        <f>G171/$J$5*100</f>
        <v>0</v>
      </c>
      <c r="I171" s="53">
        <f>COUNTIFS('00 Encuesta'!$B$2:$B$511,"*f)*",'00 Encuesta'!$C$2:$C$511,"*a)*",'00 Encuesta'!$E$2:$E$511,"*a)*",'00 Encuesta'!$V$2:$V$511,"*d)*")</f>
        <v>0</v>
      </c>
      <c r="J171" s="52">
        <f>I171/$J$6*100</f>
        <v>0</v>
      </c>
      <c r="K171" s="53">
        <f>COUNTIFS('00 Encuesta'!$B$2:$B$511,"*f)*",'00 Encuesta'!$C$2:$C$511,"*a)*",'00 Encuesta'!$E$2:$E$511,"*b)*",'00 Encuesta'!$V$2:$V$511,"*d)*")</f>
        <v>0</v>
      </c>
      <c r="L171" s="52">
        <f>K171/$J$7*100</f>
        <v>0</v>
      </c>
      <c r="M171" s="23"/>
      <c r="N171" s="51">
        <f>P171+R171</f>
        <v>0</v>
      </c>
      <c r="O171" s="52" t="e">
        <f>N171/$Q$5*100</f>
        <v>#DIV/0!</v>
      </c>
      <c r="P171" s="53">
        <f>COUNTIFS('00 Encuesta'!$B$2:$B$511,"*f)*",'00 Encuesta'!$C$2:$C$511,"*b)*",'00 Encuesta'!$E$2:$E$511,"*a)*",'00 Encuesta'!$V$2:$V$511,"*d)*")</f>
        <v>0</v>
      </c>
      <c r="Q171" s="52" t="e">
        <f>P171/$Q$6*100</f>
        <v>#DIV/0!</v>
      </c>
      <c r="R171" s="53">
        <f>COUNTIFS('00 Encuesta'!$B$2:$B$511,"*f)*",'00 Encuesta'!$C$2:$C$511,"*b)*",'00 Encuesta'!$E$2:$E$511,"*b)*",'00 Encuesta'!$V$2:$V$511,"*d)*")</f>
        <v>0</v>
      </c>
      <c r="S171" s="52" t="e">
        <f>R171/$Q$7*100</f>
        <v>#DIV/0!</v>
      </c>
      <c r="T171" s="3"/>
      <c r="U171" s="51">
        <f>W171+Y171</f>
        <v>0</v>
      </c>
      <c r="V171" s="52" t="e">
        <f>U171/$X$5*100</f>
        <v>#DIV/0!</v>
      </c>
      <c r="W171" s="53">
        <f>COUNTIFS('00 Encuesta'!$B$2:$B$511,"*f)*",'00 Encuesta'!$C$2:$C$511,"*c)*",'00 Encuesta'!$E$2:$E$511,"*a)*",'00 Encuesta'!$V$2:$V$511,"*d)*")</f>
        <v>0</v>
      </c>
      <c r="X171" s="52" t="e">
        <f>W171/$X$6*100</f>
        <v>#DIV/0!</v>
      </c>
      <c r="Y171" s="53">
        <f>COUNTIFS('00 Encuesta'!$B$2:$B$511,"*f)*",'00 Encuesta'!$C$2:$C$511,"*c)*",'00 Encuesta'!$E$2:$E$511,"*b)*",'00 Encuesta'!$V$2:$V$511,"*d)*")</f>
        <v>0</v>
      </c>
      <c r="Z171" s="52" t="e">
        <f>Y171/$X$7*100</f>
        <v>#DIV/0!</v>
      </c>
      <c r="AA171" s="3"/>
      <c r="AB171" s="62">
        <f>G171+N171+U171</f>
        <v>0</v>
      </c>
      <c r="AC171" s="52">
        <f>AB171*100/$AC$5</f>
        <v>0</v>
      </c>
      <c r="AD171" s="3"/>
      <c r="AE171" s="3"/>
      <c r="AF171" s="9" t="str">
        <f t="shared" si="199"/>
        <v>d) No rezo nunca</v>
      </c>
      <c r="AG171" s="72">
        <f>J171</f>
        <v>0</v>
      </c>
      <c r="AH171" s="72">
        <f>L171</f>
        <v>0</v>
      </c>
      <c r="AI171" s="73">
        <f>H171</f>
        <v>0</v>
      </c>
      <c r="AJ171" s="73"/>
      <c r="AK171" s="76" t="e">
        <f>Q171</f>
        <v>#DIV/0!</v>
      </c>
      <c r="AL171" s="76" t="e">
        <f>S171</f>
        <v>#DIV/0!</v>
      </c>
      <c r="AM171" s="76" t="e">
        <f>O171</f>
        <v>#DIV/0!</v>
      </c>
      <c r="AN171" s="76"/>
      <c r="AO171" s="81" t="e">
        <f>X171</f>
        <v>#DIV/0!</v>
      </c>
      <c r="AP171" s="81" t="e">
        <f>Z171</f>
        <v>#DIV/0!</v>
      </c>
      <c r="AQ171" s="81" t="e">
        <f>V171</f>
        <v>#DIV/0!</v>
      </c>
      <c r="AR171" s="7"/>
      <c r="AS171" s="76">
        <f t="shared" si="174"/>
        <v>0</v>
      </c>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row>
    <row r="172" spans="1:75" x14ac:dyDescent="0.3">
      <c r="A172" s="8" t="s">
        <v>23</v>
      </c>
      <c r="B172" s="9" t="s">
        <v>24</v>
      </c>
      <c r="C172" s="7"/>
      <c r="D172" s="7"/>
      <c r="E172" s="7"/>
      <c r="F172" s="71"/>
      <c r="G172" s="51">
        <f>I172+K172</f>
        <v>0</v>
      </c>
      <c r="H172" s="52">
        <f>G172/$J$5*100</f>
        <v>0</v>
      </c>
      <c r="I172" s="53"/>
      <c r="J172" s="52">
        <f>I172/$J$6*100</f>
        <v>0</v>
      </c>
      <c r="K172" s="53"/>
      <c r="L172" s="52">
        <f>K172/$J$7*100</f>
        <v>0</v>
      </c>
      <c r="M172" s="23"/>
      <c r="N172" s="51">
        <f>P172+R172</f>
        <v>0</v>
      </c>
      <c r="O172" s="52" t="e">
        <f>N172/$Q$5*100</f>
        <v>#DIV/0!</v>
      </c>
      <c r="P172" s="53"/>
      <c r="Q172" s="52" t="e">
        <f>P172/$Q$6*100</f>
        <v>#DIV/0!</v>
      </c>
      <c r="R172" s="53"/>
      <c r="S172" s="52" t="e">
        <f>R172/$Q$7*100</f>
        <v>#DIV/0!</v>
      </c>
      <c r="T172" s="3"/>
      <c r="U172" s="51">
        <f>W172+Y172</f>
        <v>0</v>
      </c>
      <c r="V172" s="52" t="e">
        <f>U172/$X$5*100</f>
        <v>#DIV/0!</v>
      </c>
      <c r="W172" s="53"/>
      <c r="X172" s="52" t="e">
        <f>W172/$X$6*100</f>
        <v>#DIV/0!</v>
      </c>
      <c r="Y172" s="53"/>
      <c r="Z172" s="52" t="e">
        <f>Y172/$X$7*100</f>
        <v>#DIV/0!</v>
      </c>
      <c r="AA172" s="3"/>
      <c r="AB172" s="62">
        <f>G172+N172+U172</f>
        <v>0</v>
      </c>
      <c r="AC172" s="52">
        <f>AB172*100/$AC$5</f>
        <v>0</v>
      </c>
      <c r="AD172" s="3"/>
      <c r="AE172" s="3"/>
      <c r="AF172" s="9" t="str">
        <f t="shared" si="199"/>
        <v>S/R Sin Respuesta</v>
      </c>
      <c r="AG172" s="72">
        <f>J172</f>
        <v>0</v>
      </c>
      <c r="AH172" s="72">
        <f>L172</f>
        <v>0</v>
      </c>
      <c r="AI172" s="73">
        <f>H172</f>
        <v>0</v>
      </c>
      <c r="AJ172" s="73"/>
      <c r="AK172" s="76" t="e">
        <f>Q172</f>
        <v>#DIV/0!</v>
      </c>
      <c r="AL172" s="76" t="e">
        <f>S172</f>
        <v>#DIV/0!</v>
      </c>
      <c r="AM172" s="76" t="e">
        <f>O172</f>
        <v>#DIV/0!</v>
      </c>
      <c r="AN172" s="76"/>
      <c r="AO172" s="81" t="e">
        <f>X172</f>
        <v>#DIV/0!</v>
      </c>
      <c r="AP172" s="81" t="e">
        <f>Z172</f>
        <v>#DIV/0!</v>
      </c>
      <c r="AQ172" s="81" t="e">
        <f>V172</f>
        <v>#DIV/0!</v>
      </c>
      <c r="AR172" s="3"/>
      <c r="AS172" s="76">
        <f t="shared" si="174"/>
        <v>0</v>
      </c>
      <c r="AT172" s="3"/>
      <c r="AU172" s="3"/>
      <c r="AV172" s="3"/>
      <c r="AW172" s="3"/>
      <c r="AX172" s="3"/>
      <c r="AY172" s="3"/>
      <c r="AZ172" s="3"/>
      <c r="BA172" s="3"/>
      <c r="BB172" s="3"/>
      <c r="BC172" s="3"/>
      <c r="BD172" s="7"/>
      <c r="BE172" s="7"/>
      <c r="BF172" s="3"/>
      <c r="BG172" s="3"/>
      <c r="BH172" s="3"/>
      <c r="BI172" s="3"/>
      <c r="BJ172" s="3"/>
      <c r="BK172" s="3"/>
      <c r="BL172" s="3"/>
      <c r="BM172" s="3"/>
      <c r="BN172" s="3"/>
      <c r="BO172" s="3"/>
      <c r="BP172" s="3"/>
      <c r="BQ172" s="3"/>
      <c r="BR172" s="3"/>
      <c r="BS172" s="3"/>
      <c r="BT172" s="3"/>
      <c r="BU172" s="3"/>
      <c r="BV172" s="3"/>
      <c r="BW172" s="3"/>
    </row>
    <row r="173" spans="1:75" x14ac:dyDescent="0.3">
      <c r="A173" s="8"/>
      <c r="B173" s="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6"/>
      <c r="AC173" s="41"/>
      <c r="AD173" s="7"/>
      <c r="AE173" s="3"/>
      <c r="AF173" s="3"/>
      <c r="AG173" s="3"/>
      <c r="AH173" s="3"/>
      <c r="AI173" s="3"/>
      <c r="AJ173" s="3"/>
      <c r="AK173" s="3"/>
      <c r="AL173" s="3"/>
      <c r="AM173" s="3"/>
      <c r="AN173" s="3"/>
      <c r="AO173" s="3"/>
      <c r="AP173" s="3"/>
      <c r="AQ173" s="3"/>
      <c r="AR173" s="3"/>
      <c r="AS173" s="76"/>
      <c r="AT173" s="3"/>
      <c r="AU173" s="3"/>
      <c r="AV173" s="3"/>
      <c r="AW173" s="3"/>
      <c r="AX173" s="3"/>
      <c r="AY173" s="3"/>
      <c r="AZ173" s="3"/>
      <c r="BA173" s="3"/>
      <c r="BB173" s="3"/>
      <c r="BC173" s="3"/>
      <c r="BD173" s="7"/>
      <c r="BE173" s="7"/>
      <c r="BF173" s="3"/>
      <c r="BG173" s="3"/>
      <c r="BH173" s="3"/>
      <c r="BI173" s="3"/>
      <c r="BJ173" s="3"/>
      <c r="BK173" s="3"/>
      <c r="BL173" s="3"/>
      <c r="BM173" s="3"/>
      <c r="BN173" s="3"/>
      <c r="BO173" s="3"/>
      <c r="BP173" s="3"/>
      <c r="BQ173" s="3"/>
      <c r="BR173" s="3"/>
      <c r="BS173" s="3"/>
      <c r="BT173" s="3"/>
      <c r="BU173" s="3"/>
      <c r="BV173" s="3"/>
      <c r="BW173" s="3"/>
    </row>
    <row r="174" spans="1:75" x14ac:dyDescent="0.3">
      <c r="A174" s="70">
        <v>20</v>
      </c>
      <c r="B174" s="9" t="s">
        <v>131</v>
      </c>
      <c r="C174" s="7"/>
      <c r="D174" s="7"/>
      <c r="E174" s="7"/>
      <c r="F174" s="71"/>
      <c r="G174" s="51"/>
      <c r="H174" s="52"/>
      <c r="I174" s="53"/>
      <c r="J174" s="52"/>
      <c r="K174" s="53"/>
      <c r="L174" s="66"/>
      <c r="M174" s="23"/>
      <c r="N174" s="51"/>
      <c r="O174" s="52"/>
      <c r="P174" s="53"/>
      <c r="Q174" s="52"/>
      <c r="R174" s="53"/>
      <c r="S174" s="66"/>
      <c r="T174" s="3"/>
      <c r="U174" s="51"/>
      <c r="V174" s="52"/>
      <c r="W174" s="53"/>
      <c r="X174" s="52"/>
      <c r="Y174" s="53"/>
      <c r="Z174" s="66"/>
      <c r="AA174" s="3"/>
      <c r="AB174" s="62"/>
      <c r="AC174" s="52"/>
      <c r="AD174" s="3"/>
      <c r="AE174" s="3"/>
      <c r="AF174" s="88" t="str">
        <f t="shared" ref="AF174:AF179" si="200">A174&amp;" "&amp;B174</f>
        <v>20 Voy a misa:</v>
      </c>
      <c r="AG174" s="3"/>
      <c r="AH174" s="3"/>
      <c r="AI174" s="3"/>
      <c r="AJ174" s="3"/>
      <c r="AK174" s="3"/>
      <c r="AL174" s="3"/>
      <c r="AM174" s="3"/>
      <c r="AN174" s="3"/>
      <c r="AO174" s="3"/>
      <c r="AP174" s="3"/>
      <c r="AQ174" s="3"/>
      <c r="AR174" s="3"/>
      <c r="AS174" s="76"/>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row>
    <row r="175" spans="1:75" x14ac:dyDescent="0.3">
      <c r="A175" s="8" t="s">
        <v>17</v>
      </c>
      <c r="B175" s="9" t="s">
        <v>132</v>
      </c>
      <c r="C175" s="7"/>
      <c r="D175" s="7"/>
      <c r="E175" s="7"/>
      <c r="F175" s="71"/>
      <c r="G175" s="51">
        <f>I175+K175</f>
        <v>11</v>
      </c>
      <c r="H175" s="52">
        <f>G175/$J$5*100</f>
        <v>26.190476190476193</v>
      </c>
      <c r="I175" s="53">
        <f>COUNTIFS('00 Encuesta'!$B$2:$B$511,"*f)*",'00 Encuesta'!$C$2:$C$511,"*a)*",'00 Encuesta'!$E$2:$E$511,"*a)*",'00 Encuesta'!$W$2:$W$511,"*a)*")</f>
        <v>2</v>
      </c>
      <c r="J175" s="52">
        <f>I175/$J$6*100</f>
        <v>9.0909090909090917</v>
      </c>
      <c r="K175" s="53">
        <f>COUNTIFS('00 Encuesta'!$B$2:$B$511,"*f)*",'00 Encuesta'!$C$2:$C$511,"*a)*",'00 Encuesta'!$E$2:$E$511,"*b)*",'00 Encuesta'!$W$2:$W$511,"*a)*")</f>
        <v>9</v>
      </c>
      <c r="L175" s="52">
        <f>K175/$J$7*100</f>
        <v>45</v>
      </c>
      <c r="M175" s="23"/>
      <c r="N175" s="51">
        <f>P175+R175</f>
        <v>0</v>
      </c>
      <c r="O175" s="52" t="e">
        <f>N175/$Q$5*100</f>
        <v>#DIV/0!</v>
      </c>
      <c r="P175" s="53">
        <f>COUNTIFS('00 Encuesta'!$B$2:$B$511,"*f)*",'00 Encuesta'!$C$2:$C$511,"*b)*",'00 Encuesta'!$E$2:$E$511,"*a)*",'00 Encuesta'!$W$2:$W$511,"*a)*")</f>
        <v>0</v>
      </c>
      <c r="Q175" s="52" t="e">
        <f>P175/$Q$6*100</f>
        <v>#DIV/0!</v>
      </c>
      <c r="R175" s="53">
        <f>COUNTIFS('00 Encuesta'!$B$2:$B$511,"*f)*",'00 Encuesta'!$C$2:$C$511,"*b)*",'00 Encuesta'!$E$2:$E$511,"*b)*",'00 Encuesta'!$W$2:$W$511,"*a)*")</f>
        <v>0</v>
      </c>
      <c r="S175" s="52" t="e">
        <f>R175/$Q$7*100</f>
        <v>#DIV/0!</v>
      </c>
      <c r="T175" s="3"/>
      <c r="U175" s="51">
        <f>W175+Y175</f>
        <v>0</v>
      </c>
      <c r="V175" s="52" t="e">
        <f>U175/$X$5*100</f>
        <v>#DIV/0!</v>
      </c>
      <c r="W175" s="53">
        <f>COUNTIFS('00 Encuesta'!$B$2:$B$511,"*f)*",'00 Encuesta'!$C$2:$C$511,"*c)*",'00 Encuesta'!$E$2:$E$511,"*a)*",'00 Encuesta'!$W$2:$W$511,"*a)*")</f>
        <v>0</v>
      </c>
      <c r="X175" s="52" t="e">
        <f>W175/$X$6*100</f>
        <v>#DIV/0!</v>
      </c>
      <c r="Y175" s="53">
        <f>COUNTIFS('00 Encuesta'!$B$2:$B$511,"*f)*",'00 Encuesta'!$C$2:$C$511,"*c)*",'00 Encuesta'!$E$2:$E$511,"*b)*",'00 Encuesta'!$W$2:$W$511,"*a)*")</f>
        <v>0</v>
      </c>
      <c r="Z175" s="52" t="e">
        <f>Y175/$X$7*100</f>
        <v>#DIV/0!</v>
      </c>
      <c r="AA175" s="3"/>
      <c r="AB175" s="62">
        <f>G175+N175+U175</f>
        <v>11</v>
      </c>
      <c r="AC175" s="52">
        <f>AB175*100/$AC$5</f>
        <v>26.19047619047619</v>
      </c>
      <c r="AD175" s="3"/>
      <c r="AE175" s="3"/>
      <c r="AF175" s="9" t="str">
        <f t="shared" si="200"/>
        <v>a) Todos los domingos</v>
      </c>
      <c r="AG175" s="72">
        <f>J175</f>
        <v>9.0909090909090917</v>
      </c>
      <c r="AH175" s="72">
        <f>L175</f>
        <v>45</v>
      </c>
      <c r="AI175" s="73">
        <f>H175</f>
        <v>26.190476190476193</v>
      </c>
      <c r="AJ175" s="73"/>
      <c r="AK175" s="76" t="e">
        <f>Q175</f>
        <v>#DIV/0!</v>
      </c>
      <c r="AL175" s="76" t="e">
        <f>S175</f>
        <v>#DIV/0!</v>
      </c>
      <c r="AM175" s="76" t="e">
        <f>O175</f>
        <v>#DIV/0!</v>
      </c>
      <c r="AN175" s="76"/>
      <c r="AO175" s="81" t="e">
        <f>X175</f>
        <v>#DIV/0!</v>
      </c>
      <c r="AP175" s="81" t="e">
        <f>Z175</f>
        <v>#DIV/0!</v>
      </c>
      <c r="AQ175" s="81" t="e">
        <f>V175</f>
        <v>#DIV/0!</v>
      </c>
      <c r="AR175" s="3"/>
      <c r="AS175" s="76">
        <f t="shared" si="174"/>
        <v>26.19047619047619</v>
      </c>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row>
    <row r="176" spans="1:75" x14ac:dyDescent="0.3">
      <c r="A176" s="8" t="s">
        <v>18</v>
      </c>
      <c r="B176" s="9" t="s">
        <v>133</v>
      </c>
      <c r="C176" s="7"/>
      <c r="D176" s="7"/>
      <c r="E176" s="7"/>
      <c r="F176" s="71"/>
      <c r="G176" s="51">
        <f>I176+K176</f>
        <v>16</v>
      </c>
      <c r="H176" s="52">
        <f>G176/$J$5*100</f>
        <v>38.095238095238095</v>
      </c>
      <c r="I176" s="53">
        <f>COUNTIFS('00 Encuesta'!$B$2:$B$511,"*f)*",'00 Encuesta'!$C$2:$C$511,"*a)*",'00 Encuesta'!$E$2:$E$511,"*a)*",'00 Encuesta'!$W$2:$W$511,"*b)*")</f>
        <v>12</v>
      </c>
      <c r="J176" s="52">
        <f>I176/$J$6*100</f>
        <v>54.54545454545454</v>
      </c>
      <c r="K176" s="53">
        <f>COUNTIFS('00 Encuesta'!$B$2:$B$511,"*f)*",'00 Encuesta'!$C$2:$C$511,"*a)*",'00 Encuesta'!$E$2:$E$511,"*b)*",'00 Encuesta'!$W$2:$W$511,"*b)*")</f>
        <v>4</v>
      </c>
      <c r="L176" s="52">
        <f>K176/$J$7*100</f>
        <v>20</v>
      </c>
      <c r="M176" s="23"/>
      <c r="N176" s="51">
        <f>P176+R176</f>
        <v>0</v>
      </c>
      <c r="O176" s="52" t="e">
        <f>N176/$Q$5*100</f>
        <v>#DIV/0!</v>
      </c>
      <c r="P176" s="53">
        <f>COUNTIFS('00 Encuesta'!$B$2:$B$511,"*f)*",'00 Encuesta'!$C$2:$C$511,"*b)*",'00 Encuesta'!$E$2:$E$511,"*a)*",'00 Encuesta'!$W$2:$W$511,"*b)*")</f>
        <v>0</v>
      </c>
      <c r="Q176" s="52" t="e">
        <f>P176/$Q$6*100</f>
        <v>#DIV/0!</v>
      </c>
      <c r="R176" s="53">
        <f>COUNTIFS('00 Encuesta'!$B$2:$B$511,"*f)*",'00 Encuesta'!$C$2:$C$511,"*b)*",'00 Encuesta'!$E$2:$E$511,"*b)*",'00 Encuesta'!$W$2:$W$511,"*b)*")</f>
        <v>0</v>
      </c>
      <c r="S176" s="52" t="e">
        <f>R176/$Q$7*100</f>
        <v>#DIV/0!</v>
      </c>
      <c r="T176" s="3"/>
      <c r="U176" s="51">
        <f>W176+Y176</f>
        <v>0</v>
      </c>
      <c r="V176" s="52" t="e">
        <f>U176/$X$5*100</f>
        <v>#DIV/0!</v>
      </c>
      <c r="W176" s="53">
        <f>COUNTIFS('00 Encuesta'!$B$2:$B$511,"*f)*",'00 Encuesta'!$C$2:$C$511,"*c)*",'00 Encuesta'!$E$2:$E$511,"*a)*",'00 Encuesta'!$W$2:$W$511,"*b)*")</f>
        <v>0</v>
      </c>
      <c r="X176" s="52" t="e">
        <f>W176/$X$6*100</f>
        <v>#DIV/0!</v>
      </c>
      <c r="Y176" s="53">
        <f>COUNTIFS('00 Encuesta'!$B$2:$B$511,"*f)*",'00 Encuesta'!$C$2:$C$511,"*c)*",'00 Encuesta'!$E$2:$E$511,"*b)*",'00 Encuesta'!$W$2:$W$511,"*b)*")</f>
        <v>0</v>
      </c>
      <c r="Z176" s="52" t="e">
        <f>Y176/$X$7*100</f>
        <v>#DIV/0!</v>
      </c>
      <c r="AA176" s="3"/>
      <c r="AB176" s="62">
        <f>G176+N176+U176</f>
        <v>16</v>
      </c>
      <c r="AC176" s="52">
        <f>AB176*100/$AC$5</f>
        <v>38.095238095238095</v>
      </c>
      <c r="AD176" s="3"/>
      <c r="AE176" s="3"/>
      <c r="AF176" s="9" t="str">
        <f t="shared" si="200"/>
        <v>b) Algunos domingos</v>
      </c>
      <c r="AG176" s="72">
        <f>J176</f>
        <v>54.54545454545454</v>
      </c>
      <c r="AH176" s="72">
        <f>L176</f>
        <v>20</v>
      </c>
      <c r="AI176" s="73">
        <f>H176</f>
        <v>38.095238095238095</v>
      </c>
      <c r="AJ176" s="73"/>
      <c r="AK176" s="76" t="e">
        <f>Q176</f>
        <v>#DIV/0!</v>
      </c>
      <c r="AL176" s="76" t="e">
        <f>S176</f>
        <v>#DIV/0!</v>
      </c>
      <c r="AM176" s="76" t="e">
        <f>O176</f>
        <v>#DIV/0!</v>
      </c>
      <c r="AN176" s="76"/>
      <c r="AO176" s="81" t="e">
        <f>X176</f>
        <v>#DIV/0!</v>
      </c>
      <c r="AP176" s="81" t="e">
        <f>Z176</f>
        <v>#DIV/0!</v>
      </c>
      <c r="AQ176" s="81" t="e">
        <f>V176</f>
        <v>#DIV/0!</v>
      </c>
      <c r="AR176" s="3"/>
      <c r="AS176" s="76">
        <f t="shared" si="174"/>
        <v>38.095238095238095</v>
      </c>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row>
    <row r="177" spans="1:75" x14ac:dyDescent="0.3">
      <c r="A177" s="8" t="s">
        <v>20</v>
      </c>
      <c r="B177" s="9" t="s">
        <v>134</v>
      </c>
      <c r="C177" s="7"/>
      <c r="D177" s="7"/>
      <c r="E177" s="7"/>
      <c r="F177" s="71"/>
      <c r="G177" s="51">
        <f>I177+K177</f>
        <v>10</v>
      </c>
      <c r="H177" s="52">
        <f>G177/$J$5*100</f>
        <v>23.809523809523807</v>
      </c>
      <c r="I177" s="53">
        <f>COUNTIFS('00 Encuesta'!$B$2:$B$511,"*f)*",'00 Encuesta'!$C$2:$C$511,"*a)*",'00 Encuesta'!$E$2:$E$511,"*a)*",'00 Encuesta'!$W$2:$W$511,"*c)*")</f>
        <v>7</v>
      </c>
      <c r="J177" s="52">
        <f>I177/$J$6*100</f>
        <v>31.818181818181817</v>
      </c>
      <c r="K177" s="53">
        <f>COUNTIFS('00 Encuesta'!$B$2:$B$511,"*f)*",'00 Encuesta'!$C$2:$C$511,"*a)*",'00 Encuesta'!$E$2:$E$511,"*b)*",'00 Encuesta'!$W$2:$W$511,"*c)*")</f>
        <v>3</v>
      </c>
      <c r="L177" s="52">
        <f>K177/$J$7*100</f>
        <v>15</v>
      </c>
      <c r="M177" s="23"/>
      <c r="N177" s="51">
        <f>P177+R177</f>
        <v>0</v>
      </c>
      <c r="O177" s="52" t="e">
        <f>N177/$Q$5*100</f>
        <v>#DIV/0!</v>
      </c>
      <c r="P177" s="53">
        <f>COUNTIFS('00 Encuesta'!$B$2:$B$511,"*f)*",'00 Encuesta'!$C$2:$C$511,"*b)*",'00 Encuesta'!$E$2:$E$511,"*a)*",'00 Encuesta'!$W$2:$W$511,"*c)*")</f>
        <v>0</v>
      </c>
      <c r="Q177" s="52" t="e">
        <f>P177/$Q$6*100</f>
        <v>#DIV/0!</v>
      </c>
      <c r="R177" s="53">
        <f>COUNTIFS('00 Encuesta'!$B$2:$B$511,"*f)*",'00 Encuesta'!$C$2:$C$511,"*b)*",'00 Encuesta'!$E$2:$E$511,"*b)*",'00 Encuesta'!$W$2:$W$511,"*c)*")</f>
        <v>0</v>
      </c>
      <c r="S177" s="52" t="e">
        <f>R177/$Q$7*100</f>
        <v>#DIV/0!</v>
      </c>
      <c r="T177" s="3"/>
      <c r="U177" s="51">
        <f>W177+Y177</f>
        <v>0</v>
      </c>
      <c r="V177" s="52" t="e">
        <f>U177/$X$5*100</f>
        <v>#DIV/0!</v>
      </c>
      <c r="W177" s="53">
        <f>COUNTIFS('00 Encuesta'!$B$2:$B$511,"*f)*",'00 Encuesta'!$C$2:$C$511,"*c)*",'00 Encuesta'!$E$2:$E$511,"*a)*",'00 Encuesta'!$W$2:$W$511,"*c)*")</f>
        <v>0</v>
      </c>
      <c r="X177" s="52" t="e">
        <f>W177/$X$6*100</f>
        <v>#DIV/0!</v>
      </c>
      <c r="Y177" s="53">
        <f>COUNTIFS('00 Encuesta'!$B$2:$B$511,"*f)*",'00 Encuesta'!$C$2:$C$511,"*c)*",'00 Encuesta'!$E$2:$E$511,"*b)*",'00 Encuesta'!$W$2:$W$511,"*c)*")</f>
        <v>0</v>
      </c>
      <c r="Z177" s="52" t="e">
        <f>Y177/$X$7*100</f>
        <v>#DIV/0!</v>
      </c>
      <c r="AA177" s="3"/>
      <c r="AB177" s="62">
        <f>G177+N177+U177</f>
        <v>10</v>
      </c>
      <c r="AC177" s="52">
        <f>AB177*100/$AC$5</f>
        <v>23.80952380952381</v>
      </c>
      <c r="AD177" s="3"/>
      <c r="AE177" s="3"/>
      <c r="AF177" s="9" t="str">
        <f t="shared" si="200"/>
        <v>c) Sólo en fechas especiales</v>
      </c>
      <c r="AG177" s="72">
        <f>J177</f>
        <v>31.818181818181817</v>
      </c>
      <c r="AH177" s="72">
        <f>L177</f>
        <v>15</v>
      </c>
      <c r="AI177" s="73">
        <f>H177</f>
        <v>23.809523809523807</v>
      </c>
      <c r="AJ177" s="73"/>
      <c r="AK177" s="76" t="e">
        <f>Q177</f>
        <v>#DIV/0!</v>
      </c>
      <c r="AL177" s="76" t="e">
        <f>S177</f>
        <v>#DIV/0!</v>
      </c>
      <c r="AM177" s="76" t="e">
        <f>O177</f>
        <v>#DIV/0!</v>
      </c>
      <c r="AN177" s="76"/>
      <c r="AO177" s="81" t="e">
        <f>X177</f>
        <v>#DIV/0!</v>
      </c>
      <c r="AP177" s="81" t="e">
        <f>Z177</f>
        <v>#DIV/0!</v>
      </c>
      <c r="AQ177" s="81" t="e">
        <f>V177</f>
        <v>#DIV/0!</v>
      </c>
      <c r="AR177" s="3"/>
      <c r="AS177" s="76">
        <f t="shared" si="174"/>
        <v>23.80952380952381</v>
      </c>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row>
    <row r="178" spans="1:75" x14ac:dyDescent="0.3">
      <c r="A178" s="8" t="s">
        <v>21</v>
      </c>
      <c r="B178" s="9" t="s">
        <v>135</v>
      </c>
      <c r="C178" s="7"/>
      <c r="D178" s="7"/>
      <c r="E178" s="7"/>
      <c r="F178" s="71"/>
      <c r="G178" s="51">
        <f>I178+K178</f>
        <v>4</v>
      </c>
      <c r="H178" s="52">
        <f>G178/$J$5*100</f>
        <v>9.5238095238095237</v>
      </c>
      <c r="I178" s="53">
        <f>COUNTIFS('00 Encuesta'!$B$2:$B$511,"*f)*",'00 Encuesta'!$C$2:$C$511,"*a)*",'00 Encuesta'!$E$2:$E$511,"*a)*",'00 Encuesta'!$W$2:$W$511,"*d)*")</f>
        <v>0</v>
      </c>
      <c r="J178" s="52">
        <f>I178/$J$6*100</f>
        <v>0</v>
      </c>
      <c r="K178" s="53">
        <f>COUNTIFS('00 Encuesta'!$B$2:$B$511,"*f)*",'00 Encuesta'!$C$2:$C$511,"*a)*",'00 Encuesta'!$E$2:$E$511,"*b)*",'00 Encuesta'!$W$2:$W$511,"*d)*")</f>
        <v>4</v>
      </c>
      <c r="L178" s="52">
        <f>K178/$J$7*100</f>
        <v>20</v>
      </c>
      <c r="M178" s="23"/>
      <c r="N178" s="51">
        <f>P178+R178</f>
        <v>0</v>
      </c>
      <c r="O178" s="52" t="e">
        <f>N178/$Q$5*100</f>
        <v>#DIV/0!</v>
      </c>
      <c r="P178" s="53">
        <f>COUNTIFS('00 Encuesta'!$B$2:$B$511,"*f)*",'00 Encuesta'!$C$2:$C$511,"*b)*",'00 Encuesta'!$E$2:$E$511,"*a)*",'00 Encuesta'!$W$2:$W$511,"*d)*")</f>
        <v>0</v>
      </c>
      <c r="Q178" s="52" t="e">
        <f>P178/$Q$6*100</f>
        <v>#DIV/0!</v>
      </c>
      <c r="R178" s="53">
        <f>COUNTIFS('00 Encuesta'!$B$2:$B$511,"*f)*",'00 Encuesta'!$C$2:$C$511,"*b)*",'00 Encuesta'!$E$2:$E$511,"*b)*",'00 Encuesta'!$W$2:$W$511,"*d)*")</f>
        <v>0</v>
      </c>
      <c r="S178" s="52" t="e">
        <f>R178/$Q$7*100</f>
        <v>#DIV/0!</v>
      </c>
      <c r="T178" s="3"/>
      <c r="U178" s="51">
        <f>W178+Y178</f>
        <v>0</v>
      </c>
      <c r="V178" s="52" t="e">
        <f>U178/$X$5*100</f>
        <v>#DIV/0!</v>
      </c>
      <c r="W178" s="53">
        <f>COUNTIFS('00 Encuesta'!$B$2:$B$511,"*f)*",'00 Encuesta'!$C$2:$C$511,"*c)*",'00 Encuesta'!$E$2:$E$511,"*a)*",'00 Encuesta'!$W$2:$W$511,"*d)*")</f>
        <v>0</v>
      </c>
      <c r="X178" s="52" t="e">
        <f>W178/$X$6*100</f>
        <v>#DIV/0!</v>
      </c>
      <c r="Y178" s="53">
        <f>COUNTIFS('00 Encuesta'!$B$2:$B$511,"*f)*",'00 Encuesta'!$C$2:$C$511,"*c)*",'00 Encuesta'!$E$2:$E$511,"*b)*",'00 Encuesta'!$W$2:$W$511,"*d)*")</f>
        <v>0</v>
      </c>
      <c r="Z178" s="52" t="e">
        <f>Y178/$X$7*100</f>
        <v>#DIV/0!</v>
      </c>
      <c r="AA178" s="3"/>
      <c r="AB178" s="62">
        <f>G178+N178+U178</f>
        <v>4</v>
      </c>
      <c r="AC178" s="52">
        <f>AB178*100/$AC$5</f>
        <v>9.5238095238095237</v>
      </c>
      <c r="AD178" s="7"/>
      <c r="AE178" s="7"/>
      <c r="AF178" s="9" t="str">
        <f t="shared" si="200"/>
        <v>d) Nunca</v>
      </c>
      <c r="AG178" s="72">
        <f>J178</f>
        <v>0</v>
      </c>
      <c r="AH178" s="72">
        <f>L178</f>
        <v>20</v>
      </c>
      <c r="AI178" s="73">
        <f>H178</f>
        <v>9.5238095238095237</v>
      </c>
      <c r="AJ178" s="73"/>
      <c r="AK178" s="76" t="e">
        <f>Q178</f>
        <v>#DIV/0!</v>
      </c>
      <c r="AL178" s="76" t="e">
        <f>S178</f>
        <v>#DIV/0!</v>
      </c>
      <c r="AM178" s="76" t="e">
        <f>O178</f>
        <v>#DIV/0!</v>
      </c>
      <c r="AN178" s="76"/>
      <c r="AO178" s="81" t="e">
        <f>X178</f>
        <v>#DIV/0!</v>
      </c>
      <c r="AP178" s="81" t="e">
        <f>Z178</f>
        <v>#DIV/0!</v>
      </c>
      <c r="AQ178" s="81" t="e">
        <f>V178</f>
        <v>#DIV/0!</v>
      </c>
      <c r="AR178" s="3"/>
      <c r="AS178" s="76">
        <f t="shared" si="174"/>
        <v>9.5238095238095237</v>
      </c>
      <c r="AT178" s="7"/>
      <c r="AU178" s="7"/>
      <c r="AV178" s="7"/>
      <c r="AW178" s="7"/>
      <c r="AX178" s="7"/>
      <c r="AY178" s="7"/>
      <c r="AZ178" s="7"/>
      <c r="BA178" s="7"/>
      <c r="BB178" s="7"/>
      <c r="BC178" s="7"/>
      <c r="BD178" s="3"/>
      <c r="BE178" s="3"/>
      <c r="BF178" s="3"/>
      <c r="BG178" s="3"/>
      <c r="BH178" s="3"/>
      <c r="BI178" s="3"/>
      <c r="BJ178" s="3"/>
      <c r="BK178" s="3"/>
      <c r="BL178" s="3"/>
      <c r="BM178" s="3"/>
      <c r="BN178" s="3"/>
      <c r="BO178" s="3"/>
      <c r="BP178" s="3"/>
      <c r="BQ178" s="3"/>
      <c r="BR178" s="3"/>
      <c r="BS178" s="3"/>
      <c r="BT178" s="3"/>
      <c r="BU178" s="3"/>
      <c r="BV178" s="3"/>
      <c r="BW178" s="3"/>
    </row>
    <row r="179" spans="1:75" x14ac:dyDescent="0.3">
      <c r="A179" s="8" t="s">
        <v>23</v>
      </c>
      <c r="B179" s="9" t="s">
        <v>24</v>
      </c>
      <c r="C179" s="7"/>
      <c r="D179" s="7"/>
      <c r="E179" s="7"/>
      <c r="F179" s="71"/>
      <c r="G179" s="51">
        <f>I179+K179</f>
        <v>0</v>
      </c>
      <c r="H179" s="52">
        <f>G179/$J$5*100</f>
        <v>0</v>
      </c>
      <c r="I179" s="53"/>
      <c r="J179" s="52">
        <f>I179/$J$6*100</f>
        <v>0</v>
      </c>
      <c r="K179" s="53"/>
      <c r="L179" s="52">
        <f>K179/$J$7*100</f>
        <v>0</v>
      </c>
      <c r="M179" s="23"/>
      <c r="N179" s="51">
        <f>P179+R179</f>
        <v>0</v>
      </c>
      <c r="O179" s="52" t="e">
        <f>N179/$Q$5*100</f>
        <v>#DIV/0!</v>
      </c>
      <c r="P179" s="53"/>
      <c r="Q179" s="52" t="e">
        <f>P179/$Q$6*100</f>
        <v>#DIV/0!</v>
      </c>
      <c r="R179" s="53"/>
      <c r="S179" s="52" t="e">
        <f>R179/$Q$7*100</f>
        <v>#DIV/0!</v>
      </c>
      <c r="T179" s="3"/>
      <c r="U179" s="51">
        <f>W179+Y179</f>
        <v>0</v>
      </c>
      <c r="V179" s="52" t="e">
        <f>U179/$X$5*100</f>
        <v>#DIV/0!</v>
      </c>
      <c r="W179" s="53"/>
      <c r="X179" s="52" t="e">
        <f>W179/$X$6*100</f>
        <v>#DIV/0!</v>
      </c>
      <c r="Y179" s="53"/>
      <c r="Z179" s="52" t="e">
        <f>Y179/$X$7*100</f>
        <v>#DIV/0!</v>
      </c>
      <c r="AA179" s="3"/>
      <c r="AB179" s="62">
        <f>G179+N179+U179</f>
        <v>0</v>
      </c>
      <c r="AC179" s="52">
        <f>AB179*100/$AC$5</f>
        <v>0</v>
      </c>
      <c r="AD179" s="3"/>
      <c r="AE179" s="3"/>
      <c r="AF179" s="9" t="str">
        <f t="shared" si="200"/>
        <v>S/R Sin Respuesta</v>
      </c>
      <c r="AG179" s="72">
        <f>J179</f>
        <v>0</v>
      </c>
      <c r="AH179" s="72">
        <f>L179</f>
        <v>0</v>
      </c>
      <c r="AI179" s="73">
        <f>H179</f>
        <v>0</v>
      </c>
      <c r="AJ179" s="73"/>
      <c r="AK179" s="76" t="e">
        <f>Q179</f>
        <v>#DIV/0!</v>
      </c>
      <c r="AL179" s="76" t="e">
        <f>S179</f>
        <v>#DIV/0!</v>
      </c>
      <c r="AM179" s="76" t="e">
        <f>O179</f>
        <v>#DIV/0!</v>
      </c>
      <c r="AN179" s="76"/>
      <c r="AO179" s="81" t="e">
        <f>X179</f>
        <v>#DIV/0!</v>
      </c>
      <c r="AP179" s="81" t="e">
        <f>Z179</f>
        <v>#DIV/0!</v>
      </c>
      <c r="AQ179" s="81" t="e">
        <f>V179</f>
        <v>#DIV/0!</v>
      </c>
      <c r="AR179" s="7"/>
      <c r="AS179" s="76">
        <f t="shared" si="174"/>
        <v>0</v>
      </c>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row>
    <row r="180" spans="1:75" x14ac:dyDescent="0.3">
      <c r="A180" s="70"/>
      <c r="B180" s="9"/>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6"/>
      <c r="AC180" s="41"/>
      <c r="AD180" s="3"/>
      <c r="AE180" s="3"/>
      <c r="AF180" s="3"/>
      <c r="AG180" s="3"/>
      <c r="AH180" s="3"/>
      <c r="AI180" s="3"/>
      <c r="AJ180" s="3"/>
      <c r="AK180" s="3"/>
      <c r="AL180" s="3"/>
      <c r="AM180" s="3"/>
      <c r="AN180" s="3"/>
      <c r="AO180" s="3"/>
      <c r="AP180" s="3"/>
      <c r="AQ180" s="3"/>
      <c r="AR180" s="3"/>
      <c r="AS180" s="76"/>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row>
    <row r="181" spans="1:75" x14ac:dyDescent="0.3">
      <c r="A181" s="70">
        <v>21</v>
      </c>
      <c r="B181" s="9" t="s">
        <v>136</v>
      </c>
      <c r="C181" s="7"/>
      <c r="D181" s="7"/>
      <c r="E181" s="7"/>
      <c r="F181" s="71"/>
      <c r="G181" s="51"/>
      <c r="H181" s="52"/>
      <c r="I181" s="53"/>
      <c r="J181" s="52"/>
      <c r="K181" s="53"/>
      <c r="L181" s="66"/>
      <c r="M181" s="23"/>
      <c r="N181" s="51"/>
      <c r="O181" s="52"/>
      <c r="P181" s="53"/>
      <c r="Q181" s="52"/>
      <c r="R181" s="53"/>
      <c r="S181" s="66"/>
      <c r="T181" s="3"/>
      <c r="U181" s="51"/>
      <c r="V181" s="52"/>
      <c r="W181" s="53"/>
      <c r="X181" s="52"/>
      <c r="Y181" s="53"/>
      <c r="Z181" s="66"/>
      <c r="AA181" s="3"/>
      <c r="AB181" s="62"/>
      <c r="AC181" s="52"/>
      <c r="AD181" s="3"/>
      <c r="AE181" s="3"/>
      <c r="AF181" s="88" t="str">
        <f>A181&amp;" "&amp;B181</f>
        <v>21 Expreso mi fe de las siguientes maneras: (V/R)</v>
      </c>
      <c r="AG181" s="3"/>
      <c r="AH181" s="3"/>
      <c r="AI181" s="3"/>
      <c r="AJ181" s="3"/>
      <c r="AK181" s="3"/>
      <c r="AL181" s="3"/>
      <c r="AM181" s="3"/>
      <c r="AN181" s="3"/>
      <c r="AO181" s="3"/>
      <c r="AP181" s="3"/>
      <c r="AQ181" s="3"/>
      <c r="AR181" s="3"/>
      <c r="AS181" s="76"/>
      <c r="AT181" s="3"/>
      <c r="AU181" s="3"/>
      <c r="AV181" s="3"/>
      <c r="AW181" s="3"/>
      <c r="AX181" s="3"/>
      <c r="AY181" s="3"/>
      <c r="AZ181" s="3"/>
      <c r="BA181" s="3"/>
      <c r="BB181" s="3"/>
      <c r="BC181" s="3"/>
      <c r="BD181" s="7"/>
      <c r="BE181" s="7"/>
      <c r="BF181" s="3"/>
      <c r="BG181" s="3"/>
      <c r="BH181" s="3"/>
      <c r="BI181" s="3"/>
      <c r="BJ181" s="3"/>
      <c r="BK181" s="3"/>
      <c r="BL181" s="3"/>
      <c r="BM181" s="3"/>
      <c r="BN181" s="3"/>
      <c r="BO181" s="3"/>
      <c r="BP181" s="3"/>
      <c r="BQ181" s="3"/>
      <c r="BR181" s="3"/>
      <c r="BS181" s="3"/>
      <c r="BT181" s="3"/>
      <c r="BU181" s="3"/>
      <c r="BV181" s="3"/>
      <c r="BW181" s="3"/>
    </row>
    <row r="182" spans="1:75" x14ac:dyDescent="0.3">
      <c r="A182" s="8" t="s">
        <v>17</v>
      </c>
      <c r="B182" s="9" t="s">
        <v>137</v>
      </c>
      <c r="C182" s="7"/>
      <c r="D182" s="7"/>
      <c r="E182" s="7"/>
      <c r="F182" s="71"/>
      <c r="G182" s="51">
        <f t="shared" ref="G182:G191" si="201">I182+K182</f>
        <v>11</v>
      </c>
      <c r="H182" s="52">
        <f t="shared" ref="H182:H191" si="202">G182/$J$5*100</f>
        <v>26.190476190476193</v>
      </c>
      <c r="I182" s="53">
        <f>COUNTIFS('00 Encuesta'!$B$2:$B$511,"*f)*",'00 Encuesta'!$C$2:$C$511,"*a)*",'00 Encuesta'!$E$2:$E$511,"*a)*",'00 Encuesta'!$X$2:$X$511,"*a)*")</f>
        <v>4</v>
      </c>
      <c r="J182" s="52">
        <f t="shared" ref="J182:J191" si="203">I182/$J$6*100</f>
        <v>18.181818181818183</v>
      </c>
      <c r="K182" s="53">
        <f>COUNTIFS('00 Encuesta'!$B$2:$B$511,"*f)*",'00 Encuesta'!$C$2:$C$511,"*a)*",'00 Encuesta'!$E$2:$E$511,"*b)*",'00 Encuesta'!$X$2:$X$511,"*a)*")</f>
        <v>7</v>
      </c>
      <c r="L182" s="52">
        <f t="shared" ref="L182:L191" si="204">K182/$J$7*100</f>
        <v>35</v>
      </c>
      <c r="M182" s="23"/>
      <c r="N182" s="51">
        <f t="shared" ref="N182:N191" si="205">P182+R182</f>
        <v>0</v>
      </c>
      <c r="O182" s="52" t="e">
        <f t="shared" ref="O182:O191" si="206">N182/$Q$5*100</f>
        <v>#DIV/0!</v>
      </c>
      <c r="P182" s="53">
        <f>COUNTIFS('00 Encuesta'!$B$2:$B$511,"*f)*",'00 Encuesta'!$C$2:$C$511,"*b)*",'00 Encuesta'!$E$2:$E$511,"*a)*",'00 Encuesta'!$X$2:$X$511,"*a)*")</f>
        <v>0</v>
      </c>
      <c r="Q182" s="52" t="e">
        <f t="shared" ref="Q182:Q191" si="207">P182/$Q$6*100</f>
        <v>#DIV/0!</v>
      </c>
      <c r="R182" s="53">
        <f>COUNTIFS('00 Encuesta'!$B$2:$B$511,"*f)*",'00 Encuesta'!$C$2:$C$511,"*b)*",'00 Encuesta'!$E$2:$E$511,"*b)*",'00 Encuesta'!$X$2:$X$511,"*a)*")</f>
        <v>0</v>
      </c>
      <c r="S182" s="52" t="e">
        <f t="shared" ref="S182:S191" si="208">R182/$Q$7*100</f>
        <v>#DIV/0!</v>
      </c>
      <c r="T182" s="3"/>
      <c r="U182" s="51">
        <f t="shared" ref="U182:U191" si="209">W182+Y182</f>
        <v>0</v>
      </c>
      <c r="V182" s="52" t="e">
        <f t="shared" ref="V182:V191" si="210">U182/$X$5*100</f>
        <v>#DIV/0!</v>
      </c>
      <c r="W182" s="53">
        <f>COUNTIFS('00 Encuesta'!$B$2:$B$511,"*f)*",'00 Encuesta'!$C$2:$C$511,"*c)*",'00 Encuesta'!$E$2:$E$511,"*a)*",'00 Encuesta'!$X$2:$X$511,"*a)*")</f>
        <v>0</v>
      </c>
      <c r="X182" s="52" t="e">
        <f t="shared" ref="X182:X191" si="211">W182/$X$6*100</f>
        <v>#DIV/0!</v>
      </c>
      <c r="Y182" s="53">
        <f>COUNTIFS('00 Encuesta'!$B$2:$B$511,"*f)*",'00 Encuesta'!$C$2:$C$511,"*c)*",'00 Encuesta'!$E$2:$E$511,"*b)*",'00 Encuesta'!$X$2:$X$511,"*a)*")</f>
        <v>0</v>
      </c>
      <c r="Z182" s="52" t="e">
        <f t="shared" ref="Z182:Z191" si="212">Y182/$X$7*100</f>
        <v>#DIV/0!</v>
      </c>
      <c r="AA182" s="3"/>
      <c r="AB182" s="62">
        <f t="shared" ref="AB182:AB191" si="213">G182+N182+U182</f>
        <v>11</v>
      </c>
      <c r="AC182" s="52">
        <f t="shared" ref="AC182:AC191" si="214">AB182*100/$AC$5</f>
        <v>26.19047619047619</v>
      </c>
      <c r="AD182" s="3"/>
      <c r="AE182" s="3"/>
      <c r="AF182" s="9" t="str">
        <f t="shared" ref="AF182:AF191" si="215">A182&amp;" "&amp;B182</f>
        <v>a) Suelo llevar una cruz o algún objeto religioso</v>
      </c>
      <c r="AG182" s="72">
        <f t="shared" ref="AG182:AG191" si="216">J182</f>
        <v>18.181818181818183</v>
      </c>
      <c r="AH182" s="72">
        <f t="shared" ref="AH182:AH191" si="217">L182</f>
        <v>35</v>
      </c>
      <c r="AI182" s="73">
        <f t="shared" ref="AI182:AI191" si="218">H182</f>
        <v>26.190476190476193</v>
      </c>
      <c r="AJ182" s="73"/>
      <c r="AK182" s="76" t="e">
        <f t="shared" ref="AK182:AK191" si="219">Q182</f>
        <v>#DIV/0!</v>
      </c>
      <c r="AL182" s="76" t="e">
        <f t="shared" ref="AL182:AL191" si="220">S182</f>
        <v>#DIV/0!</v>
      </c>
      <c r="AM182" s="76" t="e">
        <f t="shared" ref="AM182:AM191" si="221">O182</f>
        <v>#DIV/0!</v>
      </c>
      <c r="AN182" s="76"/>
      <c r="AO182" s="81" t="e">
        <f t="shared" ref="AO182:AO191" si="222">X182</f>
        <v>#DIV/0!</v>
      </c>
      <c r="AP182" s="81" t="e">
        <f t="shared" ref="AP182:AP191" si="223">Z182</f>
        <v>#DIV/0!</v>
      </c>
      <c r="AQ182" s="81" t="e">
        <f t="shared" ref="AQ182:AQ191" si="224">V182</f>
        <v>#DIV/0!</v>
      </c>
      <c r="AR182" s="3"/>
      <c r="AS182" s="76">
        <f t="shared" si="174"/>
        <v>26.19047619047619</v>
      </c>
      <c r="AT182" s="3"/>
      <c r="AU182" s="3"/>
      <c r="AV182" s="3"/>
      <c r="AW182" s="3"/>
      <c r="AX182" s="3"/>
      <c r="AY182" s="3"/>
      <c r="AZ182" s="3"/>
      <c r="BA182" s="3"/>
      <c r="BB182" s="3"/>
      <c r="BC182" s="3"/>
      <c r="BD182" s="7"/>
      <c r="BE182" s="7"/>
      <c r="BF182" s="3"/>
      <c r="BG182" s="3"/>
      <c r="BH182" s="3"/>
      <c r="BI182" s="3"/>
      <c r="BJ182" s="3"/>
      <c r="BK182" s="3"/>
      <c r="BL182" s="3"/>
      <c r="BM182" s="3"/>
      <c r="BN182" s="3"/>
      <c r="BO182" s="3"/>
      <c r="BP182" s="3"/>
      <c r="BQ182" s="3"/>
      <c r="BR182" s="3"/>
      <c r="BS182" s="3"/>
      <c r="BT182" s="3"/>
      <c r="BU182" s="3"/>
      <c r="BV182" s="3"/>
      <c r="BW182" s="3"/>
    </row>
    <row r="183" spans="1:75" x14ac:dyDescent="0.3">
      <c r="A183" s="8" t="s">
        <v>18</v>
      </c>
      <c r="B183" s="9" t="s">
        <v>138</v>
      </c>
      <c r="C183" s="7"/>
      <c r="D183" s="7"/>
      <c r="E183" s="7"/>
      <c r="F183" s="71"/>
      <c r="G183" s="51">
        <f t="shared" si="201"/>
        <v>14</v>
      </c>
      <c r="H183" s="52">
        <f t="shared" si="202"/>
        <v>33.333333333333329</v>
      </c>
      <c r="I183" s="53">
        <f>COUNTIFS('00 Encuesta'!$B$2:$B$511,"*f)*",'00 Encuesta'!$C$2:$C$511,"*a)*",'00 Encuesta'!$E$2:$E$511,"*a)*",'00 Encuesta'!$X$2:$X$511,"*b)*")</f>
        <v>5</v>
      </c>
      <c r="J183" s="52">
        <f t="shared" si="203"/>
        <v>22.727272727272727</v>
      </c>
      <c r="K183" s="53">
        <f>COUNTIFS('00 Encuesta'!$B$2:$B$511,"*f)*",'00 Encuesta'!$C$2:$C$511,"*a)*",'00 Encuesta'!$E$2:$E$511,"*b)*",'00 Encuesta'!$X$2:$X$511,"*b)*")</f>
        <v>9</v>
      </c>
      <c r="L183" s="52">
        <f t="shared" si="204"/>
        <v>45</v>
      </c>
      <c r="M183" s="23"/>
      <c r="N183" s="51">
        <f t="shared" si="205"/>
        <v>0</v>
      </c>
      <c r="O183" s="52" t="e">
        <f t="shared" si="206"/>
        <v>#DIV/0!</v>
      </c>
      <c r="P183" s="53">
        <f>COUNTIFS('00 Encuesta'!$B$2:$B$511,"*f)*",'00 Encuesta'!$C$2:$C$511,"*b)*",'00 Encuesta'!$E$2:$E$511,"*a)*",'00 Encuesta'!$X$2:$X$511,"*b)*")</f>
        <v>0</v>
      </c>
      <c r="Q183" s="52" t="e">
        <f t="shared" si="207"/>
        <v>#DIV/0!</v>
      </c>
      <c r="R183" s="53">
        <f>COUNTIFS('00 Encuesta'!$B$2:$B$511,"*f)*",'00 Encuesta'!$C$2:$C$511,"*b)*",'00 Encuesta'!$E$2:$E$511,"*b)*",'00 Encuesta'!$X$2:$X$511,"*b)*")</f>
        <v>0</v>
      </c>
      <c r="S183" s="52" t="e">
        <f t="shared" si="208"/>
        <v>#DIV/0!</v>
      </c>
      <c r="T183" s="3"/>
      <c r="U183" s="51">
        <f t="shared" si="209"/>
        <v>0</v>
      </c>
      <c r="V183" s="52" t="e">
        <f t="shared" si="210"/>
        <v>#DIV/0!</v>
      </c>
      <c r="W183" s="53">
        <f>COUNTIFS('00 Encuesta'!$B$2:$B$511,"*f)*",'00 Encuesta'!$C$2:$C$511,"*c)*",'00 Encuesta'!$E$2:$E$511,"*a)*",'00 Encuesta'!$X$2:$X$511,"*b)*")</f>
        <v>0</v>
      </c>
      <c r="X183" s="52" t="e">
        <f t="shared" si="211"/>
        <v>#DIV/0!</v>
      </c>
      <c r="Y183" s="53">
        <f>COUNTIFS('00 Encuesta'!$B$2:$B$511,"*f)*",'00 Encuesta'!$C$2:$C$511,"*c)*",'00 Encuesta'!$E$2:$E$511,"*b)*",'00 Encuesta'!$X$2:$X$511,"*b)*")</f>
        <v>0</v>
      </c>
      <c r="Z183" s="52" t="e">
        <f t="shared" si="212"/>
        <v>#DIV/0!</v>
      </c>
      <c r="AA183" s="3"/>
      <c r="AB183" s="62">
        <f t="shared" si="213"/>
        <v>14</v>
      </c>
      <c r="AC183" s="52">
        <f t="shared" si="214"/>
        <v>33.333333333333336</v>
      </c>
      <c r="AD183" s="3"/>
      <c r="AE183" s="3"/>
      <c r="AF183" s="9" t="str">
        <f t="shared" si="215"/>
        <v>b) Suelo bendecir los alimentos antes de comer</v>
      </c>
      <c r="AG183" s="72">
        <f t="shared" si="216"/>
        <v>22.727272727272727</v>
      </c>
      <c r="AH183" s="72">
        <f t="shared" si="217"/>
        <v>45</v>
      </c>
      <c r="AI183" s="73">
        <f t="shared" si="218"/>
        <v>33.333333333333329</v>
      </c>
      <c r="AJ183" s="73"/>
      <c r="AK183" s="76" t="e">
        <f t="shared" si="219"/>
        <v>#DIV/0!</v>
      </c>
      <c r="AL183" s="76" t="e">
        <f t="shared" si="220"/>
        <v>#DIV/0!</v>
      </c>
      <c r="AM183" s="76" t="e">
        <f t="shared" si="221"/>
        <v>#DIV/0!</v>
      </c>
      <c r="AN183" s="76"/>
      <c r="AO183" s="81" t="e">
        <f t="shared" si="222"/>
        <v>#DIV/0!</v>
      </c>
      <c r="AP183" s="81" t="e">
        <f t="shared" si="223"/>
        <v>#DIV/0!</v>
      </c>
      <c r="AQ183" s="81" t="e">
        <f t="shared" si="224"/>
        <v>#DIV/0!</v>
      </c>
      <c r="AR183" s="3"/>
      <c r="AS183" s="76">
        <f t="shared" si="174"/>
        <v>33.333333333333336</v>
      </c>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row>
    <row r="184" spans="1:75" x14ac:dyDescent="0.3">
      <c r="A184" s="8" t="s">
        <v>20</v>
      </c>
      <c r="B184" s="9" t="s">
        <v>139</v>
      </c>
      <c r="C184" s="7"/>
      <c r="D184" s="7"/>
      <c r="E184" s="7"/>
      <c r="F184" s="71"/>
      <c r="G184" s="51">
        <f t="shared" si="201"/>
        <v>19</v>
      </c>
      <c r="H184" s="52">
        <f t="shared" si="202"/>
        <v>45.238095238095241</v>
      </c>
      <c r="I184" s="53">
        <f>COUNTIFS('00 Encuesta'!$B$2:$B$511,"*f)*",'00 Encuesta'!$C$2:$C$511,"*a)*",'00 Encuesta'!$E$2:$E$511,"*a)*",'00 Encuesta'!$X$2:$X$511,"*c)*")</f>
        <v>10</v>
      </c>
      <c r="J184" s="52">
        <f t="shared" si="203"/>
        <v>45.454545454545453</v>
      </c>
      <c r="K184" s="53">
        <f>COUNTIFS('00 Encuesta'!$B$2:$B$511,"*f)*",'00 Encuesta'!$C$2:$C$511,"*a)*",'00 Encuesta'!$E$2:$E$511,"*b)*",'00 Encuesta'!$X$2:$X$511,"*c)*")</f>
        <v>9</v>
      </c>
      <c r="L184" s="52">
        <f t="shared" si="204"/>
        <v>45</v>
      </c>
      <c r="M184" s="23"/>
      <c r="N184" s="51">
        <f t="shared" si="205"/>
        <v>0</v>
      </c>
      <c r="O184" s="52" t="e">
        <f t="shared" si="206"/>
        <v>#DIV/0!</v>
      </c>
      <c r="P184" s="53">
        <f>COUNTIFS('00 Encuesta'!$B$2:$B$511,"*f)*",'00 Encuesta'!$C$2:$C$511,"*b)*",'00 Encuesta'!$E$2:$E$511,"*a)*",'00 Encuesta'!$X$2:$X$511,"*c)*")</f>
        <v>0</v>
      </c>
      <c r="Q184" s="52" t="e">
        <f t="shared" si="207"/>
        <v>#DIV/0!</v>
      </c>
      <c r="R184" s="53">
        <f>COUNTIFS('00 Encuesta'!$B$2:$B$511,"*f)*",'00 Encuesta'!$C$2:$C$511,"*b)*",'00 Encuesta'!$E$2:$E$511,"*b)*",'00 Encuesta'!$X$2:$X$511,"*c)*")</f>
        <v>0</v>
      </c>
      <c r="S184" s="52" t="e">
        <f t="shared" si="208"/>
        <v>#DIV/0!</v>
      </c>
      <c r="T184" s="3"/>
      <c r="U184" s="51">
        <f t="shared" si="209"/>
        <v>0</v>
      </c>
      <c r="V184" s="52" t="e">
        <f t="shared" si="210"/>
        <v>#DIV/0!</v>
      </c>
      <c r="W184" s="53">
        <f>COUNTIFS('00 Encuesta'!$B$2:$B$511,"*f)*",'00 Encuesta'!$C$2:$C$511,"*c)*",'00 Encuesta'!$E$2:$E$511,"*a)*",'00 Encuesta'!$X$2:$X$511,"*c)*")</f>
        <v>0</v>
      </c>
      <c r="X184" s="52" t="e">
        <f t="shared" si="211"/>
        <v>#DIV/0!</v>
      </c>
      <c r="Y184" s="53">
        <f>COUNTIFS('00 Encuesta'!$B$2:$B$511,"*f)*",'00 Encuesta'!$C$2:$C$511,"*c)*",'00 Encuesta'!$E$2:$E$511,"*b)*",'00 Encuesta'!$X$2:$X$511,"*c)*")</f>
        <v>0</v>
      </c>
      <c r="Z184" s="52" t="e">
        <f t="shared" si="212"/>
        <v>#DIV/0!</v>
      </c>
      <c r="AA184" s="3"/>
      <c r="AB184" s="62">
        <f t="shared" si="213"/>
        <v>19</v>
      </c>
      <c r="AC184" s="52">
        <f t="shared" si="214"/>
        <v>45.238095238095241</v>
      </c>
      <c r="AD184" s="3"/>
      <c r="AE184" s="3"/>
      <c r="AF184" s="9" t="str">
        <f t="shared" si="215"/>
        <v>c) Suelo ir los domingos y otras fechas especiales a la iglesia</v>
      </c>
      <c r="AG184" s="72">
        <f t="shared" si="216"/>
        <v>45.454545454545453</v>
      </c>
      <c r="AH184" s="72">
        <f t="shared" si="217"/>
        <v>45</v>
      </c>
      <c r="AI184" s="73">
        <f t="shared" si="218"/>
        <v>45.238095238095241</v>
      </c>
      <c r="AJ184" s="73"/>
      <c r="AK184" s="76" t="e">
        <f t="shared" si="219"/>
        <v>#DIV/0!</v>
      </c>
      <c r="AL184" s="76" t="e">
        <f t="shared" si="220"/>
        <v>#DIV/0!</v>
      </c>
      <c r="AM184" s="76" t="e">
        <f t="shared" si="221"/>
        <v>#DIV/0!</v>
      </c>
      <c r="AN184" s="76"/>
      <c r="AO184" s="81" t="e">
        <f t="shared" si="222"/>
        <v>#DIV/0!</v>
      </c>
      <c r="AP184" s="81" t="e">
        <f t="shared" si="223"/>
        <v>#DIV/0!</v>
      </c>
      <c r="AQ184" s="81" t="e">
        <f t="shared" si="224"/>
        <v>#DIV/0!</v>
      </c>
      <c r="AR184" s="3"/>
      <c r="AS184" s="76">
        <f t="shared" si="174"/>
        <v>45.238095238095241</v>
      </c>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row>
    <row r="185" spans="1:75" x14ac:dyDescent="0.3">
      <c r="A185" s="8" t="s">
        <v>21</v>
      </c>
      <c r="B185" s="9" t="s">
        <v>140</v>
      </c>
      <c r="C185" s="7"/>
      <c r="D185" s="7"/>
      <c r="E185" s="7"/>
      <c r="F185" s="71"/>
      <c r="G185" s="51">
        <f t="shared" si="201"/>
        <v>15</v>
      </c>
      <c r="H185" s="52">
        <f t="shared" si="202"/>
        <v>35.714285714285715</v>
      </c>
      <c r="I185" s="53">
        <f>COUNTIFS('00 Encuesta'!$B$2:$B$511,"*f)*",'00 Encuesta'!$C$2:$C$511,"*a)*",'00 Encuesta'!$E$2:$E$511,"*a)*",'00 Encuesta'!$X$2:$X$511,"*d)*")</f>
        <v>5</v>
      </c>
      <c r="J185" s="52">
        <f t="shared" si="203"/>
        <v>22.727272727272727</v>
      </c>
      <c r="K185" s="53">
        <f>COUNTIFS('00 Encuesta'!$B$2:$B$511,"*f)*",'00 Encuesta'!$C$2:$C$511,"*a)*",'00 Encuesta'!$E$2:$E$511,"*b)*",'00 Encuesta'!$X$2:$X$511,"*d)*")</f>
        <v>10</v>
      </c>
      <c r="L185" s="52">
        <f t="shared" si="204"/>
        <v>50</v>
      </c>
      <c r="M185" s="23"/>
      <c r="N185" s="51">
        <f t="shared" si="205"/>
        <v>0</v>
      </c>
      <c r="O185" s="52" t="e">
        <f t="shared" si="206"/>
        <v>#DIV/0!</v>
      </c>
      <c r="P185" s="53">
        <f>COUNTIFS('00 Encuesta'!$B$2:$B$511,"*f)*",'00 Encuesta'!$C$2:$C$511,"*b)*",'00 Encuesta'!$E$2:$E$511,"*a)*",'00 Encuesta'!$X$2:$X$511,"*d)*")</f>
        <v>0</v>
      </c>
      <c r="Q185" s="52" t="e">
        <f t="shared" si="207"/>
        <v>#DIV/0!</v>
      </c>
      <c r="R185" s="53">
        <f>COUNTIFS('00 Encuesta'!$B$2:$B$511,"*f)*",'00 Encuesta'!$C$2:$C$511,"*b)*",'00 Encuesta'!$E$2:$E$511,"*b)*",'00 Encuesta'!$X$2:$X$511,"*d)*")</f>
        <v>0</v>
      </c>
      <c r="S185" s="52" t="e">
        <f t="shared" si="208"/>
        <v>#DIV/0!</v>
      </c>
      <c r="T185" s="3"/>
      <c r="U185" s="51">
        <f t="shared" si="209"/>
        <v>0</v>
      </c>
      <c r="V185" s="52" t="e">
        <f t="shared" si="210"/>
        <v>#DIV/0!</v>
      </c>
      <c r="W185" s="53">
        <f>COUNTIFS('00 Encuesta'!$B$2:$B$511,"*f)*",'00 Encuesta'!$C$2:$C$511,"*c)*",'00 Encuesta'!$E$2:$E$511,"*a)*",'00 Encuesta'!$X$2:$X$511,"*d)*")</f>
        <v>0</v>
      </c>
      <c r="X185" s="52" t="e">
        <f t="shared" si="211"/>
        <v>#DIV/0!</v>
      </c>
      <c r="Y185" s="53">
        <f>COUNTIFS('00 Encuesta'!$B$2:$B$511,"*f)*",'00 Encuesta'!$C$2:$C$511,"*c)*",'00 Encuesta'!$E$2:$E$511,"*b)*",'00 Encuesta'!$X$2:$X$511,"*d)*")</f>
        <v>0</v>
      </c>
      <c r="Z185" s="52" t="e">
        <f t="shared" si="212"/>
        <v>#DIV/0!</v>
      </c>
      <c r="AA185" s="3"/>
      <c r="AB185" s="62">
        <f t="shared" si="213"/>
        <v>15</v>
      </c>
      <c r="AC185" s="52">
        <f t="shared" si="214"/>
        <v>35.714285714285715</v>
      </c>
      <c r="AD185" s="3"/>
      <c r="AE185" s="3"/>
      <c r="AF185" s="9" t="str">
        <f t="shared" si="215"/>
        <v>d) Suelo orar todos los días</v>
      </c>
      <c r="AG185" s="72">
        <f t="shared" si="216"/>
        <v>22.727272727272727</v>
      </c>
      <c r="AH185" s="72">
        <f t="shared" si="217"/>
        <v>50</v>
      </c>
      <c r="AI185" s="73">
        <f t="shared" si="218"/>
        <v>35.714285714285715</v>
      </c>
      <c r="AJ185" s="73"/>
      <c r="AK185" s="76" t="e">
        <f t="shared" si="219"/>
        <v>#DIV/0!</v>
      </c>
      <c r="AL185" s="76" t="e">
        <f t="shared" si="220"/>
        <v>#DIV/0!</v>
      </c>
      <c r="AM185" s="76" t="e">
        <f t="shared" si="221"/>
        <v>#DIV/0!</v>
      </c>
      <c r="AN185" s="76"/>
      <c r="AO185" s="81" t="e">
        <f t="shared" si="222"/>
        <v>#DIV/0!</v>
      </c>
      <c r="AP185" s="81" t="e">
        <f t="shared" si="223"/>
        <v>#DIV/0!</v>
      </c>
      <c r="AQ185" s="81" t="e">
        <f t="shared" si="224"/>
        <v>#DIV/0!</v>
      </c>
      <c r="AR185" s="3"/>
      <c r="AS185" s="76">
        <f t="shared" si="174"/>
        <v>35.714285714285715</v>
      </c>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row>
    <row r="186" spans="1:75" x14ac:dyDescent="0.3">
      <c r="A186" s="1" t="s">
        <v>22</v>
      </c>
      <c r="B186" s="2" t="s">
        <v>141</v>
      </c>
      <c r="C186" s="3"/>
      <c r="D186" s="7"/>
      <c r="E186" s="7"/>
      <c r="F186" s="71"/>
      <c r="G186" s="51">
        <f t="shared" si="201"/>
        <v>24</v>
      </c>
      <c r="H186" s="52">
        <f t="shared" si="202"/>
        <v>57.142857142857139</v>
      </c>
      <c r="I186" s="53">
        <f>COUNTIFS('00 Encuesta'!$B$2:$B$511,"*f)*",'00 Encuesta'!$C$2:$C$511,"*a)*",'00 Encuesta'!$E$2:$E$511,"*a)*",'00 Encuesta'!$X$2:$X$511,"*e)*")</f>
        <v>13</v>
      </c>
      <c r="J186" s="52">
        <f t="shared" si="203"/>
        <v>59.090909090909093</v>
      </c>
      <c r="K186" s="53">
        <f>COUNTIFS('00 Encuesta'!$B$2:$B$511,"*f)*",'00 Encuesta'!$C$2:$C$511,"*a)*",'00 Encuesta'!$E$2:$E$511,"*b)*",'00 Encuesta'!$X$2:$X$511,"*e)*")</f>
        <v>11</v>
      </c>
      <c r="L186" s="52">
        <f t="shared" si="204"/>
        <v>55.000000000000007</v>
      </c>
      <c r="M186" s="23"/>
      <c r="N186" s="51">
        <f t="shared" si="205"/>
        <v>0</v>
      </c>
      <c r="O186" s="52" t="e">
        <f t="shared" si="206"/>
        <v>#DIV/0!</v>
      </c>
      <c r="P186" s="53">
        <f>COUNTIFS('00 Encuesta'!$B$2:$B$511,"*f)*",'00 Encuesta'!$C$2:$C$511,"*b)*",'00 Encuesta'!$E$2:$E$511,"*a)*",'00 Encuesta'!$X$2:$X$511,"*e)*")</f>
        <v>0</v>
      </c>
      <c r="Q186" s="52" t="e">
        <f t="shared" si="207"/>
        <v>#DIV/0!</v>
      </c>
      <c r="R186" s="53">
        <f>COUNTIFS('00 Encuesta'!$B$2:$B$511,"*f)*",'00 Encuesta'!$C$2:$C$511,"*b)*",'00 Encuesta'!$E$2:$E$511,"*b)*",'00 Encuesta'!$X$2:$X$511,"*e)*")</f>
        <v>0</v>
      </c>
      <c r="S186" s="52" t="e">
        <f t="shared" si="208"/>
        <v>#DIV/0!</v>
      </c>
      <c r="T186" s="3"/>
      <c r="U186" s="51">
        <f t="shared" si="209"/>
        <v>0</v>
      </c>
      <c r="V186" s="52" t="e">
        <f t="shared" si="210"/>
        <v>#DIV/0!</v>
      </c>
      <c r="W186" s="53">
        <f>COUNTIFS('00 Encuesta'!$B$2:$B$511,"*f)*",'00 Encuesta'!$C$2:$C$511,"*c)*",'00 Encuesta'!$E$2:$E$511,"*a)*",'00 Encuesta'!$X$2:$X$511,"*e)*")</f>
        <v>0</v>
      </c>
      <c r="X186" s="52" t="e">
        <f t="shared" si="211"/>
        <v>#DIV/0!</v>
      </c>
      <c r="Y186" s="53">
        <f>COUNTIFS('00 Encuesta'!$B$2:$B$511,"*f)*",'00 Encuesta'!$C$2:$C$511,"*c)*",'00 Encuesta'!$E$2:$E$511,"*b)*",'00 Encuesta'!$X$2:$X$511,"*e)*")</f>
        <v>0</v>
      </c>
      <c r="Z186" s="52" t="e">
        <f t="shared" si="212"/>
        <v>#DIV/0!</v>
      </c>
      <c r="AA186" s="3"/>
      <c r="AB186" s="62">
        <f t="shared" si="213"/>
        <v>24</v>
      </c>
      <c r="AC186" s="52">
        <f t="shared" si="214"/>
        <v>57.142857142857146</v>
      </c>
      <c r="AD186" s="7"/>
      <c r="AE186" s="7"/>
      <c r="AF186" s="9" t="str">
        <f t="shared" si="215"/>
        <v>e) Voy a misa en las fechas de mis familiares difuntos</v>
      </c>
      <c r="AG186" s="72">
        <f t="shared" si="216"/>
        <v>59.090909090909093</v>
      </c>
      <c r="AH186" s="72">
        <f t="shared" si="217"/>
        <v>55.000000000000007</v>
      </c>
      <c r="AI186" s="73">
        <f t="shared" si="218"/>
        <v>57.142857142857139</v>
      </c>
      <c r="AJ186" s="73"/>
      <c r="AK186" s="76" t="e">
        <f t="shared" si="219"/>
        <v>#DIV/0!</v>
      </c>
      <c r="AL186" s="76" t="e">
        <f t="shared" si="220"/>
        <v>#DIV/0!</v>
      </c>
      <c r="AM186" s="76" t="e">
        <f t="shared" si="221"/>
        <v>#DIV/0!</v>
      </c>
      <c r="AN186" s="76"/>
      <c r="AO186" s="81" t="e">
        <f t="shared" si="222"/>
        <v>#DIV/0!</v>
      </c>
      <c r="AP186" s="81" t="e">
        <f t="shared" si="223"/>
        <v>#DIV/0!</v>
      </c>
      <c r="AQ186" s="81" t="e">
        <f t="shared" si="224"/>
        <v>#DIV/0!</v>
      </c>
      <c r="AR186" s="3"/>
      <c r="AS186" s="76">
        <f t="shared" si="174"/>
        <v>57.142857142857146</v>
      </c>
      <c r="AT186" s="7"/>
      <c r="AU186" s="7"/>
      <c r="AV186" s="7"/>
      <c r="AW186" s="7"/>
      <c r="AX186" s="7"/>
      <c r="AY186" s="7"/>
      <c r="AZ186" s="7"/>
      <c r="BA186" s="7"/>
      <c r="BB186" s="7"/>
      <c r="BC186" s="7"/>
      <c r="BD186" s="3"/>
      <c r="BE186" s="3"/>
      <c r="BF186" s="3"/>
      <c r="BG186" s="3"/>
      <c r="BH186" s="3"/>
      <c r="BI186" s="3"/>
      <c r="BJ186" s="3"/>
      <c r="BK186" s="3"/>
      <c r="BL186" s="3"/>
      <c r="BM186" s="3"/>
      <c r="BN186" s="3"/>
      <c r="BO186" s="3"/>
      <c r="BP186" s="3"/>
      <c r="BQ186" s="3"/>
      <c r="BR186" s="3"/>
      <c r="BS186" s="3"/>
      <c r="BT186" s="3"/>
      <c r="BU186" s="3"/>
      <c r="BV186" s="3"/>
      <c r="BW186" s="3"/>
    </row>
    <row r="187" spans="1:75" x14ac:dyDescent="0.3">
      <c r="A187" s="1" t="s">
        <v>45</v>
      </c>
      <c r="B187" s="2" t="s">
        <v>142</v>
      </c>
      <c r="C187" s="3"/>
      <c r="D187" s="7"/>
      <c r="E187" s="7"/>
      <c r="F187" s="71"/>
      <c r="G187" s="51">
        <f t="shared" si="201"/>
        <v>20</v>
      </c>
      <c r="H187" s="52">
        <f t="shared" si="202"/>
        <v>47.619047619047613</v>
      </c>
      <c r="I187" s="53">
        <f>COUNTIFS('00 Encuesta'!$B$2:$B$511,"*f)*",'00 Encuesta'!$C$2:$C$511,"*a)*",'00 Encuesta'!$E$2:$E$511,"*a)*",'00 Encuesta'!$X$2:$X$511,"*f)*")</f>
        <v>9</v>
      </c>
      <c r="J187" s="52">
        <f t="shared" si="203"/>
        <v>40.909090909090914</v>
      </c>
      <c r="K187" s="53">
        <f>COUNTIFS('00 Encuesta'!$B$2:$B$511,"*f)*",'00 Encuesta'!$C$2:$C$511,"*a)*",'00 Encuesta'!$E$2:$E$511,"*b)*",'00 Encuesta'!$X$2:$X$511,"*f)*")</f>
        <v>11</v>
      </c>
      <c r="L187" s="52">
        <f t="shared" si="204"/>
        <v>55.000000000000007</v>
      </c>
      <c r="M187" s="23"/>
      <c r="N187" s="51">
        <f t="shared" si="205"/>
        <v>0</v>
      </c>
      <c r="O187" s="52" t="e">
        <f t="shared" si="206"/>
        <v>#DIV/0!</v>
      </c>
      <c r="P187" s="53">
        <f>COUNTIFS('00 Encuesta'!$B$2:$B$511,"*f)*",'00 Encuesta'!$C$2:$C$511,"*b)*",'00 Encuesta'!$E$2:$E$511,"*a)*",'00 Encuesta'!$X$2:$X$511,"*f)*")</f>
        <v>0</v>
      </c>
      <c r="Q187" s="52" t="e">
        <f t="shared" si="207"/>
        <v>#DIV/0!</v>
      </c>
      <c r="R187" s="53">
        <f>COUNTIFS('00 Encuesta'!$B$2:$B$511,"*f)*",'00 Encuesta'!$C$2:$C$511,"*b)*",'00 Encuesta'!$E$2:$E$511,"*b)*",'00 Encuesta'!$X$2:$X$511,"*f)*")</f>
        <v>0</v>
      </c>
      <c r="S187" s="52" t="e">
        <f t="shared" si="208"/>
        <v>#DIV/0!</v>
      </c>
      <c r="T187" s="3"/>
      <c r="U187" s="51">
        <f t="shared" si="209"/>
        <v>0</v>
      </c>
      <c r="V187" s="52" t="e">
        <f t="shared" si="210"/>
        <v>#DIV/0!</v>
      </c>
      <c r="W187" s="53">
        <f>COUNTIFS('00 Encuesta'!$B$2:$B$511,"*f)*",'00 Encuesta'!$C$2:$C$511,"*c)*",'00 Encuesta'!$E$2:$E$511,"*a)*",'00 Encuesta'!$X$2:$X$511,"*f)*")</f>
        <v>0</v>
      </c>
      <c r="X187" s="52" t="e">
        <f t="shared" si="211"/>
        <v>#DIV/0!</v>
      </c>
      <c r="Y187" s="53">
        <f>COUNTIFS('00 Encuesta'!$B$2:$B$511,"*f)*",'00 Encuesta'!$C$2:$C$511,"*c)*",'00 Encuesta'!$E$2:$E$511,"*b)*",'00 Encuesta'!$X$2:$X$511,"*f)*")</f>
        <v>0</v>
      </c>
      <c r="Z187" s="52" t="e">
        <f t="shared" si="212"/>
        <v>#DIV/0!</v>
      </c>
      <c r="AA187" s="3"/>
      <c r="AB187" s="62">
        <f t="shared" si="213"/>
        <v>20</v>
      </c>
      <c r="AC187" s="52">
        <f t="shared" si="214"/>
        <v>47.61904761904762</v>
      </c>
      <c r="AD187" s="7"/>
      <c r="AE187" s="7"/>
      <c r="AF187" s="9" t="str">
        <f t="shared" si="215"/>
        <v>f) En alguna ocasión he rezado el rosario</v>
      </c>
      <c r="AG187" s="72">
        <f t="shared" si="216"/>
        <v>40.909090909090914</v>
      </c>
      <c r="AH187" s="72">
        <f t="shared" si="217"/>
        <v>55.000000000000007</v>
      </c>
      <c r="AI187" s="73">
        <f t="shared" si="218"/>
        <v>47.619047619047613</v>
      </c>
      <c r="AJ187" s="73"/>
      <c r="AK187" s="76" t="e">
        <f t="shared" si="219"/>
        <v>#DIV/0!</v>
      </c>
      <c r="AL187" s="76" t="e">
        <f t="shared" si="220"/>
        <v>#DIV/0!</v>
      </c>
      <c r="AM187" s="76" t="e">
        <f t="shared" si="221"/>
        <v>#DIV/0!</v>
      </c>
      <c r="AN187" s="76"/>
      <c r="AO187" s="81" t="e">
        <f t="shared" si="222"/>
        <v>#DIV/0!</v>
      </c>
      <c r="AP187" s="81" t="e">
        <f t="shared" si="223"/>
        <v>#DIV/0!</v>
      </c>
      <c r="AQ187" s="81" t="e">
        <f t="shared" si="224"/>
        <v>#DIV/0!</v>
      </c>
      <c r="AR187" s="7"/>
      <c r="AS187" s="76">
        <f t="shared" si="174"/>
        <v>47.61904761904762</v>
      </c>
      <c r="AT187" s="7"/>
      <c r="AU187" s="7"/>
      <c r="AV187" s="7"/>
      <c r="AW187" s="7"/>
      <c r="AX187" s="7"/>
      <c r="AY187" s="7"/>
      <c r="AZ187" s="7"/>
      <c r="BA187" s="7"/>
      <c r="BB187" s="7"/>
      <c r="BC187" s="7"/>
      <c r="BD187" s="3"/>
      <c r="BE187" s="3"/>
      <c r="BF187" s="3"/>
      <c r="BG187" s="3"/>
      <c r="BH187" s="3"/>
      <c r="BI187" s="3"/>
      <c r="BJ187" s="3"/>
      <c r="BK187" s="3"/>
      <c r="BL187" s="3"/>
      <c r="BM187" s="3"/>
      <c r="BN187" s="3"/>
      <c r="BO187" s="3"/>
      <c r="BP187" s="3"/>
      <c r="BQ187" s="3"/>
      <c r="BR187" s="3"/>
      <c r="BS187" s="3"/>
      <c r="BT187" s="3"/>
      <c r="BU187" s="3"/>
      <c r="BV187" s="3"/>
      <c r="BW187" s="3"/>
    </row>
    <row r="188" spans="1:75" x14ac:dyDescent="0.3">
      <c r="A188" s="8" t="s">
        <v>61</v>
      </c>
      <c r="B188" s="9" t="s">
        <v>143</v>
      </c>
      <c r="C188" s="7"/>
      <c r="D188" s="7"/>
      <c r="E188" s="7"/>
      <c r="F188" s="71"/>
      <c r="G188" s="51">
        <f t="shared" si="201"/>
        <v>18</v>
      </c>
      <c r="H188" s="52">
        <f t="shared" si="202"/>
        <v>42.857142857142854</v>
      </c>
      <c r="I188" s="53">
        <f>COUNTIFS('00 Encuesta'!$B$2:$B$511,"*f)*",'00 Encuesta'!$C$2:$C$511,"*a)*",'00 Encuesta'!$E$2:$E$511,"*a)*",'00 Encuesta'!$X$2:$X$511,"*g)*")</f>
        <v>8</v>
      </c>
      <c r="J188" s="52">
        <f t="shared" si="203"/>
        <v>36.363636363636367</v>
      </c>
      <c r="K188" s="53">
        <f>COUNTIFS('00 Encuesta'!$B$2:$B$511,"*f)*",'00 Encuesta'!$C$2:$C$511,"*a)*",'00 Encuesta'!$E$2:$E$511,"*b)*",'00 Encuesta'!$X$2:$X$511,"*g)*")</f>
        <v>10</v>
      </c>
      <c r="L188" s="52">
        <f t="shared" si="204"/>
        <v>50</v>
      </c>
      <c r="M188" s="23"/>
      <c r="N188" s="51">
        <f t="shared" si="205"/>
        <v>0</v>
      </c>
      <c r="O188" s="52" t="e">
        <f t="shared" si="206"/>
        <v>#DIV/0!</v>
      </c>
      <c r="P188" s="53">
        <f>COUNTIFS('00 Encuesta'!$B$2:$B$511,"*f)*",'00 Encuesta'!$C$2:$C$511,"*b)*",'00 Encuesta'!$E$2:$E$511,"*a)*",'00 Encuesta'!$X$2:$X$511,"*g)*")</f>
        <v>0</v>
      </c>
      <c r="Q188" s="52" t="e">
        <f t="shared" si="207"/>
        <v>#DIV/0!</v>
      </c>
      <c r="R188" s="53">
        <f>COUNTIFS('00 Encuesta'!$B$2:$B$511,"*f)*",'00 Encuesta'!$C$2:$C$511,"*b)*",'00 Encuesta'!$E$2:$E$511,"*b)*",'00 Encuesta'!$X$2:$X$511,"*g)*")</f>
        <v>0</v>
      </c>
      <c r="S188" s="52" t="e">
        <f t="shared" si="208"/>
        <v>#DIV/0!</v>
      </c>
      <c r="T188" s="3"/>
      <c r="U188" s="51">
        <f t="shared" si="209"/>
        <v>0</v>
      </c>
      <c r="V188" s="52" t="e">
        <f t="shared" si="210"/>
        <v>#DIV/0!</v>
      </c>
      <c r="W188" s="53">
        <f>COUNTIFS('00 Encuesta'!$B$2:$B$511,"*f)*",'00 Encuesta'!$C$2:$C$511,"*c)*",'00 Encuesta'!$E$2:$E$511,"*a)*",'00 Encuesta'!$X$2:$X$511,"*g)*")</f>
        <v>0</v>
      </c>
      <c r="X188" s="52" t="e">
        <f t="shared" si="211"/>
        <v>#DIV/0!</v>
      </c>
      <c r="Y188" s="53">
        <f>COUNTIFS('00 Encuesta'!$B$2:$B$511,"*f)*",'00 Encuesta'!$C$2:$C$511,"*c)*",'00 Encuesta'!$E$2:$E$511,"*b)*",'00 Encuesta'!$X$2:$X$511,"*g)*")</f>
        <v>0</v>
      </c>
      <c r="Z188" s="52" t="e">
        <f t="shared" si="212"/>
        <v>#DIV/0!</v>
      </c>
      <c r="AA188" s="3"/>
      <c r="AB188" s="62">
        <f t="shared" si="213"/>
        <v>18</v>
      </c>
      <c r="AC188" s="52">
        <f t="shared" si="214"/>
        <v>42.857142857142854</v>
      </c>
      <c r="AD188" s="7"/>
      <c r="AE188" s="7"/>
      <c r="AF188" s="9" t="str">
        <f t="shared" si="215"/>
        <v>g) En ocasiones, en mi casa tenemos una oración familiar</v>
      </c>
      <c r="AG188" s="72">
        <f t="shared" si="216"/>
        <v>36.363636363636367</v>
      </c>
      <c r="AH188" s="72">
        <f t="shared" si="217"/>
        <v>50</v>
      </c>
      <c r="AI188" s="73">
        <f t="shared" si="218"/>
        <v>42.857142857142854</v>
      </c>
      <c r="AJ188" s="73"/>
      <c r="AK188" s="76" t="e">
        <f t="shared" si="219"/>
        <v>#DIV/0!</v>
      </c>
      <c r="AL188" s="76" t="e">
        <f t="shared" si="220"/>
        <v>#DIV/0!</v>
      </c>
      <c r="AM188" s="76" t="e">
        <f t="shared" si="221"/>
        <v>#DIV/0!</v>
      </c>
      <c r="AN188" s="76"/>
      <c r="AO188" s="81" t="e">
        <f t="shared" si="222"/>
        <v>#DIV/0!</v>
      </c>
      <c r="AP188" s="81" t="e">
        <f t="shared" si="223"/>
        <v>#DIV/0!</v>
      </c>
      <c r="AQ188" s="81" t="e">
        <f t="shared" si="224"/>
        <v>#DIV/0!</v>
      </c>
      <c r="AR188" s="7"/>
      <c r="AS188" s="76">
        <f t="shared" si="174"/>
        <v>42.857142857142854</v>
      </c>
      <c r="AT188" s="7"/>
      <c r="AU188" s="7"/>
      <c r="AV188" s="7"/>
      <c r="AW188" s="7"/>
      <c r="AX188" s="7"/>
      <c r="AY188" s="7"/>
      <c r="AZ188" s="7"/>
      <c r="BA188" s="7"/>
      <c r="BB188" s="7"/>
      <c r="BC188" s="7"/>
      <c r="BD188" s="3"/>
      <c r="BE188" s="3"/>
      <c r="BF188" s="3"/>
      <c r="BG188" s="3"/>
      <c r="BH188" s="3"/>
      <c r="BI188" s="3"/>
      <c r="BJ188" s="3"/>
      <c r="BK188" s="3"/>
      <c r="BL188" s="3"/>
      <c r="BM188" s="3"/>
      <c r="BN188" s="3"/>
      <c r="BO188" s="3"/>
      <c r="BP188" s="3"/>
      <c r="BQ188" s="3"/>
      <c r="BR188" s="3"/>
      <c r="BS188" s="3"/>
      <c r="BT188" s="3"/>
      <c r="BU188" s="3"/>
      <c r="BV188" s="3"/>
      <c r="BW188" s="3"/>
    </row>
    <row r="189" spans="1:75" x14ac:dyDescent="0.3">
      <c r="A189" s="8" t="s">
        <v>63</v>
      </c>
      <c r="B189" s="9" t="s">
        <v>144</v>
      </c>
      <c r="C189" s="7"/>
      <c r="D189" s="7"/>
      <c r="E189" s="7"/>
      <c r="F189" s="71"/>
      <c r="G189" s="51">
        <f t="shared" si="201"/>
        <v>6</v>
      </c>
      <c r="H189" s="52">
        <f t="shared" si="202"/>
        <v>14.285714285714285</v>
      </c>
      <c r="I189" s="53">
        <f>COUNTIFS('00 Encuesta'!$B$2:$B$511,"*f)*",'00 Encuesta'!$C$2:$C$511,"*a)*",'00 Encuesta'!$E$2:$E$511,"*a)*",'00 Encuesta'!$X$2:$X$511,"*h)*")</f>
        <v>5</v>
      </c>
      <c r="J189" s="52">
        <f t="shared" si="203"/>
        <v>22.727272727272727</v>
      </c>
      <c r="K189" s="53">
        <f>COUNTIFS('00 Encuesta'!$B$2:$B$511,"*f)*",'00 Encuesta'!$C$2:$C$511,"*a)*",'00 Encuesta'!$E$2:$E$511,"*b)*",'00 Encuesta'!$X$2:$X$511,"*h)*")</f>
        <v>1</v>
      </c>
      <c r="L189" s="52">
        <f t="shared" si="204"/>
        <v>5</v>
      </c>
      <c r="M189" s="23"/>
      <c r="N189" s="51">
        <f t="shared" si="205"/>
        <v>0</v>
      </c>
      <c r="O189" s="52" t="e">
        <f t="shared" si="206"/>
        <v>#DIV/0!</v>
      </c>
      <c r="P189" s="53">
        <f>COUNTIFS('00 Encuesta'!$B$2:$B$511,"*f)*",'00 Encuesta'!$C$2:$C$511,"*b)*",'00 Encuesta'!$E$2:$E$511,"*a)*",'00 Encuesta'!$X$2:$X$511,"*h)*")</f>
        <v>0</v>
      </c>
      <c r="Q189" s="52" t="e">
        <f t="shared" si="207"/>
        <v>#DIV/0!</v>
      </c>
      <c r="R189" s="53">
        <f>COUNTIFS('00 Encuesta'!$B$2:$B$511,"*f)*",'00 Encuesta'!$C$2:$C$511,"*b)*",'00 Encuesta'!$E$2:$E$511,"*b)*",'00 Encuesta'!$X$2:$X$511,"*h)*")</f>
        <v>0</v>
      </c>
      <c r="S189" s="52" t="e">
        <f t="shared" si="208"/>
        <v>#DIV/0!</v>
      </c>
      <c r="T189" s="3"/>
      <c r="U189" s="51">
        <f t="shared" si="209"/>
        <v>0</v>
      </c>
      <c r="V189" s="52" t="e">
        <f t="shared" si="210"/>
        <v>#DIV/0!</v>
      </c>
      <c r="W189" s="53">
        <f>COUNTIFS('00 Encuesta'!$B$2:$B$511,"*f)*",'00 Encuesta'!$C$2:$C$511,"*c)*",'00 Encuesta'!$E$2:$E$511,"*a)*",'00 Encuesta'!$X$2:$X$511,"*h)*")</f>
        <v>0</v>
      </c>
      <c r="X189" s="52" t="e">
        <f t="shared" si="211"/>
        <v>#DIV/0!</v>
      </c>
      <c r="Y189" s="53">
        <f>COUNTIFS('00 Encuesta'!$B$2:$B$511,"*f)*",'00 Encuesta'!$C$2:$C$511,"*c)*",'00 Encuesta'!$E$2:$E$511,"*b)*",'00 Encuesta'!$X$2:$X$511,"*h)*")</f>
        <v>0</v>
      </c>
      <c r="Z189" s="52" t="e">
        <f t="shared" si="212"/>
        <v>#DIV/0!</v>
      </c>
      <c r="AA189" s="3"/>
      <c r="AB189" s="62">
        <f t="shared" si="213"/>
        <v>6</v>
      </c>
      <c r="AC189" s="52">
        <f t="shared" si="214"/>
        <v>14.285714285714286</v>
      </c>
      <c r="AD189" s="7"/>
      <c r="AE189" s="7"/>
      <c r="AF189" s="9" t="str">
        <f t="shared" si="215"/>
        <v>h) En Semana Santa asisto a las procesiones</v>
      </c>
      <c r="AG189" s="72">
        <f t="shared" si="216"/>
        <v>22.727272727272727</v>
      </c>
      <c r="AH189" s="72">
        <f t="shared" si="217"/>
        <v>5</v>
      </c>
      <c r="AI189" s="73">
        <f t="shared" si="218"/>
        <v>14.285714285714285</v>
      </c>
      <c r="AJ189" s="73"/>
      <c r="AK189" s="76" t="e">
        <f t="shared" si="219"/>
        <v>#DIV/0!</v>
      </c>
      <c r="AL189" s="76" t="e">
        <f t="shared" si="220"/>
        <v>#DIV/0!</v>
      </c>
      <c r="AM189" s="76" t="e">
        <f t="shared" si="221"/>
        <v>#DIV/0!</v>
      </c>
      <c r="AN189" s="76"/>
      <c r="AO189" s="81" t="e">
        <f t="shared" si="222"/>
        <v>#DIV/0!</v>
      </c>
      <c r="AP189" s="81" t="e">
        <f t="shared" si="223"/>
        <v>#DIV/0!</v>
      </c>
      <c r="AQ189" s="81" t="e">
        <f t="shared" si="224"/>
        <v>#DIV/0!</v>
      </c>
      <c r="AR189" s="7"/>
      <c r="AS189" s="76">
        <f t="shared" si="174"/>
        <v>14.285714285714286</v>
      </c>
      <c r="AT189" s="7"/>
      <c r="AU189" s="7"/>
      <c r="AV189" s="7"/>
      <c r="AW189" s="7"/>
      <c r="AX189" s="7"/>
      <c r="AY189" s="7"/>
      <c r="AZ189" s="7"/>
      <c r="BA189" s="7"/>
      <c r="BB189" s="7"/>
      <c r="BC189" s="7"/>
      <c r="BD189" s="3"/>
      <c r="BE189" s="3"/>
      <c r="BF189" s="3"/>
      <c r="BG189" s="3"/>
      <c r="BH189" s="3"/>
      <c r="BI189" s="3"/>
      <c r="BJ189" s="3"/>
      <c r="BK189" s="3"/>
      <c r="BL189" s="3"/>
      <c r="BM189" s="3"/>
      <c r="BN189" s="3"/>
      <c r="BO189" s="3"/>
      <c r="BP189" s="3"/>
      <c r="BQ189" s="3"/>
      <c r="BR189" s="3"/>
      <c r="BS189" s="3"/>
      <c r="BT189" s="3"/>
      <c r="BU189" s="3"/>
      <c r="BV189" s="3"/>
      <c r="BW189" s="3"/>
    </row>
    <row r="190" spans="1:75" x14ac:dyDescent="0.3">
      <c r="A190" s="8" t="s">
        <v>65</v>
      </c>
      <c r="B190" s="9" t="s">
        <v>145</v>
      </c>
      <c r="C190" s="7"/>
      <c r="D190" s="7"/>
      <c r="E190" s="7"/>
      <c r="F190" s="71"/>
      <c r="G190" s="51">
        <f t="shared" si="201"/>
        <v>11</v>
      </c>
      <c r="H190" s="52">
        <f t="shared" si="202"/>
        <v>26.190476190476193</v>
      </c>
      <c r="I190" s="53">
        <f>COUNTIFS('00 Encuesta'!$B$2:$B$511,"*f)*",'00 Encuesta'!$C$2:$C$511,"*a)*",'00 Encuesta'!$E$2:$E$511,"*a)*",'00 Encuesta'!$X$2:$X$511,"*i)*")</f>
        <v>5</v>
      </c>
      <c r="J190" s="52">
        <f t="shared" si="203"/>
        <v>22.727272727272727</v>
      </c>
      <c r="K190" s="53">
        <f>COUNTIFS('00 Encuesta'!$B$2:$B$511,"*f)*",'00 Encuesta'!$C$2:$C$511,"*a)*",'00 Encuesta'!$E$2:$E$511,"*b)*",'00 Encuesta'!$X$2:$X$511,"*i)*")</f>
        <v>6</v>
      </c>
      <c r="L190" s="52">
        <f t="shared" si="204"/>
        <v>30</v>
      </c>
      <c r="M190" s="23"/>
      <c r="N190" s="51">
        <f t="shared" si="205"/>
        <v>0</v>
      </c>
      <c r="O190" s="52" t="e">
        <f t="shared" si="206"/>
        <v>#DIV/0!</v>
      </c>
      <c r="P190" s="53">
        <f>COUNTIFS('00 Encuesta'!$B$2:$B$511,"*f)*",'00 Encuesta'!$C$2:$C$511,"*b)*",'00 Encuesta'!$E$2:$E$511,"*a)*",'00 Encuesta'!$X$2:$X$511,"*i)*")</f>
        <v>0</v>
      </c>
      <c r="Q190" s="52" t="e">
        <f t="shared" si="207"/>
        <v>#DIV/0!</v>
      </c>
      <c r="R190" s="53">
        <f>COUNTIFS('00 Encuesta'!$B$2:$B$511,"*f)*",'00 Encuesta'!$C$2:$C$511,"*b)*",'00 Encuesta'!$E$2:$E$511,"*b)*",'00 Encuesta'!$X$2:$X$511,"*i)*")</f>
        <v>0</v>
      </c>
      <c r="S190" s="52" t="e">
        <f t="shared" si="208"/>
        <v>#DIV/0!</v>
      </c>
      <c r="T190" s="3"/>
      <c r="U190" s="51">
        <f t="shared" si="209"/>
        <v>0</v>
      </c>
      <c r="V190" s="52" t="e">
        <f t="shared" si="210"/>
        <v>#DIV/0!</v>
      </c>
      <c r="W190" s="53">
        <f>COUNTIFS('00 Encuesta'!$B$2:$B$511,"*f)*",'00 Encuesta'!$C$2:$C$511,"*c)*",'00 Encuesta'!$E$2:$E$511,"*a)*",'00 Encuesta'!$X$2:$X$511,"*i)*")</f>
        <v>0</v>
      </c>
      <c r="X190" s="52" t="e">
        <f t="shared" si="211"/>
        <v>#DIV/0!</v>
      </c>
      <c r="Y190" s="53">
        <f>COUNTIFS('00 Encuesta'!$B$2:$B$511,"*f)*",'00 Encuesta'!$C$2:$C$511,"*c)*",'00 Encuesta'!$E$2:$E$511,"*b)*",'00 Encuesta'!$X$2:$X$511,"*i)*")</f>
        <v>0</v>
      </c>
      <c r="Z190" s="52" t="e">
        <f t="shared" si="212"/>
        <v>#DIV/0!</v>
      </c>
      <c r="AA190" s="3"/>
      <c r="AB190" s="62">
        <f t="shared" si="213"/>
        <v>11</v>
      </c>
      <c r="AC190" s="52">
        <f t="shared" si="214"/>
        <v>26.19047619047619</v>
      </c>
      <c r="AD190" s="7"/>
      <c r="AE190" s="7"/>
      <c r="AF190" s="9" t="str">
        <f t="shared" si="215"/>
        <v>i) Tengo en mi cuarto alguna imagen religiosa</v>
      </c>
      <c r="AG190" s="72">
        <f t="shared" si="216"/>
        <v>22.727272727272727</v>
      </c>
      <c r="AH190" s="72">
        <f t="shared" si="217"/>
        <v>30</v>
      </c>
      <c r="AI190" s="73">
        <f t="shared" si="218"/>
        <v>26.190476190476193</v>
      </c>
      <c r="AJ190" s="73"/>
      <c r="AK190" s="76" t="e">
        <f t="shared" si="219"/>
        <v>#DIV/0!</v>
      </c>
      <c r="AL190" s="76" t="e">
        <f t="shared" si="220"/>
        <v>#DIV/0!</v>
      </c>
      <c r="AM190" s="76" t="e">
        <f t="shared" si="221"/>
        <v>#DIV/0!</v>
      </c>
      <c r="AN190" s="76"/>
      <c r="AO190" s="81" t="e">
        <f t="shared" si="222"/>
        <v>#DIV/0!</v>
      </c>
      <c r="AP190" s="81" t="e">
        <f t="shared" si="223"/>
        <v>#DIV/0!</v>
      </c>
      <c r="AQ190" s="81" t="e">
        <f t="shared" si="224"/>
        <v>#DIV/0!</v>
      </c>
      <c r="AR190" s="7"/>
      <c r="AS190" s="76">
        <f t="shared" si="174"/>
        <v>26.19047619047619</v>
      </c>
      <c r="AT190" s="7"/>
      <c r="AU190" s="7"/>
      <c r="AV190" s="7"/>
      <c r="AW190" s="7"/>
      <c r="AX190" s="7"/>
      <c r="AY190" s="7"/>
      <c r="AZ190" s="7"/>
      <c r="BA190" s="7"/>
      <c r="BB190" s="7"/>
      <c r="BC190" s="7"/>
      <c r="BD190" s="3"/>
      <c r="BE190" s="3"/>
      <c r="BF190" s="3"/>
      <c r="BG190" s="3"/>
      <c r="BH190" s="3"/>
      <c r="BI190" s="3"/>
      <c r="BJ190" s="3"/>
      <c r="BK190" s="3"/>
      <c r="BL190" s="3"/>
      <c r="BM190" s="3"/>
      <c r="BN190" s="3"/>
      <c r="BO190" s="3"/>
      <c r="BP190" s="3"/>
      <c r="BQ190" s="3"/>
      <c r="BR190" s="3"/>
      <c r="BS190" s="3"/>
      <c r="BT190" s="3"/>
      <c r="BU190" s="3"/>
      <c r="BV190" s="3"/>
      <c r="BW190" s="3"/>
    </row>
    <row r="191" spans="1:75" x14ac:dyDescent="0.3">
      <c r="A191" s="8" t="s">
        <v>23</v>
      </c>
      <c r="B191" s="9" t="s">
        <v>24</v>
      </c>
      <c r="C191" s="7"/>
      <c r="D191" s="7"/>
      <c r="E191" s="7"/>
      <c r="F191" s="71"/>
      <c r="G191" s="51">
        <f t="shared" si="201"/>
        <v>0</v>
      </c>
      <c r="H191" s="52">
        <f t="shared" si="202"/>
        <v>0</v>
      </c>
      <c r="I191" s="53"/>
      <c r="J191" s="52">
        <f t="shared" si="203"/>
        <v>0</v>
      </c>
      <c r="K191" s="53"/>
      <c r="L191" s="52">
        <f t="shared" si="204"/>
        <v>0</v>
      </c>
      <c r="M191" s="23"/>
      <c r="N191" s="51">
        <f t="shared" si="205"/>
        <v>0</v>
      </c>
      <c r="O191" s="52" t="e">
        <f t="shared" si="206"/>
        <v>#DIV/0!</v>
      </c>
      <c r="P191" s="53"/>
      <c r="Q191" s="52" t="e">
        <f t="shared" si="207"/>
        <v>#DIV/0!</v>
      </c>
      <c r="R191" s="53"/>
      <c r="S191" s="52" t="e">
        <f t="shared" si="208"/>
        <v>#DIV/0!</v>
      </c>
      <c r="T191" s="3"/>
      <c r="U191" s="51">
        <f t="shared" si="209"/>
        <v>0</v>
      </c>
      <c r="V191" s="52" t="e">
        <f t="shared" si="210"/>
        <v>#DIV/0!</v>
      </c>
      <c r="W191" s="53"/>
      <c r="X191" s="52" t="e">
        <f t="shared" si="211"/>
        <v>#DIV/0!</v>
      </c>
      <c r="Y191" s="53"/>
      <c r="Z191" s="52" t="e">
        <f t="shared" si="212"/>
        <v>#DIV/0!</v>
      </c>
      <c r="AA191" s="3"/>
      <c r="AB191" s="62">
        <f t="shared" si="213"/>
        <v>0</v>
      </c>
      <c r="AC191" s="52">
        <f t="shared" si="214"/>
        <v>0</v>
      </c>
      <c r="AD191" s="7"/>
      <c r="AE191" s="7"/>
      <c r="AF191" s="9" t="str">
        <f t="shared" si="215"/>
        <v>S/R Sin Respuesta</v>
      </c>
      <c r="AG191" s="72">
        <f t="shared" si="216"/>
        <v>0</v>
      </c>
      <c r="AH191" s="72">
        <f t="shared" si="217"/>
        <v>0</v>
      </c>
      <c r="AI191" s="73">
        <f t="shared" si="218"/>
        <v>0</v>
      </c>
      <c r="AJ191" s="73"/>
      <c r="AK191" s="76" t="e">
        <f t="shared" si="219"/>
        <v>#DIV/0!</v>
      </c>
      <c r="AL191" s="76" t="e">
        <f t="shared" si="220"/>
        <v>#DIV/0!</v>
      </c>
      <c r="AM191" s="76" t="e">
        <f t="shared" si="221"/>
        <v>#DIV/0!</v>
      </c>
      <c r="AN191" s="76"/>
      <c r="AO191" s="81" t="e">
        <f t="shared" si="222"/>
        <v>#DIV/0!</v>
      </c>
      <c r="AP191" s="81" t="e">
        <f t="shared" si="223"/>
        <v>#DIV/0!</v>
      </c>
      <c r="AQ191" s="81" t="e">
        <f t="shared" si="224"/>
        <v>#DIV/0!</v>
      </c>
      <c r="AR191" s="7"/>
      <c r="AS191" s="76">
        <f t="shared" si="174"/>
        <v>0</v>
      </c>
      <c r="AT191" s="7"/>
      <c r="AU191" s="7"/>
      <c r="AV191" s="7"/>
      <c r="AW191" s="7"/>
      <c r="AX191" s="7"/>
      <c r="AY191" s="7"/>
      <c r="AZ191" s="7"/>
      <c r="BA191" s="7"/>
      <c r="BB191" s="7"/>
      <c r="BC191" s="7"/>
      <c r="BD191" s="3"/>
      <c r="BE191" s="3"/>
      <c r="BF191" s="3"/>
      <c r="BG191" s="3"/>
      <c r="BH191" s="3"/>
      <c r="BI191" s="3"/>
      <c r="BJ191" s="3"/>
      <c r="BK191" s="3"/>
      <c r="BL191" s="3"/>
      <c r="BM191" s="3"/>
      <c r="BN191" s="3"/>
      <c r="BO191" s="3"/>
      <c r="BP191" s="3"/>
      <c r="BQ191" s="3"/>
      <c r="BR191" s="3"/>
      <c r="BS191" s="3"/>
      <c r="BT191" s="3"/>
      <c r="BU191" s="3"/>
      <c r="BV191" s="3"/>
      <c r="BW191" s="3"/>
    </row>
    <row r="192" spans="1:75" x14ac:dyDescent="0.3">
      <c r="A192" s="8"/>
      <c r="B192" s="9"/>
      <c r="C192" s="7"/>
      <c r="D192" s="7"/>
      <c r="E192" s="7"/>
      <c r="F192" s="71"/>
      <c r="G192" s="71"/>
      <c r="H192" s="71"/>
      <c r="I192" s="71"/>
      <c r="J192" s="71"/>
      <c r="K192" s="71"/>
      <c r="L192" s="71"/>
      <c r="M192" s="71"/>
      <c r="N192" s="71"/>
      <c r="O192" s="71"/>
      <c r="P192" s="71"/>
      <c r="Q192" s="71"/>
      <c r="R192" s="71"/>
      <c r="S192" s="71"/>
      <c r="T192" s="71"/>
      <c r="U192" s="71"/>
      <c r="V192" s="71"/>
      <c r="W192" s="71"/>
      <c r="X192" s="71"/>
      <c r="Y192" s="71"/>
      <c r="Z192" s="71"/>
      <c r="AA192" s="7"/>
      <c r="AB192" s="6"/>
      <c r="AC192" s="41"/>
      <c r="AD192" s="7"/>
      <c r="AE192" s="3"/>
      <c r="AF192" s="3"/>
      <c r="AG192" s="3"/>
      <c r="AH192" s="3"/>
      <c r="AI192" s="7"/>
      <c r="AJ192" s="7"/>
      <c r="AK192" s="3"/>
      <c r="AL192" s="3"/>
      <c r="AM192" s="3"/>
      <c r="AN192" s="3"/>
      <c r="AO192" s="3"/>
      <c r="AP192" s="3"/>
      <c r="AQ192" s="3"/>
      <c r="AR192" s="7"/>
      <c r="AS192" s="76"/>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row>
    <row r="193" spans="1:75" x14ac:dyDescent="0.3">
      <c r="A193" s="8"/>
      <c r="B193" s="9"/>
      <c r="C193" s="7"/>
      <c r="D193" s="7"/>
      <c r="E193" s="7"/>
      <c r="F193" s="71"/>
      <c r="G193" s="71"/>
      <c r="H193" s="71"/>
      <c r="I193" s="71"/>
      <c r="J193" s="71"/>
      <c r="K193" s="71"/>
      <c r="L193" s="71"/>
      <c r="M193" s="71"/>
      <c r="N193" s="71"/>
      <c r="O193" s="71"/>
      <c r="P193" s="71"/>
      <c r="Q193" s="71"/>
      <c r="R193" s="71"/>
      <c r="S193" s="71"/>
      <c r="T193" s="71"/>
      <c r="U193" s="71"/>
      <c r="V193" s="71"/>
      <c r="W193" s="71"/>
      <c r="X193" s="71"/>
      <c r="Y193" s="71"/>
      <c r="Z193" s="71"/>
      <c r="AA193" s="7"/>
      <c r="AB193" s="6"/>
      <c r="AC193" s="41"/>
      <c r="AD193" s="7"/>
      <c r="AE193" s="3"/>
      <c r="AF193" s="3"/>
      <c r="AG193" s="3"/>
      <c r="AH193" s="3"/>
      <c r="AI193" s="3"/>
      <c r="AJ193" s="3"/>
      <c r="AK193" s="3"/>
      <c r="AL193" s="3"/>
      <c r="AM193" s="3"/>
      <c r="AN193" s="3"/>
      <c r="AO193" s="3"/>
      <c r="AP193" s="3"/>
      <c r="AQ193" s="3"/>
      <c r="AR193" s="3"/>
      <c r="AS193" s="76"/>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row>
    <row r="194" spans="1:75" x14ac:dyDescent="0.3">
      <c r="A194" s="70">
        <v>22</v>
      </c>
      <c r="B194" s="9" t="s">
        <v>146</v>
      </c>
      <c r="C194" s="7"/>
      <c r="D194" s="7"/>
      <c r="E194" s="7"/>
      <c r="F194" s="71"/>
      <c r="G194" s="51"/>
      <c r="H194" s="52"/>
      <c r="I194" s="53"/>
      <c r="J194" s="52"/>
      <c r="K194" s="53"/>
      <c r="L194" s="66"/>
      <c r="M194" s="23"/>
      <c r="N194" s="51"/>
      <c r="O194" s="52"/>
      <c r="P194" s="53"/>
      <c r="Q194" s="52"/>
      <c r="R194" s="53"/>
      <c r="S194" s="66"/>
      <c r="T194" s="3"/>
      <c r="U194" s="51"/>
      <c r="V194" s="52"/>
      <c r="W194" s="53"/>
      <c r="X194" s="52"/>
      <c r="Y194" s="53"/>
      <c r="Z194" s="66"/>
      <c r="AA194" s="3"/>
      <c r="AB194" s="62"/>
      <c r="AC194" s="52"/>
      <c r="AD194" s="3"/>
      <c r="AE194" s="3"/>
      <c r="AF194" s="88" t="str">
        <f t="shared" ref="AF194:AF199" si="225">A194&amp;" "&amp;B194</f>
        <v>22 Soy miembro de alguno de los siguientes grupos:</v>
      </c>
      <c r="AG194" s="3"/>
      <c r="AH194" s="3"/>
      <c r="AI194" s="3"/>
      <c r="AJ194" s="3"/>
      <c r="AK194" s="3"/>
      <c r="AL194" s="3"/>
      <c r="AM194" s="3"/>
      <c r="AN194" s="3"/>
      <c r="AO194" s="3"/>
      <c r="AP194" s="3"/>
      <c r="AQ194" s="3"/>
      <c r="AR194" s="3"/>
      <c r="AS194" s="76"/>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row>
    <row r="195" spans="1:75" x14ac:dyDescent="0.3">
      <c r="A195" s="8" t="s">
        <v>17</v>
      </c>
      <c r="B195" s="9" t="s">
        <v>147</v>
      </c>
      <c r="C195" s="7"/>
      <c r="D195" s="7"/>
      <c r="E195" s="7"/>
      <c r="F195" s="71"/>
      <c r="G195" s="51">
        <f>I195+K195</f>
        <v>26</v>
      </c>
      <c r="H195" s="52">
        <f>G195/$J$5*100</f>
        <v>61.904761904761905</v>
      </c>
      <c r="I195" s="53">
        <f>COUNTIFS('00 Encuesta'!$B$2:$B$511,"*f)*",'00 Encuesta'!$C$2:$C$511,"*a)*",'00 Encuesta'!$E$2:$E$511,"*a)*",'00 Encuesta'!$Y$2:$Y$511,"*a)*")</f>
        <v>13</v>
      </c>
      <c r="J195" s="52">
        <f>I195/$J$6*100</f>
        <v>59.090909090909093</v>
      </c>
      <c r="K195" s="53">
        <f>COUNTIFS('00 Encuesta'!$B$2:$B$511,"*f)*",'00 Encuesta'!$C$2:$C$511,"*a)*",'00 Encuesta'!$E$2:$E$511,"*b)*",'00 Encuesta'!$Y$2:$Y$511,"*a)*")</f>
        <v>13</v>
      </c>
      <c r="L195" s="52">
        <f>K195/$J$7*100</f>
        <v>65</v>
      </c>
      <c r="M195" s="23"/>
      <c r="N195" s="51">
        <f>P195+R195</f>
        <v>0</v>
      </c>
      <c r="O195" s="52" t="e">
        <f>N195/$Q$5*100</f>
        <v>#DIV/0!</v>
      </c>
      <c r="P195" s="53">
        <f>COUNTIFS('00 Encuesta'!$B$2:$B$511,"*f)*",'00 Encuesta'!$C$2:$C$511,"*b)*",'00 Encuesta'!$E$2:$E$511,"*a)*",'00 Encuesta'!$Y$2:$Y$511,"*a)*")</f>
        <v>0</v>
      </c>
      <c r="Q195" s="52" t="e">
        <f>P195/$Q$6*100</f>
        <v>#DIV/0!</v>
      </c>
      <c r="R195" s="53">
        <f>COUNTIFS('00 Encuesta'!$B$2:$B$511,"*f)*",'00 Encuesta'!$C$2:$C$511,"*b)*",'00 Encuesta'!$E$2:$E$511,"*b)*",'00 Encuesta'!$Y$2:$Y$511,"*a)*")</f>
        <v>0</v>
      </c>
      <c r="S195" s="52" t="e">
        <f>R195/$Q$7*100</f>
        <v>#DIV/0!</v>
      </c>
      <c r="T195" s="3"/>
      <c r="U195" s="51">
        <f>W195+Y195</f>
        <v>0</v>
      </c>
      <c r="V195" s="52" t="e">
        <f>U195/$X$5*100</f>
        <v>#DIV/0!</v>
      </c>
      <c r="W195" s="53">
        <f>COUNTIFS('00 Encuesta'!$B$2:$B$511,"*f)*",'00 Encuesta'!$C$2:$C$511,"*c)*",'00 Encuesta'!$E$2:$E$511,"*a)*",'00 Encuesta'!$Y$2:$Y$511,"*a)*")</f>
        <v>0</v>
      </c>
      <c r="X195" s="52" t="e">
        <f>W195/$X$6*100</f>
        <v>#DIV/0!</v>
      </c>
      <c r="Y195" s="53">
        <f>COUNTIFS('00 Encuesta'!$B$2:$B$511,"*f)*",'00 Encuesta'!$C$2:$C$511,"*c)*",'00 Encuesta'!$E$2:$E$511,"*b)*",'00 Encuesta'!$Y$2:$Y$511,"*a)*")</f>
        <v>0</v>
      </c>
      <c r="Z195" s="52" t="e">
        <f>Y195/$X$7*100</f>
        <v>#DIV/0!</v>
      </c>
      <c r="AA195" s="3"/>
      <c r="AB195" s="62">
        <f>G195+N195+U195</f>
        <v>26</v>
      </c>
      <c r="AC195" s="52">
        <f>AB195*100/$AC$5</f>
        <v>61.904761904761905</v>
      </c>
      <c r="AD195" s="3"/>
      <c r="AE195" s="3"/>
      <c r="AF195" s="9" t="str">
        <f t="shared" si="225"/>
        <v>a) Deportivo</v>
      </c>
      <c r="AG195" s="72">
        <f>J195</f>
        <v>59.090909090909093</v>
      </c>
      <c r="AH195" s="72">
        <f>L195</f>
        <v>65</v>
      </c>
      <c r="AI195" s="73">
        <f>H195</f>
        <v>61.904761904761905</v>
      </c>
      <c r="AJ195" s="73"/>
      <c r="AK195" s="76" t="e">
        <f>Q195</f>
        <v>#DIV/0!</v>
      </c>
      <c r="AL195" s="76" t="e">
        <f>S195</f>
        <v>#DIV/0!</v>
      </c>
      <c r="AM195" s="76" t="e">
        <f>O195</f>
        <v>#DIV/0!</v>
      </c>
      <c r="AN195" s="76"/>
      <c r="AO195" s="81" t="e">
        <f>X195</f>
        <v>#DIV/0!</v>
      </c>
      <c r="AP195" s="81" t="e">
        <f>Z195</f>
        <v>#DIV/0!</v>
      </c>
      <c r="AQ195" s="81" t="e">
        <f>V195</f>
        <v>#DIV/0!</v>
      </c>
      <c r="AR195" s="3"/>
      <c r="AS195" s="76">
        <f t="shared" si="174"/>
        <v>61.904761904761905</v>
      </c>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row>
    <row r="196" spans="1:75" x14ac:dyDescent="0.3">
      <c r="A196" s="8" t="s">
        <v>18</v>
      </c>
      <c r="B196" s="9" t="s">
        <v>148</v>
      </c>
      <c r="C196" s="7"/>
      <c r="D196" s="7"/>
      <c r="E196" s="7"/>
      <c r="F196" s="71"/>
      <c r="G196" s="51">
        <f>I196+K196</f>
        <v>14</v>
      </c>
      <c r="H196" s="52">
        <f>G196/$J$5*100</f>
        <v>33.333333333333329</v>
      </c>
      <c r="I196" s="53">
        <f>COUNTIFS('00 Encuesta'!$B$2:$B$511,"*f)*",'00 Encuesta'!$C$2:$C$511,"*a)*",'00 Encuesta'!$E$2:$E$511,"*a)*",'00 Encuesta'!$Y$2:$Y$511,"*b)*")</f>
        <v>3</v>
      </c>
      <c r="J196" s="52">
        <f>I196/$J$6*100</f>
        <v>13.636363636363635</v>
      </c>
      <c r="K196" s="53">
        <f>COUNTIFS('00 Encuesta'!$B$2:$B$511,"*f)*",'00 Encuesta'!$C$2:$C$511,"*a)*",'00 Encuesta'!$E$2:$E$511,"*b)*",'00 Encuesta'!$Y$2:$Y$511,"*b)*")</f>
        <v>11</v>
      </c>
      <c r="L196" s="52">
        <f>K196/$J$7*100</f>
        <v>55.000000000000007</v>
      </c>
      <c r="M196" s="23"/>
      <c r="N196" s="51">
        <f>P196+R196</f>
        <v>0</v>
      </c>
      <c r="O196" s="52" t="e">
        <f>N196/$Q$5*100</f>
        <v>#DIV/0!</v>
      </c>
      <c r="P196" s="53">
        <f>COUNTIFS('00 Encuesta'!$B$2:$B$511,"*f)*",'00 Encuesta'!$C$2:$C$511,"*b)*",'00 Encuesta'!$E$2:$E$511,"*a)*",'00 Encuesta'!$Y$2:$Y$511,"*b)*")</f>
        <v>0</v>
      </c>
      <c r="Q196" s="52" t="e">
        <f>P196/$Q$6*100</f>
        <v>#DIV/0!</v>
      </c>
      <c r="R196" s="53">
        <f>COUNTIFS('00 Encuesta'!$B$2:$B$511,"*f)*",'00 Encuesta'!$C$2:$C$511,"*b)*",'00 Encuesta'!$E$2:$E$511,"*b)*",'00 Encuesta'!$Y$2:$Y$511,"*b)*")</f>
        <v>0</v>
      </c>
      <c r="S196" s="52" t="e">
        <f>R196/$Q$7*100</f>
        <v>#DIV/0!</v>
      </c>
      <c r="T196" s="3"/>
      <c r="U196" s="51">
        <f>W196+Y196</f>
        <v>0</v>
      </c>
      <c r="V196" s="52" t="e">
        <f>U196/$X$5*100</f>
        <v>#DIV/0!</v>
      </c>
      <c r="W196" s="53">
        <f>COUNTIFS('00 Encuesta'!$B$2:$B$511,"*f)*",'00 Encuesta'!$C$2:$C$511,"*c)*",'00 Encuesta'!$E$2:$E$511,"*a)*",'00 Encuesta'!$Y$2:$Y$511,"*b)*")</f>
        <v>0</v>
      </c>
      <c r="X196" s="52" t="e">
        <f>W196/$X$6*100</f>
        <v>#DIV/0!</v>
      </c>
      <c r="Y196" s="53">
        <f>COUNTIFS('00 Encuesta'!$B$2:$B$511,"*f)*",'00 Encuesta'!$C$2:$C$511,"*c)*",'00 Encuesta'!$E$2:$E$511,"*b)*",'00 Encuesta'!$Y$2:$Y$511,"*b)*")</f>
        <v>0</v>
      </c>
      <c r="Z196" s="52" t="e">
        <f>Y196/$X$7*100</f>
        <v>#DIV/0!</v>
      </c>
      <c r="AA196" s="3"/>
      <c r="AB196" s="62">
        <f>G196+N196+U196</f>
        <v>14</v>
      </c>
      <c r="AC196" s="52">
        <f>AB196*100/$AC$5</f>
        <v>33.333333333333336</v>
      </c>
      <c r="AD196" s="3"/>
      <c r="AE196" s="3"/>
      <c r="AF196" s="9" t="str">
        <f t="shared" si="225"/>
        <v>b) Cultural (folklórico, musicales, danzas, scout, banda marcial...)</v>
      </c>
      <c r="AG196" s="72">
        <f>J196</f>
        <v>13.636363636363635</v>
      </c>
      <c r="AH196" s="72">
        <f>L196</f>
        <v>55.000000000000007</v>
      </c>
      <c r="AI196" s="73">
        <f>H196</f>
        <v>33.333333333333329</v>
      </c>
      <c r="AJ196" s="73"/>
      <c r="AK196" s="76" t="e">
        <f>Q196</f>
        <v>#DIV/0!</v>
      </c>
      <c r="AL196" s="76" t="e">
        <f>S196</f>
        <v>#DIV/0!</v>
      </c>
      <c r="AM196" s="76" t="e">
        <f>O196</f>
        <v>#DIV/0!</v>
      </c>
      <c r="AN196" s="76"/>
      <c r="AO196" s="81" t="e">
        <f>X196</f>
        <v>#DIV/0!</v>
      </c>
      <c r="AP196" s="81" t="e">
        <f>Z196</f>
        <v>#DIV/0!</v>
      </c>
      <c r="AQ196" s="81" t="e">
        <f>V196</f>
        <v>#DIV/0!</v>
      </c>
      <c r="AR196" s="3"/>
      <c r="AS196" s="76">
        <f t="shared" si="174"/>
        <v>33.333333333333336</v>
      </c>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row>
    <row r="197" spans="1:75" x14ac:dyDescent="0.3">
      <c r="A197" s="8" t="s">
        <v>20</v>
      </c>
      <c r="B197" s="9" t="s">
        <v>149</v>
      </c>
      <c r="C197" s="7"/>
      <c r="D197" s="7"/>
      <c r="E197" s="7"/>
      <c r="F197" s="71"/>
      <c r="G197" s="51">
        <f>I197+K197</f>
        <v>8</v>
      </c>
      <c r="H197" s="52">
        <f>G197/$J$5*100</f>
        <v>19.047619047619047</v>
      </c>
      <c r="I197" s="53">
        <f>COUNTIFS('00 Encuesta'!$B$2:$B$511,"*f)*",'00 Encuesta'!$C$2:$C$511,"*a)*",'00 Encuesta'!$E$2:$E$511,"*a)*",'00 Encuesta'!$Y$2:$Y$511,"*c)*")</f>
        <v>4</v>
      </c>
      <c r="J197" s="52">
        <f>I197/$J$6*100</f>
        <v>18.181818181818183</v>
      </c>
      <c r="K197" s="53">
        <f>COUNTIFS('00 Encuesta'!$B$2:$B$511,"*f)*",'00 Encuesta'!$C$2:$C$511,"*a)*",'00 Encuesta'!$E$2:$E$511,"*b)*",'00 Encuesta'!$Y$2:$Y$511,"*c)*")</f>
        <v>4</v>
      </c>
      <c r="L197" s="52">
        <f>K197/$J$7*100</f>
        <v>20</v>
      </c>
      <c r="M197" s="23"/>
      <c r="N197" s="51">
        <f>P197+R197</f>
        <v>0</v>
      </c>
      <c r="O197" s="52" t="e">
        <f>N197/$Q$5*100</f>
        <v>#DIV/0!</v>
      </c>
      <c r="P197" s="53">
        <f>COUNTIFS('00 Encuesta'!$B$2:$B$511,"*f)*",'00 Encuesta'!$C$2:$C$511,"*b)*",'00 Encuesta'!$E$2:$E$511,"*a)*",'00 Encuesta'!$Y$2:$Y$511,"*c)*")</f>
        <v>0</v>
      </c>
      <c r="Q197" s="52" t="e">
        <f>P197/$Q$6*100</f>
        <v>#DIV/0!</v>
      </c>
      <c r="R197" s="53">
        <f>COUNTIFS('00 Encuesta'!$B$2:$B$511,"*f)*",'00 Encuesta'!$C$2:$C$511,"*b)*",'00 Encuesta'!$E$2:$E$511,"*b)*",'00 Encuesta'!$Y$2:$Y$511,"*c)*")</f>
        <v>0</v>
      </c>
      <c r="S197" s="52" t="e">
        <f>R197/$Q$7*100</f>
        <v>#DIV/0!</v>
      </c>
      <c r="T197" s="3"/>
      <c r="U197" s="51">
        <f>W197+Y197</f>
        <v>0</v>
      </c>
      <c r="V197" s="52" t="e">
        <f>U197/$X$5*100</f>
        <v>#DIV/0!</v>
      </c>
      <c r="W197" s="53">
        <f>COUNTIFS('00 Encuesta'!$B$2:$B$511,"*f)*",'00 Encuesta'!$C$2:$C$511,"*c)*",'00 Encuesta'!$E$2:$E$511,"*a)*",'00 Encuesta'!$Y$2:$Y$511,"*c)*")</f>
        <v>0</v>
      </c>
      <c r="X197" s="52" t="e">
        <f>W197/$X$6*100</f>
        <v>#DIV/0!</v>
      </c>
      <c r="Y197" s="53">
        <f>COUNTIFS('00 Encuesta'!$B$2:$B$511,"*f)*",'00 Encuesta'!$C$2:$C$511,"*c)*",'00 Encuesta'!$E$2:$E$511,"*b)*",'00 Encuesta'!$Y$2:$Y$511,"*c)*")</f>
        <v>0</v>
      </c>
      <c r="Z197" s="52" t="e">
        <f>Y197/$X$7*100</f>
        <v>#DIV/0!</v>
      </c>
      <c r="AA197" s="3"/>
      <c r="AB197" s="62">
        <f>G197+N197+U197</f>
        <v>8</v>
      </c>
      <c r="AC197" s="52">
        <f>AB197*100/$AC$5</f>
        <v>19.047619047619047</v>
      </c>
      <c r="AD197" s="3"/>
      <c r="AE197" s="3"/>
      <c r="AF197" s="9" t="str">
        <f t="shared" si="225"/>
        <v>c) Religioso o parroquial</v>
      </c>
      <c r="AG197" s="72">
        <f>J197</f>
        <v>18.181818181818183</v>
      </c>
      <c r="AH197" s="72">
        <f>L197</f>
        <v>20</v>
      </c>
      <c r="AI197" s="73">
        <f>H197</f>
        <v>19.047619047619047</v>
      </c>
      <c r="AJ197" s="73"/>
      <c r="AK197" s="76" t="e">
        <f>Q197</f>
        <v>#DIV/0!</v>
      </c>
      <c r="AL197" s="76" t="e">
        <f>S197</f>
        <v>#DIV/0!</v>
      </c>
      <c r="AM197" s="76" t="e">
        <f>O197</f>
        <v>#DIV/0!</v>
      </c>
      <c r="AN197" s="76"/>
      <c r="AO197" s="81" t="e">
        <f>X197</f>
        <v>#DIV/0!</v>
      </c>
      <c r="AP197" s="81" t="e">
        <f>Z197</f>
        <v>#DIV/0!</v>
      </c>
      <c r="AQ197" s="81" t="e">
        <f>V197</f>
        <v>#DIV/0!</v>
      </c>
      <c r="AR197" s="3"/>
      <c r="AS197" s="76">
        <f t="shared" si="174"/>
        <v>19.047619047619047</v>
      </c>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row>
    <row r="198" spans="1:75" x14ac:dyDescent="0.3">
      <c r="A198" s="8" t="s">
        <v>21</v>
      </c>
      <c r="B198" s="9" t="s">
        <v>150</v>
      </c>
      <c r="C198" s="7"/>
      <c r="D198" s="7"/>
      <c r="E198" s="7"/>
      <c r="F198" s="71"/>
      <c r="G198" s="51">
        <f>I198+K198</f>
        <v>8</v>
      </c>
      <c r="H198" s="52">
        <f>G198/$J$5*100</f>
        <v>19.047619047619047</v>
      </c>
      <c r="I198" s="53">
        <f>COUNTIFS('00 Encuesta'!$B$2:$B$511,"*f)*",'00 Encuesta'!$C$2:$C$511,"*a)*",'00 Encuesta'!$E$2:$E$511,"*a)*",'00 Encuesta'!$Y$2:$Y$511,"*d)*")</f>
        <v>5</v>
      </c>
      <c r="J198" s="52">
        <f>I198/$J$6*100</f>
        <v>22.727272727272727</v>
      </c>
      <c r="K198" s="53">
        <f>COUNTIFS('00 Encuesta'!$B$2:$B$511,"*f)*",'00 Encuesta'!$C$2:$C$511,"*a)*",'00 Encuesta'!$E$2:$E$511,"*b)*",'00 Encuesta'!$Y$2:$Y$511,"*d)*")</f>
        <v>3</v>
      </c>
      <c r="L198" s="52">
        <f>K198/$J$7*100</f>
        <v>15</v>
      </c>
      <c r="M198" s="23"/>
      <c r="N198" s="51">
        <f>P198+R198</f>
        <v>0</v>
      </c>
      <c r="O198" s="52" t="e">
        <f>N198/$Q$5*100</f>
        <v>#DIV/0!</v>
      </c>
      <c r="P198" s="53">
        <f>COUNTIFS('00 Encuesta'!$B$2:$B$511,"*f)*",'00 Encuesta'!$C$2:$C$511,"*b)*",'00 Encuesta'!$E$2:$E$511,"*a)*",'00 Encuesta'!$Y$2:$Y$511,"*d)*")</f>
        <v>0</v>
      </c>
      <c r="Q198" s="52" t="e">
        <f>P198/$Q$6*100</f>
        <v>#DIV/0!</v>
      </c>
      <c r="R198" s="53">
        <f>COUNTIFS('00 Encuesta'!$B$2:$B$511,"*f)*",'00 Encuesta'!$C$2:$C$511,"*b)*",'00 Encuesta'!$E$2:$E$511,"*b)*",'00 Encuesta'!$Y$2:$Y$511,"*d)*")</f>
        <v>0</v>
      </c>
      <c r="S198" s="52" t="e">
        <f>R198/$Q$7*100</f>
        <v>#DIV/0!</v>
      </c>
      <c r="T198" s="3"/>
      <c r="U198" s="51">
        <f>W198+Y198</f>
        <v>0</v>
      </c>
      <c r="V198" s="52" t="e">
        <f>U198/$X$5*100</f>
        <v>#DIV/0!</v>
      </c>
      <c r="W198" s="53">
        <f>COUNTIFS('00 Encuesta'!$B$2:$B$511,"*f)*",'00 Encuesta'!$C$2:$C$511,"*c)*",'00 Encuesta'!$E$2:$E$511,"*a)*",'00 Encuesta'!$Y$2:$Y$511,"*d)*")</f>
        <v>0</v>
      </c>
      <c r="X198" s="52" t="e">
        <f>W198/$X$6*100</f>
        <v>#DIV/0!</v>
      </c>
      <c r="Y198" s="53">
        <f>COUNTIFS('00 Encuesta'!$B$2:$B$511,"*f)*",'00 Encuesta'!$C$2:$C$511,"*c)*",'00 Encuesta'!$E$2:$E$511,"*b)*",'00 Encuesta'!$Y$2:$Y$511,"*d)*")</f>
        <v>0</v>
      </c>
      <c r="Z198" s="52" t="e">
        <f>Y198/$X$7*100</f>
        <v>#DIV/0!</v>
      </c>
      <c r="AA198" s="3"/>
      <c r="AB198" s="62">
        <f>G198+N198+U198</f>
        <v>8</v>
      </c>
      <c r="AC198" s="52">
        <f>AB198*100/$AC$5</f>
        <v>19.047619047619047</v>
      </c>
      <c r="AD198" s="3"/>
      <c r="AE198" s="3"/>
      <c r="AF198" s="9" t="str">
        <f t="shared" si="225"/>
        <v>d) No pertenezco a ninguno.</v>
      </c>
      <c r="AG198" s="72">
        <f>J198</f>
        <v>22.727272727272727</v>
      </c>
      <c r="AH198" s="72">
        <f>L198</f>
        <v>15</v>
      </c>
      <c r="AI198" s="73">
        <f>H198</f>
        <v>19.047619047619047</v>
      </c>
      <c r="AJ198" s="73"/>
      <c r="AK198" s="76" t="e">
        <f>Q198</f>
        <v>#DIV/0!</v>
      </c>
      <c r="AL198" s="76" t="e">
        <f>S198</f>
        <v>#DIV/0!</v>
      </c>
      <c r="AM198" s="76" t="e">
        <f>O198</f>
        <v>#DIV/0!</v>
      </c>
      <c r="AN198" s="76"/>
      <c r="AO198" s="81" t="e">
        <f>X198</f>
        <v>#DIV/0!</v>
      </c>
      <c r="AP198" s="81" t="e">
        <f>Z198</f>
        <v>#DIV/0!</v>
      </c>
      <c r="AQ198" s="81" t="e">
        <f>V198</f>
        <v>#DIV/0!</v>
      </c>
      <c r="AR198" s="3"/>
      <c r="AS198" s="76">
        <f t="shared" si="174"/>
        <v>19.047619047619047</v>
      </c>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row>
    <row r="199" spans="1:75" x14ac:dyDescent="0.3">
      <c r="A199" s="8" t="s">
        <v>23</v>
      </c>
      <c r="B199" s="9" t="s">
        <v>24</v>
      </c>
      <c r="C199" s="7"/>
      <c r="D199" s="7"/>
      <c r="E199" s="7"/>
      <c r="F199" s="71"/>
      <c r="G199" s="51">
        <f>I199+K199</f>
        <v>0</v>
      </c>
      <c r="H199" s="52">
        <f>G199/$J$5*100</f>
        <v>0</v>
      </c>
      <c r="I199" s="53"/>
      <c r="J199" s="52">
        <f>I199/$J$6*100</f>
        <v>0</v>
      </c>
      <c r="K199" s="53"/>
      <c r="L199" s="52">
        <f>K199/$J$7*100</f>
        <v>0</v>
      </c>
      <c r="M199" s="23"/>
      <c r="N199" s="51">
        <f>P199+R199</f>
        <v>0</v>
      </c>
      <c r="O199" s="52" t="e">
        <f>N199/$Q$5*100</f>
        <v>#DIV/0!</v>
      </c>
      <c r="P199" s="53"/>
      <c r="Q199" s="52" t="e">
        <f>P199/$Q$6*100</f>
        <v>#DIV/0!</v>
      </c>
      <c r="R199" s="53"/>
      <c r="S199" s="52" t="e">
        <f>R199/$Q$7*100</f>
        <v>#DIV/0!</v>
      </c>
      <c r="T199" s="3"/>
      <c r="U199" s="51">
        <f>W199+Y199</f>
        <v>0</v>
      </c>
      <c r="V199" s="52" t="e">
        <f>U199/$X$5*100</f>
        <v>#DIV/0!</v>
      </c>
      <c r="W199" s="53"/>
      <c r="X199" s="52" t="e">
        <f>W199/$X$6*100</f>
        <v>#DIV/0!</v>
      </c>
      <c r="Y199" s="53"/>
      <c r="Z199" s="52" t="e">
        <f>Y199/$X$7*100</f>
        <v>#DIV/0!</v>
      </c>
      <c r="AA199" s="3"/>
      <c r="AB199" s="62">
        <f>G199+N199+U199</f>
        <v>0</v>
      </c>
      <c r="AC199" s="52">
        <f>AB199*100/$AC$5</f>
        <v>0</v>
      </c>
      <c r="AD199" s="3"/>
      <c r="AE199" s="3"/>
      <c r="AF199" s="9" t="str">
        <f t="shared" si="225"/>
        <v>S/R Sin Respuesta</v>
      </c>
      <c r="AG199" s="72">
        <f>J199</f>
        <v>0</v>
      </c>
      <c r="AH199" s="72">
        <f>L199</f>
        <v>0</v>
      </c>
      <c r="AI199" s="73">
        <f>H199</f>
        <v>0</v>
      </c>
      <c r="AJ199" s="73"/>
      <c r="AK199" s="76" t="e">
        <f>Q199</f>
        <v>#DIV/0!</v>
      </c>
      <c r="AL199" s="76" t="e">
        <f>S199</f>
        <v>#DIV/0!</v>
      </c>
      <c r="AM199" s="76" t="e">
        <f>O199</f>
        <v>#DIV/0!</v>
      </c>
      <c r="AN199" s="76"/>
      <c r="AO199" s="81" t="e">
        <f>X199</f>
        <v>#DIV/0!</v>
      </c>
      <c r="AP199" s="81" t="e">
        <f>Z199</f>
        <v>#DIV/0!</v>
      </c>
      <c r="AQ199" s="81" t="e">
        <f>V199</f>
        <v>#DIV/0!</v>
      </c>
      <c r="AR199" s="3"/>
      <c r="AS199" s="76">
        <f t="shared" si="174"/>
        <v>0</v>
      </c>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row>
    <row r="200" spans="1:75" x14ac:dyDescent="0.3">
      <c r="A200" s="8"/>
      <c r="B200" s="9"/>
      <c r="C200" s="7"/>
      <c r="D200" s="7"/>
      <c r="E200" s="7"/>
      <c r="F200" s="71"/>
      <c r="G200" s="71"/>
      <c r="H200" s="71"/>
      <c r="I200" s="71"/>
      <c r="J200" s="71"/>
      <c r="K200" s="71"/>
      <c r="L200" s="71"/>
      <c r="M200" s="71"/>
      <c r="N200" s="71"/>
      <c r="O200" s="71"/>
      <c r="P200" s="71"/>
      <c r="Q200" s="71"/>
      <c r="R200" s="71"/>
      <c r="S200" s="71"/>
      <c r="T200" s="71"/>
      <c r="U200" s="71"/>
      <c r="V200" s="71"/>
      <c r="W200" s="71"/>
      <c r="X200" s="71"/>
      <c r="Y200" s="71"/>
      <c r="Z200" s="71"/>
      <c r="AA200" s="71"/>
      <c r="AB200" s="83"/>
      <c r="AC200" s="41"/>
      <c r="AD200" s="3"/>
      <c r="AE200" s="3"/>
      <c r="AF200" s="3"/>
      <c r="AG200" s="3"/>
      <c r="AH200" s="3"/>
      <c r="AI200" s="3"/>
      <c r="AJ200" s="3"/>
      <c r="AK200" s="3"/>
      <c r="AL200" s="3"/>
      <c r="AM200" s="3"/>
      <c r="AN200" s="3"/>
      <c r="AO200" s="3"/>
      <c r="AP200" s="3"/>
      <c r="AQ200" s="3"/>
      <c r="AR200" s="3"/>
      <c r="AS200" s="76"/>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row>
    <row r="201" spans="1:75" x14ac:dyDescent="0.3">
      <c r="A201" s="70">
        <v>23</v>
      </c>
      <c r="B201" s="9" t="s">
        <v>151</v>
      </c>
      <c r="C201" s="7"/>
      <c r="D201" s="7"/>
      <c r="E201" s="7"/>
      <c r="F201" s="71"/>
      <c r="G201" s="51"/>
      <c r="H201" s="52"/>
      <c r="I201" s="53"/>
      <c r="J201" s="52"/>
      <c r="K201" s="53"/>
      <c r="L201" s="66"/>
      <c r="M201" s="23"/>
      <c r="N201" s="51"/>
      <c r="O201" s="52"/>
      <c r="P201" s="53"/>
      <c r="Q201" s="52"/>
      <c r="R201" s="53"/>
      <c r="S201" s="66"/>
      <c r="T201" s="3"/>
      <c r="U201" s="51"/>
      <c r="V201" s="52"/>
      <c r="W201" s="53"/>
      <c r="X201" s="52"/>
      <c r="Y201" s="53"/>
      <c r="Z201" s="66"/>
      <c r="AA201" s="3"/>
      <c r="AB201" s="62"/>
      <c r="AC201" s="52"/>
      <c r="AD201" s="3"/>
      <c r="AE201" s="3"/>
      <c r="AF201" s="88" t="str">
        <f t="shared" ref="AF201:AF206" si="226">A201&amp;" "&amp;B201</f>
        <v>23 Los grupos juveniles cristianos son para mi:</v>
      </c>
      <c r="AG201" s="3"/>
      <c r="AH201" s="3"/>
      <c r="AI201" s="3"/>
      <c r="AJ201" s="3"/>
      <c r="AK201" s="3"/>
      <c r="AL201" s="3"/>
      <c r="AM201" s="3"/>
      <c r="AN201" s="3"/>
      <c r="AO201" s="3"/>
      <c r="AP201" s="3"/>
      <c r="AQ201" s="3"/>
      <c r="AR201" s="3"/>
      <c r="AS201" s="76"/>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row>
    <row r="202" spans="1:75" x14ac:dyDescent="0.3">
      <c r="A202" s="8" t="s">
        <v>17</v>
      </c>
      <c r="B202" s="9" t="s">
        <v>152</v>
      </c>
      <c r="C202" s="7"/>
      <c r="D202" s="7"/>
      <c r="E202" s="7"/>
      <c r="F202" s="71"/>
      <c r="G202" s="51">
        <f>I202+K202</f>
        <v>15</v>
      </c>
      <c r="H202" s="52">
        <f>G202/$J$5*100</f>
        <v>35.714285714285715</v>
      </c>
      <c r="I202" s="53">
        <f>COUNTIFS('00 Encuesta'!$B$2:$B$511,"*f)*",'00 Encuesta'!$C$2:$C$511,"*a)*",'00 Encuesta'!$E$2:$E$511,"*a)*",'00 Encuesta'!$Z$2:$Z$511,"*a)*")</f>
        <v>8</v>
      </c>
      <c r="J202" s="52">
        <f>I202/$J$6*100</f>
        <v>36.363636363636367</v>
      </c>
      <c r="K202" s="53">
        <f>COUNTIFS('00 Encuesta'!$B$2:$B$511,"*f)*",'00 Encuesta'!$C$2:$C$511,"*a)*",'00 Encuesta'!$E$2:$E$511,"*b)*",'00 Encuesta'!$Z$2:$Z$511,"*a)*")</f>
        <v>7</v>
      </c>
      <c r="L202" s="52">
        <f>K202/$J$7*100</f>
        <v>35</v>
      </c>
      <c r="M202" s="23"/>
      <c r="N202" s="51">
        <f>P202+R202</f>
        <v>0</v>
      </c>
      <c r="O202" s="52" t="e">
        <f>N202/$Q$5*100</f>
        <v>#DIV/0!</v>
      </c>
      <c r="P202" s="53">
        <f>COUNTIFS('00 Encuesta'!$B$2:$B$511,"*f)*",'00 Encuesta'!$C$2:$C$511,"*b)*",'00 Encuesta'!$E$2:$E$511,"*a)*",'00 Encuesta'!$Z$2:$Z$511,"*a)*")</f>
        <v>0</v>
      </c>
      <c r="Q202" s="52" t="e">
        <f>P202/$Q$6*100</f>
        <v>#DIV/0!</v>
      </c>
      <c r="R202" s="53">
        <f>COUNTIFS('00 Encuesta'!$B$2:$B$511,"*f)*",'00 Encuesta'!$C$2:$C$511,"*b)*",'00 Encuesta'!$E$2:$E$511,"*b)*",'00 Encuesta'!$Z$2:$Z$511,"*a)*")</f>
        <v>0</v>
      </c>
      <c r="S202" s="52" t="e">
        <f>R202/$Q$7*100</f>
        <v>#DIV/0!</v>
      </c>
      <c r="T202" s="3"/>
      <c r="U202" s="51">
        <f>W202+Y202</f>
        <v>0</v>
      </c>
      <c r="V202" s="52" t="e">
        <f>U202/$X$5*100</f>
        <v>#DIV/0!</v>
      </c>
      <c r="W202" s="53">
        <f>COUNTIFS('00 Encuesta'!$B$2:$B$511,"*f)*",'00 Encuesta'!$C$2:$C$511,"*c)*",'00 Encuesta'!$E$2:$E$511,"*a)*",'00 Encuesta'!$Z$2:$Z$511,"*a)*")</f>
        <v>0</v>
      </c>
      <c r="X202" s="52" t="e">
        <f>W202/$X$6*100</f>
        <v>#DIV/0!</v>
      </c>
      <c r="Y202" s="53">
        <f>COUNTIFS('00 Encuesta'!$B$2:$B$511,"*f)*",'00 Encuesta'!$C$2:$C$511,"*c)*",'00 Encuesta'!$E$2:$E$511,"*b)*",'00 Encuesta'!$Z$2:$Z$511,"*a)*")</f>
        <v>0</v>
      </c>
      <c r="Z202" s="52" t="e">
        <f>Y202/$X$7*100</f>
        <v>#DIV/0!</v>
      </c>
      <c r="AA202" s="3"/>
      <c r="AB202" s="62">
        <f>G202+N202+U202</f>
        <v>15</v>
      </c>
      <c r="AC202" s="52">
        <f>AB202*100/$AC$5</f>
        <v>35.714285714285715</v>
      </c>
      <c r="AD202" s="3"/>
      <c r="AE202" s="3"/>
      <c r="AF202" s="9" t="str">
        <f t="shared" si="226"/>
        <v>a) Un grupo donde profundizo mi fe</v>
      </c>
      <c r="AG202" s="72">
        <f>J202</f>
        <v>36.363636363636367</v>
      </c>
      <c r="AH202" s="72">
        <f>L202</f>
        <v>35</v>
      </c>
      <c r="AI202" s="73">
        <f>H202</f>
        <v>35.714285714285715</v>
      </c>
      <c r="AJ202" s="73"/>
      <c r="AK202" s="76" t="e">
        <f>Q202</f>
        <v>#DIV/0!</v>
      </c>
      <c r="AL202" s="76" t="e">
        <f>S202</f>
        <v>#DIV/0!</v>
      </c>
      <c r="AM202" s="76" t="e">
        <f>O202</f>
        <v>#DIV/0!</v>
      </c>
      <c r="AN202" s="76"/>
      <c r="AO202" s="81" t="e">
        <f>X202</f>
        <v>#DIV/0!</v>
      </c>
      <c r="AP202" s="81" t="e">
        <f>Z202</f>
        <v>#DIV/0!</v>
      </c>
      <c r="AQ202" s="81" t="e">
        <f>V202</f>
        <v>#DIV/0!</v>
      </c>
      <c r="AR202" s="3"/>
      <c r="AS202" s="76">
        <f t="shared" si="174"/>
        <v>35.714285714285715</v>
      </c>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row>
    <row r="203" spans="1:75" x14ac:dyDescent="0.3">
      <c r="A203" s="8" t="s">
        <v>18</v>
      </c>
      <c r="B203" s="9" t="s">
        <v>153</v>
      </c>
      <c r="C203" s="7"/>
      <c r="D203" s="7"/>
      <c r="E203" s="7"/>
      <c r="F203" s="71"/>
      <c r="G203" s="51">
        <f>I203+K203</f>
        <v>9</v>
      </c>
      <c r="H203" s="52">
        <f>G203/$J$5*100</f>
        <v>21.428571428571427</v>
      </c>
      <c r="I203" s="53">
        <f>COUNTIFS('00 Encuesta'!$B$2:$B$511,"*f)*",'00 Encuesta'!$C$2:$C$511,"*a)*",'00 Encuesta'!$E$2:$E$511,"*a)*",'00 Encuesta'!$Z$2:$Z$511,"*b)*")</f>
        <v>5</v>
      </c>
      <c r="J203" s="52">
        <f>I203/$J$6*100</f>
        <v>22.727272727272727</v>
      </c>
      <c r="K203" s="53">
        <f>COUNTIFS('00 Encuesta'!$B$2:$B$511,"*f)*",'00 Encuesta'!$C$2:$C$511,"*a)*",'00 Encuesta'!$E$2:$E$511,"*b)*",'00 Encuesta'!$Z$2:$Z$511,"*b)*")</f>
        <v>4</v>
      </c>
      <c r="L203" s="52">
        <f>K203/$J$7*100</f>
        <v>20</v>
      </c>
      <c r="M203" s="23"/>
      <c r="N203" s="51">
        <f>P203+R203</f>
        <v>0</v>
      </c>
      <c r="O203" s="52" t="e">
        <f>N203/$Q$5*100</f>
        <v>#DIV/0!</v>
      </c>
      <c r="P203" s="53">
        <f>COUNTIFS('00 Encuesta'!$B$2:$B$511,"*f)*",'00 Encuesta'!$C$2:$C$511,"*b)*",'00 Encuesta'!$E$2:$E$511,"*a)*",'00 Encuesta'!$Z$2:$Z$511,"*b)*")</f>
        <v>0</v>
      </c>
      <c r="Q203" s="52" t="e">
        <f>P203/$Q$6*100</f>
        <v>#DIV/0!</v>
      </c>
      <c r="R203" s="53">
        <f>COUNTIFS('00 Encuesta'!$B$2:$B$511,"*f)*",'00 Encuesta'!$C$2:$C$511,"*b)*",'00 Encuesta'!$E$2:$E$511,"*b)*",'00 Encuesta'!$Z$2:$Z$511,"*b)*")</f>
        <v>0</v>
      </c>
      <c r="S203" s="52" t="e">
        <f>R203/$Q$7*100</f>
        <v>#DIV/0!</v>
      </c>
      <c r="T203" s="3"/>
      <c r="U203" s="51">
        <f>W203+Y203</f>
        <v>0</v>
      </c>
      <c r="V203" s="52" t="e">
        <f>U203/$X$5*100</f>
        <v>#DIV/0!</v>
      </c>
      <c r="W203" s="53">
        <f>COUNTIFS('00 Encuesta'!$B$2:$B$511,"*f)*",'00 Encuesta'!$C$2:$C$511,"*c)*",'00 Encuesta'!$E$2:$E$511,"*a)*",'00 Encuesta'!$Z$2:$Z$511,"*b)*")</f>
        <v>0</v>
      </c>
      <c r="X203" s="52" t="e">
        <f>W203/$X$6*100</f>
        <v>#DIV/0!</v>
      </c>
      <c r="Y203" s="53">
        <f>COUNTIFS('00 Encuesta'!$B$2:$B$511,"*f)*",'00 Encuesta'!$C$2:$C$511,"*c)*",'00 Encuesta'!$E$2:$E$511,"*b)*",'00 Encuesta'!$Z$2:$Z$511,"*b)*")</f>
        <v>0</v>
      </c>
      <c r="Z203" s="52" t="e">
        <f>Y203/$X$7*100</f>
        <v>#DIV/0!</v>
      </c>
      <c r="AA203" s="3"/>
      <c r="AB203" s="62">
        <f>G203+N203+U203</f>
        <v>9</v>
      </c>
      <c r="AC203" s="52">
        <f>AB203*100/$AC$5</f>
        <v>21.428571428571427</v>
      </c>
      <c r="AD203" s="3"/>
      <c r="AE203" s="3"/>
      <c r="AF203" s="9" t="str">
        <f t="shared" si="226"/>
        <v>b) Un lugar donde comparto con mis compañeros</v>
      </c>
      <c r="AG203" s="72">
        <f>J203</f>
        <v>22.727272727272727</v>
      </c>
      <c r="AH203" s="72">
        <f>L203</f>
        <v>20</v>
      </c>
      <c r="AI203" s="73">
        <f>H203</f>
        <v>21.428571428571427</v>
      </c>
      <c r="AJ203" s="73"/>
      <c r="AK203" s="76" t="e">
        <f>Q203</f>
        <v>#DIV/0!</v>
      </c>
      <c r="AL203" s="76" t="e">
        <f>S203</f>
        <v>#DIV/0!</v>
      </c>
      <c r="AM203" s="76" t="e">
        <f>O203</f>
        <v>#DIV/0!</v>
      </c>
      <c r="AN203" s="76"/>
      <c r="AO203" s="81" t="e">
        <f>X203</f>
        <v>#DIV/0!</v>
      </c>
      <c r="AP203" s="81" t="e">
        <f>Z203</f>
        <v>#DIV/0!</v>
      </c>
      <c r="AQ203" s="81" t="e">
        <f>V203</f>
        <v>#DIV/0!</v>
      </c>
      <c r="AR203" s="3"/>
      <c r="AS203" s="76">
        <f t="shared" si="174"/>
        <v>21.428571428571427</v>
      </c>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row>
    <row r="204" spans="1:75" x14ac:dyDescent="0.3">
      <c r="A204" s="8" t="s">
        <v>20</v>
      </c>
      <c r="B204" s="9" t="s">
        <v>154</v>
      </c>
      <c r="C204" s="7"/>
      <c r="D204" s="7"/>
      <c r="E204" s="7"/>
      <c r="F204" s="71"/>
      <c r="G204" s="51">
        <f>I204+K204</f>
        <v>6</v>
      </c>
      <c r="H204" s="52">
        <f>G204/$J$5*100</f>
        <v>14.285714285714285</v>
      </c>
      <c r="I204" s="53">
        <f>COUNTIFS('00 Encuesta'!$B$2:$B$511,"*f)*",'00 Encuesta'!$C$2:$C$511,"*a)*",'00 Encuesta'!$E$2:$E$511,"*a)*",'00 Encuesta'!$Z$2:$Z$511,"*c)*")</f>
        <v>4</v>
      </c>
      <c r="J204" s="52">
        <f>I204/$J$6*100</f>
        <v>18.181818181818183</v>
      </c>
      <c r="K204" s="53">
        <f>COUNTIFS('00 Encuesta'!$B$2:$B$511,"*f)*",'00 Encuesta'!$C$2:$C$511,"*a)*",'00 Encuesta'!$E$2:$E$511,"*b)*",'00 Encuesta'!$Z$2:$Z$511,"*c)*")</f>
        <v>2</v>
      </c>
      <c r="L204" s="52">
        <f>K204/$J$7*100</f>
        <v>10</v>
      </c>
      <c r="M204" s="23"/>
      <c r="N204" s="51">
        <f>P204+R204</f>
        <v>0</v>
      </c>
      <c r="O204" s="52" t="e">
        <f>N204/$Q$5*100</f>
        <v>#DIV/0!</v>
      </c>
      <c r="P204" s="53">
        <f>COUNTIFS('00 Encuesta'!$B$2:$B$511,"*f)*",'00 Encuesta'!$C$2:$C$511,"*b)*",'00 Encuesta'!$E$2:$E$511,"*a)*",'00 Encuesta'!$Z$2:$Z$511,"*c)*")</f>
        <v>0</v>
      </c>
      <c r="Q204" s="52" t="e">
        <f>P204/$Q$6*100</f>
        <v>#DIV/0!</v>
      </c>
      <c r="R204" s="53">
        <f>COUNTIFS('00 Encuesta'!$B$2:$B$511,"*f)*",'00 Encuesta'!$C$2:$C$511,"*b)*",'00 Encuesta'!$E$2:$E$511,"*b)*",'00 Encuesta'!$Z$2:$Z$511,"*c)*")</f>
        <v>0</v>
      </c>
      <c r="S204" s="52" t="e">
        <f>R204/$Q$7*100</f>
        <v>#DIV/0!</v>
      </c>
      <c r="T204" s="3"/>
      <c r="U204" s="51">
        <f>W204+Y204</f>
        <v>0</v>
      </c>
      <c r="V204" s="52" t="e">
        <f>U204/$X$5*100</f>
        <v>#DIV/0!</v>
      </c>
      <c r="W204" s="53">
        <f>COUNTIFS('00 Encuesta'!$B$2:$B$511,"*f)*",'00 Encuesta'!$C$2:$C$511,"*c)*",'00 Encuesta'!$E$2:$E$511,"*a)*",'00 Encuesta'!$Z$2:$Z$511,"*c)*")</f>
        <v>0</v>
      </c>
      <c r="X204" s="52" t="e">
        <f>W204/$X$6*100</f>
        <v>#DIV/0!</v>
      </c>
      <c r="Y204" s="53">
        <f>COUNTIFS('00 Encuesta'!$B$2:$B$511,"*f)*",'00 Encuesta'!$C$2:$C$511,"*c)*",'00 Encuesta'!$E$2:$E$511,"*b)*",'00 Encuesta'!$Z$2:$Z$511,"*c)*")</f>
        <v>0</v>
      </c>
      <c r="Z204" s="52" t="e">
        <f>Y204/$X$7*100</f>
        <v>#DIV/0!</v>
      </c>
      <c r="AA204" s="3"/>
      <c r="AB204" s="62">
        <f>G204+N204+U204</f>
        <v>6</v>
      </c>
      <c r="AC204" s="52">
        <f>AB204*100/$AC$5</f>
        <v>14.285714285714286</v>
      </c>
      <c r="AD204" s="3"/>
      <c r="AE204" s="3"/>
      <c r="AF204" s="9" t="str">
        <f t="shared" si="226"/>
        <v>c) Un lugar donde me lo paso bien</v>
      </c>
      <c r="AG204" s="72">
        <f>J204</f>
        <v>18.181818181818183</v>
      </c>
      <c r="AH204" s="72">
        <f>L204</f>
        <v>10</v>
      </c>
      <c r="AI204" s="73">
        <f>H204</f>
        <v>14.285714285714285</v>
      </c>
      <c r="AJ204" s="73"/>
      <c r="AK204" s="76" t="e">
        <f>Q204</f>
        <v>#DIV/0!</v>
      </c>
      <c r="AL204" s="76" t="e">
        <f>S204</f>
        <v>#DIV/0!</v>
      </c>
      <c r="AM204" s="76" t="e">
        <f>O204</f>
        <v>#DIV/0!</v>
      </c>
      <c r="AN204" s="76"/>
      <c r="AO204" s="81" t="e">
        <f>X204</f>
        <v>#DIV/0!</v>
      </c>
      <c r="AP204" s="81" t="e">
        <f>Z204</f>
        <v>#DIV/0!</v>
      </c>
      <c r="AQ204" s="81" t="e">
        <f>V204</f>
        <v>#DIV/0!</v>
      </c>
      <c r="AR204" s="3"/>
      <c r="AS204" s="76">
        <f t="shared" si="174"/>
        <v>14.285714285714286</v>
      </c>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row>
    <row r="205" spans="1:75" x14ac:dyDescent="0.3">
      <c r="A205" s="8" t="s">
        <v>21</v>
      </c>
      <c r="B205" s="9" t="s">
        <v>155</v>
      </c>
      <c r="C205" s="7"/>
      <c r="D205" s="7"/>
      <c r="E205" s="7"/>
      <c r="F205" s="71"/>
      <c r="G205" s="51">
        <f>I205+K205</f>
        <v>9</v>
      </c>
      <c r="H205" s="52">
        <f>G205/$J$5*100</f>
        <v>21.428571428571427</v>
      </c>
      <c r="I205" s="53">
        <f>COUNTIFS('00 Encuesta'!$B$2:$B$511,"*f)*",'00 Encuesta'!$C$2:$C$511,"*a)*",'00 Encuesta'!$E$2:$E$511,"*a)*",'00 Encuesta'!$Z$2:$Z$511,"*d)*")</f>
        <v>4</v>
      </c>
      <c r="J205" s="52">
        <f>I205/$J$6*100</f>
        <v>18.181818181818183</v>
      </c>
      <c r="K205" s="53">
        <f>COUNTIFS('00 Encuesta'!$B$2:$B$511,"*f)*",'00 Encuesta'!$C$2:$C$511,"*a)*",'00 Encuesta'!$E$2:$E$511,"*b)*",'00 Encuesta'!$Z$2:$Z$511,"*d)*")</f>
        <v>5</v>
      </c>
      <c r="L205" s="52">
        <f>K205/$J$7*100</f>
        <v>25</v>
      </c>
      <c r="M205" s="23"/>
      <c r="N205" s="51">
        <f>P205+R205</f>
        <v>0</v>
      </c>
      <c r="O205" s="52" t="e">
        <f>N205/$Q$5*100</f>
        <v>#DIV/0!</v>
      </c>
      <c r="P205" s="53">
        <f>COUNTIFS('00 Encuesta'!$B$2:$B$511,"*f)*",'00 Encuesta'!$C$2:$C$511,"*b)*",'00 Encuesta'!$E$2:$E$511,"*a)*",'00 Encuesta'!$Z$2:$Z$511,"*d)*")</f>
        <v>0</v>
      </c>
      <c r="Q205" s="52" t="e">
        <f>P205/$Q$6*100</f>
        <v>#DIV/0!</v>
      </c>
      <c r="R205" s="53">
        <f>COUNTIFS('00 Encuesta'!$B$2:$B$511,"*f)*",'00 Encuesta'!$C$2:$C$511,"*b)*",'00 Encuesta'!$E$2:$E$511,"*b)*",'00 Encuesta'!$Z$2:$Z$511,"*d)*")</f>
        <v>0</v>
      </c>
      <c r="S205" s="52" t="e">
        <f>R205/$Q$7*100</f>
        <v>#DIV/0!</v>
      </c>
      <c r="T205" s="3"/>
      <c r="U205" s="51">
        <f>W205+Y205</f>
        <v>0</v>
      </c>
      <c r="V205" s="52" t="e">
        <f>U205/$X$5*100</f>
        <v>#DIV/0!</v>
      </c>
      <c r="W205" s="53">
        <f>COUNTIFS('00 Encuesta'!$B$2:$B$511,"*f)*",'00 Encuesta'!$C$2:$C$511,"*c)*",'00 Encuesta'!$E$2:$E$511,"*a)*",'00 Encuesta'!$Z$2:$Z$511,"*d)*")</f>
        <v>0</v>
      </c>
      <c r="X205" s="52" t="e">
        <f>W205/$X$6*100</f>
        <v>#DIV/0!</v>
      </c>
      <c r="Y205" s="53">
        <f>COUNTIFS('00 Encuesta'!$B$2:$B$511,"*f)*",'00 Encuesta'!$C$2:$C$511,"*c)*",'00 Encuesta'!$E$2:$E$511,"*b)*",'00 Encuesta'!$Z$2:$Z$511,"*d)*")</f>
        <v>0</v>
      </c>
      <c r="Z205" s="52" t="e">
        <f>Y205/$X$7*100</f>
        <v>#DIV/0!</v>
      </c>
      <c r="AA205" s="3"/>
      <c r="AB205" s="62">
        <f>G205+N205+U205</f>
        <v>9</v>
      </c>
      <c r="AC205" s="52">
        <f>AB205*100/$AC$5</f>
        <v>21.428571428571427</v>
      </c>
      <c r="AD205" s="3"/>
      <c r="AE205" s="3"/>
      <c r="AF205" s="9" t="str">
        <f t="shared" si="226"/>
        <v>d) No pertenezco a grupos juveniles cristianos</v>
      </c>
      <c r="AG205" s="72">
        <f>J205</f>
        <v>18.181818181818183</v>
      </c>
      <c r="AH205" s="72">
        <f>L205</f>
        <v>25</v>
      </c>
      <c r="AI205" s="73">
        <f>H205</f>
        <v>21.428571428571427</v>
      </c>
      <c r="AJ205" s="73"/>
      <c r="AK205" s="76" t="e">
        <f>Q205</f>
        <v>#DIV/0!</v>
      </c>
      <c r="AL205" s="76" t="e">
        <f>S205</f>
        <v>#DIV/0!</v>
      </c>
      <c r="AM205" s="76" t="e">
        <f>O205</f>
        <v>#DIV/0!</v>
      </c>
      <c r="AN205" s="76"/>
      <c r="AO205" s="81" t="e">
        <f>X205</f>
        <v>#DIV/0!</v>
      </c>
      <c r="AP205" s="81" t="e">
        <f>Z205</f>
        <v>#DIV/0!</v>
      </c>
      <c r="AQ205" s="81" t="e">
        <f>V205</f>
        <v>#DIV/0!</v>
      </c>
      <c r="AR205" s="3"/>
      <c r="AS205" s="76">
        <f t="shared" si="174"/>
        <v>21.428571428571427</v>
      </c>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row>
    <row r="206" spans="1:75" x14ac:dyDescent="0.3">
      <c r="A206" s="8" t="s">
        <v>23</v>
      </c>
      <c r="B206" s="9" t="s">
        <v>24</v>
      </c>
      <c r="C206" s="7"/>
      <c r="D206" s="7"/>
      <c r="E206" s="7"/>
      <c r="F206" s="71"/>
      <c r="G206" s="51">
        <f>I206+K206</f>
        <v>0</v>
      </c>
      <c r="H206" s="52">
        <f>G206/$J$5*100</f>
        <v>0</v>
      </c>
      <c r="I206" s="53"/>
      <c r="J206" s="52">
        <f>I206/$J$6*100</f>
        <v>0</v>
      </c>
      <c r="K206" s="53"/>
      <c r="L206" s="52">
        <f>K206/$J$7*100</f>
        <v>0</v>
      </c>
      <c r="M206" s="23"/>
      <c r="N206" s="51">
        <f>P206+R206</f>
        <v>0</v>
      </c>
      <c r="O206" s="52" t="e">
        <f>N206/$Q$5*100</f>
        <v>#DIV/0!</v>
      </c>
      <c r="P206" s="53"/>
      <c r="Q206" s="52" t="e">
        <f>P206/$Q$6*100</f>
        <v>#DIV/0!</v>
      </c>
      <c r="R206" s="53"/>
      <c r="S206" s="52" t="e">
        <f>R206/$Q$7*100</f>
        <v>#DIV/0!</v>
      </c>
      <c r="T206" s="3"/>
      <c r="U206" s="51">
        <f>W206+Y206</f>
        <v>0</v>
      </c>
      <c r="V206" s="52" t="e">
        <f>U206/$X$5*100</f>
        <v>#DIV/0!</v>
      </c>
      <c r="W206" s="53"/>
      <c r="X206" s="52" t="e">
        <f>W206/$X$6*100</f>
        <v>#DIV/0!</v>
      </c>
      <c r="Y206" s="53"/>
      <c r="Z206" s="52" t="e">
        <f>Y206/$X$7*100</f>
        <v>#DIV/0!</v>
      </c>
      <c r="AA206" s="3"/>
      <c r="AB206" s="62">
        <f>G206+N206+U206</f>
        <v>0</v>
      </c>
      <c r="AC206" s="52">
        <f>AB206*100/$AC$5</f>
        <v>0</v>
      </c>
      <c r="AD206" s="3"/>
      <c r="AE206" s="3"/>
      <c r="AF206" s="9" t="str">
        <f t="shared" si="226"/>
        <v>S/R Sin Respuesta</v>
      </c>
      <c r="AG206" s="72">
        <f>J206</f>
        <v>0</v>
      </c>
      <c r="AH206" s="72">
        <f>L206</f>
        <v>0</v>
      </c>
      <c r="AI206" s="73">
        <f>H206</f>
        <v>0</v>
      </c>
      <c r="AJ206" s="73"/>
      <c r="AK206" s="76" t="e">
        <f>Q206</f>
        <v>#DIV/0!</v>
      </c>
      <c r="AL206" s="76" t="e">
        <f>S206</f>
        <v>#DIV/0!</v>
      </c>
      <c r="AM206" s="76" t="e">
        <f>O206</f>
        <v>#DIV/0!</v>
      </c>
      <c r="AN206" s="76"/>
      <c r="AO206" s="81" t="e">
        <f>X206</f>
        <v>#DIV/0!</v>
      </c>
      <c r="AP206" s="81" t="e">
        <f>Z206</f>
        <v>#DIV/0!</v>
      </c>
      <c r="AQ206" s="81" t="e">
        <f>V206</f>
        <v>#DIV/0!</v>
      </c>
      <c r="AR206" s="3"/>
      <c r="AS206" s="76">
        <f t="shared" si="174"/>
        <v>0</v>
      </c>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row>
    <row r="207" spans="1:75" x14ac:dyDescent="0.3">
      <c r="A207" s="8"/>
      <c r="B207" s="9"/>
      <c r="C207" s="7"/>
      <c r="D207" s="7"/>
      <c r="E207" s="7"/>
      <c r="F207" s="71"/>
      <c r="G207" s="71"/>
      <c r="H207" s="71"/>
      <c r="I207" s="71"/>
      <c r="J207" s="71"/>
      <c r="K207" s="71"/>
      <c r="L207" s="71"/>
      <c r="M207" s="71"/>
      <c r="N207" s="71"/>
      <c r="O207" s="71"/>
      <c r="P207" s="71"/>
      <c r="Q207" s="71"/>
      <c r="R207" s="71"/>
      <c r="S207" s="71"/>
      <c r="T207" s="71"/>
      <c r="U207" s="71"/>
      <c r="V207" s="71"/>
      <c r="W207" s="71"/>
      <c r="X207" s="71"/>
      <c r="Y207" s="71"/>
      <c r="Z207" s="71"/>
      <c r="AA207" s="71"/>
      <c r="AB207" s="83"/>
      <c r="AC207" s="41"/>
      <c r="AD207" s="3"/>
      <c r="AE207" s="3"/>
      <c r="AF207" s="3"/>
      <c r="AG207" s="3"/>
      <c r="AH207" s="3"/>
      <c r="AI207" s="3"/>
      <c r="AJ207" s="3"/>
      <c r="AK207" s="3"/>
      <c r="AL207" s="3"/>
      <c r="AM207" s="3"/>
      <c r="AN207" s="3"/>
      <c r="AO207" s="3"/>
      <c r="AP207" s="3"/>
      <c r="AQ207" s="3"/>
      <c r="AR207" s="3"/>
      <c r="AS207" s="76"/>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row>
    <row r="208" spans="1:75" x14ac:dyDescent="0.3">
      <c r="A208" s="70">
        <v>24</v>
      </c>
      <c r="B208" s="9" t="s">
        <v>156</v>
      </c>
      <c r="C208" s="7"/>
      <c r="D208" s="7"/>
      <c r="E208" s="7"/>
      <c r="F208" s="71"/>
      <c r="G208" s="51"/>
      <c r="H208" s="52"/>
      <c r="I208" s="53"/>
      <c r="J208" s="52"/>
      <c r="K208" s="53"/>
      <c r="L208" s="66"/>
      <c r="M208" s="23"/>
      <c r="N208" s="51"/>
      <c r="O208" s="52"/>
      <c r="P208" s="53"/>
      <c r="Q208" s="52"/>
      <c r="R208" s="53"/>
      <c r="S208" s="66"/>
      <c r="T208" s="3"/>
      <c r="U208" s="51"/>
      <c r="V208" s="52"/>
      <c r="W208" s="53"/>
      <c r="X208" s="52"/>
      <c r="Y208" s="53"/>
      <c r="Z208" s="66"/>
      <c r="AA208" s="3"/>
      <c r="AB208" s="62"/>
      <c r="AC208" s="52"/>
      <c r="AD208" s="3"/>
      <c r="AE208" s="3"/>
      <c r="AF208" s="88" t="str">
        <f>A208&amp;" "&amp;B208</f>
        <v>24 Alguna vez pensé en ser sacerdote o hermana religiosa</v>
      </c>
      <c r="AG208" s="3"/>
      <c r="AH208" s="3"/>
      <c r="AI208" s="3"/>
      <c r="AJ208" s="3"/>
      <c r="AK208" s="3"/>
      <c r="AL208" s="3"/>
      <c r="AM208" s="3"/>
      <c r="AN208" s="3"/>
      <c r="AO208" s="3"/>
      <c r="AP208" s="3"/>
      <c r="AQ208" s="3"/>
      <c r="AR208" s="3"/>
      <c r="AS208" s="76"/>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row>
    <row r="209" spans="1:75" x14ac:dyDescent="0.3">
      <c r="A209" s="8" t="s">
        <v>17</v>
      </c>
      <c r="B209" s="9" t="s">
        <v>49</v>
      </c>
      <c r="C209" s="7"/>
      <c r="D209" s="7"/>
      <c r="E209" s="7"/>
      <c r="F209" s="71"/>
      <c r="G209" s="51">
        <f>I209+K209</f>
        <v>4</v>
      </c>
      <c r="H209" s="52">
        <f>G209/$J$5*100</f>
        <v>9.5238095238095237</v>
      </c>
      <c r="I209" s="53">
        <f>COUNTIFS('00 Encuesta'!$B$2:$B$511,"*f)*",'00 Encuesta'!$C$2:$C$511,"*a)*",'00 Encuesta'!$E$2:$E$511,"*a)*",'00 Encuesta'!$AA$2:$AA$511,"*a)*")</f>
        <v>3</v>
      </c>
      <c r="J209" s="52">
        <f>I209/$J$6*100</f>
        <v>13.636363636363635</v>
      </c>
      <c r="K209" s="53">
        <f>COUNTIFS('00 Encuesta'!$B$2:$B$511,"*f)*",'00 Encuesta'!$C$2:$C$511,"*a)*",'00 Encuesta'!$E$2:$E$511,"*b)*",'00 Encuesta'!$AA$2:$AA$511,"*a)*")</f>
        <v>1</v>
      </c>
      <c r="L209" s="52">
        <f>K209/$J$7*100</f>
        <v>5</v>
      </c>
      <c r="M209" s="23"/>
      <c r="N209" s="51">
        <f>P209+R209</f>
        <v>0</v>
      </c>
      <c r="O209" s="52" t="e">
        <f>N209/$Q$5*100</f>
        <v>#DIV/0!</v>
      </c>
      <c r="P209" s="53">
        <f>COUNTIFS('00 Encuesta'!$B$2:$B$511,"*f)*",'00 Encuesta'!$C$2:$C$511,"*b)*",'00 Encuesta'!$E$2:$E$511,"*a)*",'00 Encuesta'!$AA$2:$AA$511,"*a)*")</f>
        <v>0</v>
      </c>
      <c r="Q209" s="52" t="e">
        <f>P209/$Q$6*100</f>
        <v>#DIV/0!</v>
      </c>
      <c r="R209" s="53">
        <f>COUNTIFS('00 Encuesta'!$B$2:$B$511,"*f)*",'00 Encuesta'!$C$2:$C$511,"*b)*",'00 Encuesta'!$E$2:$E$511,"*b)*",'00 Encuesta'!$AA$2:$AA$511,"*a)*")</f>
        <v>0</v>
      </c>
      <c r="S209" s="52" t="e">
        <f>R209/$Q$7*100</f>
        <v>#DIV/0!</v>
      </c>
      <c r="T209" s="3"/>
      <c r="U209" s="51">
        <f>W209+Y209</f>
        <v>0</v>
      </c>
      <c r="V209" s="52" t="e">
        <f>U209/$X$5*100</f>
        <v>#DIV/0!</v>
      </c>
      <c r="W209" s="53">
        <f>COUNTIFS('00 Encuesta'!$B$2:$B$511,"*f)*",'00 Encuesta'!$C$2:$C$511,"*c)*",'00 Encuesta'!$E$2:$E$511,"*a)*",'00 Encuesta'!$AA$2:$AA$511,"*a)*")</f>
        <v>0</v>
      </c>
      <c r="X209" s="52" t="e">
        <f>W209/$X$6*100</f>
        <v>#DIV/0!</v>
      </c>
      <c r="Y209" s="53">
        <f>COUNTIFS('00 Encuesta'!$B$2:$B$511,"*f)*",'00 Encuesta'!$C$2:$C$511,"*c)*",'00 Encuesta'!$E$2:$E$511,"*b)*",'00 Encuesta'!$AA$2:$AA$511,"*a)*")</f>
        <v>0</v>
      </c>
      <c r="Z209" s="52" t="e">
        <f>Y209/$X$7*100</f>
        <v>#DIV/0!</v>
      </c>
      <c r="AA209" s="3"/>
      <c r="AB209" s="62">
        <f>G209+N209+U209</f>
        <v>4</v>
      </c>
      <c r="AC209" s="52">
        <f>AB209*100/$AC$5</f>
        <v>9.5238095238095237</v>
      </c>
      <c r="AD209" s="3"/>
      <c r="AE209" s="3"/>
      <c r="AF209" s="9" t="str">
        <f>A209&amp;" "&amp;B209</f>
        <v>a) Si</v>
      </c>
      <c r="AG209" s="72">
        <f>J209</f>
        <v>13.636363636363635</v>
      </c>
      <c r="AH209" s="72">
        <f>L209</f>
        <v>5</v>
      </c>
      <c r="AI209" s="73">
        <f>H209</f>
        <v>9.5238095238095237</v>
      </c>
      <c r="AJ209" s="73"/>
      <c r="AK209" s="76" t="e">
        <f>Q209</f>
        <v>#DIV/0!</v>
      </c>
      <c r="AL209" s="76" t="e">
        <f>S209</f>
        <v>#DIV/0!</v>
      </c>
      <c r="AM209" s="76" t="e">
        <f>O209</f>
        <v>#DIV/0!</v>
      </c>
      <c r="AN209" s="76"/>
      <c r="AO209" s="81" t="e">
        <f>X209</f>
        <v>#DIV/0!</v>
      </c>
      <c r="AP209" s="81" t="e">
        <f>Z209</f>
        <v>#DIV/0!</v>
      </c>
      <c r="AQ209" s="81" t="e">
        <f>V209</f>
        <v>#DIV/0!</v>
      </c>
      <c r="AR209" s="3"/>
      <c r="AS209" s="76">
        <f t="shared" ref="AS209:AS270" si="227">AC209</f>
        <v>9.5238095238095237</v>
      </c>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row>
    <row r="210" spans="1:75" x14ac:dyDescent="0.3">
      <c r="A210" s="8" t="s">
        <v>18</v>
      </c>
      <c r="B210" s="9" t="s">
        <v>50</v>
      </c>
      <c r="C210" s="7"/>
      <c r="D210" s="7"/>
      <c r="E210" s="7"/>
      <c r="F210" s="71"/>
      <c r="G210" s="51">
        <f>I210+K210</f>
        <v>25</v>
      </c>
      <c r="H210" s="52">
        <f>G210/$J$5*100</f>
        <v>59.523809523809526</v>
      </c>
      <c r="I210" s="53">
        <f>COUNTIFS('00 Encuesta'!$B$2:$B$511,"*f)*",'00 Encuesta'!$C$2:$C$511,"*a)*",'00 Encuesta'!$E$2:$E$511,"*a)*",'00 Encuesta'!$AA$2:$AA$511,"*b)*")</f>
        <v>10</v>
      </c>
      <c r="J210" s="52">
        <f>I210/$J$6*100</f>
        <v>45.454545454545453</v>
      </c>
      <c r="K210" s="53">
        <f>COUNTIFS('00 Encuesta'!$B$2:$B$511,"*f)*",'00 Encuesta'!$C$2:$C$511,"*a)*",'00 Encuesta'!$E$2:$E$511,"*b)*",'00 Encuesta'!$AA$2:$AA$511,"*b)*")</f>
        <v>15</v>
      </c>
      <c r="L210" s="52">
        <f>K210/$J$7*100</f>
        <v>75</v>
      </c>
      <c r="M210" s="23"/>
      <c r="N210" s="51">
        <f>P210+R210</f>
        <v>0</v>
      </c>
      <c r="O210" s="52" t="e">
        <f>N210/$Q$5*100</f>
        <v>#DIV/0!</v>
      </c>
      <c r="P210" s="53">
        <f>COUNTIFS('00 Encuesta'!$B$2:$B$511,"*f)*",'00 Encuesta'!$C$2:$C$511,"*b)*",'00 Encuesta'!$E$2:$E$511,"*a)*",'00 Encuesta'!$AA$2:$AA$511,"*b)*")</f>
        <v>0</v>
      </c>
      <c r="Q210" s="52" t="e">
        <f>P210/$Q$6*100</f>
        <v>#DIV/0!</v>
      </c>
      <c r="R210" s="53">
        <f>COUNTIFS('00 Encuesta'!$B$2:$B$511,"*f)*",'00 Encuesta'!$C$2:$C$511,"*b)*",'00 Encuesta'!$E$2:$E$511,"*b)*",'00 Encuesta'!$AA$2:$AA$511,"*b)*")</f>
        <v>0</v>
      </c>
      <c r="S210" s="52" t="e">
        <f>R210/$Q$7*100</f>
        <v>#DIV/0!</v>
      </c>
      <c r="T210" s="3"/>
      <c r="U210" s="51">
        <f>W210+Y210</f>
        <v>0</v>
      </c>
      <c r="V210" s="52" t="e">
        <f>U210/$X$5*100</f>
        <v>#DIV/0!</v>
      </c>
      <c r="W210" s="53">
        <f>COUNTIFS('00 Encuesta'!$B$2:$B$511,"*f)*",'00 Encuesta'!$C$2:$C$511,"*c)*",'00 Encuesta'!$E$2:$E$511,"*a)*",'00 Encuesta'!$AA$2:$AA$511,"*b)*")</f>
        <v>0</v>
      </c>
      <c r="X210" s="52" t="e">
        <f>W210/$X$6*100</f>
        <v>#DIV/0!</v>
      </c>
      <c r="Y210" s="53">
        <f>COUNTIFS('00 Encuesta'!$B$2:$B$511,"*f)*",'00 Encuesta'!$C$2:$C$511,"*c)*",'00 Encuesta'!$E$2:$E$511,"*b)*",'00 Encuesta'!$AA$2:$AA$511,"*b)*")</f>
        <v>0</v>
      </c>
      <c r="Z210" s="52" t="e">
        <f>Y210/$X$7*100</f>
        <v>#DIV/0!</v>
      </c>
      <c r="AA210" s="3"/>
      <c r="AB210" s="62">
        <f>G210+N210+U210</f>
        <v>25</v>
      </c>
      <c r="AC210" s="52">
        <f>AB210*100/$AC$5</f>
        <v>59.523809523809526</v>
      </c>
      <c r="AD210" s="3"/>
      <c r="AE210" s="3"/>
      <c r="AF210" s="9" t="str">
        <f>A210&amp;" "&amp;B210</f>
        <v>b) No</v>
      </c>
      <c r="AG210" s="72">
        <f>J210</f>
        <v>45.454545454545453</v>
      </c>
      <c r="AH210" s="72">
        <f>L210</f>
        <v>75</v>
      </c>
      <c r="AI210" s="73">
        <f>H210</f>
        <v>59.523809523809526</v>
      </c>
      <c r="AJ210" s="73"/>
      <c r="AK210" s="76" t="e">
        <f>Q210</f>
        <v>#DIV/0!</v>
      </c>
      <c r="AL210" s="76" t="e">
        <f>S210</f>
        <v>#DIV/0!</v>
      </c>
      <c r="AM210" s="76" t="e">
        <f>O210</f>
        <v>#DIV/0!</v>
      </c>
      <c r="AN210" s="76"/>
      <c r="AO210" s="81" t="e">
        <f>X210</f>
        <v>#DIV/0!</v>
      </c>
      <c r="AP210" s="81" t="e">
        <f>Z210</f>
        <v>#DIV/0!</v>
      </c>
      <c r="AQ210" s="81" t="e">
        <f>V210</f>
        <v>#DIV/0!</v>
      </c>
      <c r="AR210" s="3"/>
      <c r="AS210" s="76">
        <f t="shared" si="227"/>
        <v>59.523809523809526</v>
      </c>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row>
    <row r="211" spans="1:75" x14ac:dyDescent="0.3">
      <c r="A211" s="8" t="s">
        <v>20</v>
      </c>
      <c r="B211" s="9" t="s">
        <v>51</v>
      </c>
      <c r="C211" s="7"/>
      <c r="D211" s="7"/>
      <c r="E211" s="7"/>
      <c r="F211" s="71"/>
      <c r="G211" s="51">
        <f>I211+K211</f>
        <v>12</v>
      </c>
      <c r="H211" s="52">
        <f>G211/$J$5*100</f>
        <v>28.571428571428569</v>
      </c>
      <c r="I211" s="53">
        <f>COUNTIFS('00 Encuesta'!$B$2:$B$511,"*f)*",'00 Encuesta'!$C$2:$C$511,"*a)*",'00 Encuesta'!$E$2:$E$511,"*a)*",'00 Encuesta'!$AA$2:$AA$511,"*c)*")</f>
        <v>8</v>
      </c>
      <c r="J211" s="52">
        <f>I211/$J$6*100</f>
        <v>36.363636363636367</v>
      </c>
      <c r="K211" s="53">
        <f>COUNTIFS('00 Encuesta'!$B$2:$B$511,"*f)*",'00 Encuesta'!$C$2:$C$511,"*a)*",'00 Encuesta'!$E$2:$E$511,"*b)*",'00 Encuesta'!$AA$2:$AA$511,"*c)*")</f>
        <v>4</v>
      </c>
      <c r="L211" s="52">
        <f>K211/$J$7*100</f>
        <v>20</v>
      </c>
      <c r="M211" s="23"/>
      <c r="N211" s="51">
        <f>P211+R211</f>
        <v>0</v>
      </c>
      <c r="O211" s="52" t="e">
        <f>N211/$Q$5*100</f>
        <v>#DIV/0!</v>
      </c>
      <c r="P211" s="53">
        <f>COUNTIFS('00 Encuesta'!$B$2:$B$511,"*f)*",'00 Encuesta'!$C$2:$C$511,"*b)*",'00 Encuesta'!$E$2:$E$511,"*a)*",'00 Encuesta'!$AA$2:$AA$511,"*c)*")</f>
        <v>0</v>
      </c>
      <c r="Q211" s="52" t="e">
        <f>P211/$Q$6*100</f>
        <v>#DIV/0!</v>
      </c>
      <c r="R211" s="53">
        <f>COUNTIFS('00 Encuesta'!$B$2:$B$511,"*f)*",'00 Encuesta'!$C$2:$C$511,"*b)*",'00 Encuesta'!$E$2:$E$511,"*b)*",'00 Encuesta'!$AA$2:$AA$511,"*c)*")</f>
        <v>0</v>
      </c>
      <c r="S211" s="52" t="e">
        <f>R211/$Q$7*100</f>
        <v>#DIV/0!</v>
      </c>
      <c r="T211" s="3"/>
      <c r="U211" s="51">
        <f>W211+Y211</f>
        <v>0</v>
      </c>
      <c r="V211" s="52" t="e">
        <f>U211/$X$5*100</f>
        <v>#DIV/0!</v>
      </c>
      <c r="W211" s="53">
        <f>COUNTIFS('00 Encuesta'!$B$2:$B$511,"*f)*",'00 Encuesta'!$C$2:$C$511,"*c)*",'00 Encuesta'!$E$2:$E$511,"*a)*",'00 Encuesta'!$AA$2:$AA$511,"*c)*")</f>
        <v>0</v>
      </c>
      <c r="X211" s="52" t="e">
        <f>W211/$X$6*100</f>
        <v>#DIV/0!</v>
      </c>
      <c r="Y211" s="53">
        <f>COUNTIFS('00 Encuesta'!$B$2:$B$511,"*f)*",'00 Encuesta'!$C$2:$C$511,"*c)*",'00 Encuesta'!$E$2:$E$511,"*b)*",'00 Encuesta'!$AA$2:$AA$511,"*c)*")</f>
        <v>0</v>
      </c>
      <c r="Z211" s="52" t="e">
        <f>Y211/$X$7*100</f>
        <v>#DIV/0!</v>
      </c>
      <c r="AA211" s="3"/>
      <c r="AB211" s="62">
        <f>G211+N211+U211</f>
        <v>12</v>
      </c>
      <c r="AC211" s="52">
        <f>AB211*100/$AC$5</f>
        <v>28.571428571428573</v>
      </c>
      <c r="AD211" s="3"/>
      <c r="AE211" s="3"/>
      <c r="AF211" s="9" t="str">
        <f>A211&amp;" "&amp;B211</f>
        <v>c) Algo</v>
      </c>
      <c r="AG211" s="72">
        <f>J211</f>
        <v>36.363636363636367</v>
      </c>
      <c r="AH211" s="72">
        <f>L211</f>
        <v>20</v>
      </c>
      <c r="AI211" s="73">
        <f>H211</f>
        <v>28.571428571428569</v>
      </c>
      <c r="AJ211" s="73"/>
      <c r="AK211" s="76" t="e">
        <f>Q211</f>
        <v>#DIV/0!</v>
      </c>
      <c r="AL211" s="76" t="e">
        <f>S211</f>
        <v>#DIV/0!</v>
      </c>
      <c r="AM211" s="76" t="e">
        <f>O211</f>
        <v>#DIV/0!</v>
      </c>
      <c r="AN211" s="76"/>
      <c r="AO211" s="81" t="e">
        <f>X211</f>
        <v>#DIV/0!</v>
      </c>
      <c r="AP211" s="81" t="e">
        <f>Z211</f>
        <v>#DIV/0!</v>
      </c>
      <c r="AQ211" s="81" t="e">
        <f>V211</f>
        <v>#DIV/0!</v>
      </c>
      <c r="AR211" s="3"/>
      <c r="AS211" s="76">
        <f t="shared" si="227"/>
        <v>28.571428571428573</v>
      </c>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row>
    <row r="212" spans="1:75" x14ac:dyDescent="0.3">
      <c r="A212" s="8" t="s">
        <v>23</v>
      </c>
      <c r="B212" s="9" t="s">
        <v>24</v>
      </c>
      <c r="C212" s="7"/>
      <c r="D212" s="7"/>
      <c r="E212" s="7"/>
      <c r="F212" s="71"/>
      <c r="G212" s="51">
        <f>I212+K212</f>
        <v>0</v>
      </c>
      <c r="H212" s="52">
        <f>G212/$J$5*100</f>
        <v>0</v>
      </c>
      <c r="I212" s="53"/>
      <c r="J212" s="52">
        <f>I212/$J$6*100</f>
        <v>0</v>
      </c>
      <c r="K212" s="53"/>
      <c r="L212" s="52">
        <f>K212/$J$7*100</f>
        <v>0</v>
      </c>
      <c r="M212" s="23"/>
      <c r="N212" s="51">
        <f>P212+R212</f>
        <v>0</v>
      </c>
      <c r="O212" s="52" t="e">
        <f>N212/$Q$5*100</f>
        <v>#DIV/0!</v>
      </c>
      <c r="P212" s="53"/>
      <c r="Q212" s="52" t="e">
        <f>P212/$Q$6*100</f>
        <v>#DIV/0!</v>
      </c>
      <c r="R212" s="53"/>
      <c r="S212" s="52" t="e">
        <f>R212/$Q$7*100</f>
        <v>#DIV/0!</v>
      </c>
      <c r="T212" s="3"/>
      <c r="U212" s="51">
        <f>W212+Y212</f>
        <v>0</v>
      </c>
      <c r="V212" s="52" t="e">
        <f>U212/$X$5*100</f>
        <v>#DIV/0!</v>
      </c>
      <c r="W212" s="53"/>
      <c r="X212" s="52" t="e">
        <f>W212/$X$6*100</f>
        <v>#DIV/0!</v>
      </c>
      <c r="Y212" s="53"/>
      <c r="Z212" s="52" t="e">
        <f>Y212/$X$7*100</f>
        <v>#DIV/0!</v>
      </c>
      <c r="AA212" s="3"/>
      <c r="AB212" s="62">
        <f>G212+N212+U212</f>
        <v>0</v>
      </c>
      <c r="AC212" s="52">
        <f>AB212*100/$AC$5</f>
        <v>0</v>
      </c>
      <c r="AD212" s="3"/>
      <c r="AE212" s="3"/>
      <c r="AF212" s="9" t="str">
        <f>A212&amp;" "&amp;B212</f>
        <v>S/R Sin Respuesta</v>
      </c>
      <c r="AG212" s="72">
        <f>J212</f>
        <v>0</v>
      </c>
      <c r="AH212" s="72">
        <f>L212</f>
        <v>0</v>
      </c>
      <c r="AI212" s="73">
        <f>H212</f>
        <v>0</v>
      </c>
      <c r="AJ212" s="73"/>
      <c r="AK212" s="76" t="e">
        <f>Q212</f>
        <v>#DIV/0!</v>
      </c>
      <c r="AL212" s="76" t="e">
        <f>S212</f>
        <v>#DIV/0!</v>
      </c>
      <c r="AM212" s="76" t="e">
        <f>O212</f>
        <v>#DIV/0!</v>
      </c>
      <c r="AN212" s="76"/>
      <c r="AO212" s="81" t="e">
        <f>X212</f>
        <v>#DIV/0!</v>
      </c>
      <c r="AP212" s="81" t="e">
        <f>Z212</f>
        <v>#DIV/0!</v>
      </c>
      <c r="AQ212" s="81" t="e">
        <f>V212</f>
        <v>#DIV/0!</v>
      </c>
      <c r="AR212" s="3"/>
      <c r="AS212" s="76">
        <f t="shared" si="227"/>
        <v>0</v>
      </c>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row>
    <row r="213" spans="1:75" x14ac:dyDescent="0.3">
      <c r="A213" s="8"/>
      <c r="B213" s="9"/>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6"/>
      <c r="AC213" s="41"/>
      <c r="AD213" s="3"/>
      <c r="AE213" s="3"/>
      <c r="AF213" s="3"/>
      <c r="AG213" s="3"/>
      <c r="AH213" s="3"/>
      <c r="AI213" s="3"/>
      <c r="AJ213" s="3"/>
      <c r="AK213" s="3"/>
      <c r="AL213" s="3"/>
      <c r="AM213" s="3"/>
      <c r="AN213" s="3"/>
      <c r="AO213" s="3"/>
      <c r="AP213" s="3"/>
      <c r="AQ213" s="3"/>
      <c r="AR213" s="3"/>
      <c r="AS213" s="76"/>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row>
    <row r="214" spans="1:75" x14ac:dyDescent="0.3">
      <c r="A214" s="70">
        <v>25</v>
      </c>
      <c r="B214" s="9" t="s">
        <v>157</v>
      </c>
      <c r="C214" s="7"/>
      <c r="D214" s="7"/>
      <c r="E214" s="7"/>
      <c r="F214" s="71"/>
      <c r="G214" s="51"/>
      <c r="H214" s="52"/>
      <c r="I214" s="53"/>
      <c r="J214" s="52"/>
      <c r="K214" s="53"/>
      <c r="L214" s="66"/>
      <c r="M214" s="23"/>
      <c r="N214" s="51"/>
      <c r="O214" s="52"/>
      <c r="P214" s="53"/>
      <c r="Q214" s="52"/>
      <c r="R214" s="53"/>
      <c r="S214" s="66"/>
      <c r="T214" s="3"/>
      <c r="U214" s="51"/>
      <c r="V214" s="52"/>
      <c r="W214" s="53"/>
      <c r="X214" s="52"/>
      <c r="Y214" s="53"/>
      <c r="Z214" s="66"/>
      <c r="AA214" s="3"/>
      <c r="AB214" s="62"/>
      <c r="AC214" s="52"/>
      <c r="AD214" s="3"/>
      <c r="AE214" s="3"/>
      <c r="AF214" s="88" t="str">
        <f>A214&amp;" "&amp;B214</f>
        <v>25 Actualmente considero la posibilidad de ser sacerdote o hermana religiosa:</v>
      </c>
      <c r="AG214" s="3"/>
      <c r="AH214" s="3"/>
      <c r="AI214" s="3"/>
      <c r="AJ214" s="3"/>
      <c r="AK214" s="3"/>
      <c r="AL214" s="3"/>
      <c r="AM214" s="3"/>
      <c r="AN214" s="3"/>
      <c r="AO214" s="3"/>
      <c r="AP214" s="3"/>
      <c r="AQ214" s="3"/>
      <c r="AR214" s="3"/>
      <c r="AS214" s="76"/>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row>
    <row r="215" spans="1:75" x14ac:dyDescent="0.3">
      <c r="A215" s="8" t="s">
        <v>17</v>
      </c>
      <c r="B215" s="9" t="s">
        <v>49</v>
      </c>
      <c r="C215" s="7"/>
      <c r="D215" s="7"/>
      <c r="E215" s="7"/>
      <c r="F215" s="71"/>
      <c r="G215" s="51">
        <f>I215+K215</f>
        <v>1</v>
      </c>
      <c r="H215" s="52">
        <f>G215/$J$5*100</f>
        <v>2.3809523809523809</v>
      </c>
      <c r="I215" s="53">
        <f>COUNTIFS('00 Encuesta'!$B$2:$B$511,"*f)*",'00 Encuesta'!$C$2:$C$511,"*a)*",'00 Encuesta'!$E$2:$E$511,"*a)*",'00 Encuesta'!$AB$2:$AB$511,"*a)*")</f>
        <v>0</v>
      </c>
      <c r="J215" s="52">
        <f>I215/$J$6*100</f>
        <v>0</v>
      </c>
      <c r="K215" s="53">
        <f>COUNTIFS('00 Encuesta'!$B$2:$B$511,"*f)*",'00 Encuesta'!$C$2:$C$511,"*a)*",'00 Encuesta'!$E$2:$E$511,"*b)*",'00 Encuesta'!$AB$2:$AB$511,"*a)*")</f>
        <v>1</v>
      </c>
      <c r="L215" s="52">
        <f>K215/$J$7*100</f>
        <v>5</v>
      </c>
      <c r="M215" s="23"/>
      <c r="N215" s="51">
        <f>P215+R215</f>
        <v>0</v>
      </c>
      <c r="O215" s="52" t="e">
        <f>N215/$Q$5*100</f>
        <v>#DIV/0!</v>
      </c>
      <c r="P215" s="53">
        <f>COUNTIFS('00 Encuesta'!$B$2:$B$511,"*f)*",'00 Encuesta'!$C$2:$C$511,"*b)*",'00 Encuesta'!$E$2:$E$511,"*a)*",'00 Encuesta'!$AB$2:$AB$511,"*a)*")</f>
        <v>0</v>
      </c>
      <c r="Q215" s="52" t="e">
        <f>P215/$Q$6*100</f>
        <v>#DIV/0!</v>
      </c>
      <c r="R215" s="53">
        <f>COUNTIFS('00 Encuesta'!$B$2:$B$511,"*f)*",'00 Encuesta'!$C$2:$C$511,"*b)*",'00 Encuesta'!$E$2:$E$511,"*b)*",'00 Encuesta'!$AB$2:$AB$511,"*a)*")</f>
        <v>0</v>
      </c>
      <c r="S215" s="52" t="e">
        <f>R215/$Q$7*100</f>
        <v>#DIV/0!</v>
      </c>
      <c r="T215" s="3"/>
      <c r="U215" s="51">
        <f>W215+Y215</f>
        <v>0</v>
      </c>
      <c r="V215" s="52" t="e">
        <f>U215/$X$5*100</f>
        <v>#DIV/0!</v>
      </c>
      <c r="W215" s="53">
        <f>COUNTIFS('00 Encuesta'!$B$2:$B$511,"*f)*",'00 Encuesta'!$C$2:$C$511,"*c)*",'00 Encuesta'!$E$2:$E$511,"*a)*",'00 Encuesta'!$AB$2:$AB$511,"*a)*")</f>
        <v>0</v>
      </c>
      <c r="X215" s="52" t="e">
        <f>W215/$X$6*100</f>
        <v>#DIV/0!</v>
      </c>
      <c r="Y215" s="53">
        <f>COUNTIFS('00 Encuesta'!$B$2:$B$511,"*f)*",'00 Encuesta'!$C$2:$C$511,"*c)*",'00 Encuesta'!$E$2:$E$511,"*b)*",'00 Encuesta'!$AB$2:$AB$511,"*a)*")</f>
        <v>0</v>
      </c>
      <c r="Z215" s="52" t="e">
        <f>Y215/$X$7*100</f>
        <v>#DIV/0!</v>
      </c>
      <c r="AA215" s="3"/>
      <c r="AB215" s="62">
        <f>G215+N215+U215</f>
        <v>1</v>
      </c>
      <c r="AC215" s="52">
        <f>AB215*100/$AC$5</f>
        <v>2.3809523809523809</v>
      </c>
      <c r="AD215" s="3"/>
      <c r="AE215" s="3"/>
      <c r="AF215" s="9" t="str">
        <f>A215&amp;" "&amp;B215</f>
        <v>a) Si</v>
      </c>
      <c r="AG215" s="72">
        <f>J215</f>
        <v>0</v>
      </c>
      <c r="AH215" s="72">
        <f>L215</f>
        <v>5</v>
      </c>
      <c r="AI215" s="73">
        <f>H215</f>
        <v>2.3809523809523809</v>
      </c>
      <c r="AJ215" s="73"/>
      <c r="AK215" s="76" t="e">
        <f>Q215</f>
        <v>#DIV/0!</v>
      </c>
      <c r="AL215" s="76" t="e">
        <f>S215</f>
        <v>#DIV/0!</v>
      </c>
      <c r="AM215" s="76" t="e">
        <f>O215</f>
        <v>#DIV/0!</v>
      </c>
      <c r="AN215" s="76"/>
      <c r="AO215" s="81" t="e">
        <f>X215</f>
        <v>#DIV/0!</v>
      </c>
      <c r="AP215" s="81" t="e">
        <f>Z215</f>
        <v>#DIV/0!</v>
      </c>
      <c r="AQ215" s="81" t="e">
        <f>V215</f>
        <v>#DIV/0!</v>
      </c>
      <c r="AR215" s="3"/>
      <c r="AS215" s="76">
        <f t="shared" si="227"/>
        <v>2.3809523809523809</v>
      </c>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row>
    <row r="216" spans="1:75" x14ac:dyDescent="0.3">
      <c r="A216" s="8" t="s">
        <v>18</v>
      </c>
      <c r="B216" s="9" t="s">
        <v>50</v>
      </c>
      <c r="C216" s="7"/>
      <c r="D216" s="7"/>
      <c r="E216" s="7"/>
      <c r="F216" s="71"/>
      <c r="G216" s="51">
        <f>I216+K216</f>
        <v>27</v>
      </c>
      <c r="H216" s="52">
        <f>G216/$J$5*100</f>
        <v>64.285714285714292</v>
      </c>
      <c r="I216" s="53">
        <f>COUNTIFS('00 Encuesta'!$B$2:$B$511,"*f)*",'00 Encuesta'!$C$2:$C$511,"*a)*",'00 Encuesta'!$E$2:$E$511,"*a)*",'00 Encuesta'!$AB$2:$AB$511,"*b)*")</f>
        <v>12</v>
      </c>
      <c r="J216" s="52">
        <f>I216/$J$6*100</f>
        <v>54.54545454545454</v>
      </c>
      <c r="K216" s="53">
        <f>COUNTIFS('00 Encuesta'!$B$2:$B$511,"*f)*",'00 Encuesta'!$C$2:$C$511,"*a)*",'00 Encuesta'!$E$2:$E$511,"*b)*",'00 Encuesta'!$AB$2:$AB$511,"*b)*")</f>
        <v>15</v>
      </c>
      <c r="L216" s="52">
        <f>K216/$J$7*100</f>
        <v>75</v>
      </c>
      <c r="M216" s="23"/>
      <c r="N216" s="51">
        <f>P216+R216</f>
        <v>0</v>
      </c>
      <c r="O216" s="52" t="e">
        <f>N216/$Q$5*100</f>
        <v>#DIV/0!</v>
      </c>
      <c r="P216" s="53">
        <f>COUNTIFS('00 Encuesta'!$B$2:$B$511,"*f)*",'00 Encuesta'!$C$2:$C$511,"*b)*",'00 Encuesta'!$E$2:$E$511,"*a)*",'00 Encuesta'!$AB$2:$AB$511,"*b)*")</f>
        <v>0</v>
      </c>
      <c r="Q216" s="52" t="e">
        <f>P216/$Q$6*100</f>
        <v>#DIV/0!</v>
      </c>
      <c r="R216" s="53">
        <f>COUNTIFS('00 Encuesta'!$B$2:$B$511,"*f)*",'00 Encuesta'!$C$2:$C$511,"*b)*",'00 Encuesta'!$E$2:$E$511,"*b)*",'00 Encuesta'!$AB$2:$AB$511,"*b)*")</f>
        <v>0</v>
      </c>
      <c r="S216" s="52" t="e">
        <f>R216/$Q$7*100</f>
        <v>#DIV/0!</v>
      </c>
      <c r="T216" s="3"/>
      <c r="U216" s="51">
        <f>W216+Y216</f>
        <v>0</v>
      </c>
      <c r="V216" s="52" t="e">
        <f>U216/$X$5*100</f>
        <v>#DIV/0!</v>
      </c>
      <c r="W216" s="53">
        <f>COUNTIFS('00 Encuesta'!$B$2:$B$511,"*f)*",'00 Encuesta'!$C$2:$C$511,"*c)*",'00 Encuesta'!$E$2:$E$511,"*a)*",'00 Encuesta'!$AB$2:$AB$511,"*b)*")</f>
        <v>0</v>
      </c>
      <c r="X216" s="52" t="e">
        <f>W216/$X$6*100</f>
        <v>#DIV/0!</v>
      </c>
      <c r="Y216" s="53">
        <f>COUNTIFS('00 Encuesta'!$B$2:$B$511,"*f)*",'00 Encuesta'!$C$2:$C$511,"*c)*",'00 Encuesta'!$E$2:$E$511,"*b)*",'00 Encuesta'!$AB$2:$AB$511,"*b)*")</f>
        <v>0</v>
      </c>
      <c r="Z216" s="52" t="e">
        <f>Y216/$X$7*100</f>
        <v>#DIV/0!</v>
      </c>
      <c r="AA216" s="3"/>
      <c r="AB216" s="62">
        <f>G216+N216+U216</f>
        <v>27</v>
      </c>
      <c r="AC216" s="52">
        <f>AB216*100/$AC$5</f>
        <v>64.285714285714292</v>
      </c>
      <c r="AD216" s="3"/>
      <c r="AE216" s="3"/>
      <c r="AF216" s="9" t="str">
        <f>A216&amp;" "&amp;B216</f>
        <v>b) No</v>
      </c>
      <c r="AG216" s="72">
        <f>J216</f>
        <v>54.54545454545454</v>
      </c>
      <c r="AH216" s="72">
        <f>L216</f>
        <v>75</v>
      </c>
      <c r="AI216" s="73">
        <f>H216</f>
        <v>64.285714285714292</v>
      </c>
      <c r="AJ216" s="73"/>
      <c r="AK216" s="76" t="e">
        <f>Q216</f>
        <v>#DIV/0!</v>
      </c>
      <c r="AL216" s="76" t="e">
        <f>S216</f>
        <v>#DIV/0!</v>
      </c>
      <c r="AM216" s="76" t="e">
        <f>O216</f>
        <v>#DIV/0!</v>
      </c>
      <c r="AN216" s="76"/>
      <c r="AO216" s="81" t="e">
        <f>X216</f>
        <v>#DIV/0!</v>
      </c>
      <c r="AP216" s="81" t="e">
        <f>Z216</f>
        <v>#DIV/0!</v>
      </c>
      <c r="AQ216" s="81" t="e">
        <f>V216</f>
        <v>#DIV/0!</v>
      </c>
      <c r="AR216" s="3"/>
      <c r="AS216" s="76">
        <f t="shared" si="227"/>
        <v>64.285714285714292</v>
      </c>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row>
    <row r="217" spans="1:75" x14ac:dyDescent="0.3">
      <c r="A217" s="8" t="s">
        <v>20</v>
      </c>
      <c r="B217" s="9" t="s">
        <v>51</v>
      </c>
      <c r="C217" s="7"/>
      <c r="D217" s="7"/>
      <c r="E217" s="7"/>
      <c r="F217" s="71"/>
      <c r="G217" s="51">
        <f>I217+K217</f>
        <v>12</v>
      </c>
      <c r="H217" s="52">
        <f>G217/$J$5*100</f>
        <v>28.571428571428569</v>
      </c>
      <c r="I217" s="53">
        <f>COUNTIFS('00 Encuesta'!$B$2:$B$511,"*f)*",'00 Encuesta'!$C$2:$C$511,"*a)*",'00 Encuesta'!$E$2:$E$511,"*a)*",'00 Encuesta'!$AB$2:$AB$511,"*c)*")</f>
        <v>9</v>
      </c>
      <c r="J217" s="52">
        <f>I217/$J$6*100</f>
        <v>40.909090909090914</v>
      </c>
      <c r="K217" s="53">
        <f>COUNTIFS('00 Encuesta'!$B$2:$B$511,"*f)*",'00 Encuesta'!$C$2:$C$511,"*a)*",'00 Encuesta'!$E$2:$E$511,"*b)*",'00 Encuesta'!$AB$2:$AB$511,"*c)*")</f>
        <v>3</v>
      </c>
      <c r="L217" s="52">
        <f>K217/$J$7*100</f>
        <v>15</v>
      </c>
      <c r="M217" s="23"/>
      <c r="N217" s="51">
        <f>P217+R217</f>
        <v>0</v>
      </c>
      <c r="O217" s="52" t="e">
        <f>N217/$Q$5*100</f>
        <v>#DIV/0!</v>
      </c>
      <c r="P217" s="53">
        <f>COUNTIFS('00 Encuesta'!$B$2:$B$511,"*f)*",'00 Encuesta'!$C$2:$C$511,"*b)*",'00 Encuesta'!$E$2:$E$511,"*a)*",'00 Encuesta'!$AB$2:$AB$511,"*c)*")</f>
        <v>0</v>
      </c>
      <c r="Q217" s="52" t="e">
        <f>P217/$Q$6*100</f>
        <v>#DIV/0!</v>
      </c>
      <c r="R217" s="53">
        <f>COUNTIFS('00 Encuesta'!$B$2:$B$511,"*f)*",'00 Encuesta'!$C$2:$C$511,"*b)*",'00 Encuesta'!$E$2:$E$511,"*b)*",'00 Encuesta'!$AB$2:$AB$511,"*c)*")</f>
        <v>0</v>
      </c>
      <c r="S217" s="52" t="e">
        <f>R217/$Q$7*100</f>
        <v>#DIV/0!</v>
      </c>
      <c r="T217" s="3"/>
      <c r="U217" s="51">
        <f>W217+Y217</f>
        <v>0</v>
      </c>
      <c r="V217" s="52" t="e">
        <f>U217/$X$5*100</f>
        <v>#DIV/0!</v>
      </c>
      <c r="W217" s="53">
        <f>COUNTIFS('00 Encuesta'!$B$2:$B$511,"*f)*",'00 Encuesta'!$C$2:$C$511,"*c)*",'00 Encuesta'!$E$2:$E$511,"*a)*",'00 Encuesta'!$AB$2:$AB$511,"*c)*")</f>
        <v>0</v>
      </c>
      <c r="X217" s="52" t="e">
        <f>W217/$X$6*100</f>
        <v>#DIV/0!</v>
      </c>
      <c r="Y217" s="53">
        <f>COUNTIFS('00 Encuesta'!$B$2:$B$511,"*f)*",'00 Encuesta'!$C$2:$C$511,"*c)*",'00 Encuesta'!$E$2:$E$511,"*b)*",'00 Encuesta'!$AB$2:$AB$511,"*c)*")</f>
        <v>0</v>
      </c>
      <c r="Z217" s="52" t="e">
        <f>Y217/$X$7*100</f>
        <v>#DIV/0!</v>
      </c>
      <c r="AA217" s="3"/>
      <c r="AB217" s="62">
        <f>G217+N217+U217</f>
        <v>12</v>
      </c>
      <c r="AC217" s="52">
        <f>AB217*100/$AC$5</f>
        <v>28.571428571428573</v>
      </c>
      <c r="AD217" s="3"/>
      <c r="AE217" s="3"/>
      <c r="AF217" s="9" t="str">
        <f>A217&amp;" "&amp;B217</f>
        <v>c) Algo</v>
      </c>
      <c r="AG217" s="72">
        <f>J217</f>
        <v>40.909090909090914</v>
      </c>
      <c r="AH217" s="72">
        <f>L217</f>
        <v>15</v>
      </c>
      <c r="AI217" s="73">
        <f>H217</f>
        <v>28.571428571428569</v>
      </c>
      <c r="AJ217" s="73"/>
      <c r="AK217" s="76" t="e">
        <f>Q217</f>
        <v>#DIV/0!</v>
      </c>
      <c r="AL217" s="76" t="e">
        <f>S217</f>
        <v>#DIV/0!</v>
      </c>
      <c r="AM217" s="76" t="e">
        <f>O217</f>
        <v>#DIV/0!</v>
      </c>
      <c r="AN217" s="76"/>
      <c r="AO217" s="81" t="e">
        <f>X217</f>
        <v>#DIV/0!</v>
      </c>
      <c r="AP217" s="81" t="e">
        <f>Z217</f>
        <v>#DIV/0!</v>
      </c>
      <c r="AQ217" s="81" t="e">
        <f>V217</f>
        <v>#DIV/0!</v>
      </c>
      <c r="AR217" s="3"/>
      <c r="AS217" s="76">
        <f t="shared" si="227"/>
        <v>28.571428571428573</v>
      </c>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row>
    <row r="218" spans="1:75" x14ac:dyDescent="0.3">
      <c r="A218" s="8" t="s">
        <v>23</v>
      </c>
      <c r="B218" s="9" t="s">
        <v>158</v>
      </c>
      <c r="C218" s="7"/>
      <c r="D218" s="7"/>
      <c r="E218" s="7"/>
      <c r="F218" s="71"/>
      <c r="G218" s="51">
        <f>I218+K218</f>
        <v>0</v>
      </c>
      <c r="H218" s="52">
        <f>G218/$J$5*100</f>
        <v>0</v>
      </c>
      <c r="I218" s="53"/>
      <c r="J218" s="52">
        <f>I218/$J$6*100</f>
        <v>0</v>
      </c>
      <c r="K218" s="53"/>
      <c r="L218" s="52">
        <f>K218/$J$7*100</f>
        <v>0</v>
      </c>
      <c r="M218" s="23"/>
      <c r="N218" s="51">
        <f>P218+R218</f>
        <v>0</v>
      </c>
      <c r="O218" s="52" t="e">
        <f>N218/$Q$5*100</f>
        <v>#DIV/0!</v>
      </c>
      <c r="P218" s="53"/>
      <c r="Q218" s="52" t="e">
        <f>P218/$Q$6*100</f>
        <v>#DIV/0!</v>
      </c>
      <c r="R218" s="53"/>
      <c r="S218" s="52" t="e">
        <f>R218/$Q$7*100</f>
        <v>#DIV/0!</v>
      </c>
      <c r="T218" s="3"/>
      <c r="U218" s="51">
        <f>W218+Y218</f>
        <v>0</v>
      </c>
      <c r="V218" s="52" t="e">
        <f>U218/$X$5*100</f>
        <v>#DIV/0!</v>
      </c>
      <c r="W218" s="53"/>
      <c r="X218" s="52" t="e">
        <f>W218/$X$6*100</f>
        <v>#DIV/0!</v>
      </c>
      <c r="Y218" s="53"/>
      <c r="Z218" s="52" t="e">
        <f>Y218/$X$7*100</f>
        <v>#DIV/0!</v>
      </c>
      <c r="AA218" s="3"/>
      <c r="AB218" s="62">
        <f>G218+N218+U218</f>
        <v>0</v>
      </c>
      <c r="AC218" s="52">
        <f>AB218*100/$AC$5</f>
        <v>0</v>
      </c>
      <c r="AD218" s="3"/>
      <c r="AE218" s="3"/>
      <c r="AF218" s="9" t="str">
        <f>A218&amp;" "&amp;B218</f>
        <v>S/R Sin respuesta</v>
      </c>
      <c r="AG218" s="72">
        <f>J218</f>
        <v>0</v>
      </c>
      <c r="AH218" s="72">
        <f>L218</f>
        <v>0</v>
      </c>
      <c r="AI218" s="73">
        <f>H218</f>
        <v>0</v>
      </c>
      <c r="AJ218" s="73"/>
      <c r="AK218" s="76" t="e">
        <f>Q218</f>
        <v>#DIV/0!</v>
      </c>
      <c r="AL218" s="76" t="e">
        <f>S218</f>
        <v>#DIV/0!</v>
      </c>
      <c r="AM218" s="76" t="e">
        <f>O218</f>
        <v>#DIV/0!</v>
      </c>
      <c r="AN218" s="76"/>
      <c r="AO218" s="81" t="e">
        <f>X218</f>
        <v>#DIV/0!</v>
      </c>
      <c r="AP218" s="81" t="e">
        <f>Z218</f>
        <v>#DIV/0!</v>
      </c>
      <c r="AQ218" s="81" t="e">
        <f>V218</f>
        <v>#DIV/0!</v>
      </c>
      <c r="AR218" s="3"/>
      <c r="AS218" s="76">
        <f t="shared" si="227"/>
        <v>0</v>
      </c>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row>
    <row r="219" spans="1:75" x14ac:dyDescent="0.3">
      <c r="A219" s="70"/>
      <c r="B219" s="9"/>
      <c r="C219" s="7"/>
      <c r="D219" s="7"/>
      <c r="E219" s="7"/>
      <c r="F219" s="71"/>
      <c r="G219" s="71"/>
      <c r="H219" s="71"/>
      <c r="I219" s="71"/>
      <c r="J219" s="71"/>
      <c r="K219" s="71"/>
      <c r="L219" s="71"/>
      <c r="M219" s="71"/>
      <c r="N219" s="71"/>
      <c r="O219" s="71"/>
      <c r="P219" s="71"/>
      <c r="Q219" s="71"/>
      <c r="R219" s="71"/>
      <c r="S219" s="71"/>
      <c r="T219" s="71"/>
      <c r="U219" s="71"/>
      <c r="V219" s="71"/>
      <c r="W219" s="71"/>
      <c r="X219" s="71"/>
      <c r="Y219" s="71"/>
      <c r="Z219" s="71"/>
      <c r="AA219" s="3"/>
      <c r="AB219" s="6"/>
      <c r="AC219" s="41">
        <f>AB219*100/90</f>
        <v>0</v>
      </c>
      <c r="AD219" s="3"/>
      <c r="AE219" s="3"/>
      <c r="AF219" s="3"/>
      <c r="AG219" s="3"/>
      <c r="AH219" s="3"/>
      <c r="AI219" s="3"/>
      <c r="AJ219" s="3"/>
      <c r="AK219" s="3"/>
      <c r="AL219" s="3"/>
      <c r="AM219" s="3"/>
      <c r="AN219" s="3"/>
      <c r="AO219" s="3"/>
      <c r="AP219" s="3"/>
      <c r="AQ219" s="3"/>
      <c r="AR219" s="3"/>
      <c r="AS219" s="76"/>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row>
    <row r="220" spans="1:75" x14ac:dyDescent="0.3">
      <c r="A220" s="70"/>
      <c r="B220" s="9"/>
      <c r="C220" s="7"/>
      <c r="D220" s="7"/>
      <c r="E220" s="7"/>
      <c r="F220" s="71"/>
      <c r="G220" s="71"/>
      <c r="H220" s="71"/>
      <c r="I220" s="71"/>
      <c r="J220" s="71"/>
      <c r="K220" s="71"/>
      <c r="L220" s="71"/>
      <c r="M220" s="71"/>
      <c r="N220" s="71"/>
      <c r="O220" s="71"/>
      <c r="P220" s="71"/>
      <c r="Q220" s="71"/>
      <c r="R220" s="71"/>
      <c r="S220" s="71"/>
      <c r="T220" s="71"/>
      <c r="U220" s="71"/>
      <c r="V220" s="71"/>
      <c r="W220" s="71"/>
      <c r="X220" s="71"/>
      <c r="Y220" s="71"/>
      <c r="Z220" s="71"/>
      <c r="AA220" s="3"/>
      <c r="AB220" s="6"/>
      <c r="AC220" s="41"/>
      <c r="AD220" s="3"/>
      <c r="AE220" s="3"/>
      <c r="AF220" s="3"/>
      <c r="AG220" s="3"/>
      <c r="AH220" s="3"/>
      <c r="AI220" s="3"/>
      <c r="AJ220" s="3"/>
      <c r="AK220" s="3"/>
      <c r="AL220" s="3"/>
      <c r="AM220" s="3"/>
      <c r="AN220" s="3"/>
      <c r="AO220" s="3"/>
      <c r="AP220" s="3"/>
      <c r="AQ220" s="3"/>
      <c r="AR220" s="3"/>
      <c r="AS220" s="76"/>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row>
    <row r="221" spans="1:75" x14ac:dyDescent="0.3">
      <c r="A221" s="70">
        <v>26</v>
      </c>
      <c r="B221" s="9" t="s">
        <v>159</v>
      </c>
      <c r="C221" s="7"/>
      <c r="D221" s="7"/>
      <c r="E221" s="7"/>
      <c r="F221" s="71"/>
      <c r="G221" s="51"/>
      <c r="H221" s="52"/>
      <c r="I221" s="53"/>
      <c r="J221" s="52"/>
      <c r="K221" s="53"/>
      <c r="L221" s="66"/>
      <c r="M221" s="23"/>
      <c r="N221" s="51"/>
      <c r="O221" s="52"/>
      <c r="P221" s="53"/>
      <c r="Q221" s="52"/>
      <c r="R221" s="53"/>
      <c r="S221" s="66"/>
      <c r="T221" s="3"/>
      <c r="U221" s="51"/>
      <c r="V221" s="52"/>
      <c r="W221" s="53"/>
      <c r="X221" s="52"/>
      <c r="Y221" s="53"/>
      <c r="Z221" s="66"/>
      <c r="AA221" s="3"/>
      <c r="AB221" s="62"/>
      <c r="AC221" s="52"/>
      <c r="AD221" s="3"/>
      <c r="AE221" s="3"/>
      <c r="AF221" s="88" t="str">
        <f>A221&amp;" "&amp;B221</f>
        <v>26 De las siguientes profesiones u oficios señala las dos que valoras más:</v>
      </c>
      <c r="AG221" s="3"/>
      <c r="AH221" s="3"/>
      <c r="AI221" s="3"/>
      <c r="AJ221" s="3"/>
      <c r="AK221" s="3"/>
      <c r="AL221" s="3"/>
      <c r="AM221" s="3"/>
      <c r="AN221" s="3"/>
      <c r="AO221" s="3"/>
      <c r="AP221" s="3"/>
      <c r="AQ221" s="3"/>
      <c r="AR221" s="3"/>
      <c r="AS221" s="76"/>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row>
    <row r="222" spans="1:75" x14ac:dyDescent="0.3">
      <c r="A222" s="8" t="s">
        <v>17</v>
      </c>
      <c r="B222" s="9" t="s">
        <v>160</v>
      </c>
      <c r="C222" s="7"/>
      <c r="D222" s="7"/>
      <c r="E222" s="7"/>
      <c r="F222" s="71"/>
      <c r="G222" s="51">
        <f t="shared" ref="G222:G232" si="228">I222+K222</f>
        <v>17</v>
      </c>
      <c r="H222" s="52">
        <f t="shared" ref="H222:H232" si="229">G222/$J$5*100</f>
        <v>40.476190476190474</v>
      </c>
      <c r="I222" s="53">
        <f>COUNTIFS('00 Encuesta'!$B$2:$B$511,"*f)*",'00 Encuesta'!$C$2:$C$511,"*a)*",'00 Encuesta'!$E$2:$E$511,"*a)*",'00 Encuesta'!$AC$2:$AC$511,"*a)*")</f>
        <v>7</v>
      </c>
      <c r="J222" s="52">
        <f t="shared" ref="J222:J232" si="230">I222/$J$6*100</f>
        <v>31.818181818181817</v>
      </c>
      <c r="K222" s="53">
        <f>COUNTIFS('00 Encuesta'!$B$2:$B$511,"*f)*",'00 Encuesta'!$C$2:$C$511,"*a)*",'00 Encuesta'!$E$2:$E$511,"*b)*",'00 Encuesta'!$AC$2:$AC$511,"*a)*")</f>
        <v>10</v>
      </c>
      <c r="L222" s="52">
        <f t="shared" ref="L222:L232" si="231">K222/$J$7*100</f>
        <v>50</v>
      </c>
      <c r="M222" s="23"/>
      <c r="N222" s="51">
        <f t="shared" ref="N222:N232" si="232">P222+R222</f>
        <v>0</v>
      </c>
      <c r="O222" s="52" t="e">
        <f t="shared" ref="O222:O232" si="233">N222/$Q$5*100</f>
        <v>#DIV/0!</v>
      </c>
      <c r="P222" s="53">
        <f>COUNTIFS('00 Encuesta'!$B$2:$B$511,"*f)*",'00 Encuesta'!$C$2:$C$511,"*b)*",'00 Encuesta'!$E$2:$E$511,"*a)*",'00 Encuesta'!$AC$2:$AC$511,"*a)*")</f>
        <v>0</v>
      </c>
      <c r="Q222" s="52" t="e">
        <f t="shared" ref="Q222:Q232" si="234">P222/$Q$6*100</f>
        <v>#DIV/0!</v>
      </c>
      <c r="R222" s="53">
        <f>COUNTIFS('00 Encuesta'!$B$2:$B$511,"*f)*",'00 Encuesta'!$C$2:$C$511,"*b)*",'00 Encuesta'!$E$2:$E$511,"*b)*",'00 Encuesta'!$AC$2:$AC$511,"*a)*")</f>
        <v>0</v>
      </c>
      <c r="S222" s="52" t="e">
        <f t="shared" ref="S222:S232" si="235">R222/$Q$7*100</f>
        <v>#DIV/0!</v>
      </c>
      <c r="T222" s="3"/>
      <c r="U222" s="51">
        <f t="shared" ref="U222:U232" si="236">W222+Y222</f>
        <v>0</v>
      </c>
      <c r="V222" s="52" t="e">
        <f t="shared" ref="V222:V232" si="237">U222/$X$5*100</f>
        <v>#DIV/0!</v>
      </c>
      <c r="W222" s="53">
        <f>COUNTIFS('00 Encuesta'!$B$2:$B$511,"*f)*",'00 Encuesta'!$C$2:$C$511,"*c)*",'00 Encuesta'!$E$2:$E$511,"*a)*",'00 Encuesta'!$AC$2:$AC$511,"*a)*")</f>
        <v>0</v>
      </c>
      <c r="X222" s="52" t="e">
        <f t="shared" ref="X222:X232" si="238">W222/$X$6*100</f>
        <v>#DIV/0!</v>
      </c>
      <c r="Y222" s="53">
        <f>COUNTIFS('00 Encuesta'!$B$2:$B$511,"*f)*",'00 Encuesta'!$C$2:$C$511,"*c)*",'00 Encuesta'!$E$2:$E$511,"*b)*",'00 Encuesta'!$AC$2:$AC$511,"*a)*")</f>
        <v>0</v>
      </c>
      <c r="Z222" s="52" t="e">
        <f t="shared" ref="Z222:Z232" si="239">Y222/$X$7*100</f>
        <v>#DIV/0!</v>
      </c>
      <c r="AA222" s="3"/>
      <c r="AB222" s="62">
        <f t="shared" ref="AB222:AB232" si="240">G222+N222+U222</f>
        <v>17</v>
      </c>
      <c r="AC222" s="52">
        <f t="shared" ref="AC222:AC232" si="241">AB222*100/$AC$5</f>
        <v>40.476190476190474</v>
      </c>
      <c r="AD222" s="3"/>
      <c r="AE222" s="3"/>
      <c r="AF222" s="9" t="str">
        <f t="shared" ref="AF222:AF232" si="242">A222&amp;" "&amp;B222</f>
        <v>a) Medicina</v>
      </c>
      <c r="AG222" s="72">
        <f t="shared" ref="AG222:AG232" si="243">J222</f>
        <v>31.818181818181817</v>
      </c>
      <c r="AH222" s="72">
        <f t="shared" ref="AH222:AH232" si="244">L222</f>
        <v>50</v>
      </c>
      <c r="AI222" s="73">
        <f t="shared" ref="AI222:AI232" si="245">H222</f>
        <v>40.476190476190474</v>
      </c>
      <c r="AJ222" s="73"/>
      <c r="AK222" s="76" t="e">
        <f t="shared" ref="AK222:AK232" si="246">Q222</f>
        <v>#DIV/0!</v>
      </c>
      <c r="AL222" s="76" t="e">
        <f t="shared" ref="AL222:AL232" si="247">S222</f>
        <v>#DIV/0!</v>
      </c>
      <c r="AM222" s="76" t="e">
        <f t="shared" ref="AM222:AM232" si="248">O222</f>
        <v>#DIV/0!</v>
      </c>
      <c r="AN222" s="76"/>
      <c r="AO222" s="81" t="e">
        <f t="shared" ref="AO222:AO232" si="249">X222</f>
        <v>#DIV/0!</v>
      </c>
      <c r="AP222" s="81" t="e">
        <f t="shared" ref="AP222:AP232" si="250">Z222</f>
        <v>#DIV/0!</v>
      </c>
      <c r="AQ222" s="81" t="e">
        <f t="shared" ref="AQ222:AQ232" si="251">V222</f>
        <v>#DIV/0!</v>
      </c>
      <c r="AR222" s="3"/>
      <c r="AS222" s="76">
        <f t="shared" si="227"/>
        <v>40.476190476190474</v>
      </c>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row>
    <row r="223" spans="1:75" x14ac:dyDescent="0.3">
      <c r="A223" s="8" t="s">
        <v>18</v>
      </c>
      <c r="B223" s="9" t="s">
        <v>161</v>
      </c>
      <c r="C223" s="7"/>
      <c r="D223" s="7"/>
      <c r="E223" s="7"/>
      <c r="F223" s="71"/>
      <c r="G223" s="51">
        <f t="shared" si="228"/>
        <v>6</v>
      </c>
      <c r="H223" s="52">
        <f t="shared" si="229"/>
        <v>14.285714285714285</v>
      </c>
      <c r="I223" s="53">
        <f>COUNTIFS('00 Encuesta'!$B$2:$B$511,"*f)*",'00 Encuesta'!$C$2:$C$511,"*a)*",'00 Encuesta'!$E$2:$E$511,"*a)*",'00 Encuesta'!$AC$2:$AC$511,"*b)*")</f>
        <v>3</v>
      </c>
      <c r="J223" s="52">
        <f t="shared" si="230"/>
        <v>13.636363636363635</v>
      </c>
      <c r="K223" s="53">
        <f>COUNTIFS('00 Encuesta'!$B$2:$B$511,"*f)*",'00 Encuesta'!$C$2:$C$511,"*a)*",'00 Encuesta'!$E$2:$E$511,"*b)*",'00 Encuesta'!$AC$2:$AC$511,"*b)*")</f>
        <v>3</v>
      </c>
      <c r="L223" s="52">
        <f t="shared" si="231"/>
        <v>15</v>
      </c>
      <c r="M223" s="23"/>
      <c r="N223" s="51">
        <f t="shared" si="232"/>
        <v>0</v>
      </c>
      <c r="O223" s="52" t="e">
        <f t="shared" si="233"/>
        <v>#DIV/0!</v>
      </c>
      <c r="P223" s="53">
        <f>COUNTIFS('00 Encuesta'!$B$2:$B$511,"*f)*",'00 Encuesta'!$C$2:$C$511,"*b)*",'00 Encuesta'!$E$2:$E$511,"*a)*",'00 Encuesta'!$AC$2:$AC$511,"*b)*")</f>
        <v>0</v>
      </c>
      <c r="Q223" s="52" t="e">
        <f t="shared" si="234"/>
        <v>#DIV/0!</v>
      </c>
      <c r="R223" s="53">
        <f>COUNTIFS('00 Encuesta'!$B$2:$B$511,"*f)*",'00 Encuesta'!$C$2:$C$511,"*b)*",'00 Encuesta'!$E$2:$E$511,"*b)*",'00 Encuesta'!$AC$2:$AC$511,"*b)*")</f>
        <v>0</v>
      </c>
      <c r="S223" s="52" t="e">
        <f t="shared" si="235"/>
        <v>#DIV/0!</v>
      </c>
      <c r="T223" s="3"/>
      <c r="U223" s="51">
        <f t="shared" si="236"/>
        <v>0</v>
      </c>
      <c r="V223" s="52" t="e">
        <f t="shared" si="237"/>
        <v>#DIV/0!</v>
      </c>
      <c r="W223" s="53">
        <f>COUNTIFS('00 Encuesta'!$B$2:$B$511,"*f)*",'00 Encuesta'!$C$2:$C$511,"*c)*",'00 Encuesta'!$E$2:$E$511,"*a)*",'00 Encuesta'!$AC$2:$AC$511,"*b)*")</f>
        <v>0</v>
      </c>
      <c r="X223" s="52" t="e">
        <f t="shared" si="238"/>
        <v>#DIV/0!</v>
      </c>
      <c r="Y223" s="53">
        <f>COUNTIFS('00 Encuesta'!$B$2:$B$511,"*f)*",'00 Encuesta'!$C$2:$C$511,"*c)*",'00 Encuesta'!$E$2:$E$511,"*b)*",'00 Encuesta'!$AC$2:$AC$511,"*b)*")</f>
        <v>0</v>
      </c>
      <c r="Z223" s="52" t="e">
        <f t="shared" si="239"/>
        <v>#DIV/0!</v>
      </c>
      <c r="AA223" s="3"/>
      <c r="AB223" s="62">
        <f t="shared" si="240"/>
        <v>6</v>
      </c>
      <c r="AC223" s="52">
        <f t="shared" si="241"/>
        <v>14.285714285714286</v>
      </c>
      <c r="AD223" s="3"/>
      <c r="AE223" s="3"/>
      <c r="AF223" s="9" t="str">
        <f t="shared" si="242"/>
        <v>b) Docencia</v>
      </c>
      <c r="AG223" s="72">
        <f t="shared" si="243"/>
        <v>13.636363636363635</v>
      </c>
      <c r="AH223" s="72">
        <f t="shared" si="244"/>
        <v>15</v>
      </c>
      <c r="AI223" s="73">
        <f t="shared" si="245"/>
        <v>14.285714285714285</v>
      </c>
      <c r="AJ223" s="73"/>
      <c r="AK223" s="76" t="e">
        <f t="shared" si="246"/>
        <v>#DIV/0!</v>
      </c>
      <c r="AL223" s="76" t="e">
        <f t="shared" si="247"/>
        <v>#DIV/0!</v>
      </c>
      <c r="AM223" s="76" t="e">
        <f t="shared" si="248"/>
        <v>#DIV/0!</v>
      </c>
      <c r="AN223" s="76"/>
      <c r="AO223" s="81" t="e">
        <f t="shared" si="249"/>
        <v>#DIV/0!</v>
      </c>
      <c r="AP223" s="81" t="e">
        <f t="shared" si="250"/>
        <v>#DIV/0!</v>
      </c>
      <c r="AQ223" s="81" t="e">
        <f t="shared" si="251"/>
        <v>#DIV/0!</v>
      </c>
      <c r="AR223" s="3"/>
      <c r="AS223" s="76">
        <f t="shared" si="227"/>
        <v>14.285714285714286</v>
      </c>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row>
    <row r="224" spans="1:75" x14ac:dyDescent="0.3">
      <c r="A224" s="8" t="s">
        <v>20</v>
      </c>
      <c r="B224" s="9" t="s">
        <v>162</v>
      </c>
      <c r="C224" s="7"/>
      <c r="D224" s="7"/>
      <c r="E224" s="7"/>
      <c r="F224" s="71"/>
      <c r="G224" s="51">
        <f t="shared" si="228"/>
        <v>3</v>
      </c>
      <c r="H224" s="52">
        <f t="shared" si="229"/>
        <v>7.1428571428571423</v>
      </c>
      <c r="I224" s="53">
        <f>COUNTIFS('00 Encuesta'!$B$2:$B$511,"*f)*",'00 Encuesta'!$C$2:$C$511,"*a)*",'00 Encuesta'!$E$2:$E$511,"*a)*",'00 Encuesta'!$AC$2:$AC$511,"*c)*")</f>
        <v>2</v>
      </c>
      <c r="J224" s="52">
        <f t="shared" si="230"/>
        <v>9.0909090909090917</v>
      </c>
      <c r="K224" s="53">
        <f>COUNTIFS('00 Encuesta'!$B$2:$B$511,"*f)*",'00 Encuesta'!$C$2:$C$511,"*a)*",'00 Encuesta'!$E$2:$E$511,"*b)*",'00 Encuesta'!$AC$2:$AC$511,"*c)*")</f>
        <v>1</v>
      </c>
      <c r="L224" s="52">
        <f t="shared" si="231"/>
        <v>5</v>
      </c>
      <c r="M224" s="23"/>
      <c r="N224" s="51">
        <f t="shared" si="232"/>
        <v>0</v>
      </c>
      <c r="O224" s="52" t="e">
        <f t="shared" si="233"/>
        <v>#DIV/0!</v>
      </c>
      <c r="P224" s="53">
        <f>COUNTIFS('00 Encuesta'!$B$2:$B$511,"*f)*",'00 Encuesta'!$C$2:$C$511,"*b)*",'00 Encuesta'!$E$2:$E$511,"*a)*",'00 Encuesta'!$AC$2:$AC$511,"*c)*")</f>
        <v>0</v>
      </c>
      <c r="Q224" s="52" t="e">
        <f t="shared" si="234"/>
        <v>#DIV/0!</v>
      </c>
      <c r="R224" s="53">
        <f>COUNTIFS('00 Encuesta'!$B$2:$B$511,"*f)*",'00 Encuesta'!$C$2:$C$511,"*b)*",'00 Encuesta'!$E$2:$E$511,"*b)*",'00 Encuesta'!$AC$2:$AC$511,"*c)*")</f>
        <v>0</v>
      </c>
      <c r="S224" s="52" t="e">
        <f t="shared" si="235"/>
        <v>#DIV/0!</v>
      </c>
      <c r="T224" s="3"/>
      <c r="U224" s="51">
        <f t="shared" si="236"/>
        <v>0</v>
      </c>
      <c r="V224" s="52" t="e">
        <f t="shared" si="237"/>
        <v>#DIV/0!</v>
      </c>
      <c r="W224" s="53">
        <f>COUNTIFS('00 Encuesta'!$B$2:$B$511,"*f)*",'00 Encuesta'!$C$2:$C$511,"*c)*",'00 Encuesta'!$E$2:$E$511,"*a)*",'00 Encuesta'!$AC$2:$AC$511,"*c)*")</f>
        <v>0</v>
      </c>
      <c r="X224" s="52" t="e">
        <f t="shared" si="238"/>
        <v>#DIV/0!</v>
      </c>
      <c r="Y224" s="53">
        <f>COUNTIFS('00 Encuesta'!$B$2:$B$511,"*f)*",'00 Encuesta'!$C$2:$C$511,"*c)*",'00 Encuesta'!$E$2:$E$511,"*b)*",'00 Encuesta'!$AC$2:$AC$511,"*c)*")</f>
        <v>0</v>
      </c>
      <c r="Z224" s="52" t="e">
        <f t="shared" si="239"/>
        <v>#DIV/0!</v>
      </c>
      <c r="AA224" s="3"/>
      <c r="AB224" s="62">
        <f t="shared" si="240"/>
        <v>3</v>
      </c>
      <c r="AC224" s="52">
        <f t="shared" si="241"/>
        <v>7.1428571428571432</v>
      </c>
      <c r="AD224" s="3"/>
      <c r="AE224" s="3"/>
      <c r="AF224" s="9" t="str">
        <f t="shared" si="242"/>
        <v>c) Sacerdocio o hermana religiosa</v>
      </c>
      <c r="AG224" s="72">
        <f t="shared" si="243"/>
        <v>9.0909090909090917</v>
      </c>
      <c r="AH224" s="72">
        <f t="shared" si="244"/>
        <v>5</v>
      </c>
      <c r="AI224" s="73">
        <f t="shared" si="245"/>
        <v>7.1428571428571423</v>
      </c>
      <c r="AJ224" s="73"/>
      <c r="AK224" s="76" t="e">
        <f t="shared" si="246"/>
        <v>#DIV/0!</v>
      </c>
      <c r="AL224" s="76" t="e">
        <f t="shared" si="247"/>
        <v>#DIV/0!</v>
      </c>
      <c r="AM224" s="76" t="e">
        <f t="shared" si="248"/>
        <v>#DIV/0!</v>
      </c>
      <c r="AN224" s="76"/>
      <c r="AO224" s="81" t="e">
        <f t="shared" si="249"/>
        <v>#DIV/0!</v>
      </c>
      <c r="AP224" s="81" t="e">
        <f t="shared" si="250"/>
        <v>#DIV/0!</v>
      </c>
      <c r="AQ224" s="81" t="e">
        <f t="shared" si="251"/>
        <v>#DIV/0!</v>
      </c>
      <c r="AR224" s="3"/>
      <c r="AS224" s="76">
        <f t="shared" si="227"/>
        <v>7.1428571428571432</v>
      </c>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row>
    <row r="225" spans="1:75" x14ac:dyDescent="0.3">
      <c r="A225" s="8" t="s">
        <v>21</v>
      </c>
      <c r="B225" s="9" t="s">
        <v>163</v>
      </c>
      <c r="C225" s="7"/>
      <c r="D225" s="7"/>
      <c r="E225" s="7"/>
      <c r="F225" s="71"/>
      <c r="G225" s="51">
        <f t="shared" si="228"/>
        <v>9</v>
      </c>
      <c r="H225" s="52">
        <f t="shared" si="229"/>
        <v>21.428571428571427</v>
      </c>
      <c r="I225" s="53">
        <f>COUNTIFS('00 Encuesta'!$B$2:$B$511,"*f)*",'00 Encuesta'!$C$2:$C$511,"*a)*",'00 Encuesta'!$E$2:$E$511,"*a)*",'00 Encuesta'!$AC$2:$AC$511,"*d)*")</f>
        <v>6</v>
      </c>
      <c r="J225" s="52">
        <f t="shared" si="230"/>
        <v>27.27272727272727</v>
      </c>
      <c r="K225" s="53">
        <f>COUNTIFS('00 Encuesta'!$B$2:$B$511,"*f)*",'00 Encuesta'!$C$2:$C$511,"*a)*",'00 Encuesta'!$E$2:$E$511,"*b)*",'00 Encuesta'!$AC$2:$AC$511,"*d)*")</f>
        <v>3</v>
      </c>
      <c r="L225" s="52">
        <f t="shared" si="231"/>
        <v>15</v>
      </c>
      <c r="M225" s="23"/>
      <c r="N225" s="51">
        <f t="shared" si="232"/>
        <v>0</v>
      </c>
      <c r="O225" s="52" t="e">
        <f t="shared" si="233"/>
        <v>#DIV/0!</v>
      </c>
      <c r="P225" s="53">
        <f>COUNTIFS('00 Encuesta'!$B$2:$B$511,"*f)*",'00 Encuesta'!$C$2:$C$511,"*b)*",'00 Encuesta'!$E$2:$E$511,"*a)*",'00 Encuesta'!$AC$2:$AC$511,"*d)*")</f>
        <v>0</v>
      </c>
      <c r="Q225" s="52" t="e">
        <f t="shared" si="234"/>
        <v>#DIV/0!</v>
      </c>
      <c r="R225" s="53">
        <f>COUNTIFS('00 Encuesta'!$B$2:$B$511,"*f)*",'00 Encuesta'!$C$2:$C$511,"*b)*",'00 Encuesta'!$E$2:$E$511,"*b)*",'00 Encuesta'!$AC$2:$AC$511,"*d)*")</f>
        <v>0</v>
      </c>
      <c r="S225" s="52" t="e">
        <f t="shared" si="235"/>
        <v>#DIV/0!</v>
      </c>
      <c r="T225" s="3"/>
      <c r="U225" s="51">
        <f t="shared" si="236"/>
        <v>0</v>
      </c>
      <c r="V225" s="52" t="e">
        <f t="shared" si="237"/>
        <v>#DIV/0!</v>
      </c>
      <c r="W225" s="53">
        <f>COUNTIFS('00 Encuesta'!$B$2:$B$511,"*f)*",'00 Encuesta'!$C$2:$C$511,"*c)*",'00 Encuesta'!$E$2:$E$511,"*a)*",'00 Encuesta'!$AC$2:$AC$511,"*d)*")</f>
        <v>0</v>
      </c>
      <c r="X225" s="52" t="e">
        <f t="shared" si="238"/>
        <v>#DIV/0!</v>
      </c>
      <c r="Y225" s="53">
        <f>COUNTIFS('00 Encuesta'!$B$2:$B$511,"*f)*",'00 Encuesta'!$C$2:$C$511,"*c)*",'00 Encuesta'!$E$2:$E$511,"*b)*",'00 Encuesta'!$AC$2:$AC$511,"*d)*")</f>
        <v>0</v>
      </c>
      <c r="Z225" s="52" t="e">
        <f t="shared" si="239"/>
        <v>#DIV/0!</v>
      </c>
      <c r="AA225" s="3"/>
      <c r="AB225" s="62">
        <f t="shared" si="240"/>
        <v>9</v>
      </c>
      <c r="AC225" s="52">
        <f t="shared" si="241"/>
        <v>21.428571428571427</v>
      </c>
      <c r="AD225" s="3"/>
      <c r="AE225" s="3"/>
      <c r="AF225" s="9" t="str">
        <f t="shared" si="242"/>
        <v>d) Ingeniería</v>
      </c>
      <c r="AG225" s="72">
        <f t="shared" si="243"/>
        <v>27.27272727272727</v>
      </c>
      <c r="AH225" s="72">
        <f t="shared" si="244"/>
        <v>15</v>
      </c>
      <c r="AI225" s="73">
        <f t="shared" si="245"/>
        <v>21.428571428571427</v>
      </c>
      <c r="AJ225" s="73"/>
      <c r="AK225" s="76" t="e">
        <f t="shared" si="246"/>
        <v>#DIV/0!</v>
      </c>
      <c r="AL225" s="76" t="e">
        <f t="shared" si="247"/>
        <v>#DIV/0!</v>
      </c>
      <c r="AM225" s="76" t="e">
        <f t="shared" si="248"/>
        <v>#DIV/0!</v>
      </c>
      <c r="AN225" s="76"/>
      <c r="AO225" s="81" t="e">
        <f t="shared" si="249"/>
        <v>#DIV/0!</v>
      </c>
      <c r="AP225" s="81" t="e">
        <f t="shared" si="250"/>
        <v>#DIV/0!</v>
      </c>
      <c r="AQ225" s="81" t="e">
        <f t="shared" si="251"/>
        <v>#DIV/0!</v>
      </c>
      <c r="AR225" s="3"/>
      <c r="AS225" s="76">
        <f t="shared" si="227"/>
        <v>21.428571428571427</v>
      </c>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row>
    <row r="226" spans="1:75" x14ac:dyDescent="0.3">
      <c r="A226" s="8" t="s">
        <v>22</v>
      </c>
      <c r="B226" s="9" t="s">
        <v>164</v>
      </c>
      <c r="C226" s="7"/>
      <c r="D226" s="7"/>
      <c r="E226" s="7"/>
      <c r="F226" s="71"/>
      <c r="G226" s="51">
        <f t="shared" si="228"/>
        <v>12</v>
      </c>
      <c r="H226" s="52">
        <f t="shared" si="229"/>
        <v>28.571428571428569</v>
      </c>
      <c r="I226" s="53">
        <f>COUNTIFS('00 Encuesta'!$B$2:$B$511,"*f)*",'00 Encuesta'!$C$2:$C$511,"*a)*",'00 Encuesta'!$E$2:$E$511,"*a)*",'00 Encuesta'!$AC$2:$AC$511,"*e)*")</f>
        <v>3</v>
      </c>
      <c r="J226" s="52">
        <f t="shared" si="230"/>
        <v>13.636363636363635</v>
      </c>
      <c r="K226" s="53">
        <f>COUNTIFS('00 Encuesta'!$B$2:$B$511,"*f)*",'00 Encuesta'!$C$2:$C$511,"*a)*",'00 Encuesta'!$E$2:$E$511,"*b)*",'00 Encuesta'!$AC$2:$AC$511,"*e)*")</f>
        <v>9</v>
      </c>
      <c r="L226" s="52">
        <f t="shared" si="231"/>
        <v>45</v>
      </c>
      <c r="M226" s="23"/>
      <c r="N226" s="51">
        <f t="shared" si="232"/>
        <v>0</v>
      </c>
      <c r="O226" s="52" t="e">
        <f t="shared" si="233"/>
        <v>#DIV/0!</v>
      </c>
      <c r="P226" s="53">
        <f>COUNTIFS('00 Encuesta'!$B$2:$B$511,"*f)*",'00 Encuesta'!$C$2:$C$511,"*b)*",'00 Encuesta'!$E$2:$E$511,"*a)*",'00 Encuesta'!$AC$2:$AC$511,"*e)*")</f>
        <v>0</v>
      </c>
      <c r="Q226" s="52" t="e">
        <f t="shared" si="234"/>
        <v>#DIV/0!</v>
      </c>
      <c r="R226" s="53">
        <f>COUNTIFS('00 Encuesta'!$B$2:$B$511,"*f)*",'00 Encuesta'!$C$2:$C$511,"*b)*",'00 Encuesta'!$E$2:$E$511,"*b)*",'00 Encuesta'!$AC$2:$AC$511,"*e)*")</f>
        <v>0</v>
      </c>
      <c r="S226" s="52" t="e">
        <f t="shared" si="235"/>
        <v>#DIV/0!</v>
      </c>
      <c r="T226" s="3"/>
      <c r="U226" s="51">
        <f t="shared" si="236"/>
        <v>0</v>
      </c>
      <c r="V226" s="52" t="e">
        <f t="shared" si="237"/>
        <v>#DIV/0!</v>
      </c>
      <c r="W226" s="53">
        <f>COUNTIFS('00 Encuesta'!$B$2:$B$511,"*f)*",'00 Encuesta'!$C$2:$C$511,"*c)*",'00 Encuesta'!$E$2:$E$511,"*a)*",'00 Encuesta'!$AC$2:$AC$511,"*e)*")</f>
        <v>0</v>
      </c>
      <c r="X226" s="52" t="e">
        <f t="shared" si="238"/>
        <v>#DIV/0!</v>
      </c>
      <c r="Y226" s="53">
        <f>COUNTIFS('00 Encuesta'!$B$2:$B$511,"*f)*",'00 Encuesta'!$C$2:$C$511,"*c)*",'00 Encuesta'!$E$2:$E$511,"*b)*",'00 Encuesta'!$AC$2:$AC$511,"*e)*")</f>
        <v>0</v>
      </c>
      <c r="Z226" s="52" t="e">
        <f t="shared" si="239"/>
        <v>#DIV/0!</v>
      </c>
      <c r="AA226" s="3"/>
      <c r="AB226" s="62">
        <f t="shared" si="240"/>
        <v>12</v>
      </c>
      <c r="AC226" s="52">
        <f t="shared" si="241"/>
        <v>28.571428571428573</v>
      </c>
      <c r="AD226" s="3"/>
      <c r="AE226" s="3"/>
      <c r="AF226" s="9" t="str">
        <f t="shared" si="242"/>
        <v>e) Derecho</v>
      </c>
      <c r="AG226" s="72">
        <f t="shared" si="243"/>
        <v>13.636363636363635</v>
      </c>
      <c r="AH226" s="72">
        <f t="shared" si="244"/>
        <v>45</v>
      </c>
      <c r="AI226" s="73">
        <f t="shared" si="245"/>
        <v>28.571428571428569</v>
      </c>
      <c r="AJ226" s="73"/>
      <c r="AK226" s="76" t="e">
        <f t="shared" si="246"/>
        <v>#DIV/0!</v>
      </c>
      <c r="AL226" s="76" t="e">
        <f t="shared" si="247"/>
        <v>#DIV/0!</v>
      </c>
      <c r="AM226" s="76" t="e">
        <f t="shared" si="248"/>
        <v>#DIV/0!</v>
      </c>
      <c r="AN226" s="76"/>
      <c r="AO226" s="81" t="e">
        <f t="shared" si="249"/>
        <v>#DIV/0!</v>
      </c>
      <c r="AP226" s="81" t="e">
        <f t="shared" si="250"/>
        <v>#DIV/0!</v>
      </c>
      <c r="AQ226" s="81" t="e">
        <f t="shared" si="251"/>
        <v>#DIV/0!</v>
      </c>
      <c r="AR226" s="3"/>
      <c r="AS226" s="76">
        <f t="shared" si="227"/>
        <v>28.571428571428573</v>
      </c>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row>
    <row r="227" spans="1:75" x14ac:dyDescent="0.3">
      <c r="A227" s="1" t="s">
        <v>45</v>
      </c>
      <c r="B227" s="2" t="s">
        <v>165</v>
      </c>
      <c r="C227" s="3"/>
      <c r="D227" s="7"/>
      <c r="E227" s="7"/>
      <c r="F227" s="71"/>
      <c r="G227" s="51">
        <f t="shared" si="228"/>
        <v>2</v>
      </c>
      <c r="H227" s="52">
        <f t="shared" si="229"/>
        <v>4.7619047619047619</v>
      </c>
      <c r="I227" s="53">
        <f>COUNTIFS('00 Encuesta'!$B$2:$B$511,"*f)*",'00 Encuesta'!$C$2:$C$511,"*a)*",'00 Encuesta'!$E$2:$E$511,"*a)*",'00 Encuesta'!$AC$2:$AC$511,"*f)*")</f>
        <v>0</v>
      </c>
      <c r="J227" s="52">
        <f t="shared" si="230"/>
        <v>0</v>
      </c>
      <c r="K227" s="53">
        <f>COUNTIFS('00 Encuesta'!$B$2:$B$511,"*f)*",'00 Encuesta'!$C$2:$C$511,"*a)*",'00 Encuesta'!$E$2:$E$511,"*b)*",'00 Encuesta'!$AC$2:$AC$511,"*f)*")</f>
        <v>2</v>
      </c>
      <c r="L227" s="52">
        <f t="shared" si="231"/>
        <v>10</v>
      </c>
      <c r="M227" s="23"/>
      <c r="N227" s="51">
        <f t="shared" si="232"/>
        <v>0</v>
      </c>
      <c r="O227" s="52" t="e">
        <f t="shared" si="233"/>
        <v>#DIV/0!</v>
      </c>
      <c r="P227" s="53">
        <f>COUNTIFS('00 Encuesta'!$B$2:$B$511,"*f)*",'00 Encuesta'!$C$2:$C$511,"*b)*",'00 Encuesta'!$E$2:$E$511,"*a)*",'00 Encuesta'!$AC$2:$AC$511,"*f)*")</f>
        <v>0</v>
      </c>
      <c r="Q227" s="52" t="e">
        <f t="shared" si="234"/>
        <v>#DIV/0!</v>
      </c>
      <c r="R227" s="53">
        <f>COUNTIFS('00 Encuesta'!$B$2:$B$511,"*f)*",'00 Encuesta'!$C$2:$C$511,"*b)*",'00 Encuesta'!$E$2:$E$511,"*b)*",'00 Encuesta'!$AC$2:$AC$511,"*f)*")</f>
        <v>0</v>
      </c>
      <c r="S227" s="52" t="e">
        <f t="shared" si="235"/>
        <v>#DIV/0!</v>
      </c>
      <c r="T227" s="3"/>
      <c r="U227" s="51">
        <f t="shared" si="236"/>
        <v>0</v>
      </c>
      <c r="V227" s="52" t="e">
        <f t="shared" si="237"/>
        <v>#DIV/0!</v>
      </c>
      <c r="W227" s="53">
        <f>COUNTIFS('00 Encuesta'!$B$2:$B$511,"*f)*",'00 Encuesta'!$C$2:$C$511,"*c)*",'00 Encuesta'!$E$2:$E$511,"*a)*",'00 Encuesta'!$AC$2:$AC$511,"*f)*")</f>
        <v>0</v>
      </c>
      <c r="X227" s="52" t="e">
        <f t="shared" si="238"/>
        <v>#DIV/0!</v>
      </c>
      <c r="Y227" s="53">
        <f>COUNTIFS('00 Encuesta'!$B$2:$B$511,"*f)*",'00 Encuesta'!$C$2:$C$511,"*c)*",'00 Encuesta'!$E$2:$E$511,"*b)*",'00 Encuesta'!$AC$2:$AC$511,"*f)*")</f>
        <v>0</v>
      </c>
      <c r="Z227" s="52" t="e">
        <f t="shared" si="239"/>
        <v>#DIV/0!</v>
      </c>
      <c r="AA227" s="3"/>
      <c r="AB227" s="62">
        <f t="shared" si="240"/>
        <v>2</v>
      </c>
      <c r="AC227" s="52">
        <f t="shared" si="241"/>
        <v>4.7619047619047619</v>
      </c>
      <c r="AD227" s="3"/>
      <c r="AE227" s="3"/>
      <c r="AF227" s="9" t="str">
        <f t="shared" si="242"/>
        <v>f) Ciencias policiales o artes militares</v>
      </c>
      <c r="AG227" s="72">
        <f t="shared" si="243"/>
        <v>0</v>
      </c>
      <c r="AH227" s="72">
        <f t="shared" si="244"/>
        <v>10</v>
      </c>
      <c r="AI227" s="73">
        <f t="shared" si="245"/>
        <v>4.7619047619047619</v>
      </c>
      <c r="AJ227" s="73"/>
      <c r="AK227" s="76" t="e">
        <f t="shared" si="246"/>
        <v>#DIV/0!</v>
      </c>
      <c r="AL227" s="76" t="e">
        <f t="shared" si="247"/>
        <v>#DIV/0!</v>
      </c>
      <c r="AM227" s="76" t="e">
        <f t="shared" si="248"/>
        <v>#DIV/0!</v>
      </c>
      <c r="AN227" s="76"/>
      <c r="AO227" s="81" t="e">
        <f t="shared" si="249"/>
        <v>#DIV/0!</v>
      </c>
      <c r="AP227" s="81" t="e">
        <f t="shared" si="250"/>
        <v>#DIV/0!</v>
      </c>
      <c r="AQ227" s="81" t="e">
        <f t="shared" si="251"/>
        <v>#DIV/0!</v>
      </c>
      <c r="AR227" s="3"/>
      <c r="AS227" s="76">
        <f t="shared" si="227"/>
        <v>4.7619047619047619</v>
      </c>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row>
    <row r="228" spans="1:75" x14ac:dyDescent="0.3">
      <c r="A228" s="1" t="s">
        <v>61</v>
      </c>
      <c r="B228" s="2" t="s">
        <v>166</v>
      </c>
      <c r="C228" s="3"/>
      <c r="D228" s="7"/>
      <c r="E228" s="7"/>
      <c r="F228" s="71"/>
      <c r="G228" s="51">
        <f t="shared" si="228"/>
        <v>12</v>
      </c>
      <c r="H228" s="52">
        <f t="shared" si="229"/>
        <v>28.571428571428569</v>
      </c>
      <c r="I228" s="53">
        <f>COUNTIFS('00 Encuesta'!$B$2:$B$511,"*f)*",'00 Encuesta'!$C$2:$C$511,"*a)*",'00 Encuesta'!$E$2:$E$511,"*a)*",'00 Encuesta'!$AC$2:$AC$511,"*g)*")</f>
        <v>5</v>
      </c>
      <c r="J228" s="52">
        <f t="shared" si="230"/>
        <v>22.727272727272727</v>
      </c>
      <c r="K228" s="53">
        <f>COUNTIFS('00 Encuesta'!$B$2:$B$511,"*f)*",'00 Encuesta'!$C$2:$C$511,"*a)*",'00 Encuesta'!$E$2:$E$511,"*b)*",'00 Encuesta'!$AC$2:$AC$511,"*g)*")</f>
        <v>7</v>
      </c>
      <c r="L228" s="52">
        <f t="shared" si="231"/>
        <v>35</v>
      </c>
      <c r="M228" s="23"/>
      <c r="N228" s="51">
        <f t="shared" si="232"/>
        <v>0</v>
      </c>
      <c r="O228" s="52" t="e">
        <f t="shared" si="233"/>
        <v>#DIV/0!</v>
      </c>
      <c r="P228" s="53">
        <f>COUNTIFS('00 Encuesta'!$B$2:$B$511,"*f)*",'00 Encuesta'!$C$2:$C$511,"*b)*",'00 Encuesta'!$E$2:$E$511,"*a)*",'00 Encuesta'!$AC$2:$AC$511,"*g)*")</f>
        <v>0</v>
      </c>
      <c r="Q228" s="52" t="e">
        <f t="shared" si="234"/>
        <v>#DIV/0!</v>
      </c>
      <c r="R228" s="53">
        <f>COUNTIFS('00 Encuesta'!$B$2:$B$511,"*f)*",'00 Encuesta'!$C$2:$C$511,"*b)*",'00 Encuesta'!$E$2:$E$511,"*b)*",'00 Encuesta'!$AC$2:$AC$511,"*g)*")</f>
        <v>0</v>
      </c>
      <c r="S228" s="52" t="e">
        <f t="shared" si="235"/>
        <v>#DIV/0!</v>
      </c>
      <c r="T228" s="3"/>
      <c r="U228" s="51">
        <f t="shared" si="236"/>
        <v>0</v>
      </c>
      <c r="V228" s="52" t="e">
        <f t="shared" si="237"/>
        <v>#DIV/0!</v>
      </c>
      <c r="W228" s="53">
        <f>COUNTIFS('00 Encuesta'!$B$2:$B$511,"*f)*",'00 Encuesta'!$C$2:$C$511,"*c)*",'00 Encuesta'!$E$2:$E$511,"*a)*",'00 Encuesta'!$AC$2:$AC$511,"*g)*")</f>
        <v>0</v>
      </c>
      <c r="X228" s="52" t="e">
        <f t="shared" si="238"/>
        <v>#DIV/0!</v>
      </c>
      <c r="Y228" s="53">
        <f>COUNTIFS('00 Encuesta'!$B$2:$B$511,"*f)*",'00 Encuesta'!$C$2:$C$511,"*c)*",'00 Encuesta'!$E$2:$E$511,"*b)*",'00 Encuesta'!$AC$2:$AC$511,"*g)*")</f>
        <v>0</v>
      </c>
      <c r="Z228" s="52" t="e">
        <f t="shared" si="239"/>
        <v>#DIV/0!</v>
      </c>
      <c r="AA228" s="3"/>
      <c r="AB228" s="62">
        <f t="shared" si="240"/>
        <v>12</v>
      </c>
      <c r="AC228" s="52">
        <f t="shared" si="241"/>
        <v>28.571428571428573</v>
      </c>
      <c r="AD228" s="3"/>
      <c r="AE228" s="3"/>
      <c r="AF228" s="9" t="str">
        <f t="shared" si="242"/>
        <v>g) Artista</v>
      </c>
      <c r="AG228" s="72">
        <f t="shared" si="243"/>
        <v>22.727272727272727</v>
      </c>
      <c r="AH228" s="72">
        <f t="shared" si="244"/>
        <v>35</v>
      </c>
      <c r="AI228" s="73">
        <f t="shared" si="245"/>
        <v>28.571428571428569</v>
      </c>
      <c r="AJ228" s="73"/>
      <c r="AK228" s="76" t="e">
        <f t="shared" si="246"/>
        <v>#DIV/0!</v>
      </c>
      <c r="AL228" s="76" t="e">
        <f t="shared" si="247"/>
        <v>#DIV/0!</v>
      </c>
      <c r="AM228" s="76" t="e">
        <f t="shared" si="248"/>
        <v>#DIV/0!</v>
      </c>
      <c r="AN228" s="76"/>
      <c r="AO228" s="81" t="e">
        <f t="shared" si="249"/>
        <v>#DIV/0!</v>
      </c>
      <c r="AP228" s="81" t="e">
        <f t="shared" si="250"/>
        <v>#DIV/0!</v>
      </c>
      <c r="AQ228" s="81" t="e">
        <f t="shared" si="251"/>
        <v>#DIV/0!</v>
      </c>
      <c r="AR228" s="3"/>
      <c r="AS228" s="76">
        <f t="shared" si="227"/>
        <v>28.571428571428573</v>
      </c>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row>
    <row r="229" spans="1:75" x14ac:dyDescent="0.3">
      <c r="A229" s="84" t="s">
        <v>63</v>
      </c>
      <c r="B229" s="9" t="s">
        <v>167</v>
      </c>
      <c r="C229" s="7"/>
      <c r="D229" s="7"/>
      <c r="E229" s="7"/>
      <c r="F229" s="71"/>
      <c r="G229" s="51">
        <f t="shared" si="228"/>
        <v>1</v>
      </c>
      <c r="H229" s="52">
        <f t="shared" si="229"/>
        <v>2.3809523809523809</v>
      </c>
      <c r="I229" s="53">
        <f>COUNTIFS('00 Encuesta'!$B$2:$B$511,"*f)*",'00 Encuesta'!$C$2:$C$511,"*a)*",'00 Encuesta'!$E$2:$E$511,"*a)*",'00 Encuesta'!$AC$2:$AC$511,"*h)*")</f>
        <v>0</v>
      </c>
      <c r="J229" s="52">
        <f t="shared" si="230"/>
        <v>0</v>
      </c>
      <c r="K229" s="53">
        <f>COUNTIFS('00 Encuesta'!$B$2:$B$511,"*f)*",'00 Encuesta'!$C$2:$C$511,"*a)*",'00 Encuesta'!$E$2:$E$511,"*b)*",'00 Encuesta'!$AC$2:$AC$511,"*h)*")</f>
        <v>1</v>
      </c>
      <c r="L229" s="52">
        <f t="shared" si="231"/>
        <v>5</v>
      </c>
      <c r="M229" s="23"/>
      <c r="N229" s="51">
        <f t="shared" si="232"/>
        <v>0</v>
      </c>
      <c r="O229" s="52" t="e">
        <f t="shared" si="233"/>
        <v>#DIV/0!</v>
      </c>
      <c r="P229" s="53">
        <f>COUNTIFS('00 Encuesta'!$B$2:$B$511,"*f)*",'00 Encuesta'!$C$2:$C$511,"*b)*",'00 Encuesta'!$E$2:$E$511,"*a)*",'00 Encuesta'!$AC$2:$AC$511,"*h)*")</f>
        <v>0</v>
      </c>
      <c r="Q229" s="52" t="e">
        <f t="shared" si="234"/>
        <v>#DIV/0!</v>
      </c>
      <c r="R229" s="53">
        <f>COUNTIFS('00 Encuesta'!$B$2:$B$511,"*f)*",'00 Encuesta'!$C$2:$C$511,"*b)*",'00 Encuesta'!$E$2:$E$511,"*b)*",'00 Encuesta'!$AC$2:$AC$511,"*h)*")</f>
        <v>0</v>
      </c>
      <c r="S229" s="52" t="e">
        <f t="shared" si="235"/>
        <v>#DIV/0!</v>
      </c>
      <c r="T229" s="3"/>
      <c r="U229" s="51">
        <f t="shared" si="236"/>
        <v>0</v>
      </c>
      <c r="V229" s="52" t="e">
        <f t="shared" si="237"/>
        <v>#DIV/0!</v>
      </c>
      <c r="W229" s="53">
        <f>COUNTIFS('00 Encuesta'!$B$2:$B$511,"*f)*",'00 Encuesta'!$C$2:$C$511,"*c)*",'00 Encuesta'!$E$2:$E$511,"*a)*",'00 Encuesta'!$AC$2:$AC$511,"*h)*")</f>
        <v>0</v>
      </c>
      <c r="X229" s="52" t="e">
        <f t="shared" si="238"/>
        <v>#DIV/0!</v>
      </c>
      <c r="Y229" s="53">
        <f>COUNTIFS('00 Encuesta'!$B$2:$B$511,"*f)*",'00 Encuesta'!$C$2:$C$511,"*c)*",'00 Encuesta'!$E$2:$E$511,"*b)*",'00 Encuesta'!$AC$2:$AC$511,"*h)*")</f>
        <v>0</v>
      </c>
      <c r="Z229" s="52" t="e">
        <f t="shared" si="239"/>
        <v>#DIV/0!</v>
      </c>
      <c r="AA229" s="3"/>
      <c r="AB229" s="62">
        <f t="shared" si="240"/>
        <v>1</v>
      </c>
      <c r="AC229" s="52">
        <f t="shared" si="241"/>
        <v>2.3809523809523809</v>
      </c>
      <c r="AD229" s="3"/>
      <c r="AE229" s="3"/>
      <c r="AF229" s="9" t="str">
        <f t="shared" si="242"/>
        <v>h) Ciencias Políticas</v>
      </c>
      <c r="AG229" s="72">
        <f t="shared" si="243"/>
        <v>0</v>
      </c>
      <c r="AH229" s="72">
        <f t="shared" si="244"/>
        <v>5</v>
      </c>
      <c r="AI229" s="73">
        <f t="shared" si="245"/>
        <v>2.3809523809523809</v>
      </c>
      <c r="AJ229" s="73"/>
      <c r="AK229" s="76" t="e">
        <f t="shared" si="246"/>
        <v>#DIV/0!</v>
      </c>
      <c r="AL229" s="76" t="e">
        <f t="shared" si="247"/>
        <v>#DIV/0!</v>
      </c>
      <c r="AM229" s="76" t="e">
        <f t="shared" si="248"/>
        <v>#DIV/0!</v>
      </c>
      <c r="AN229" s="76"/>
      <c r="AO229" s="81" t="e">
        <f t="shared" si="249"/>
        <v>#DIV/0!</v>
      </c>
      <c r="AP229" s="81" t="e">
        <f t="shared" si="250"/>
        <v>#DIV/0!</v>
      </c>
      <c r="AQ229" s="81" t="e">
        <f t="shared" si="251"/>
        <v>#DIV/0!</v>
      </c>
      <c r="AR229" s="3"/>
      <c r="AS229" s="76">
        <f t="shared" si="227"/>
        <v>2.3809523809523809</v>
      </c>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row>
    <row r="230" spans="1:75" x14ac:dyDescent="0.3">
      <c r="A230" s="84" t="s">
        <v>65</v>
      </c>
      <c r="B230" s="9" t="s">
        <v>168</v>
      </c>
      <c r="C230" s="7"/>
      <c r="D230" s="7"/>
      <c r="E230" s="7"/>
      <c r="F230" s="71"/>
      <c r="G230" s="51">
        <f t="shared" si="228"/>
        <v>2</v>
      </c>
      <c r="H230" s="52">
        <f t="shared" si="229"/>
        <v>4.7619047619047619</v>
      </c>
      <c r="I230" s="53">
        <f>COUNTIFS('00 Encuesta'!$B$2:$B$511,"*f)*",'00 Encuesta'!$C$2:$C$511,"*a)*",'00 Encuesta'!$E$2:$E$511,"*a)*",'00 Encuesta'!$AC$2:$AC$511,"*i)*")</f>
        <v>2</v>
      </c>
      <c r="J230" s="52">
        <f t="shared" si="230"/>
        <v>9.0909090909090917</v>
      </c>
      <c r="K230" s="53">
        <f>COUNTIFS('00 Encuesta'!$B$2:$B$511,"*f)*",'00 Encuesta'!$C$2:$C$511,"*a)*",'00 Encuesta'!$E$2:$E$511,"*b)*",'00 Encuesta'!$AC$2:$AC$511,"*i)*")</f>
        <v>0</v>
      </c>
      <c r="L230" s="52">
        <f t="shared" si="231"/>
        <v>0</v>
      </c>
      <c r="M230" s="23"/>
      <c r="N230" s="51">
        <f t="shared" si="232"/>
        <v>0</v>
      </c>
      <c r="O230" s="52" t="e">
        <f t="shared" si="233"/>
        <v>#DIV/0!</v>
      </c>
      <c r="P230" s="53">
        <f>COUNTIFS('00 Encuesta'!$B$2:$B$511,"*f)*",'00 Encuesta'!$C$2:$C$511,"*b)*",'00 Encuesta'!$E$2:$E$511,"*a)*",'00 Encuesta'!$AC$2:$AC$511,"*i)*")</f>
        <v>0</v>
      </c>
      <c r="Q230" s="52" t="e">
        <f t="shared" si="234"/>
        <v>#DIV/0!</v>
      </c>
      <c r="R230" s="53">
        <f>COUNTIFS('00 Encuesta'!$B$2:$B$511,"*f)*",'00 Encuesta'!$C$2:$C$511,"*b)*",'00 Encuesta'!$E$2:$E$511,"*b)*",'00 Encuesta'!$AC$2:$AC$511,"*i)*")</f>
        <v>0</v>
      </c>
      <c r="S230" s="52" t="e">
        <f t="shared" si="235"/>
        <v>#DIV/0!</v>
      </c>
      <c r="T230" s="3"/>
      <c r="U230" s="51">
        <f t="shared" si="236"/>
        <v>0</v>
      </c>
      <c r="V230" s="52" t="e">
        <f t="shared" si="237"/>
        <v>#DIV/0!</v>
      </c>
      <c r="W230" s="53">
        <f>COUNTIFS('00 Encuesta'!$B$2:$B$511,"*f)*",'00 Encuesta'!$C$2:$C$511,"*c)*",'00 Encuesta'!$E$2:$E$511,"*a)*",'00 Encuesta'!$AC$2:$AC$511,"*i)*")</f>
        <v>0</v>
      </c>
      <c r="X230" s="52" t="e">
        <f t="shared" si="238"/>
        <v>#DIV/0!</v>
      </c>
      <c r="Y230" s="53">
        <f>COUNTIFS('00 Encuesta'!$B$2:$B$511,"*f)*",'00 Encuesta'!$C$2:$C$511,"*c)*",'00 Encuesta'!$E$2:$E$511,"*b)*",'00 Encuesta'!$AC$2:$AC$511,"*i)*")</f>
        <v>0</v>
      </c>
      <c r="Z230" s="52" t="e">
        <f t="shared" si="239"/>
        <v>#DIV/0!</v>
      </c>
      <c r="AA230" s="3"/>
      <c r="AB230" s="62">
        <f t="shared" si="240"/>
        <v>2</v>
      </c>
      <c r="AC230" s="52">
        <f t="shared" si="241"/>
        <v>4.7619047619047619</v>
      </c>
      <c r="AD230" s="3"/>
      <c r="AE230" s="3"/>
      <c r="AF230" s="9" t="str">
        <f t="shared" si="242"/>
        <v>i) Comerciante</v>
      </c>
      <c r="AG230" s="72">
        <f t="shared" si="243"/>
        <v>9.0909090909090917</v>
      </c>
      <c r="AH230" s="72">
        <f t="shared" si="244"/>
        <v>0</v>
      </c>
      <c r="AI230" s="73">
        <f t="shared" si="245"/>
        <v>4.7619047619047619</v>
      </c>
      <c r="AJ230" s="73"/>
      <c r="AK230" s="76" t="e">
        <f t="shared" si="246"/>
        <v>#DIV/0!</v>
      </c>
      <c r="AL230" s="76" t="e">
        <f t="shared" si="247"/>
        <v>#DIV/0!</v>
      </c>
      <c r="AM230" s="76" t="e">
        <f t="shared" si="248"/>
        <v>#DIV/0!</v>
      </c>
      <c r="AN230" s="76"/>
      <c r="AO230" s="81" t="e">
        <f t="shared" si="249"/>
        <v>#DIV/0!</v>
      </c>
      <c r="AP230" s="81" t="e">
        <f t="shared" si="250"/>
        <v>#DIV/0!</v>
      </c>
      <c r="AQ230" s="81" t="e">
        <f t="shared" si="251"/>
        <v>#DIV/0!</v>
      </c>
      <c r="AR230" s="3"/>
      <c r="AS230" s="76">
        <f t="shared" si="227"/>
        <v>4.7619047619047619</v>
      </c>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row>
    <row r="231" spans="1:75" x14ac:dyDescent="0.3">
      <c r="A231" s="84" t="s">
        <v>67</v>
      </c>
      <c r="B231" s="9" t="s">
        <v>169</v>
      </c>
      <c r="C231" s="7"/>
      <c r="D231" s="7"/>
      <c r="E231" s="7"/>
      <c r="F231" s="71"/>
      <c r="G231" s="51">
        <f t="shared" si="228"/>
        <v>5</v>
      </c>
      <c r="H231" s="52">
        <f t="shared" si="229"/>
        <v>11.904761904761903</v>
      </c>
      <c r="I231" s="53">
        <f>COUNTIFS('00 Encuesta'!$B$2:$B$511,"*f)*",'00 Encuesta'!$C$2:$C$511,"*a)*",'00 Encuesta'!$E$2:$E$511,"*a)*",'00 Encuesta'!$AC$2:$AC$511,"*j)*")</f>
        <v>4</v>
      </c>
      <c r="J231" s="52">
        <f t="shared" si="230"/>
        <v>18.181818181818183</v>
      </c>
      <c r="K231" s="53">
        <f>COUNTIFS('00 Encuesta'!$B$2:$B$511,"*f)*",'00 Encuesta'!$C$2:$C$511,"*a)*",'00 Encuesta'!$E$2:$E$511,"*b)*",'00 Encuesta'!$AC$2:$AC$511,"*j)*")</f>
        <v>1</v>
      </c>
      <c r="L231" s="52">
        <f t="shared" si="231"/>
        <v>5</v>
      </c>
      <c r="M231" s="23"/>
      <c r="N231" s="51">
        <f t="shared" si="232"/>
        <v>0</v>
      </c>
      <c r="O231" s="52" t="e">
        <f t="shared" si="233"/>
        <v>#DIV/0!</v>
      </c>
      <c r="P231" s="53">
        <f>COUNTIFS('00 Encuesta'!$B$2:$B$511,"*f)*",'00 Encuesta'!$C$2:$C$511,"*b)*",'00 Encuesta'!$E$2:$E$511,"*a)*",'00 Encuesta'!$AC$2:$AC$511,"*j)*")</f>
        <v>0</v>
      </c>
      <c r="Q231" s="52" t="e">
        <f t="shared" si="234"/>
        <v>#DIV/0!</v>
      </c>
      <c r="R231" s="53">
        <f>COUNTIFS('00 Encuesta'!$B$2:$B$511,"*f)*",'00 Encuesta'!$C$2:$C$511,"*b)*",'00 Encuesta'!$E$2:$E$511,"*b)*",'00 Encuesta'!$AC$2:$AC$511,"*j)*")</f>
        <v>0</v>
      </c>
      <c r="S231" s="52" t="e">
        <f t="shared" si="235"/>
        <v>#DIV/0!</v>
      </c>
      <c r="T231" s="3"/>
      <c r="U231" s="51">
        <f t="shared" si="236"/>
        <v>0</v>
      </c>
      <c r="V231" s="52" t="e">
        <f t="shared" si="237"/>
        <v>#DIV/0!</v>
      </c>
      <c r="W231" s="53">
        <f>COUNTIFS('00 Encuesta'!$B$2:$B$511,"*f)*",'00 Encuesta'!$C$2:$C$511,"*c)*",'00 Encuesta'!$E$2:$E$511,"*a)*",'00 Encuesta'!$AC$2:$AC$511,"*j)*")</f>
        <v>0</v>
      </c>
      <c r="X231" s="52" t="e">
        <f t="shared" si="238"/>
        <v>#DIV/0!</v>
      </c>
      <c r="Y231" s="53">
        <f>COUNTIFS('00 Encuesta'!$B$2:$B$511,"*f)*",'00 Encuesta'!$C$2:$C$511,"*c)*",'00 Encuesta'!$E$2:$E$511,"*b)*",'00 Encuesta'!$AC$2:$AC$511,"*j)*")</f>
        <v>0</v>
      </c>
      <c r="Z231" s="52" t="e">
        <f t="shared" si="239"/>
        <v>#DIV/0!</v>
      </c>
      <c r="AA231" s="3"/>
      <c r="AB231" s="62">
        <f t="shared" si="240"/>
        <v>5</v>
      </c>
      <c r="AC231" s="52">
        <f t="shared" si="241"/>
        <v>11.904761904761905</v>
      </c>
      <c r="AD231" s="3"/>
      <c r="AE231" s="3"/>
      <c r="AF231" s="9" t="str">
        <f t="shared" si="242"/>
        <v>j) Trabajador calificado</v>
      </c>
      <c r="AG231" s="72">
        <f t="shared" si="243"/>
        <v>18.181818181818183</v>
      </c>
      <c r="AH231" s="72">
        <f t="shared" si="244"/>
        <v>5</v>
      </c>
      <c r="AI231" s="73">
        <f t="shared" si="245"/>
        <v>11.904761904761903</v>
      </c>
      <c r="AJ231" s="73"/>
      <c r="AK231" s="76" t="e">
        <f t="shared" si="246"/>
        <v>#DIV/0!</v>
      </c>
      <c r="AL231" s="76" t="e">
        <f t="shared" si="247"/>
        <v>#DIV/0!</v>
      </c>
      <c r="AM231" s="76" t="e">
        <f t="shared" si="248"/>
        <v>#DIV/0!</v>
      </c>
      <c r="AN231" s="76"/>
      <c r="AO231" s="81" t="e">
        <f t="shared" si="249"/>
        <v>#DIV/0!</v>
      </c>
      <c r="AP231" s="81" t="e">
        <f t="shared" si="250"/>
        <v>#DIV/0!</v>
      </c>
      <c r="AQ231" s="81" t="e">
        <f t="shared" si="251"/>
        <v>#DIV/0!</v>
      </c>
      <c r="AR231" s="3"/>
      <c r="AS231" s="76">
        <f t="shared" si="227"/>
        <v>11.904761904761905</v>
      </c>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row>
    <row r="232" spans="1:75" x14ac:dyDescent="0.3">
      <c r="A232" s="8" t="s">
        <v>23</v>
      </c>
      <c r="B232" s="9" t="s">
        <v>158</v>
      </c>
      <c r="C232" s="7"/>
      <c r="D232" s="7"/>
      <c r="E232" s="7"/>
      <c r="F232" s="71"/>
      <c r="G232" s="51">
        <f t="shared" si="228"/>
        <v>0</v>
      </c>
      <c r="H232" s="52">
        <f t="shared" si="229"/>
        <v>0</v>
      </c>
      <c r="I232" s="53"/>
      <c r="J232" s="52">
        <f t="shared" si="230"/>
        <v>0</v>
      </c>
      <c r="K232" s="53"/>
      <c r="L232" s="52">
        <f t="shared" si="231"/>
        <v>0</v>
      </c>
      <c r="M232" s="23"/>
      <c r="N232" s="51">
        <f t="shared" si="232"/>
        <v>0</v>
      </c>
      <c r="O232" s="52" t="e">
        <f t="shared" si="233"/>
        <v>#DIV/0!</v>
      </c>
      <c r="P232" s="53"/>
      <c r="Q232" s="52" t="e">
        <f t="shared" si="234"/>
        <v>#DIV/0!</v>
      </c>
      <c r="R232" s="53"/>
      <c r="S232" s="52" t="e">
        <f t="shared" si="235"/>
        <v>#DIV/0!</v>
      </c>
      <c r="T232" s="3"/>
      <c r="U232" s="51">
        <f t="shared" si="236"/>
        <v>0</v>
      </c>
      <c r="V232" s="52" t="e">
        <f t="shared" si="237"/>
        <v>#DIV/0!</v>
      </c>
      <c r="W232" s="53"/>
      <c r="X232" s="52" t="e">
        <f t="shared" si="238"/>
        <v>#DIV/0!</v>
      </c>
      <c r="Y232" s="53"/>
      <c r="Z232" s="52" t="e">
        <f t="shared" si="239"/>
        <v>#DIV/0!</v>
      </c>
      <c r="AA232" s="3"/>
      <c r="AB232" s="62">
        <f t="shared" si="240"/>
        <v>0</v>
      </c>
      <c r="AC232" s="52">
        <f t="shared" si="241"/>
        <v>0</v>
      </c>
      <c r="AD232" s="3"/>
      <c r="AE232" s="3"/>
      <c r="AF232" s="9" t="str">
        <f t="shared" si="242"/>
        <v>S/R Sin respuesta</v>
      </c>
      <c r="AG232" s="72">
        <f t="shared" si="243"/>
        <v>0</v>
      </c>
      <c r="AH232" s="72">
        <f t="shared" si="244"/>
        <v>0</v>
      </c>
      <c r="AI232" s="73">
        <f t="shared" si="245"/>
        <v>0</v>
      </c>
      <c r="AJ232" s="73"/>
      <c r="AK232" s="76" t="e">
        <f t="shared" si="246"/>
        <v>#DIV/0!</v>
      </c>
      <c r="AL232" s="76" t="e">
        <f t="shared" si="247"/>
        <v>#DIV/0!</v>
      </c>
      <c r="AM232" s="76" t="e">
        <f t="shared" si="248"/>
        <v>#DIV/0!</v>
      </c>
      <c r="AN232" s="76"/>
      <c r="AO232" s="81" t="e">
        <f t="shared" si="249"/>
        <v>#DIV/0!</v>
      </c>
      <c r="AP232" s="81" t="e">
        <f t="shared" si="250"/>
        <v>#DIV/0!</v>
      </c>
      <c r="AQ232" s="81" t="e">
        <f t="shared" si="251"/>
        <v>#DIV/0!</v>
      </c>
      <c r="AR232" s="3"/>
      <c r="AS232" s="76">
        <f t="shared" si="227"/>
        <v>0</v>
      </c>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row>
    <row r="233" spans="1:75" x14ac:dyDescent="0.3">
      <c r="A233" s="70"/>
      <c r="B233" s="9"/>
      <c r="C233" s="7"/>
      <c r="D233" s="7"/>
      <c r="E233" s="7"/>
      <c r="F233" s="71"/>
      <c r="G233" s="71"/>
      <c r="H233" s="71"/>
      <c r="I233" s="71"/>
      <c r="J233" s="71"/>
      <c r="K233" s="71"/>
      <c r="L233" s="71"/>
      <c r="M233" s="71"/>
      <c r="N233" s="71"/>
      <c r="O233" s="71"/>
      <c r="P233" s="71"/>
      <c r="Q233" s="71"/>
      <c r="R233" s="71"/>
      <c r="S233" s="71"/>
      <c r="T233" s="71"/>
      <c r="U233" s="71"/>
      <c r="V233" s="71"/>
      <c r="W233" s="71"/>
      <c r="X233" s="71"/>
      <c r="Y233" s="71"/>
      <c r="Z233" s="71"/>
      <c r="AA233" s="71"/>
      <c r="AB233" s="83"/>
      <c r="AC233" s="41"/>
      <c r="AD233" s="3"/>
      <c r="AE233" s="3"/>
      <c r="AF233" s="3"/>
      <c r="AG233" s="3"/>
      <c r="AH233" s="3"/>
      <c r="AI233" s="3"/>
      <c r="AJ233" s="3"/>
      <c r="AK233" s="3"/>
      <c r="AL233" s="3"/>
      <c r="AM233" s="3"/>
      <c r="AN233" s="3"/>
      <c r="AO233" s="3"/>
      <c r="AP233" s="3"/>
      <c r="AQ233" s="3"/>
      <c r="AR233" s="3"/>
      <c r="AS233" s="76"/>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row>
    <row r="234" spans="1:75" x14ac:dyDescent="0.3">
      <c r="A234" s="70">
        <v>27</v>
      </c>
      <c r="B234" s="9" t="s">
        <v>170</v>
      </c>
      <c r="C234" s="7"/>
      <c r="D234" s="7"/>
      <c r="E234" s="7"/>
      <c r="F234" s="71"/>
      <c r="G234" s="51"/>
      <c r="H234" s="52"/>
      <c r="I234" s="53"/>
      <c r="J234" s="52"/>
      <c r="K234" s="53"/>
      <c r="L234" s="66"/>
      <c r="M234" s="23"/>
      <c r="N234" s="51"/>
      <c r="O234" s="52"/>
      <c r="P234" s="53"/>
      <c r="Q234" s="52"/>
      <c r="R234" s="53"/>
      <c r="S234" s="66"/>
      <c r="T234" s="3"/>
      <c r="U234" s="51"/>
      <c r="V234" s="52"/>
      <c r="W234" s="53"/>
      <c r="X234" s="52"/>
      <c r="Y234" s="53"/>
      <c r="Z234" s="66"/>
      <c r="AA234" s="3"/>
      <c r="AB234" s="62"/>
      <c r="AC234" s="52"/>
      <c r="AD234" s="3"/>
      <c r="AE234" s="3"/>
      <c r="AF234" s="88" t="str">
        <f>A234&amp;" "&amp;B234</f>
        <v>27 Estudio para llegar en un futuro a:</v>
      </c>
      <c r="AG234" s="3"/>
      <c r="AH234" s="3"/>
      <c r="AI234" s="3"/>
      <c r="AJ234" s="3"/>
      <c r="AK234" s="3"/>
      <c r="AL234" s="3"/>
      <c r="AM234" s="3"/>
      <c r="AN234" s="3"/>
      <c r="AO234" s="3"/>
      <c r="AP234" s="3"/>
      <c r="AQ234" s="3"/>
      <c r="AR234" s="3"/>
      <c r="AS234" s="76"/>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row>
    <row r="235" spans="1:75" x14ac:dyDescent="0.3">
      <c r="A235" s="8" t="s">
        <v>17</v>
      </c>
      <c r="B235" s="9" t="s">
        <v>171</v>
      </c>
      <c r="C235" s="7"/>
      <c r="D235" s="7"/>
      <c r="E235" s="7"/>
      <c r="F235" s="71"/>
      <c r="G235" s="51">
        <f t="shared" ref="G235:G241" si="252">I235+K235</f>
        <v>1</v>
      </c>
      <c r="H235" s="52">
        <f t="shared" ref="H235:H241" si="253">G235/$J$5*100</f>
        <v>2.3809523809523809</v>
      </c>
      <c r="I235" s="53">
        <f>COUNTIFS('00 Encuesta'!$B$2:$B$511,"*f)*",'00 Encuesta'!$C$2:$C$511,"*a)*",'00 Encuesta'!$E$2:$E$511,"*a)*",'00 Encuesta'!$AE$2:$AE$511,"*a)*")</f>
        <v>0</v>
      </c>
      <c r="J235" s="52">
        <f t="shared" ref="J235:J241" si="254">I235/$J$6*100</f>
        <v>0</v>
      </c>
      <c r="K235" s="53">
        <f>COUNTIFS('00 Encuesta'!$B$2:$B$511,"*f)*",'00 Encuesta'!$C$2:$C$511,"*a)*",'00 Encuesta'!$E$2:$E$511,"*b)*",'00 Encuesta'!$AE$2:$AE$511,"*a)*")</f>
        <v>1</v>
      </c>
      <c r="L235" s="52">
        <f t="shared" ref="L235:L241" si="255">K235/$J$7*100</f>
        <v>5</v>
      </c>
      <c r="M235" s="23"/>
      <c r="N235" s="51">
        <f t="shared" ref="N235:N241" si="256">P235+R235</f>
        <v>0</v>
      </c>
      <c r="O235" s="52" t="e">
        <f t="shared" ref="O235:O241" si="257">N235/$Q$5*100</f>
        <v>#DIV/0!</v>
      </c>
      <c r="P235" s="53">
        <f>COUNTIFS('00 Encuesta'!$B$2:$B$511,"*f)*",'00 Encuesta'!$C$2:$C$511,"*b)*",'00 Encuesta'!$E$2:$E$511,"*a)*",'00 Encuesta'!$AE$2:$AE$511,"*a)*")</f>
        <v>0</v>
      </c>
      <c r="Q235" s="52" t="e">
        <f t="shared" ref="Q235:Q241" si="258">P235/$Q$6*100</f>
        <v>#DIV/0!</v>
      </c>
      <c r="R235" s="53">
        <f>COUNTIFS('00 Encuesta'!$B$2:$B$511,"*f)*",'00 Encuesta'!$C$2:$C$511,"*b)*",'00 Encuesta'!$E$2:$E$511,"*b)*",'00 Encuesta'!$AE$2:$AE$511,"*a)*")</f>
        <v>0</v>
      </c>
      <c r="S235" s="52" t="e">
        <f t="shared" ref="S235:S241" si="259">R235/$Q$7*100</f>
        <v>#DIV/0!</v>
      </c>
      <c r="T235" s="3"/>
      <c r="U235" s="51">
        <f t="shared" ref="U235:U241" si="260">W235+Y235</f>
        <v>0</v>
      </c>
      <c r="V235" s="52" t="e">
        <f t="shared" ref="V235:V241" si="261">U235/$X$5*100</f>
        <v>#DIV/0!</v>
      </c>
      <c r="W235" s="53">
        <f>COUNTIFS('00 Encuesta'!$B$2:$B$511,"*f)*",'00 Encuesta'!$C$2:$C$511,"*c)*",'00 Encuesta'!$E$2:$E$511,"*a)*",'00 Encuesta'!$AE$2:$AE$511,"*a)*")</f>
        <v>0</v>
      </c>
      <c r="X235" s="52" t="e">
        <f t="shared" ref="X235:X241" si="262">W235/$X$6*100</f>
        <v>#DIV/0!</v>
      </c>
      <c r="Y235" s="53">
        <f>COUNTIFS('00 Encuesta'!$B$2:$B$511,"*f)*",'00 Encuesta'!$C$2:$C$511,"*c)*",'00 Encuesta'!$E$2:$E$511,"*b)*",'00 Encuesta'!$AE$2:$AE$511,"*a)*")</f>
        <v>0</v>
      </c>
      <c r="Z235" s="52" t="e">
        <f t="shared" ref="Z235:Z241" si="263">Y235/$X$7*100</f>
        <v>#DIV/0!</v>
      </c>
      <c r="AA235" s="3"/>
      <c r="AB235" s="62">
        <f t="shared" ref="AB235:AB241" si="264">G235+N235+U235</f>
        <v>1</v>
      </c>
      <c r="AC235" s="52">
        <f t="shared" ref="AC235:AC241" si="265">AB235*100/$AC$5</f>
        <v>2.3809523809523809</v>
      </c>
      <c r="AD235" s="3"/>
      <c r="AE235" s="3"/>
      <c r="AF235" s="9" t="str">
        <f t="shared" ref="AF235:AF241" si="266">A235&amp;" "&amp;B235</f>
        <v>a) Ganar mucho dinero</v>
      </c>
      <c r="AG235" s="72">
        <f t="shared" ref="AG235:AG241" si="267">J235</f>
        <v>0</v>
      </c>
      <c r="AH235" s="72">
        <f t="shared" ref="AH235:AH241" si="268">L235</f>
        <v>5</v>
      </c>
      <c r="AI235" s="73">
        <f t="shared" ref="AI235:AI241" si="269">H235</f>
        <v>2.3809523809523809</v>
      </c>
      <c r="AJ235" s="73"/>
      <c r="AK235" s="76" t="e">
        <f t="shared" ref="AK235:AK241" si="270">Q235</f>
        <v>#DIV/0!</v>
      </c>
      <c r="AL235" s="76" t="e">
        <f t="shared" ref="AL235:AL241" si="271">S235</f>
        <v>#DIV/0!</v>
      </c>
      <c r="AM235" s="76" t="e">
        <f t="shared" ref="AM235:AM241" si="272">O235</f>
        <v>#DIV/0!</v>
      </c>
      <c r="AN235" s="76"/>
      <c r="AO235" s="81" t="e">
        <f t="shared" ref="AO235:AO241" si="273">X235</f>
        <v>#DIV/0!</v>
      </c>
      <c r="AP235" s="81" t="e">
        <f t="shared" ref="AP235:AP241" si="274">Z235</f>
        <v>#DIV/0!</v>
      </c>
      <c r="AQ235" s="81" t="e">
        <f t="shared" ref="AQ235:AQ241" si="275">V235</f>
        <v>#DIV/0!</v>
      </c>
      <c r="AR235" s="3"/>
      <c r="AS235" s="76">
        <f t="shared" si="227"/>
        <v>2.3809523809523809</v>
      </c>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row>
    <row r="236" spans="1:75" x14ac:dyDescent="0.3">
      <c r="A236" s="8" t="s">
        <v>18</v>
      </c>
      <c r="B236" s="9" t="s">
        <v>172</v>
      </c>
      <c r="C236" s="7"/>
      <c r="D236" s="7"/>
      <c r="E236" s="7"/>
      <c r="F236" s="71"/>
      <c r="G236" s="51">
        <f t="shared" si="252"/>
        <v>6</v>
      </c>
      <c r="H236" s="52">
        <f t="shared" si="253"/>
        <v>14.285714285714285</v>
      </c>
      <c r="I236" s="53">
        <f>COUNTIFS('00 Encuesta'!$B$2:$B$511,"*f)*",'00 Encuesta'!$C$2:$C$511,"*a)*",'00 Encuesta'!$E$2:$E$511,"*a)*",'00 Encuesta'!$AE$2:$AE$511,"*b)*")</f>
        <v>4</v>
      </c>
      <c r="J236" s="52">
        <f t="shared" si="254"/>
        <v>18.181818181818183</v>
      </c>
      <c r="K236" s="53">
        <f>COUNTIFS('00 Encuesta'!$B$2:$B$511,"*f)*",'00 Encuesta'!$C$2:$C$511,"*a)*",'00 Encuesta'!$E$2:$E$511,"*b)*",'00 Encuesta'!$AE$2:$AE$511,"*b)*")</f>
        <v>2</v>
      </c>
      <c r="L236" s="52">
        <f t="shared" si="255"/>
        <v>10</v>
      </c>
      <c r="M236" s="23"/>
      <c r="N236" s="51">
        <f t="shared" si="256"/>
        <v>0</v>
      </c>
      <c r="O236" s="52" t="e">
        <f t="shared" si="257"/>
        <v>#DIV/0!</v>
      </c>
      <c r="P236" s="53">
        <f>COUNTIFS('00 Encuesta'!$B$2:$B$511,"*f)*",'00 Encuesta'!$C$2:$C$511,"*b)*",'00 Encuesta'!$E$2:$E$511,"*a)*",'00 Encuesta'!$AE$2:$AE$511,"*b)*")</f>
        <v>0</v>
      </c>
      <c r="Q236" s="52" t="e">
        <f t="shared" si="258"/>
        <v>#DIV/0!</v>
      </c>
      <c r="R236" s="53">
        <f>COUNTIFS('00 Encuesta'!$B$2:$B$511,"*f)*",'00 Encuesta'!$C$2:$C$511,"*b)*",'00 Encuesta'!$E$2:$E$511,"*b)*",'00 Encuesta'!$AE$2:$AE$511,"*b)*")</f>
        <v>0</v>
      </c>
      <c r="S236" s="52" t="e">
        <f t="shared" si="259"/>
        <v>#DIV/0!</v>
      </c>
      <c r="T236" s="3"/>
      <c r="U236" s="51">
        <f t="shared" si="260"/>
        <v>0</v>
      </c>
      <c r="V236" s="52" t="e">
        <f t="shared" si="261"/>
        <v>#DIV/0!</v>
      </c>
      <c r="W236" s="53">
        <f>COUNTIFS('00 Encuesta'!$B$2:$B$511,"*f)*",'00 Encuesta'!$C$2:$C$511,"*c)*",'00 Encuesta'!$E$2:$E$511,"*a)*",'00 Encuesta'!$AE$2:$AE$511,"*b)*")</f>
        <v>0</v>
      </c>
      <c r="X236" s="52" t="e">
        <f t="shared" si="262"/>
        <v>#DIV/0!</v>
      </c>
      <c r="Y236" s="53">
        <f>COUNTIFS('00 Encuesta'!$B$2:$B$511,"*f)*",'00 Encuesta'!$C$2:$C$511,"*c)*",'00 Encuesta'!$E$2:$E$511,"*b)*",'00 Encuesta'!$AE$2:$AE$511,"*b)*")</f>
        <v>0</v>
      </c>
      <c r="Z236" s="52" t="e">
        <f t="shared" si="263"/>
        <v>#DIV/0!</v>
      </c>
      <c r="AA236" s="3"/>
      <c r="AB236" s="62">
        <f t="shared" si="264"/>
        <v>6</v>
      </c>
      <c r="AC236" s="52">
        <f t="shared" si="265"/>
        <v>14.285714285714286</v>
      </c>
      <c r="AD236" s="3"/>
      <c r="AE236" s="3"/>
      <c r="AF236" s="9" t="str">
        <f t="shared" si="266"/>
        <v>b) Tener una buena posición social, ser importante</v>
      </c>
      <c r="AG236" s="72">
        <f t="shared" si="267"/>
        <v>18.181818181818183</v>
      </c>
      <c r="AH236" s="72">
        <f t="shared" si="268"/>
        <v>10</v>
      </c>
      <c r="AI236" s="73">
        <f t="shared" si="269"/>
        <v>14.285714285714285</v>
      </c>
      <c r="AJ236" s="73"/>
      <c r="AK236" s="76" t="e">
        <f t="shared" si="270"/>
        <v>#DIV/0!</v>
      </c>
      <c r="AL236" s="76" t="e">
        <f t="shared" si="271"/>
        <v>#DIV/0!</v>
      </c>
      <c r="AM236" s="76" t="e">
        <f t="shared" si="272"/>
        <v>#DIV/0!</v>
      </c>
      <c r="AN236" s="76"/>
      <c r="AO236" s="81" t="e">
        <f t="shared" si="273"/>
        <v>#DIV/0!</v>
      </c>
      <c r="AP236" s="81" t="e">
        <f t="shared" si="274"/>
        <v>#DIV/0!</v>
      </c>
      <c r="AQ236" s="81" t="e">
        <f t="shared" si="275"/>
        <v>#DIV/0!</v>
      </c>
      <c r="AR236" s="3"/>
      <c r="AS236" s="76">
        <f t="shared" si="227"/>
        <v>14.285714285714286</v>
      </c>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row>
    <row r="237" spans="1:75" x14ac:dyDescent="0.3">
      <c r="A237" s="8" t="s">
        <v>20</v>
      </c>
      <c r="B237" s="9" t="s">
        <v>173</v>
      </c>
      <c r="C237" s="7"/>
      <c r="D237" s="7"/>
      <c r="E237" s="7"/>
      <c r="F237" s="71"/>
      <c r="G237" s="51">
        <f t="shared" si="252"/>
        <v>23</v>
      </c>
      <c r="H237" s="52">
        <f t="shared" si="253"/>
        <v>54.761904761904766</v>
      </c>
      <c r="I237" s="53">
        <f>COUNTIFS('00 Encuesta'!$B$2:$B$511,"*f)*",'00 Encuesta'!$C$2:$C$511,"*a)*",'00 Encuesta'!$E$2:$E$511,"*a)*",'00 Encuesta'!$AE$2:$AE$511,"*c)*")</f>
        <v>12</v>
      </c>
      <c r="J237" s="52">
        <f t="shared" si="254"/>
        <v>54.54545454545454</v>
      </c>
      <c r="K237" s="53">
        <f>COUNTIFS('00 Encuesta'!$B$2:$B$511,"*f)*",'00 Encuesta'!$C$2:$C$511,"*a)*",'00 Encuesta'!$E$2:$E$511,"*b)*",'00 Encuesta'!$AE$2:$AE$511,"*c)*")</f>
        <v>11</v>
      </c>
      <c r="L237" s="52">
        <f t="shared" si="255"/>
        <v>55.000000000000007</v>
      </c>
      <c r="M237" s="23"/>
      <c r="N237" s="51">
        <f t="shared" si="256"/>
        <v>0</v>
      </c>
      <c r="O237" s="52" t="e">
        <f t="shared" si="257"/>
        <v>#DIV/0!</v>
      </c>
      <c r="P237" s="53">
        <f>COUNTIFS('00 Encuesta'!$B$2:$B$511,"*f)*",'00 Encuesta'!$C$2:$C$511,"*b)*",'00 Encuesta'!$E$2:$E$511,"*a)*",'00 Encuesta'!$AE$2:$AE$511,"*c)*")</f>
        <v>0</v>
      </c>
      <c r="Q237" s="52" t="e">
        <f t="shared" si="258"/>
        <v>#DIV/0!</v>
      </c>
      <c r="R237" s="53">
        <f>COUNTIFS('00 Encuesta'!$B$2:$B$511,"*f)*",'00 Encuesta'!$C$2:$C$511,"*b)*",'00 Encuesta'!$E$2:$E$511,"*b)*",'00 Encuesta'!$AE$2:$AE$511,"*c)*")</f>
        <v>0</v>
      </c>
      <c r="S237" s="52" t="e">
        <f t="shared" si="259"/>
        <v>#DIV/0!</v>
      </c>
      <c r="T237" s="3"/>
      <c r="U237" s="51">
        <f t="shared" si="260"/>
        <v>0</v>
      </c>
      <c r="V237" s="52" t="e">
        <f t="shared" si="261"/>
        <v>#DIV/0!</v>
      </c>
      <c r="W237" s="53">
        <f>COUNTIFS('00 Encuesta'!$B$2:$B$511,"*f)*",'00 Encuesta'!$C$2:$C$511,"*c)*",'00 Encuesta'!$E$2:$E$511,"*a)*",'00 Encuesta'!$AE$2:$AE$511,"*c)*")</f>
        <v>0</v>
      </c>
      <c r="X237" s="52" t="e">
        <f t="shared" si="262"/>
        <v>#DIV/0!</v>
      </c>
      <c r="Y237" s="53">
        <f>COUNTIFS('00 Encuesta'!$B$2:$B$511,"*f)*",'00 Encuesta'!$C$2:$C$511,"*c)*",'00 Encuesta'!$E$2:$E$511,"*b)*",'00 Encuesta'!$AE$2:$AE$511,"*c)*")</f>
        <v>0</v>
      </c>
      <c r="Z237" s="52" t="e">
        <f t="shared" si="263"/>
        <v>#DIV/0!</v>
      </c>
      <c r="AA237" s="3"/>
      <c r="AB237" s="62">
        <f t="shared" si="264"/>
        <v>23</v>
      </c>
      <c r="AC237" s="52">
        <f t="shared" si="265"/>
        <v>54.761904761904759</v>
      </c>
      <c r="AD237" s="3"/>
      <c r="AE237" s="3"/>
      <c r="AF237" s="9" t="str">
        <f t="shared" si="266"/>
        <v>c) Ser un excelente profesional</v>
      </c>
      <c r="AG237" s="72">
        <f t="shared" si="267"/>
        <v>54.54545454545454</v>
      </c>
      <c r="AH237" s="72">
        <f t="shared" si="268"/>
        <v>55.000000000000007</v>
      </c>
      <c r="AI237" s="73">
        <f t="shared" si="269"/>
        <v>54.761904761904766</v>
      </c>
      <c r="AJ237" s="73"/>
      <c r="AK237" s="76" t="e">
        <f t="shared" si="270"/>
        <v>#DIV/0!</v>
      </c>
      <c r="AL237" s="76" t="e">
        <f t="shared" si="271"/>
        <v>#DIV/0!</v>
      </c>
      <c r="AM237" s="76" t="e">
        <f t="shared" si="272"/>
        <v>#DIV/0!</v>
      </c>
      <c r="AN237" s="76"/>
      <c r="AO237" s="81" t="e">
        <f t="shared" si="273"/>
        <v>#DIV/0!</v>
      </c>
      <c r="AP237" s="81" t="e">
        <f t="shared" si="274"/>
        <v>#DIV/0!</v>
      </c>
      <c r="AQ237" s="81" t="e">
        <f t="shared" si="275"/>
        <v>#DIV/0!</v>
      </c>
      <c r="AR237" s="3"/>
      <c r="AS237" s="76">
        <f t="shared" si="227"/>
        <v>54.761904761904759</v>
      </c>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row>
    <row r="238" spans="1:75" x14ac:dyDescent="0.3">
      <c r="A238" s="8" t="s">
        <v>21</v>
      </c>
      <c r="B238" s="9" t="s">
        <v>174</v>
      </c>
      <c r="C238" s="7"/>
      <c r="D238" s="7"/>
      <c r="E238" s="7"/>
      <c r="F238" s="71"/>
      <c r="G238" s="51">
        <f t="shared" si="252"/>
        <v>4</v>
      </c>
      <c r="H238" s="52">
        <f t="shared" si="253"/>
        <v>9.5238095238095237</v>
      </c>
      <c r="I238" s="53">
        <f>COUNTIFS('00 Encuesta'!$B$2:$B$511,"*f)*",'00 Encuesta'!$C$2:$C$511,"*a)*",'00 Encuesta'!$E$2:$E$511,"*a)*",'00 Encuesta'!$AE$2:$AE$511,"*d)*")</f>
        <v>2</v>
      </c>
      <c r="J238" s="52">
        <f t="shared" si="254"/>
        <v>9.0909090909090917</v>
      </c>
      <c r="K238" s="53">
        <f>COUNTIFS('00 Encuesta'!$B$2:$B$511,"*f)*",'00 Encuesta'!$C$2:$C$511,"*a)*",'00 Encuesta'!$E$2:$E$511,"*b)*",'00 Encuesta'!$AE$2:$AE$511,"*d)*")</f>
        <v>2</v>
      </c>
      <c r="L238" s="52">
        <f t="shared" si="255"/>
        <v>10</v>
      </c>
      <c r="M238" s="23"/>
      <c r="N238" s="51">
        <f t="shared" si="256"/>
        <v>0</v>
      </c>
      <c r="O238" s="52" t="e">
        <f t="shared" si="257"/>
        <v>#DIV/0!</v>
      </c>
      <c r="P238" s="53">
        <f>COUNTIFS('00 Encuesta'!$B$2:$B$511,"*f)*",'00 Encuesta'!$C$2:$C$511,"*b)*",'00 Encuesta'!$E$2:$E$511,"*a)*",'00 Encuesta'!$AE$2:$AE$511,"*d)*")</f>
        <v>0</v>
      </c>
      <c r="Q238" s="52" t="e">
        <f t="shared" si="258"/>
        <v>#DIV/0!</v>
      </c>
      <c r="R238" s="53">
        <f>COUNTIFS('00 Encuesta'!$B$2:$B$511,"*f)*",'00 Encuesta'!$C$2:$C$511,"*b)*",'00 Encuesta'!$E$2:$E$511,"*b)*",'00 Encuesta'!$AE$2:$AE$511,"*d)*")</f>
        <v>0</v>
      </c>
      <c r="S238" s="52" t="e">
        <f t="shared" si="259"/>
        <v>#DIV/0!</v>
      </c>
      <c r="T238" s="3"/>
      <c r="U238" s="51">
        <f t="shared" si="260"/>
        <v>0</v>
      </c>
      <c r="V238" s="52" t="e">
        <f t="shared" si="261"/>
        <v>#DIV/0!</v>
      </c>
      <c r="W238" s="53">
        <f>COUNTIFS('00 Encuesta'!$B$2:$B$511,"*f)*",'00 Encuesta'!$C$2:$C$511,"*c)*",'00 Encuesta'!$E$2:$E$511,"*a)*",'00 Encuesta'!$AE$2:$AE$511,"*d)*")</f>
        <v>0</v>
      </c>
      <c r="X238" s="52" t="e">
        <f t="shared" si="262"/>
        <v>#DIV/0!</v>
      </c>
      <c r="Y238" s="53">
        <f>COUNTIFS('00 Encuesta'!$B$2:$B$511,"*f)*",'00 Encuesta'!$C$2:$C$511,"*c)*",'00 Encuesta'!$E$2:$E$511,"*b)*",'00 Encuesta'!$AE$2:$AE$511,"*d)*")</f>
        <v>0</v>
      </c>
      <c r="Z238" s="52" t="e">
        <f t="shared" si="263"/>
        <v>#DIV/0!</v>
      </c>
      <c r="AA238" s="3"/>
      <c r="AB238" s="62">
        <f t="shared" si="264"/>
        <v>4</v>
      </c>
      <c r="AC238" s="52">
        <f t="shared" si="265"/>
        <v>9.5238095238095237</v>
      </c>
      <c r="AD238" s="3"/>
      <c r="AE238" s="3"/>
      <c r="AF238" s="9" t="str">
        <f t="shared" si="266"/>
        <v>d) Desarrollarme personalmente</v>
      </c>
      <c r="AG238" s="72">
        <f t="shared" si="267"/>
        <v>9.0909090909090917</v>
      </c>
      <c r="AH238" s="72">
        <f t="shared" si="268"/>
        <v>10</v>
      </c>
      <c r="AI238" s="73">
        <f t="shared" si="269"/>
        <v>9.5238095238095237</v>
      </c>
      <c r="AJ238" s="73"/>
      <c r="AK238" s="76" t="e">
        <f t="shared" si="270"/>
        <v>#DIV/0!</v>
      </c>
      <c r="AL238" s="76" t="e">
        <f t="shared" si="271"/>
        <v>#DIV/0!</v>
      </c>
      <c r="AM238" s="76" t="e">
        <f t="shared" si="272"/>
        <v>#DIV/0!</v>
      </c>
      <c r="AN238" s="76"/>
      <c r="AO238" s="81" t="e">
        <f t="shared" si="273"/>
        <v>#DIV/0!</v>
      </c>
      <c r="AP238" s="81" t="e">
        <f t="shared" si="274"/>
        <v>#DIV/0!</v>
      </c>
      <c r="AQ238" s="81" t="e">
        <f t="shared" si="275"/>
        <v>#DIV/0!</v>
      </c>
      <c r="AR238" s="3"/>
      <c r="AS238" s="76">
        <f t="shared" si="227"/>
        <v>9.5238095238095237</v>
      </c>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row>
    <row r="239" spans="1:75" x14ac:dyDescent="0.3">
      <c r="A239" s="8" t="s">
        <v>22</v>
      </c>
      <c r="B239" s="9" t="s">
        <v>175</v>
      </c>
      <c r="C239" s="7"/>
      <c r="D239" s="7"/>
      <c r="E239" s="7"/>
      <c r="F239" s="71"/>
      <c r="G239" s="51">
        <f t="shared" si="252"/>
        <v>5</v>
      </c>
      <c r="H239" s="52">
        <f t="shared" si="253"/>
        <v>11.904761904761903</v>
      </c>
      <c r="I239" s="53">
        <f>COUNTIFS('00 Encuesta'!$B$2:$B$511,"*f)*",'00 Encuesta'!$C$2:$C$511,"*a)*",'00 Encuesta'!$E$2:$E$511,"*a)*",'00 Encuesta'!$AE$2:$AE$511,"*e)*")</f>
        <v>1</v>
      </c>
      <c r="J239" s="52">
        <f t="shared" si="254"/>
        <v>4.5454545454545459</v>
      </c>
      <c r="K239" s="53">
        <f>COUNTIFS('00 Encuesta'!$B$2:$B$511,"*f)*",'00 Encuesta'!$C$2:$C$511,"*a)*",'00 Encuesta'!$E$2:$E$511,"*b)*",'00 Encuesta'!$AE$2:$AE$511,"*e)*")</f>
        <v>4</v>
      </c>
      <c r="L239" s="52">
        <f t="shared" si="255"/>
        <v>20</v>
      </c>
      <c r="M239" s="23"/>
      <c r="N239" s="51">
        <f t="shared" si="256"/>
        <v>0</v>
      </c>
      <c r="O239" s="52" t="e">
        <f t="shared" si="257"/>
        <v>#DIV/0!</v>
      </c>
      <c r="P239" s="53">
        <f>COUNTIFS('00 Encuesta'!$B$2:$B$511,"*f)*",'00 Encuesta'!$C$2:$C$511,"*b)*",'00 Encuesta'!$E$2:$E$511,"*a)*",'00 Encuesta'!$AE$2:$AE$511,"*e)*")</f>
        <v>0</v>
      </c>
      <c r="Q239" s="52" t="e">
        <f t="shared" si="258"/>
        <v>#DIV/0!</v>
      </c>
      <c r="R239" s="53">
        <f>COUNTIFS('00 Encuesta'!$B$2:$B$511,"*f)*",'00 Encuesta'!$C$2:$C$511,"*b)*",'00 Encuesta'!$E$2:$E$511,"*b)*",'00 Encuesta'!$AE$2:$AE$511,"*e)*")</f>
        <v>0</v>
      </c>
      <c r="S239" s="52" t="e">
        <f t="shared" si="259"/>
        <v>#DIV/0!</v>
      </c>
      <c r="T239" s="3"/>
      <c r="U239" s="51">
        <f t="shared" si="260"/>
        <v>0</v>
      </c>
      <c r="V239" s="52" t="e">
        <f t="shared" si="261"/>
        <v>#DIV/0!</v>
      </c>
      <c r="W239" s="53">
        <f>COUNTIFS('00 Encuesta'!$B$2:$B$511,"*f)*",'00 Encuesta'!$C$2:$C$511,"*c)*",'00 Encuesta'!$E$2:$E$511,"*a)*",'00 Encuesta'!$AE$2:$AE$511,"*e)*")</f>
        <v>0</v>
      </c>
      <c r="X239" s="52" t="e">
        <f t="shared" si="262"/>
        <v>#DIV/0!</v>
      </c>
      <c r="Y239" s="53">
        <f>COUNTIFS('00 Encuesta'!$B$2:$B$511,"*f)*",'00 Encuesta'!$C$2:$C$511,"*c)*",'00 Encuesta'!$E$2:$E$511,"*b)*",'00 Encuesta'!$AE$2:$AE$511,"*e)*")</f>
        <v>0</v>
      </c>
      <c r="Z239" s="52" t="e">
        <f t="shared" si="263"/>
        <v>#DIV/0!</v>
      </c>
      <c r="AA239" s="3"/>
      <c r="AB239" s="62">
        <f t="shared" si="264"/>
        <v>5</v>
      </c>
      <c r="AC239" s="52">
        <f t="shared" si="265"/>
        <v>11.904761904761905</v>
      </c>
      <c r="AD239" s="3"/>
      <c r="AE239" s="3"/>
      <c r="AF239" s="9" t="str">
        <f t="shared" si="266"/>
        <v>e) Servir a los demás</v>
      </c>
      <c r="AG239" s="72">
        <f t="shared" si="267"/>
        <v>4.5454545454545459</v>
      </c>
      <c r="AH239" s="72">
        <f t="shared" si="268"/>
        <v>20</v>
      </c>
      <c r="AI239" s="73">
        <f t="shared" si="269"/>
        <v>11.904761904761903</v>
      </c>
      <c r="AJ239" s="73"/>
      <c r="AK239" s="76" t="e">
        <f t="shared" si="270"/>
        <v>#DIV/0!</v>
      </c>
      <c r="AL239" s="76" t="e">
        <f t="shared" si="271"/>
        <v>#DIV/0!</v>
      </c>
      <c r="AM239" s="76" t="e">
        <f t="shared" si="272"/>
        <v>#DIV/0!</v>
      </c>
      <c r="AN239" s="76"/>
      <c r="AO239" s="81" t="e">
        <f t="shared" si="273"/>
        <v>#DIV/0!</v>
      </c>
      <c r="AP239" s="81" t="e">
        <f t="shared" si="274"/>
        <v>#DIV/0!</v>
      </c>
      <c r="AQ239" s="81" t="e">
        <f t="shared" si="275"/>
        <v>#DIV/0!</v>
      </c>
      <c r="AR239" s="3"/>
      <c r="AS239" s="76">
        <f t="shared" si="227"/>
        <v>11.904761904761905</v>
      </c>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row>
    <row r="240" spans="1:75" x14ac:dyDescent="0.3">
      <c r="A240" s="8" t="s">
        <v>45</v>
      </c>
      <c r="B240" s="9" t="s">
        <v>176</v>
      </c>
      <c r="C240" s="7"/>
      <c r="D240" s="7"/>
      <c r="E240" s="7"/>
      <c r="F240" s="71"/>
      <c r="G240" s="51">
        <f t="shared" si="252"/>
        <v>2</v>
      </c>
      <c r="H240" s="52">
        <f t="shared" si="253"/>
        <v>4.7619047619047619</v>
      </c>
      <c r="I240" s="53">
        <f>COUNTIFS('00 Encuesta'!$B$2:$B$511,"*f)*",'00 Encuesta'!$C$2:$C$511,"*a)*",'00 Encuesta'!$E$2:$E$511,"*a)*",'00 Encuesta'!$AE$2:$AE$511,"*f)*")</f>
        <v>2</v>
      </c>
      <c r="J240" s="52">
        <f t="shared" si="254"/>
        <v>9.0909090909090917</v>
      </c>
      <c r="K240" s="53">
        <f>COUNTIFS('00 Encuesta'!$B$2:$B$511,"*f)*",'00 Encuesta'!$C$2:$C$511,"*a)*",'00 Encuesta'!$E$2:$E$511,"*b)*",'00 Encuesta'!$AE$2:$AE$511,"*f)*")</f>
        <v>0</v>
      </c>
      <c r="L240" s="52">
        <f t="shared" si="255"/>
        <v>0</v>
      </c>
      <c r="M240" s="23"/>
      <c r="N240" s="51">
        <f t="shared" si="256"/>
        <v>0</v>
      </c>
      <c r="O240" s="52" t="e">
        <f t="shared" si="257"/>
        <v>#DIV/0!</v>
      </c>
      <c r="P240" s="53">
        <f>COUNTIFS('00 Encuesta'!$B$2:$B$511,"*f)*",'00 Encuesta'!$C$2:$C$511,"*b)*",'00 Encuesta'!$E$2:$E$511,"*a)*",'00 Encuesta'!$AE$2:$AE$511,"*f)*")</f>
        <v>0</v>
      </c>
      <c r="Q240" s="52" t="e">
        <f t="shared" si="258"/>
        <v>#DIV/0!</v>
      </c>
      <c r="R240" s="53">
        <f>COUNTIFS('00 Encuesta'!$B$2:$B$511,"*f)*",'00 Encuesta'!$C$2:$C$511,"*b)*",'00 Encuesta'!$E$2:$E$511,"*b)*",'00 Encuesta'!$AE$2:$AE$511,"*f)*")</f>
        <v>0</v>
      </c>
      <c r="S240" s="52" t="e">
        <f t="shared" si="259"/>
        <v>#DIV/0!</v>
      </c>
      <c r="T240" s="3"/>
      <c r="U240" s="51">
        <f t="shared" si="260"/>
        <v>0</v>
      </c>
      <c r="V240" s="52" t="e">
        <f t="shared" si="261"/>
        <v>#DIV/0!</v>
      </c>
      <c r="W240" s="53">
        <f>COUNTIFS('00 Encuesta'!$B$2:$B$511,"*f)*",'00 Encuesta'!$C$2:$C$511,"*c)*",'00 Encuesta'!$E$2:$E$511,"*a)*",'00 Encuesta'!$AE$2:$AE$511,"*f)*")</f>
        <v>0</v>
      </c>
      <c r="X240" s="52" t="e">
        <f t="shared" si="262"/>
        <v>#DIV/0!</v>
      </c>
      <c r="Y240" s="53">
        <f>COUNTIFS('00 Encuesta'!$B$2:$B$511,"*f)*",'00 Encuesta'!$C$2:$C$511,"*c)*",'00 Encuesta'!$E$2:$E$511,"*b)*",'00 Encuesta'!$AE$2:$AE$511,"*f)*")</f>
        <v>0</v>
      </c>
      <c r="Z240" s="52" t="e">
        <f t="shared" si="263"/>
        <v>#DIV/0!</v>
      </c>
      <c r="AA240" s="3"/>
      <c r="AB240" s="62">
        <f t="shared" si="264"/>
        <v>2</v>
      </c>
      <c r="AC240" s="52">
        <f t="shared" si="265"/>
        <v>4.7619047619047619</v>
      </c>
      <c r="AD240" s="3"/>
      <c r="AE240" s="3"/>
      <c r="AF240" s="9" t="str">
        <f t="shared" si="266"/>
        <v>f) Ejecutar una tarea conforme a mi fe</v>
      </c>
      <c r="AG240" s="72">
        <f t="shared" si="267"/>
        <v>9.0909090909090917</v>
      </c>
      <c r="AH240" s="72">
        <f t="shared" si="268"/>
        <v>0</v>
      </c>
      <c r="AI240" s="73">
        <f t="shared" si="269"/>
        <v>4.7619047619047619</v>
      </c>
      <c r="AJ240" s="73"/>
      <c r="AK240" s="76" t="e">
        <f t="shared" si="270"/>
        <v>#DIV/0!</v>
      </c>
      <c r="AL240" s="76" t="e">
        <f t="shared" si="271"/>
        <v>#DIV/0!</v>
      </c>
      <c r="AM240" s="76" t="e">
        <f t="shared" si="272"/>
        <v>#DIV/0!</v>
      </c>
      <c r="AN240" s="76"/>
      <c r="AO240" s="81" t="e">
        <f t="shared" si="273"/>
        <v>#DIV/0!</v>
      </c>
      <c r="AP240" s="81" t="e">
        <f t="shared" si="274"/>
        <v>#DIV/0!</v>
      </c>
      <c r="AQ240" s="81" t="e">
        <f t="shared" si="275"/>
        <v>#DIV/0!</v>
      </c>
      <c r="AR240" s="3"/>
      <c r="AS240" s="76">
        <f t="shared" si="227"/>
        <v>4.7619047619047619</v>
      </c>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row>
    <row r="241" spans="1:75" x14ac:dyDescent="0.3">
      <c r="A241" s="8" t="s">
        <v>23</v>
      </c>
      <c r="B241" s="9" t="s">
        <v>24</v>
      </c>
      <c r="C241" s="7"/>
      <c r="D241" s="7"/>
      <c r="E241" s="7"/>
      <c r="F241" s="71"/>
      <c r="G241" s="51">
        <f t="shared" si="252"/>
        <v>0</v>
      </c>
      <c r="H241" s="52">
        <f t="shared" si="253"/>
        <v>0</v>
      </c>
      <c r="I241" s="53"/>
      <c r="J241" s="52">
        <f t="shared" si="254"/>
        <v>0</v>
      </c>
      <c r="K241" s="53"/>
      <c r="L241" s="52">
        <f t="shared" si="255"/>
        <v>0</v>
      </c>
      <c r="M241" s="23"/>
      <c r="N241" s="51">
        <f t="shared" si="256"/>
        <v>0</v>
      </c>
      <c r="O241" s="52" t="e">
        <f t="shared" si="257"/>
        <v>#DIV/0!</v>
      </c>
      <c r="P241" s="53"/>
      <c r="Q241" s="52" t="e">
        <f t="shared" si="258"/>
        <v>#DIV/0!</v>
      </c>
      <c r="R241" s="53"/>
      <c r="S241" s="52" t="e">
        <f t="shared" si="259"/>
        <v>#DIV/0!</v>
      </c>
      <c r="T241" s="3"/>
      <c r="U241" s="51">
        <f t="shared" si="260"/>
        <v>0</v>
      </c>
      <c r="V241" s="52" t="e">
        <f t="shared" si="261"/>
        <v>#DIV/0!</v>
      </c>
      <c r="W241" s="53"/>
      <c r="X241" s="52" t="e">
        <f t="shared" si="262"/>
        <v>#DIV/0!</v>
      </c>
      <c r="Y241" s="53"/>
      <c r="Z241" s="52" t="e">
        <f t="shared" si="263"/>
        <v>#DIV/0!</v>
      </c>
      <c r="AA241" s="3"/>
      <c r="AB241" s="62">
        <f t="shared" si="264"/>
        <v>0</v>
      </c>
      <c r="AC241" s="52">
        <f t="shared" si="265"/>
        <v>0</v>
      </c>
      <c r="AD241" s="3"/>
      <c r="AE241" s="3"/>
      <c r="AF241" s="9" t="str">
        <f t="shared" si="266"/>
        <v>S/R Sin Respuesta</v>
      </c>
      <c r="AG241" s="72">
        <f t="shared" si="267"/>
        <v>0</v>
      </c>
      <c r="AH241" s="72">
        <f t="shared" si="268"/>
        <v>0</v>
      </c>
      <c r="AI241" s="73">
        <f t="shared" si="269"/>
        <v>0</v>
      </c>
      <c r="AJ241" s="73"/>
      <c r="AK241" s="76" t="e">
        <f t="shared" si="270"/>
        <v>#DIV/0!</v>
      </c>
      <c r="AL241" s="76" t="e">
        <f t="shared" si="271"/>
        <v>#DIV/0!</v>
      </c>
      <c r="AM241" s="76" t="e">
        <f t="shared" si="272"/>
        <v>#DIV/0!</v>
      </c>
      <c r="AN241" s="76"/>
      <c r="AO241" s="81" t="e">
        <f t="shared" si="273"/>
        <v>#DIV/0!</v>
      </c>
      <c r="AP241" s="81" t="e">
        <f t="shared" si="274"/>
        <v>#DIV/0!</v>
      </c>
      <c r="AQ241" s="81" t="e">
        <f t="shared" si="275"/>
        <v>#DIV/0!</v>
      </c>
      <c r="AR241" s="3"/>
      <c r="AS241" s="76">
        <f t="shared" si="227"/>
        <v>0</v>
      </c>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row>
    <row r="242" spans="1:75" x14ac:dyDescent="0.3">
      <c r="A242" s="70"/>
      <c r="B242" s="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6"/>
      <c r="AC242" s="41"/>
      <c r="AD242" s="7"/>
      <c r="AE242" s="3"/>
      <c r="AF242" s="3"/>
      <c r="AG242" s="3"/>
      <c r="AH242" s="3"/>
      <c r="AI242" s="3"/>
      <c r="AJ242" s="3"/>
      <c r="AK242" s="3"/>
      <c r="AL242" s="3"/>
      <c r="AM242" s="3"/>
      <c r="AN242" s="3"/>
      <c r="AO242" s="3"/>
      <c r="AP242" s="3"/>
      <c r="AQ242" s="3"/>
      <c r="AR242" s="3"/>
      <c r="AS242" s="76"/>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row>
    <row r="243" spans="1:75" x14ac:dyDescent="0.3">
      <c r="A243" s="70">
        <v>28</v>
      </c>
      <c r="B243" s="9" t="s">
        <v>177</v>
      </c>
      <c r="C243" s="7"/>
      <c r="D243" s="7"/>
      <c r="E243" s="7"/>
      <c r="F243" s="71"/>
      <c r="G243" s="51"/>
      <c r="H243" s="52"/>
      <c r="I243" s="53"/>
      <c r="J243" s="52"/>
      <c r="K243" s="53"/>
      <c r="L243" s="66"/>
      <c r="M243" s="23"/>
      <c r="N243" s="51"/>
      <c r="O243" s="52"/>
      <c r="P243" s="53"/>
      <c r="Q243" s="52"/>
      <c r="R243" s="53"/>
      <c r="S243" s="66"/>
      <c r="T243" s="3"/>
      <c r="U243" s="51"/>
      <c r="V243" s="52"/>
      <c r="W243" s="53"/>
      <c r="X243" s="52"/>
      <c r="Y243" s="53"/>
      <c r="Z243" s="66"/>
      <c r="AA243" s="3"/>
      <c r="AB243" s="62"/>
      <c r="AC243" s="52"/>
      <c r="AD243" s="3"/>
      <c r="AE243" s="3"/>
      <c r="AF243" s="88" t="str">
        <f>A243&amp;" "&amp;B243</f>
        <v>28 Las clases de formación religiosa son interesantes:</v>
      </c>
      <c r="AG243" s="3"/>
      <c r="AH243" s="3"/>
      <c r="AI243" s="3"/>
      <c r="AJ243" s="3"/>
      <c r="AK243" s="3"/>
      <c r="AL243" s="3"/>
      <c r="AM243" s="3"/>
      <c r="AN243" s="3"/>
      <c r="AO243" s="3"/>
      <c r="AP243" s="3"/>
      <c r="AQ243" s="3"/>
      <c r="AR243" s="3"/>
      <c r="AS243" s="76"/>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row>
    <row r="244" spans="1:75" x14ac:dyDescent="0.3">
      <c r="A244" s="8" t="s">
        <v>17</v>
      </c>
      <c r="B244" s="9" t="s">
        <v>178</v>
      </c>
      <c r="C244" s="7"/>
      <c r="D244" s="7"/>
      <c r="E244" s="7"/>
      <c r="F244" s="71">
        <v>0</v>
      </c>
      <c r="G244" s="51">
        <f t="shared" ref="G244:G249" si="276">I244+K244</f>
        <v>2</v>
      </c>
      <c r="H244" s="52">
        <f t="shared" ref="H244:H249" si="277">G244/$J$5*100</f>
        <v>4.7619047619047619</v>
      </c>
      <c r="I244" s="53">
        <f>COUNTIFS('00 Encuesta'!$B$2:$B$511,"*f)*",'00 Encuesta'!$C$2:$C$511,"*a)*",'00 Encuesta'!$E$2:$E$511,"*a)*",'00 Encuesta'!$AF$2:$AF$511,"*a)*")</f>
        <v>1</v>
      </c>
      <c r="J244" s="52">
        <f t="shared" ref="J244:J249" si="278">I244/$J$6*100</f>
        <v>4.5454545454545459</v>
      </c>
      <c r="K244" s="53">
        <f>COUNTIFS('00 Encuesta'!$B$2:$B$511,"*f)*",'00 Encuesta'!$C$2:$C$511,"*a)*",'00 Encuesta'!$E$2:$E$511,"*b)*",'00 Encuesta'!$AF$2:$AF$511,"*a)*")</f>
        <v>1</v>
      </c>
      <c r="L244" s="52">
        <f>K244/$J$7*100</f>
        <v>5</v>
      </c>
      <c r="M244" s="23"/>
      <c r="N244" s="51">
        <f>P244+R244</f>
        <v>0</v>
      </c>
      <c r="O244" s="52" t="e">
        <f>N244/$Q$5*100</f>
        <v>#DIV/0!</v>
      </c>
      <c r="P244" s="53">
        <f>COUNTIFS('00 Encuesta'!$B$2:$B$511,"*f)*",'00 Encuesta'!$C$2:$C$511,"*b)*",'00 Encuesta'!$E$2:$E$511,"*a)*",'00 Encuesta'!$AF$2:$AF$511,"*a)*")</f>
        <v>0</v>
      </c>
      <c r="Q244" s="52" t="e">
        <f>P244/$Q$6*100</f>
        <v>#DIV/0!</v>
      </c>
      <c r="R244" s="53">
        <f>COUNTIFS('00 Encuesta'!$B$2:$B$511,"*f)*",'00 Encuesta'!$C$2:$C$511,"*b)*",'00 Encuesta'!$E$2:$E$511,"*b)*",'00 Encuesta'!$AF$2:$AF$511,"*a)*")</f>
        <v>0</v>
      </c>
      <c r="S244" s="52" t="e">
        <f>R244/$Q$7*100</f>
        <v>#DIV/0!</v>
      </c>
      <c r="T244" s="3"/>
      <c r="U244" s="51">
        <f>W244+Y244</f>
        <v>0</v>
      </c>
      <c r="V244" s="52" t="e">
        <f>U244/$X$5*100</f>
        <v>#DIV/0!</v>
      </c>
      <c r="W244" s="53">
        <f>COUNTIFS('00 Encuesta'!$B$2:$B$511,"*f)*",'00 Encuesta'!$C$2:$C$511,"*c)*",'00 Encuesta'!$E$2:$E$511,"*a)*",'00 Encuesta'!$AF$2:$AF$511,"*a)*")</f>
        <v>0</v>
      </c>
      <c r="X244" s="52" t="e">
        <f>W244/$X$6*100</f>
        <v>#DIV/0!</v>
      </c>
      <c r="Y244" s="53">
        <f>COUNTIFS('00 Encuesta'!$B$2:$B$511,"*f)*",'00 Encuesta'!$C$2:$C$511,"*c)*",'00 Encuesta'!$E$2:$E$511,"*b)*",'00 Encuesta'!$AF$2:$AF$511,"*a)*")</f>
        <v>0</v>
      </c>
      <c r="Z244" s="52" t="e">
        <f t="shared" ref="Z244:Z249" si="279">Y244/$X$7*100</f>
        <v>#DIV/0!</v>
      </c>
      <c r="AA244" s="3"/>
      <c r="AB244" s="62">
        <f t="shared" ref="AB244:AB249" si="280">G244+N244+U244</f>
        <v>2</v>
      </c>
      <c r="AC244" s="52">
        <f t="shared" ref="AC244:AC249" si="281">AB244*100/$AC$5</f>
        <v>4.7619047619047619</v>
      </c>
      <c r="AD244" s="3"/>
      <c r="AE244" s="3"/>
      <c r="AF244" s="9" t="str">
        <f t="shared" ref="AF244:AF249" si="282">A244&amp;" "&amp;B244</f>
        <v>a) No, en absoluto</v>
      </c>
      <c r="AG244" s="72">
        <f t="shared" ref="AG244:AG249" si="283">J244</f>
        <v>4.5454545454545459</v>
      </c>
      <c r="AH244" s="72">
        <f t="shared" ref="AH244:AH249" si="284">L244</f>
        <v>5</v>
      </c>
      <c r="AI244" s="73">
        <f t="shared" ref="AI244:AI249" si="285">H244</f>
        <v>4.7619047619047619</v>
      </c>
      <c r="AJ244" s="73"/>
      <c r="AK244" s="76" t="e">
        <f t="shared" ref="AK244:AK249" si="286">Q244</f>
        <v>#DIV/0!</v>
      </c>
      <c r="AL244" s="76" t="e">
        <f t="shared" ref="AL244:AL249" si="287">S244</f>
        <v>#DIV/0!</v>
      </c>
      <c r="AM244" s="76" t="e">
        <f t="shared" ref="AM244:AM249" si="288">O244</f>
        <v>#DIV/0!</v>
      </c>
      <c r="AN244" s="76"/>
      <c r="AO244" s="81" t="e">
        <f t="shared" ref="AO244:AO249" si="289">X244</f>
        <v>#DIV/0!</v>
      </c>
      <c r="AP244" s="81" t="e">
        <f t="shared" ref="AP244:AP249" si="290">Z244</f>
        <v>#DIV/0!</v>
      </c>
      <c r="AQ244" s="81" t="e">
        <f t="shared" ref="AQ244:AQ249" si="291">V244</f>
        <v>#DIV/0!</v>
      </c>
      <c r="AR244" s="3"/>
      <c r="AS244" s="76">
        <f t="shared" si="227"/>
        <v>4.7619047619047619</v>
      </c>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row>
    <row r="245" spans="1:75" x14ac:dyDescent="0.3">
      <c r="A245" s="8" t="s">
        <v>18</v>
      </c>
      <c r="B245" s="9" t="s">
        <v>104</v>
      </c>
      <c r="C245" s="7"/>
      <c r="D245" s="7"/>
      <c r="E245" s="7"/>
      <c r="F245" s="71">
        <v>33.33</v>
      </c>
      <c r="G245" s="51">
        <f t="shared" si="276"/>
        <v>11</v>
      </c>
      <c r="H245" s="52">
        <f t="shared" si="277"/>
        <v>26.190476190476193</v>
      </c>
      <c r="I245" s="53">
        <f>COUNTIFS('00 Encuesta'!$B$2:$B$511,"*f)*",'00 Encuesta'!$C$2:$C$511,"*a)*",'00 Encuesta'!$E$2:$E$511,"*a)*",'00 Encuesta'!$AF$2:$AF$511,"*b)*")</f>
        <v>7</v>
      </c>
      <c r="J245" s="52">
        <f t="shared" si="278"/>
        <v>31.818181818181817</v>
      </c>
      <c r="K245" s="53">
        <f>COUNTIFS('00 Encuesta'!$B$2:$B$511,"*f)*",'00 Encuesta'!$C$2:$C$511,"*a)*",'00 Encuesta'!$E$2:$E$511,"*b)*",'00 Encuesta'!$AF$2:$AF$511,"*b)*")</f>
        <v>4</v>
      </c>
      <c r="L245" s="52">
        <f>K245/$J$7*100</f>
        <v>20</v>
      </c>
      <c r="M245" s="23"/>
      <c r="N245" s="51">
        <f>P245+R245</f>
        <v>0</v>
      </c>
      <c r="O245" s="52" t="e">
        <f>N245/$Q$5*100</f>
        <v>#DIV/0!</v>
      </c>
      <c r="P245" s="53">
        <f>COUNTIFS('00 Encuesta'!$B$2:$B$511,"*f)*",'00 Encuesta'!$C$2:$C$511,"*b)*",'00 Encuesta'!$E$2:$E$511,"*a)*",'00 Encuesta'!$AF$2:$AF$511,"*b)*")</f>
        <v>0</v>
      </c>
      <c r="Q245" s="52" t="e">
        <f>P245/$Q$6*100</f>
        <v>#DIV/0!</v>
      </c>
      <c r="R245" s="53">
        <f>COUNTIFS('00 Encuesta'!$B$2:$B$511,"*f)*",'00 Encuesta'!$C$2:$C$511,"*b)*",'00 Encuesta'!$E$2:$E$511,"*b)*",'00 Encuesta'!$AF$2:$AF$511,"*b)*")</f>
        <v>0</v>
      </c>
      <c r="S245" s="52" t="e">
        <f>R245/$Q$7*100</f>
        <v>#DIV/0!</v>
      </c>
      <c r="T245" s="3"/>
      <c r="U245" s="51">
        <f>W245+Y245</f>
        <v>0</v>
      </c>
      <c r="V245" s="52" t="e">
        <f>U245/$X$5*100</f>
        <v>#DIV/0!</v>
      </c>
      <c r="W245" s="53">
        <f>COUNTIFS('00 Encuesta'!$B$2:$B$511,"*f)*",'00 Encuesta'!$C$2:$C$511,"*c)*",'00 Encuesta'!$E$2:$E$511,"*a)*",'00 Encuesta'!$AF$2:$AF$511,"*b)*")</f>
        <v>0</v>
      </c>
      <c r="X245" s="52" t="e">
        <f>W245/$X$6*100</f>
        <v>#DIV/0!</v>
      </c>
      <c r="Y245" s="53">
        <f>COUNTIFS('00 Encuesta'!$B$2:$B$511,"*f)*",'00 Encuesta'!$C$2:$C$511,"*c)*",'00 Encuesta'!$E$2:$E$511,"*b)*",'00 Encuesta'!$AF$2:$AF$511,"*b)*")</f>
        <v>0</v>
      </c>
      <c r="Z245" s="52" t="e">
        <f t="shared" si="279"/>
        <v>#DIV/0!</v>
      </c>
      <c r="AA245" s="3"/>
      <c r="AB245" s="62">
        <f t="shared" si="280"/>
        <v>11</v>
      </c>
      <c r="AC245" s="52">
        <f t="shared" si="281"/>
        <v>26.19047619047619</v>
      </c>
      <c r="AD245" s="3"/>
      <c r="AE245" s="3"/>
      <c r="AF245" s="9" t="str">
        <f t="shared" si="282"/>
        <v>b) Poco</v>
      </c>
      <c r="AG245" s="72">
        <f t="shared" si="283"/>
        <v>31.818181818181817</v>
      </c>
      <c r="AH245" s="72">
        <f t="shared" si="284"/>
        <v>20</v>
      </c>
      <c r="AI245" s="73">
        <f t="shared" si="285"/>
        <v>26.190476190476193</v>
      </c>
      <c r="AJ245" s="73"/>
      <c r="AK245" s="76" t="e">
        <f t="shared" si="286"/>
        <v>#DIV/0!</v>
      </c>
      <c r="AL245" s="76" t="e">
        <f t="shared" si="287"/>
        <v>#DIV/0!</v>
      </c>
      <c r="AM245" s="76" t="e">
        <f t="shared" si="288"/>
        <v>#DIV/0!</v>
      </c>
      <c r="AN245" s="76"/>
      <c r="AO245" s="81" t="e">
        <f t="shared" si="289"/>
        <v>#DIV/0!</v>
      </c>
      <c r="AP245" s="81" t="e">
        <f t="shared" si="290"/>
        <v>#DIV/0!</v>
      </c>
      <c r="AQ245" s="81" t="e">
        <f t="shared" si="291"/>
        <v>#DIV/0!</v>
      </c>
      <c r="AR245" s="3"/>
      <c r="AS245" s="76">
        <f t="shared" si="227"/>
        <v>26.19047619047619</v>
      </c>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row>
    <row r="246" spans="1:75" x14ac:dyDescent="0.3">
      <c r="A246" s="8" t="s">
        <v>20</v>
      </c>
      <c r="B246" s="9" t="s">
        <v>179</v>
      </c>
      <c r="C246" s="7"/>
      <c r="D246" s="7"/>
      <c r="E246" s="7"/>
      <c r="F246" s="71">
        <v>66.66</v>
      </c>
      <c r="G246" s="51">
        <f t="shared" si="276"/>
        <v>15</v>
      </c>
      <c r="H246" s="52">
        <f t="shared" si="277"/>
        <v>35.714285714285715</v>
      </c>
      <c r="I246" s="53">
        <f>COUNTIFS('00 Encuesta'!$B$2:$B$511,"*f)*",'00 Encuesta'!$C$2:$C$511,"*a)*",'00 Encuesta'!$E$2:$E$511,"*a)*",'00 Encuesta'!$AF$2:$AF$511,"*c)*")</f>
        <v>8</v>
      </c>
      <c r="J246" s="52">
        <f t="shared" si="278"/>
        <v>36.363636363636367</v>
      </c>
      <c r="K246" s="53">
        <f>COUNTIFS('00 Encuesta'!$B$2:$B$511,"*f)*",'00 Encuesta'!$C$2:$C$511,"*a)*",'00 Encuesta'!$E$2:$E$511,"*b)*",'00 Encuesta'!$AF$2:$AF$511,"*c)*")</f>
        <v>7</v>
      </c>
      <c r="L246" s="52">
        <f>K246/$J$7*100</f>
        <v>35</v>
      </c>
      <c r="M246" s="23"/>
      <c r="N246" s="51">
        <f>P246+R246</f>
        <v>0</v>
      </c>
      <c r="O246" s="52" t="e">
        <f>N246/$Q$5*100</f>
        <v>#DIV/0!</v>
      </c>
      <c r="P246" s="53">
        <f>COUNTIFS('00 Encuesta'!$B$2:$B$511,"*f)*",'00 Encuesta'!$C$2:$C$511,"*b)*",'00 Encuesta'!$E$2:$E$511,"*a)*",'00 Encuesta'!$AF$2:$AF$511,"*c)*")</f>
        <v>0</v>
      </c>
      <c r="Q246" s="52" t="e">
        <f>P246/$Q$6*100</f>
        <v>#DIV/0!</v>
      </c>
      <c r="R246" s="53">
        <f>COUNTIFS('00 Encuesta'!$B$2:$B$511,"*f)*",'00 Encuesta'!$C$2:$C$511,"*b)*",'00 Encuesta'!$E$2:$E$511,"*b)*",'00 Encuesta'!$AF$2:$AF$511,"*c)*")</f>
        <v>0</v>
      </c>
      <c r="S246" s="52" t="e">
        <f>R246/$Q$7*100</f>
        <v>#DIV/0!</v>
      </c>
      <c r="T246" s="3"/>
      <c r="U246" s="51">
        <f>W246+Y246</f>
        <v>0</v>
      </c>
      <c r="V246" s="52" t="e">
        <f>U246/$X$5*100</f>
        <v>#DIV/0!</v>
      </c>
      <c r="W246" s="53">
        <f>COUNTIFS('00 Encuesta'!$B$2:$B$511,"*f)*",'00 Encuesta'!$C$2:$C$511,"*c)*",'00 Encuesta'!$E$2:$E$511,"*a)*",'00 Encuesta'!$AF$2:$AF$511,"*c)*")</f>
        <v>0</v>
      </c>
      <c r="X246" s="52" t="e">
        <f>W246/$X$6*100</f>
        <v>#DIV/0!</v>
      </c>
      <c r="Y246" s="53">
        <f>COUNTIFS('00 Encuesta'!$B$2:$B$511,"*f)*",'00 Encuesta'!$C$2:$C$511,"*c)*",'00 Encuesta'!$E$2:$E$511,"*b)*",'00 Encuesta'!$AF$2:$AF$511,"*c)*")</f>
        <v>0</v>
      </c>
      <c r="Z246" s="52" t="e">
        <f t="shared" si="279"/>
        <v>#DIV/0!</v>
      </c>
      <c r="AA246" s="3"/>
      <c r="AB246" s="62">
        <f t="shared" si="280"/>
        <v>15</v>
      </c>
      <c r="AC246" s="52">
        <f t="shared" si="281"/>
        <v>35.714285714285715</v>
      </c>
      <c r="AD246" s="3"/>
      <c r="AE246" s="3"/>
      <c r="AF246" s="9" t="str">
        <f t="shared" si="282"/>
        <v>c) Bastante</v>
      </c>
      <c r="AG246" s="72">
        <f t="shared" si="283"/>
        <v>36.363636363636367</v>
      </c>
      <c r="AH246" s="72">
        <f t="shared" si="284"/>
        <v>35</v>
      </c>
      <c r="AI246" s="73">
        <f t="shared" si="285"/>
        <v>35.714285714285715</v>
      </c>
      <c r="AJ246" s="73"/>
      <c r="AK246" s="76" t="e">
        <f t="shared" si="286"/>
        <v>#DIV/0!</v>
      </c>
      <c r="AL246" s="76" t="e">
        <f t="shared" si="287"/>
        <v>#DIV/0!</v>
      </c>
      <c r="AM246" s="76" t="e">
        <f t="shared" si="288"/>
        <v>#DIV/0!</v>
      </c>
      <c r="AN246" s="76"/>
      <c r="AO246" s="81" t="e">
        <f t="shared" si="289"/>
        <v>#DIV/0!</v>
      </c>
      <c r="AP246" s="81" t="e">
        <f t="shared" si="290"/>
        <v>#DIV/0!</v>
      </c>
      <c r="AQ246" s="81" t="e">
        <f t="shared" si="291"/>
        <v>#DIV/0!</v>
      </c>
      <c r="AR246" s="3"/>
      <c r="AS246" s="76">
        <f t="shared" si="227"/>
        <v>35.714285714285715</v>
      </c>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row>
    <row r="247" spans="1:75" x14ac:dyDescent="0.3">
      <c r="A247" s="8" t="s">
        <v>21</v>
      </c>
      <c r="B247" s="9" t="s">
        <v>180</v>
      </c>
      <c r="C247" s="7"/>
      <c r="D247" s="7"/>
      <c r="E247" s="7"/>
      <c r="F247" s="71">
        <v>100</v>
      </c>
      <c r="G247" s="51">
        <f t="shared" si="276"/>
        <v>10</v>
      </c>
      <c r="H247" s="52">
        <f t="shared" si="277"/>
        <v>23.809523809523807</v>
      </c>
      <c r="I247" s="53">
        <f>COUNTIFS('00 Encuesta'!$B$2:$B$511,"*f)*",'00 Encuesta'!$C$2:$C$511,"*a)*",'00 Encuesta'!$E$2:$E$511,"*a)*",'00 Encuesta'!$AF$2:$AF$511,"*d)*")</f>
        <v>4</v>
      </c>
      <c r="J247" s="52">
        <f t="shared" si="278"/>
        <v>18.181818181818183</v>
      </c>
      <c r="K247" s="53">
        <f>COUNTIFS('00 Encuesta'!$B$2:$B$511,"*f)*",'00 Encuesta'!$C$2:$C$511,"*a)*",'00 Encuesta'!$E$2:$E$511,"*b)*",'00 Encuesta'!$AF$2:$AF$511,"*d)*")</f>
        <v>6</v>
      </c>
      <c r="L247" s="52">
        <f>K247/$J$7*100</f>
        <v>30</v>
      </c>
      <c r="M247" s="23"/>
      <c r="N247" s="51">
        <f>P247+R247</f>
        <v>0</v>
      </c>
      <c r="O247" s="52" t="e">
        <f>N247/$Q$5*100</f>
        <v>#DIV/0!</v>
      </c>
      <c r="P247" s="53">
        <f>COUNTIFS('00 Encuesta'!$B$2:$B$511,"*f)*",'00 Encuesta'!$C$2:$C$511,"*b)*",'00 Encuesta'!$E$2:$E$511,"*a)*",'00 Encuesta'!$AF$2:$AF$511,"*d)*")</f>
        <v>0</v>
      </c>
      <c r="Q247" s="52" t="e">
        <f>P247/$Q$6*100</f>
        <v>#DIV/0!</v>
      </c>
      <c r="R247" s="53">
        <f>COUNTIFS('00 Encuesta'!$B$2:$B$511,"*f)*",'00 Encuesta'!$C$2:$C$511,"*b)*",'00 Encuesta'!$E$2:$E$511,"*b)*",'00 Encuesta'!$AF$2:$AF$511,"*d)*")</f>
        <v>0</v>
      </c>
      <c r="S247" s="52" t="e">
        <f>R247/$Q$7*100</f>
        <v>#DIV/0!</v>
      </c>
      <c r="T247" s="3"/>
      <c r="U247" s="51">
        <f>W247+Y247</f>
        <v>0</v>
      </c>
      <c r="V247" s="52" t="e">
        <f>U247/$X$5*100</f>
        <v>#DIV/0!</v>
      </c>
      <c r="W247" s="53">
        <f>COUNTIFS('00 Encuesta'!$B$2:$B$511,"*f)*",'00 Encuesta'!$C$2:$C$511,"*c)*",'00 Encuesta'!$E$2:$E$511,"*a)*",'00 Encuesta'!$AF$2:$AF$511,"*d)*")</f>
        <v>0</v>
      </c>
      <c r="X247" s="52" t="e">
        <f>W247/$X$6*100</f>
        <v>#DIV/0!</v>
      </c>
      <c r="Y247" s="53">
        <f>COUNTIFS('00 Encuesta'!$B$2:$B$511,"*f)*",'00 Encuesta'!$C$2:$C$511,"*c)*",'00 Encuesta'!$E$2:$E$511,"*b)*",'00 Encuesta'!$AF$2:$AF$511,"*d)*")</f>
        <v>0</v>
      </c>
      <c r="Z247" s="52" t="e">
        <f t="shared" si="279"/>
        <v>#DIV/0!</v>
      </c>
      <c r="AA247" s="3"/>
      <c r="AB247" s="62">
        <f t="shared" si="280"/>
        <v>10</v>
      </c>
      <c r="AC247" s="52">
        <f t="shared" si="281"/>
        <v>23.80952380952381</v>
      </c>
      <c r="AD247" s="3"/>
      <c r="AE247" s="3"/>
      <c r="AF247" s="9" t="str">
        <f t="shared" si="282"/>
        <v>d) Mucho o muchísimo</v>
      </c>
      <c r="AG247" s="72">
        <f t="shared" si="283"/>
        <v>18.181818181818183</v>
      </c>
      <c r="AH247" s="72">
        <f t="shared" si="284"/>
        <v>30</v>
      </c>
      <c r="AI247" s="73">
        <f t="shared" si="285"/>
        <v>23.809523809523807</v>
      </c>
      <c r="AJ247" s="73"/>
      <c r="AK247" s="76" t="e">
        <f t="shared" si="286"/>
        <v>#DIV/0!</v>
      </c>
      <c r="AL247" s="76" t="e">
        <f t="shared" si="287"/>
        <v>#DIV/0!</v>
      </c>
      <c r="AM247" s="76" t="e">
        <f t="shared" si="288"/>
        <v>#DIV/0!</v>
      </c>
      <c r="AN247" s="76"/>
      <c r="AO247" s="81" t="e">
        <f t="shared" si="289"/>
        <v>#DIV/0!</v>
      </c>
      <c r="AP247" s="81" t="e">
        <f t="shared" si="290"/>
        <v>#DIV/0!</v>
      </c>
      <c r="AQ247" s="81" t="e">
        <f t="shared" si="291"/>
        <v>#DIV/0!</v>
      </c>
      <c r="AR247" s="3"/>
      <c r="AS247" s="76">
        <f t="shared" si="227"/>
        <v>23.80952380952381</v>
      </c>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row>
    <row r="248" spans="1:75" x14ac:dyDescent="0.3">
      <c r="A248" s="8" t="s">
        <v>22</v>
      </c>
      <c r="B248" s="9" t="s">
        <v>52</v>
      </c>
      <c r="C248" s="7"/>
      <c r="D248" s="7"/>
      <c r="E248" s="7"/>
      <c r="F248" s="71"/>
      <c r="G248" s="51">
        <f t="shared" si="276"/>
        <v>3</v>
      </c>
      <c r="H248" s="52">
        <f t="shared" si="277"/>
        <v>7.1428571428571423</v>
      </c>
      <c r="I248" s="53">
        <f>COUNTIFS('00 Encuesta'!$B$2:$B$511,"*f)*",'00 Encuesta'!$C$2:$C$511,"*a)*",'00 Encuesta'!$E$2:$E$511,"*a)*",'00 Encuesta'!$AF$2:$AF$511,"*e)*")</f>
        <v>1</v>
      </c>
      <c r="J248" s="52">
        <f t="shared" si="278"/>
        <v>4.5454545454545459</v>
      </c>
      <c r="K248" s="53">
        <f>COUNTIFS('00 Encuesta'!$B$2:$B$511,"*f)*",'00 Encuesta'!$C$2:$C$511,"*a)*",'00 Encuesta'!$E$2:$E$511,"*b)*",'00 Encuesta'!$AF$2:$AF$511,"*e)*")</f>
        <v>2</v>
      </c>
      <c r="L248" s="52">
        <f>K248/$J$7*100</f>
        <v>10</v>
      </c>
      <c r="M248" s="23"/>
      <c r="N248" s="51">
        <f>P248+R248</f>
        <v>0</v>
      </c>
      <c r="O248" s="52" t="e">
        <f>N248/$Q$5*100</f>
        <v>#DIV/0!</v>
      </c>
      <c r="P248" s="53">
        <f>COUNTIFS('00 Encuesta'!$B$2:$B$511,"*f)*",'00 Encuesta'!$C$2:$C$511,"*b)*",'00 Encuesta'!$E$2:$E$511,"*a)*",'00 Encuesta'!$AF$2:$AF$511,"*e)*")</f>
        <v>0</v>
      </c>
      <c r="Q248" s="52" t="e">
        <f>P248/$Q$6*100</f>
        <v>#DIV/0!</v>
      </c>
      <c r="R248" s="53">
        <f>COUNTIFS('00 Encuesta'!$B$2:$B$511,"*f)*",'00 Encuesta'!$C$2:$C$511,"*b)*",'00 Encuesta'!$E$2:$E$511,"*b)*",'00 Encuesta'!$AF$2:$AF$511,"*e)*")</f>
        <v>0</v>
      </c>
      <c r="S248" s="52" t="e">
        <f>R248/$Q$7*100</f>
        <v>#DIV/0!</v>
      </c>
      <c r="T248" s="3"/>
      <c r="U248" s="51">
        <f>W248+Y248</f>
        <v>0</v>
      </c>
      <c r="V248" s="52" t="e">
        <f>U248/$X$5*100</f>
        <v>#DIV/0!</v>
      </c>
      <c r="W248" s="53">
        <f>COUNTIFS('00 Encuesta'!$B$2:$B$511,"*f)*",'00 Encuesta'!$C$2:$C$511,"*c)*",'00 Encuesta'!$E$2:$E$511,"*a)*",'00 Encuesta'!$AF$2:$AF$511,"*e)*")</f>
        <v>0</v>
      </c>
      <c r="X248" s="52" t="e">
        <f>W248/$X$6*100</f>
        <v>#DIV/0!</v>
      </c>
      <c r="Y248" s="53">
        <f>COUNTIFS('00 Encuesta'!$B$2:$B$511,"*f)*",'00 Encuesta'!$C$2:$C$511,"*c)*",'00 Encuesta'!$E$2:$E$511,"*b)*",'00 Encuesta'!$AF$2:$AF$511,"*e)*")</f>
        <v>0</v>
      </c>
      <c r="Z248" s="52" t="e">
        <f t="shared" si="279"/>
        <v>#DIV/0!</v>
      </c>
      <c r="AA248" s="3"/>
      <c r="AB248" s="62">
        <f t="shared" si="280"/>
        <v>3</v>
      </c>
      <c r="AC248" s="52">
        <f t="shared" si="281"/>
        <v>7.1428571428571432</v>
      </c>
      <c r="AD248" s="3"/>
      <c r="AE248" s="3"/>
      <c r="AF248" s="9" t="str">
        <f t="shared" si="282"/>
        <v>e) No sé</v>
      </c>
      <c r="AG248" s="72">
        <f t="shared" si="283"/>
        <v>4.5454545454545459</v>
      </c>
      <c r="AH248" s="72">
        <f t="shared" si="284"/>
        <v>10</v>
      </c>
      <c r="AI248" s="73">
        <f t="shared" si="285"/>
        <v>7.1428571428571423</v>
      </c>
      <c r="AJ248" s="73"/>
      <c r="AK248" s="76" t="e">
        <f t="shared" si="286"/>
        <v>#DIV/0!</v>
      </c>
      <c r="AL248" s="76" t="e">
        <f t="shared" si="287"/>
        <v>#DIV/0!</v>
      </c>
      <c r="AM248" s="76" t="e">
        <f t="shared" si="288"/>
        <v>#DIV/0!</v>
      </c>
      <c r="AN248" s="76"/>
      <c r="AO248" s="81" t="e">
        <f t="shared" si="289"/>
        <v>#DIV/0!</v>
      </c>
      <c r="AP248" s="81" t="e">
        <f t="shared" si="290"/>
        <v>#DIV/0!</v>
      </c>
      <c r="AQ248" s="81" t="e">
        <f t="shared" si="291"/>
        <v>#DIV/0!</v>
      </c>
      <c r="AR248" s="3"/>
      <c r="AS248" s="76">
        <f t="shared" si="227"/>
        <v>7.1428571428571432</v>
      </c>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row>
    <row r="249" spans="1:75" x14ac:dyDescent="0.3">
      <c r="A249" s="8" t="s">
        <v>23</v>
      </c>
      <c r="B249" s="9" t="s">
        <v>24</v>
      </c>
      <c r="C249" s="7"/>
      <c r="D249" s="7"/>
      <c r="E249" s="7"/>
      <c r="F249" s="71"/>
      <c r="G249" s="51">
        <f t="shared" si="276"/>
        <v>0</v>
      </c>
      <c r="H249" s="52">
        <f t="shared" si="277"/>
        <v>0</v>
      </c>
      <c r="I249" s="53"/>
      <c r="J249" s="52">
        <f t="shared" si="278"/>
        <v>0</v>
      </c>
      <c r="K249" s="53"/>
      <c r="L249" s="52">
        <f t="shared" ref="L249" si="292">K249/$J$7*100</f>
        <v>0</v>
      </c>
      <c r="M249" s="23"/>
      <c r="N249" s="51">
        <f t="shared" ref="N249" si="293">P249+R249</f>
        <v>0</v>
      </c>
      <c r="O249" s="52" t="e">
        <f t="shared" ref="O249" si="294">N249/$Q$5*100</f>
        <v>#DIV/0!</v>
      </c>
      <c r="P249" s="53"/>
      <c r="Q249" s="52" t="e">
        <f t="shared" ref="Q249" si="295">P249/$Q$6*100</f>
        <v>#DIV/0!</v>
      </c>
      <c r="R249" s="53"/>
      <c r="S249" s="52" t="e">
        <f t="shared" ref="S249" si="296">R249/$Q$7*100</f>
        <v>#DIV/0!</v>
      </c>
      <c r="T249" s="3"/>
      <c r="U249" s="51">
        <f t="shared" ref="U249" si="297">W249+Y249</f>
        <v>0</v>
      </c>
      <c r="V249" s="52" t="e">
        <f t="shared" ref="V249" si="298">U249/$X$5*100</f>
        <v>#DIV/0!</v>
      </c>
      <c r="W249" s="53"/>
      <c r="X249" s="52" t="e">
        <f t="shared" ref="X249" si="299">W249/$X$6*100</f>
        <v>#DIV/0!</v>
      </c>
      <c r="Y249" s="53"/>
      <c r="Z249" s="52" t="e">
        <f t="shared" si="279"/>
        <v>#DIV/0!</v>
      </c>
      <c r="AA249" s="3"/>
      <c r="AB249" s="62">
        <f t="shared" si="280"/>
        <v>0</v>
      </c>
      <c r="AC249" s="52">
        <f t="shared" si="281"/>
        <v>0</v>
      </c>
      <c r="AD249" s="3"/>
      <c r="AE249" s="3"/>
      <c r="AF249" s="9" t="str">
        <f t="shared" si="282"/>
        <v>S/R Sin Respuesta</v>
      </c>
      <c r="AG249" s="72">
        <f t="shared" si="283"/>
        <v>0</v>
      </c>
      <c r="AH249" s="72">
        <f t="shared" si="284"/>
        <v>0</v>
      </c>
      <c r="AI249" s="73">
        <f t="shared" si="285"/>
        <v>0</v>
      </c>
      <c r="AJ249" s="73"/>
      <c r="AK249" s="76" t="e">
        <f t="shared" si="286"/>
        <v>#DIV/0!</v>
      </c>
      <c r="AL249" s="76" t="e">
        <f t="shared" si="287"/>
        <v>#DIV/0!</v>
      </c>
      <c r="AM249" s="76" t="e">
        <f t="shared" si="288"/>
        <v>#DIV/0!</v>
      </c>
      <c r="AN249" s="76"/>
      <c r="AO249" s="81" t="e">
        <f t="shared" si="289"/>
        <v>#DIV/0!</v>
      </c>
      <c r="AP249" s="81" t="e">
        <f t="shared" si="290"/>
        <v>#DIV/0!</v>
      </c>
      <c r="AQ249" s="81" t="e">
        <f t="shared" si="291"/>
        <v>#DIV/0!</v>
      </c>
      <c r="AR249" s="3"/>
      <c r="AS249" s="76">
        <f t="shared" si="227"/>
        <v>0</v>
      </c>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row>
    <row r="250" spans="1:75" x14ac:dyDescent="0.3">
      <c r="A250" s="8"/>
      <c r="B250" s="9"/>
      <c r="C250" s="7"/>
      <c r="D250" s="7"/>
      <c r="E250" s="7"/>
      <c r="F250" s="71"/>
      <c r="G250" s="71"/>
      <c r="H250" s="71"/>
      <c r="I250" s="71"/>
      <c r="J250" s="71"/>
      <c r="K250" s="71"/>
      <c r="L250" s="71"/>
      <c r="M250" s="71"/>
      <c r="N250" s="71"/>
      <c r="O250" s="71"/>
      <c r="P250" s="71"/>
      <c r="Q250" s="71"/>
      <c r="R250" s="71"/>
      <c r="S250" s="71"/>
      <c r="T250" s="71"/>
      <c r="U250" s="71"/>
      <c r="V250" s="71"/>
      <c r="W250" s="71"/>
      <c r="X250" s="71"/>
      <c r="Y250" s="71"/>
      <c r="Z250" s="71"/>
      <c r="AA250" s="71"/>
      <c r="AB250" s="83"/>
      <c r="AC250" s="41"/>
      <c r="AD250" s="3"/>
      <c r="AE250" s="3"/>
      <c r="AF250" s="3"/>
      <c r="AG250" s="82">
        <f>(+$F245*I245+$F246*I246+$F247*I247+$F244*I244)/(+I245+I246+I247+I244)</f>
        <v>58.329499999999996</v>
      </c>
      <c r="AH250" s="82">
        <f>($F245*K245+$F246*K246+$F247*K247+$F244*K244)/(+K245+K246+K247+K244)</f>
        <v>66.663333333333341</v>
      </c>
      <c r="AI250" s="82">
        <f>($F245*G245+$F246*G246+$F247*G247+$F244*G244)/(G245+G246+G247+G244)</f>
        <v>62.277105263157885</v>
      </c>
      <c r="AJ250" s="82"/>
      <c r="AK250" s="82" t="e">
        <f>($F245*P245+$F246*P246+$F247*P247+$F248*P248)/(P245+P246+P247+P248)</f>
        <v>#DIV/0!</v>
      </c>
      <c r="AL250" s="82" t="e">
        <f>($F245*R245+$F246*R246+$F247*R247+$F248*R248)/(R245+R246+R247+R248)</f>
        <v>#DIV/0!</v>
      </c>
      <c r="AM250" s="82" t="e">
        <f>($F245*N245+$F246*N246+$F247*N247+$F248*N248)/(N245+N246+N247+N248)</f>
        <v>#DIV/0!</v>
      </c>
      <c r="AN250" s="82"/>
      <c r="AO250" s="82" t="e">
        <f>($F245*W245+$F246*W246+$F247*W247+$F244*W244)/(W245+W246+W247+W244)</f>
        <v>#DIV/0!</v>
      </c>
      <c r="AP250" s="82" t="e">
        <f>($F245*Y245+$F246*Y246+$F247*Y247+$F244*Y244)/(Y245+Y246+Y247+Y244)</f>
        <v>#DIV/0!</v>
      </c>
      <c r="AQ250" s="82" t="e">
        <f>($F245*U245+$F246*U246+$F247*U247+$F244*U244)/(U245+U246+U247+U244)</f>
        <v>#DIV/0!</v>
      </c>
      <c r="AR250" s="3"/>
      <c r="AS250" s="76"/>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row>
    <row r="251" spans="1:75" x14ac:dyDescent="0.3">
      <c r="A251" s="70">
        <v>29</v>
      </c>
      <c r="B251" s="9" t="s">
        <v>181</v>
      </c>
      <c r="C251" s="7"/>
      <c r="D251" s="7"/>
      <c r="E251" s="7"/>
      <c r="F251" s="71"/>
      <c r="G251" s="51"/>
      <c r="H251" s="52"/>
      <c r="I251" s="53"/>
      <c r="J251" s="52"/>
      <c r="K251" s="53"/>
      <c r="L251" s="66"/>
      <c r="M251" s="23"/>
      <c r="N251" s="51"/>
      <c r="O251" s="52"/>
      <c r="P251" s="53"/>
      <c r="Q251" s="52"/>
      <c r="R251" s="53"/>
      <c r="S251" s="66"/>
      <c r="T251" s="3"/>
      <c r="U251" s="51"/>
      <c r="V251" s="52"/>
      <c r="W251" s="53"/>
      <c r="X251" s="52"/>
      <c r="Y251" s="53"/>
      <c r="Z251" s="66"/>
      <c r="AA251" s="3"/>
      <c r="AB251" s="62"/>
      <c r="AC251" s="52"/>
      <c r="AD251" s="3"/>
      <c r="AE251" s="3"/>
      <c r="AF251" s="88" t="str">
        <f>A251&amp;" "&amp;B251</f>
        <v>29 Lo que más me gusta del colegio es:(señala dos opciones)</v>
      </c>
      <c r="AG251" s="3"/>
      <c r="AH251" s="3"/>
      <c r="AI251" s="3"/>
      <c r="AJ251" s="3"/>
      <c r="AK251" s="3"/>
      <c r="AL251" s="3"/>
      <c r="AM251" s="3"/>
      <c r="AN251" s="3"/>
      <c r="AO251" s="3"/>
      <c r="AP251" s="3"/>
      <c r="AQ251" s="3"/>
      <c r="AR251" s="3"/>
      <c r="AS251" s="76"/>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row>
    <row r="252" spans="1:75" x14ac:dyDescent="0.3">
      <c r="A252" s="8" t="s">
        <v>17</v>
      </c>
      <c r="B252" s="9" t="s">
        <v>182</v>
      </c>
      <c r="C252" s="7"/>
      <c r="D252" s="7"/>
      <c r="E252" s="7"/>
      <c r="F252" s="71"/>
      <c r="G252" s="51">
        <f t="shared" ref="G252:G261" si="300">I252+K252</f>
        <v>22</v>
      </c>
      <c r="H252" s="52">
        <f t="shared" ref="H252:H261" si="301">G252/$J$5*100</f>
        <v>52.380952380952387</v>
      </c>
      <c r="I252" s="53">
        <f>COUNTIFS('00 Encuesta'!$B$2:$B$511,"*f)*",'00 Encuesta'!$C$2:$C$511,"*a)*",'00 Encuesta'!$E$2:$E$511,"*a)*",'00 Encuesta'!$AG$2:$AG$511,"*a)*")</f>
        <v>12</v>
      </c>
      <c r="J252" s="52">
        <f t="shared" ref="J252:J261" si="302">I252/$J$6*100</f>
        <v>54.54545454545454</v>
      </c>
      <c r="K252" s="53">
        <f>COUNTIFS('00 Encuesta'!$B$2:$B$511,"*f)*",'00 Encuesta'!$C$2:$C$511,"*a)*",'00 Encuesta'!$E$2:$E$511,"*b)*",'00 Encuesta'!$AG$2:$AG$511,"*a)*")</f>
        <v>10</v>
      </c>
      <c r="L252" s="52">
        <f t="shared" ref="L252:L261" si="303">K252/$J$7*100</f>
        <v>50</v>
      </c>
      <c r="M252" s="23"/>
      <c r="N252" s="51">
        <f t="shared" ref="N252:N261" si="304">P252+R252</f>
        <v>0</v>
      </c>
      <c r="O252" s="52" t="e">
        <f t="shared" ref="O252:O261" si="305">N252/$Q$5*100</f>
        <v>#DIV/0!</v>
      </c>
      <c r="P252" s="53">
        <f>COUNTIFS('00 Encuesta'!$B$2:$B$511,"*f)*",'00 Encuesta'!$C$2:$C$511,"*b)*",'00 Encuesta'!$E$2:$E$511,"*a)*",'00 Encuesta'!$AG$2:$AG$511,"*a)*")</f>
        <v>0</v>
      </c>
      <c r="Q252" s="52" t="e">
        <f t="shared" ref="Q252:Q261" si="306">P252/$Q$6*100</f>
        <v>#DIV/0!</v>
      </c>
      <c r="R252" s="53">
        <f>COUNTIFS('00 Encuesta'!$B$2:$B$511,"*f)*",'00 Encuesta'!$C$2:$C$511,"*b)*",'00 Encuesta'!$E$2:$E$511,"*b)*",'00 Encuesta'!$AG$2:$AG$511,"*a)*")</f>
        <v>0</v>
      </c>
      <c r="S252" s="52" t="e">
        <f t="shared" ref="S252:S261" si="307">R252/$Q$7*100</f>
        <v>#DIV/0!</v>
      </c>
      <c r="T252" s="3"/>
      <c r="U252" s="51">
        <f t="shared" ref="U252:U261" si="308">W252+Y252</f>
        <v>0</v>
      </c>
      <c r="V252" s="52" t="e">
        <f t="shared" ref="V252:V261" si="309">U252/$X$5*100</f>
        <v>#DIV/0!</v>
      </c>
      <c r="W252" s="53">
        <f>COUNTIFS('00 Encuesta'!$B$2:$B$511,"*f)*",'00 Encuesta'!$C$2:$C$511,"*c)*",'00 Encuesta'!$E$2:$E$511,"*a)*",'00 Encuesta'!$AG$2:$AG$511,"*a)*")</f>
        <v>0</v>
      </c>
      <c r="X252" s="52" t="e">
        <f t="shared" ref="X252:X261" si="310">W252/$X$6*100</f>
        <v>#DIV/0!</v>
      </c>
      <c r="Y252" s="53">
        <f>COUNTIFS('00 Encuesta'!$B$2:$B$511,"*f)*",'00 Encuesta'!$C$2:$C$511,"*c)*",'00 Encuesta'!$E$2:$E$511,"*b)*",'00 Encuesta'!$AG$2:$AG$511,"*a)*")</f>
        <v>0</v>
      </c>
      <c r="Z252" s="52" t="e">
        <f t="shared" ref="Z252:Z261" si="311">Y252/$X$7*100</f>
        <v>#DIV/0!</v>
      </c>
      <c r="AA252" s="3"/>
      <c r="AB252" s="62">
        <f t="shared" ref="AB252:AB261" si="312">G252+N252+U252</f>
        <v>22</v>
      </c>
      <c r="AC252" s="52">
        <f t="shared" ref="AC252:AC261" si="313">AB252*100/$AC$5</f>
        <v>52.38095238095238</v>
      </c>
      <c r="AD252" s="3"/>
      <c r="AE252" s="3"/>
      <c r="AF252" s="9" t="str">
        <f t="shared" ref="AF252:AF261" si="314">A252&amp;" "&amp;B252</f>
        <v>a) Los deportes y diversiones</v>
      </c>
      <c r="AG252" s="72">
        <f t="shared" ref="AG252:AG261" si="315">J252</f>
        <v>54.54545454545454</v>
      </c>
      <c r="AH252" s="72">
        <f t="shared" ref="AH252:AH261" si="316">L252</f>
        <v>50</v>
      </c>
      <c r="AI252" s="73">
        <f t="shared" ref="AI252:AI261" si="317">H252</f>
        <v>52.380952380952387</v>
      </c>
      <c r="AJ252" s="73"/>
      <c r="AK252" s="76" t="e">
        <f t="shared" ref="AK252:AK261" si="318">Q252</f>
        <v>#DIV/0!</v>
      </c>
      <c r="AL252" s="76" t="e">
        <f t="shared" ref="AL252:AL261" si="319">S252</f>
        <v>#DIV/0!</v>
      </c>
      <c r="AM252" s="76" t="e">
        <f t="shared" ref="AM252:AM261" si="320">O252</f>
        <v>#DIV/0!</v>
      </c>
      <c r="AN252" s="76"/>
      <c r="AO252" s="81" t="e">
        <f t="shared" ref="AO252:AO261" si="321">X252</f>
        <v>#DIV/0!</v>
      </c>
      <c r="AP252" s="81" t="e">
        <f t="shared" ref="AP252:AP261" si="322">Z252</f>
        <v>#DIV/0!</v>
      </c>
      <c r="AQ252" s="81" t="e">
        <f t="shared" ref="AQ252:AQ261" si="323">V252</f>
        <v>#DIV/0!</v>
      </c>
      <c r="AR252" s="3"/>
      <c r="AS252" s="76">
        <f t="shared" si="227"/>
        <v>52.38095238095238</v>
      </c>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row>
    <row r="253" spans="1:75" x14ac:dyDescent="0.3">
      <c r="A253" s="8" t="s">
        <v>18</v>
      </c>
      <c r="B253" s="9" t="s">
        <v>183</v>
      </c>
      <c r="C253" s="7"/>
      <c r="D253" s="7"/>
      <c r="E253" s="7"/>
      <c r="F253" s="71"/>
      <c r="G253" s="51">
        <f t="shared" si="300"/>
        <v>20</v>
      </c>
      <c r="H253" s="52">
        <f t="shared" si="301"/>
        <v>47.619047619047613</v>
      </c>
      <c r="I253" s="53">
        <f>COUNTIFS('00 Encuesta'!$B$2:$B$511,"*f)*",'00 Encuesta'!$C$2:$C$511,"*a)*",'00 Encuesta'!$E$2:$E$511,"*a)*",'00 Encuesta'!$AG$2:$AG$511,"*b)*")</f>
        <v>11</v>
      </c>
      <c r="J253" s="52">
        <f t="shared" si="302"/>
        <v>50</v>
      </c>
      <c r="K253" s="53">
        <f>COUNTIFS('00 Encuesta'!$B$2:$B$511,"*f)*",'00 Encuesta'!$C$2:$C$511,"*a)*",'00 Encuesta'!$E$2:$E$511,"*b)*",'00 Encuesta'!$AG$2:$AG$511,"*b)*")</f>
        <v>9</v>
      </c>
      <c r="L253" s="52">
        <f t="shared" si="303"/>
        <v>45</v>
      </c>
      <c r="M253" s="23"/>
      <c r="N253" s="51">
        <f t="shared" si="304"/>
        <v>0</v>
      </c>
      <c r="O253" s="52" t="e">
        <f t="shared" si="305"/>
        <v>#DIV/0!</v>
      </c>
      <c r="P253" s="53">
        <f>COUNTIFS('00 Encuesta'!$B$2:$B$511,"*f)*",'00 Encuesta'!$C$2:$C$511,"*b)*",'00 Encuesta'!$E$2:$E$511,"*a)*",'00 Encuesta'!$AG$2:$AG$511,"*b)*")</f>
        <v>0</v>
      </c>
      <c r="Q253" s="52" t="e">
        <f t="shared" si="306"/>
        <v>#DIV/0!</v>
      </c>
      <c r="R253" s="53">
        <f>COUNTIFS('00 Encuesta'!$B$2:$B$511,"*f)*",'00 Encuesta'!$C$2:$C$511,"*b)*",'00 Encuesta'!$E$2:$E$511,"*b)*",'00 Encuesta'!$AG$2:$AG$511,"*b)*")</f>
        <v>0</v>
      </c>
      <c r="S253" s="52" t="e">
        <f t="shared" si="307"/>
        <v>#DIV/0!</v>
      </c>
      <c r="T253" s="3"/>
      <c r="U253" s="51">
        <f t="shared" si="308"/>
        <v>0</v>
      </c>
      <c r="V253" s="52" t="e">
        <f t="shared" si="309"/>
        <v>#DIV/0!</v>
      </c>
      <c r="W253" s="53">
        <f>COUNTIFS('00 Encuesta'!$B$2:$B$511,"*f)*",'00 Encuesta'!$C$2:$C$511,"*c)*",'00 Encuesta'!$E$2:$E$511,"*a)*",'00 Encuesta'!$AG$2:$AG$511,"*b)*")</f>
        <v>0</v>
      </c>
      <c r="X253" s="52" t="e">
        <f t="shared" si="310"/>
        <v>#DIV/0!</v>
      </c>
      <c r="Y253" s="53">
        <f>COUNTIFS('00 Encuesta'!$B$2:$B$511,"*f)*",'00 Encuesta'!$C$2:$C$511,"*c)*",'00 Encuesta'!$E$2:$E$511,"*b)*",'00 Encuesta'!$AG$2:$AG$511,"*b)*")</f>
        <v>0</v>
      </c>
      <c r="Z253" s="52" t="e">
        <f t="shared" si="311"/>
        <v>#DIV/0!</v>
      </c>
      <c r="AA253" s="3"/>
      <c r="AB253" s="62">
        <f t="shared" si="312"/>
        <v>20</v>
      </c>
      <c r="AC253" s="52">
        <f t="shared" si="313"/>
        <v>47.61904761904762</v>
      </c>
      <c r="AD253" s="3"/>
      <c r="AE253" s="3"/>
      <c r="AF253" s="9" t="str">
        <f t="shared" si="314"/>
        <v>b) El ambiente de estudio y de trabajo</v>
      </c>
      <c r="AG253" s="72">
        <f t="shared" si="315"/>
        <v>50</v>
      </c>
      <c r="AH253" s="72">
        <f t="shared" si="316"/>
        <v>45</v>
      </c>
      <c r="AI253" s="73">
        <f t="shared" si="317"/>
        <v>47.619047619047613</v>
      </c>
      <c r="AJ253" s="73"/>
      <c r="AK253" s="76" t="e">
        <f t="shared" si="318"/>
        <v>#DIV/0!</v>
      </c>
      <c r="AL253" s="76" t="e">
        <f t="shared" si="319"/>
        <v>#DIV/0!</v>
      </c>
      <c r="AM253" s="76" t="e">
        <f t="shared" si="320"/>
        <v>#DIV/0!</v>
      </c>
      <c r="AN253" s="76"/>
      <c r="AO253" s="81" t="e">
        <f t="shared" si="321"/>
        <v>#DIV/0!</v>
      </c>
      <c r="AP253" s="81" t="e">
        <f t="shared" si="322"/>
        <v>#DIV/0!</v>
      </c>
      <c r="AQ253" s="81" t="e">
        <f t="shared" si="323"/>
        <v>#DIV/0!</v>
      </c>
      <c r="AR253" s="3"/>
      <c r="AS253" s="76">
        <f t="shared" si="227"/>
        <v>47.61904761904762</v>
      </c>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row>
    <row r="254" spans="1:75" x14ac:dyDescent="0.3">
      <c r="A254" s="8" t="s">
        <v>20</v>
      </c>
      <c r="B254" s="9" t="s">
        <v>184</v>
      </c>
      <c r="C254" s="7"/>
      <c r="D254" s="7"/>
      <c r="E254" s="7"/>
      <c r="F254" s="71"/>
      <c r="G254" s="51">
        <f t="shared" si="300"/>
        <v>5</v>
      </c>
      <c r="H254" s="52">
        <f t="shared" si="301"/>
        <v>11.904761904761903</v>
      </c>
      <c r="I254" s="53">
        <f>COUNTIFS('00 Encuesta'!$B$2:$B$511,"*f)*",'00 Encuesta'!$C$2:$C$511,"*a)*",'00 Encuesta'!$E$2:$E$511,"*a)*",'00 Encuesta'!$AG$2:$AG$511,"*c)*")</f>
        <v>2</v>
      </c>
      <c r="J254" s="52">
        <f t="shared" si="302"/>
        <v>9.0909090909090917</v>
      </c>
      <c r="K254" s="53">
        <f>COUNTIFS('00 Encuesta'!$B$2:$B$511,"*f)*",'00 Encuesta'!$C$2:$C$511,"*a)*",'00 Encuesta'!$E$2:$E$511,"*b)*",'00 Encuesta'!$AG$2:$AG$511,"*c)*")</f>
        <v>3</v>
      </c>
      <c r="L254" s="52">
        <f t="shared" si="303"/>
        <v>15</v>
      </c>
      <c r="M254" s="23"/>
      <c r="N254" s="51">
        <f t="shared" si="304"/>
        <v>0</v>
      </c>
      <c r="O254" s="52" t="e">
        <f t="shared" si="305"/>
        <v>#DIV/0!</v>
      </c>
      <c r="P254" s="53">
        <f>COUNTIFS('00 Encuesta'!$B$2:$B$511,"*f)*",'00 Encuesta'!$C$2:$C$511,"*b)*",'00 Encuesta'!$E$2:$E$511,"*a)*",'00 Encuesta'!$AG$2:$AG$511,"*c)*")</f>
        <v>0</v>
      </c>
      <c r="Q254" s="52" t="e">
        <f t="shared" si="306"/>
        <v>#DIV/0!</v>
      </c>
      <c r="R254" s="53">
        <f>COUNTIFS('00 Encuesta'!$B$2:$B$511,"*f)*",'00 Encuesta'!$C$2:$C$511,"*b)*",'00 Encuesta'!$E$2:$E$511,"*b)*",'00 Encuesta'!$AG$2:$AG$511,"*c)*")</f>
        <v>0</v>
      </c>
      <c r="S254" s="52" t="e">
        <f t="shared" si="307"/>
        <v>#DIV/0!</v>
      </c>
      <c r="T254" s="3"/>
      <c r="U254" s="51">
        <f t="shared" si="308"/>
        <v>0</v>
      </c>
      <c r="V254" s="52" t="e">
        <f t="shared" si="309"/>
        <v>#DIV/0!</v>
      </c>
      <c r="W254" s="53">
        <f>COUNTIFS('00 Encuesta'!$B$2:$B$511,"*f)*",'00 Encuesta'!$C$2:$C$511,"*c)*",'00 Encuesta'!$E$2:$E$511,"*a)*",'00 Encuesta'!$AG$2:$AG$511,"*c)*")</f>
        <v>0</v>
      </c>
      <c r="X254" s="52" t="e">
        <f t="shared" si="310"/>
        <v>#DIV/0!</v>
      </c>
      <c r="Y254" s="53">
        <f>COUNTIFS('00 Encuesta'!$B$2:$B$511,"*f)*",'00 Encuesta'!$C$2:$C$511,"*c)*",'00 Encuesta'!$E$2:$E$511,"*b)*",'00 Encuesta'!$AG$2:$AG$511,"*c)*")</f>
        <v>0</v>
      </c>
      <c r="Z254" s="52" t="e">
        <f t="shared" si="311"/>
        <v>#DIV/0!</v>
      </c>
      <c r="AA254" s="3"/>
      <c r="AB254" s="62">
        <f t="shared" si="312"/>
        <v>5</v>
      </c>
      <c r="AC254" s="52">
        <f t="shared" si="313"/>
        <v>11.904761904761905</v>
      </c>
      <c r="AD254" s="3"/>
      <c r="AE254" s="3"/>
      <c r="AF254" s="9" t="str">
        <f t="shared" si="314"/>
        <v>c) Las instalaciones del colegio</v>
      </c>
      <c r="AG254" s="72">
        <f t="shared" si="315"/>
        <v>9.0909090909090917</v>
      </c>
      <c r="AH254" s="72">
        <f t="shared" si="316"/>
        <v>15</v>
      </c>
      <c r="AI254" s="73">
        <f t="shared" si="317"/>
        <v>11.904761904761903</v>
      </c>
      <c r="AJ254" s="73"/>
      <c r="AK254" s="76" t="e">
        <f t="shared" si="318"/>
        <v>#DIV/0!</v>
      </c>
      <c r="AL254" s="76" t="e">
        <f t="shared" si="319"/>
        <v>#DIV/0!</v>
      </c>
      <c r="AM254" s="76" t="e">
        <f t="shared" si="320"/>
        <v>#DIV/0!</v>
      </c>
      <c r="AN254" s="76"/>
      <c r="AO254" s="81" t="e">
        <f t="shared" si="321"/>
        <v>#DIV/0!</v>
      </c>
      <c r="AP254" s="81" t="e">
        <f t="shared" si="322"/>
        <v>#DIV/0!</v>
      </c>
      <c r="AQ254" s="81" t="e">
        <f t="shared" si="323"/>
        <v>#DIV/0!</v>
      </c>
      <c r="AR254" s="3"/>
      <c r="AS254" s="76">
        <f t="shared" si="227"/>
        <v>11.904761904761905</v>
      </c>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row>
    <row r="255" spans="1:75" x14ac:dyDescent="0.3">
      <c r="A255" s="8" t="s">
        <v>21</v>
      </c>
      <c r="B255" s="9" t="s">
        <v>185</v>
      </c>
      <c r="C255" s="7"/>
      <c r="D255" s="7"/>
      <c r="E255" s="7"/>
      <c r="F255" s="71"/>
      <c r="G255" s="51">
        <f t="shared" si="300"/>
        <v>4</v>
      </c>
      <c r="H255" s="52">
        <f t="shared" si="301"/>
        <v>9.5238095238095237</v>
      </c>
      <c r="I255" s="53">
        <f>COUNTIFS('00 Encuesta'!$B$2:$B$511,"*f)*",'00 Encuesta'!$C$2:$C$511,"*a)*",'00 Encuesta'!$E$2:$E$511,"*a)*",'00 Encuesta'!$AG$2:$AG$511,"*d)*")</f>
        <v>3</v>
      </c>
      <c r="J255" s="52">
        <f t="shared" si="302"/>
        <v>13.636363636363635</v>
      </c>
      <c r="K255" s="53">
        <f>COUNTIFS('00 Encuesta'!$B$2:$B$511,"*f)*",'00 Encuesta'!$C$2:$C$511,"*a)*",'00 Encuesta'!$E$2:$E$511,"*b)*",'00 Encuesta'!$AG$2:$AG$511,"*d)*")</f>
        <v>1</v>
      </c>
      <c r="L255" s="52">
        <f t="shared" si="303"/>
        <v>5</v>
      </c>
      <c r="M255" s="23"/>
      <c r="N255" s="51">
        <f t="shared" si="304"/>
        <v>0</v>
      </c>
      <c r="O255" s="52" t="e">
        <f t="shared" si="305"/>
        <v>#DIV/0!</v>
      </c>
      <c r="P255" s="53">
        <f>COUNTIFS('00 Encuesta'!$B$2:$B$511,"*f)*",'00 Encuesta'!$C$2:$C$511,"*b)*",'00 Encuesta'!$E$2:$E$511,"*a)*",'00 Encuesta'!$AG$2:$AG$511,"*d)*")</f>
        <v>0</v>
      </c>
      <c r="Q255" s="52" t="e">
        <f t="shared" si="306"/>
        <v>#DIV/0!</v>
      </c>
      <c r="R255" s="53">
        <f>COUNTIFS('00 Encuesta'!$B$2:$B$511,"*f)*",'00 Encuesta'!$C$2:$C$511,"*b)*",'00 Encuesta'!$E$2:$E$511,"*b)*",'00 Encuesta'!$AG$2:$AG$511,"*d)*")</f>
        <v>0</v>
      </c>
      <c r="S255" s="52" t="e">
        <f t="shared" si="307"/>
        <v>#DIV/0!</v>
      </c>
      <c r="T255" s="3"/>
      <c r="U255" s="51">
        <f t="shared" si="308"/>
        <v>0</v>
      </c>
      <c r="V255" s="52" t="e">
        <f t="shared" si="309"/>
        <v>#DIV/0!</v>
      </c>
      <c r="W255" s="53">
        <f>COUNTIFS('00 Encuesta'!$B$2:$B$511,"*f)*",'00 Encuesta'!$C$2:$C$511,"*c)*",'00 Encuesta'!$E$2:$E$511,"*a)*",'00 Encuesta'!$AG$2:$AG$511,"*d)*")</f>
        <v>0</v>
      </c>
      <c r="X255" s="52" t="e">
        <f t="shared" si="310"/>
        <v>#DIV/0!</v>
      </c>
      <c r="Y255" s="53">
        <f>COUNTIFS('00 Encuesta'!$B$2:$B$511,"*f)*",'00 Encuesta'!$C$2:$C$511,"*c)*",'00 Encuesta'!$E$2:$E$511,"*b)*",'00 Encuesta'!$AG$2:$AG$511,"*d)*")</f>
        <v>0</v>
      </c>
      <c r="Z255" s="52" t="e">
        <f t="shared" si="311"/>
        <v>#DIV/0!</v>
      </c>
      <c r="AA255" s="3"/>
      <c r="AB255" s="62">
        <f t="shared" si="312"/>
        <v>4</v>
      </c>
      <c r="AC255" s="52">
        <f t="shared" si="313"/>
        <v>9.5238095238095237</v>
      </c>
      <c r="AD255" s="3"/>
      <c r="AE255" s="3"/>
      <c r="AF255" s="9" t="str">
        <f t="shared" si="314"/>
        <v>d) Los grupos juveniles cristianos</v>
      </c>
      <c r="AG255" s="72">
        <f t="shared" si="315"/>
        <v>13.636363636363635</v>
      </c>
      <c r="AH255" s="72">
        <f t="shared" si="316"/>
        <v>5</v>
      </c>
      <c r="AI255" s="73">
        <f t="shared" si="317"/>
        <v>9.5238095238095237</v>
      </c>
      <c r="AJ255" s="73"/>
      <c r="AK255" s="76" t="e">
        <f t="shared" si="318"/>
        <v>#DIV/0!</v>
      </c>
      <c r="AL255" s="76" t="e">
        <f t="shared" si="319"/>
        <v>#DIV/0!</v>
      </c>
      <c r="AM255" s="76" t="e">
        <f t="shared" si="320"/>
        <v>#DIV/0!</v>
      </c>
      <c r="AN255" s="76"/>
      <c r="AO255" s="81" t="e">
        <f t="shared" si="321"/>
        <v>#DIV/0!</v>
      </c>
      <c r="AP255" s="81" t="e">
        <f t="shared" si="322"/>
        <v>#DIV/0!</v>
      </c>
      <c r="AQ255" s="81" t="e">
        <f t="shared" si="323"/>
        <v>#DIV/0!</v>
      </c>
      <c r="AR255" s="3"/>
      <c r="AS255" s="76">
        <f t="shared" si="227"/>
        <v>9.5238095238095237</v>
      </c>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row>
    <row r="256" spans="1:75" x14ac:dyDescent="0.3">
      <c r="A256" s="8" t="s">
        <v>22</v>
      </c>
      <c r="B256" s="9" t="s">
        <v>186</v>
      </c>
      <c r="C256" s="7"/>
      <c r="D256" s="7"/>
      <c r="E256" s="7"/>
      <c r="F256" s="71"/>
      <c r="G256" s="51">
        <f t="shared" si="300"/>
        <v>3</v>
      </c>
      <c r="H256" s="52">
        <f t="shared" si="301"/>
        <v>7.1428571428571423</v>
      </c>
      <c r="I256" s="53">
        <f>COUNTIFS('00 Encuesta'!$B$2:$B$511,"*f)*",'00 Encuesta'!$C$2:$C$511,"*a)*",'00 Encuesta'!$E$2:$E$511,"*a)*",'00 Encuesta'!$AG$2:$AG$511,"*e)*")</f>
        <v>0</v>
      </c>
      <c r="J256" s="52">
        <f t="shared" si="302"/>
        <v>0</v>
      </c>
      <c r="K256" s="53">
        <f>COUNTIFS('00 Encuesta'!$B$2:$B$511,"*f)*",'00 Encuesta'!$C$2:$C$511,"*a)*",'00 Encuesta'!$E$2:$E$511,"*b)*",'00 Encuesta'!$AG$2:$AG$511,"*e)*")</f>
        <v>3</v>
      </c>
      <c r="L256" s="52">
        <f t="shared" si="303"/>
        <v>15</v>
      </c>
      <c r="M256" s="23"/>
      <c r="N256" s="51">
        <f t="shared" si="304"/>
        <v>0</v>
      </c>
      <c r="O256" s="52" t="e">
        <f t="shared" si="305"/>
        <v>#DIV/0!</v>
      </c>
      <c r="P256" s="53">
        <f>COUNTIFS('00 Encuesta'!$B$2:$B$511,"*f)*",'00 Encuesta'!$C$2:$C$511,"*b)*",'00 Encuesta'!$E$2:$E$511,"*a)*",'00 Encuesta'!$AG$2:$AG$511,"*e)*")</f>
        <v>0</v>
      </c>
      <c r="Q256" s="52" t="e">
        <f t="shared" si="306"/>
        <v>#DIV/0!</v>
      </c>
      <c r="R256" s="53">
        <f>COUNTIFS('00 Encuesta'!$B$2:$B$511,"*f)*",'00 Encuesta'!$C$2:$C$511,"*b)*",'00 Encuesta'!$E$2:$E$511,"*b)*",'00 Encuesta'!$AG$2:$AG$511,"*e)*")</f>
        <v>0</v>
      </c>
      <c r="S256" s="52" t="e">
        <f t="shared" si="307"/>
        <v>#DIV/0!</v>
      </c>
      <c r="T256" s="3"/>
      <c r="U256" s="51">
        <f t="shared" si="308"/>
        <v>0</v>
      </c>
      <c r="V256" s="52" t="e">
        <f t="shared" si="309"/>
        <v>#DIV/0!</v>
      </c>
      <c r="W256" s="53">
        <f>COUNTIFS('00 Encuesta'!$B$2:$B$511,"*f)*",'00 Encuesta'!$C$2:$C$511,"*c)*",'00 Encuesta'!$E$2:$E$511,"*a)*",'00 Encuesta'!$AG$2:$AG$511,"*e)*")</f>
        <v>0</v>
      </c>
      <c r="X256" s="52" t="e">
        <f t="shared" si="310"/>
        <v>#DIV/0!</v>
      </c>
      <c r="Y256" s="53">
        <f>COUNTIFS('00 Encuesta'!$B$2:$B$511,"*f)*",'00 Encuesta'!$C$2:$C$511,"*c)*",'00 Encuesta'!$E$2:$E$511,"*b)*",'00 Encuesta'!$AG$2:$AG$511,"*e)*")</f>
        <v>0</v>
      </c>
      <c r="Z256" s="52" t="e">
        <f t="shared" si="311"/>
        <v>#DIV/0!</v>
      </c>
      <c r="AA256" s="3"/>
      <c r="AB256" s="62">
        <f t="shared" si="312"/>
        <v>3</v>
      </c>
      <c r="AC256" s="52">
        <f t="shared" si="313"/>
        <v>7.1428571428571432</v>
      </c>
      <c r="AD256" s="3"/>
      <c r="AE256" s="3"/>
      <c r="AF256" s="9" t="str">
        <f t="shared" si="314"/>
        <v>e) La mayor posibilidad de vivir mi fe</v>
      </c>
      <c r="AG256" s="72">
        <f t="shared" si="315"/>
        <v>0</v>
      </c>
      <c r="AH256" s="72">
        <f t="shared" si="316"/>
        <v>15</v>
      </c>
      <c r="AI256" s="73">
        <f t="shared" si="317"/>
        <v>7.1428571428571423</v>
      </c>
      <c r="AJ256" s="73"/>
      <c r="AK256" s="76" t="e">
        <f t="shared" si="318"/>
        <v>#DIV/0!</v>
      </c>
      <c r="AL256" s="76" t="e">
        <f t="shared" si="319"/>
        <v>#DIV/0!</v>
      </c>
      <c r="AM256" s="76" t="e">
        <f t="shared" si="320"/>
        <v>#DIV/0!</v>
      </c>
      <c r="AN256" s="76"/>
      <c r="AO256" s="81" t="e">
        <f t="shared" si="321"/>
        <v>#DIV/0!</v>
      </c>
      <c r="AP256" s="81" t="e">
        <f t="shared" si="322"/>
        <v>#DIV/0!</v>
      </c>
      <c r="AQ256" s="81" t="e">
        <f t="shared" si="323"/>
        <v>#DIV/0!</v>
      </c>
      <c r="AR256" s="3"/>
      <c r="AS256" s="76">
        <f t="shared" si="227"/>
        <v>7.1428571428571432</v>
      </c>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row>
    <row r="257" spans="1:75" x14ac:dyDescent="0.3">
      <c r="A257" s="8" t="s">
        <v>45</v>
      </c>
      <c r="B257" s="9" t="s">
        <v>187</v>
      </c>
      <c r="C257" s="7"/>
      <c r="D257" s="7"/>
      <c r="E257" s="7"/>
      <c r="F257" s="71"/>
      <c r="G257" s="51">
        <f t="shared" si="300"/>
        <v>1</v>
      </c>
      <c r="H257" s="52">
        <f t="shared" si="301"/>
        <v>2.3809523809523809</v>
      </c>
      <c r="I257" s="53">
        <f>COUNTIFS('00 Encuesta'!$B$2:$B$511,"*f)*",'00 Encuesta'!$C$2:$C$511,"*a)*",'00 Encuesta'!$E$2:$E$511,"*a)*",'00 Encuesta'!$AG$2:$AG$511,"*f)*")</f>
        <v>1</v>
      </c>
      <c r="J257" s="52">
        <f t="shared" si="302"/>
        <v>4.5454545454545459</v>
      </c>
      <c r="K257" s="53">
        <f>COUNTIFS('00 Encuesta'!$B$2:$B$511,"*f)*",'00 Encuesta'!$C$2:$C$511,"*a)*",'00 Encuesta'!$E$2:$E$511,"*b)*",'00 Encuesta'!$AG$2:$AG$511,"*f)*")</f>
        <v>0</v>
      </c>
      <c r="L257" s="52">
        <f t="shared" si="303"/>
        <v>0</v>
      </c>
      <c r="M257" s="23"/>
      <c r="N257" s="51">
        <f t="shared" si="304"/>
        <v>0</v>
      </c>
      <c r="O257" s="52" t="e">
        <f t="shared" si="305"/>
        <v>#DIV/0!</v>
      </c>
      <c r="P257" s="53">
        <f>COUNTIFS('00 Encuesta'!$B$2:$B$511,"*f)*",'00 Encuesta'!$C$2:$C$511,"*b)*",'00 Encuesta'!$E$2:$E$511,"*a)*",'00 Encuesta'!$AG$2:$AG$511,"*f)*")</f>
        <v>0</v>
      </c>
      <c r="Q257" s="52" t="e">
        <f t="shared" si="306"/>
        <v>#DIV/0!</v>
      </c>
      <c r="R257" s="53">
        <f>COUNTIFS('00 Encuesta'!$B$2:$B$511,"*f)*",'00 Encuesta'!$C$2:$C$511,"*b)*",'00 Encuesta'!$E$2:$E$511,"*b)*",'00 Encuesta'!$AG$2:$AG$511,"*f)*")</f>
        <v>0</v>
      </c>
      <c r="S257" s="52" t="e">
        <f t="shared" si="307"/>
        <v>#DIV/0!</v>
      </c>
      <c r="T257" s="3"/>
      <c r="U257" s="51">
        <f t="shared" si="308"/>
        <v>0</v>
      </c>
      <c r="V257" s="52" t="e">
        <f t="shared" si="309"/>
        <v>#DIV/0!</v>
      </c>
      <c r="W257" s="53">
        <f>COUNTIFS('00 Encuesta'!$B$2:$B$511,"*f)*",'00 Encuesta'!$C$2:$C$511,"*c)*",'00 Encuesta'!$E$2:$E$511,"*a)*",'00 Encuesta'!$AG$2:$AG$511,"*f)*")</f>
        <v>0</v>
      </c>
      <c r="X257" s="52" t="e">
        <f t="shared" si="310"/>
        <v>#DIV/0!</v>
      </c>
      <c r="Y257" s="53">
        <f>COUNTIFS('00 Encuesta'!$B$2:$B$511,"*f)*",'00 Encuesta'!$C$2:$C$511,"*c)*",'00 Encuesta'!$E$2:$E$511,"*b)*",'00 Encuesta'!$AG$2:$AG$511,"*f)*")</f>
        <v>0</v>
      </c>
      <c r="Z257" s="52" t="e">
        <f t="shared" si="311"/>
        <v>#DIV/0!</v>
      </c>
      <c r="AA257" s="3"/>
      <c r="AB257" s="62">
        <f t="shared" si="312"/>
        <v>1</v>
      </c>
      <c r="AC257" s="52">
        <f t="shared" si="313"/>
        <v>2.3809523809523809</v>
      </c>
      <c r="AD257" s="3"/>
      <c r="AE257" s="3"/>
      <c r="AF257" s="9" t="str">
        <f t="shared" si="314"/>
        <v>f) La igualdad de trato que se da a todos</v>
      </c>
      <c r="AG257" s="72">
        <f t="shared" si="315"/>
        <v>4.5454545454545459</v>
      </c>
      <c r="AH257" s="72">
        <f t="shared" si="316"/>
        <v>0</v>
      </c>
      <c r="AI257" s="73">
        <f t="shared" si="317"/>
        <v>2.3809523809523809</v>
      </c>
      <c r="AJ257" s="73"/>
      <c r="AK257" s="76" t="e">
        <f t="shared" si="318"/>
        <v>#DIV/0!</v>
      </c>
      <c r="AL257" s="76" t="e">
        <f t="shared" si="319"/>
        <v>#DIV/0!</v>
      </c>
      <c r="AM257" s="76" t="e">
        <f t="shared" si="320"/>
        <v>#DIV/0!</v>
      </c>
      <c r="AN257" s="76"/>
      <c r="AO257" s="81" t="e">
        <f t="shared" si="321"/>
        <v>#DIV/0!</v>
      </c>
      <c r="AP257" s="81" t="e">
        <f t="shared" si="322"/>
        <v>#DIV/0!</v>
      </c>
      <c r="AQ257" s="81" t="e">
        <f t="shared" si="323"/>
        <v>#DIV/0!</v>
      </c>
      <c r="AR257" s="3"/>
      <c r="AS257" s="76">
        <f t="shared" si="227"/>
        <v>2.3809523809523809</v>
      </c>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row>
    <row r="258" spans="1:75" x14ac:dyDescent="0.3">
      <c r="A258" s="8" t="s">
        <v>61</v>
      </c>
      <c r="B258" s="9" t="s">
        <v>188</v>
      </c>
      <c r="C258" s="7"/>
      <c r="D258" s="7"/>
      <c r="E258" s="7"/>
      <c r="F258" s="71"/>
      <c r="G258" s="51">
        <f t="shared" si="300"/>
        <v>3</v>
      </c>
      <c r="H258" s="52">
        <f t="shared" si="301"/>
        <v>7.1428571428571423</v>
      </c>
      <c r="I258" s="53">
        <f>COUNTIFS('00 Encuesta'!$B$2:$B$511,"*f)*",'00 Encuesta'!$C$2:$C$511,"*a)*",'00 Encuesta'!$E$2:$E$511,"*a)*",'00 Encuesta'!$AG$2:$AG$511,"*g)*")</f>
        <v>2</v>
      </c>
      <c r="J258" s="52">
        <f t="shared" si="302"/>
        <v>9.0909090909090917</v>
      </c>
      <c r="K258" s="53">
        <f>COUNTIFS('00 Encuesta'!$B$2:$B$511,"*f)*",'00 Encuesta'!$C$2:$C$511,"*a)*",'00 Encuesta'!$E$2:$E$511,"*b)*",'00 Encuesta'!$AG$2:$AG$511,"*g)*")</f>
        <v>1</v>
      </c>
      <c r="L258" s="52">
        <f t="shared" si="303"/>
        <v>5</v>
      </c>
      <c r="M258" s="23"/>
      <c r="N258" s="51">
        <f t="shared" si="304"/>
        <v>0</v>
      </c>
      <c r="O258" s="52" t="e">
        <f t="shared" si="305"/>
        <v>#DIV/0!</v>
      </c>
      <c r="P258" s="53">
        <f>COUNTIFS('00 Encuesta'!$B$2:$B$511,"*f)*",'00 Encuesta'!$C$2:$C$511,"*b)*",'00 Encuesta'!$E$2:$E$511,"*a)*",'00 Encuesta'!$AG$2:$AG$511,"*g)*")</f>
        <v>0</v>
      </c>
      <c r="Q258" s="52" t="e">
        <f t="shared" si="306"/>
        <v>#DIV/0!</v>
      </c>
      <c r="R258" s="53">
        <f>COUNTIFS('00 Encuesta'!$B$2:$B$511,"*f)*",'00 Encuesta'!$C$2:$C$511,"*b)*",'00 Encuesta'!$E$2:$E$511,"*b)*",'00 Encuesta'!$AG$2:$AG$511,"*g)*")</f>
        <v>0</v>
      </c>
      <c r="S258" s="52" t="e">
        <f t="shared" si="307"/>
        <v>#DIV/0!</v>
      </c>
      <c r="T258" s="3"/>
      <c r="U258" s="51">
        <f t="shared" si="308"/>
        <v>0</v>
      </c>
      <c r="V258" s="52" t="e">
        <f t="shared" si="309"/>
        <v>#DIV/0!</v>
      </c>
      <c r="W258" s="53">
        <f>COUNTIFS('00 Encuesta'!$B$2:$B$511,"*f)*",'00 Encuesta'!$C$2:$C$511,"*c)*",'00 Encuesta'!$E$2:$E$511,"*a)*",'00 Encuesta'!$AG$2:$AG$511,"*g)*")</f>
        <v>0</v>
      </c>
      <c r="X258" s="52" t="e">
        <f t="shared" si="310"/>
        <v>#DIV/0!</v>
      </c>
      <c r="Y258" s="53">
        <f>COUNTIFS('00 Encuesta'!$B$2:$B$511,"*f)*",'00 Encuesta'!$C$2:$C$511,"*c)*",'00 Encuesta'!$E$2:$E$511,"*b)*",'00 Encuesta'!$AG$2:$AG$511,"*g)*")</f>
        <v>0</v>
      </c>
      <c r="Z258" s="52" t="e">
        <f t="shared" si="311"/>
        <v>#DIV/0!</v>
      </c>
      <c r="AA258" s="3"/>
      <c r="AB258" s="62">
        <f t="shared" si="312"/>
        <v>3</v>
      </c>
      <c r="AC258" s="52">
        <f t="shared" si="313"/>
        <v>7.1428571428571432</v>
      </c>
      <c r="AD258" s="3"/>
      <c r="AE258" s="3"/>
      <c r="AF258" s="9" t="str">
        <f t="shared" si="314"/>
        <v>g) La relación con los docentes</v>
      </c>
      <c r="AG258" s="72">
        <f t="shared" si="315"/>
        <v>9.0909090909090917</v>
      </c>
      <c r="AH258" s="72">
        <f t="shared" si="316"/>
        <v>5</v>
      </c>
      <c r="AI258" s="73">
        <f t="shared" si="317"/>
        <v>7.1428571428571423</v>
      </c>
      <c r="AJ258" s="73"/>
      <c r="AK258" s="76" t="e">
        <f t="shared" si="318"/>
        <v>#DIV/0!</v>
      </c>
      <c r="AL258" s="76" t="e">
        <f t="shared" si="319"/>
        <v>#DIV/0!</v>
      </c>
      <c r="AM258" s="76" t="e">
        <f t="shared" si="320"/>
        <v>#DIV/0!</v>
      </c>
      <c r="AN258" s="76"/>
      <c r="AO258" s="81" t="e">
        <f t="shared" si="321"/>
        <v>#DIV/0!</v>
      </c>
      <c r="AP258" s="81" t="e">
        <f t="shared" si="322"/>
        <v>#DIV/0!</v>
      </c>
      <c r="AQ258" s="81" t="e">
        <f t="shared" si="323"/>
        <v>#DIV/0!</v>
      </c>
      <c r="AR258" s="3"/>
      <c r="AS258" s="76">
        <f t="shared" si="227"/>
        <v>7.1428571428571432</v>
      </c>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row>
    <row r="259" spans="1:75" x14ac:dyDescent="0.3">
      <c r="A259" s="8" t="s">
        <v>63</v>
      </c>
      <c r="B259" s="9" t="s">
        <v>189</v>
      </c>
      <c r="C259" s="7"/>
      <c r="D259" s="7"/>
      <c r="E259" s="7"/>
      <c r="F259" s="71"/>
      <c r="G259" s="51">
        <f t="shared" si="300"/>
        <v>6</v>
      </c>
      <c r="H259" s="52">
        <f t="shared" si="301"/>
        <v>14.285714285714285</v>
      </c>
      <c r="I259" s="53">
        <f>COUNTIFS('00 Encuesta'!$B$2:$B$511,"*f)*",'00 Encuesta'!$C$2:$C$511,"*a)*",'00 Encuesta'!$E$2:$E$511,"*a)*",'00 Encuesta'!$AG$2:$AG$511,"*h)*")</f>
        <v>2</v>
      </c>
      <c r="J259" s="52">
        <f t="shared" si="302"/>
        <v>9.0909090909090917</v>
      </c>
      <c r="K259" s="53">
        <f>COUNTIFS('00 Encuesta'!$B$2:$B$511,"*f)*",'00 Encuesta'!$C$2:$C$511,"*a)*",'00 Encuesta'!$E$2:$E$511,"*b)*",'00 Encuesta'!$AG$2:$AG$511,"*h)*")</f>
        <v>4</v>
      </c>
      <c r="L259" s="52">
        <f t="shared" si="303"/>
        <v>20</v>
      </c>
      <c r="M259" s="23"/>
      <c r="N259" s="51">
        <f t="shared" si="304"/>
        <v>0</v>
      </c>
      <c r="O259" s="52" t="e">
        <f t="shared" si="305"/>
        <v>#DIV/0!</v>
      </c>
      <c r="P259" s="53">
        <f>COUNTIFS('00 Encuesta'!$B$2:$B$511,"*f)*",'00 Encuesta'!$C$2:$C$511,"*b)*",'00 Encuesta'!$E$2:$E$511,"*a)*",'00 Encuesta'!$AG$2:$AG$511,"*h)*")</f>
        <v>0</v>
      </c>
      <c r="Q259" s="52" t="e">
        <f t="shared" si="306"/>
        <v>#DIV/0!</v>
      </c>
      <c r="R259" s="53">
        <f>COUNTIFS('00 Encuesta'!$B$2:$B$511,"*f)*",'00 Encuesta'!$C$2:$C$511,"*b)*",'00 Encuesta'!$E$2:$E$511,"*b)*",'00 Encuesta'!$AG$2:$AG$511,"*h)*")</f>
        <v>0</v>
      </c>
      <c r="S259" s="52" t="e">
        <f t="shared" si="307"/>
        <v>#DIV/0!</v>
      </c>
      <c r="T259" s="3"/>
      <c r="U259" s="51">
        <f t="shared" si="308"/>
        <v>0</v>
      </c>
      <c r="V259" s="52" t="e">
        <f t="shared" si="309"/>
        <v>#DIV/0!</v>
      </c>
      <c r="W259" s="53">
        <f>COUNTIFS('00 Encuesta'!$B$2:$B$511,"*f)*",'00 Encuesta'!$C$2:$C$511,"*c)*",'00 Encuesta'!$E$2:$E$511,"*a)*",'00 Encuesta'!$AG$2:$AG$511,"*h)*")</f>
        <v>0</v>
      </c>
      <c r="X259" s="52" t="e">
        <f t="shared" si="310"/>
        <v>#DIV/0!</v>
      </c>
      <c r="Y259" s="53">
        <f>COUNTIFS('00 Encuesta'!$B$2:$B$511,"*f)*",'00 Encuesta'!$C$2:$C$511,"*c)*",'00 Encuesta'!$E$2:$E$511,"*b)*",'00 Encuesta'!$AG$2:$AG$511,"*h)*")</f>
        <v>0</v>
      </c>
      <c r="Z259" s="52" t="e">
        <f t="shared" si="311"/>
        <v>#DIV/0!</v>
      </c>
      <c r="AA259" s="3"/>
      <c r="AB259" s="62">
        <f t="shared" si="312"/>
        <v>6</v>
      </c>
      <c r="AC259" s="52">
        <f t="shared" si="313"/>
        <v>14.285714285714286</v>
      </c>
      <c r="AD259" s="3"/>
      <c r="AE259" s="3"/>
      <c r="AF259" s="9" t="str">
        <f t="shared" si="314"/>
        <v>h) Las actividades extraescolares</v>
      </c>
      <c r="AG259" s="72">
        <f t="shared" si="315"/>
        <v>9.0909090909090917</v>
      </c>
      <c r="AH259" s="72">
        <f t="shared" si="316"/>
        <v>20</v>
      </c>
      <c r="AI259" s="73">
        <f t="shared" si="317"/>
        <v>14.285714285714285</v>
      </c>
      <c r="AJ259" s="73"/>
      <c r="AK259" s="76" t="e">
        <f t="shared" si="318"/>
        <v>#DIV/0!</v>
      </c>
      <c r="AL259" s="76" t="e">
        <f t="shared" si="319"/>
        <v>#DIV/0!</v>
      </c>
      <c r="AM259" s="76" t="e">
        <f t="shared" si="320"/>
        <v>#DIV/0!</v>
      </c>
      <c r="AN259" s="76"/>
      <c r="AO259" s="81" t="e">
        <f t="shared" si="321"/>
        <v>#DIV/0!</v>
      </c>
      <c r="AP259" s="81" t="e">
        <f t="shared" si="322"/>
        <v>#DIV/0!</v>
      </c>
      <c r="AQ259" s="81" t="e">
        <f t="shared" si="323"/>
        <v>#DIV/0!</v>
      </c>
      <c r="AR259" s="3"/>
      <c r="AS259" s="76">
        <f t="shared" si="227"/>
        <v>14.285714285714286</v>
      </c>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row>
    <row r="260" spans="1:75" x14ac:dyDescent="0.3">
      <c r="A260" s="8" t="s">
        <v>65</v>
      </c>
      <c r="B260" s="9" t="s">
        <v>190</v>
      </c>
      <c r="C260" s="7"/>
      <c r="D260" s="7"/>
      <c r="E260" s="7"/>
      <c r="F260" s="71"/>
      <c r="G260" s="51">
        <f t="shared" si="300"/>
        <v>1</v>
      </c>
      <c r="H260" s="52">
        <f t="shared" si="301"/>
        <v>2.3809523809523809</v>
      </c>
      <c r="I260" s="53">
        <f>COUNTIFS('00 Encuesta'!$B$2:$B$511,"*f)*",'00 Encuesta'!$C$2:$C$511,"*a)*",'00 Encuesta'!$E$2:$E$511,"*a)*",'00 Encuesta'!$AG$2:$AG$511,"*i)*")</f>
        <v>0</v>
      </c>
      <c r="J260" s="52">
        <f t="shared" si="302"/>
        <v>0</v>
      </c>
      <c r="K260" s="53">
        <f>COUNTIFS('00 Encuesta'!$B$2:$B$511,"*f)*",'00 Encuesta'!$C$2:$C$511,"*a)*",'00 Encuesta'!$E$2:$E$511,"*b)*",'00 Encuesta'!$AG$2:$AG$511,"*i)*")</f>
        <v>1</v>
      </c>
      <c r="L260" s="52">
        <f t="shared" si="303"/>
        <v>5</v>
      </c>
      <c r="M260" s="23"/>
      <c r="N260" s="51">
        <f t="shared" si="304"/>
        <v>0</v>
      </c>
      <c r="O260" s="52" t="e">
        <f t="shared" si="305"/>
        <v>#DIV/0!</v>
      </c>
      <c r="P260" s="53">
        <f>COUNTIFS('00 Encuesta'!$B$2:$B$511,"*f)*",'00 Encuesta'!$C$2:$C$511,"*b)*",'00 Encuesta'!$E$2:$E$511,"*a)*",'00 Encuesta'!$AG$2:$AG$511,"*i)*")</f>
        <v>0</v>
      </c>
      <c r="Q260" s="52" t="e">
        <f t="shared" si="306"/>
        <v>#DIV/0!</v>
      </c>
      <c r="R260" s="53">
        <f>COUNTIFS('00 Encuesta'!$B$2:$B$511,"*f)*",'00 Encuesta'!$C$2:$C$511,"*b)*",'00 Encuesta'!$E$2:$E$511,"*b)*",'00 Encuesta'!$AG$2:$AG$511,"*i)*")</f>
        <v>0</v>
      </c>
      <c r="S260" s="52" t="e">
        <f t="shared" si="307"/>
        <v>#DIV/0!</v>
      </c>
      <c r="T260" s="3"/>
      <c r="U260" s="51">
        <f t="shared" si="308"/>
        <v>0</v>
      </c>
      <c r="V260" s="52" t="e">
        <f t="shared" si="309"/>
        <v>#DIV/0!</v>
      </c>
      <c r="W260" s="53">
        <f>COUNTIFS('00 Encuesta'!$B$2:$B$511,"*f)*",'00 Encuesta'!$C$2:$C$511,"*c)*",'00 Encuesta'!$E$2:$E$511,"*a)*",'00 Encuesta'!$AG$2:$AG$511,"*i)*")</f>
        <v>0</v>
      </c>
      <c r="X260" s="52" t="e">
        <f t="shared" si="310"/>
        <v>#DIV/0!</v>
      </c>
      <c r="Y260" s="53">
        <f>COUNTIFS('00 Encuesta'!$B$2:$B$511,"*f)*",'00 Encuesta'!$C$2:$C$511,"*c)*",'00 Encuesta'!$E$2:$E$511,"*b)*",'00 Encuesta'!$AG$2:$AG$511,"*i)*")</f>
        <v>0</v>
      </c>
      <c r="Z260" s="52" t="e">
        <f t="shared" si="311"/>
        <v>#DIV/0!</v>
      </c>
      <c r="AA260" s="3"/>
      <c r="AB260" s="62">
        <f t="shared" si="312"/>
        <v>1</v>
      </c>
      <c r="AC260" s="52">
        <f t="shared" si="313"/>
        <v>2.3809523809523809</v>
      </c>
      <c r="AD260" s="3"/>
      <c r="AE260" s="3"/>
      <c r="AF260" s="9" t="str">
        <f t="shared" si="314"/>
        <v>i) No me gusta nada</v>
      </c>
      <c r="AG260" s="72">
        <f t="shared" si="315"/>
        <v>0</v>
      </c>
      <c r="AH260" s="72">
        <f t="shared" si="316"/>
        <v>5</v>
      </c>
      <c r="AI260" s="73">
        <f t="shared" si="317"/>
        <v>2.3809523809523809</v>
      </c>
      <c r="AJ260" s="73"/>
      <c r="AK260" s="76" t="e">
        <f t="shared" si="318"/>
        <v>#DIV/0!</v>
      </c>
      <c r="AL260" s="76" t="e">
        <f t="shared" si="319"/>
        <v>#DIV/0!</v>
      </c>
      <c r="AM260" s="76" t="e">
        <f t="shared" si="320"/>
        <v>#DIV/0!</v>
      </c>
      <c r="AN260" s="76"/>
      <c r="AO260" s="81" t="e">
        <f t="shared" si="321"/>
        <v>#DIV/0!</v>
      </c>
      <c r="AP260" s="81" t="e">
        <f t="shared" si="322"/>
        <v>#DIV/0!</v>
      </c>
      <c r="AQ260" s="81" t="e">
        <f t="shared" si="323"/>
        <v>#DIV/0!</v>
      </c>
      <c r="AR260" s="3"/>
      <c r="AS260" s="76">
        <f t="shared" si="227"/>
        <v>2.3809523809523809</v>
      </c>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row>
    <row r="261" spans="1:75" x14ac:dyDescent="0.3">
      <c r="A261" s="8" t="s">
        <v>23</v>
      </c>
      <c r="B261" s="9" t="s">
        <v>24</v>
      </c>
      <c r="C261" s="7"/>
      <c r="D261" s="7"/>
      <c r="E261" s="7"/>
      <c r="F261" s="71"/>
      <c r="G261" s="51">
        <f t="shared" si="300"/>
        <v>0</v>
      </c>
      <c r="H261" s="52">
        <f t="shared" si="301"/>
        <v>0</v>
      </c>
      <c r="I261" s="53"/>
      <c r="J261" s="52">
        <f t="shared" si="302"/>
        <v>0</v>
      </c>
      <c r="K261" s="53"/>
      <c r="L261" s="52">
        <f t="shared" si="303"/>
        <v>0</v>
      </c>
      <c r="M261" s="23"/>
      <c r="N261" s="51">
        <f t="shared" si="304"/>
        <v>0</v>
      </c>
      <c r="O261" s="52" t="e">
        <f t="shared" si="305"/>
        <v>#DIV/0!</v>
      </c>
      <c r="P261" s="53"/>
      <c r="Q261" s="52" t="e">
        <f t="shared" si="306"/>
        <v>#DIV/0!</v>
      </c>
      <c r="R261" s="53"/>
      <c r="S261" s="52" t="e">
        <f t="shared" si="307"/>
        <v>#DIV/0!</v>
      </c>
      <c r="T261" s="3"/>
      <c r="U261" s="51">
        <f t="shared" si="308"/>
        <v>0</v>
      </c>
      <c r="V261" s="52" t="e">
        <f t="shared" si="309"/>
        <v>#DIV/0!</v>
      </c>
      <c r="W261" s="53"/>
      <c r="X261" s="52" t="e">
        <f t="shared" si="310"/>
        <v>#DIV/0!</v>
      </c>
      <c r="Y261" s="53"/>
      <c r="Z261" s="52" t="e">
        <f t="shared" si="311"/>
        <v>#DIV/0!</v>
      </c>
      <c r="AA261" s="3"/>
      <c r="AB261" s="62">
        <f t="shared" si="312"/>
        <v>0</v>
      </c>
      <c r="AC261" s="52">
        <f t="shared" si="313"/>
        <v>0</v>
      </c>
      <c r="AD261" s="3"/>
      <c r="AE261" s="3"/>
      <c r="AF261" s="9" t="str">
        <f t="shared" si="314"/>
        <v>S/R Sin Respuesta</v>
      </c>
      <c r="AG261" s="72">
        <f t="shared" si="315"/>
        <v>0</v>
      </c>
      <c r="AH261" s="72">
        <f t="shared" si="316"/>
        <v>0</v>
      </c>
      <c r="AI261" s="73">
        <f t="shared" si="317"/>
        <v>0</v>
      </c>
      <c r="AJ261" s="73"/>
      <c r="AK261" s="76" t="e">
        <f t="shared" si="318"/>
        <v>#DIV/0!</v>
      </c>
      <c r="AL261" s="76" t="e">
        <f t="shared" si="319"/>
        <v>#DIV/0!</v>
      </c>
      <c r="AM261" s="76" t="e">
        <f t="shared" si="320"/>
        <v>#DIV/0!</v>
      </c>
      <c r="AN261" s="76"/>
      <c r="AO261" s="81" t="e">
        <f t="shared" si="321"/>
        <v>#DIV/0!</v>
      </c>
      <c r="AP261" s="81" t="e">
        <f t="shared" si="322"/>
        <v>#DIV/0!</v>
      </c>
      <c r="AQ261" s="81" t="e">
        <f t="shared" si="323"/>
        <v>#DIV/0!</v>
      </c>
      <c r="AR261" s="3"/>
      <c r="AS261" s="76">
        <f t="shared" si="227"/>
        <v>0</v>
      </c>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row>
    <row r="262" spans="1:75" x14ac:dyDescent="0.3">
      <c r="A262" s="70"/>
      <c r="B262" s="9"/>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6"/>
      <c r="AC262" s="41"/>
      <c r="AD262" s="3"/>
      <c r="AE262" s="3"/>
      <c r="AF262" s="3"/>
      <c r="AG262" s="3"/>
      <c r="AH262" s="3"/>
      <c r="AI262" s="3"/>
      <c r="AJ262" s="3"/>
      <c r="AK262" s="3"/>
      <c r="AL262" s="3"/>
      <c r="AM262" s="3"/>
      <c r="AN262" s="3"/>
      <c r="AO262" s="3"/>
      <c r="AP262" s="3"/>
      <c r="AQ262" s="3"/>
      <c r="AR262" s="3"/>
      <c r="AS262" s="76"/>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row>
    <row r="263" spans="1:75" x14ac:dyDescent="0.3">
      <c r="A263" s="70">
        <v>30</v>
      </c>
      <c r="B263" s="9" t="s">
        <v>191</v>
      </c>
      <c r="C263" s="7"/>
      <c r="D263" s="7"/>
      <c r="E263" s="7"/>
      <c r="F263" s="71"/>
      <c r="G263" s="51"/>
      <c r="H263" s="52"/>
      <c r="I263" s="53"/>
      <c r="J263" s="52"/>
      <c r="K263" s="53"/>
      <c r="L263" s="66"/>
      <c r="M263" s="23"/>
      <c r="N263" s="51"/>
      <c r="O263" s="52"/>
      <c r="P263" s="53"/>
      <c r="Q263" s="52"/>
      <c r="R263" s="53"/>
      <c r="S263" s="66"/>
      <c r="T263" s="3"/>
      <c r="U263" s="51"/>
      <c r="V263" s="52"/>
      <c r="W263" s="53"/>
      <c r="X263" s="52"/>
      <c r="Y263" s="53"/>
      <c r="Z263" s="66"/>
      <c r="AA263" s="3"/>
      <c r="AB263" s="62"/>
      <c r="AC263" s="52"/>
      <c r="AD263" s="3"/>
      <c r="AE263" s="3"/>
      <c r="AF263" s="88" t="str">
        <f>A263&amp;" "&amp;B263</f>
        <v>30 En la semana dedico a mis estudios un aproximado de:</v>
      </c>
      <c r="AG263" s="3"/>
      <c r="AH263" s="3"/>
      <c r="AI263" s="3"/>
      <c r="AJ263" s="3"/>
      <c r="AK263" s="3"/>
      <c r="AL263" s="3"/>
      <c r="AM263" s="3"/>
      <c r="AN263" s="3"/>
      <c r="AO263" s="3"/>
      <c r="AP263" s="3"/>
      <c r="AQ263" s="3"/>
      <c r="AR263" s="3"/>
      <c r="AS263" s="76"/>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row>
    <row r="264" spans="1:75" x14ac:dyDescent="0.3">
      <c r="A264" s="8" t="s">
        <v>17</v>
      </c>
      <c r="B264" s="9" t="s">
        <v>192</v>
      </c>
      <c r="C264" s="7"/>
      <c r="D264" s="7"/>
      <c r="E264" s="7"/>
      <c r="F264" s="71"/>
      <c r="G264" s="51">
        <f t="shared" ref="G264:G270" si="324">I264+K264</f>
        <v>16</v>
      </c>
      <c r="H264" s="52">
        <f t="shared" ref="H264:H270" si="325">G264/$J$5*100</f>
        <v>38.095238095238095</v>
      </c>
      <c r="I264" s="53">
        <f>COUNTIFS('00 Encuesta'!$B$2:$B$511,"*f)*",'00 Encuesta'!$C$2:$C$511,"*a)*",'00 Encuesta'!$E$2:$E$511,"*a)*",'00 Encuesta'!$AI$2:$AI$511,"*a)*")</f>
        <v>9</v>
      </c>
      <c r="J264" s="52">
        <f t="shared" ref="J264:J270" si="326">I264/$J$6*100</f>
        <v>40.909090909090914</v>
      </c>
      <c r="K264" s="53">
        <f>COUNTIFS('00 Encuesta'!$B$2:$B$511,"*f)*",'00 Encuesta'!$C$2:$C$511,"*a)*",'00 Encuesta'!$E$2:$E$511,"*b)*",'00 Encuesta'!$AI$2:$AI$511,"*a)*")</f>
        <v>7</v>
      </c>
      <c r="L264" s="52">
        <f t="shared" ref="L264:L270" si="327">K264/$J$7*100</f>
        <v>35</v>
      </c>
      <c r="M264" s="23"/>
      <c r="N264" s="51">
        <f t="shared" ref="N264:N270" si="328">P264+R264</f>
        <v>0</v>
      </c>
      <c r="O264" s="52" t="e">
        <f t="shared" ref="O264:O270" si="329">N264/$Q$5*100</f>
        <v>#DIV/0!</v>
      </c>
      <c r="P264" s="53">
        <f>COUNTIFS('00 Encuesta'!$B$2:$B$511,"*f)*",'00 Encuesta'!$C$2:$C$511,"*b)*",'00 Encuesta'!$E$2:$E$511,"*a)*",'00 Encuesta'!$AI$2:$AI$511,"*a)*")</f>
        <v>0</v>
      </c>
      <c r="Q264" s="52" t="e">
        <f t="shared" ref="Q264:Q270" si="330">P264/$Q$6*100</f>
        <v>#DIV/0!</v>
      </c>
      <c r="R264" s="53">
        <f>COUNTIFS('00 Encuesta'!$B$2:$B$511,"*f)*",'00 Encuesta'!$C$2:$C$511,"*b)*",'00 Encuesta'!$E$2:$E$511,"*b)*",'00 Encuesta'!$AI$2:$AI$511,"*a)*")</f>
        <v>0</v>
      </c>
      <c r="S264" s="52" t="e">
        <f t="shared" ref="S264:S270" si="331">R264/$Q$7*100</f>
        <v>#DIV/0!</v>
      </c>
      <c r="T264" s="3"/>
      <c r="U264" s="51">
        <f t="shared" ref="U264:U270" si="332">W264+Y264</f>
        <v>0</v>
      </c>
      <c r="V264" s="52" t="e">
        <f t="shared" ref="V264:V270" si="333">U264/$X$5*100</f>
        <v>#DIV/0!</v>
      </c>
      <c r="W264" s="53">
        <f>COUNTIFS('00 Encuesta'!$B$2:$B$511,"*f)*",'00 Encuesta'!$C$2:$C$511,"*c)*",'00 Encuesta'!$E$2:$E$511,"*a)*",'00 Encuesta'!$AI$2:$AI$511,"*a)*")</f>
        <v>0</v>
      </c>
      <c r="X264" s="52" t="e">
        <f t="shared" ref="X264:X270" si="334">W264/$X$6*100</f>
        <v>#DIV/0!</v>
      </c>
      <c r="Y264" s="53">
        <f>COUNTIFS('00 Encuesta'!$B$2:$B$511,"*f)*",'00 Encuesta'!$C$2:$C$511,"*c)*",'00 Encuesta'!$E$2:$E$511,"*b)*",'00 Encuesta'!$AI$2:$AI$511,"*a)*")</f>
        <v>0</v>
      </c>
      <c r="Z264" s="52" t="e">
        <f t="shared" ref="Z264:Z270" si="335">Y264/$X$7*100</f>
        <v>#DIV/0!</v>
      </c>
      <c r="AA264" s="3"/>
      <c r="AB264" s="62">
        <f t="shared" ref="AB264:AB270" si="336">G264+N264+U264</f>
        <v>16</v>
      </c>
      <c r="AC264" s="52">
        <f t="shared" ref="AC264:AC270" si="337">AB264*100/$AC$5</f>
        <v>38.095238095238095</v>
      </c>
      <c r="AD264" s="3"/>
      <c r="AE264" s="3"/>
      <c r="AF264" s="9" t="str">
        <f t="shared" ref="AF264:AF270" si="338">A264&amp;" "&amp;B264</f>
        <v>a) De 0 a 2 horas</v>
      </c>
      <c r="AG264" s="72">
        <f t="shared" ref="AG264:AG270" si="339">J264</f>
        <v>40.909090909090914</v>
      </c>
      <c r="AH264" s="72">
        <f t="shared" ref="AH264:AH270" si="340">L264</f>
        <v>35</v>
      </c>
      <c r="AI264" s="73">
        <f t="shared" ref="AI264:AI270" si="341">H264</f>
        <v>38.095238095238095</v>
      </c>
      <c r="AJ264" s="73"/>
      <c r="AK264" s="76" t="e">
        <f t="shared" ref="AK264:AK270" si="342">Q264</f>
        <v>#DIV/0!</v>
      </c>
      <c r="AL264" s="76" t="e">
        <f t="shared" ref="AL264:AL270" si="343">S264</f>
        <v>#DIV/0!</v>
      </c>
      <c r="AM264" s="76" t="e">
        <f t="shared" ref="AM264:AM270" si="344">O264</f>
        <v>#DIV/0!</v>
      </c>
      <c r="AN264" s="76"/>
      <c r="AO264" s="81" t="e">
        <f t="shared" ref="AO264:AO270" si="345">X264</f>
        <v>#DIV/0!</v>
      </c>
      <c r="AP264" s="81" t="e">
        <f t="shared" ref="AP264:AP270" si="346">Z264</f>
        <v>#DIV/0!</v>
      </c>
      <c r="AQ264" s="81" t="e">
        <f t="shared" ref="AQ264:AQ270" si="347">V264</f>
        <v>#DIV/0!</v>
      </c>
      <c r="AR264" s="3"/>
      <c r="AS264" s="76">
        <f t="shared" si="227"/>
        <v>38.095238095238095</v>
      </c>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row>
    <row r="265" spans="1:75" x14ac:dyDescent="0.3">
      <c r="A265" s="8" t="s">
        <v>18</v>
      </c>
      <c r="B265" s="9" t="s">
        <v>193</v>
      </c>
      <c r="C265" s="7"/>
      <c r="D265" s="7"/>
      <c r="E265" s="7"/>
      <c r="F265" s="71"/>
      <c r="G265" s="51">
        <f t="shared" si="324"/>
        <v>8</v>
      </c>
      <c r="H265" s="52">
        <f t="shared" si="325"/>
        <v>19.047619047619047</v>
      </c>
      <c r="I265" s="53">
        <f>COUNTIFS('00 Encuesta'!$B$2:$B$511,"*f)*",'00 Encuesta'!$C$2:$C$511,"*a)*",'00 Encuesta'!$E$2:$E$511,"*a)*",'00 Encuesta'!$AI$2:$AI$511,"*b)*")</f>
        <v>4</v>
      </c>
      <c r="J265" s="52">
        <f t="shared" si="326"/>
        <v>18.181818181818183</v>
      </c>
      <c r="K265" s="53">
        <f>COUNTIFS('00 Encuesta'!$B$2:$B$511,"*f)*",'00 Encuesta'!$C$2:$C$511,"*a)*",'00 Encuesta'!$E$2:$E$511,"*b)*",'00 Encuesta'!$AI$2:$AI$511,"*b)*")</f>
        <v>4</v>
      </c>
      <c r="L265" s="52">
        <f t="shared" si="327"/>
        <v>20</v>
      </c>
      <c r="M265" s="23"/>
      <c r="N265" s="51">
        <f t="shared" si="328"/>
        <v>0</v>
      </c>
      <c r="O265" s="52" t="e">
        <f t="shared" si="329"/>
        <v>#DIV/0!</v>
      </c>
      <c r="P265" s="53">
        <f>COUNTIFS('00 Encuesta'!$B$2:$B$511,"*f)*",'00 Encuesta'!$C$2:$C$511,"*b)*",'00 Encuesta'!$E$2:$E$511,"*a)*",'00 Encuesta'!$AI$2:$AI$511,"*b)*")</f>
        <v>0</v>
      </c>
      <c r="Q265" s="52" t="e">
        <f t="shared" si="330"/>
        <v>#DIV/0!</v>
      </c>
      <c r="R265" s="53">
        <f>COUNTIFS('00 Encuesta'!$B$2:$B$511,"*f)*",'00 Encuesta'!$C$2:$C$511,"*b)*",'00 Encuesta'!$E$2:$E$511,"*b)*",'00 Encuesta'!$AI$2:$AI$511,"*b)*")</f>
        <v>0</v>
      </c>
      <c r="S265" s="52" t="e">
        <f t="shared" si="331"/>
        <v>#DIV/0!</v>
      </c>
      <c r="T265" s="3"/>
      <c r="U265" s="51">
        <f t="shared" si="332"/>
        <v>0</v>
      </c>
      <c r="V265" s="52" t="e">
        <f t="shared" si="333"/>
        <v>#DIV/0!</v>
      </c>
      <c r="W265" s="53">
        <f>COUNTIFS('00 Encuesta'!$B$2:$B$511,"*f)*",'00 Encuesta'!$C$2:$C$511,"*c)*",'00 Encuesta'!$E$2:$E$511,"*a)*",'00 Encuesta'!$AI$2:$AI$511,"*b)*")</f>
        <v>0</v>
      </c>
      <c r="X265" s="52" t="e">
        <f t="shared" si="334"/>
        <v>#DIV/0!</v>
      </c>
      <c r="Y265" s="53">
        <f>COUNTIFS('00 Encuesta'!$B$2:$B$511,"*f)*",'00 Encuesta'!$C$2:$C$511,"*c)*",'00 Encuesta'!$E$2:$E$511,"*b)*",'00 Encuesta'!$AI$2:$AI$511,"*b)*")</f>
        <v>0</v>
      </c>
      <c r="Z265" s="52" t="e">
        <f t="shared" si="335"/>
        <v>#DIV/0!</v>
      </c>
      <c r="AA265" s="3"/>
      <c r="AB265" s="62">
        <f t="shared" si="336"/>
        <v>8</v>
      </c>
      <c r="AC265" s="52">
        <f t="shared" si="337"/>
        <v>19.047619047619047</v>
      </c>
      <c r="AD265" s="3"/>
      <c r="AE265" s="3"/>
      <c r="AF265" s="9" t="str">
        <f t="shared" si="338"/>
        <v>b) De 3 a 4 horas</v>
      </c>
      <c r="AG265" s="72">
        <f t="shared" si="339"/>
        <v>18.181818181818183</v>
      </c>
      <c r="AH265" s="72">
        <f t="shared" si="340"/>
        <v>20</v>
      </c>
      <c r="AI265" s="73">
        <f t="shared" si="341"/>
        <v>19.047619047619047</v>
      </c>
      <c r="AJ265" s="73"/>
      <c r="AK265" s="76" t="e">
        <f t="shared" si="342"/>
        <v>#DIV/0!</v>
      </c>
      <c r="AL265" s="76" t="e">
        <f t="shared" si="343"/>
        <v>#DIV/0!</v>
      </c>
      <c r="AM265" s="76" t="e">
        <f t="shared" si="344"/>
        <v>#DIV/0!</v>
      </c>
      <c r="AN265" s="76"/>
      <c r="AO265" s="81" t="e">
        <f t="shared" si="345"/>
        <v>#DIV/0!</v>
      </c>
      <c r="AP265" s="81" t="e">
        <f t="shared" si="346"/>
        <v>#DIV/0!</v>
      </c>
      <c r="AQ265" s="81" t="e">
        <f t="shared" si="347"/>
        <v>#DIV/0!</v>
      </c>
      <c r="AR265" s="3"/>
      <c r="AS265" s="76">
        <f t="shared" si="227"/>
        <v>19.047619047619047</v>
      </c>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row>
    <row r="266" spans="1:75" x14ac:dyDescent="0.3">
      <c r="A266" s="8" t="s">
        <v>20</v>
      </c>
      <c r="B266" s="9" t="s">
        <v>194</v>
      </c>
      <c r="C266" s="7"/>
      <c r="D266" s="7"/>
      <c r="E266" s="7"/>
      <c r="F266" s="71"/>
      <c r="G266" s="51">
        <f t="shared" si="324"/>
        <v>9</v>
      </c>
      <c r="H266" s="52">
        <f t="shared" si="325"/>
        <v>21.428571428571427</v>
      </c>
      <c r="I266" s="53">
        <f>COUNTIFS('00 Encuesta'!$B$2:$B$511,"*f)*",'00 Encuesta'!$C$2:$C$511,"*a)*",'00 Encuesta'!$E$2:$E$511,"*a)*",'00 Encuesta'!$AI$2:$AI$511,"*c)*")</f>
        <v>3</v>
      </c>
      <c r="J266" s="52">
        <f t="shared" si="326"/>
        <v>13.636363636363635</v>
      </c>
      <c r="K266" s="53">
        <f>COUNTIFS('00 Encuesta'!$B$2:$B$511,"*f)*",'00 Encuesta'!$C$2:$C$511,"*a)*",'00 Encuesta'!$E$2:$E$511,"*b)*",'00 Encuesta'!$AI$2:$AI$511,"*c)*")</f>
        <v>6</v>
      </c>
      <c r="L266" s="52">
        <f t="shared" si="327"/>
        <v>30</v>
      </c>
      <c r="M266" s="23"/>
      <c r="N266" s="51">
        <f t="shared" si="328"/>
        <v>0</v>
      </c>
      <c r="O266" s="52" t="e">
        <f t="shared" si="329"/>
        <v>#DIV/0!</v>
      </c>
      <c r="P266" s="53">
        <f>COUNTIFS('00 Encuesta'!$B$2:$B$511,"*f)*",'00 Encuesta'!$C$2:$C$511,"*b)*",'00 Encuesta'!$E$2:$E$511,"*a)*",'00 Encuesta'!$AI$2:$AI$511,"*c)*")</f>
        <v>0</v>
      </c>
      <c r="Q266" s="52" t="e">
        <f t="shared" si="330"/>
        <v>#DIV/0!</v>
      </c>
      <c r="R266" s="53">
        <f>COUNTIFS('00 Encuesta'!$B$2:$B$511,"*f)*",'00 Encuesta'!$C$2:$C$511,"*b)*",'00 Encuesta'!$E$2:$E$511,"*b)*",'00 Encuesta'!$AI$2:$AI$511,"*c)*")</f>
        <v>0</v>
      </c>
      <c r="S266" s="52" t="e">
        <f t="shared" si="331"/>
        <v>#DIV/0!</v>
      </c>
      <c r="T266" s="3"/>
      <c r="U266" s="51">
        <f t="shared" si="332"/>
        <v>0</v>
      </c>
      <c r="V266" s="52" t="e">
        <f t="shared" si="333"/>
        <v>#DIV/0!</v>
      </c>
      <c r="W266" s="53">
        <f>COUNTIFS('00 Encuesta'!$B$2:$B$511,"*f)*",'00 Encuesta'!$C$2:$C$511,"*c)*",'00 Encuesta'!$E$2:$E$511,"*a)*",'00 Encuesta'!$AI$2:$AI$511,"*c)*")</f>
        <v>0</v>
      </c>
      <c r="X266" s="52" t="e">
        <f t="shared" si="334"/>
        <v>#DIV/0!</v>
      </c>
      <c r="Y266" s="53">
        <f>COUNTIFS('00 Encuesta'!$B$2:$B$511,"*f)*",'00 Encuesta'!$C$2:$C$511,"*c)*",'00 Encuesta'!$E$2:$E$511,"*b)*",'00 Encuesta'!$AI$2:$AI$511,"*c)*")</f>
        <v>0</v>
      </c>
      <c r="Z266" s="52" t="e">
        <f t="shared" si="335"/>
        <v>#DIV/0!</v>
      </c>
      <c r="AA266" s="3"/>
      <c r="AB266" s="62">
        <f t="shared" si="336"/>
        <v>9</v>
      </c>
      <c r="AC266" s="52">
        <f t="shared" si="337"/>
        <v>21.428571428571427</v>
      </c>
      <c r="AD266" s="3"/>
      <c r="AE266" s="3"/>
      <c r="AF266" s="9" t="str">
        <f t="shared" si="338"/>
        <v>c) De 5 a 6 horas</v>
      </c>
      <c r="AG266" s="72">
        <f t="shared" si="339"/>
        <v>13.636363636363635</v>
      </c>
      <c r="AH266" s="72">
        <f t="shared" si="340"/>
        <v>30</v>
      </c>
      <c r="AI266" s="73">
        <f t="shared" si="341"/>
        <v>21.428571428571427</v>
      </c>
      <c r="AJ266" s="73"/>
      <c r="AK266" s="76" t="e">
        <f t="shared" si="342"/>
        <v>#DIV/0!</v>
      </c>
      <c r="AL266" s="76" t="e">
        <f t="shared" si="343"/>
        <v>#DIV/0!</v>
      </c>
      <c r="AM266" s="76" t="e">
        <f t="shared" si="344"/>
        <v>#DIV/0!</v>
      </c>
      <c r="AN266" s="76"/>
      <c r="AO266" s="81" t="e">
        <f t="shared" si="345"/>
        <v>#DIV/0!</v>
      </c>
      <c r="AP266" s="81" t="e">
        <f t="shared" si="346"/>
        <v>#DIV/0!</v>
      </c>
      <c r="AQ266" s="81" t="e">
        <f t="shared" si="347"/>
        <v>#DIV/0!</v>
      </c>
      <c r="AR266" s="3"/>
      <c r="AS266" s="76">
        <f t="shared" si="227"/>
        <v>21.428571428571427</v>
      </c>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row>
    <row r="267" spans="1:75" x14ac:dyDescent="0.3">
      <c r="A267" s="8" t="s">
        <v>21</v>
      </c>
      <c r="B267" s="9" t="s">
        <v>195</v>
      </c>
      <c r="C267" s="7"/>
      <c r="D267" s="7"/>
      <c r="E267" s="7"/>
      <c r="F267" s="71"/>
      <c r="G267" s="51">
        <f t="shared" si="324"/>
        <v>3</v>
      </c>
      <c r="H267" s="52">
        <f t="shared" si="325"/>
        <v>7.1428571428571423</v>
      </c>
      <c r="I267" s="53">
        <f>COUNTIFS('00 Encuesta'!$B$2:$B$511,"*f)*",'00 Encuesta'!$C$2:$C$511,"*a)*",'00 Encuesta'!$E$2:$E$511,"*a)*",'00 Encuesta'!$AI$2:$AI$511,"*d)*")</f>
        <v>3</v>
      </c>
      <c r="J267" s="52">
        <f t="shared" si="326"/>
        <v>13.636363636363635</v>
      </c>
      <c r="K267" s="53">
        <f>COUNTIFS('00 Encuesta'!$B$2:$B$511,"*f)*",'00 Encuesta'!$C$2:$C$511,"*a)*",'00 Encuesta'!$E$2:$E$511,"*b)*",'00 Encuesta'!$AI$2:$AI$511,"*d)*")</f>
        <v>0</v>
      </c>
      <c r="L267" s="52">
        <f t="shared" si="327"/>
        <v>0</v>
      </c>
      <c r="M267" s="23"/>
      <c r="N267" s="51">
        <f t="shared" si="328"/>
        <v>0</v>
      </c>
      <c r="O267" s="52" t="e">
        <f t="shared" si="329"/>
        <v>#DIV/0!</v>
      </c>
      <c r="P267" s="53">
        <f>COUNTIFS('00 Encuesta'!$B$2:$B$511,"*f)*",'00 Encuesta'!$C$2:$C$511,"*b)*",'00 Encuesta'!$E$2:$E$511,"*a)*",'00 Encuesta'!$AI$2:$AI$511,"*d)*")</f>
        <v>0</v>
      </c>
      <c r="Q267" s="52" t="e">
        <f t="shared" si="330"/>
        <v>#DIV/0!</v>
      </c>
      <c r="R267" s="53">
        <f>COUNTIFS('00 Encuesta'!$B$2:$B$511,"*f)*",'00 Encuesta'!$C$2:$C$511,"*b)*",'00 Encuesta'!$E$2:$E$511,"*b)*",'00 Encuesta'!$AI$2:$AI$511,"*d)*")</f>
        <v>0</v>
      </c>
      <c r="S267" s="52" t="e">
        <f t="shared" si="331"/>
        <v>#DIV/0!</v>
      </c>
      <c r="T267" s="3"/>
      <c r="U267" s="51">
        <f t="shared" si="332"/>
        <v>0</v>
      </c>
      <c r="V267" s="52" t="e">
        <f t="shared" si="333"/>
        <v>#DIV/0!</v>
      </c>
      <c r="W267" s="53">
        <f>COUNTIFS('00 Encuesta'!$B$2:$B$511,"*f)*",'00 Encuesta'!$C$2:$C$511,"*c)*",'00 Encuesta'!$E$2:$E$511,"*a)*",'00 Encuesta'!$AI$2:$AI$511,"*d)*")</f>
        <v>0</v>
      </c>
      <c r="X267" s="52" t="e">
        <f t="shared" si="334"/>
        <v>#DIV/0!</v>
      </c>
      <c r="Y267" s="53">
        <f>COUNTIFS('00 Encuesta'!$B$2:$B$511,"*f)*",'00 Encuesta'!$C$2:$C$511,"*c)*",'00 Encuesta'!$E$2:$E$511,"*b)*",'00 Encuesta'!$AI$2:$AI$511,"*d)*")</f>
        <v>0</v>
      </c>
      <c r="Z267" s="52" t="e">
        <f t="shared" si="335"/>
        <v>#DIV/0!</v>
      </c>
      <c r="AA267" s="3"/>
      <c r="AB267" s="62">
        <f t="shared" si="336"/>
        <v>3</v>
      </c>
      <c r="AC267" s="52">
        <f t="shared" si="337"/>
        <v>7.1428571428571432</v>
      </c>
      <c r="AD267" s="3"/>
      <c r="AE267" s="3"/>
      <c r="AF267" s="9" t="str">
        <f t="shared" si="338"/>
        <v>d) De 7 a 8 horas</v>
      </c>
      <c r="AG267" s="72">
        <f t="shared" si="339"/>
        <v>13.636363636363635</v>
      </c>
      <c r="AH267" s="72">
        <f t="shared" si="340"/>
        <v>0</v>
      </c>
      <c r="AI267" s="73">
        <f t="shared" si="341"/>
        <v>7.1428571428571423</v>
      </c>
      <c r="AJ267" s="73"/>
      <c r="AK267" s="76" t="e">
        <f t="shared" si="342"/>
        <v>#DIV/0!</v>
      </c>
      <c r="AL267" s="76" t="e">
        <f t="shared" si="343"/>
        <v>#DIV/0!</v>
      </c>
      <c r="AM267" s="76" t="e">
        <f t="shared" si="344"/>
        <v>#DIV/0!</v>
      </c>
      <c r="AN267" s="76"/>
      <c r="AO267" s="81" t="e">
        <f t="shared" si="345"/>
        <v>#DIV/0!</v>
      </c>
      <c r="AP267" s="81" t="e">
        <f t="shared" si="346"/>
        <v>#DIV/0!</v>
      </c>
      <c r="AQ267" s="81" t="e">
        <f t="shared" si="347"/>
        <v>#DIV/0!</v>
      </c>
      <c r="AR267" s="3"/>
      <c r="AS267" s="76">
        <f t="shared" si="227"/>
        <v>7.1428571428571432</v>
      </c>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row>
    <row r="268" spans="1:75" x14ac:dyDescent="0.3">
      <c r="A268" s="8" t="s">
        <v>22</v>
      </c>
      <c r="B268" s="9" t="s">
        <v>196</v>
      </c>
      <c r="C268" s="7"/>
      <c r="D268" s="7"/>
      <c r="E268" s="7"/>
      <c r="F268" s="71"/>
      <c r="G268" s="51">
        <f t="shared" si="324"/>
        <v>0</v>
      </c>
      <c r="H268" s="52">
        <f t="shared" si="325"/>
        <v>0</v>
      </c>
      <c r="I268" s="53">
        <f>COUNTIFS('00 Encuesta'!$B$2:$B$511,"*f)*",'00 Encuesta'!$C$2:$C$511,"*a)*",'00 Encuesta'!$E$2:$E$511,"*a)*",'00 Encuesta'!$AI$2:$AI$511,"*e)*")</f>
        <v>0</v>
      </c>
      <c r="J268" s="52">
        <f t="shared" si="326"/>
        <v>0</v>
      </c>
      <c r="K268" s="53">
        <f>COUNTIFS('00 Encuesta'!$B$2:$B$511,"*f)*",'00 Encuesta'!$C$2:$C$511,"*a)*",'00 Encuesta'!$E$2:$E$511,"*b)*",'00 Encuesta'!$AI$2:$AI$511,"*e)*")</f>
        <v>0</v>
      </c>
      <c r="L268" s="52">
        <f t="shared" si="327"/>
        <v>0</v>
      </c>
      <c r="M268" s="23"/>
      <c r="N268" s="51">
        <f t="shared" si="328"/>
        <v>0</v>
      </c>
      <c r="O268" s="52" t="e">
        <f t="shared" si="329"/>
        <v>#DIV/0!</v>
      </c>
      <c r="P268" s="53">
        <f>COUNTIFS('00 Encuesta'!$B$2:$B$511,"*f)*",'00 Encuesta'!$C$2:$C$511,"*b)*",'00 Encuesta'!$E$2:$E$511,"*a)*",'00 Encuesta'!$AI$2:$AI$511,"*e)*")</f>
        <v>0</v>
      </c>
      <c r="Q268" s="52" t="e">
        <f t="shared" si="330"/>
        <v>#DIV/0!</v>
      </c>
      <c r="R268" s="53">
        <f>COUNTIFS('00 Encuesta'!$B$2:$B$511,"*f)*",'00 Encuesta'!$C$2:$C$511,"*b)*",'00 Encuesta'!$E$2:$E$511,"*b)*",'00 Encuesta'!$AI$2:$AI$511,"*e)*")</f>
        <v>0</v>
      </c>
      <c r="S268" s="52" t="e">
        <f t="shared" si="331"/>
        <v>#DIV/0!</v>
      </c>
      <c r="T268" s="3"/>
      <c r="U268" s="51">
        <f t="shared" si="332"/>
        <v>0</v>
      </c>
      <c r="V268" s="52" t="e">
        <f t="shared" si="333"/>
        <v>#DIV/0!</v>
      </c>
      <c r="W268" s="53">
        <f>COUNTIFS('00 Encuesta'!$B$2:$B$511,"*f)*",'00 Encuesta'!$C$2:$C$511,"*c)*",'00 Encuesta'!$E$2:$E$511,"*a)*",'00 Encuesta'!$AI$2:$AI$511,"*e)*")</f>
        <v>0</v>
      </c>
      <c r="X268" s="52" t="e">
        <f t="shared" si="334"/>
        <v>#DIV/0!</v>
      </c>
      <c r="Y268" s="53">
        <f>COUNTIFS('00 Encuesta'!$B$2:$B$511,"*f)*",'00 Encuesta'!$C$2:$C$511,"*c)*",'00 Encuesta'!$E$2:$E$511,"*b)*",'00 Encuesta'!$AI$2:$AI$511,"*e)*")</f>
        <v>0</v>
      </c>
      <c r="Z268" s="52" t="e">
        <f t="shared" si="335"/>
        <v>#DIV/0!</v>
      </c>
      <c r="AA268" s="3"/>
      <c r="AB268" s="62">
        <f t="shared" si="336"/>
        <v>0</v>
      </c>
      <c r="AC268" s="52">
        <f t="shared" si="337"/>
        <v>0</v>
      </c>
      <c r="AD268" s="3"/>
      <c r="AE268" s="3"/>
      <c r="AF268" s="9" t="str">
        <f t="shared" si="338"/>
        <v>e) De 9 a 10 horas</v>
      </c>
      <c r="AG268" s="72">
        <f t="shared" si="339"/>
        <v>0</v>
      </c>
      <c r="AH268" s="72">
        <f t="shared" si="340"/>
        <v>0</v>
      </c>
      <c r="AI268" s="73">
        <f t="shared" si="341"/>
        <v>0</v>
      </c>
      <c r="AJ268" s="73"/>
      <c r="AK268" s="76" t="e">
        <f t="shared" si="342"/>
        <v>#DIV/0!</v>
      </c>
      <c r="AL268" s="76" t="e">
        <f t="shared" si="343"/>
        <v>#DIV/0!</v>
      </c>
      <c r="AM268" s="76" t="e">
        <f t="shared" si="344"/>
        <v>#DIV/0!</v>
      </c>
      <c r="AN268" s="76"/>
      <c r="AO268" s="81" t="e">
        <f t="shared" si="345"/>
        <v>#DIV/0!</v>
      </c>
      <c r="AP268" s="81" t="e">
        <f t="shared" si="346"/>
        <v>#DIV/0!</v>
      </c>
      <c r="AQ268" s="81" t="e">
        <f t="shared" si="347"/>
        <v>#DIV/0!</v>
      </c>
      <c r="AR268" s="3"/>
      <c r="AS268" s="76">
        <f t="shared" si="227"/>
        <v>0</v>
      </c>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row>
    <row r="269" spans="1:75" x14ac:dyDescent="0.3">
      <c r="A269" s="8" t="s">
        <v>45</v>
      </c>
      <c r="B269" s="9" t="s">
        <v>197</v>
      </c>
      <c r="C269" s="7"/>
      <c r="D269" s="7"/>
      <c r="E269" s="7"/>
      <c r="F269" s="71"/>
      <c r="G269" s="51">
        <f t="shared" si="324"/>
        <v>5</v>
      </c>
      <c r="H269" s="52">
        <f t="shared" si="325"/>
        <v>11.904761904761903</v>
      </c>
      <c r="I269" s="53">
        <f>COUNTIFS('00 Encuesta'!$B$2:$B$511,"*f)*",'00 Encuesta'!$C$2:$C$511,"*a)*",'00 Encuesta'!$E$2:$E$511,"*a)*",'00 Encuesta'!$AI$2:$AI$511,"*f)*")</f>
        <v>2</v>
      </c>
      <c r="J269" s="52">
        <f t="shared" si="326"/>
        <v>9.0909090909090917</v>
      </c>
      <c r="K269" s="53">
        <f>COUNTIFS('00 Encuesta'!$B$2:$B$511,"*f)*",'00 Encuesta'!$C$2:$C$511,"*a)*",'00 Encuesta'!$E$2:$E$511,"*b)*",'00 Encuesta'!$AI$2:$AI$511,"*f)*")</f>
        <v>3</v>
      </c>
      <c r="L269" s="52">
        <f t="shared" si="327"/>
        <v>15</v>
      </c>
      <c r="M269" s="23"/>
      <c r="N269" s="51">
        <f t="shared" si="328"/>
        <v>0</v>
      </c>
      <c r="O269" s="52" t="e">
        <f t="shared" si="329"/>
        <v>#DIV/0!</v>
      </c>
      <c r="P269" s="53">
        <f>COUNTIFS('00 Encuesta'!$B$2:$B$511,"*f)*",'00 Encuesta'!$C$2:$C$511,"*b)*",'00 Encuesta'!$E$2:$E$511,"*a)*",'00 Encuesta'!$AI$2:$AI$511,"*f)*")</f>
        <v>0</v>
      </c>
      <c r="Q269" s="52" t="e">
        <f t="shared" si="330"/>
        <v>#DIV/0!</v>
      </c>
      <c r="R269" s="53">
        <f>COUNTIFS('00 Encuesta'!$B$2:$B$511,"*f)*",'00 Encuesta'!$C$2:$C$511,"*b)*",'00 Encuesta'!$E$2:$E$511,"*b)*",'00 Encuesta'!$AI$2:$AI$511,"*f)*")</f>
        <v>0</v>
      </c>
      <c r="S269" s="52" t="e">
        <f t="shared" si="331"/>
        <v>#DIV/0!</v>
      </c>
      <c r="T269" s="3"/>
      <c r="U269" s="51">
        <f t="shared" si="332"/>
        <v>0</v>
      </c>
      <c r="V269" s="52" t="e">
        <f t="shared" si="333"/>
        <v>#DIV/0!</v>
      </c>
      <c r="W269" s="53">
        <f>COUNTIFS('00 Encuesta'!$B$2:$B$511,"*f)*",'00 Encuesta'!$C$2:$C$511,"*c)*",'00 Encuesta'!$E$2:$E$511,"*a)*",'00 Encuesta'!$AI$2:$AI$511,"*f)*")</f>
        <v>0</v>
      </c>
      <c r="X269" s="52" t="e">
        <f t="shared" si="334"/>
        <v>#DIV/0!</v>
      </c>
      <c r="Y269" s="53">
        <f>COUNTIFS('00 Encuesta'!$B$2:$B$511,"*f)*",'00 Encuesta'!$C$2:$C$511,"*c)*",'00 Encuesta'!$E$2:$E$511,"*b)*",'00 Encuesta'!$AI$2:$AI$511,"*f)*")</f>
        <v>0</v>
      </c>
      <c r="Z269" s="52" t="e">
        <f t="shared" si="335"/>
        <v>#DIV/0!</v>
      </c>
      <c r="AA269" s="3"/>
      <c r="AB269" s="62">
        <f t="shared" si="336"/>
        <v>5</v>
      </c>
      <c r="AC269" s="52">
        <f t="shared" si="337"/>
        <v>11.904761904761905</v>
      </c>
      <c r="AD269" s="3"/>
      <c r="AE269" s="3"/>
      <c r="AF269" s="9" t="str">
        <f t="shared" si="338"/>
        <v>f) Mas de 11 horas</v>
      </c>
      <c r="AG269" s="72">
        <f t="shared" si="339"/>
        <v>9.0909090909090917</v>
      </c>
      <c r="AH269" s="72">
        <f t="shared" si="340"/>
        <v>15</v>
      </c>
      <c r="AI269" s="73">
        <f t="shared" si="341"/>
        <v>11.904761904761903</v>
      </c>
      <c r="AJ269" s="73"/>
      <c r="AK269" s="76" t="e">
        <f t="shared" si="342"/>
        <v>#DIV/0!</v>
      </c>
      <c r="AL269" s="76" t="e">
        <f t="shared" si="343"/>
        <v>#DIV/0!</v>
      </c>
      <c r="AM269" s="76" t="e">
        <f t="shared" si="344"/>
        <v>#DIV/0!</v>
      </c>
      <c r="AN269" s="76"/>
      <c r="AO269" s="81" t="e">
        <f t="shared" si="345"/>
        <v>#DIV/0!</v>
      </c>
      <c r="AP269" s="81" t="e">
        <f t="shared" si="346"/>
        <v>#DIV/0!</v>
      </c>
      <c r="AQ269" s="81" t="e">
        <f t="shared" si="347"/>
        <v>#DIV/0!</v>
      </c>
      <c r="AR269" s="3"/>
      <c r="AS269" s="76">
        <f t="shared" si="227"/>
        <v>11.904761904761905</v>
      </c>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row>
    <row r="270" spans="1:75" x14ac:dyDescent="0.3">
      <c r="A270" s="8" t="s">
        <v>23</v>
      </c>
      <c r="B270" s="9" t="s">
        <v>24</v>
      </c>
      <c r="C270" s="7"/>
      <c r="D270" s="7"/>
      <c r="E270" s="7"/>
      <c r="F270" s="71"/>
      <c r="G270" s="51">
        <f t="shared" si="324"/>
        <v>0</v>
      </c>
      <c r="H270" s="52">
        <f t="shared" si="325"/>
        <v>0</v>
      </c>
      <c r="I270" s="53"/>
      <c r="J270" s="52">
        <f t="shared" si="326"/>
        <v>0</v>
      </c>
      <c r="K270" s="53"/>
      <c r="L270" s="52">
        <f t="shared" si="327"/>
        <v>0</v>
      </c>
      <c r="M270" s="23"/>
      <c r="N270" s="51">
        <f t="shared" si="328"/>
        <v>0</v>
      </c>
      <c r="O270" s="52" t="e">
        <f t="shared" si="329"/>
        <v>#DIV/0!</v>
      </c>
      <c r="P270" s="53"/>
      <c r="Q270" s="52" t="e">
        <f t="shared" si="330"/>
        <v>#DIV/0!</v>
      </c>
      <c r="R270" s="53"/>
      <c r="S270" s="52" t="e">
        <f t="shared" si="331"/>
        <v>#DIV/0!</v>
      </c>
      <c r="T270" s="3"/>
      <c r="U270" s="51">
        <f t="shared" si="332"/>
        <v>0</v>
      </c>
      <c r="V270" s="52" t="e">
        <f t="shared" si="333"/>
        <v>#DIV/0!</v>
      </c>
      <c r="W270" s="53"/>
      <c r="X270" s="52" t="e">
        <f t="shared" si="334"/>
        <v>#DIV/0!</v>
      </c>
      <c r="Y270" s="53"/>
      <c r="Z270" s="52" t="e">
        <f t="shared" si="335"/>
        <v>#DIV/0!</v>
      </c>
      <c r="AA270" s="3"/>
      <c r="AB270" s="62">
        <f t="shared" si="336"/>
        <v>0</v>
      </c>
      <c r="AC270" s="52">
        <f t="shared" si="337"/>
        <v>0</v>
      </c>
      <c r="AD270" s="3"/>
      <c r="AE270" s="3"/>
      <c r="AF270" s="9" t="str">
        <f t="shared" si="338"/>
        <v>S/R Sin Respuesta</v>
      </c>
      <c r="AG270" s="72">
        <f t="shared" si="339"/>
        <v>0</v>
      </c>
      <c r="AH270" s="72">
        <f t="shared" si="340"/>
        <v>0</v>
      </c>
      <c r="AI270" s="73">
        <f t="shared" si="341"/>
        <v>0</v>
      </c>
      <c r="AJ270" s="73"/>
      <c r="AK270" s="76" t="e">
        <f t="shared" si="342"/>
        <v>#DIV/0!</v>
      </c>
      <c r="AL270" s="76" t="e">
        <f t="shared" si="343"/>
        <v>#DIV/0!</v>
      </c>
      <c r="AM270" s="76" t="e">
        <f t="shared" si="344"/>
        <v>#DIV/0!</v>
      </c>
      <c r="AN270" s="76"/>
      <c r="AO270" s="81" t="e">
        <f t="shared" si="345"/>
        <v>#DIV/0!</v>
      </c>
      <c r="AP270" s="81" t="e">
        <f t="shared" si="346"/>
        <v>#DIV/0!</v>
      </c>
      <c r="AQ270" s="81" t="e">
        <f t="shared" si="347"/>
        <v>#DIV/0!</v>
      </c>
      <c r="AR270" s="3"/>
      <c r="AS270" s="76">
        <f t="shared" si="227"/>
        <v>0</v>
      </c>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row>
    <row r="271" spans="1:75" x14ac:dyDescent="0.3">
      <c r="A271" s="70"/>
      <c r="B271" s="9"/>
      <c r="C271" s="7"/>
      <c r="D271" s="7"/>
      <c r="E271" s="7"/>
      <c r="F271" s="71"/>
      <c r="G271" s="71"/>
      <c r="H271" s="71"/>
      <c r="I271" s="71"/>
      <c r="J271" s="71"/>
      <c r="K271" s="71"/>
      <c r="L271" s="71"/>
      <c r="M271" s="71"/>
      <c r="N271" s="71"/>
      <c r="O271" s="71"/>
      <c r="P271" s="71"/>
      <c r="Q271" s="71"/>
      <c r="R271" s="71"/>
      <c r="S271" s="71"/>
      <c r="T271" s="71"/>
      <c r="U271" s="71"/>
      <c r="V271" s="71"/>
      <c r="W271" s="71"/>
      <c r="X271" s="71"/>
      <c r="Y271" s="71"/>
      <c r="Z271" s="71"/>
      <c r="AA271" s="71"/>
      <c r="AB271" s="6"/>
      <c r="AC271" s="41"/>
      <c r="AD271" s="3"/>
      <c r="AE271" s="3"/>
      <c r="AF271" s="3"/>
      <c r="AG271" s="3"/>
      <c r="AH271" s="3"/>
      <c r="AI271" s="3"/>
      <c r="AJ271" s="3"/>
      <c r="AK271" s="3"/>
      <c r="AL271" s="3"/>
      <c r="AM271" s="3"/>
      <c r="AN271" s="3"/>
      <c r="AO271" s="3"/>
      <c r="AP271" s="3"/>
      <c r="AQ271" s="3"/>
      <c r="AR271" s="3"/>
      <c r="AS271" s="76"/>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row>
    <row r="272" spans="1:75" x14ac:dyDescent="0.3">
      <c r="A272" s="70">
        <v>31</v>
      </c>
      <c r="B272" s="9" t="s">
        <v>198</v>
      </c>
      <c r="C272" s="7"/>
      <c r="D272" s="7"/>
      <c r="E272" s="7"/>
      <c r="F272" s="71"/>
      <c r="G272" s="51"/>
      <c r="H272" s="52"/>
      <c r="I272" s="53"/>
      <c r="J272" s="52"/>
      <c r="K272" s="53"/>
      <c r="L272" s="66"/>
      <c r="M272" s="23"/>
      <c r="N272" s="51"/>
      <c r="O272" s="52"/>
      <c r="P272" s="53"/>
      <c r="Q272" s="52"/>
      <c r="R272" s="53"/>
      <c r="S272" s="66"/>
      <c r="T272" s="3"/>
      <c r="U272" s="51"/>
      <c r="V272" s="52"/>
      <c r="W272" s="53"/>
      <c r="X272" s="52"/>
      <c r="Y272" s="53"/>
      <c r="Z272" s="66"/>
      <c r="AA272" s="3"/>
      <c r="AB272" s="62"/>
      <c r="AC272" s="52"/>
      <c r="AD272" s="3"/>
      <c r="AE272" s="3"/>
      <c r="AF272" s="88" t="str">
        <f>A272&amp;" "&amp;B272</f>
        <v>31 En mi tiempo libre (señala hasta tres opciones):</v>
      </c>
      <c r="AG272" s="3"/>
      <c r="AH272" s="3"/>
      <c r="AI272" s="3"/>
      <c r="AJ272" s="3"/>
      <c r="AK272" s="3"/>
      <c r="AL272" s="3"/>
      <c r="AM272" s="3"/>
      <c r="AN272" s="3"/>
      <c r="AO272" s="3"/>
      <c r="AP272" s="3"/>
      <c r="AQ272" s="3"/>
      <c r="AR272" s="3"/>
      <c r="AS272" s="76"/>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row>
    <row r="273" spans="1:75" x14ac:dyDescent="0.3">
      <c r="A273" s="8" t="s">
        <v>17</v>
      </c>
      <c r="B273" s="85" t="s">
        <v>199</v>
      </c>
      <c r="C273" s="7"/>
      <c r="D273" s="7"/>
      <c r="E273" s="7"/>
      <c r="F273" s="71"/>
      <c r="G273" s="51">
        <f t="shared" ref="G273:G286" si="348">I273+K273</f>
        <v>16</v>
      </c>
      <c r="H273" s="52">
        <f t="shared" ref="H273:H286" si="349">G273/$J$5*100</f>
        <v>38.095238095238095</v>
      </c>
      <c r="I273" s="53">
        <f>COUNTIFS('00 Encuesta'!$B$2:$B$511,"*f)*",'00 Encuesta'!$C$2:$C$511,"*a)*",'00 Encuesta'!$E$2:$E$511,"*a)*",'00 Encuesta'!$AJ$2:$AJ$511,"*a)*")</f>
        <v>13</v>
      </c>
      <c r="J273" s="52">
        <f t="shared" ref="J273:J286" si="350">I273/$J$6*100</f>
        <v>59.090909090909093</v>
      </c>
      <c r="K273" s="53">
        <f>COUNTIFS('00 Encuesta'!$B$2:$B$511,"*f)*",'00 Encuesta'!$C$2:$C$511,"*a)*",'00 Encuesta'!$E$2:$E$511,"*b)*",'00 Encuesta'!$AJ$2:$AJ$511,"*a)*")</f>
        <v>3</v>
      </c>
      <c r="L273" s="52">
        <f t="shared" ref="L273:L286" si="351">K273/$J$7*100</f>
        <v>15</v>
      </c>
      <c r="M273" s="23"/>
      <c r="N273" s="51">
        <f t="shared" ref="N273:N286" si="352">P273+R273</f>
        <v>0</v>
      </c>
      <c r="O273" s="52" t="e">
        <f t="shared" ref="O273:O286" si="353">N273/$Q$5*100</f>
        <v>#DIV/0!</v>
      </c>
      <c r="P273" s="53">
        <f>COUNTIFS('00 Encuesta'!$B$2:$B$511,"*f)*",'00 Encuesta'!$C$2:$C$511,"*b)*",'00 Encuesta'!$E$2:$E$511,"*a)*",'00 Encuesta'!$AJ$2:$AJ$511,"*a)*")</f>
        <v>0</v>
      </c>
      <c r="Q273" s="52" t="e">
        <f t="shared" ref="Q273:Q286" si="354">P273/$Q$6*100</f>
        <v>#DIV/0!</v>
      </c>
      <c r="R273" s="53">
        <f>COUNTIFS('00 Encuesta'!$B$2:$B$511,"*f)*",'00 Encuesta'!$C$2:$C$511,"*b)*",'00 Encuesta'!$E$2:$E$511,"*b)*",'00 Encuesta'!$AJ$2:$AJ$511,"*a)*")</f>
        <v>0</v>
      </c>
      <c r="S273" s="52" t="e">
        <f t="shared" ref="S273:S286" si="355">R273/$Q$7*100</f>
        <v>#DIV/0!</v>
      </c>
      <c r="T273" s="3"/>
      <c r="U273" s="51">
        <f t="shared" ref="U273:U286" si="356">W273+Y273</f>
        <v>0</v>
      </c>
      <c r="V273" s="52" t="e">
        <f t="shared" ref="V273:V286" si="357">U273/$X$5*100</f>
        <v>#DIV/0!</v>
      </c>
      <c r="W273" s="53">
        <f>COUNTIFS('00 Encuesta'!$B$2:$B$511,"*f)*",'00 Encuesta'!$C$2:$C$511,"*c)*",'00 Encuesta'!$E$2:$E$511,"*a)*",'00 Encuesta'!$AJ$2:$AJ$511,"*a)*")</f>
        <v>0</v>
      </c>
      <c r="X273" s="52" t="e">
        <f t="shared" ref="X273:X286" si="358">W273/$X$6*100</f>
        <v>#DIV/0!</v>
      </c>
      <c r="Y273" s="53">
        <f>COUNTIFS('00 Encuesta'!$B$2:$B$511,"*f)*",'00 Encuesta'!$C$2:$C$511,"*c)*",'00 Encuesta'!$E$2:$E$511,"*b)*",'00 Encuesta'!$AJ$2:$AJ$511,"*a)*")</f>
        <v>0</v>
      </c>
      <c r="Z273" s="52" t="e">
        <f t="shared" ref="Z273:Z286" si="359">Y273/$X$7*100</f>
        <v>#DIV/0!</v>
      </c>
      <c r="AA273" s="3"/>
      <c r="AB273" s="62">
        <f t="shared" ref="AB273:AB286" si="360">G273+N273+U273</f>
        <v>16</v>
      </c>
      <c r="AC273" s="52">
        <f t="shared" ref="AC273:AC286" si="361">AB273*100/$AC$5</f>
        <v>38.095238095238095</v>
      </c>
      <c r="AD273" s="3"/>
      <c r="AE273" s="3"/>
      <c r="AF273" s="9" t="str">
        <f t="shared" ref="AF273:AF287" si="362">A273&amp;" "&amp;B273</f>
        <v>a) Me divierto con juegos para computadoras</v>
      </c>
      <c r="AG273" s="72">
        <f>J273</f>
        <v>59.090909090909093</v>
      </c>
      <c r="AH273" s="72">
        <f>L273</f>
        <v>15</v>
      </c>
      <c r="AI273" s="73">
        <f>H273</f>
        <v>38.095238095238095</v>
      </c>
      <c r="AJ273" s="73"/>
      <c r="AK273" s="76" t="e">
        <f t="shared" ref="AK273:AK287" si="363">Q273</f>
        <v>#DIV/0!</v>
      </c>
      <c r="AL273" s="76" t="e">
        <f t="shared" ref="AL273:AL287" si="364">S273</f>
        <v>#DIV/0!</v>
      </c>
      <c r="AM273" s="76" t="e">
        <f t="shared" ref="AM273:AM287" si="365">O273</f>
        <v>#DIV/0!</v>
      </c>
      <c r="AN273" s="76"/>
      <c r="AO273" s="81" t="e">
        <f t="shared" ref="AO273:AO287" si="366">X273</f>
        <v>#DIV/0!</v>
      </c>
      <c r="AP273" s="81" t="e">
        <f t="shared" ref="AP273:AP287" si="367">Z273</f>
        <v>#DIV/0!</v>
      </c>
      <c r="AQ273" s="81" t="e">
        <f t="shared" ref="AQ273:AQ287" si="368">V273</f>
        <v>#DIV/0!</v>
      </c>
      <c r="AR273" s="3"/>
      <c r="AS273" s="76">
        <f t="shared" ref="AS273:AS342" si="369">AC273</f>
        <v>38.095238095238095</v>
      </c>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row>
    <row r="274" spans="1:75" x14ac:dyDescent="0.3">
      <c r="A274" s="8" t="s">
        <v>18</v>
      </c>
      <c r="B274" s="85" t="s">
        <v>200</v>
      </c>
      <c r="C274" s="7"/>
      <c r="D274" s="7"/>
      <c r="E274" s="7"/>
      <c r="F274" s="71"/>
      <c r="G274" s="51">
        <f t="shared" si="348"/>
        <v>23</v>
      </c>
      <c r="H274" s="52">
        <f t="shared" si="349"/>
        <v>54.761904761904766</v>
      </c>
      <c r="I274" s="53">
        <f>COUNTIFS('00 Encuesta'!$B$2:$B$511,"*f)*",'00 Encuesta'!$C$2:$C$511,"*a)*",'00 Encuesta'!$E$2:$E$511,"*a)*",'00 Encuesta'!$AJ$2:$AJ$511,"*b)*")</f>
        <v>11</v>
      </c>
      <c r="J274" s="52">
        <f t="shared" si="350"/>
        <v>50</v>
      </c>
      <c r="K274" s="53">
        <f>COUNTIFS('00 Encuesta'!$B$2:$B$511,"*f)*",'00 Encuesta'!$C$2:$C$511,"*a)*",'00 Encuesta'!$E$2:$E$511,"*b)*",'00 Encuesta'!$AJ$2:$AJ$511,"*b)*")</f>
        <v>12</v>
      </c>
      <c r="L274" s="52">
        <f t="shared" si="351"/>
        <v>60</v>
      </c>
      <c r="M274" s="23"/>
      <c r="N274" s="51">
        <f t="shared" si="352"/>
        <v>0</v>
      </c>
      <c r="O274" s="52" t="e">
        <f t="shared" si="353"/>
        <v>#DIV/0!</v>
      </c>
      <c r="P274" s="53">
        <f>COUNTIFS('00 Encuesta'!$B$2:$B$511,"*f)*",'00 Encuesta'!$C$2:$C$511,"*b)*",'00 Encuesta'!$E$2:$E$511,"*a)*",'00 Encuesta'!$AJ$2:$AJ$511,"*b)*")</f>
        <v>0</v>
      </c>
      <c r="Q274" s="52" t="e">
        <f t="shared" si="354"/>
        <v>#DIV/0!</v>
      </c>
      <c r="R274" s="53">
        <f>COUNTIFS('00 Encuesta'!$B$2:$B$511,"*f)*",'00 Encuesta'!$C$2:$C$511,"*b)*",'00 Encuesta'!$E$2:$E$511,"*b)*",'00 Encuesta'!$AJ$2:$AJ$511,"*b)*")</f>
        <v>0</v>
      </c>
      <c r="S274" s="52" t="e">
        <f t="shared" si="355"/>
        <v>#DIV/0!</v>
      </c>
      <c r="T274" s="3"/>
      <c r="U274" s="51">
        <f t="shared" si="356"/>
        <v>0</v>
      </c>
      <c r="V274" s="52" t="e">
        <f t="shared" si="357"/>
        <v>#DIV/0!</v>
      </c>
      <c r="W274" s="53">
        <f>COUNTIFS('00 Encuesta'!$B$2:$B$511,"*f)*",'00 Encuesta'!$C$2:$C$511,"*c)*",'00 Encuesta'!$E$2:$E$511,"*a)*",'00 Encuesta'!$AJ$2:$AJ$511,"*b)*")</f>
        <v>0</v>
      </c>
      <c r="X274" s="52" t="e">
        <f t="shared" si="358"/>
        <v>#DIV/0!</v>
      </c>
      <c r="Y274" s="53">
        <f>COUNTIFS('00 Encuesta'!$B$2:$B$511,"*f)*",'00 Encuesta'!$C$2:$C$511,"*c)*",'00 Encuesta'!$E$2:$E$511,"*b)*",'00 Encuesta'!$AJ$2:$AJ$511,"*b)*")</f>
        <v>0</v>
      </c>
      <c r="Z274" s="52" t="e">
        <f t="shared" si="359"/>
        <v>#DIV/0!</v>
      </c>
      <c r="AA274" s="3"/>
      <c r="AB274" s="62">
        <f t="shared" si="360"/>
        <v>23</v>
      </c>
      <c r="AC274" s="52">
        <f t="shared" si="361"/>
        <v>54.761904761904759</v>
      </c>
      <c r="AD274" s="3"/>
      <c r="AE274" s="3"/>
      <c r="AF274" s="9" t="str">
        <f t="shared" si="362"/>
        <v>b) Navego en Internet</v>
      </c>
      <c r="AG274" s="72">
        <f t="shared" ref="AG274:AG287" si="370">J274</f>
        <v>50</v>
      </c>
      <c r="AH274" s="72">
        <f t="shared" ref="AH274:AH287" si="371">L274</f>
        <v>60</v>
      </c>
      <c r="AI274" s="73">
        <f t="shared" ref="AI274:AI287" si="372">H274</f>
        <v>54.761904761904766</v>
      </c>
      <c r="AJ274" s="73"/>
      <c r="AK274" s="76" t="e">
        <f t="shared" si="363"/>
        <v>#DIV/0!</v>
      </c>
      <c r="AL274" s="76" t="e">
        <f t="shared" si="364"/>
        <v>#DIV/0!</v>
      </c>
      <c r="AM274" s="76" t="e">
        <f t="shared" si="365"/>
        <v>#DIV/0!</v>
      </c>
      <c r="AN274" s="76"/>
      <c r="AO274" s="81" t="e">
        <f t="shared" si="366"/>
        <v>#DIV/0!</v>
      </c>
      <c r="AP274" s="81" t="e">
        <f t="shared" si="367"/>
        <v>#DIV/0!</v>
      </c>
      <c r="AQ274" s="81" t="e">
        <f t="shared" si="368"/>
        <v>#DIV/0!</v>
      </c>
      <c r="AR274" s="3"/>
      <c r="AS274" s="76">
        <f t="shared" si="369"/>
        <v>54.761904761904759</v>
      </c>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row>
    <row r="275" spans="1:75" x14ac:dyDescent="0.3">
      <c r="A275" s="8" t="s">
        <v>20</v>
      </c>
      <c r="B275" s="85" t="s">
        <v>201</v>
      </c>
      <c r="C275" s="7"/>
      <c r="D275" s="7"/>
      <c r="E275" s="7"/>
      <c r="F275" s="71"/>
      <c r="G275" s="51">
        <f t="shared" si="348"/>
        <v>0</v>
      </c>
      <c r="H275" s="52">
        <f t="shared" si="349"/>
        <v>0</v>
      </c>
      <c r="I275" s="53">
        <f>COUNTIFS('00 Encuesta'!$B$2:$B$511,"*f)*",'00 Encuesta'!$C$2:$C$511,"*a)*",'00 Encuesta'!$E$2:$E$511,"*a)*",'00 Encuesta'!$AJ$2:$AJ$511,"*c)*")</f>
        <v>0</v>
      </c>
      <c r="J275" s="52">
        <f t="shared" si="350"/>
        <v>0</v>
      </c>
      <c r="K275" s="53">
        <f>COUNTIFS('00 Encuesta'!$B$2:$B$511,"*f)*",'00 Encuesta'!$C$2:$C$511,"*a)*",'00 Encuesta'!$E$2:$E$511,"*b)*",'00 Encuesta'!$AJ$2:$AJ$511,"*c)*")</f>
        <v>0</v>
      </c>
      <c r="L275" s="52">
        <f t="shared" si="351"/>
        <v>0</v>
      </c>
      <c r="M275" s="23"/>
      <c r="N275" s="51">
        <f t="shared" si="352"/>
        <v>0</v>
      </c>
      <c r="O275" s="52" t="e">
        <f t="shared" si="353"/>
        <v>#DIV/0!</v>
      </c>
      <c r="P275" s="53">
        <f>COUNTIFS('00 Encuesta'!$B$2:$B$511,"*f)*",'00 Encuesta'!$C$2:$C$511,"*b)*",'00 Encuesta'!$E$2:$E$511,"*a)*",'00 Encuesta'!$AJ$2:$AJ$511,"*c)*")</f>
        <v>0</v>
      </c>
      <c r="Q275" s="52" t="e">
        <f t="shared" si="354"/>
        <v>#DIV/0!</v>
      </c>
      <c r="R275" s="53">
        <f>COUNTIFS('00 Encuesta'!$B$2:$B$511,"*f)*",'00 Encuesta'!$C$2:$C$511,"*b)*",'00 Encuesta'!$E$2:$E$511,"*b)*",'00 Encuesta'!$AJ$2:$AJ$511,"*c)*")</f>
        <v>0</v>
      </c>
      <c r="S275" s="52" t="e">
        <f t="shared" si="355"/>
        <v>#DIV/0!</v>
      </c>
      <c r="T275" s="3"/>
      <c r="U275" s="51">
        <f t="shared" si="356"/>
        <v>0</v>
      </c>
      <c r="V275" s="52" t="e">
        <f t="shared" si="357"/>
        <v>#DIV/0!</v>
      </c>
      <c r="W275" s="53">
        <f>COUNTIFS('00 Encuesta'!$B$2:$B$511,"*f)*",'00 Encuesta'!$C$2:$C$511,"*c)*",'00 Encuesta'!$E$2:$E$511,"*a)*",'00 Encuesta'!$AJ$2:$AJ$511,"*c)*")</f>
        <v>0</v>
      </c>
      <c r="X275" s="52" t="e">
        <f t="shared" si="358"/>
        <v>#DIV/0!</v>
      </c>
      <c r="Y275" s="53">
        <f>COUNTIFS('00 Encuesta'!$B$2:$B$511,"*f)*",'00 Encuesta'!$C$2:$C$511,"*c)*",'00 Encuesta'!$E$2:$E$511,"*b)*",'00 Encuesta'!$AJ$2:$AJ$511,"*c)*")</f>
        <v>0</v>
      </c>
      <c r="Z275" s="52" t="e">
        <f t="shared" si="359"/>
        <v>#DIV/0!</v>
      </c>
      <c r="AA275" s="3"/>
      <c r="AB275" s="62">
        <f t="shared" si="360"/>
        <v>0</v>
      </c>
      <c r="AC275" s="52">
        <f t="shared" si="361"/>
        <v>0</v>
      </c>
      <c r="AD275" s="3"/>
      <c r="AE275" s="3"/>
      <c r="AF275" s="9" t="str">
        <f t="shared" si="362"/>
        <v>c) Suelo ir a centros de video (máquinas de juegos)</v>
      </c>
      <c r="AG275" s="72">
        <f t="shared" si="370"/>
        <v>0</v>
      </c>
      <c r="AH275" s="72">
        <f t="shared" si="371"/>
        <v>0</v>
      </c>
      <c r="AI275" s="73">
        <f t="shared" si="372"/>
        <v>0</v>
      </c>
      <c r="AJ275" s="73"/>
      <c r="AK275" s="76" t="e">
        <f t="shared" si="363"/>
        <v>#DIV/0!</v>
      </c>
      <c r="AL275" s="76" t="e">
        <f t="shared" si="364"/>
        <v>#DIV/0!</v>
      </c>
      <c r="AM275" s="76" t="e">
        <f t="shared" si="365"/>
        <v>#DIV/0!</v>
      </c>
      <c r="AN275" s="76"/>
      <c r="AO275" s="81" t="e">
        <f t="shared" si="366"/>
        <v>#DIV/0!</v>
      </c>
      <c r="AP275" s="81" t="e">
        <f t="shared" si="367"/>
        <v>#DIV/0!</v>
      </c>
      <c r="AQ275" s="81" t="e">
        <f t="shared" si="368"/>
        <v>#DIV/0!</v>
      </c>
      <c r="AR275" s="3"/>
      <c r="AS275" s="76">
        <f t="shared" si="369"/>
        <v>0</v>
      </c>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row>
    <row r="276" spans="1:75" x14ac:dyDescent="0.3">
      <c r="A276" s="8" t="s">
        <v>21</v>
      </c>
      <c r="B276" s="85" t="s">
        <v>202</v>
      </c>
      <c r="C276" s="7"/>
      <c r="D276" s="7"/>
      <c r="E276" s="7"/>
      <c r="F276" s="71"/>
      <c r="G276" s="51">
        <f t="shared" si="348"/>
        <v>7</v>
      </c>
      <c r="H276" s="52">
        <f t="shared" si="349"/>
        <v>16.666666666666664</v>
      </c>
      <c r="I276" s="53">
        <f>COUNTIFS('00 Encuesta'!$B$2:$B$511,"*f)*",'00 Encuesta'!$C$2:$C$511,"*a)*",'00 Encuesta'!$E$2:$E$511,"*a)*",'00 Encuesta'!$AJ$2:$AJ$511,"*d)*")</f>
        <v>4</v>
      </c>
      <c r="J276" s="52">
        <f t="shared" si="350"/>
        <v>18.181818181818183</v>
      </c>
      <c r="K276" s="53">
        <f>COUNTIFS('00 Encuesta'!$B$2:$B$511,"*f)*",'00 Encuesta'!$C$2:$C$511,"*a)*",'00 Encuesta'!$E$2:$E$511,"*b)*",'00 Encuesta'!$AJ$2:$AJ$511,"*d)*")</f>
        <v>3</v>
      </c>
      <c r="L276" s="52">
        <f t="shared" si="351"/>
        <v>15</v>
      </c>
      <c r="M276" s="23"/>
      <c r="N276" s="51">
        <f t="shared" si="352"/>
        <v>0</v>
      </c>
      <c r="O276" s="52" t="e">
        <f t="shared" si="353"/>
        <v>#DIV/0!</v>
      </c>
      <c r="P276" s="53">
        <f>COUNTIFS('00 Encuesta'!$B$2:$B$511,"*f)*",'00 Encuesta'!$C$2:$C$511,"*b)*",'00 Encuesta'!$E$2:$E$511,"*a)*",'00 Encuesta'!$AJ$2:$AJ$511,"*d)*")</f>
        <v>0</v>
      </c>
      <c r="Q276" s="52" t="e">
        <f t="shared" si="354"/>
        <v>#DIV/0!</v>
      </c>
      <c r="R276" s="53">
        <f>COUNTIFS('00 Encuesta'!$B$2:$B$511,"*f)*",'00 Encuesta'!$C$2:$C$511,"*b)*",'00 Encuesta'!$E$2:$E$511,"*b)*",'00 Encuesta'!$AJ$2:$AJ$511,"*d)*")</f>
        <v>0</v>
      </c>
      <c r="S276" s="52" t="e">
        <f t="shared" si="355"/>
        <v>#DIV/0!</v>
      </c>
      <c r="T276" s="3"/>
      <c r="U276" s="51">
        <f t="shared" si="356"/>
        <v>0</v>
      </c>
      <c r="V276" s="52" t="e">
        <f t="shared" si="357"/>
        <v>#DIV/0!</v>
      </c>
      <c r="W276" s="53">
        <f>COUNTIFS('00 Encuesta'!$B$2:$B$511,"*f)*",'00 Encuesta'!$C$2:$C$511,"*c)*",'00 Encuesta'!$E$2:$E$511,"*a)*",'00 Encuesta'!$AJ$2:$AJ$511,"*d)*")</f>
        <v>0</v>
      </c>
      <c r="X276" s="52" t="e">
        <f t="shared" si="358"/>
        <v>#DIV/0!</v>
      </c>
      <c r="Y276" s="53">
        <f>COUNTIFS('00 Encuesta'!$B$2:$B$511,"*f)*",'00 Encuesta'!$C$2:$C$511,"*c)*",'00 Encuesta'!$E$2:$E$511,"*b)*",'00 Encuesta'!$AJ$2:$AJ$511,"*d)*")</f>
        <v>0</v>
      </c>
      <c r="Z276" s="52" t="e">
        <f t="shared" si="359"/>
        <v>#DIV/0!</v>
      </c>
      <c r="AA276" s="3"/>
      <c r="AB276" s="62">
        <f t="shared" si="360"/>
        <v>7</v>
      </c>
      <c r="AC276" s="52">
        <f t="shared" si="361"/>
        <v>16.666666666666668</v>
      </c>
      <c r="AD276" s="3"/>
      <c r="AE276" s="3"/>
      <c r="AF276" s="9" t="str">
        <f t="shared" si="362"/>
        <v>d) Estoy la mayor parte del tiempo en la casa sin hacer nada</v>
      </c>
      <c r="AG276" s="72">
        <f t="shared" si="370"/>
        <v>18.181818181818183</v>
      </c>
      <c r="AH276" s="72">
        <f t="shared" si="371"/>
        <v>15</v>
      </c>
      <c r="AI276" s="73">
        <f t="shared" si="372"/>
        <v>16.666666666666664</v>
      </c>
      <c r="AJ276" s="73"/>
      <c r="AK276" s="76" t="e">
        <f t="shared" si="363"/>
        <v>#DIV/0!</v>
      </c>
      <c r="AL276" s="76" t="e">
        <f t="shared" si="364"/>
        <v>#DIV/0!</v>
      </c>
      <c r="AM276" s="76" t="e">
        <f t="shared" si="365"/>
        <v>#DIV/0!</v>
      </c>
      <c r="AN276" s="76"/>
      <c r="AO276" s="81" t="e">
        <f t="shared" si="366"/>
        <v>#DIV/0!</v>
      </c>
      <c r="AP276" s="81" t="e">
        <f t="shared" si="367"/>
        <v>#DIV/0!</v>
      </c>
      <c r="AQ276" s="81" t="e">
        <f t="shared" si="368"/>
        <v>#DIV/0!</v>
      </c>
      <c r="AR276" s="3"/>
      <c r="AS276" s="76">
        <f t="shared" si="369"/>
        <v>16.666666666666668</v>
      </c>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row>
    <row r="277" spans="1:75" x14ac:dyDescent="0.3">
      <c r="A277" s="8" t="s">
        <v>22</v>
      </c>
      <c r="B277" s="85" t="s">
        <v>203</v>
      </c>
      <c r="C277" s="7"/>
      <c r="D277" s="7"/>
      <c r="E277" s="7"/>
      <c r="F277" s="71"/>
      <c r="G277" s="51">
        <f t="shared" si="348"/>
        <v>3</v>
      </c>
      <c r="H277" s="52">
        <f t="shared" si="349"/>
        <v>7.1428571428571423</v>
      </c>
      <c r="I277" s="53">
        <f>COUNTIFS('00 Encuesta'!$B$2:$B$511,"*f)*",'00 Encuesta'!$C$2:$C$511,"*a)*",'00 Encuesta'!$E$2:$E$511,"*a)*",'00 Encuesta'!$AJ$2:$AJ$511,"*e)*")</f>
        <v>2</v>
      </c>
      <c r="J277" s="52">
        <f t="shared" si="350"/>
        <v>9.0909090909090917</v>
      </c>
      <c r="K277" s="53">
        <f>COUNTIFS('00 Encuesta'!$B$2:$B$511,"*f)*",'00 Encuesta'!$C$2:$C$511,"*a)*",'00 Encuesta'!$E$2:$E$511,"*b)*",'00 Encuesta'!$AJ$2:$AJ$511,"*e)*")</f>
        <v>1</v>
      </c>
      <c r="L277" s="52">
        <f t="shared" si="351"/>
        <v>5</v>
      </c>
      <c r="M277" s="23"/>
      <c r="N277" s="51">
        <f t="shared" si="352"/>
        <v>0</v>
      </c>
      <c r="O277" s="52" t="e">
        <f t="shared" si="353"/>
        <v>#DIV/0!</v>
      </c>
      <c r="P277" s="53">
        <f>COUNTIFS('00 Encuesta'!$B$2:$B$511,"*f)*",'00 Encuesta'!$C$2:$C$511,"*b)*",'00 Encuesta'!$E$2:$E$511,"*a)*",'00 Encuesta'!$AJ$2:$AJ$511,"*e)*")</f>
        <v>0</v>
      </c>
      <c r="Q277" s="52" t="e">
        <f t="shared" si="354"/>
        <v>#DIV/0!</v>
      </c>
      <c r="R277" s="53">
        <f>COUNTIFS('00 Encuesta'!$B$2:$B$511,"*f)*",'00 Encuesta'!$C$2:$C$511,"*b)*",'00 Encuesta'!$E$2:$E$511,"*b)*",'00 Encuesta'!$AJ$2:$AJ$511,"*e)*")</f>
        <v>0</v>
      </c>
      <c r="S277" s="52" t="e">
        <f t="shared" si="355"/>
        <v>#DIV/0!</v>
      </c>
      <c r="T277" s="3"/>
      <c r="U277" s="51">
        <f t="shared" si="356"/>
        <v>0</v>
      </c>
      <c r="V277" s="52" t="e">
        <f t="shared" si="357"/>
        <v>#DIV/0!</v>
      </c>
      <c r="W277" s="53">
        <f>COUNTIFS('00 Encuesta'!$B$2:$B$511,"*f)*",'00 Encuesta'!$C$2:$C$511,"*c)*",'00 Encuesta'!$E$2:$E$511,"*a)*",'00 Encuesta'!$AJ$2:$AJ$511,"*e)*")</f>
        <v>0</v>
      </c>
      <c r="X277" s="52" t="e">
        <f t="shared" si="358"/>
        <v>#DIV/0!</v>
      </c>
      <c r="Y277" s="53">
        <f>COUNTIFS('00 Encuesta'!$B$2:$B$511,"*f)*",'00 Encuesta'!$C$2:$C$511,"*c)*",'00 Encuesta'!$E$2:$E$511,"*b)*",'00 Encuesta'!$AJ$2:$AJ$511,"*e)*")</f>
        <v>0</v>
      </c>
      <c r="Z277" s="52" t="e">
        <f t="shared" si="359"/>
        <v>#DIV/0!</v>
      </c>
      <c r="AA277" s="3"/>
      <c r="AB277" s="62">
        <f t="shared" si="360"/>
        <v>3</v>
      </c>
      <c r="AC277" s="52">
        <f t="shared" si="361"/>
        <v>7.1428571428571432</v>
      </c>
      <c r="AD277" s="3"/>
      <c r="AE277" s="3"/>
      <c r="AF277" s="9" t="str">
        <f t="shared" si="362"/>
        <v>e) Suelo ir a algún parque</v>
      </c>
      <c r="AG277" s="72">
        <f t="shared" si="370"/>
        <v>9.0909090909090917</v>
      </c>
      <c r="AH277" s="72">
        <f t="shared" si="371"/>
        <v>5</v>
      </c>
      <c r="AI277" s="73">
        <f t="shared" si="372"/>
        <v>7.1428571428571423</v>
      </c>
      <c r="AJ277" s="73"/>
      <c r="AK277" s="76" t="e">
        <f t="shared" si="363"/>
        <v>#DIV/0!</v>
      </c>
      <c r="AL277" s="76" t="e">
        <f t="shared" si="364"/>
        <v>#DIV/0!</v>
      </c>
      <c r="AM277" s="76" t="e">
        <f t="shared" si="365"/>
        <v>#DIV/0!</v>
      </c>
      <c r="AN277" s="76"/>
      <c r="AO277" s="81" t="e">
        <f t="shared" si="366"/>
        <v>#DIV/0!</v>
      </c>
      <c r="AP277" s="81" t="e">
        <f t="shared" si="367"/>
        <v>#DIV/0!</v>
      </c>
      <c r="AQ277" s="81" t="e">
        <f t="shared" si="368"/>
        <v>#DIV/0!</v>
      </c>
      <c r="AR277" s="3"/>
      <c r="AS277" s="76">
        <f t="shared" si="369"/>
        <v>7.1428571428571432</v>
      </c>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row>
    <row r="278" spans="1:75" x14ac:dyDescent="0.3">
      <c r="A278" s="8" t="s">
        <v>45</v>
      </c>
      <c r="B278" s="85" t="s">
        <v>204</v>
      </c>
      <c r="C278" s="7"/>
      <c r="D278" s="7"/>
      <c r="E278" s="7"/>
      <c r="F278" s="71"/>
      <c r="G278" s="51">
        <f t="shared" si="348"/>
        <v>2</v>
      </c>
      <c r="H278" s="52">
        <f t="shared" si="349"/>
        <v>4.7619047619047619</v>
      </c>
      <c r="I278" s="53">
        <f>COUNTIFS('00 Encuesta'!$B$2:$B$511,"*f)*",'00 Encuesta'!$C$2:$C$511,"*a)*",'00 Encuesta'!$E$2:$E$511,"*a)*",'00 Encuesta'!$AJ$2:$AJ$511,"*f)*")</f>
        <v>0</v>
      </c>
      <c r="J278" s="52">
        <f t="shared" si="350"/>
        <v>0</v>
      </c>
      <c r="K278" s="53">
        <f>COUNTIFS('00 Encuesta'!$B$2:$B$511,"*f)*",'00 Encuesta'!$C$2:$C$511,"*a)*",'00 Encuesta'!$E$2:$E$511,"*b)*",'00 Encuesta'!$AJ$2:$AJ$511,"*f)*")</f>
        <v>2</v>
      </c>
      <c r="L278" s="52">
        <f t="shared" si="351"/>
        <v>10</v>
      </c>
      <c r="M278" s="23"/>
      <c r="N278" s="51">
        <f t="shared" si="352"/>
        <v>0</v>
      </c>
      <c r="O278" s="52" t="e">
        <f t="shared" si="353"/>
        <v>#DIV/0!</v>
      </c>
      <c r="P278" s="53">
        <f>COUNTIFS('00 Encuesta'!$B$2:$B$511,"*f)*",'00 Encuesta'!$C$2:$C$511,"*b)*",'00 Encuesta'!$E$2:$E$511,"*a)*",'00 Encuesta'!$AJ$2:$AJ$511,"*f)*")</f>
        <v>0</v>
      </c>
      <c r="Q278" s="52" t="e">
        <f t="shared" si="354"/>
        <v>#DIV/0!</v>
      </c>
      <c r="R278" s="53">
        <f>COUNTIFS('00 Encuesta'!$B$2:$B$511,"*f)*",'00 Encuesta'!$C$2:$C$511,"*b)*",'00 Encuesta'!$E$2:$E$511,"*b)*",'00 Encuesta'!$AJ$2:$AJ$511,"*f)*")</f>
        <v>0</v>
      </c>
      <c r="S278" s="52" t="e">
        <f t="shared" si="355"/>
        <v>#DIV/0!</v>
      </c>
      <c r="T278" s="3"/>
      <c r="U278" s="51">
        <f t="shared" si="356"/>
        <v>0</v>
      </c>
      <c r="V278" s="52" t="e">
        <f t="shared" si="357"/>
        <v>#DIV/0!</v>
      </c>
      <c r="W278" s="53">
        <f>COUNTIFS('00 Encuesta'!$B$2:$B$511,"*f)*",'00 Encuesta'!$C$2:$C$511,"*c)*",'00 Encuesta'!$E$2:$E$511,"*a)*",'00 Encuesta'!$AJ$2:$AJ$511,"*f)*")</f>
        <v>0</v>
      </c>
      <c r="X278" s="52" t="e">
        <f t="shared" si="358"/>
        <v>#DIV/0!</v>
      </c>
      <c r="Y278" s="53">
        <f>COUNTIFS('00 Encuesta'!$B$2:$B$511,"*f)*",'00 Encuesta'!$C$2:$C$511,"*c)*",'00 Encuesta'!$E$2:$E$511,"*b)*",'00 Encuesta'!$AJ$2:$AJ$511,"*f)*")</f>
        <v>0</v>
      </c>
      <c r="Z278" s="52" t="e">
        <f t="shared" si="359"/>
        <v>#DIV/0!</v>
      </c>
      <c r="AA278" s="3"/>
      <c r="AB278" s="62">
        <f t="shared" si="360"/>
        <v>2</v>
      </c>
      <c r="AC278" s="52">
        <f t="shared" si="361"/>
        <v>4.7619047619047619</v>
      </c>
      <c r="AD278" s="3"/>
      <c r="AE278" s="3"/>
      <c r="AF278" s="9" t="str">
        <f t="shared" si="362"/>
        <v>f) Toco un instrumento musical</v>
      </c>
      <c r="AG278" s="72">
        <f t="shared" si="370"/>
        <v>0</v>
      </c>
      <c r="AH278" s="72">
        <f t="shared" si="371"/>
        <v>10</v>
      </c>
      <c r="AI278" s="73">
        <f t="shared" si="372"/>
        <v>4.7619047619047619</v>
      </c>
      <c r="AJ278" s="73"/>
      <c r="AK278" s="76" t="e">
        <f t="shared" si="363"/>
        <v>#DIV/0!</v>
      </c>
      <c r="AL278" s="76" t="e">
        <f t="shared" si="364"/>
        <v>#DIV/0!</v>
      </c>
      <c r="AM278" s="76" t="e">
        <f t="shared" si="365"/>
        <v>#DIV/0!</v>
      </c>
      <c r="AN278" s="76"/>
      <c r="AO278" s="81" t="e">
        <f t="shared" si="366"/>
        <v>#DIV/0!</v>
      </c>
      <c r="AP278" s="81" t="e">
        <f t="shared" si="367"/>
        <v>#DIV/0!</v>
      </c>
      <c r="AQ278" s="81" t="e">
        <f t="shared" si="368"/>
        <v>#DIV/0!</v>
      </c>
      <c r="AR278" s="3"/>
      <c r="AS278" s="76">
        <f t="shared" si="369"/>
        <v>4.7619047619047619</v>
      </c>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row>
    <row r="279" spans="1:75" x14ac:dyDescent="0.3">
      <c r="A279" s="1" t="s">
        <v>61</v>
      </c>
      <c r="B279" s="2" t="s">
        <v>205</v>
      </c>
      <c r="C279" s="3"/>
      <c r="D279" s="7"/>
      <c r="E279" s="7"/>
      <c r="F279" s="71"/>
      <c r="G279" s="51">
        <f t="shared" si="348"/>
        <v>1</v>
      </c>
      <c r="H279" s="52">
        <f t="shared" si="349"/>
        <v>2.3809523809523809</v>
      </c>
      <c r="I279" s="53">
        <f>COUNTIFS('00 Encuesta'!$B$2:$B$511,"*f)*",'00 Encuesta'!$C$2:$C$511,"*a)*",'00 Encuesta'!$E$2:$E$511,"*a)*",'00 Encuesta'!$AJ$2:$AJ$511,"*g)*")</f>
        <v>0</v>
      </c>
      <c r="J279" s="52">
        <f t="shared" si="350"/>
        <v>0</v>
      </c>
      <c r="K279" s="53">
        <f>COUNTIFS('00 Encuesta'!$B$2:$B$511,"*f)*",'00 Encuesta'!$C$2:$C$511,"*a)*",'00 Encuesta'!$E$2:$E$511,"*b)*",'00 Encuesta'!$AJ$2:$AJ$511,"*g)*")</f>
        <v>1</v>
      </c>
      <c r="L279" s="52">
        <f t="shared" si="351"/>
        <v>5</v>
      </c>
      <c r="M279" s="23"/>
      <c r="N279" s="51">
        <f t="shared" si="352"/>
        <v>0</v>
      </c>
      <c r="O279" s="52" t="e">
        <f t="shared" si="353"/>
        <v>#DIV/0!</v>
      </c>
      <c r="P279" s="53">
        <f>COUNTIFS('00 Encuesta'!$B$2:$B$511,"*f)*",'00 Encuesta'!$C$2:$C$511,"*b)*",'00 Encuesta'!$E$2:$E$511,"*a)*",'00 Encuesta'!$AJ$2:$AJ$511,"*g)*")</f>
        <v>0</v>
      </c>
      <c r="Q279" s="52" t="e">
        <f t="shared" si="354"/>
        <v>#DIV/0!</v>
      </c>
      <c r="R279" s="53">
        <f>COUNTIFS('00 Encuesta'!$B$2:$B$511,"*f)*",'00 Encuesta'!$C$2:$C$511,"*b)*",'00 Encuesta'!$E$2:$E$511,"*b)*",'00 Encuesta'!$AJ$2:$AJ$511,"*g)*")</f>
        <v>0</v>
      </c>
      <c r="S279" s="52" t="e">
        <f t="shared" si="355"/>
        <v>#DIV/0!</v>
      </c>
      <c r="T279" s="3"/>
      <c r="U279" s="51">
        <f t="shared" si="356"/>
        <v>0</v>
      </c>
      <c r="V279" s="52" t="e">
        <f t="shared" si="357"/>
        <v>#DIV/0!</v>
      </c>
      <c r="W279" s="53">
        <f>COUNTIFS('00 Encuesta'!$B$2:$B$511,"*f)*",'00 Encuesta'!$C$2:$C$511,"*c)*",'00 Encuesta'!$E$2:$E$511,"*a)*",'00 Encuesta'!$AJ$2:$AJ$511,"*g)*")</f>
        <v>0</v>
      </c>
      <c r="X279" s="52" t="e">
        <f t="shared" si="358"/>
        <v>#DIV/0!</v>
      </c>
      <c r="Y279" s="53">
        <f>COUNTIFS('00 Encuesta'!$B$2:$B$511,"*f)*",'00 Encuesta'!$C$2:$C$511,"*c)*",'00 Encuesta'!$E$2:$E$511,"*b)*",'00 Encuesta'!$AJ$2:$AJ$511,"*g)*")</f>
        <v>0</v>
      </c>
      <c r="Z279" s="52" t="e">
        <f t="shared" si="359"/>
        <v>#DIV/0!</v>
      </c>
      <c r="AA279" s="3"/>
      <c r="AB279" s="62">
        <f t="shared" si="360"/>
        <v>1</v>
      </c>
      <c r="AC279" s="52">
        <f t="shared" si="361"/>
        <v>2.3809523809523809</v>
      </c>
      <c r="AD279" s="3"/>
      <c r="AE279" s="3"/>
      <c r="AF279" s="9" t="str">
        <f t="shared" si="362"/>
        <v>g) Suelo ir a discotecas o fiestas</v>
      </c>
      <c r="AG279" s="72">
        <f t="shared" si="370"/>
        <v>0</v>
      </c>
      <c r="AH279" s="72">
        <f t="shared" si="371"/>
        <v>5</v>
      </c>
      <c r="AI279" s="73">
        <f t="shared" si="372"/>
        <v>2.3809523809523809</v>
      </c>
      <c r="AJ279" s="73"/>
      <c r="AK279" s="76" t="e">
        <f t="shared" si="363"/>
        <v>#DIV/0!</v>
      </c>
      <c r="AL279" s="76" t="e">
        <f t="shared" si="364"/>
        <v>#DIV/0!</v>
      </c>
      <c r="AM279" s="76" t="e">
        <f t="shared" si="365"/>
        <v>#DIV/0!</v>
      </c>
      <c r="AN279" s="76"/>
      <c r="AO279" s="81" t="e">
        <f t="shared" si="366"/>
        <v>#DIV/0!</v>
      </c>
      <c r="AP279" s="81" t="e">
        <f t="shared" si="367"/>
        <v>#DIV/0!</v>
      </c>
      <c r="AQ279" s="81" t="e">
        <f t="shared" si="368"/>
        <v>#DIV/0!</v>
      </c>
      <c r="AR279" s="3"/>
      <c r="AS279" s="76">
        <f t="shared" si="369"/>
        <v>2.3809523809523809</v>
      </c>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row>
    <row r="280" spans="1:75" x14ac:dyDescent="0.3">
      <c r="A280" s="1" t="s">
        <v>63</v>
      </c>
      <c r="B280" s="2" t="s">
        <v>206</v>
      </c>
      <c r="C280" s="3"/>
      <c r="D280" s="7"/>
      <c r="E280" s="7"/>
      <c r="F280" s="71"/>
      <c r="G280" s="51">
        <f t="shared" si="348"/>
        <v>9</v>
      </c>
      <c r="H280" s="52">
        <f t="shared" si="349"/>
        <v>21.428571428571427</v>
      </c>
      <c r="I280" s="53">
        <f>COUNTIFS('00 Encuesta'!$B$2:$B$511,"*f)*",'00 Encuesta'!$C$2:$C$511,"*a)*",'00 Encuesta'!$E$2:$E$511,"*a)*",'00 Encuesta'!$AJ$2:$AJ$511,"*h)*")</f>
        <v>4</v>
      </c>
      <c r="J280" s="52">
        <f t="shared" si="350"/>
        <v>18.181818181818183</v>
      </c>
      <c r="K280" s="53">
        <f>COUNTIFS('00 Encuesta'!$B$2:$B$511,"*f)*",'00 Encuesta'!$C$2:$C$511,"*a)*",'00 Encuesta'!$E$2:$E$511,"*b)*",'00 Encuesta'!$AJ$2:$AJ$511,"*h)*")</f>
        <v>5</v>
      </c>
      <c r="L280" s="52">
        <f t="shared" si="351"/>
        <v>25</v>
      </c>
      <c r="M280" s="23"/>
      <c r="N280" s="51">
        <f t="shared" si="352"/>
        <v>0</v>
      </c>
      <c r="O280" s="52" t="e">
        <f t="shared" si="353"/>
        <v>#DIV/0!</v>
      </c>
      <c r="P280" s="53">
        <f>COUNTIFS('00 Encuesta'!$B$2:$B$511,"*f)*",'00 Encuesta'!$C$2:$C$511,"*b)*",'00 Encuesta'!$E$2:$E$511,"*a)*",'00 Encuesta'!$AJ$2:$AJ$511,"*h)*")</f>
        <v>0</v>
      </c>
      <c r="Q280" s="52" t="e">
        <f t="shared" si="354"/>
        <v>#DIV/0!</v>
      </c>
      <c r="R280" s="53">
        <f>COUNTIFS('00 Encuesta'!$B$2:$B$511,"*f)*",'00 Encuesta'!$C$2:$C$511,"*b)*",'00 Encuesta'!$E$2:$E$511,"*b)*",'00 Encuesta'!$AJ$2:$AJ$511,"*h)*")</f>
        <v>0</v>
      </c>
      <c r="S280" s="52" t="e">
        <f t="shared" si="355"/>
        <v>#DIV/0!</v>
      </c>
      <c r="T280" s="3"/>
      <c r="U280" s="51">
        <f t="shared" si="356"/>
        <v>0</v>
      </c>
      <c r="V280" s="52" t="e">
        <f t="shared" si="357"/>
        <v>#DIV/0!</v>
      </c>
      <c r="W280" s="53">
        <f>COUNTIFS('00 Encuesta'!$B$2:$B$511,"*f)*",'00 Encuesta'!$C$2:$C$511,"*c)*",'00 Encuesta'!$E$2:$E$511,"*a)*",'00 Encuesta'!$AJ$2:$AJ$511,"*h)*")</f>
        <v>0</v>
      </c>
      <c r="X280" s="52" t="e">
        <f t="shared" si="358"/>
        <v>#DIV/0!</v>
      </c>
      <c r="Y280" s="53">
        <f>COUNTIFS('00 Encuesta'!$B$2:$B$511,"*f)*",'00 Encuesta'!$C$2:$C$511,"*c)*",'00 Encuesta'!$E$2:$E$511,"*b)*",'00 Encuesta'!$AJ$2:$AJ$511,"*h)*")</f>
        <v>0</v>
      </c>
      <c r="Z280" s="52" t="e">
        <f t="shared" si="359"/>
        <v>#DIV/0!</v>
      </c>
      <c r="AA280" s="3"/>
      <c r="AB280" s="62">
        <f t="shared" si="360"/>
        <v>9</v>
      </c>
      <c r="AC280" s="52">
        <f t="shared" si="361"/>
        <v>21.428571428571427</v>
      </c>
      <c r="AD280" s="3"/>
      <c r="AE280" s="3"/>
      <c r="AF280" s="9" t="str">
        <f t="shared" si="362"/>
        <v>h) Suelo ir al cine</v>
      </c>
      <c r="AG280" s="72">
        <f t="shared" si="370"/>
        <v>18.181818181818183</v>
      </c>
      <c r="AH280" s="72">
        <f t="shared" si="371"/>
        <v>25</v>
      </c>
      <c r="AI280" s="73">
        <f t="shared" si="372"/>
        <v>21.428571428571427</v>
      </c>
      <c r="AJ280" s="73"/>
      <c r="AK280" s="76" t="e">
        <f t="shared" si="363"/>
        <v>#DIV/0!</v>
      </c>
      <c r="AL280" s="76" t="e">
        <f t="shared" si="364"/>
        <v>#DIV/0!</v>
      </c>
      <c r="AM280" s="76" t="e">
        <f t="shared" si="365"/>
        <v>#DIV/0!</v>
      </c>
      <c r="AN280" s="76"/>
      <c r="AO280" s="81" t="e">
        <f t="shared" si="366"/>
        <v>#DIV/0!</v>
      </c>
      <c r="AP280" s="81" t="e">
        <f t="shared" si="367"/>
        <v>#DIV/0!</v>
      </c>
      <c r="AQ280" s="81" t="e">
        <f t="shared" si="368"/>
        <v>#DIV/0!</v>
      </c>
      <c r="AR280" s="3"/>
      <c r="AS280" s="76">
        <f t="shared" si="369"/>
        <v>21.428571428571427</v>
      </c>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row>
    <row r="281" spans="1:75" x14ac:dyDescent="0.3">
      <c r="A281" s="8" t="s">
        <v>65</v>
      </c>
      <c r="B281" s="9" t="s">
        <v>207</v>
      </c>
      <c r="C281" s="7"/>
      <c r="D281" s="7"/>
      <c r="E281" s="7"/>
      <c r="F281" s="71"/>
      <c r="G281" s="51">
        <f t="shared" si="348"/>
        <v>5</v>
      </c>
      <c r="H281" s="52">
        <f t="shared" si="349"/>
        <v>11.904761904761903</v>
      </c>
      <c r="I281" s="53">
        <f>COUNTIFS('00 Encuesta'!$B$2:$B$511,"*f)*",'00 Encuesta'!$C$2:$C$511,"*a)*",'00 Encuesta'!$E$2:$E$511,"*a)*",'00 Encuesta'!$AJ$2:$AJ$511,"*i)*")</f>
        <v>0</v>
      </c>
      <c r="J281" s="52">
        <f t="shared" si="350"/>
        <v>0</v>
      </c>
      <c r="K281" s="53">
        <f>COUNTIFS('00 Encuesta'!$B$2:$B$511,"*f)*",'00 Encuesta'!$C$2:$C$511,"*a)*",'00 Encuesta'!$E$2:$E$511,"*b)*",'00 Encuesta'!$AJ$2:$AJ$511,"*i)*")</f>
        <v>5</v>
      </c>
      <c r="L281" s="52">
        <f t="shared" si="351"/>
        <v>25</v>
      </c>
      <c r="M281" s="23"/>
      <c r="N281" s="51">
        <f t="shared" si="352"/>
        <v>0</v>
      </c>
      <c r="O281" s="52" t="e">
        <f t="shared" si="353"/>
        <v>#DIV/0!</v>
      </c>
      <c r="P281" s="53">
        <f>COUNTIFS('00 Encuesta'!$B$2:$B$511,"*f)*",'00 Encuesta'!$C$2:$C$511,"*b)*",'00 Encuesta'!$E$2:$E$511,"*a)*",'00 Encuesta'!$AJ$2:$AJ$511,"*i)*")</f>
        <v>0</v>
      </c>
      <c r="Q281" s="52" t="e">
        <f t="shared" si="354"/>
        <v>#DIV/0!</v>
      </c>
      <c r="R281" s="53">
        <f>COUNTIFS('00 Encuesta'!$B$2:$B$511,"*f)*",'00 Encuesta'!$C$2:$C$511,"*b)*",'00 Encuesta'!$E$2:$E$511,"*b)*",'00 Encuesta'!$AJ$2:$AJ$511,"*i)*")</f>
        <v>0</v>
      </c>
      <c r="S281" s="52" t="e">
        <f t="shared" si="355"/>
        <v>#DIV/0!</v>
      </c>
      <c r="T281" s="3"/>
      <c r="U281" s="51">
        <f t="shared" si="356"/>
        <v>0</v>
      </c>
      <c r="V281" s="52" t="e">
        <f t="shared" si="357"/>
        <v>#DIV/0!</v>
      </c>
      <c r="W281" s="53">
        <f>COUNTIFS('00 Encuesta'!$B$2:$B$511,"*f)*",'00 Encuesta'!$C$2:$C$511,"*c)*",'00 Encuesta'!$E$2:$E$511,"*a)*",'00 Encuesta'!$AJ$2:$AJ$511,"*i)*")</f>
        <v>0</v>
      </c>
      <c r="X281" s="52" t="e">
        <f t="shared" si="358"/>
        <v>#DIV/0!</v>
      </c>
      <c r="Y281" s="53">
        <f>COUNTIFS('00 Encuesta'!$B$2:$B$511,"*f)*",'00 Encuesta'!$C$2:$C$511,"*c)*",'00 Encuesta'!$E$2:$E$511,"*b)*",'00 Encuesta'!$AJ$2:$AJ$511,"*i)*")</f>
        <v>0</v>
      </c>
      <c r="Z281" s="52" t="e">
        <f t="shared" si="359"/>
        <v>#DIV/0!</v>
      </c>
      <c r="AA281" s="3"/>
      <c r="AB281" s="62">
        <f t="shared" si="360"/>
        <v>5</v>
      </c>
      <c r="AC281" s="52">
        <f t="shared" si="361"/>
        <v>11.904761904761905</v>
      </c>
      <c r="AD281" s="3"/>
      <c r="AE281" s="3"/>
      <c r="AF281" s="9" t="str">
        <f t="shared" si="362"/>
        <v>i) Leo revistas o libros</v>
      </c>
      <c r="AG281" s="72">
        <f t="shared" si="370"/>
        <v>0</v>
      </c>
      <c r="AH281" s="72">
        <f t="shared" si="371"/>
        <v>25</v>
      </c>
      <c r="AI281" s="73">
        <f t="shared" si="372"/>
        <v>11.904761904761903</v>
      </c>
      <c r="AJ281" s="73"/>
      <c r="AK281" s="76" t="e">
        <f t="shared" si="363"/>
        <v>#DIV/0!</v>
      </c>
      <c r="AL281" s="76" t="e">
        <f t="shared" si="364"/>
        <v>#DIV/0!</v>
      </c>
      <c r="AM281" s="76" t="e">
        <f t="shared" si="365"/>
        <v>#DIV/0!</v>
      </c>
      <c r="AN281" s="76"/>
      <c r="AO281" s="81" t="e">
        <f t="shared" si="366"/>
        <v>#DIV/0!</v>
      </c>
      <c r="AP281" s="81" t="e">
        <f t="shared" si="367"/>
        <v>#DIV/0!</v>
      </c>
      <c r="AQ281" s="81" t="e">
        <f t="shared" si="368"/>
        <v>#DIV/0!</v>
      </c>
      <c r="AR281" s="3"/>
      <c r="AS281" s="76">
        <f t="shared" si="369"/>
        <v>11.904761904761905</v>
      </c>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row>
    <row r="282" spans="1:75" x14ac:dyDescent="0.3">
      <c r="A282" s="8" t="s">
        <v>67</v>
      </c>
      <c r="B282" s="9" t="s">
        <v>208</v>
      </c>
      <c r="C282" s="7"/>
      <c r="D282" s="7"/>
      <c r="E282" s="7"/>
      <c r="F282" s="71"/>
      <c r="G282" s="51">
        <f t="shared" si="348"/>
        <v>2</v>
      </c>
      <c r="H282" s="52">
        <f t="shared" si="349"/>
        <v>4.7619047619047619</v>
      </c>
      <c r="I282" s="53">
        <f>COUNTIFS('00 Encuesta'!$B$2:$B$511,"*f)*",'00 Encuesta'!$C$2:$C$511,"*a)*",'00 Encuesta'!$E$2:$E$511,"*a)*",'00 Encuesta'!$AJ$2:$AJ$511,"*j)*")</f>
        <v>1</v>
      </c>
      <c r="J282" s="52">
        <f t="shared" si="350"/>
        <v>4.5454545454545459</v>
      </c>
      <c r="K282" s="53">
        <f>COUNTIFS('00 Encuesta'!$B$2:$B$511,"*f)*",'00 Encuesta'!$C$2:$C$511,"*a)*",'00 Encuesta'!$E$2:$E$511,"*b)*",'00 Encuesta'!$AJ$2:$AJ$511,"*j)*")</f>
        <v>1</v>
      </c>
      <c r="L282" s="52">
        <f t="shared" si="351"/>
        <v>5</v>
      </c>
      <c r="M282" s="23"/>
      <c r="N282" s="51">
        <f t="shared" si="352"/>
        <v>0</v>
      </c>
      <c r="O282" s="52" t="e">
        <f t="shared" si="353"/>
        <v>#DIV/0!</v>
      </c>
      <c r="P282" s="53">
        <f>COUNTIFS('00 Encuesta'!$B$2:$B$511,"*f)*",'00 Encuesta'!$C$2:$C$511,"*b)*",'00 Encuesta'!$E$2:$E$511,"*a)*",'00 Encuesta'!$AJ$2:$AJ$511,"*j)*")</f>
        <v>0</v>
      </c>
      <c r="Q282" s="52" t="e">
        <f t="shared" si="354"/>
        <v>#DIV/0!</v>
      </c>
      <c r="R282" s="53">
        <f>COUNTIFS('00 Encuesta'!$B$2:$B$511,"*f)*",'00 Encuesta'!$C$2:$C$511,"*b)*",'00 Encuesta'!$E$2:$E$511,"*b)*",'00 Encuesta'!$AJ$2:$AJ$511,"*j)*")</f>
        <v>0</v>
      </c>
      <c r="S282" s="52" t="e">
        <f t="shared" si="355"/>
        <v>#DIV/0!</v>
      </c>
      <c r="T282" s="3"/>
      <c r="U282" s="51">
        <f t="shared" si="356"/>
        <v>0</v>
      </c>
      <c r="V282" s="52" t="e">
        <f t="shared" si="357"/>
        <v>#DIV/0!</v>
      </c>
      <c r="W282" s="53">
        <f>COUNTIFS('00 Encuesta'!$B$2:$B$511,"*f)*",'00 Encuesta'!$C$2:$C$511,"*c)*",'00 Encuesta'!$E$2:$E$511,"*a)*",'00 Encuesta'!$AJ$2:$AJ$511,"*j)*")</f>
        <v>0</v>
      </c>
      <c r="X282" s="52" t="e">
        <f t="shared" si="358"/>
        <v>#DIV/0!</v>
      </c>
      <c r="Y282" s="53">
        <f>COUNTIFS('00 Encuesta'!$B$2:$B$511,"*f)*",'00 Encuesta'!$C$2:$C$511,"*c)*",'00 Encuesta'!$E$2:$E$511,"*b)*",'00 Encuesta'!$AJ$2:$AJ$511,"*j)*")</f>
        <v>0</v>
      </c>
      <c r="Z282" s="52" t="e">
        <f t="shared" si="359"/>
        <v>#DIV/0!</v>
      </c>
      <c r="AA282" s="3"/>
      <c r="AB282" s="62">
        <f t="shared" si="360"/>
        <v>2</v>
      </c>
      <c r="AC282" s="52">
        <f t="shared" si="361"/>
        <v>4.7619047619047619</v>
      </c>
      <c r="AD282" s="3"/>
      <c r="AE282" s="3"/>
      <c r="AF282" s="9" t="str">
        <f t="shared" si="362"/>
        <v>j) Estoy en algún grupo juvenil</v>
      </c>
      <c r="AG282" s="72">
        <f t="shared" si="370"/>
        <v>4.5454545454545459</v>
      </c>
      <c r="AH282" s="72">
        <f t="shared" si="371"/>
        <v>5</v>
      </c>
      <c r="AI282" s="73">
        <f t="shared" si="372"/>
        <v>4.7619047619047619</v>
      </c>
      <c r="AJ282" s="73"/>
      <c r="AK282" s="76" t="e">
        <f t="shared" si="363"/>
        <v>#DIV/0!</v>
      </c>
      <c r="AL282" s="76" t="e">
        <f t="shared" si="364"/>
        <v>#DIV/0!</v>
      </c>
      <c r="AM282" s="76" t="e">
        <f t="shared" si="365"/>
        <v>#DIV/0!</v>
      </c>
      <c r="AN282" s="76"/>
      <c r="AO282" s="81" t="e">
        <f t="shared" si="366"/>
        <v>#DIV/0!</v>
      </c>
      <c r="AP282" s="81" t="e">
        <f t="shared" si="367"/>
        <v>#DIV/0!</v>
      </c>
      <c r="AQ282" s="81" t="e">
        <f t="shared" si="368"/>
        <v>#DIV/0!</v>
      </c>
      <c r="AR282" s="3"/>
      <c r="AS282" s="76">
        <f t="shared" si="369"/>
        <v>4.7619047619047619</v>
      </c>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row>
    <row r="283" spans="1:75" x14ac:dyDescent="0.3">
      <c r="A283" s="8" t="s">
        <v>69</v>
      </c>
      <c r="B283" s="9" t="s">
        <v>209</v>
      </c>
      <c r="C283" s="7"/>
      <c r="D283" s="7"/>
      <c r="E283" s="7"/>
      <c r="F283" s="71"/>
      <c r="G283" s="51">
        <f t="shared" si="348"/>
        <v>7</v>
      </c>
      <c r="H283" s="52">
        <f t="shared" si="349"/>
        <v>16.666666666666664</v>
      </c>
      <c r="I283" s="53">
        <f>COUNTIFS('00 Encuesta'!$B$2:$B$511,"*f)*",'00 Encuesta'!$C$2:$C$511,"*a)*",'00 Encuesta'!$E$2:$E$511,"*a)*",'00 Encuesta'!$AJ$2:$AJ$511,"*k)*")</f>
        <v>4</v>
      </c>
      <c r="J283" s="52">
        <f t="shared" si="350"/>
        <v>18.181818181818183</v>
      </c>
      <c r="K283" s="53">
        <f>COUNTIFS('00 Encuesta'!$B$2:$B$511,"*f)*",'00 Encuesta'!$C$2:$C$511,"*a)*",'00 Encuesta'!$E$2:$E$511,"*b)*",'00 Encuesta'!$AJ$2:$AJ$511,"*k)*")</f>
        <v>3</v>
      </c>
      <c r="L283" s="52">
        <f t="shared" si="351"/>
        <v>15</v>
      </c>
      <c r="M283" s="23"/>
      <c r="N283" s="51">
        <f t="shared" si="352"/>
        <v>0</v>
      </c>
      <c r="O283" s="52" t="e">
        <f t="shared" si="353"/>
        <v>#DIV/0!</v>
      </c>
      <c r="P283" s="53">
        <f>COUNTIFS('00 Encuesta'!$B$2:$B$511,"*f)*",'00 Encuesta'!$C$2:$C$511,"*b)*",'00 Encuesta'!$E$2:$E$511,"*a)*",'00 Encuesta'!$AJ$2:$AJ$511,"*k)*")</f>
        <v>0</v>
      </c>
      <c r="Q283" s="52" t="e">
        <f t="shared" si="354"/>
        <v>#DIV/0!</v>
      </c>
      <c r="R283" s="53">
        <f>COUNTIFS('00 Encuesta'!$B$2:$B$511,"*f)*",'00 Encuesta'!$C$2:$C$511,"*b)*",'00 Encuesta'!$E$2:$E$511,"*b)*",'00 Encuesta'!$AJ$2:$AJ$511,"*k)*")</f>
        <v>0</v>
      </c>
      <c r="S283" s="52" t="e">
        <f t="shared" si="355"/>
        <v>#DIV/0!</v>
      </c>
      <c r="T283" s="3"/>
      <c r="U283" s="51">
        <f t="shared" si="356"/>
        <v>0</v>
      </c>
      <c r="V283" s="52" t="e">
        <f t="shared" si="357"/>
        <v>#DIV/0!</v>
      </c>
      <c r="W283" s="53">
        <f>COUNTIFS('00 Encuesta'!$B$2:$B$511,"*f)*",'00 Encuesta'!$C$2:$C$511,"*c)*",'00 Encuesta'!$E$2:$E$511,"*a)*",'00 Encuesta'!$AJ$2:$AJ$511,"*k)*")</f>
        <v>0</v>
      </c>
      <c r="X283" s="52" t="e">
        <f t="shared" si="358"/>
        <v>#DIV/0!</v>
      </c>
      <c r="Y283" s="53">
        <f>COUNTIFS('00 Encuesta'!$B$2:$B$511,"*f)*",'00 Encuesta'!$C$2:$C$511,"*c)*",'00 Encuesta'!$E$2:$E$511,"*b)*",'00 Encuesta'!$AJ$2:$AJ$511,"*k)*")</f>
        <v>0</v>
      </c>
      <c r="Z283" s="52" t="e">
        <f t="shared" si="359"/>
        <v>#DIV/0!</v>
      </c>
      <c r="AA283" s="3"/>
      <c r="AB283" s="62">
        <f t="shared" si="360"/>
        <v>7</v>
      </c>
      <c r="AC283" s="52">
        <f t="shared" si="361"/>
        <v>16.666666666666668</v>
      </c>
      <c r="AD283" s="3"/>
      <c r="AE283" s="3"/>
      <c r="AF283" s="9" t="str">
        <f t="shared" si="362"/>
        <v>k) Practico algún deporte</v>
      </c>
      <c r="AG283" s="72">
        <f t="shared" si="370"/>
        <v>18.181818181818183</v>
      </c>
      <c r="AH283" s="72">
        <f t="shared" si="371"/>
        <v>15</v>
      </c>
      <c r="AI283" s="73">
        <f t="shared" si="372"/>
        <v>16.666666666666664</v>
      </c>
      <c r="AJ283" s="73"/>
      <c r="AK283" s="76" t="e">
        <f t="shared" si="363"/>
        <v>#DIV/0!</v>
      </c>
      <c r="AL283" s="76" t="e">
        <f t="shared" si="364"/>
        <v>#DIV/0!</v>
      </c>
      <c r="AM283" s="76" t="e">
        <f t="shared" si="365"/>
        <v>#DIV/0!</v>
      </c>
      <c r="AN283" s="76"/>
      <c r="AO283" s="81" t="e">
        <f t="shared" si="366"/>
        <v>#DIV/0!</v>
      </c>
      <c r="AP283" s="81" t="e">
        <f t="shared" si="367"/>
        <v>#DIV/0!</v>
      </c>
      <c r="AQ283" s="81" t="e">
        <f t="shared" si="368"/>
        <v>#DIV/0!</v>
      </c>
      <c r="AR283" s="3"/>
      <c r="AS283" s="76">
        <f t="shared" si="369"/>
        <v>16.666666666666668</v>
      </c>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row>
    <row r="284" spans="1:75" x14ac:dyDescent="0.3">
      <c r="A284" s="8" t="s">
        <v>124</v>
      </c>
      <c r="B284" s="9" t="s">
        <v>210</v>
      </c>
      <c r="C284" s="7"/>
      <c r="D284" s="7"/>
      <c r="E284" s="7"/>
      <c r="F284" s="71"/>
      <c r="G284" s="51">
        <f t="shared" si="348"/>
        <v>10</v>
      </c>
      <c r="H284" s="52">
        <f t="shared" si="349"/>
        <v>23.809523809523807</v>
      </c>
      <c r="I284" s="53">
        <f>COUNTIFS('00 Encuesta'!$B$2:$B$511,"*f)*",'00 Encuesta'!$C$2:$C$511,"*a)*",'00 Encuesta'!$E$2:$E$511,"*a)*",'00 Encuesta'!$AJ$2:$AJ$511,"*l)*")</f>
        <v>6</v>
      </c>
      <c r="J284" s="52">
        <f t="shared" si="350"/>
        <v>27.27272727272727</v>
      </c>
      <c r="K284" s="53">
        <f>COUNTIFS('00 Encuesta'!$B$2:$B$511,"*f)*",'00 Encuesta'!$C$2:$C$511,"*a)*",'00 Encuesta'!$E$2:$E$511,"*b)*",'00 Encuesta'!$AJ$2:$AJ$511,"*l)*")</f>
        <v>4</v>
      </c>
      <c r="L284" s="52">
        <f t="shared" si="351"/>
        <v>20</v>
      </c>
      <c r="M284" s="23"/>
      <c r="N284" s="51">
        <f t="shared" si="352"/>
        <v>0</v>
      </c>
      <c r="O284" s="52" t="e">
        <f t="shared" si="353"/>
        <v>#DIV/0!</v>
      </c>
      <c r="P284" s="53">
        <f>COUNTIFS('00 Encuesta'!$B$2:$B$511,"*f)*",'00 Encuesta'!$C$2:$C$511,"*b)*",'00 Encuesta'!$E$2:$E$511,"*a)*",'00 Encuesta'!$AJ$2:$AJ$511,"*l)*")</f>
        <v>0</v>
      </c>
      <c r="Q284" s="52" t="e">
        <f t="shared" si="354"/>
        <v>#DIV/0!</v>
      </c>
      <c r="R284" s="53">
        <f>COUNTIFS('00 Encuesta'!$B$2:$B$511,"*f)*",'00 Encuesta'!$C$2:$C$511,"*b)*",'00 Encuesta'!$E$2:$E$511,"*b)*",'00 Encuesta'!$AJ$2:$AJ$511,"*l)*")</f>
        <v>0</v>
      </c>
      <c r="S284" s="52" t="e">
        <f t="shared" si="355"/>
        <v>#DIV/0!</v>
      </c>
      <c r="T284" s="3"/>
      <c r="U284" s="51">
        <f t="shared" si="356"/>
        <v>0</v>
      </c>
      <c r="V284" s="52" t="e">
        <f t="shared" si="357"/>
        <v>#DIV/0!</v>
      </c>
      <c r="W284" s="53">
        <f>COUNTIFS('00 Encuesta'!$B$2:$B$511,"*f)*",'00 Encuesta'!$C$2:$C$511,"*c)*",'00 Encuesta'!$E$2:$E$511,"*a)*",'00 Encuesta'!$AJ$2:$AJ$511,"*l)*")</f>
        <v>0</v>
      </c>
      <c r="X284" s="52" t="e">
        <f t="shared" si="358"/>
        <v>#DIV/0!</v>
      </c>
      <c r="Y284" s="53">
        <f>COUNTIFS('00 Encuesta'!$B$2:$B$511,"*f)*",'00 Encuesta'!$C$2:$C$511,"*c)*",'00 Encuesta'!$E$2:$E$511,"*b)*",'00 Encuesta'!$AJ$2:$AJ$511,"*l)*")</f>
        <v>0</v>
      </c>
      <c r="Z284" s="52" t="e">
        <f t="shared" si="359"/>
        <v>#DIV/0!</v>
      </c>
      <c r="AA284" s="3"/>
      <c r="AB284" s="62">
        <f t="shared" si="360"/>
        <v>10</v>
      </c>
      <c r="AC284" s="52">
        <f t="shared" si="361"/>
        <v>23.80952380952381</v>
      </c>
      <c r="AD284" s="3"/>
      <c r="AE284" s="3"/>
      <c r="AF284" s="9" t="str">
        <f t="shared" si="362"/>
        <v>l) Escuho música y/o veo videos musicales</v>
      </c>
      <c r="AG284" s="72">
        <f t="shared" si="370"/>
        <v>27.27272727272727</v>
      </c>
      <c r="AH284" s="72">
        <f t="shared" si="371"/>
        <v>20</v>
      </c>
      <c r="AI284" s="73">
        <f t="shared" si="372"/>
        <v>23.809523809523807</v>
      </c>
      <c r="AJ284" s="73"/>
      <c r="AK284" s="76" t="e">
        <f t="shared" si="363"/>
        <v>#DIV/0!</v>
      </c>
      <c r="AL284" s="76" t="e">
        <f t="shared" si="364"/>
        <v>#DIV/0!</v>
      </c>
      <c r="AM284" s="76" t="e">
        <f t="shared" si="365"/>
        <v>#DIV/0!</v>
      </c>
      <c r="AN284" s="76"/>
      <c r="AO284" s="81" t="e">
        <f t="shared" si="366"/>
        <v>#DIV/0!</v>
      </c>
      <c r="AP284" s="81" t="e">
        <f t="shared" si="367"/>
        <v>#DIV/0!</v>
      </c>
      <c r="AQ284" s="81" t="e">
        <f t="shared" si="368"/>
        <v>#DIV/0!</v>
      </c>
      <c r="AR284" s="3"/>
      <c r="AS284" s="76">
        <f t="shared" si="369"/>
        <v>23.80952380952381</v>
      </c>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row>
    <row r="285" spans="1:75" x14ac:dyDescent="0.3">
      <c r="A285" s="8" t="s">
        <v>211</v>
      </c>
      <c r="B285" s="9" t="s">
        <v>212</v>
      </c>
      <c r="C285" s="7"/>
      <c r="D285" s="7"/>
      <c r="E285" s="7"/>
      <c r="F285" s="71"/>
      <c r="G285" s="51">
        <f t="shared" si="348"/>
        <v>10</v>
      </c>
      <c r="H285" s="52">
        <f t="shared" si="349"/>
        <v>23.809523809523807</v>
      </c>
      <c r="I285" s="53">
        <f>COUNTIFS('00 Encuesta'!$B$2:$B$511,"*f)*",'00 Encuesta'!$C$2:$C$511,"*a)*",'00 Encuesta'!$E$2:$E$511,"*a)*",'00 Encuesta'!$AJ$2:$AJ$511,"*m)*")</f>
        <v>5</v>
      </c>
      <c r="J285" s="52">
        <f t="shared" si="350"/>
        <v>22.727272727272727</v>
      </c>
      <c r="K285" s="53">
        <f>COUNTIFS('00 Encuesta'!$B$2:$B$511,"*f)*",'00 Encuesta'!$C$2:$C$511,"*a)*",'00 Encuesta'!$E$2:$E$511,"*b)*",'00 Encuesta'!$AJ$2:$AJ$511,"*m)*")</f>
        <v>5</v>
      </c>
      <c r="L285" s="52">
        <f t="shared" si="351"/>
        <v>25</v>
      </c>
      <c r="M285" s="23"/>
      <c r="N285" s="51">
        <f t="shared" si="352"/>
        <v>0</v>
      </c>
      <c r="O285" s="52" t="e">
        <f t="shared" si="353"/>
        <v>#DIV/0!</v>
      </c>
      <c r="P285" s="53">
        <f>COUNTIFS('00 Encuesta'!$B$2:$B$511,"*f)*",'00 Encuesta'!$C$2:$C$511,"*b)*",'00 Encuesta'!$E$2:$E$511,"*a)*",'00 Encuesta'!$AJ$2:$AJ$511,"*m)*")</f>
        <v>0</v>
      </c>
      <c r="Q285" s="52" t="e">
        <f t="shared" si="354"/>
        <v>#DIV/0!</v>
      </c>
      <c r="R285" s="53">
        <f>COUNTIFS('00 Encuesta'!$B$2:$B$511,"*f)*",'00 Encuesta'!$C$2:$C$511,"*b)*",'00 Encuesta'!$E$2:$E$511,"*b)*",'00 Encuesta'!$AJ$2:$AJ$511,"*m)*")</f>
        <v>0</v>
      </c>
      <c r="S285" s="52" t="e">
        <f t="shared" si="355"/>
        <v>#DIV/0!</v>
      </c>
      <c r="T285" s="3"/>
      <c r="U285" s="51">
        <f t="shared" si="356"/>
        <v>0</v>
      </c>
      <c r="V285" s="52" t="e">
        <f t="shared" si="357"/>
        <v>#DIV/0!</v>
      </c>
      <c r="W285" s="53">
        <f>COUNTIFS('00 Encuesta'!$B$2:$B$511,"*f)*",'00 Encuesta'!$C$2:$C$511,"*c)*",'00 Encuesta'!$E$2:$E$511,"*a)*",'00 Encuesta'!$AJ$2:$AJ$511,"*m)*")</f>
        <v>0</v>
      </c>
      <c r="X285" s="52" t="e">
        <f t="shared" si="358"/>
        <v>#DIV/0!</v>
      </c>
      <c r="Y285" s="53">
        <f>COUNTIFS('00 Encuesta'!$B$2:$B$511,"*f)*",'00 Encuesta'!$C$2:$C$511,"*c)*",'00 Encuesta'!$E$2:$E$511,"*b)*",'00 Encuesta'!$AJ$2:$AJ$511,"*m)*")</f>
        <v>0</v>
      </c>
      <c r="Z285" s="52" t="e">
        <f t="shared" si="359"/>
        <v>#DIV/0!</v>
      </c>
      <c r="AA285" s="3"/>
      <c r="AB285" s="62">
        <f t="shared" si="360"/>
        <v>10</v>
      </c>
      <c r="AC285" s="52">
        <f t="shared" si="361"/>
        <v>23.80952380952381</v>
      </c>
      <c r="AD285" s="3"/>
      <c r="AE285" s="3"/>
      <c r="AF285" s="9" t="str">
        <f t="shared" si="362"/>
        <v>m) Veo televisión y/o películas</v>
      </c>
      <c r="AG285" s="72">
        <f t="shared" si="370"/>
        <v>22.727272727272727</v>
      </c>
      <c r="AH285" s="72">
        <f t="shared" si="371"/>
        <v>25</v>
      </c>
      <c r="AI285" s="73">
        <f t="shared" si="372"/>
        <v>23.809523809523807</v>
      </c>
      <c r="AJ285" s="73"/>
      <c r="AK285" s="76" t="e">
        <f t="shared" si="363"/>
        <v>#DIV/0!</v>
      </c>
      <c r="AL285" s="76" t="e">
        <f t="shared" si="364"/>
        <v>#DIV/0!</v>
      </c>
      <c r="AM285" s="76" t="e">
        <f t="shared" si="365"/>
        <v>#DIV/0!</v>
      </c>
      <c r="AN285" s="76"/>
      <c r="AO285" s="81" t="e">
        <f t="shared" si="366"/>
        <v>#DIV/0!</v>
      </c>
      <c r="AP285" s="81" t="e">
        <f t="shared" si="367"/>
        <v>#DIV/0!</v>
      </c>
      <c r="AQ285" s="81" t="e">
        <f t="shared" si="368"/>
        <v>#DIV/0!</v>
      </c>
      <c r="AR285" s="3"/>
      <c r="AS285" s="76">
        <f t="shared" si="369"/>
        <v>23.80952380952381</v>
      </c>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row>
    <row r="286" spans="1:75" x14ac:dyDescent="0.3">
      <c r="A286" s="8" t="s">
        <v>213</v>
      </c>
      <c r="B286" s="9" t="s">
        <v>214</v>
      </c>
      <c r="C286" s="7"/>
      <c r="D286" s="7"/>
      <c r="E286" s="7"/>
      <c r="F286" s="71"/>
      <c r="G286" s="51">
        <f t="shared" si="348"/>
        <v>12</v>
      </c>
      <c r="H286" s="52">
        <f t="shared" si="349"/>
        <v>28.571428571428569</v>
      </c>
      <c r="I286" s="53">
        <f>COUNTIFS('00 Encuesta'!$B$2:$B$511,"*f)*",'00 Encuesta'!$C$2:$C$511,"*a)*",'00 Encuesta'!$E$2:$E$511,"*a)*",'00 Encuesta'!$AJ$2:$AJ$511,"*n)*")</f>
        <v>8</v>
      </c>
      <c r="J286" s="52">
        <f t="shared" si="350"/>
        <v>36.363636363636367</v>
      </c>
      <c r="K286" s="53">
        <f>COUNTIFS('00 Encuesta'!$B$2:$B$511,"*f)*",'00 Encuesta'!$C$2:$C$511,"*a)*",'00 Encuesta'!$E$2:$E$511,"*b)*",'00 Encuesta'!$AJ$2:$AJ$511,"*n)*")</f>
        <v>4</v>
      </c>
      <c r="L286" s="52">
        <f t="shared" si="351"/>
        <v>20</v>
      </c>
      <c r="M286" s="23"/>
      <c r="N286" s="51">
        <f t="shared" si="352"/>
        <v>0</v>
      </c>
      <c r="O286" s="52" t="e">
        <f t="shared" si="353"/>
        <v>#DIV/0!</v>
      </c>
      <c r="P286" s="53">
        <f>COUNTIFS('00 Encuesta'!$B$2:$B$511,"*f)*",'00 Encuesta'!$C$2:$C$511,"*b)*",'00 Encuesta'!$E$2:$E$511,"*a)*",'00 Encuesta'!$AJ$2:$AJ$511,"*n)*")</f>
        <v>0</v>
      </c>
      <c r="Q286" s="52" t="e">
        <f t="shared" si="354"/>
        <v>#DIV/0!</v>
      </c>
      <c r="R286" s="53">
        <f>COUNTIFS('00 Encuesta'!$B$2:$B$511,"*f)*",'00 Encuesta'!$C$2:$C$511,"*b)*",'00 Encuesta'!$E$2:$E$511,"*b)*",'00 Encuesta'!$AJ$2:$AJ$511,"*n)*")</f>
        <v>0</v>
      </c>
      <c r="S286" s="52" t="e">
        <f t="shared" si="355"/>
        <v>#DIV/0!</v>
      </c>
      <c r="T286" s="3"/>
      <c r="U286" s="51">
        <f t="shared" si="356"/>
        <v>0</v>
      </c>
      <c r="V286" s="52" t="e">
        <f t="shared" si="357"/>
        <v>#DIV/0!</v>
      </c>
      <c r="W286" s="53">
        <f>COUNTIFS('00 Encuesta'!$B$2:$B$511,"*f)*",'00 Encuesta'!$C$2:$C$511,"*c)*",'00 Encuesta'!$E$2:$E$511,"*a)*",'00 Encuesta'!$AJ$2:$AJ$511,"*n)*")</f>
        <v>0</v>
      </c>
      <c r="X286" s="52" t="e">
        <f t="shared" si="358"/>
        <v>#DIV/0!</v>
      </c>
      <c r="Y286" s="53">
        <f>COUNTIFS('00 Encuesta'!$B$2:$B$511,"*f)*",'00 Encuesta'!$C$2:$C$511,"*c)*",'00 Encuesta'!$E$2:$E$511,"*b)*",'00 Encuesta'!$AJ$2:$AJ$511,"*n)*")</f>
        <v>0</v>
      </c>
      <c r="Z286" s="52" t="e">
        <f t="shared" si="359"/>
        <v>#DIV/0!</v>
      </c>
      <c r="AA286" s="3"/>
      <c r="AB286" s="62">
        <f t="shared" si="360"/>
        <v>12</v>
      </c>
      <c r="AC286" s="52">
        <f t="shared" si="361"/>
        <v>28.571428571428573</v>
      </c>
      <c r="AD286" s="3"/>
      <c r="AE286" s="3"/>
      <c r="AF286" s="9" t="str">
        <f t="shared" si="362"/>
        <v>n) Estoy conversando con los amigos/as</v>
      </c>
      <c r="AG286" s="72">
        <f t="shared" si="370"/>
        <v>36.363636363636367</v>
      </c>
      <c r="AH286" s="72">
        <f t="shared" si="371"/>
        <v>20</v>
      </c>
      <c r="AI286" s="73">
        <f t="shared" si="372"/>
        <v>28.571428571428569</v>
      </c>
      <c r="AJ286" s="73"/>
      <c r="AK286" s="76" t="e">
        <f t="shared" si="363"/>
        <v>#DIV/0!</v>
      </c>
      <c r="AL286" s="76" t="e">
        <f t="shared" si="364"/>
        <v>#DIV/0!</v>
      </c>
      <c r="AM286" s="76" t="e">
        <f t="shared" si="365"/>
        <v>#DIV/0!</v>
      </c>
      <c r="AN286" s="76"/>
      <c r="AO286" s="81" t="e">
        <f t="shared" si="366"/>
        <v>#DIV/0!</v>
      </c>
      <c r="AP286" s="81" t="e">
        <f t="shared" si="367"/>
        <v>#DIV/0!</v>
      </c>
      <c r="AQ286" s="81" t="e">
        <f t="shared" si="368"/>
        <v>#DIV/0!</v>
      </c>
      <c r="AR286" s="3"/>
      <c r="AS286" s="76">
        <f t="shared" si="369"/>
        <v>28.571428571428573</v>
      </c>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row>
    <row r="287" spans="1:75" x14ac:dyDescent="0.3">
      <c r="A287" s="8" t="s">
        <v>23</v>
      </c>
      <c r="B287" s="9" t="s">
        <v>158</v>
      </c>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6"/>
      <c r="AC287" s="41"/>
      <c r="AD287" s="3"/>
      <c r="AE287" s="3"/>
      <c r="AF287" s="9" t="str">
        <f t="shared" si="362"/>
        <v>S/R Sin respuesta</v>
      </c>
      <c r="AG287" s="72">
        <f t="shared" si="370"/>
        <v>0</v>
      </c>
      <c r="AH287" s="72">
        <f t="shared" si="371"/>
        <v>0</v>
      </c>
      <c r="AI287" s="73">
        <f t="shared" si="372"/>
        <v>0</v>
      </c>
      <c r="AJ287" s="73"/>
      <c r="AK287" s="76">
        <f t="shared" si="363"/>
        <v>0</v>
      </c>
      <c r="AL287" s="76">
        <f t="shared" si="364"/>
        <v>0</v>
      </c>
      <c r="AM287" s="76">
        <f t="shared" si="365"/>
        <v>0</v>
      </c>
      <c r="AN287" s="76"/>
      <c r="AO287" s="81">
        <f t="shared" si="366"/>
        <v>0</v>
      </c>
      <c r="AP287" s="81">
        <f t="shared" si="367"/>
        <v>0</v>
      </c>
      <c r="AQ287" s="81">
        <f t="shared" si="368"/>
        <v>0</v>
      </c>
      <c r="AR287" s="3"/>
      <c r="AS287" s="76">
        <f t="shared" si="369"/>
        <v>0</v>
      </c>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row>
    <row r="288" spans="1:75" x14ac:dyDescent="0.3">
      <c r="A288" s="8"/>
      <c r="B288" s="9"/>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6"/>
      <c r="AC288" s="41"/>
      <c r="AD288" s="3"/>
      <c r="AE288" s="3"/>
      <c r="AF288" s="3"/>
      <c r="AG288" s="3"/>
      <c r="AH288" s="3"/>
      <c r="AI288" s="3"/>
      <c r="AJ288" s="3"/>
      <c r="AK288" s="3"/>
      <c r="AL288" s="3"/>
      <c r="AM288" s="3"/>
      <c r="AN288" s="3"/>
      <c r="AO288" s="3"/>
      <c r="AP288" s="3"/>
      <c r="AQ288" s="3"/>
      <c r="AR288" s="3"/>
      <c r="AS288" s="76"/>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row>
    <row r="289" spans="1:75" x14ac:dyDescent="0.3">
      <c r="A289" s="70">
        <v>32</v>
      </c>
      <c r="B289" s="9" t="s">
        <v>215</v>
      </c>
      <c r="C289" s="7"/>
      <c r="D289" s="7"/>
      <c r="E289" s="7"/>
      <c r="F289" s="71"/>
      <c r="G289" s="51"/>
      <c r="H289" s="52"/>
      <c r="I289" s="53"/>
      <c r="J289" s="52"/>
      <c r="K289" s="53"/>
      <c r="L289" s="66"/>
      <c r="M289" s="23"/>
      <c r="N289" s="51"/>
      <c r="O289" s="52"/>
      <c r="P289" s="53"/>
      <c r="Q289" s="52"/>
      <c r="R289" s="53"/>
      <c r="S289" s="66"/>
      <c r="T289" s="3"/>
      <c r="U289" s="51"/>
      <c r="V289" s="52"/>
      <c r="W289" s="53"/>
      <c r="X289" s="52"/>
      <c r="Y289" s="53"/>
      <c r="Z289" s="66"/>
      <c r="AA289" s="3"/>
      <c r="AB289" s="62"/>
      <c r="AC289" s="52"/>
      <c r="AD289" s="3"/>
      <c r="AE289" s="3"/>
      <c r="AF289" s="88" t="str">
        <f>A289&amp;" "&amp;B289</f>
        <v>32 El control disciplinario que ejercen mis docentes en clase es:</v>
      </c>
      <c r="AG289" s="3"/>
      <c r="AH289" s="3"/>
      <c r="AI289" s="3"/>
      <c r="AJ289" s="3"/>
      <c r="AK289" s="3"/>
      <c r="AL289" s="3"/>
      <c r="AM289" s="3"/>
      <c r="AN289" s="3"/>
      <c r="AO289" s="3"/>
      <c r="AP289" s="3"/>
      <c r="AQ289" s="3"/>
      <c r="AR289" s="3"/>
      <c r="AS289" s="76"/>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row>
    <row r="290" spans="1:75" x14ac:dyDescent="0.3">
      <c r="A290" s="8" t="s">
        <v>17</v>
      </c>
      <c r="B290" s="9" t="s">
        <v>216</v>
      </c>
      <c r="C290" s="7"/>
      <c r="D290" s="7"/>
      <c r="E290" s="7"/>
      <c r="F290" s="71">
        <v>100</v>
      </c>
      <c r="G290" s="51">
        <f t="shared" ref="G290:G295" si="373">I290+K290</f>
        <v>25</v>
      </c>
      <c r="H290" s="52">
        <f t="shared" ref="H290:H295" si="374">G290/$J$5*100</f>
        <v>59.523809523809526</v>
      </c>
      <c r="I290" s="53">
        <f>COUNTIFS('00 Encuesta'!$B$2:$B$511,"*f)*",'00 Encuesta'!$C$2:$C$511,"*a)*",'00 Encuesta'!$E$2:$E$511,"*a)*",'00 Encuesta'!$AL$2:$AL$511,"*a)*")</f>
        <v>11</v>
      </c>
      <c r="J290" s="52">
        <f t="shared" ref="J290:J295" si="375">I290/$J$6*100</f>
        <v>50</v>
      </c>
      <c r="K290" s="53">
        <f>COUNTIFS('00 Encuesta'!$B$2:$B$511,"*f)*",'00 Encuesta'!$C$2:$C$511,"*a)*",'00 Encuesta'!$E$2:$E$511,"*b)*",'00 Encuesta'!$AL$2:$AL$511,"*a)*")</f>
        <v>14</v>
      </c>
      <c r="L290" s="52">
        <f>K290/$J$7*100</f>
        <v>70</v>
      </c>
      <c r="M290" s="23"/>
      <c r="N290" s="51">
        <f>P290+R290</f>
        <v>0</v>
      </c>
      <c r="O290" s="52" t="e">
        <f>N290/$Q$5*100</f>
        <v>#DIV/0!</v>
      </c>
      <c r="P290" s="53">
        <f>COUNTIFS('00 Encuesta'!$B$2:$B$511,"*f)*",'00 Encuesta'!$C$2:$C$511,"*b)*",'00 Encuesta'!$E$2:$E$511,"*a)*",'00 Encuesta'!$AL$2:$AL$511,"*a)*")</f>
        <v>0</v>
      </c>
      <c r="Q290" s="52" t="e">
        <f>P290/$Q$6*100</f>
        <v>#DIV/0!</v>
      </c>
      <c r="R290" s="53">
        <f>COUNTIFS('00 Encuesta'!$B$2:$B$511,"*f)*",'00 Encuesta'!$C$2:$C$511,"*b)*",'00 Encuesta'!$E$2:$E$511,"*b)*",'00 Encuesta'!$AL$2:$AL$511,"*a)*")</f>
        <v>0</v>
      </c>
      <c r="S290" s="52" t="e">
        <f>R290/$Q$7*100</f>
        <v>#DIV/0!</v>
      </c>
      <c r="T290" s="3"/>
      <c r="U290" s="51">
        <f>W290+Y290</f>
        <v>0</v>
      </c>
      <c r="V290" s="52" t="e">
        <f>U290/$X$5*100</f>
        <v>#DIV/0!</v>
      </c>
      <c r="W290" s="53">
        <f>COUNTIFS('00 Encuesta'!$B$2:$B$511,"*f)*",'00 Encuesta'!$C$2:$C$511,"*c)*",'00 Encuesta'!$E$2:$E$511,"*a)*",'00 Encuesta'!$AL$2:$AL$511,"*a)*")</f>
        <v>0</v>
      </c>
      <c r="X290" s="52" t="e">
        <f>W290/$X$6*100</f>
        <v>#DIV/0!</v>
      </c>
      <c r="Y290" s="53">
        <f>COUNTIFS('00 Encuesta'!$B$2:$B$511,"*f)*",'00 Encuesta'!$C$2:$C$511,"*c)*",'00 Encuesta'!$E$2:$E$511,"*b)*",'00 Encuesta'!$AL$2:$AL$511,"*a)*")</f>
        <v>0</v>
      </c>
      <c r="Z290" s="52" t="e">
        <f t="shared" ref="Z290:Z295" si="376">Y290/$X$7*100</f>
        <v>#DIV/0!</v>
      </c>
      <c r="AA290" s="3"/>
      <c r="AB290" s="62">
        <f t="shared" ref="AB290:AB295" si="377">G290+N290+U290</f>
        <v>25</v>
      </c>
      <c r="AC290" s="52">
        <f t="shared" ref="AC290:AC295" si="378">AB290*100/$AC$5</f>
        <v>59.523809523809526</v>
      </c>
      <c r="AD290" s="3"/>
      <c r="AE290" s="3"/>
      <c r="AF290" s="9" t="str">
        <f t="shared" ref="AF290:AF295" si="379">A290&amp;" "&amp;B290</f>
        <v>a) Muy bueno</v>
      </c>
      <c r="AG290" s="72">
        <f t="shared" ref="AG290:AG295" si="380">J290</f>
        <v>50</v>
      </c>
      <c r="AH290" s="72">
        <f t="shared" ref="AH290:AH295" si="381">L290</f>
        <v>70</v>
      </c>
      <c r="AI290" s="73">
        <f t="shared" ref="AI290:AI295" si="382">H290</f>
        <v>59.523809523809526</v>
      </c>
      <c r="AJ290" s="73"/>
      <c r="AK290" s="76" t="e">
        <f t="shared" ref="AK290:AK295" si="383">Q290</f>
        <v>#DIV/0!</v>
      </c>
      <c r="AL290" s="76" t="e">
        <f t="shared" ref="AL290:AL295" si="384">S290</f>
        <v>#DIV/0!</v>
      </c>
      <c r="AM290" s="76" t="e">
        <f t="shared" ref="AM290:AM295" si="385">O290</f>
        <v>#DIV/0!</v>
      </c>
      <c r="AN290" s="76"/>
      <c r="AO290" s="81" t="e">
        <f t="shared" ref="AO290:AO295" si="386">X290</f>
        <v>#DIV/0!</v>
      </c>
      <c r="AP290" s="81" t="e">
        <f t="shared" ref="AP290:AP295" si="387">Z290</f>
        <v>#DIV/0!</v>
      </c>
      <c r="AQ290" s="81" t="e">
        <f t="shared" ref="AQ290:AQ295" si="388">V290</f>
        <v>#DIV/0!</v>
      </c>
      <c r="AR290" s="3"/>
      <c r="AS290" s="76">
        <f t="shared" si="369"/>
        <v>59.523809523809526</v>
      </c>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row>
    <row r="291" spans="1:75" x14ac:dyDescent="0.3">
      <c r="A291" s="8" t="s">
        <v>18</v>
      </c>
      <c r="B291" s="9" t="s">
        <v>217</v>
      </c>
      <c r="C291" s="7"/>
      <c r="D291" s="7"/>
      <c r="E291" s="7"/>
      <c r="F291" s="71">
        <v>75</v>
      </c>
      <c r="G291" s="51">
        <f t="shared" si="373"/>
        <v>10</v>
      </c>
      <c r="H291" s="52">
        <f t="shared" si="374"/>
        <v>23.809523809523807</v>
      </c>
      <c r="I291" s="53">
        <f>COUNTIFS('00 Encuesta'!$B$2:$B$511,"*f)*",'00 Encuesta'!$C$2:$C$511,"*a)*",'00 Encuesta'!$E$2:$E$511,"*a)*",'00 Encuesta'!$AL$2:$AL$511,"*b)*")</f>
        <v>8</v>
      </c>
      <c r="J291" s="52">
        <f t="shared" si="375"/>
        <v>36.363636363636367</v>
      </c>
      <c r="K291" s="53">
        <f>COUNTIFS('00 Encuesta'!$B$2:$B$511,"*f)*",'00 Encuesta'!$C$2:$C$511,"*a)*",'00 Encuesta'!$E$2:$E$511,"*b)*",'00 Encuesta'!$AL$2:$AL$511,"*b)*")</f>
        <v>2</v>
      </c>
      <c r="L291" s="52">
        <f>K291/$J$7*100</f>
        <v>10</v>
      </c>
      <c r="M291" s="23"/>
      <c r="N291" s="51">
        <f>P291+R291</f>
        <v>0</v>
      </c>
      <c r="O291" s="52" t="e">
        <f>N291/$Q$5*100</f>
        <v>#DIV/0!</v>
      </c>
      <c r="P291" s="53">
        <f>COUNTIFS('00 Encuesta'!$B$2:$B$511,"*f)*",'00 Encuesta'!$C$2:$C$511,"*b)*",'00 Encuesta'!$E$2:$E$511,"*a)*",'00 Encuesta'!$AL$2:$AL$511,"*b)*")</f>
        <v>0</v>
      </c>
      <c r="Q291" s="52" t="e">
        <f>P291/$Q$6*100</f>
        <v>#DIV/0!</v>
      </c>
      <c r="R291" s="53">
        <f>COUNTIFS('00 Encuesta'!$B$2:$B$511,"*f)*",'00 Encuesta'!$C$2:$C$511,"*b)*",'00 Encuesta'!$E$2:$E$511,"*b)*",'00 Encuesta'!$AL$2:$AL$511,"*b)*")</f>
        <v>0</v>
      </c>
      <c r="S291" s="52" t="e">
        <f>R291/$Q$7*100</f>
        <v>#DIV/0!</v>
      </c>
      <c r="T291" s="3"/>
      <c r="U291" s="51">
        <f>W291+Y291</f>
        <v>0</v>
      </c>
      <c r="V291" s="52" t="e">
        <f>U291/$X$5*100</f>
        <v>#DIV/0!</v>
      </c>
      <c r="W291" s="53">
        <f>COUNTIFS('00 Encuesta'!$B$2:$B$511,"*f)*",'00 Encuesta'!$C$2:$C$511,"*c)*",'00 Encuesta'!$E$2:$E$511,"*a)*",'00 Encuesta'!$AL$2:$AL$511,"*b)*")</f>
        <v>0</v>
      </c>
      <c r="X291" s="52" t="e">
        <f>W291/$X$6*100</f>
        <v>#DIV/0!</v>
      </c>
      <c r="Y291" s="53">
        <f>COUNTIFS('00 Encuesta'!$B$2:$B$511,"*f)*",'00 Encuesta'!$C$2:$C$511,"*c)*",'00 Encuesta'!$E$2:$E$511,"*b)*",'00 Encuesta'!$AL$2:$AL$511,"*b)*")</f>
        <v>0</v>
      </c>
      <c r="Z291" s="52" t="e">
        <f t="shared" si="376"/>
        <v>#DIV/0!</v>
      </c>
      <c r="AA291" s="3"/>
      <c r="AB291" s="62">
        <f t="shared" si="377"/>
        <v>10</v>
      </c>
      <c r="AC291" s="52">
        <f t="shared" si="378"/>
        <v>23.80952380952381</v>
      </c>
      <c r="AD291" s="3"/>
      <c r="AE291" s="3"/>
      <c r="AF291" s="9" t="str">
        <f t="shared" si="379"/>
        <v>b) Bueno</v>
      </c>
      <c r="AG291" s="72">
        <f t="shared" si="380"/>
        <v>36.363636363636367</v>
      </c>
      <c r="AH291" s="72">
        <f t="shared" si="381"/>
        <v>10</v>
      </c>
      <c r="AI291" s="73">
        <f t="shared" si="382"/>
        <v>23.809523809523807</v>
      </c>
      <c r="AJ291" s="73"/>
      <c r="AK291" s="76" t="e">
        <f t="shared" si="383"/>
        <v>#DIV/0!</v>
      </c>
      <c r="AL291" s="76" t="e">
        <f t="shared" si="384"/>
        <v>#DIV/0!</v>
      </c>
      <c r="AM291" s="76" t="e">
        <f t="shared" si="385"/>
        <v>#DIV/0!</v>
      </c>
      <c r="AN291" s="76"/>
      <c r="AO291" s="81" t="e">
        <f t="shared" si="386"/>
        <v>#DIV/0!</v>
      </c>
      <c r="AP291" s="81" t="e">
        <f t="shared" si="387"/>
        <v>#DIV/0!</v>
      </c>
      <c r="AQ291" s="81" t="e">
        <f t="shared" si="388"/>
        <v>#DIV/0!</v>
      </c>
      <c r="AR291" s="3"/>
      <c r="AS291" s="76">
        <f t="shared" si="369"/>
        <v>23.80952380952381</v>
      </c>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row>
    <row r="292" spans="1:75" x14ac:dyDescent="0.3">
      <c r="A292" s="8" t="s">
        <v>20</v>
      </c>
      <c r="B292" s="9" t="s">
        <v>218</v>
      </c>
      <c r="C292" s="7"/>
      <c r="D292" s="7"/>
      <c r="E292" s="7"/>
      <c r="F292" s="71">
        <v>50</v>
      </c>
      <c r="G292" s="51">
        <f t="shared" si="373"/>
        <v>2</v>
      </c>
      <c r="H292" s="52">
        <f t="shared" si="374"/>
        <v>4.7619047619047619</v>
      </c>
      <c r="I292" s="53">
        <f>COUNTIFS('00 Encuesta'!$B$2:$B$511,"*f)*",'00 Encuesta'!$C$2:$C$511,"*a)*",'00 Encuesta'!$E$2:$E$511,"*a)*",'00 Encuesta'!$AL$2:$AL$511,"*c)*")</f>
        <v>0</v>
      </c>
      <c r="J292" s="52">
        <f t="shared" si="375"/>
        <v>0</v>
      </c>
      <c r="K292" s="53">
        <f>COUNTIFS('00 Encuesta'!$B$2:$B$511,"*f)*",'00 Encuesta'!$C$2:$C$511,"*a)*",'00 Encuesta'!$E$2:$E$511,"*b)*",'00 Encuesta'!$AL$2:$AL$511,"*c)*")</f>
        <v>2</v>
      </c>
      <c r="L292" s="52">
        <f>K292/$J$7*100</f>
        <v>10</v>
      </c>
      <c r="M292" s="23"/>
      <c r="N292" s="51">
        <f>P292+R292</f>
        <v>0</v>
      </c>
      <c r="O292" s="52" t="e">
        <f>N292/$Q$5*100</f>
        <v>#DIV/0!</v>
      </c>
      <c r="P292" s="53">
        <f>COUNTIFS('00 Encuesta'!$B$2:$B$511,"*f)*",'00 Encuesta'!$C$2:$C$511,"*b)*",'00 Encuesta'!$E$2:$E$511,"*a)*",'00 Encuesta'!$AL$2:$AL$511,"*c)*")</f>
        <v>0</v>
      </c>
      <c r="Q292" s="52" t="e">
        <f>P292/$Q$6*100</f>
        <v>#DIV/0!</v>
      </c>
      <c r="R292" s="53">
        <f>COUNTIFS('00 Encuesta'!$B$2:$B$511,"*f)*",'00 Encuesta'!$C$2:$C$511,"*b)*",'00 Encuesta'!$E$2:$E$511,"*b)*",'00 Encuesta'!$AL$2:$AL$511,"*c)*")</f>
        <v>0</v>
      </c>
      <c r="S292" s="52" t="e">
        <f>R292/$Q$7*100</f>
        <v>#DIV/0!</v>
      </c>
      <c r="T292" s="3"/>
      <c r="U292" s="51">
        <f>W292+Y292</f>
        <v>0</v>
      </c>
      <c r="V292" s="52" t="e">
        <f>U292/$X$5*100</f>
        <v>#DIV/0!</v>
      </c>
      <c r="W292" s="53">
        <f>COUNTIFS('00 Encuesta'!$B$2:$B$511,"*f)*",'00 Encuesta'!$C$2:$C$511,"*c)*",'00 Encuesta'!$E$2:$E$511,"*a)*",'00 Encuesta'!$AL$2:$AL$511,"*c)*")</f>
        <v>0</v>
      </c>
      <c r="X292" s="52" t="e">
        <f>W292/$X$6*100</f>
        <v>#DIV/0!</v>
      </c>
      <c r="Y292" s="53">
        <f>COUNTIFS('00 Encuesta'!$B$2:$B$511,"*f)*",'00 Encuesta'!$C$2:$C$511,"*c)*",'00 Encuesta'!$E$2:$E$511,"*b)*",'00 Encuesta'!$AL$2:$AL$511,"*c)*")</f>
        <v>0</v>
      </c>
      <c r="Z292" s="52" t="e">
        <f t="shared" si="376"/>
        <v>#DIV/0!</v>
      </c>
      <c r="AA292" s="3"/>
      <c r="AB292" s="62">
        <f t="shared" si="377"/>
        <v>2</v>
      </c>
      <c r="AC292" s="52">
        <f t="shared" si="378"/>
        <v>4.7619047619047619</v>
      </c>
      <c r="AD292" s="3"/>
      <c r="AE292" s="3"/>
      <c r="AF292" s="9" t="str">
        <f t="shared" si="379"/>
        <v>c) Regular</v>
      </c>
      <c r="AG292" s="72">
        <f t="shared" si="380"/>
        <v>0</v>
      </c>
      <c r="AH292" s="72">
        <f t="shared" si="381"/>
        <v>10</v>
      </c>
      <c r="AI292" s="73">
        <f t="shared" si="382"/>
        <v>4.7619047619047619</v>
      </c>
      <c r="AJ292" s="73"/>
      <c r="AK292" s="76" t="e">
        <f t="shared" si="383"/>
        <v>#DIV/0!</v>
      </c>
      <c r="AL292" s="76" t="e">
        <f t="shared" si="384"/>
        <v>#DIV/0!</v>
      </c>
      <c r="AM292" s="76" t="e">
        <f t="shared" si="385"/>
        <v>#DIV/0!</v>
      </c>
      <c r="AN292" s="76"/>
      <c r="AO292" s="81" t="e">
        <f t="shared" si="386"/>
        <v>#DIV/0!</v>
      </c>
      <c r="AP292" s="81" t="e">
        <f t="shared" si="387"/>
        <v>#DIV/0!</v>
      </c>
      <c r="AQ292" s="81" t="e">
        <f t="shared" si="388"/>
        <v>#DIV/0!</v>
      </c>
      <c r="AR292" s="3"/>
      <c r="AS292" s="76">
        <f t="shared" si="369"/>
        <v>4.7619047619047619</v>
      </c>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row>
    <row r="293" spans="1:75" x14ac:dyDescent="0.3">
      <c r="A293" s="8" t="s">
        <v>21</v>
      </c>
      <c r="B293" s="9" t="s">
        <v>219</v>
      </c>
      <c r="C293" s="7"/>
      <c r="D293" s="7"/>
      <c r="E293" s="7"/>
      <c r="F293" s="71">
        <v>25</v>
      </c>
      <c r="G293" s="51">
        <f t="shared" si="373"/>
        <v>2</v>
      </c>
      <c r="H293" s="52">
        <f t="shared" si="374"/>
        <v>4.7619047619047619</v>
      </c>
      <c r="I293" s="53">
        <f>COUNTIFS('00 Encuesta'!$B$2:$B$511,"*f)*",'00 Encuesta'!$C$2:$C$511,"*a)*",'00 Encuesta'!$E$2:$E$511,"*a)*",'00 Encuesta'!$AL$2:$AL$511,"*d)*")</f>
        <v>0</v>
      </c>
      <c r="J293" s="52">
        <f t="shared" si="375"/>
        <v>0</v>
      </c>
      <c r="K293" s="53">
        <f>COUNTIFS('00 Encuesta'!$B$2:$B$511,"*f)*",'00 Encuesta'!$C$2:$C$511,"*a)*",'00 Encuesta'!$E$2:$E$511,"*b)*",'00 Encuesta'!$AL$2:$AL$511,"*d)*")</f>
        <v>2</v>
      </c>
      <c r="L293" s="52">
        <f>K293/$J$7*100</f>
        <v>10</v>
      </c>
      <c r="M293" s="23"/>
      <c r="N293" s="51">
        <f>P293+R293</f>
        <v>0</v>
      </c>
      <c r="O293" s="52" t="e">
        <f>N293/$Q$5*100</f>
        <v>#DIV/0!</v>
      </c>
      <c r="P293" s="53">
        <f>COUNTIFS('00 Encuesta'!$B$2:$B$511,"*f)*",'00 Encuesta'!$C$2:$C$511,"*b)*",'00 Encuesta'!$E$2:$E$511,"*a)*",'00 Encuesta'!$AL$2:$AL$511,"*d)*")</f>
        <v>0</v>
      </c>
      <c r="Q293" s="52" t="e">
        <f>P293/$Q$6*100</f>
        <v>#DIV/0!</v>
      </c>
      <c r="R293" s="53">
        <f>COUNTIFS('00 Encuesta'!$B$2:$B$511,"*f)*",'00 Encuesta'!$C$2:$C$511,"*b)*",'00 Encuesta'!$E$2:$E$511,"*b)*",'00 Encuesta'!$AL$2:$AL$511,"*d)*")</f>
        <v>0</v>
      </c>
      <c r="S293" s="52" t="e">
        <f>R293/$Q$7*100</f>
        <v>#DIV/0!</v>
      </c>
      <c r="T293" s="3"/>
      <c r="U293" s="51">
        <f>W293+Y293</f>
        <v>0</v>
      </c>
      <c r="V293" s="52" t="e">
        <f>U293/$X$5*100</f>
        <v>#DIV/0!</v>
      </c>
      <c r="W293" s="53">
        <f>COUNTIFS('00 Encuesta'!$B$2:$B$511,"*f)*",'00 Encuesta'!$C$2:$C$511,"*c)*",'00 Encuesta'!$E$2:$E$511,"*a)*",'00 Encuesta'!$AL$2:$AL$511,"*d)*")</f>
        <v>0</v>
      </c>
      <c r="X293" s="52" t="e">
        <f>W293/$X$6*100</f>
        <v>#DIV/0!</v>
      </c>
      <c r="Y293" s="53">
        <f>COUNTIFS('00 Encuesta'!$B$2:$B$511,"*f)*",'00 Encuesta'!$C$2:$C$511,"*c)*",'00 Encuesta'!$E$2:$E$511,"*b)*",'00 Encuesta'!$AL$2:$AL$511,"*d)*")</f>
        <v>0</v>
      </c>
      <c r="Z293" s="52" t="e">
        <f t="shared" si="376"/>
        <v>#DIV/0!</v>
      </c>
      <c r="AA293" s="3"/>
      <c r="AB293" s="62">
        <f t="shared" si="377"/>
        <v>2</v>
      </c>
      <c r="AC293" s="52">
        <f t="shared" si="378"/>
        <v>4.7619047619047619</v>
      </c>
      <c r="AD293" s="3"/>
      <c r="AE293" s="3"/>
      <c r="AF293" s="9" t="str">
        <f t="shared" si="379"/>
        <v>d) Deficiente</v>
      </c>
      <c r="AG293" s="72">
        <f t="shared" si="380"/>
        <v>0</v>
      </c>
      <c r="AH293" s="72">
        <f t="shared" si="381"/>
        <v>10</v>
      </c>
      <c r="AI293" s="73">
        <f t="shared" si="382"/>
        <v>4.7619047619047619</v>
      </c>
      <c r="AJ293" s="73"/>
      <c r="AK293" s="76" t="e">
        <f t="shared" si="383"/>
        <v>#DIV/0!</v>
      </c>
      <c r="AL293" s="76" t="e">
        <f t="shared" si="384"/>
        <v>#DIV/0!</v>
      </c>
      <c r="AM293" s="76" t="e">
        <f t="shared" si="385"/>
        <v>#DIV/0!</v>
      </c>
      <c r="AN293" s="76"/>
      <c r="AO293" s="81" t="e">
        <f t="shared" si="386"/>
        <v>#DIV/0!</v>
      </c>
      <c r="AP293" s="81" t="e">
        <f t="shared" si="387"/>
        <v>#DIV/0!</v>
      </c>
      <c r="AQ293" s="81" t="e">
        <f t="shared" si="388"/>
        <v>#DIV/0!</v>
      </c>
      <c r="AR293" s="3"/>
      <c r="AS293" s="76">
        <f t="shared" si="369"/>
        <v>4.7619047619047619</v>
      </c>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row>
    <row r="294" spans="1:75" x14ac:dyDescent="0.3">
      <c r="A294" s="8" t="s">
        <v>22</v>
      </c>
      <c r="B294" s="9" t="s">
        <v>220</v>
      </c>
      <c r="C294" s="7"/>
      <c r="D294" s="7"/>
      <c r="E294" s="7"/>
      <c r="F294" s="71">
        <v>0</v>
      </c>
      <c r="G294" s="51">
        <f t="shared" si="373"/>
        <v>0</v>
      </c>
      <c r="H294" s="52">
        <f t="shared" si="374"/>
        <v>0</v>
      </c>
      <c r="I294" s="53">
        <f>COUNTIFS('00 Encuesta'!$B$2:$B$511,"*f)*",'00 Encuesta'!$C$2:$C$511,"*a)*",'00 Encuesta'!$E$2:$E$511,"*a)*",'00 Encuesta'!$AL$2:$AL$511,"*e)*")</f>
        <v>0</v>
      </c>
      <c r="J294" s="52">
        <f t="shared" si="375"/>
        <v>0</v>
      </c>
      <c r="K294" s="53">
        <f>COUNTIFS('00 Encuesta'!$B$2:$B$511,"*f)*",'00 Encuesta'!$C$2:$C$511,"*a)*",'00 Encuesta'!$E$2:$E$511,"*b)*",'00 Encuesta'!$AL$2:$AL$511,"*e)*")</f>
        <v>0</v>
      </c>
      <c r="L294" s="52">
        <f>K294/$J$7*100</f>
        <v>0</v>
      </c>
      <c r="M294" s="23"/>
      <c r="N294" s="51">
        <f>P294+R294</f>
        <v>0</v>
      </c>
      <c r="O294" s="52" t="e">
        <f>N294/$Q$5*100</f>
        <v>#DIV/0!</v>
      </c>
      <c r="P294" s="53">
        <f>COUNTIFS('00 Encuesta'!$B$2:$B$511,"*f)*",'00 Encuesta'!$C$2:$C$511,"*b)*",'00 Encuesta'!$E$2:$E$511,"*a)*",'00 Encuesta'!$AL$2:$AL$511,"*e)*")</f>
        <v>0</v>
      </c>
      <c r="Q294" s="52" t="e">
        <f>P294/$Q$6*100</f>
        <v>#DIV/0!</v>
      </c>
      <c r="R294" s="53">
        <f>COUNTIFS('00 Encuesta'!$B$2:$B$511,"*f)*",'00 Encuesta'!$C$2:$C$511,"*b)*",'00 Encuesta'!$E$2:$E$511,"*b)*",'00 Encuesta'!$AL$2:$AL$511,"*e)*")</f>
        <v>0</v>
      </c>
      <c r="S294" s="52" t="e">
        <f>R294/$Q$7*100</f>
        <v>#DIV/0!</v>
      </c>
      <c r="T294" s="3"/>
      <c r="U294" s="51">
        <f>W294+Y294</f>
        <v>0</v>
      </c>
      <c r="V294" s="52" t="e">
        <f>U294/$X$5*100</f>
        <v>#DIV/0!</v>
      </c>
      <c r="W294" s="53">
        <f>COUNTIFS('00 Encuesta'!$B$2:$B$511,"*f)*",'00 Encuesta'!$C$2:$C$511,"*c)*",'00 Encuesta'!$E$2:$E$511,"*a)*",'00 Encuesta'!$AL$2:$AL$511,"*e)*")</f>
        <v>0</v>
      </c>
      <c r="X294" s="52" t="e">
        <f>W294/$X$6*100</f>
        <v>#DIV/0!</v>
      </c>
      <c r="Y294" s="53">
        <f>COUNTIFS('00 Encuesta'!$B$2:$B$511,"*f)*",'00 Encuesta'!$C$2:$C$511,"*c)*",'00 Encuesta'!$E$2:$E$511,"*b)*",'00 Encuesta'!$AL$2:$AL$511,"*e)*")</f>
        <v>0</v>
      </c>
      <c r="Z294" s="52" t="e">
        <f t="shared" si="376"/>
        <v>#DIV/0!</v>
      </c>
      <c r="AA294" s="3"/>
      <c r="AB294" s="62">
        <f t="shared" si="377"/>
        <v>0</v>
      </c>
      <c r="AC294" s="52">
        <f t="shared" si="378"/>
        <v>0</v>
      </c>
      <c r="AD294" s="3"/>
      <c r="AE294" s="3"/>
      <c r="AF294" s="9" t="str">
        <f t="shared" si="379"/>
        <v>e) Muy deficiente</v>
      </c>
      <c r="AG294" s="72">
        <f t="shared" si="380"/>
        <v>0</v>
      </c>
      <c r="AH294" s="72">
        <f t="shared" si="381"/>
        <v>0</v>
      </c>
      <c r="AI294" s="73">
        <f t="shared" si="382"/>
        <v>0</v>
      </c>
      <c r="AJ294" s="73"/>
      <c r="AK294" s="76" t="e">
        <f t="shared" si="383"/>
        <v>#DIV/0!</v>
      </c>
      <c r="AL294" s="76" t="e">
        <f t="shared" si="384"/>
        <v>#DIV/0!</v>
      </c>
      <c r="AM294" s="76" t="e">
        <f t="shared" si="385"/>
        <v>#DIV/0!</v>
      </c>
      <c r="AN294" s="76"/>
      <c r="AO294" s="81" t="e">
        <f t="shared" si="386"/>
        <v>#DIV/0!</v>
      </c>
      <c r="AP294" s="81" t="e">
        <f t="shared" si="387"/>
        <v>#DIV/0!</v>
      </c>
      <c r="AQ294" s="81" t="e">
        <f t="shared" si="388"/>
        <v>#DIV/0!</v>
      </c>
      <c r="AR294" s="3"/>
      <c r="AS294" s="76">
        <f t="shared" si="369"/>
        <v>0</v>
      </c>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row>
    <row r="295" spans="1:75" x14ac:dyDescent="0.3">
      <c r="A295" s="8" t="s">
        <v>23</v>
      </c>
      <c r="B295" s="9" t="s">
        <v>24</v>
      </c>
      <c r="C295" s="7"/>
      <c r="D295" s="7"/>
      <c r="E295" s="7"/>
      <c r="F295" s="71"/>
      <c r="G295" s="51">
        <f t="shared" si="373"/>
        <v>0</v>
      </c>
      <c r="H295" s="52">
        <f t="shared" si="374"/>
        <v>0</v>
      </c>
      <c r="I295" s="53"/>
      <c r="J295" s="52">
        <f t="shared" si="375"/>
        <v>0</v>
      </c>
      <c r="K295" s="53"/>
      <c r="L295" s="52">
        <f t="shared" ref="L295" si="389">K295/$J$7*100</f>
        <v>0</v>
      </c>
      <c r="M295" s="23"/>
      <c r="N295" s="51">
        <f t="shared" ref="N295" si="390">P295+R295</f>
        <v>0</v>
      </c>
      <c r="O295" s="52" t="e">
        <f t="shared" ref="O295" si="391">N295/$Q$5*100</f>
        <v>#DIV/0!</v>
      </c>
      <c r="P295" s="53"/>
      <c r="Q295" s="52" t="e">
        <f t="shared" ref="Q295" si="392">P295/$Q$6*100</f>
        <v>#DIV/0!</v>
      </c>
      <c r="R295" s="53"/>
      <c r="S295" s="52" t="e">
        <f t="shared" ref="S295" si="393">R295/$Q$7*100</f>
        <v>#DIV/0!</v>
      </c>
      <c r="T295" s="3"/>
      <c r="U295" s="51">
        <f t="shared" ref="U295" si="394">W295+Y295</f>
        <v>0</v>
      </c>
      <c r="V295" s="52" t="e">
        <f t="shared" ref="V295" si="395">U295/$X$5*100</f>
        <v>#DIV/0!</v>
      </c>
      <c r="W295" s="53"/>
      <c r="X295" s="52" t="e">
        <f t="shared" ref="X295" si="396">W295/$X$6*100</f>
        <v>#DIV/0!</v>
      </c>
      <c r="Y295" s="53"/>
      <c r="Z295" s="52" t="e">
        <f t="shared" si="376"/>
        <v>#DIV/0!</v>
      </c>
      <c r="AA295" s="3"/>
      <c r="AB295" s="62">
        <f t="shared" si="377"/>
        <v>0</v>
      </c>
      <c r="AC295" s="52">
        <f t="shared" si="378"/>
        <v>0</v>
      </c>
      <c r="AD295" s="3"/>
      <c r="AE295" s="3"/>
      <c r="AF295" s="9" t="str">
        <f t="shared" si="379"/>
        <v>S/R Sin Respuesta</v>
      </c>
      <c r="AG295" s="72">
        <f t="shared" si="380"/>
        <v>0</v>
      </c>
      <c r="AH295" s="72">
        <f t="shared" si="381"/>
        <v>0</v>
      </c>
      <c r="AI295" s="73">
        <f t="shared" si="382"/>
        <v>0</v>
      </c>
      <c r="AJ295" s="73"/>
      <c r="AK295" s="76" t="e">
        <f t="shared" si="383"/>
        <v>#DIV/0!</v>
      </c>
      <c r="AL295" s="76" t="e">
        <f t="shared" si="384"/>
        <v>#DIV/0!</v>
      </c>
      <c r="AM295" s="76" t="e">
        <f t="shared" si="385"/>
        <v>#DIV/0!</v>
      </c>
      <c r="AN295" s="76"/>
      <c r="AO295" s="81" t="e">
        <f t="shared" si="386"/>
        <v>#DIV/0!</v>
      </c>
      <c r="AP295" s="81" t="e">
        <f t="shared" si="387"/>
        <v>#DIV/0!</v>
      </c>
      <c r="AQ295" s="81" t="e">
        <f t="shared" si="388"/>
        <v>#DIV/0!</v>
      </c>
      <c r="AR295" s="3"/>
      <c r="AS295" s="76">
        <f t="shared" si="369"/>
        <v>0</v>
      </c>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row>
    <row r="296" spans="1:75" x14ac:dyDescent="0.3">
      <c r="A296" s="8"/>
      <c r="B296" s="9"/>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6"/>
      <c r="AC296" s="41"/>
      <c r="AD296" s="3"/>
      <c r="AE296" s="3"/>
      <c r="AF296" s="3"/>
      <c r="AG296" s="82">
        <f>($F290*I290+$F291*I291+$F292*I292+$F293*I293+$F294*I294)/(I290+I291+I292+I293+I294)</f>
        <v>89.473684210526315</v>
      </c>
      <c r="AH296" s="82">
        <f>($F290*K290+$F291*K291+$F292*K292+$F293*K293+$F294*K294)/(K290+K291+K292+K293+K294)</f>
        <v>85</v>
      </c>
      <c r="AI296" s="82">
        <f>($F290*G290+$F291*G291+$F292*G292+$F293*G293+$F294*G294)/(G290+G291+G292+G293+G294)</f>
        <v>87.179487179487182</v>
      </c>
      <c r="AJ296" s="82"/>
      <c r="AK296" s="82" t="e">
        <f>($F290*Q290+$F291*Q291+$F292*Q292+$F293*Q293+$F294*Q294)/(Q290+Q291+Q292+Q293+Q294)</f>
        <v>#DIV/0!</v>
      </c>
      <c r="AL296" s="82" t="e">
        <f>($F290*S290+$F291*S291+$F292*S292+$F293*S293+$F294*S294)/(S290+S291+S292+S293+S294)</f>
        <v>#DIV/0!</v>
      </c>
      <c r="AM296" s="82" t="e">
        <f>($F290*O290+$F291*O291+$F292*O292+$F293*O293+$F294*O294)/(O290+O291+O292+O293+O294)</f>
        <v>#DIV/0!</v>
      </c>
      <c r="AN296" s="82"/>
      <c r="AO296" s="82" t="e">
        <f>($F290*W290+$F291*W291+$F292*W292+$F293*W293+$F294*W294)/(W290+W291+W292+W293+W294)</f>
        <v>#DIV/0!</v>
      </c>
      <c r="AP296" s="82" t="e">
        <f>($F290*Y290+$F291*Y291+$F292*Y292+$F293*Y293+$F294*Y294)/(Y290+Y291+Y292+Y293+Y294)</f>
        <v>#DIV/0!</v>
      </c>
      <c r="AQ296" s="82" t="e">
        <f>($F290*U290+$F291*U291+$F292*U292+$F293*U293+$F294*U294)/(U290+U291+U292+U293+U294)</f>
        <v>#DIV/0!</v>
      </c>
      <c r="AR296" s="3"/>
      <c r="AS296" s="76"/>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row>
    <row r="297" spans="1:75" x14ac:dyDescent="0.3">
      <c r="A297" s="8"/>
      <c r="B297" s="9" t="s">
        <v>221</v>
      </c>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6"/>
      <c r="AC297" s="41"/>
      <c r="AD297" s="3"/>
      <c r="AE297" s="3"/>
      <c r="AF297" s="3"/>
      <c r="AG297" s="3"/>
      <c r="AH297" s="3"/>
      <c r="AI297" s="3"/>
      <c r="AJ297" s="3"/>
      <c r="AK297" s="3"/>
      <c r="AL297" s="3"/>
      <c r="AM297" s="3"/>
      <c r="AN297" s="3"/>
      <c r="AO297" s="3"/>
      <c r="AP297" s="3"/>
      <c r="AQ297" s="3"/>
      <c r="AR297" s="3"/>
      <c r="AS297" s="76"/>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row>
    <row r="298" spans="1:75" x14ac:dyDescent="0.3">
      <c r="A298" s="8"/>
      <c r="B298" s="9" t="s">
        <v>222</v>
      </c>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6"/>
      <c r="AC298" s="41"/>
      <c r="AD298" s="3"/>
      <c r="AE298" s="3"/>
      <c r="AF298" s="3"/>
      <c r="AG298" s="3"/>
      <c r="AH298" s="3"/>
      <c r="AI298" s="3"/>
      <c r="AJ298" s="3"/>
      <c r="AK298" s="3"/>
      <c r="AL298" s="3"/>
      <c r="AM298" s="3"/>
      <c r="AN298" s="3"/>
      <c r="AO298" s="3"/>
      <c r="AP298" s="3"/>
      <c r="AQ298" s="3"/>
      <c r="AR298" s="3"/>
      <c r="AS298" s="76"/>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row>
    <row r="299" spans="1:75" x14ac:dyDescent="0.3">
      <c r="A299" s="8"/>
      <c r="B299" s="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6"/>
      <c r="AC299" s="41"/>
      <c r="AD299" s="3"/>
      <c r="AE299" s="3"/>
      <c r="AF299" s="3"/>
      <c r="AG299" s="3"/>
      <c r="AH299" s="3"/>
      <c r="AI299" s="3"/>
      <c r="AJ299" s="3"/>
      <c r="AK299" s="3"/>
      <c r="AL299" s="3"/>
      <c r="AM299" s="3"/>
      <c r="AN299" s="3"/>
      <c r="AO299" s="3"/>
      <c r="AP299" s="3"/>
      <c r="AQ299" s="3"/>
      <c r="AR299" s="3"/>
      <c r="AS299" s="76"/>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row>
    <row r="300" spans="1:75" x14ac:dyDescent="0.3">
      <c r="A300" s="8"/>
      <c r="B300" s="9" t="s">
        <v>223</v>
      </c>
      <c r="C300" s="9" t="s">
        <v>224</v>
      </c>
      <c r="D300" s="9" t="s">
        <v>225</v>
      </c>
      <c r="E300" s="9"/>
      <c r="F300" s="9"/>
      <c r="G300" s="7"/>
      <c r="H300" s="9"/>
      <c r="I300" s="7"/>
      <c r="J300" s="7"/>
      <c r="K300" s="7"/>
      <c r="L300" s="7"/>
      <c r="M300" s="7"/>
      <c r="N300" s="7"/>
      <c r="O300" s="7"/>
      <c r="P300" s="7"/>
      <c r="Q300" s="7"/>
      <c r="R300" s="7"/>
      <c r="S300" s="7"/>
      <c r="T300" s="7"/>
      <c r="U300" s="7"/>
      <c r="V300" s="7"/>
      <c r="W300" s="7"/>
      <c r="X300" s="7"/>
      <c r="Y300" s="7"/>
      <c r="Z300" s="7"/>
      <c r="AA300" s="7"/>
      <c r="AB300" s="6"/>
      <c r="AC300" s="41"/>
      <c r="AD300" s="3"/>
      <c r="AE300" s="3"/>
      <c r="AF300" s="3"/>
      <c r="AG300" s="3"/>
      <c r="AH300" s="3"/>
      <c r="AI300" s="3"/>
      <c r="AJ300" s="3"/>
      <c r="AK300" s="3"/>
      <c r="AL300" s="3"/>
      <c r="AM300" s="3"/>
      <c r="AN300" s="3"/>
      <c r="AO300" s="3"/>
      <c r="AP300" s="3"/>
      <c r="AQ300" s="3"/>
      <c r="AR300" s="3"/>
      <c r="AS300" s="76"/>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row>
    <row r="301" spans="1:75" x14ac:dyDescent="0.3">
      <c r="A301" s="8"/>
      <c r="B301" s="9" t="s">
        <v>226</v>
      </c>
      <c r="C301" s="9" t="s">
        <v>227</v>
      </c>
      <c r="D301" s="9" t="s">
        <v>6</v>
      </c>
      <c r="E301" s="9"/>
      <c r="F301" s="7"/>
      <c r="G301" s="7"/>
      <c r="H301" s="7"/>
      <c r="I301" s="7"/>
      <c r="J301" s="7"/>
      <c r="K301" s="7"/>
      <c r="L301" s="7"/>
      <c r="M301" s="7"/>
      <c r="N301" s="7"/>
      <c r="O301" s="7"/>
      <c r="P301" s="7"/>
      <c r="Q301" s="7"/>
      <c r="R301" s="7"/>
      <c r="S301" s="7"/>
      <c r="T301" s="7"/>
      <c r="U301" s="7"/>
      <c r="V301" s="7"/>
      <c r="W301" s="7"/>
      <c r="X301" s="7"/>
      <c r="Y301" s="7"/>
      <c r="Z301" s="7"/>
      <c r="AA301" s="7"/>
      <c r="AB301" s="6"/>
      <c r="AC301" s="41"/>
      <c r="AD301" s="3"/>
      <c r="AE301" s="3"/>
      <c r="AF301" s="3"/>
      <c r="AG301" s="3"/>
      <c r="AH301" s="3"/>
      <c r="AI301" s="3"/>
      <c r="AJ301" s="3"/>
      <c r="AK301" s="3"/>
      <c r="AL301" s="3"/>
      <c r="AM301" s="3"/>
      <c r="AN301" s="3"/>
      <c r="AO301" s="3"/>
      <c r="AP301" s="3"/>
      <c r="AQ301" s="3"/>
      <c r="AR301" s="3"/>
      <c r="AS301" s="76"/>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row>
    <row r="302" spans="1:75" x14ac:dyDescent="0.3">
      <c r="A302" s="8"/>
      <c r="B302" s="9"/>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6"/>
      <c r="AC302" s="41"/>
      <c r="AD302" s="3"/>
      <c r="AE302" s="3"/>
      <c r="AF302" s="3"/>
      <c r="AG302" s="3"/>
      <c r="AH302" s="3"/>
      <c r="AI302" s="3"/>
      <c r="AJ302" s="3"/>
      <c r="AK302" s="3"/>
      <c r="AL302" s="3"/>
      <c r="AM302" s="3"/>
      <c r="AN302" s="3"/>
      <c r="AO302" s="3"/>
      <c r="AP302" s="3"/>
      <c r="AQ302" s="3"/>
      <c r="AR302" s="3"/>
      <c r="AS302" s="76"/>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row>
    <row r="303" spans="1:75" x14ac:dyDescent="0.3">
      <c r="A303" s="70"/>
      <c r="B303" s="9"/>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6"/>
      <c r="AC303" s="41"/>
      <c r="AD303" s="3"/>
      <c r="AE303" s="3"/>
      <c r="AF303" s="3"/>
      <c r="AG303" s="3"/>
      <c r="AH303" s="3"/>
      <c r="AI303" s="3"/>
      <c r="AJ303" s="3"/>
      <c r="AK303" s="3"/>
      <c r="AL303" s="3"/>
      <c r="AM303" s="3"/>
      <c r="AN303" s="3"/>
      <c r="AO303" s="3"/>
      <c r="AP303" s="3"/>
      <c r="AQ303" s="3"/>
      <c r="AR303" s="3"/>
      <c r="AS303" s="76"/>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row>
    <row r="304" spans="1:75" x14ac:dyDescent="0.3">
      <c r="A304" s="70">
        <v>33</v>
      </c>
      <c r="B304" s="86" t="s">
        <v>228</v>
      </c>
      <c r="C304" s="7"/>
      <c r="D304" s="7"/>
      <c r="E304" s="7"/>
      <c r="F304" s="71"/>
      <c r="G304" s="51"/>
      <c r="H304" s="52"/>
      <c r="I304" s="53"/>
      <c r="J304" s="52"/>
      <c r="K304" s="53"/>
      <c r="L304" s="66"/>
      <c r="M304" s="23"/>
      <c r="N304" s="51"/>
      <c r="O304" s="52"/>
      <c r="P304" s="53"/>
      <c r="Q304" s="52"/>
      <c r="R304" s="53"/>
      <c r="S304" s="66"/>
      <c r="T304" s="3"/>
      <c r="U304" s="51"/>
      <c r="V304" s="52"/>
      <c r="W304" s="53"/>
      <c r="X304" s="52"/>
      <c r="Y304" s="53"/>
      <c r="Z304" s="66"/>
      <c r="AA304" s="3"/>
      <c r="AB304" s="62"/>
      <c r="AC304" s="52"/>
      <c r="AD304" s="3"/>
      <c r="AE304" s="3"/>
      <c r="AF304" s="88" t="str">
        <f>A304&amp;" "&amp;B304</f>
        <v>33 Orientación y Psicopedagogía</v>
      </c>
      <c r="AG304" s="3"/>
      <c r="AH304" s="3"/>
      <c r="AI304" s="3"/>
      <c r="AJ304" s="3"/>
      <c r="AK304" s="3"/>
      <c r="AL304" s="3"/>
      <c r="AM304" s="3"/>
      <c r="AN304" s="3"/>
      <c r="AO304" s="3"/>
      <c r="AP304" s="3"/>
      <c r="AQ304" s="3"/>
      <c r="AR304" s="3"/>
      <c r="AS304" s="76"/>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row>
    <row r="305" spans="1:75" x14ac:dyDescent="0.3">
      <c r="A305" s="8" t="s">
        <v>17</v>
      </c>
      <c r="B305" s="9" t="s">
        <v>229</v>
      </c>
      <c r="C305" s="7"/>
      <c r="D305" s="7"/>
      <c r="E305" s="7"/>
      <c r="F305" s="71">
        <v>100</v>
      </c>
      <c r="G305" s="51">
        <f t="shared" ref="G305:G310" si="397">I305+K305</f>
        <v>21</v>
      </c>
      <c r="H305" s="52">
        <f t="shared" ref="H305:H310" si="398">G305/$J$5*100</f>
        <v>50</v>
      </c>
      <c r="I305" s="53">
        <f>COUNTIFS('00 Encuesta'!$B$2:$B$511,"*f)*",'00 Encuesta'!$C$2:$C$511,"*a)*",'00 Encuesta'!$E$2:$E$511,"*a)*",'00 Encuesta'!$AM$2:$AM$511,"*a)*")</f>
        <v>10</v>
      </c>
      <c r="J305" s="52">
        <f t="shared" ref="J305:J310" si="399">I305/$J$6*100</f>
        <v>45.454545454545453</v>
      </c>
      <c r="K305" s="53">
        <f>COUNTIFS('00 Encuesta'!$B$2:$B$511,"*f)*",'00 Encuesta'!$C$2:$C$511,"*a)*",'00 Encuesta'!$E$2:$E$511,"*b)*",'00 Encuesta'!$AM$2:$AM$511,"*a)*")</f>
        <v>11</v>
      </c>
      <c r="L305" s="52">
        <f t="shared" ref="L305:L310" si="400">K305/$J$7*100</f>
        <v>55.000000000000007</v>
      </c>
      <c r="M305" s="23"/>
      <c r="N305" s="51">
        <f t="shared" ref="N305:N310" si="401">P305+R305</f>
        <v>0</v>
      </c>
      <c r="O305" s="52" t="e">
        <f t="shared" ref="O305:O310" si="402">N305/$Q$5*100</f>
        <v>#DIV/0!</v>
      </c>
      <c r="P305" s="53">
        <f>COUNTIFS('00 Encuesta'!$B$2:$B$511,"*f)*",'00 Encuesta'!$C$2:$C$511,"*b)*",'00 Encuesta'!$E$2:$E$511,"*a)*",'00 Encuesta'!$AM$2:$AM$511,"*a)*")</f>
        <v>0</v>
      </c>
      <c r="Q305" s="52" t="e">
        <f t="shared" ref="Q305:Q310" si="403">P305/$Q$6*100</f>
        <v>#DIV/0!</v>
      </c>
      <c r="R305" s="53">
        <f>COUNTIFS('00 Encuesta'!$B$2:$B$511,"*f)*",'00 Encuesta'!$C$2:$C$511,"*b)*",'00 Encuesta'!$E$2:$E$511,"*b)*",'00 Encuesta'!$AM$2:$AM$511,"*a)*")</f>
        <v>0</v>
      </c>
      <c r="S305" s="52" t="e">
        <f t="shared" ref="S305:S310" si="404">R305/$Q$7*100</f>
        <v>#DIV/0!</v>
      </c>
      <c r="T305" s="3"/>
      <c r="U305" s="51">
        <f t="shared" ref="U305:U310" si="405">W305+Y305</f>
        <v>0</v>
      </c>
      <c r="V305" s="52" t="e">
        <f t="shared" ref="V305:V310" si="406">U305/$X$5*100</f>
        <v>#DIV/0!</v>
      </c>
      <c r="W305" s="53">
        <f>COUNTIFS('00 Encuesta'!$B$2:$B$511,"*f)*",'00 Encuesta'!$C$2:$C$511,"*c)*",'00 Encuesta'!$E$2:$E$511,"*a)*",'00 Encuesta'!$AM$2:$AM$511,"*a)*")</f>
        <v>0</v>
      </c>
      <c r="X305" s="52" t="e">
        <f t="shared" ref="X305:X310" si="407">W305/$X$6*100</f>
        <v>#DIV/0!</v>
      </c>
      <c r="Y305" s="53">
        <f>COUNTIFS('00 Encuesta'!$B$2:$B$511,"*f)*",'00 Encuesta'!$C$2:$C$511,"*c)*",'00 Encuesta'!$E$2:$E$511,"*b)*",'00 Encuesta'!$AM$2:$AM$511,"*a)*")</f>
        <v>0</v>
      </c>
      <c r="Z305" s="52" t="e">
        <f t="shared" ref="Z305:Z310" si="408">Y305/$X$7*100</f>
        <v>#DIV/0!</v>
      </c>
      <c r="AA305" s="3"/>
      <c r="AB305" s="62">
        <f t="shared" ref="AB305:AB310" si="409">G305+N305+U305</f>
        <v>21</v>
      </c>
      <c r="AC305" s="52">
        <f t="shared" ref="AC305:AC310" si="410">AB305*100/$AC$5</f>
        <v>50</v>
      </c>
      <c r="AD305" s="3"/>
      <c r="AE305" s="3"/>
      <c r="AF305" s="9" t="str">
        <f t="shared" ref="AF305:AF310" si="411">A305&amp;" "&amp;B305</f>
        <v>a) Muy buena</v>
      </c>
      <c r="AG305" s="72">
        <f t="shared" ref="AG305:AG310" si="412">J305</f>
        <v>45.454545454545453</v>
      </c>
      <c r="AH305" s="72">
        <f t="shared" ref="AH305:AH310" si="413">L305</f>
        <v>55.000000000000007</v>
      </c>
      <c r="AI305" s="73">
        <f t="shared" ref="AI305:AI310" si="414">H305</f>
        <v>50</v>
      </c>
      <c r="AJ305" s="73"/>
      <c r="AK305" s="76" t="e">
        <f t="shared" ref="AK305:AK310" si="415">Q305</f>
        <v>#DIV/0!</v>
      </c>
      <c r="AL305" s="76" t="e">
        <f t="shared" ref="AL305:AL310" si="416">S305</f>
        <v>#DIV/0!</v>
      </c>
      <c r="AM305" s="76" t="e">
        <f t="shared" ref="AM305:AM310" si="417">O305</f>
        <v>#DIV/0!</v>
      </c>
      <c r="AN305" s="76"/>
      <c r="AO305" s="81" t="e">
        <f t="shared" ref="AO305:AO310" si="418">X305</f>
        <v>#DIV/0!</v>
      </c>
      <c r="AP305" s="81" t="e">
        <f t="shared" ref="AP305:AP310" si="419">Z305</f>
        <v>#DIV/0!</v>
      </c>
      <c r="AQ305" s="81" t="e">
        <f t="shared" ref="AQ305:AQ310" si="420">V305</f>
        <v>#DIV/0!</v>
      </c>
      <c r="AR305" s="3"/>
      <c r="AS305" s="76">
        <f t="shared" si="369"/>
        <v>50</v>
      </c>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row>
    <row r="306" spans="1:75" x14ac:dyDescent="0.3">
      <c r="A306" s="8" t="s">
        <v>18</v>
      </c>
      <c r="B306" s="9" t="s">
        <v>230</v>
      </c>
      <c r="C306" s="7"/>
      <c r="D306" s="7"/>
      <c r="E306" s="7"/>
      <c r="F306" s="71">
        <v>75</v>
      </c>
      <c r="G306" s="51">
        <f t="shared" si="397"/>
        <v>17</v>
      </c>
      <c r="H306" s="52">
        <f t="shared" si="398"/>
        <v>40.476190476190474</v>
      </c>
      <c r="I306" s="53">
        <f>COUNTIFS('00 Encuesta'!$B$2:$B$511,"*f)*",'00 Encuesta'!$C$2:$C$511,"*a)*",'00 Encuesta'!$E$2:$E$511,"*a)*",'00 Encuesta'!$AM$2:$AM$511,"*b)*")</f>
        <v>10</v>
      </c>
      <c r="J306" s="52">
        <f t="shared" si="399"/>
        <v>45.454545454545453</v>
      </c>
      <c r="K306" s="53">
        <f>COUNTIFS('00 Encuesta'!$B$2:$B$511,"*f)*",'00 Encuesta'!$C$2:$C$511,"*a)*",'00 Encuesta'!$E$2:$E$511,"*b)*",'00 Encuesta'!$AM$2:$AM$511,"*b)*")</f>
        <v>7</v>
      </c>
      <c r="L306" s="52">
        <f t="shared" si="400"/>
        <v>35</v>
      </c>
      <c r="M306" s="23"/>
      <c r="N306" s="51">
        <f t="shared" si="401"/>
        <v>0</v>
      </c>
      <c r="O306" s="52" t="e">
        <f t="shared" si="402"/>
        <v>#DIV/0!</v>
      </c>
      <c r="P306" s="53">
        <f>COUNTIFS('00 Encuesta'!$B$2:$B$511,"*f)*",'00 Encuesta'!$C$2:$C$511,"*b)*",'00 Encuesta'!$E$2:$E$511,"*a)*",'00 Encuesta'!$AM$2:$AM$511,"*b)*")</f>
        <v>0</v>
      </c>
      <c r="Q306" s="52" t="e">
        <f t="shared" si="403"/>
        <v>#DIV/0!</v>
      </c>
      <c r="R306" s="53">
        <f>COUNTIFS('00 Encuesta'!$B$2:$B$511,"*f)*",'00 Encuesta'!$C$2:$C$511,"*b)*",'00 Encuesta'!$E$2:$E$511,"*b)*",'00 Encuesta'!$AM$2:$AM$511,"*b)*")</f>
        <v>0</v>
      </c>
      <c r="S306" s="52" t="e">
        <f t="shared" si="404"/>
        <v>#DIV/0!</v>
      </c>
      <c r="T306" s="3"/>
      <c r="U306" s="51">
        <f t="shared" si="405"/>
        <v>0</v>
      </c>
      <c r="V306" s="52" t="e">
        <f t="shared" si="406"/>
        <v>#DIV/0!</v>
      </c>
      <c r="W306" s="53">
        <f>COUNTIFS('00 Encuesta'!$B$2:$B$511,"*f)*",'00 Encuesta'!$C$2:$C$511,"*c)*",'00 Encuesta'!$E$2:$E$511,"*a)*",'00 Encuesta'!$AM$2:$AM$511,"*b)*")</f>
        <v>0</v>
      </c>
      <c r="X306" s="52" t="e">
        <f t="shared" si="407"/>
        <v>#DIV/0!</v>
      </c>
      <c r="Y306" s="53">
        <f>COUNTIFS('00 Encuesta'!$B$2:$B$511,"*f)*",'00 Encuesta'!$C$2:$C$511,"*c)*",'00 Encuesta'!$E$2:$E$511,"*b)*",'00 Encuesta'!$AM$2:$AM$511,"*b)*")</f>
        <v>0</v>
      </c>
      <c r="Z306" s="52" t="e">
        <f t="shared" si="408"/>
        <v>#DIV/0!</v>
      </c>
      <c r="AA306" s="3"/>
      <c r="AB306" s="62">
        <f t="shared" si="409"/>
        <v>17</v>
      </c>
      <c r="AC306" s="52">
        <f t="shared" si="410"/>
        <v>40.476190476190474</v>
      </c>
      <c r="AD306" s="3"/>
      <c r="AE306" s="3"/>
      <c r="AF306" s="9" t="str">
        <f t="shared" si="411"/>
        <v>b) Buena</v>
      </c>
      <c r="AG306" s="72">
        <f t="shared" si="412"/>
        <v>45.454545454545453</v>
      </c>
      <c r="AH306" s="72">
        <f t="shared" si="413"/>
        <v>35</v>
      </c>
      <c r="AI306" s="73">
        <f t="shared" si="414"/>
        <v>40.476190476190474</v>
      </c>
      <c r="AJ306" s="73"/>
      <c r="AK306" s="76" t="e">
        <f t="shared" si="415"/>
        <v>#DIV/0!</v>
      </c>
      <c r="AL306" s="76" t="e">
        <f t="shared" si="416"/>
        <v>#DIV/0!</v>
      </c>
      <c r="AM306" s="76" t="e">
        <f t="shared" si="417"/>
        <v>#DIV/0!</v>
      </c>
      <c r="AN306" s="76"/>
      <c r="AO306" s="81" t="e">
        <f t="shared" si="418"/>
        <v>#DIV/0!</v>
      </c>
      <c r="AP306" s="81" t="e">
        <f t="shared" si="419"/>
        <v>#DIV/0!</v>
      </c>
      <c r="AQ306" s="81" t="e">
        <f t="shared" si="420"/>
        <v>#DIV/0!</v>
      </c>
      <c r="AR306" s="3"/>
      <c r="AS306" s="76">
        <f t="shared" si="369"/>
        <v>40.476190476190474</v>
      </c>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row>
    <row r="307" spans="1:75" x14ac:dyDescent="0.3">
      <c r="A307" s="8" t="s">
        <v>20</v>
      </c>
      <c r="B307" s="9" t="s">
        <v>218</v>
      </c>
      <c r="C307" s="7"/>
      <c r="D307" s="7"/>
      <c r="E307" s="7"/>
      <c r="F307" s="71">
        <v>50</v>
      </c>
      <c r="G307" s="51">
        <f t="shared" si="397"/>
        <v>1</v>
      </c>
      <c r="H307" s="52">
        <f t="shared" si="398"/>
        <v>2.3809523809523809</v>
      </c>
      <c r="I307" s="53">
        <f>COUNTIFS('00 Encuesta'!$B$2:$B$511,"*f)*",'00 Encuesta'!$C$2:$C$511,"*a)*",'00 Encuesta'!$E$2:$E$511,"*a)*",'00 Encuesta'!$AM$2:$AM$511,"*c)*")</f>
        <v>0</v>
      </c>
      <c r="J307" s="52">
        <f t="shared" si="399"/>
        <v>0</v>
      </c>
      <c r="K307" s="53">
        <f>COUNTIFS('00 Encuesta'!$B$2:$B$511,"*f)*",'00 Encuesta'!$C$2:$C$511,"*a)*",'00 Encuesta'!$E$2:$E$511,"*b)*",'00 Encuesta'!$AM$2:$AM$511,"*c)*")</f>
        <v>1</v>
      </c>
      <c r="L307" s="52">
        <f t="shared" si="400"/>
        <v>5</v>
      </c>
      <c r="M307" s="23"/>
      <c r="N307" s="51">
        <f t="shared" si="401"/>
        <v>0</v>
      </c>
      <c r="O307" s="52" t="e">
        <f t="shared" si="402"/>
        <v>#DIV/0!</v>
      </c>
      <c r="P307" s="53">
        <f>COUNTIFS('00 Encuesta'!$B$2:$B$511,"*f)*",'00 Encuesta'!$C$2:$C$511,"*b)*",'00 Encuesta'!$E$2:$E$511,"*a)*",'00 Encuesta'!$AM$2:$AM$511,"*c)*")</f>
        <v>0</v>
      </c>
      <c r="Q307" s="52" t="e">
        <f t="shared" si="403"/>
        <v>#DIV/0!</v>
      </c>
      <c r="R307" s="53">
        <f>COUNTIFS('00 Encuesta'!$B$2:$B$511,"*f)*",'00 Encuesta'!$C$2:$C$511,"*b)*",'00 Encuesta'!$E$2:$E$511,"*b)*",'00 Encuesta'!$AM$2:$AM$511,"*c)*")</f>
        <v>0</v>
      </c>
      <c r="S307" s="52" t="e">
        <f t="shared" si="404"/>
        <v>#DIV/0!</v>
      </c>
      <c r="T307" s="3"/>
      <c r="U307" s="51">
        <f t="shared" si="405"/>
        <v>0</v>
      </c>
      <c r="V307" s="52" t="e">
        <f t="shared" si="406"/>
        <v>#DIV/0!</v>
      </c>
      <c r="W307" s="53">
        <f>COUNTIFS('00 Encuesta'!$B$2:$B$511,"*f)*",'00 Encuesta'!$C$2:$C$511,"*c)*",'00 Encuesta'!$E$2:$E$511,"*a)*",'00 Encuesta'!$AM$2:$AM$511,"*c)*")</f>
        <v>0</v>
      </c>
      <c r="X307" s="52" t="e">
        <f t="shared" si="407"/>
        <v>#DIV/0!</v>
      </c>
      <c r="Y307" s="53">
        <f>COUNTIFS('00 Encuesta'!$B$2:$B$511,"*f)*",'00 Encuesta'!$C$2:$C$511,"*c)*",'00 Encuesta'!$E$2:$E$511,"*b)*",'00 Encuesta'!$AM$2:$AM$511,"*c)*")</f>
        <v>0</v>
      </c>
      <c r="Z307" s="52" t="e">
        <f t="shared" si="408"/>
        <v>#DIV/0!</v>
      </c>
      <c r="AA307" s="3"/>
      <c r="AB307" s="62">
        <f t="shared" si="409"/>
        <v>1</v>
      </c>
      <c r="AC307" s="52">
        <f t="shared" si="410"/>
        <v>2.3809523809523809</v>
      </c>
      <c r="AD307" s="3"/>
      <c r="AE307" s="3"/>
      <c r="AF307" s="9" t="str">
        <f t="shared" si="411"/>
        <v>c) Regular</v>
      </c>
      <c r="AG307" s="72">
        <f t="shared" si="412"/>
        <v>0</v>
      </c>
      <c r="AH307" s="72">
        <f t="shared" si="413"/>
        <v>5</v>
      </c>
      <c r="AI307" s="73">
        <f t="shared" si="414"/>
        <v>2.3809523809523809</v>
      </c>
      <c r="AJ307" s="73"/>
      <c r="AK307" s="76" t="e">
        <f t="shared" si="415"/>
        <v>#DIV/0!</v>
      </c>
      <c r="AL307" s="76" t="e">
        <f t="shared" si="416"/>
        <v>#DIV/0!</v>
      </c>
      <c r="AM307" s="76" t="e">
        <f t="shared" si="417"/>
        <v>#DIV/0!</v>
      </c>
      <c r="AN307" s="76"/>
      <c r="AO307" s="81" t="e">
        <f t="shared" si="418"/>
        <v>#DIV/0!</v>
      </c>
      <c r="AP307" s="81" t="e">
        <f t="shared" si="419"/>
        <v>#DIV/0!</v>
      </c>
      <c r="AQ307" s="81" t="e">
        <f t="shared" si="420"/>
        <v>#DIV/0!</v>
      </c>
      <c r="AR307" s="3"/>
      <c r="AS307" s="76">
        <f t="shared" si="369"/>
        <v>2.3809523809523809</v>
      </c>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row>
    <row r="308" spans="1:75" x14ac:dyDescent="0.3">
      <c r="A308" s="8" t="s">
        <v>21</v>
      </c>
      <c r="B308" s="9" t="s">
        <v>231</v>
      </c>
      <c r="C308" s="7"/>
      <c r="D308" s="7"/>
      <c r="E308" s="7"/>
      <c r="F308" s="71">
        <v>25</v>
      </c>
      <c r="G308" s="51">
        <f t="shared" si="397"/>
        <v>1</v>
      </c>
      <c r="H308" s="52">
        <f t="shared" si="398"/>
        <v>2.3809523809523809</v>
      </c>
      <c r="I308" s="53">
        <f>COUNTIFS('00 Encuesta'!$B$2:$B$511,"*f)*",'00 Encuesta'!$C$2:$C$511,"*a)*",'00 Encuesta'!$E$2:$E$511,"*a)*",'00 Encuesta'!$AM$2:$AM$511,"*d)*")</f>
        <v>1</v>
      </c>
      <c r="J308" s="52">
        <f t="shared" si="399"/>
        <v>4.5454545454545459</v>
      </c>
      <c r="K308" s="53">
        <f>COUNTIFS('00 Encuesta'!$B$2:$B$511,"*f)*",'00 Encuesta'!$C$2:$C$511,"*a)*",'00 Encuesta'!$E$2:$E$511,"*b)*",'00 Encuesta'!$AM$2:$AM$511,"*d)*")</f>
        <v>0</v>
      </c>
      <c r="L308" s="52">
        <f t="shared" si="400"/>
        <v>0</v>
      </c>
      <c r="M308" s="23"/>
      <c r="N308" s="51">
        <f t="shared" si="401"/>
        <v>0</v>
      </c>
      <c r="O308" s="52" t="e">
        <f t="shared" si="402"/>
        <v>#DIV/0!</v>
      </c>
      <c r="P308" s="53">
        <f>COUNTIFS('00 Encuesta'!$B$2:$B$511,"*f)*",'00 Encuesta'!$C$2:$C$511,"*b)*",'00 Encuesta'!$E$2:$E$511,"*a)*",'00 Encuesta'!$AM$2:$AM$511,"*d)*")</f>
        <v>0</v>
      </c>
      <c r="Q308" s="52" t="e">
        <f t="shared" si="403"/>
        <v>#DIV/0!</v>
      </c>
      <c r="R308" s="53">
        <f>COUNTIFS('00 Encuesta'!$B$2:$B$511,"*f)*",'00 Encuesta'!$C$2:$C$511,"*b)*",'00 Encuesta'!$E$2:$E$511,"*b)*",'00 Encuesta'!$AM$2:$AM$511,"*d)*")</f>
        <v>0</v>
      </c>
      <c r="S308" s="52" t="e">
        <f t="shared" si="404"/>
        <v>#DIV/0!</v>
      </c>
      <c r="T308" s="3"/>
      <c r="U308" s="51">
        <f t="shared" si="405"/>
        <v>0</v>
      </c>
      <c r="V308" s="52" t="e">
        <f t="shared" si="406"/>
        <v>#DIV/0!</v>
      </c>
      <c r="W308" s="53">
        <f>COUNTIFS('00 Encuesta'!$B$2:$B$511,"*f)*",'00 Encuesta'!$C$2:$C$511,"*c)*",'00 Encuesta'!$E$2:$E$511,"*a)*",'00 Encuesta'!$AM$2:$AM$511,"*d)*")</f>
        <v>0</v>
      </c>
      <c r="X308" s="52" t="e">
        <f t="shared" si="407"/>
        <v>#DIV/0!</v>
      </c>
      <c r="Y308" s="53">
        <f>COUNTIFS('00 Encuesta'!$B$2:$B$511,"*f)*",'00 Encuesta'!$C$2:$C$511,"*c)*",'00 Encuesta'!$E$2:$E$511,"*b)*",'00 Encuesta'!$AM$2:$AM$511,"*d)*")</f>
        <v>0</v>
      </c>
      <c r="Z308" s="52" t="e">
        <f t="shared" si="408"/>
        <v>#DIV/0!</v>
      </c>
      <c r="AA308" s="3"/>
      <c r="AB308" s="62">
        <f t="shared" si="409"/>
        <v>1</v>
      </c>
      <c r="AC308" s="52">
        <f t="shared" si="410"/>
        <v>2.3809523809523809</v>
      </c>
      <c r="AD308" s="3"/>
      <c r="AE308" s="3"/>
      <c r="AF308" s="9" t="str">
        <f t="shared" si="411"/>
        <v>d) Mala</v>
      </c>
      <c r="AG308" s="72">
        <f t="shared" si="412"/>
        <v>4.5454545454545459</v>
      </c>
      <c r="AH308" s="72">
        <f t="shared" si="413"/>
        <v>0</v>
      </c>
      <c r="AI308" s="73">
        <f t="shared" si="414"/>
        <v>2.3809523809523809</v>
      </c>
      <c r="AJ308" s="73"/>
      <c r="AK308" s="76" t="e">
        <f t="shared" si="415"/>
        <v>#DIV/0!</v>
      </c>
      <c r="AL308" s="76" t="e">
        <f t="shared" si="416"/>
        <v>#DIV/0!</v>
      </c>
      <c r="AM308" s="76" t="e">
        <f t="shared" si="417"/>
        <v>#DIV/0!</v>
      </c>
      <c r="AN308" s="76"/>
      <c r="AO308" s="81" t="e">
        <f t="shared" si="418"/>
        <v>#DIV/0!</v>
      </c>
      <c r="AP308" s="81" t="e">
        <f t="shared" si="419"/>
        <v>#DIV/0!</v>
      </c>
      <c r="AQ308" s="81" t="e">
        <f t="shared" si="420"/>
        <v>#DIV/0!</v>
      </c>
      <c r="AR308" s="3"/>
      <c r="AS308" s="76">
        <f t="shared" si="369"/>
        <v>2.3809523809523809</v>
      </c>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row>
    <row r="309" spans="1:75" x14ac:dyDescent="0.3">
      <c r="A309" s="8" t="s">
        <v>22</v>
      </c>
      <c r="B309" s="9" t="s">
        <v>232</v>
      </c>
      <c r="C309" s="7"/>
      <c r="D309" s="7"/>
      <c r="E309" s="7"/>
      <c r="F309" s="71">
        <v>0</v>
      </c>
      <c r="G309" s="51">
        <f t="shared" si="397"/>
        <v>0</v>
      </c>
      <c r="H309" s="52">
        <f t="shared" si="398"/>
        <v>0</v>
      </c>
      <c r="I309" s="53">
        <f>COUNTIFS('00 Encuesta'!$B$2:$B$511,"*f)*",'00 Encuesta'!$C$2:$C$511,"*a)*",'00 Encuesta'!$E$2:$E$511,"*a)*",'00 Encuesta'!$AM$2:$AM$511,"*e)*")</f>
        <v>0</v>
      </c>
      <c r="J309" s="52">
        <f t="shared" si="399"/>
        <v>0</v>
      </c>
      <c r="K309" s="53">
        <f>COUNTIFS('00 Encuesta'!$B$2:$B$511,"*f)*",'00 Encuesta'!$C$2:$C$511,"*a)*",'00 Encuesta'!$E$2:$E$511,"*b)*",'00 Encuesta'!$AM$2:$AM$511,"*e)*")</f>
        <v>0</v>
      </c>
      <c r="L309" s="52">
        <f t="shared" si="400"/>
        <v>0</v>
      </c>
      <c r="M309" s="23"/>
      <c r="N309" s="51">
        <f t="shared" si="401"/>
        <v>0</v>
      </c>
      <c r="O309" s="52" t="e">
        <f t="shared" si="402"/>
        <v>#DIV/0!</v>
      </c>
      <c r="P309" s="53">
        <f>COUNTIFS('00 Encuesta'!$B$2:$B$511,"*f)*",'00 Encuesta'!$C$2:$C$511,"*b)*",'00 Encuesta'!$E$2:$E$511,"*a)*",'00 Encuesta'!$AM$2:$AM$511,"*e)*")</f>
        <v>0</v>
      </c>
      <c r="Q309" s="52" t="e">
        <f t="shared" si="403"/>
        <v>#DIV/0!</v>
      </c>
      <c r="R309" s="53">
        <f>COUNTIFS('00 Encuesta'!$B$2:$B$511,"*f)*",'00 Encuesta'!$C$2:$C$511,"*b)*",'00 Encuesta'!$E$2:$E$511,"*b)*",'00 Encuesta'!$AM$2:$AM$511,"*e)*")</f>
        <v>0</v>
      </c>
      <c r="S309" s="52" t="e">
        <f t="shared" si="404"/>
        <v>#DIV/0!</v>
      </c>
      <c r="T309" s="3"/>
      <c r="U309" s="51">
        <f t="shared" si="405"/>
        <v>0</v>
      </c>
      <c r="V309" s="52" t="e">
        <f t="shared" si="406"/>
        <v>#DIV/0!</v>
      </c>
      <c r="W309" s="53">
        <f>COUNTIFS('00 Encuesta'!$B$2:$B$511,"*f)*",'00 Encuesta'!$C$2:$C$511,"*c)*",'00 Encuesta'!$E$2:$E$511,"*a)*",'00 Encuesta'!$AM$2:$AM$511,"*e)*")</f>
        <v>0</v>
      </c>
      <c r="X309" s="52" t="e">
        <f t="shared" si="407"/>
        <v>#DIV/0!</v>
      </c>
      <c r="Y309" s="53">
        <f>COUNTIFS('00 Encuesta'!$B$2:$B$511,"*f)*",'00 Encuesta'!$C$2:$C$511,"*c)*",'00 Encuesta'!$E$2:$E$511,"*b)*",'00 Encuesta'!$AM$2:$AM$511,"*e)*")</f>
        <v>0</v>
      </c>
      <c r="Z309" s="52" t="e">
        <f t="shared" si="408"/>
        <v>#DIV/0!</v>
      </c>
      <c r="AA309" s="3"/>
      <c r="AB309" s="62">
        <f t="shared" si="409"/>
        <v>0</v>
      </c>
      <c r="AC309" s="52">
        <f t="shared" si="410"/>
        <v>0</v>
      </c>
      <c r="AD309" s="3"/>
      <c r="AE309" s="3"/>
      <c r="AF309" s="9" t="str">
        <f t="shared" si="411"/>
        <v>e) Muy mala</v>
      </c>
      <c r="AG309" s="72">
        <f t="shared" si="412"/>
        <v>0</v>
      </c>
      <c r="AH309" s="72">
        <f t="shared" si="413"/>
        <v>0</v>
      </c>
      <c r="AI309" s="73">
        <f t="shared" si="414"/>
        <v>0</v>
      </c>
      <c r="AJ309" s="73"/>
      <c r="AK309" s="76" t="e">
        <f t="shared" si="415"/>
        <v>#DIV/0!</v>
      </c>
      <c r="AL309" s="76" t="e">
        <f t="shared" si="416"/>
        <v>#DIV/0!</v>
      </c>
      <c r="AM309" s="76" t="e">
        <f t="shared" si="417"/>
        <v>#DIV/0!</v>
      </c>
      <c r="AN309" s="76"/>
      <c r="AO309" s="81" t="e">
        <f t="shared" si="418"/>
        <v>#DIV/0!</v>
      </c>
      <c r="AP309" s="81" t="e">
        <f t="shared" si="419"/>
        <v>#DIV/0!</v>
      </c>
      <c r="AQ309" s="81" t="e">
        <f t="shared" si="420"/>
        <v>#DIV/0!</v>
      </c>
      <c r="AR309" s="3"/>
      <c r="AS309" s="76">
        <f t="shared" si="369"/>
        <v>0</v>
      </c>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row>
    <row r="310" spans="1:75" x14ac:dyDescent="0.3">
      <c r="A310" s="8" t="s">
        <v>45</v>
      </c>
      <c r="B310" s="9" t="s">
        <v>233</v>
      </c>
      <c r="C310" s="7"/>
      <c r="D310" s="7"/>
      <c r="E310" s="7"/>
      <c r="F310" s="71"/>
      <c r="G310" s="51">
        <f t="shared" si="397"/>
        <v>0</v>
      </c>
      <c r="H310" s="52">
        <f t="shared" si="398"/>
        <v>0</v>
      </c>
      <c r="I310" s="53">
        <f>COUNTIFS('00 Encuesta'!$B$2:$B$511,"*f)*",'00 Encuesta'!$C$2:$C$511,"*a)*",'00 Encuesta'!$E$2:$E$511,"*a)*",'00 Encuesta'!$AM$2:$AM$511,"*f)*")</f>
        <v>0</v>
      </c>
      <c r="J310" s="52">
        <f t="shared" si="399"/>
        <v>0</v>
      </c>
      <c r="K310" s="53">
        <f>COUNTIFS('00 Encuesta'!$B$2:$B$511,"*f)*",'00 Encuesta'!$C$2:$C$511,"*a)*",'00 Encuesta'!$E$2:$E$511,"*b)*",'00 Encuesta'!$AM$2:$AM$511,"*f)*")</f>
        <v>0</v>
      </c>
      <c r="L310" s="52">
        <f t="shared" si="400"/>
        <v>0</v>
      </c>
      <c r="M310" s="23"/>
      <c r="N310" s="51">
        <f t="shared" si="401"/>
        <v>0</v>
      </c>
      <c r="O310" s="52" t="e">
        <f t="shared" si="402"/>
        <v>#DIV/0!</v>
      </c>
      <c r="P310" s="53">
        <f>COUNTIFS('00 Encuesta'!$B$2:$B$511,"*f)*",'00 Encuesta'!$C$2:$C$511,"*b)*",'00 Encuesta'!$E$2:$E$511,"*a)*",'00 Encuesta'!$AM$2:$AM$511,"*f)*")</f>
        <v>0</v>
      </c>
      <c r="Q310" s="52" t="e">
        <f t="shared" si="403"/>
        <v>#DIV/0!</v>
      </c>
      <c r="R310" s="53">
        <f>COUNTIFS('00 Encuesta'!$B$2:$B$511,"*f)*",'00 Encuesta'!$C$2:$C$511,"*b)*",'00 Encuesta'!$E$2:$E$511,"*b)*",'00 Encuesta'!$AM$2:$AM$511,"*f)*")</f>
        <v>0</v>
      </c>
      <c r="S310" s="52" t="e">
        <f t="shared" si="404"/>
        <v>#DIV/0!</v>
      </c>
      <c r="T310" s="3"/>
      <c r="U310" s="51">
        <f t="shared" si="405"/>
        <v>0</v>
      </c>
      <c r="V310" s="52" t="e">
        <f t="shared" si="406"/>
        <v>#DIV/0!</v>
      </c>
      <c r="W310" s="53">
        <f>COUNTIFS('00 Encuesta'!$B$2:$B$511,"*f)*",'00 Encuesta'!$C$2:$C$511,"*c)*",'00 Encuesta'!$E$2:$E$511,"*a)*",'00 Encuesta'!$AM$2:$AM$511,"*f)*")</f>
        <v>0</v>
      </c>
      <c r="X310" s="52" t="e">
        <f t="shared" si="407"/>
        <v>#DIV/0!</v>
      </c>
      <c r="Y310" s="53">
        <f>COUNTIFS('00 Encuesta'!$B$2:$B$511,"*f)*",'00 Encuesta'!$C$2:$C$511,"*c)*",'00 Encuesta'!$E$2:$E$511,"*b)*",'00 Encuesta'!$AM$2:$AM$511,"*f)*")</f>
        <v>0</v>
      </c>
      <c r="Z310" s="52" t="e">
        <f t="shared" si="408"/>
        <v>#DIV/0!</v>
      </c>
      <c r="AA310" s="3"/>
      <c r="AB310" s="62">
        <f t="shared" si="409"/>
        <v>0</v>
      </c>
      <c r="AC310" s="52">
        <f t="shared" si="410"/>
        <v>0</v>
      </c>
      <c r="AD310" s="3"/>
      <c r="AE310" s="3"/>
      <c r="AF310" s="9" t="str">
        <f t="shared" si="411"/>
        <v>f) No aplica</v>
      </c>
      <c r="AG310" s="72">
        <f t="shared" si="412"/>
        <v>0</v>
      </c>
      <c r="AH310" s="72">
        <f t="shared" si="413"/>
        <v>0</v>
      </c>
      <c r="AI310" s="73">
        <f t="shared" si="414"/>
        <v>0</v>
      </c>
      <c r="AJ310" s="73"/>
      <c r="AK310" s="76" t="e">
        <f t="shared" si="415"/>
        <v>#DIV/0!</v>
      </c>
      <c r="AL310" s="76" t="e">
        <f t="shared" si="416"/>
        <v>#DIV/0!</v>
      </c>
      <c r="AM310" s="76" t="e">
        <f t="shared" si="417"/>
        <v>#DIV/0!</v>
      </c>
      <c r="AN310" s="76"/>
      <c r="AO310" s="81" t="e">
        <f t="shared" si="418"/>
        <v>#DIV/0!</v>
      </c>
      <c r="AP310" s="81" t="e">
        <f t="shared" si="419"/>
        <v>#DIV/0!</v>
      </c>
      <c r="AQ310" s="81" t="e">
        <f t="shared" si="420"/>
        <v>#DIV/0!</v>
      </c>
      <c r="AR310" s="3"/>
      <c r="AS310" s="76">
        <f t="shared" si="369"/>
        <v>0</v>
      </c>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row>
    <row r="311" spans="1:75" x14ac:dyDescent="0.3">
      <c r="A311" s="8"/>
      <c r="B311" s="9"/>
      <c r="C311" s="7"/>
      <c r="D311" s="7"/>
      <c r="E311" s="7"/>
      <c r="F311" s="71"/>
      <c r="G311" s="23"/>
      <c r="H311" s="22"/>
      <c r="I311" s="23"/>
      <c r="J311" s="22"/>
      <c r="K311" s="23"/>
      <c r="L311" s="22"/>
      <c r="M311" s="23"/>
      <c r="N311" s="23"/>
      <c r="O311" s="22"/>
      <c r="P311" s="23"/>
      <c r="Q311" s="22"/>
      <c r="R311" s="23"/>
      <c r="S311" s="22"/>
      <c r="T311" s="3"/>
      <c r="U311" s="23"/>
      <c r="V311" s="22"/>
      <c r="W311" s="23"/>
      <c r="X311" s="22"/>
      <c r="Y311" s="23"/>
      <c r="Z311" s="22"/>
      <c r="AA311" s="3"/>
      <c r="AB311" s="24"/>
      <c r="AC311" s="22"/>
      <c r="AD311" s="3"/>
      <c r="AE311" s="3"/>
      <c r="AF311" s="9"/>
      <c r="AG311" s="82">
        <f>($F305*I305+$F306*I306+$F307*I307+$F308*I308+$F309*I309)/(I305+I306+I307+I308+I309)</f>
        <v>84.523809523809518</v>
      </c>
      <c r="AH311" s="82">
        <f>($F305*K305+$F306*K306+$F307*K307+$F308*K308+$F309*K309)/(K305+K306+K307+K308+K309)</f>
        <v>88.15789473684211</v>
      </c>
      <c r="AI311" s="82">
        <f>($F305*G305+$F306*G306+$F307*G307+$F308*G308+$F309*G309)/(G305+G306+G307+G308+G309)</f>
        <v>86.25</v>
      </c>
      <c r="AJ311" s="82"/>
      <c r="AK311" s="82" t="e">
        <f>($F305*Q305+$F306*Q306+$F307*Q307+$F308*Q308+$F309*Q309)/(Q305+Q306+Q307+Q308+Q309)</f>
        <v>#DIV/0!</v>
      </c>
      <c r="AL311" s="82" t="e">
        <f>($F305*S305+$F306*S306+$F307*S307+$F308*S308+$F309*S309)/(S305+S306+S307+S308+S309)</f>
        <v>#DIV/0!</v>
      </c>
      <c r="AM311" s="82" t="e">
        <f>($F305*O305+$F306*O306+$F307*O307+$F308*O308+$F309*O309)/(O305+O306+O307+O308+O309)</f>
        <v>#DIV/0!</v>
      </c>
      <c r="AN311" s="82"/>
      <c r="AO311" s="82" t="e">
        <f>($F305*W305+$F306*W306+$F307*W307+$F308*W308+$F309*W309)/(W305+W306+W307+W308+W309)</f>
        <v>#DIV/0!</v>
      </c>
      <c r="AP311" s="82" t="e">
        <f>($F305*Y305+$F306*Y306+$F307*Y307+$F308*Y308+$F309*Y309)/(Y305+Y306+Y307+Y308+Y309)</f>
        <v>#DIV/0!</v>
      </c>
      <c r="AQ311" s="82" t="e">
        <f>($F305*U305+$F306*U306+$F307*U307+$F308*U308+$F309*U309)/(U305+U306+U307+U308+U309)</f>
        <v>#DIV/0!</v>
      </c>
      <c r="AR311" s="3"/>
      <c r="AS311" s="76"/>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row>
    <row r="312" spans="1:75" x14ac:dyDescent="0.3">
      <c r="A312" s="70">
        <v>34</v>
      </c>
      <c r="B312" s="86" t="s">
        <v>318</v>
      </c>
      <c r="C312" s="7"/>
      <c r="D312" s="7"/>
      <c r="E312" s="7"/>
      <c r="F312" s="71"/>
      <c r="G312" s="51"/>
      <c r="H312" s="52"/>
      <c r="I312" s="53"/>
      <c r="J312" s="52"/>
      <c r="K312" s="53"/>
      <c r="L312" s="66"/>
      <c r="M312" s="23"/>
      <c r="N312" s="51"/>
      <c r="O312" s="52"/>
      <c r="P312" s="53"/>
      <c r="Q312" s="52"/>
      <c r="R312" s="53"/>
      <c r="S312" s="66"/>
      <c r="T312" s="3"/>
      <c r="U312" s="51"/>
      <c r="V312" s="52"/>
      <c r="W312" s="53"/>
      <c r="X312" s="52"/>
      <c r="Y312" s="53"/>
      <c r="Z312" s="66"/>
      <c r="AA312" s="3"/>
      <c r="AB312" s="62"/>
      <c r="AC312" s="52"/>
      <c r="AD312" s="3"/>
      <c r="AE312" s="3"/>
      <c r="AF312" s="88" t="str">
        <f>A312&amp;" "&amp;B312</f>
        <v>34 Psicología</v>
      </c>
      <c r="AG312" s="3"/>
      <c r="AH312" s="3"/>
      <c r="AI312" s="3"/>
      <c r="AJ312" s="3"/>
      <c r="AK312" s="3"/>
      <c r="AL312" s="3"/>
      <c r="AM312" s="3"/>
      <c r="AN312" s="3"/>
      <c r="AO312" s="3"/>
      <c r="AP312" s="3"/>
      <c r="AQ312" s="3"/>
      <c r="AR312" s="3"/>
      <c r="AS312" s="76"/>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row>
    <row r="313" spans="1:75" x14ac:dyDescent="0.3">
      <c r="A313" s="8" t="s">
        <v>17</v>
      </c>
      <c r="B313" s="9" t="s">
        <v>229</v>
      </c>
      <c r="C313" s="7"/>
      <c r="D313" s="7"/>
      <c r="E313" s="7"/>
      <c r="F313" s="71">
        <v>100</v>
      </c>
      <c r="G313" s="51">
        <f t="shared" ref="G313:G318" si="421">I313+K313</f>
        <v>20</v>
      </c>
      <c r="H313" s="52">
        <f t="shared" ref="H313:H318" si="422">G313/$J$5*100</f>
        <v>47.619047619047613</v>
      </c>
      <c r="I313" s="53">
        <f>COUNTIFS('00 Encuesta'!$B$2:$B$511,"*f)*",'00 Encuesta'!$C$2:$C$511,"*a)*",'00 Encuesta'!$E$2:$E$511,"*a)*",'00 Encuesta'!$AN$2:$AN$511,"*a)*")</f>
        <v>9</v>
      </c>
      <c r="J313" s="52">
        <f t="shared" ref="J313:J318" si="423">I313/$J$6*100</f>
        <v>40.909090909090914</v>
      </c>
      <c r="K313" s="53">
        <f>COUNTIFS('00 Encuesta'!$B$2:$B$511,"*f)*",'00 Encuesta'!$C$2:$C$511,"*a)*",'00 Encuesta'!$E$2:$E$511,"*b)*",'00 Encuesta'!$AN$2:$AN$511,"*a)*")</f>
        <v>11</v>
      </c>
      <c r="L313" s="52">
        <f t="shared" ref="L313:L318" si="424">K313/$J$7*100</f>
        <v>55.000000000000007</v>
      </c>
      <c r="M313" s="23"/>
      <c r="N313" s="51">
        <f t="shared" ref="N313:N318" si="425">P313+R313</f>
        <v>0</v>
      </c>
      <c r="O313" s="52" t="e">
        <f t="shared" ref="O313:O318" si="426">N313/$Q$5*100</f>
        <v>#DIV/0!</v>
      </c>
      <c r="P313" s="53">
        <f>COUNTIFS('00 Encuesta'!$B$2:$B$511,"*f)*",'00 Encuesta'!$C$2:$C$511,"*b)*",'00 Encuesta'!$E$2:$E$511,"*a)*",'00 Encuesta'!$AN$2:$AN$511,"*a)*")</f>
        <v>0</v>
      </c>
      <c r="Q313" s="52" t="e">
        <f t="shared" ref="Q313:Q318" si="427">P313/$Q$6*100</f>
        <v>#DIV/0!</v>
      </c>
      <c r="R313" s="53">
        <f>COUNTIFS('00 Encuesta'!$B$2:$B$511,"*f)*",'00 Encuesta'!$C$2:$C$511,"*b)*",'00 Encuesta'!$E$2:$E$511,"*b)*",'00 Encuesta'!$AN$2:$AN$511,"*a)*")</f>
        <v>0</v>
      </c>
      <c r="S313" s="52" t="e">
        <f t="shared" ref="S313:S318" si="428">R313/$Q$7*100</f>
        <v>#DIV/0!</v>
      </c>
      <c r="T313" s="3"/>
      <c r="U313" s="51">
        <f t="shared" ref="U313:U318" si="429">W313+Y313</f>
        <v>0</v>
      </c>
      <c r="V313" s="52" t="e">
        <f t="shared" ref="V313:V318" si="430">U313/$X$5*100</f>
        <v>#DIV/0!</v>
      </c>
      <c r="W313" s="53">
        <f>COUNTIFS('00 Encuesta'!$B$2:$B$511,"*f)*",'00 Encuesta'!$C$2:$C$511,"*c)*",'00 Encuesta'!$E$2:$E$511,"*a)*",'00 Encuesta'!$AN$2:$AN$511,"*a)*")</f>
        <v>0</v>
      </c>
      <c r="X313" s="52" t="e">
        <f t="shared" ref="X313:X318" si="431">W313/$X$6*100</f>
        <v>#DIV/0!</v>
      </c>
      <c r="Y313" s="53">
        <f>COUNTIFS('00 Encuesta'!$B$2:$B$511,"*f)*",'00 Encuesta'!$C$2:$C$511,"*c)*",'00 Encuesta'!$E$2:$E$511,"*b)*",'00 Encuesta'!$AN$2:$AN$511,"*a)*")</f>
        <v>0</v>
      </c>
      <c r="Z313" s="52" t="e">
        <f t="shared" ref="Z313:Z318" si="432">Y313/$X$7*100</f>
        <v>#DIV/0!</v>
      </c>
      <c r="AA313" s="3"/>
      <c r="AB313" s="62">
        <f t="shared" ref="AB313:AB318" si="433">G313+N313+U313</f>
        <v>20</v>
      </c>
      <c r="AC313" s="52">
        <f t="shared" ref="AC313:AC318" si="434">AB313*100/$AC$5</f>
        <v>47.61904761904762</v>
      </c>
      <c r="AD313" s="3"/>
      <c r="AE313" s="3"/>
      <c r="AF313" s="9" t="str">
        <f t="shared" ref="AF313:AF318" si="435">A313&amp;" "&amp;B313</f>
        <v>a) Muy buena</v>
      </c>
      <c r="AG313" s="72">
        <f t="shared" ref="AG313:AG318" si="436">J313</f>
        <v>40.909090909090914</v>
      </c>
      <c r="AH313" s="72">
        <f t="shared" ref="AH313:AH318" si="437">L313</f>
        <v>55.000000000000007</v>
      </c>
      <c r="AI313" s="73">
        <f t="shared" ref="AI313:AI318" si="438">H313</f>
        <v>47.619047619047613</v>
      </c>
      <c r="AJ313" s="73"/>
      <c r="AK313" s="76" t="e">
        <f t="shared" ref="AK313:AK318" si="439">Q313</f>
        <v>#DIV/0!</v>
      </c>
      <c r="AL313" s="76" t="e">
        <f t="shared" ref="AL313:AL318" si="440">S313</f>
        <v>#DIV/0!</v>
      </c>
      <c r="AM313" s="76" t="e">
        <f t="shared" ref="AM313:AM318" si="441">O313</f>
        <v>#DIV/0!</v>
      </c>
      <c r="AN313" s="76"/>
      <c r="AO313" s="81" t="e">
        <f t="shared" ref="AO313:AO318" si="442">X313</f>
        <v>#DIV/0!</v>
      </c>
      <c r="AP313" s="81" t="e">
        <f t="shared" ref="AP313:AP318" si="443">Z313</f>
        <v>#DIV/0!</v>
      </c>
      <c r="AQ313" s="81" t="e">
        <f t="shared" ref="AQ313:AQ318" si="444">V313</f>
        <v>#DIV/0!</v>
      </c>
      <c r="AR313" s="3"/>
      <c r="AS313" s="76">
        <f t="shared" ref="AS313:AS318" si="445">AC313</f>
        <v>47.61904761904762</v>
      </c>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row>
    <row r="314" spans="1:75" x14ac:dyDescent="0.3">
      <c r="A314" s="8" t="s">
        <v>18</v>
      </c>
      <c r="B314" s="9" t="s">
        <v>230</v>
      </c>
      <c r="C314" s="7"/>
      <c r="D314" s="7"/>
      <c r="E314" s="7"/>
      <c r="F314" s="71">
        <v>75</v>
      </c>
      <c r="G314" s="51">
        <f t="shared" si="421"/>
        <v>16</v>
      </c>
      <c r="H314" s="52">
        <f t="shared" si="422"/>
        <v>38.095238095238095</v>
      </c>
      <c r="I314" s="53">
        <f>COUNTIFS('00 Encuesta'!$B$2:$B$511,"*f)*",'00 Encuesta'!$C$2:$C$511,"*a)*",'00 Encuesta'!$E$2:$E$511,"*a)*",'00 Encuesta'!$AN$2:$AN$511,"*b)*")</f>
        <v>9</v>
      </c>
      <c r="J314" s="52">
        <f t="shared" si="423"/>
        <v>40.909090909090914</v>
      </c>
      <c r="K314" s="53">
        <f>COUNTIFS('00 Encuesta'!$B$2:$B$511,"*f)*",'00 Encuesta'!$C$2:$C$511,"*a)*",'00 Encuesta'!$E$2:$E$511,"*b)*",'00 Encuesta'!$AN$2:$AN$511,"*b)*")</f>
        <v>7</v>
      </c>
      <c r="L314" s="52">
        <f t="shared" si="424"/>
        <v>35</v>
      </c>
      <c r="M314" s="23"/>
      <c r="N314" s="51">
        <f t="shared" si="425"/>
        <v>0</v>
      </c>
      <c r="O314" s="52" t="e">
        <f t="shared" si="426"/>
        <v>#DIV/0!</v>
      </c>
      <c r="P314" s="53">
        <f>COUNTIFS('00 Encuesta'!$B$2:$B$511,"*f)*",'00 Encuesta'!$C$2:$C$511,"*b)*",'00 Encuesta'!$E$2:$E$511,"*a)*",'00 Encuesta'!$AN$2:$AN$511,"*b)*")</f>
        <v>0</v>
      </c>
      <c r="Q314" s="52" t="e">
        <f t="shared" si="427"/>
        <v>#DIV/0!</v>
      </c>
      <c r="R314" s="53">
        <f>COUNTIFS('00 Encuesta'!$B$2:$B$511,"*f)*",'00 Encuesta'!$C$2:$C$511,"*b)*",'00 Encuesta'!$E$2:$E$511,"*b)*",'00 Encuesta'!$AN$2:$AN$511,"*b)*")</f>
        <v>0</v>
      </c>
      <c r="S314" s="52" t="e">
        <f t="shared" si="428"/>
        <v>#DIV/0!</v>
      </c>
      <c r="T314" s="3"/>
      <c r="U314" s="51">
        <f t="shared" si="429"/>
        <v>0</v>
      </c>
      <c r="V314" s="52" t="e">
        <f t="shared" si="430"/>
        <v>#DIV/0!</v>
      </c>
      <c r="W314" s="53">
        <f>COUNTIFS('00 Encuesta'!$B$2:$B$511,"*f)*",'00 Encuesta'!$C$2:$C$511,"*c)*",'00 Encuesta'!$E$2:$E$511,"*a)*",'00 Encuesta'!$AN$2:$AN$511,"*b)*")</f>
        <v>0</v>
      </c>
      <c r="X314" s="52" t="e">
        <f t="shared" si="431"/>
        <v>#DIV/0!</v>
      </c>
      <c r="Y314" s="53">
        <f>COUNTIFS('00 Encuesta'!$B$2:$B$511,"*f)*",'00 Encuesta'!$C$2:$C$511,"*c)*",'00 Encuesta'!$E$2:$E$511,"*b)*",'00 Encuesta'!$AN$2:$AN$511,"*b)*")</f>
        <v>0</v>
      </c>
      <c r="Z314" s="52" t="e">
        <f t="shared" si="432"/>
        <v>#DIV/0!</v>
      </c>
      <c r="AA314" s="3"/>
      <c r="AB314" s="62">
        <f t="shared" si="433"/>
        <v>16</v>
      </c>
      <c r="AC314" s="52">
        <f t="shared" si="434"/>
        <v>38.095238095238095</v>
      </c>
      <c r="AD314" s="3"/>
      <c r="AE314" s="3"/>
      <c r="AF314" s="9" t="str">
        <f t="shared" si="435"/>
        <v>b) Buena</v>
      </c>
      <c r="AG314" s="72">
        <f t="shared" si="436"/>
        <v>40.909090909090914</v>
      </c>
      <c r="AH314" s="72">
        <f t="shared" si="437"/>
        <v>35</v>
      </c>
      <c r="AI314" s="73">
        <f t="shared" si="438"/>
        <v>38.095238095238095</v>
      </c>
      <c r="AJ314" s="73"/>
      <c r="AK314" s="76" t="e">
        <f t="shared" si="439"/>
        <v>#DIV/0!</v>
      </c>
      <c r="AL314" s="76" t="e">
        <f t="shared" si="440"/>
        <v>#DIV/0!</v>
      </c>
      <c r="AM314" s="76" t="e">
        <f t="shared" si="441"/>
        <v>#DIV/0!</v>
      </c>
      <c r="AN314" s="76"/>
      <c r="AO314" s="81" t="e">
        <f t="shared" si="442"/>
        <v>#DIV/0!</v>
      </c>
      <c r="AP314" s="81" t="e">
        <f t="shared" si="443"/>
        <v>#DIV/0!</v>
      </c>
      <c r="AQ314" s="81" t="e">
        <f t="shared" si="444"/>
        <v>#DIV/0!</v>
      </c>
      <c r="AR314" s="3"/>
      <c r="AS314" s="76">
        <f t="shared" si="445"/>
        <v>38.095238095238095</v>
      </c>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row>
    <row r="315" spans="1:75" x14ac:dyDescent="0.3">
      <c r="A315" s="8" t="s">
        <v>20</v>
      </c>
      <c r="B315" s="9" t="s">
        <v>218</v>
      </c>
      <c r="C315" s="7"/>
      <c r="D315" s="7"/>
      <c r="E315" s="7"/>
      <c r="F315" s="71">
        <v>50</v>
      </c>
      <c r="G315" s="51">
        <f t="shared" si="421"/>
        <v>5</v>
      </c>
      <c r="H315" s="52">
        <f t="shared" si="422"/>
        <v>11.904761904761903</v>
      </c>
      <c r="I315" s="53">
        <f>COUNTIFS('00 Encuesta'!$B$2:$B$511,"*f)*",'00 Encuesta'!$C$2:$C$511,"*a)*",'00 Encuesta'!$E$2:$E$511,"*a)*",'00 Encuesta'!$AN$2:$AN$511,"*c)*")</f>
        <v>3</v>
      </c>
      <c r="J315" s="52">
        <f t="shared" si="423"/>
        <v>13.636363636363635</v>
      </c>
      <c r="K315" s="53">
        <f>COUNTIFS('00 Encuesta'!$B$2:$B$511,"*f)*",'00 Encuesta'!$C$2:$C$511,"*a)*",'00 Encuesta'!$E$2:$E$511,"*b)*",'00 Encuesta'!$AN$2:$AN$511,"*c)*")</f>
        <v>2</v>
      </c>
      <c r="L315" s="52">
        <f t="shared" si="424"/>
        <v>10</v>
      </c>
      <c r="M315" s="23"/>
      <c r="N315" s="51">
        <f t="shared" si="425"/>
        <v>0</v>
      </c>
      <c r="O315" s="52" t="e">
        <f t="shared" si="426"/>
        <v>#DIV/0!</v>
      </c>
      <c r="P315" s="53">
        <f>COUNTIFS('00 Encuesta'!$B$2:$B$511,"*f)*",'00 Encuesta'!$C$2:$C$511,"*b)*",'00 Encuesta'!$E$2:$E$511,"*a)*",'00 Encuesta'!$AN$2:$AN$511,"*c)*")</f>
        <v>0</v>
      </c>
      <c r="Q315" s="52" t="e">
        <f t="shared" si="427"/>
        <v>#DIV/0!</v>
      </c>
      <c r="R315" s="53">
        <f>COUNTIFS('00 Encuesta'!$B$2:$B$511,"*f)*",'00 Encuesta'!$C$2:$C$511,"*b)*",'00 Encuesta'!$E$2:$E$511,"*b)*",'00 Encuesta'!$AN$2:$AN$511,"*c)*")</f>
        <v>0</v>
      </c>
      <c r="S315" s="52" t="e">
        <f t="shared" si="428"/>
        <v>#DIV/0!</v>
      </c>
      <c r="T315" s="3"/>
      <c r="U315" s="51">
        <f t="shared" si="429"/>
        <v>0</v>
      </c>
      <c r="V315" s="52" t="e">
        <f t="shared" si="430"/>
        <v>#DIV/0!</v>
      </c>
      <c r="W315" s="53">
        <f>COUNTIFS('00 Encuesta'!$B$2:$B$511,"*f)*",'00 Encuesta'!$C$2:$C$511,"*c)*",'00 Encuesta'!$E$2:$E$511,"*a)*",'00 Encuesta'!$AN$2:$AN$511,"*c)*")</f>
        <v>0</v>
      </c>
      <c r="X315" s="52" t="e">
        <f t="shared" si="431"/>
        <v>#DIV/0!</v>
      </c>
      <c r="Y315" s="53">
        <f>COUNTIFS('00 Encuesta'!$B$2:$B$511,"*f)*",'00 Encuesta'!$C$2:$C$511,"*c)*",'00 Encuesta'!$E$2:$E$511,"*b)*",'00 Encuesta'!$AN$2:$AN$511,"*c)*")</f>
        <v>0</v>
      </c>
      <c r="Z315" s="52" t="e">
        <f t="shared" si="432"/>
        <v>#DIV/0!</v>
      </c>
      <c r="AA315" s="3"/>
      <c r="AB315" s="62">
        <f t="shared" si="433"/>
        <v>5</v>
      </c>
      <c r="AC315" s="52">
        <f t="shared" si="434"/>
        <v>11.904761904761905</v>
      </c>
      <c r="AD315" s="3"/>
      <c r="AE315" s="3"/>
      <c r="AF315" s="9" t="str">
        <f t="shared" si="435"/>
        <v>c) Regular</v>
      </c>
      <c r="AG315" s="72">
        <f t="shared" si="436"/>
        <v>13.636363636363635</v>
      </c>
      <c r="AH315" s="72">
        <f t="shared" si="437"/>
        <v>10</v>
      </c>
      <c r="AI315" s="73">
        <f t="shared" si="438"/>
        <v>11.904761904761903</v>
      </c>
      <c r="AJ315" s="73"/>
      <c r="AK315" s="76" t="e">
        <f t="shared" si="439"/>
        <v>#DIV/0!</v>
      </c>
      <c r="AL315" s="76" t="e">
        <f t="shared" si="440"/>
        <v>#DIV/0!</v>
      </c>
      <c r="AM315" s="76" t="e">
        <f t="shared" si="441"/>
        <v>#DIV/0!</v>
      </c>
      <c r="AN315" s="76"/>
      <c r="AO315" s="81" t="e">
        <f t="shared" si="442"/>
        <v>#DIV/0!</v>
      </c>
      <c r="AP315" s="81" t="e">
        <f t="shared" si="443"/>
        <v>#DIV/0!</v>
      </c>
      <c r="AQ315" s="81" t="e">
        <f t="shared" si="444"/>
        <v>#DIV/0!</v>
      </c>
      <c r="AR315" s="3"/>
      <c r="AS315" s="76">
        <f t="shared" si="445"/>
        <v>11.904761904761905</v>
      </c>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row>
    <row r="316" spans="1:75" x14ac:dyDescent="0.3">
      <c r="A316" s="8" t="s">
        <v>21</v>
      </c>
      <c r="B316" s="9" t="s">
        <v>231</v>
      </c>
      <c r="C316" s="7"/>
      <c r="D316" s="7"/>
      <c r="E316" s="7"/>
      <c r="F316" s="71">
        <v>25</v>
      </c>
      <c r="G316" s="51">
        <f t="shared" si="421"/>
        <v>0</v>
      </c>
      <c r="H316" s="52">
        <f t="shared" si="422"/>
        <v>0</v>
      </c>
      <c r="I316" s="53">
        <f>COUNTIFS('00 Encuesta'!$B$2:$B$511,"*f)*",'00 Encuesta'!$C$2:$C$511,"*a)*",'00 Encuesta'!$E$2:$E$511,"*a)*",'00 Encuesta'!$AN$2:$AN$511,"*d)*")</f>
        <v>0</v>
      </c>
      <c r="J316" s="52">
        <f t="shared" si="423"/>
        <v>0</v>
      </c>
      <c r="K316" s="53">
        <f>COUNTIFS('00 Encuesta'!$B$2:$B$511,"*f)*",'00 Encuesta'!$C$2:$C$511,"*a)*",'00 Encuesta'!$E$2:$E$511,"*b)*",'00 Encuesta'!$AN$2:$AN$511,"*d)*")</f>
        <v>0</v>
      </c>
      <c r="L316" s="52">
        <f t="shared" si="424"/>
        <v>0</v>
      </c>
      <c r="M316" s="23"/>
      <c r="N316" s="51">
        <f t="shared" si="425"/>
        <v>0</v>
      </c>
      <c r="O316" s="52" t="e">
        <f t="shared" si="426"/>
        <v>#DIV/0!</v>
      </c>
      <c r="P316" s="53">
        <f>COUNTIFS('00 Encuesta'!$B$2:$B$511,"*f)*",'00 Encuesta'!$C$2:$C$511,"*b)*",'00 Encuesta'!$E$2:$E$511,"*a)*",'00 Encuesta'!$AN$2:$AN$511,"*d)*")</f>
        <v>0</v>
      </c>
      <c r="Q316" s="52" t="e">
        <f t="shared" si="427"/>
        <v>#DIV/0!</v>
      </c>
      <c r="R316" s="53">
        <f>COUNTIFS('00 Encuesta'!$B$2:$B$511,"*f)*",'00 Encuesta'!$C$2:$C$511,"*b)*",'00 Encuesta'!$E$2:$E$511,"*b)*",'00 Encuesta'!$AN$2:$AN$511,"*d)*")</f>
        <v>0</v>
      </c>
      <c r="S316" s="52" t="e">
        <f t="shared" si="428"/>
        <v>#DIV/0!</v>
      </c>
      <c r="T316" s="3"/>
      <c r="U316" s="51">
        <f t="shared" si="429"/>
        <v>0</v>
      </c>
      <c r="V316" s="52" t="e">
        <f t="shared" si="430"/>
        <v>#DIV/0!</v>
      </c>
      <c r="W316" s="53">
        <f>COUNTIFS('00 Encuesta'!$B$2:$B$511,"*f)*",'00 Encuesta'!$C$2:$C$511,"*c)*",'00 Encuesta'!$E$2:$E$511,"*a)*",'00 Encuesta'!$AN$2:$AN$511,"*d)*")</f>
        <v>0</v>
      </c>
      <c r="X316" s="52" t="e">
        <f t="shared" si="431"/>
        <v>#DIV/0!</v>
      </c>
      <c r="Y316" s="53">
        <f>COUNTIFS('00 Encuesta'!$B$2:$B$511,"*f)*",'00 Encuesta'!$C$2:$C$511,"*c)*",'00 Encuesta'!$E$2:$E$511,"*b)*",'00 Encuesta'!$AN$2:$AN$511,"*d)*")</f>
        <v>0</v>
      </c>
      <c r="Z316" s="52" t="e">
        <f t="shared" si="432"/>
        <v>#DIV/0!</v>
      </c>
      <c r="AA316" s="3"/>
      <c r="AB316" s="62">
        <f t="shared" si="433"/>
        <v>0</v>
      </c>
      <c r="AC316" s="52">
        <f t="shared" si="434"/>
        <v>0</v>
      </c>
      <c r="AD316" s="3"/>
      <c r="AE316" s="3"/>
      <c r="AF316" s="9" t="str">
        <f t="shared" si="435"/>
        <v>d) Mala</v>
      </c>
      <c r="AG316" s="72">
        <f t="shared" si="436"/>
        <v>0</v>
      </c>
      <c r="AH316" s="72">
        <f t="shared" si="437"/>
        <v>0</v>
      </c>
      <c r="AI316" s="73">
        <f t="shared" si="438"/>
        <v>0</v>
      </c>
      <c r="AJ316" s="73"/>
      <c r="AK316" s="76" t="e">
        <f t="shared" si="439"/>
        <v>#DIV/0!</v>
      </c>
      <c r="AL316" s="76" t="e">
        <f t="shared" si="440"/>
        <v>#DIV/0!</v>
      </c>
      <c r="AM316" s="76" t="e">
        <f t="shared" si="441"/>
        <v>#DIV/0!</v>
      </c>
      <c r="AN316" s="76"/>
      <c r="AO316" s="81" t="e">
        <f t="shared" si="442"/>
        <v>#DIV/0!</v>
      </c>
      <c r="AP316" s="81" t="e">
        <f t="shared" si="443"/>
        <v>#DIV/0!</v>
      </c>
      <c r="AQ316" s="81" t="e">
        <f t="shared" si="444"/>
        <v>#DIV/0!</v>
      </c>
      <c r="AR316" s="3"/>
      <c r="AS316" s="76">
        <f t="shared" si="445"/>
        <v>0</v>
      </c>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row>
    <row r="317" spans="1:75" x14ac:dyDescent="0.3">
      <c r="A317" s="8" t="s">
        <v>22</v>
      </c>
      <c r="B317" s="9" t="s">
        <v>232</v>
      </c>
      <c r="C317" s="7"/>
      <c r="D317" s="7"/>
      <c r="E317" s="7"/>
      <c r="F317" s="71">
        <v>0</v>
      </c>
      <c r="G317" s="51">
        <f t="shared" si="421"/>
        <v>0</v>
      </c>
      <c r="H317" s="52">
        <f t="shared" si="422"/>
        <v>0</v>
      </c>
      <c r="I317" s="53">
        <f>COUNTIFS('00 Encuesta'!$B$2:$B$511,"*f)*",'00 Encuesta'!$C$2:$C$511,"*a)*",'00 Encuesta'!$E$2:$E$511,"*a)*",'00 Encuesta'!$AN$2:$AN$511,"*e)*")</f>
        <v>0</v>
      </c>
      <c r="J317" s="52">
        <f t="shared" si="423"/>
        <v>0</v>
      </c>
      <c r="K317" s="53">
        <f>COUNTIFS('00 Encuesta'!$B$2:$B$511,"*f)*",'00 Encuesta'!$C$2:$C$511,"*a)*",'00 Encuesta'!$E$2:$E$511,"*b)*",'00 Encuesta'!$AN$2:$AN$511,"*e)*")</f>
        <v>0</v>
      </c>
      <c r="L317" s="52">
        <f t="shared" si="424"/>
        <v>0</v>
      </c>
      <c r="M317" s="23"/>
      <c r="N317" s="51">
        <f t="shared" si="425"/>
        <v>0</v>
      </c>
      <c r="O317" s="52" t="e">
        <f t="shared" si="426"/>
        <v>#DIV/0!</v>
      </c>
      <c r="P317" s="53">
        <f>COUNTIFS('00 Encuesta'!$B$2:$B$511,"*f)*",'00 Encuesta'!$C$2:$C$511,"*b)*",'00 Encuesta'!$E$2:$E$511,"*a)*",'00 Encuesta'!$AN$2:$AN$511,"*e)*")</f>
        <v>0</v>
      </c>
      <c r="Q317" s="52" t="e">
        <f t="shared" si="427"/>
        <v>#DIV/0!</v>
      </c>
      <c r="R317" s="53">
        <f>COUNTIFS('00 Encuesta'!$B$2:$B$511,"*f)*",'00 Encuesta'!$C$2:$C$511,"*b)*",'00 Encuesta'!$E$2:$E$511,"*b)*",'00 Encuesta'!$AN$2:$AN$511,"*e)*")</f>
        <v>0</v>
      </c>
      <c r="S317" s="52" t="e">
        <f t="shared" si="428"/>
        <v>#DIV/0!</v>
      </c>
      <c r="T317" s="3"/>
      <c r="U317" s="51">
        <f t="shared" si="429"/>
        <v>0</v>
      </c>
      <c r="V317" s="52" t="e">
        <f t="shared" si="430"/>
        <v>#DIV/0!</v>
      </c>
      <c r="W317" s="53">
        <f>COUNTIFS('00 Encuesta'!$B$2:$B$511,"*f)*",'00 Encuesta'!$C$2:$C$511,"*c)*",'00 Encuesta'!$E$2:$E$511,"*a)*",'00 Encuesta'!$AN$2:$AN$511,"*e)*")</f>
        <v>0</v>
      </c>
      <c r="X317" s="52" t="e">
        <f t="shared" si="431"/>
        <v>#DIV/0!</v>
      </c>
      <c r="Y317" s="53">
        <f>COUNTIFS('00 Encuesta'!$B$2:$B$511,"*f)*",'00 Encuesta'!$C$2:$C$511,"*c)*",'00 Encuesta'!$E$2:$E$511,"*b)*",'00 Encuesta'!$AN$2:$AN$511,"*e)*")</f>
        <v>0</v>
      </c>
      <c r="Z317" s="52" t="e">
        <f t="shared" si="432"/>
        <v>#DIV/0!</v>
      </c>
      <c r="AA317" s="3"/>
      <c r="AB317" s="62">
        <f t="shared" si="433"/>
        <v>0</v>
      </c>
      <c r="AC317" s="52">
        <f t="shared" si="434"/>
        <v>0</v>
      </c>
      <c r="AD317" s="3"/>
      <c r="AE317" s="3"/>
      <c r="AF317" s="9" t="str">
        <f t="shared" si="435"/>
        <v>e) Muy mala</v>
      </c>
      <c r="AG317" s="72">
        <f t="shared" si="436"/>
        <v>0</v>
      </c>
      <c r="AH317" s="72">
        <f t="shared" si="437"/>
        <v>0</v>
      </c>
      <c r="AI317" s="73">
        <f t="shared" si="438"/>
        <v>0</v>
      </c>
      <c r="AJ317" s="73"/>
      <c r="AK317" s="76" t="e">
        <f t="shared" si="439"/>
        <v>#DIV/0!</v>
      </c>
      <c r="AL317" s="76" t="e">
        <f t="shared" si="440"/>
        <v>#DIV/0!</v>
      </c>
      <c r="AM317" s="76" t="e">
        <f t="shared" si="441"/>
        <v>#DIV/0!</v>
      </c>
      <c r="AN317" s="76"/>
      <c r="AO317" s="81" t="e">
        <f t="shared" si="442"/>
        <v>#DIV/0!</v>
      </c>
      <c r="AP317" s="81" t="e">
        <f t="shared" si="443"/>
        <v>#DIV/0!</v>
      </c>
      <c r="AQ317" s="81" t="e">
        <f t="shared" si="444"/>
        <v>#DIV/0!</v>
      </c>
      <c r="AR317" s="3"/>
      <c r="AS317" s="76">
        <f t="shared" si="445"/>
        <v>0</v>
      </c>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row>
    <row r="318" spans="1:75" x14ac:dyDescent="0.3">
      <c r="A318" s="8" t="s">
        <v>45</v>
      </c>
      <c r="B318" s="9" t="s">
        <v>233</v>
      </c>
      <c r="C318" s="7"/>
      <c r="D318" s="7"/>
      <c r="E318" s="7"/>
      <c r="F318" s="71"/>
      <c r="G318" s="51">
        <f t="shared" si="421"/>
        <v>0</v>
      </c>
      <c r="H318" s="52">
        <f t="shared" si="422"/>
        <v>0</v>
      </c>
      <c r="I318" s="53">
        <f>COUNTIFS('00 Encuesta'!$B$2:$B$511,"*f)*",'00 Encuesta'!$C$2:$C$511,"*a)*",'00 Encuesta'!$E$2:$E$511,"*a)*",'00 Encuesta'!$AN$2:$AN$511,"*f)*")</f>
        <v>0</v>
      </c>
      <c r="J318" s="52">
        <f t="shared" si="423"/>
        <v>0</v>
      </c>
      <c r="K318" s="53">
        <f>COUNTIFS('00 Encuesta'!$B$2:$B$511,"*f)*",'00 Encuesta'!$C$2:$C$511,"*a)*",'00 Encuesta'!$E$2:$E$511,"*b)*",'00 Encuesta'!$AN$2:$AN$511,"*f)*")</f>
        <v>0</v>
      </c>
      <c r="L318" s="52">
        <f t="shared" si="424"/>
        <v>0</v>
      </c>
      <c r="M318" s="23"/>
      <c r="N318" s="51">
        <f t="shared" si="425"/>
        <v>0</v>
      </c>
      <c r="O318" s="52" t="e">
        <f t="shared" si="426"/>
        <v>#DIV/0!</v>
      </c>
      <c r="P318" s="53">
        <f>COUNTIFS('00 Encuesta'!$B$2:$B$511,"*f)*",'00 Encuesta'!$C$2:$C$511,"*b)*",'00 Encuesta'!$E$2:$E$511,"*a)*",'00 Encuesta'!$AN$2:$AN$511,"*f)*")</f>
        <v>0</v>
      </c>
      <c r="Q318" s="52" t="e">
        <f t="shared" si="427"/>
        <v>#DIV/0!</v>
      </c>
      <c r="R318" s="53">
        <f>COUNTIFS('00 Encuesta'!$B$2:$B$511,"*f)*",'00 Encuesta'!$C$2:$C$511,"*b)*",'00 Encuesta'!$E$2:$E$511,"*b)*",'00 Encuesta'!$AN$2:$AN$511,"*f)*")</f>
        <v>0</v>
      </c>
      <c r="S318" s="52" t="e">
        <f t="shared" si="428"/>
        <v>#DIV/0!</v>
      </c>
      <c r="T318" s="3"/>
      <c r="U318" s="51">
        <f t="shared" si="429"/>
        <v>0</v>
      </c>
      <c r="V318" s="52" t="e">
        <f t="shared" si="430"/>
        <v>#DIV/0!</v>
      </c>
      <c r="W318" s="53">
        <f>COUNTIFS('00 Encuesta'!$B$2:$B$511,"*f)*",'00 Encuesta'!$C$2:$C$511,"*c)*",'00 Encuesta'!$E$2:$E$511,"*a)*",'00 Encuesta'!$AN$2:$AN$511,"*f)*")</f>
        <v>0</v>
      </c>
      <c r="X318" s="52" t="e">
        <f t="shared" si="431"/>
        <v>#DIV/0!</v>
      </c>
      <c r="Y318" s="53">
        <f>COUNTIFS('00 Encuesta'!$B$2:$B$511,"*f)*",'00 Encuesta'!$C$2:$C$511,"*c)*",'00 Encuesta'!$E$2:$E$511,"*b)*",'00 Encuesta'!$AN$2:$AN$511,"*f)*")</f>
        <v>0</v>
      </c>
      <c r="Z318" s="52" t="e">
        <f t="shared" si="432"/>
        <v>#DIV/0!</v>
      </c>
      <c r="AA318" s="3"/>
      <c r="AB318" s="62">
        <f t="shared" si="433"/>
        <v>0</v>
      </c>
      <c r="AC318" s="52">
        <f t="shared" si="434"/>
        <v>0</v>
      </c>
      <c r="AD318" s="3"/>
      <c r="AE318" s="3"/>
      <c r="AF318" s="9" t="str">
        <f t="shared" si="435"/>
        <v>f) No aplica</v>
      </c>
      <c r="AG318" s="72">
        <f t="shared" si="436"/>
        <v>0</v>
      </c>
      <c r="AH318" s="72">
        <f t="shared" si="437"/>
        <v>0</v>
      </c>
      <c r="AI318" s="73">
        <f t="shared" si="438"/>
        <v>0</v>
      </c>
      <c r="AJ318" s="73"/>
      <c r="AK318" s="76" t="e">
        <f t="shared" si="439"/>
        <v>#DIV/0!</v>
      </c>
      <c r="AL318" s="76" t="e">
        <f t="shared" si="440"/>
        <v>#DIV/0!</v>
      </c>
      <c r="AM318" s="76" t="e">
        <f t="shared" si="441"/>
        <v>#DIV/0!</v>
      </c>
      <c r="AN318" s="76"/>
      <c r="AO318" s="81" t="e">
        <f t="shared" si="442"/>
        <v>#DIV/0!</v>
      </c>
      <c r="AP318" s="81" t="e">
        <f t="shared" si="443"/>
        <v>#DIV/0!</v>
      </c>
      <c r="AQ318" s="81" t="e">
        <f t="shared" si="444"/>
        <v>#DIV/0!</v>
      </c>
      <c r="AR318" s="3"/>
      <c r="AS318" s="76">
        <f t="shared" si="445"/>
        <v>0</v>
      </c>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row>
    <row r="319" spans="1:75" x14ac:dyDescent="0.3">
      <c r="A319" s="70"/>
      <c r="B319" s="86"/>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6"/>
      <c r="AC319" s="41"/>
      <c r="AD319" s="3"/>
      <c r="AE319" s="3"/>
      <c r="AF319" s="3"/>
      <c r="AG319" s="82">
        <f>($F313*I313+$F314*I314+$F315*I315+$F316*I316+$F317*I317)/(I313+I314+I315+I316+I317)</f>
        <v>82.142857142857139</v>
      </c>
      <c r="AH319" s="82">
        <f>($F313*K313+$F314*K314+$F315*K315+$F316*K316+$F317*K317)/(K313+K314+K315+K316+K317)</f>
        <v>86.25</v>
      </c>
      <c r="AI319" s="82">
        <f>($F313*G313+$F314*G314+$F315*G315+$F316*G316+$F317*G317)/(G313+G314+G315+G316+G317)</f>
        <v>84.146341463414629</v>
      </c>
      <c r="AJ319" s="82"/>
      <c r="AK319" s="82" t="e">
        <f>($F313*Q313+$F314*Q314+$F315*Q315+$F316*Q316+$F317*Q317)/(Q313+Q314+Q315+Q316+Q317)</f>
        <v>#DIV/0!</v>
      </c>
      <c r="AL319" s="82" t="e">
        <f>($F313*S313+$F314*S314+$F315*S315+$F316*S316+$F317*S317)/(S313+S314+S315+S316+S317)</f>
        <v>#DIV/0!</v>
      </c>
      <c r="AM319" s="82" t="e">
        <f>($F313*O313+$F314*O314+$F315*O315+$F316*O316+$F317*O317)/(O313+O314+O315+O316+O317)</f>
        <v>#DIV/0!</v>
      </c>
      <c r="AN319" s="82"/>
      <c r="AO319" s="82" t="e">
        <f>($F313*W313+$F314*W314+$F315*W315+$F316*W316+$F317*W317)/(W313+W314+W315+W316+W317)</f>
        <v>#DIV/0!</v>
      </c>
      <c r="AP319" s="82" t="e">
        <f>($F313*Y313+$F314*Y314+$F315*Y315+$F316*Y316+$F317*Y317)/(Y313+Y314+Y315+Y316+Y317)</f>
        <v>#DIV/0!</v>
      </c>
      <c r="AQ319" s="82" t="e">
        <f>($F313*U313+$F314*U314+$F315*U315+$F316*U316+$F317*U317)/(U313+U314+U315+U316+U317)</f>
        <v>#DIV/0!</v>
      </c>
      <c r="AR319" s="3"/>
      <c r="AS319" s="76"/>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row>
    <row r="320" spans="1:75" x14ac:dyDescent="0.3">
      <c r="A320" s="70">
        <v>35</v>
      </c>
      <c r="B320" s="86" t="s">
        <v>234</v>
      </c>
      <c r="C320" s="7"/>
      <c r="D320" s="7"/>
      <c r="E320" s="7"/>
      <c r="F320" s="71"/>
      <c r="G320" s="51"/>
      <c r="H320" s="52"/>
      <c r="I320" s="53"/>
      <c r="J320" s="52"/>
      <c r="K320" s="53"/>
      <c r="L320" s="66"/>
      <c r="M320" s="23"/>
      <c r="N320" s="51"/>
      <c r="O320" s="52"/>
      <c r="P320" s="53"/>
      <c r="Q320" s="52"/>
      <c r="R320" s="53"/>
      <c r="S320" s="66"/>
      <c r="T320" s="3"/>
      <c r="U320" s="51"/>
      <c r="V320" s="52"/>
      <c r="W320" s="53"/>
      <c r="X320" s="52"/>
      <c r="Y320" s="53"/>
      <c r="Z320" s="66"/>
      <c r="AA320" s="3"/>
      <c r="AB320" s="62"/>
      <c r="AC320" s="52"/>
      <c r="AD320" s="3"/>
      <c r="AE320" s="3"/>
      <c r="AF320" s="88" t="str">
        <f>A320&amp;" "&amp;B320</f>
        <v>35 Evaluación</v>
      </c>
      <c r="AG320" s="3"/>
      <c r="AH320" s="3"/>
      <c r="AI320" s="3"/>
      <c r="AJ320" s="3"/>
      <c r="AK320" s="3"/>
      <c r="AL320" s="3"/>
      <c r="AM320" s="3"/>
      <c r="AN320" s="3"/>
      <c r="AO320" s="3"/>
      <c r="AP320" s="3"/>
      <c r="AQ320" s="3"/>
      <c r="AR320" s="3"/>
      <c r="AS320" s="76"/>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row>
    <row r="321" spans="1:75" x14ac:dyDescent="0.3">
      <c r="A321" s="8" t="s">
        <v>17</v>
      </c>
      <c r="B321" s="9" t="s">
        <v>229</v>
      </c>
      <c r="C321" s="7"/>
      <c r="D321" s="7"/>
      <c r="E321" s="7"/>
      <c r="F321" s="71">
        <v>100</v>
      </c>
      <c r="G321" s="51">
        <f t="shared" ref="G321:G326" si="446">I321+K321</f>
        <v>31</v>
      </c>
      <c r="H321" s="52">
        <f t="shared" ref="H321:H326" si="447">G321/$J$5*100</f>
        <v>73.80952380952381</v>
      </c>
      <c r="I321" s="53">
        <f>COUNTIFS('00 Encuesta'!$B$2:$B$511,"*f)*",'00 Encuesta'!$C$2:$C$511,"*a)*",'00 Encuesta'!$E$2:$E$511,"*a)*",'00 Encuesta'!$AO$2:$AO$511,"*a)*")</f>
        <v>15</v>
      </c>
      <c r="J321" s="52">
        <f t="shared" ref="J321:J326" si="448">I321/$J$6*100</f>
        <v>68.181818181818173</v>
      </c>
      <c r="K321" s="53">
        <f>COUNTIFS('00 Encuesta'!$B$2:$B$511,"*f)*",'00 Encuesta'!$C$2:$C$511,"*a)*",'00 Encuesta'!$E$2:$E$511,"*b)*",'00 Encuesta'!$AO$2:$AO$511,"*a)*")</f>
        <v>16</v>
      </c>
      <c r="L321" s="52">
        <f t="shared" ref="L321:L326" si="449">K321/$J$7*100</f>
        <v>80</v>
      </c>
      <c r="M321" s="23"/>
      <c r="N321" s="51">
        <f t="shared" ref="N321:N326" si="450">P321+R321</f>
        <v>0</v>
      </c>
      <c r="O321" s="52" t="e">
        <f t="shared" ref="O321:O326" si="451">N321/$Q$5*100</f>
        <v>#DIV/0!</v>
      </c>
      <c r="P321" s="53">
        <f>COUNTIFS('00 Encuesta'!$B$2:$B$511,"*f)*",'00 Encuesta'!$C$2:$C$511,"*b)*",'00 Encuesta'!$E$2:$E$511,"*a)*",'00 Encuesta'!$AO$2:$AO$511,"*a)*")</f>
        <v>0</v>
      </c>
      <c r="Q321" s="52" t="e">
        <f t="shared" ref="Q321:Q326" si="452">P321/$Q$6*100</f>
        <v>#DIV/0!</v>
      </c>
      <c r="R321" s="53">
        <f>COUNTIFS('00 Encuesta'!$B$2:$B$511,"*f)*",'00 Encuesta'!$C$2:$C$511,"*b)*",'00 Encuesta'!$E$2:$E$511,"*b)*",'00 Encuesta'!$AO$2:$AO$511,"*a)*")</f>
        <v>0</v>
      </c>
      <c r="S321" s="52" t="e">
        <f t="shared" ref="S321:S326" si="453">R321/$Q$7*100</f>
        <v>#DIV/0!</v>
      </c>
      <c r="T321" s="3"/>
      <c r="U321" s="51">
        <f t="shared" ref="U321:U326" si="454">W321+Y321</f>
        <v>0</v>
      </c>
      <c r="V321" s="52" t="e">
        <f t="shared" ref="V321:V326" si="455">U321/$X$5*100</f>
        <v>#DIV/0!</v>
      </c>
      <c r="W321" s="53">
        <f>COUNTIFS('00 Encuesta'!$B$2:$B$511,"*f)*",'00 Encuesta'!$C$2:$C$511,"*c)*",'00 Encuesta'!$E$2:$E$511,"*a)*",'00 Encuesta'!$AO$2:$AO$511,"*a)*")</f>
        <v>0</v>
      </c>
      <c r="X321" s="52" t="e">
        <f t="shared" ref="X321:X326" si="456">W321/$X$6*100</f>
        <v>#DIV/0!</v>
      </c>
      <c r="Y321" s="53">
        <f>COUNTIFS('00 Encuesta'!$B$2:$B$511,"*f)*",'00 Encuesta'!$C$2:$C$511,"*c)*",'00 Encuesta'!$E$2:$E$511,"*b)*",'00 Encuesta'!$AO$2:$AO$511,"*a)*")</f>
        <v>0</v>
      </c>
      <c r="Z321" s="52" t="e">
        <f t="shared" ref="Z321:Z326" si="457">Y321/$X$7*100</f>
        <v>#DIV/0!</v>
      </c>
      <c r="AA321" s="3"/>
      <c r="AB321" s="62">
        <f t="shared" ref="AB321:AB326" si="458">G321+N321+U321</f>
        <v>31</v>
      </c>
      <c r="AC321" s="52">
        <f t="shared" ref="AC321:AC326" si="459">AB321*100/$AC$5</f>
        <v>73.80952380952381</v>
      </c>
      <c r="AD321" s="3"/>
      <c r="AE321" s="3"/>
      <c r="AF321" s="9" t="str">
        <f t="shared" ref="AF321:AF326" si="460">A321&amp;" "&amp;B321</f>
        <v>a) Muy buena</v>
      </c>
      <c r="AG321" s="72">
        <f t="shared" ref="AG321:AG326" si="461">J321</f>
        <v>68.181818181818173</v>
      </c>
      <c r="AH321" s="72">
        <f t="shared" ref="AH321:AH326" si="462">L321</f>
        <v>80</v>
      </c>
      <c r="AI321" s="73">
        <f t="shared" ref="AI321:AI326" si="463">H321</f>
        <v>73.80952380952381</v>
      </c>
      <c r="AJ321" s="73"/>
      <c r="AK321" s="76" t="e">
        <f t="shared" ref="AK321:AK326" si="464">Q321</f>
        <v>#DIV/0!</v>
      </c>
      <c r="AL321" s="76" t="e">
        <f t="shared" ref="AL321:AL326" si="465">S321</f>
        <v>#DIV/0!</v>
      </c>
      <c r="AM321" s="76" t="e">
        <f t="shared" ref="AM321:AM326" si="466">O321</f>
        <v>#DIV/0!</v>
      </c>
      <c r="AN321" s="76"/>
      <c r="AO321" s="81" t="e">
        <f t="shared" ref="AO321:AO326" si="467">X321</f>
        <v>#DIV/0!</v>
      </c>
      <c r="AP321" s="81" t="e">
        <f t="shared" ref="AP321:AP326" si="468">Z321</f>
        <v>#DIV/0!</v>
      </c>
      <c r="AQ321" s="81" t="e">
        <f t="shared" ref="AQ321:AQ326" si="469">V321</f>
        <v>#DIV/0!</v>
      </c>
      <c r="AR321" s="3"/>
      <c r="AS321" s="76">
        <f t="shared" si="369"/>
        <v>73.80952380952381</v>
      </c>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row>
    <row r="322" spans="1:75" x14ac:dyDescent="0.3">
      <c r="A322" s="8" t="s">
        <v>18</v>
      </c>
      <c r="B322" s="9" t="s">
        <v>230</v>
      </c>
      <c r="C322" s="7"/>
      <c r="D322" s="7"/>
      <c r="E322" s="7"/>
      <c r="F322" s="71">
        <v>75</v>
      </c>
      <c r="G322" s="51">
        <f t="shared" si="446"/>
        <v>7</v>
      </c>
      <c r="H322" s="52">
        <f t="shared" si="447"/>
        <v>16.666666666666664</v>
      </c>
      <c r="I322" s="53">
        <f>COUNTIFS('00 Encuesta'!$B$2:$B$511,"*f)*",'00 Encuesta'!$C$2:$C$511,"*a)*",'00 Encuesta'!$E$2:$E$511,"*a)*",'00 Encuesta'!$AO$2:$AO$511,"*b)*")</f>
        <v>5</v>
      </c>
      <c r="J322" s="52">
        <f t="shared" si="448"/>
        <v>22.727272727272727</v>
      </c>
      <c r="K322" s="53">
        <f>COUNTIFS('00 Encuesta'!$B$2:$B$511,"*f)*",'00 Encuesta'!$C$2:$C$511,"*a)*",'00 Encuesta'!$E$2:$E$511,"*b)*",'00 Encuesta'!$AO$2:$AO$511,"*b)*")</f>
        <v>2</v>
      </c>
      <c r="L322" s="52">
        <f t="shared" si="449"/>
        <v>10</v>
      </c>
      <c r="M322" s="23"/>
      <c r="N322" s="51">
        <f t="shared" si="450"/>
        <v>0</v>
      </c>
      <c r="O322" s="52" t="e">
        <f t="shared" si="451"/>
        <v>#DIV/0!</v>
      </c>
      <c r="P322" s="53">
        <f>COUNTIFS('00 Encuesta'!$B$2:$B$511,"*f)*",'00 Encuesta'!$C$2:$C$511,"*b)*",'00 Encuesta'!$E$2:$E$511,"*a)*",'00 Encuesta'!$AO$2:$AO$511,"*b)*")</f>
        <v>0</v>
      </c>
      <c r="Q322" s="52" t="e">
        <f t="shared" si="452"/>
        <v>#DIV/0!</v>
      </c>
      <c r="R322" s="53">
        <f>COUNTIFS('00 Encuesta'!$B$2:$B$511,"*f)*",'00 Encuesta'!$C$2:$C$511,"*b)*",'00 Encuesta'!$E$2:$E$511,"*b)*",'00 Encuesta'!$AO$2:$AO$511,"*b)*")</f>
        <v>0</v>
      </c>
      <c r="S322" s="52" t="e">
        <f t="shared" si="453"/>
        <v>#DIV/0!</v>
      </c>
      <c r="T322" s="3"/>
      <c r="U322" s="51">
        <f t="shared" si="454"/>
        <v>0</v>
      </c>
      <c r="V322" s="52" t="e">
        <f t="shared" si="455"/>
        <v>#DIV/0!</v>
      </c>
      <c r="W322" s="53">
        <f>COUNTIFS('00 Encuesta'!$B$2:$B$511,"*f)*",'00 Encuesta'!$C$2:$C$511,"*c)*",'00 Encuesta'!$E$2:$E$511,"*a)*",'00 Encuesta'!$AO$2:$AO$511,"*b)*")</f>
        <v>0</v>
      </c>
      <c r="X322" s="52" t="e">
        <f t="shared" si="456"/>
        <v>#DIV/0!</v>
      </c>
      <c r="Y322" s="53">
        <f>COUNTIFS('00 Encuesta'!$B$2:$B$511,"*f)*",'00 Encuesta'!$C$2:$C$511,"*c)*",'00 Encuesta'!$E$2:$E$511,"*b)*",'00 Encuesta'!$AO$2:$AO$511,"*b)*")</f>
        <v>0</v>
      </c>
      <c r="Z322" s="52" t="e">
        <f t="shared" si="457"/>
        <v>#DIV/0!</v>
      </c>
      <c r="AA322" s="3"/>
      <c r="AB322" s="62">
        <f t="shared" si="458"/>
        <v>7</v>
      </c>
      <c r="AC322" s="52">
        <f t="shared" si="459"/>
        <v>16.666666666666668</v>
      </c>
      <c r="AD322" s="3"/>
      <c r="AE322" s="3"/>
      <c r="AF322" s="9" t="str">
        <f t="shared" si="460"/>
        <v>b) Buena</v>
      </c>
      <c r="AG322" s="72">
        <f t="shared" si="461"/>
        <v>22.727272727272727</v>
      </c>
      <c r="AH322" s="72">
        <f t="shared" si="462"/>
        <v>10</v>
      </c>
      <c r="AI322" s="73">
        <f t="shared" si="463"/>
        <v>16.666666666666664</v>
      </c>
      <c r="AJ322" s="73"/>
      <c r="AK322" s="76" t="e">
        <f t="shared" si="464"/>
        <v>#DIV/0!</v>
      </c>
      <c r="AL322" s="76" t="e">
        <f t="shared" si="465"/>
        <v>#DIV/0!</v>
      </c>
      <c r="AM322" s="76" t="e">
        <f t="shared" si="466"/>
        <v>#DIV/0!</v>
      </c>
      <c r="AN322" s="76"/>
      <c r="AO322" s="81" t="e">
        <f t="shared" si="467"/>
        <v>#DIV/0!</v>
      </c>
      <c r="AP322" s="81" t="e">
        <f t="shared" si="468"/>
        <v>#DIV/0!</v>
      </c>
      <c r="AQ322" s="81" t="e">
        <f t="shared" si="469"/>
        <v>#DIV/0!</v>
      </c>
      <c r="AR322" s="3"/>
      <c r="AS322" s="76">
        <f t="shared" si="369"/>
        <v>16.666666666666668</v>
      </c>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row>
    <row r="323" spans="1:75" x14ac:dyDescent="0.3">
      <c r="A323" s="8" t="s">
        <v>20</v>
      </c>
      <c r="B323" s="9" t="s">
        <v>218</v>
      </c>
      <c r="C323" s="7"/>
      <c r="D323" s="7"/>
      <c r="E323" s="7"/>
      <c r="F323" s="71">
        <v>50</v>
      </c>
      <c r="G323" s="51">
        <f t="shared" si="446"/>
        <v>2</v>
      </c>
      <c r="H323" s="52">
        <f t="shared" si="447"/>
        <v>4.7619047619047619</v>
      </c>
      <c r="I323" s="53">
        <f>COUNTIFS('00 Encuesta'!$B$2:$B$511,"*f)*",'00 Encuesta'!$C$2:$C$511,"*a)*",'00 Encuesta'!$E$2:$E$511,"*a)*",'00 Encuesta'!$AO$2:$AO$511,"*c)*")</f>
        <v>1</v>
      </c>
      <c r="J323" s="52">
        <f t="shared" si="448"/>
        <v>4.5454545454545459</v>
      </c>
      <c r="K323" s="53">
        <f>COUNTIFS('00 Encuesta'!$B$2:$B$511,"*f)*",'00 Encuesta'!$C$2:$C$511,"*a)*",'00 Encuesta'!$E$2:$E$511,"*b)*",'00 Encuesta'!$AO$2:$AO$511,"*c)*")</f>
        <v>1</v>
      </c>
      <c r="L323" s="52">
        <f t="shared" si="449"/>
        <v>5</v>
      </c>
      <c r="M323" s="23"/>
      <c r="N323" s="51">
        <f t="shared" si="450"/>
        <v>0</v>
      </c>
      <c r="O323" s="52" t="e">
        <f t="shared" si="451"/>
        <v>#DIV/0!</v>
      </c>
      <c r="P323" s="53">
        <f>COUNTIFS('00 Encuesta'!$B$2:$B$511,"*f)*",'00 Encuesta'!$C$2:$C$511,"*b)*",'00 Encuesta'!$E$2:$E$511,"*a)*",'00 Encuesta'!$AO$2:$AO$511,"*c)*")</f>
        <v>0</v>
      </c>
      <c r="Q323" s="52" t="e">
        <f t="shared" si="452"/>
        <v>#DIV/0!</v>
      </c>
      <c r="R323" s="53">
        <f>COUNTIFS('00 Encuesta'!$B$2:$B$511,"*f)*",'00 Encuesta'!$C$2:$C$511,"*b)*",'00 Encuesta'!$E$2:$E$511,"*b)*",'00 Encuesta'!$AO$2:$AO$511,"*c)*")</f>
        <v>0</v>
      </c>
      <c r="S323" s="52" t="e">
        <f t="shared" si="453"/>
        <v>#DIV/0!</v>
      </c>
      <c r="T323" s="3"/>
      <c r="U323" s="51">
        <f t="shared" si="454"/>
        <v>0</v>
      </c>
      <c r="V323" s="52" t="e">
        <f t="shared" si="455"/>
        <v>#DIV/0!</v>
      </c>
      <c r="W323" s="53">
        <f>COUNTIFS('00 Encuesta'!$B$2:$B$511,"*f)*",'00 Encuesta'!$C$2:$C$511,"*c)*",'00 Encuesta'!$E$2:$E$511,"*a)*",'00 Encuesta'!$AO$2:$AO$511,"*c)*")</f>
        <v>0</v>
      </c>
      <c r="X323" s="52" t="e">
        <f t="shared" si="456"/>
        <v>#DIV/0!</v>
      </c>
      <c r="Y323" s="53">
        <f>COUNTIFS('00 Encuesta'!$B$2:$B$511,"*f)*",'00 Encuesta'!$C$2:$C$511,"*c)*",'00 Encuesta'!$E$2:$E$511,"*b)*",'00 Encuesta'!$AO$2:$AO$511,"*c)*")</f>
        <v>0</v>
      </c>
      <c r="Z323" s="52" t="e">
        <f t="shared" si="457"/>
        <v>#DIV/0!</v>
      </c>
      <c r="AA323" s="3"/>
      <c r="AB323" s="62">
        <f t="shared" si="458"/>
        <v>2</v>
      </c>
      <c r="AC323" s="52">
        <f t="shared" si="459"/>
        <v>4.7619047619047619</v>
      </c>
      <c r="AD323" s="3"/>
      <c r="AE323" s="3"/>
      <c r="AF323" s="9" t="str">
        <f t="shared" si="460"/>
        <v>c) Regular</v>
      </c>
      <c r="AG323" s="72">
        <f t="shared" si="461"/>
        <v>4.5454545454545459</v>
      </c>
      <c r="AH323" s="72">
        <f t="shared" si="462"/>
        <v>5</v>
      </c>
      <c r="AI323" s="73">
        <f t="shared" si="463"/>
        <v>4.7619047619047619</v>
      </c>
      <c r="AJ323" s="73"/>
      <c r="AK323" s="76" t="e">
        <f t="shared" si="464"/>
        <v>#DIV/0!</v>
      </c>
      <c r="AL323" s="76" t="e">
        <f t="shared" si="465"/>
        <v>#DIV/0!</v>
      </c>
      <c r="AM323" s="76" t="e">
        <f t="shared" si="466"/>
        <v>#DIV/0!</v>
      </c>
      <c r="AN323" s="76"/>
      <c r="AO323" s="81" t="e">
        <f t="shared" si="467"/>
        <v>#DIV/0!</v>
      </c>
      <c r="AP323" s="81" t="e">
        <f t="shared" si="468"/>
        <v>#DIV/0!</v>
      </c>
      <c r="AQ323" s="81" t="e">
        <f t="shared" si="469"/>
        <v>#DIV/0!</v>
      </c>
      <c r="AR323" s="3"/>
      <c r="AS323" s="76">
        <f t="shared" si="369"/>
        <v>4.7619047619047619</v>
      </c>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row>
    <row r="324" spans="1:75" x14ac:dyDescent="0.3">
      <c r="A324" s="8" t="s">
        <v>21</v>
      </c>
      <c r="B324" s="9" t="s">
        <v>231</v>
      </c>
      <c r="C324" s="7"/>
      <c r="D324" s="7"/>
      <c r="E324" s="7"/>
      <c r="F324" s="71">
        <v>25</v>
      </c>
      <c r="G324" s="51">
        <f t="shared" si="446"/>
        <v>0</v>
      </c>
      <c r="H324" s="52">
        <f t="shared" si="447"/>
        <v>0</v>
      </c>
      <c r="I324" s="53">
        <f>COUNTIFS('00 Encuesta'!$B$2:$B$511,"*f)*",'00 Encuesta'!$C$2:$C$511,"*a)*",'00 Encuesta'!$E$2:$E$511,"*a)*",'00 Encuesta'!$AO$2:$AO$511,"*d)*")</f>
        <v>0</v>
      </c>
      <c r="J324" s="52">
        <f t="shared" si="448"/>
        <v>0</v>
      </c>
      <c r="K324" s="53">
        <f>COUNTIFS('00 Encuesta'!$B$2:$B$511,"*f)*",'00 Encuesta'!$C$2:$C$511,"*a)*",'00 Encuesta'!$E$2:$E$511,"*b)*",'00 Encuesta'!$AO$2:$AO$511,"*d)*")</f>
        <v>0</v>
      </c>
      <c r="L324" s="52">
        <f t="shared" si="449"/>
        <v>0</v>
      </c>
      <c r="M324" s="23"/>
      <c r="N324" s="51">
        <f t="shared" si="450"/>
        <v>0</v>
      </c>
      <c r="O324" s="52" t="e">
        <f t="shared" si="451"/>
        <v>#DIV/0!</v>
      </c>
      <c r="P324" s="53">
        <f>COUNTIFS('00 Encuesta'!$B$2:$B$511,"*f)*",'00 Encuesta'!$C$2:$C$511,"*b)*",'00 Encuesta'!$E$2:$E$511,"*a)*",'00 Encuesta'!$AO$2:$AO$511,"*d)*")</f>
        <v>0</v>
      </c>
      <c r="Q324" s="52" t="e">
        <f t="shared" si="452"/>
        <v>#DIV/0!</v>
      </c>
      <c r="R324" s="53">
        <f>COUNTIFS('00 Encuesta'!$B$2:$B$511,"*f)*",'00 Encuesta'!$C$2:$C$511,"*b)*",'00 Encuesta'!$E$2:$E$511,"*b)*",'00 Encuesta'!$AO$2:$AO$511,"*d)*")</f>
        <v>0</v>
      </c>
      <c r="S324" s="52" t="e">
        <f t="shared" si="453"/>
        <v>#DIV/0!</v>
      </c>
      <c r="T324" s="3"/>
      <c r="U324" s="51">
        <f t="shared" si="454"/>
        <v>0</v>
      </c>
      <c r="V324" s="52" t="e">
        <f t="shared" si="455"/>
        <v>#DIV/0!</v>
      </c>
      <c r="W324" s="53">
        <f>COUNTIFS('00 Encuesta'!$B$2:$B$511,"*f)*",'00 Encuesta'!$C$2:$C$511,"*c)*",'00 Encuesta'!$E$2:$E$511,"*a)*",'00 Encuesta'!$AO$2:$AO$511,"*d)*")</f>
        <v>0</v>
      </c>
      <c r="X324" s="52" t="e">
        <f t="shared" si="456"/>
        <v>#DIV/0!</v>
      </c>
      <c r="Y324" s="53">
        <f>COUNTIFS('00 Encuesta'!$B$2:$B$511,"*f)*",'00 Encuesta'!$C$2:$C$511,"*c)*",'00 Encuesta'!$E$2:$E$511,"*b)*",'00 Encuesta'!$AO$2:$AO$511,"*d)*")</f>
        <v>0</v>
      </c>
      <c r="Z324" s="52" t="e">
        <f t="shared" si="457"/>
        <v>#DIV/0!</v>
      </c>
      <c r="AA324" s="3"/>
      <c r="AB324" s="62">
        <f t="shared" si="458"/>
        <v>0</v>
      </c>
      <c r="AC324" s="52">
        <f t="shared" si="459"/>
        <v>0</v>
      </c>
      <c r="AD324" s="3"/>
      <c r="AE324" s="3"/>
      <c r="AF324" s="9" t="str">
        <f t="shared" si="460"/>
        <v>d) Mala</v>
      </c>
      <c r="AG324" s="72">
        <f t="shared" si="461"/>
        <v>0</v>
      </c>
      <c r="AH324" s="72">
        <f t="shared" si="462"/>
        <v>0</v>
      </c>
      <c r="AI324" s="73">
        <f t="shared" si="463"/>
        <v>0</v>
      </c>
      <c r="AJ324" s="73"/>
      <c r="AK324" s="76" t="e">
        <f t="shared" si="464"/>
        <v>#DIV/0!</v>
      </c>
      <c r="AL324" s="76" t="e">
        <f t="shared" si="465"/>
        <v>#DIV/0!</v>
      </c>
      <c r="AM324" s="76" t="e">
        <f t="shared" si="466"/>
        <v>#DIV/0!</v>
      </c>
      <c r="AN324" s="76"/>
      <c r="AO324" s="81" t="e">
        <f t="shared" si="467"/>
        <v>#DIV/0!</v>
      </c>
      <c r="AP324" s="81" t="e">
        <f t="shared" si="468"/>
        <v>#DIV/0!</v>
      </c>
      <c r="AQ324" s="81" t="e">
        <f t="shared" si="469"/>
        <v>#DIV/0!</v>
      </c>
      <c r="AR324" s="3"/>
      <c r="AS324" s="76">
        <f t="shared" si="369"/>
        <v>0</v>
      </c>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row>
    <row r="325" spans="1:75" x14ac:dyDescent="0.3">
      <c r="A325" s="8" t="s">
        <v>22</v>
      </c>
      <c r="B325" s="9" t="s">
        <v>232</v>
      </c>
      <c r="C325" s="7"/>
      <c r="D325" s="7"/>
      <c r="E325" s="7"/>
      <c r="F325" s="71">
        <v>0</v>
      </c>
      <c r="G325" s="51">
        <f t="shared" si="446"/>
        <v>1</v>
      </c>
      <c r="H325" s="52">
        <f t="shared" si="447"/>
        <v>2.3809523809523809</v>
      </c>
      <c r="I325" s="53">
        <f>COUNTIFS('00 Encuesta'!$B$2:$B$511,"*f)*",'00 Encuesta'!$C$2:$C$511,"*a)*",'00 Encuesta'!$E$2:$E$511,"*a)*",'00 Encuesta'!$AO$2:$AO$511,"*e)*")</f>
        <v>0</v>
      </c>
      <c r="J325" s="52">
        <f t="shared" si="448"/>
        <v>0</v>
      </c>
      <c r="K325" s="53">
        <f>COUNTIFS('00 Encuesta'!$B$2:$B$511,"*f)*",'00 Encuesta'!$C$2:$C$511,"*a)*",'00 Encuesta'!$E$2:$E$511,"*b)*",'00 Encuesta'!$AO$2:$AO$511,"*e)*")</f>
        <v>1</v>
      </c>
      <c r="L325" s="52">
        <f t="shared" si="449"/>
        <v>5</v>
      </c>
      <c r="M325" s="23"/>
      <c r="N325" s="51">
        <f t="shared" si="450"/>
        <v>0</v>
      </c>
      <c r="O325" s="52" t="e">
        <f t="shared" si="451"/>
        <v>#DIV/0!</v>
      </c>
      <c r="P325" s="53">
        <f>COUNTIFS('00 Encuesta'!$B$2:$B$511,"*f)*",'00 Encuesta'!$C$2:$C$511,"*b)*",'00 Encuesta'!$E$2:$E$511,"*a)*",'00 Encuesta'!$AO$2:$AO$511,"*e)*")</f>
        <v>0</v>
      </c>
      <c r="Q325" s="52" t="e">
        <f t="shared" si="452"/>
        <v>#DIV/0!</v>
      </c>
      <c r="R325" s="53">
        <f>COUNTIFS('00 Encuesta'!$B$2:$B$511,"*f)*",'00 Encuesta'!$C$2:$C$511,"*b)*",'00 Encuesta'!$E$2:$E$511,"*b)*",'00 Encuesta'!$AO$2:$AO$511,"*e)*")</f>
        <v>0</v>
      </c>
      <c r="S325" s="52" t="e">
        <f t="shared" si="453"/>
        <v>#DIV/0!</v>
      </c>
      <c r="T325" s="3"/>
      <c r="U325" s="51">
        <f t="shared" si="454"/>
        <v>0</v>
      </c>
      <c r="V325" s="52" t="e">
        <f t="shared" si="455"/>
        <v>#DIV/0!</v>
      </c>
      <c r="W325" s="53">
        <f>COUNTIFS('00 Encuesta'!$B$2:$B$511,"*f)*",'00 Encuesta'!$C$2:$C$511,"*c)*",'00 Encuesta'!$E$2:$E$511,"*a)*",'00 Encuesta'!$AO$2:$AO$511,"*e)*")</f>
        <v>0</v>
      </c>
      <c r="X325" s="52" t="e">
        <f t="shared" si="456"/>
        <v>#DIV/0!</v>
      </c>
      <c r="Y325" s="53">
        <f>COUNTIFS('00 Encuesta'!$B$2:$B$511,"*f)*",'00 Encuesta'!$C$2:$C$511,"*c)*",'00 Encuesta'!$E$2:$E$511,"*b)*",'00 Encuesta'!$AO$2:$AO$511,"*e)*")</f>
        <v>0</v>
      </c>
      <c r="Z325" s="52" t="e">
        <f t="shared" si="457"/>
        <v>#DIV/0!</v>
      </c>
      <c r="AA325" s="3"/>
      <c r="AB325" s="62">
        <f t="shared" si="458"/>
        <v>1</v>
      </c>
      <c r="AC325" s="52">
        <f t="shared" si="459"/>
        <v>2.3809523809523809</v>
      </c>
      <c r="AD325" s="3"/>
      <c r="AE325" s="3"/>
      <c r="AF325" s="9" t="str">
        <f t="shared" si="460"/>
        <v>e) Muy mala</v>
      </c>
      <c r="AG325" s="72">
        <f t="shared" si="461"/>
        <v>0</v>
      </c>
      <c r="AH325" s="72">
        <f t="shared" si="462"/>
        <v>5</v>
      </c>
      <c r="AI325" s="73">
        <f t="shared" si="463"/>
        <v>2.3809523809523809</v>
      </c>
      <c r="AJ325" s="73"/>
      <c r="AK325" s="76" t="e">
        <f t="shared" si="464"/>
        <v>#DIV/0!</v>
      </c>
      <c r="AL325" s="76" t="e">
        <f t="shared" si="465"/>
        <v>#DIV/0!</v>
      </c>
      <c r="AM325" s="76" t="e">
        <f t="shared" si="466"/>
        <v>#DIV/0!</v>
      </c>
      <c r="AN325" s="76"/>
      <c r="AO325" s="81" t="e">
        <f t="shared" si="467"/>
        <v>#DIV/0!</v>
      </c>
      <c r="AP325" s="81" t="e">
        <f t="shared" si="468"/>
        <v>#DIV/0!</v>
      </c>
      <c r="AQ325" s="81" t="e">
        <f t="shared" si="469"/>
        <v>#DIV/0!</v>
      </c>
      <c r="AR325" s="3"/>
      <c r="AS325" s="76">
        <f t="shared" si="369"/>
        <v>2.3809523809523809</v>
      </c>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row>
    <row r="326" spans="1:75" x14ac:dyDescent="0.3">
      <c r="A326" s="8" t="s">
        <v>45</v>
      </c>
      <c r="B326" s="9" t="s">
        <v>233</v>
      </c>
      <c r="C326" s="7"/>
      <c r="D326" s="7"/>
      <c r="E326" s="7"/>
      <c r="F326" s="71"/>
      <c r="G326" s="51">
        <f t="shared" si="446"/>
        <v>0</v>
      </c>
      <c r="H326" s="52">
        <f t="shared" si="447"/>
        <v>0</v>
      </c>
      <c r="I326" s="53">
        <f>COUNTIFS('00 Encuesta'!$B$2:$B$511,"*f)*",'00 Encuesta'!$C$2:$C$511,"*a)*",'00 Encuesta'!$E$2:$E$511,"*a)*",'00 Encuesta'!$AO$2:$AO$511,"*f)*")</f>
        <v>0</v>
      </c>
      <c r="J326" s="52">
        <f t="shared" si="448"/>
        <v>0</v>
      </c>
      <c r="K326" s="53">
        <f>COUNTIFS('00 Encuesta'!$B$2:$B$511,"*f)*",'00 Encuesta'!$C$2:$C$511,"*a)*",'00 Encuesta'!$E$2:$E$511,"*b)*",'00 Encuesta'!$AO$2:$AO$511,"*f)*")</f>
        <v>0</v>
      </c>
      <c r="L326" s="52">
        <f t="shared" si="449"/>
        <v>0</v>
      </c>
      <c r="M326" s="23"/>
      <c r="N326" s="51">
        <f t="shared" si="450"/>
        <v>0</v>
      </c>
      <c r="O326" s="52" t="e">
        <f t="shared" si="451"/>
        <v>#DIV/0!</v>
      </c>
      <c r="P326" s="53">
        <f>COUNTIFS('00 Encuesta'!$B$2:$B$511,"*f)*",'00 Encuesta'!$C$2:$C$511,"*b)*",'00 Encuesta'!$E$2:$E$511,"*a)*",'00 Encuesta'!$AO$2:$AO$511,"*f)*")</f>
        <v>0</v>
      </c>
      <c r="Q326" s="52" t="e">
        <f t="shared" si="452"/>
        <v>#DIV/0!</v>
      </c>
      <c r="R326" s="53">
        <f>COUNTIFS('00 Encuesta'!$B$2:$B$511,"*f)*",'00 Encuesta'!$C$2:$C$511,"*b)*",'00 Encuesta'!$E$2:$E$511,"*b)*",'00 Encuesta'!$AO$2:$AO$511,"*f)*")</f>
        <v>0</v>
      </c>
      <c r="S326" s="52" t="e">
        <f t="shared" si="453"/>
        <v>#DIV/0!</v>
      </c>
      <c r="T326" s="3"/>
      <c r="U326" s="51">
        <f t="shared" si="454"/>
        <v>0</v>
      </c>
      <c r="V326" s="52" t="e">
        <f t="shared" si="455"/>
        <v>#DIV/0!</v>
      </c>
      <c r="W326" s="53">
        <f>COUNTIFS('00 Encuesta'!$B$2:$B$511,"*f)*",'00 Encuesta'!$C$2:$C$511,"*c)*",'00 Encuesta'!$E$2:$E$511,"*a)*",'00 Encuesta'!$AO$2:$AO$511,"*f)*")</f>
        <v>0</v>
      </c>
      <c r="X326" s="52" t="e">
        <f t="shared" si="456"/>
        <v>#DIV/0!</v>
      </c>
      <c r="Y326" s="53">
        <f>COUNTIFS('00 Encuesta'!$B$2:$B$511,"*f)*",'00 Encuesta'!$C$2:$C$511,"*c)*",'00 Encuesta'!$E$2:$E$511,"*b)*",'00 Encuesta'!$AO$2:$AO$511,"*f)*")</f>
        <v>0</v>
      </c>
      <c r="Z326" s="52" t="e">
        <f t="shared" si="457"/>
        <v>#DIV/0!</v>
      </c>
      <c r="AA326" s="3"/>
      <c r="AB326" s="62">
        <f t="shared" si="458"/>
        <v>0</v>
      </c>
      <c r="AC326" s="52">
        <f t="shared" si="459"/>
        <v>0</v>
      </c>
      <c r="AD326" s="3"/>
      <c r="AE326" s="3"/>
      <c r="AF326" s="9" t="str">
        <f t="shared" si="460"/>
        <v>f) No aplica</v>
      </c>
      <c r="AG326" s="72">
        <f t="shared" si="461"/>
        <v>0</v>
      </c>
      <c r="AH326" s="72">
        <f t="shared" si="462"/>
        <v>0</v>
      </c>
      <c r="AI326" s="73">
        <f t="shared" si="463"/>
        <v>0</v>
      </c>
      <c r="AJ326" s="73"/>
      <c r="AK326" s="76" t="e">
        <f t="shared" si="464"/>
        <v>#DIV/0!</v>
      </c>
      <c r="AL326" s="76" t="e">
        <f t="shared" si="465"/>
        <v>#DIV/0!</v>
      </c>
      <c r="AM326" s="76" t="e">
        <f t="shared" si="466"/>
        <v>#DIV/0!</v>
      </c>
      <c r="AN326" s="76"/>
      <c r="AO326" s="81" t="e">
        <f t="shared" si="467"/>
        <v>#DIV/0!</v>
      </c>
      <c r="AP326" s="81" t="e">
        <f t="shared" si="468"/>
        <v>#DIV/0!</v>
      </c>
      <c r="AQ326" s="81" t="e">
        <f t="shared" si="469"/>
        <v>#DIV/0!</v>
      </c>
      <c r="AR326" s="3"/>
      <c r="AS326" s="76">
        <f t="shared" si="369"/>
        <v>0</v>
      </c>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row>
    <row r="327" spans="1:75" x14ac:dyDescent="0.3">
      <c r="A327" s="70"/>
      <c r="B327" s="86"/>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6"/>
      <c r="AC327" s="41"/>
      <c r="AD327" s="3"/>
      <c r="AE327" s="3"/>
      <c r="AF327" s="3"/>
      <c r="AG327" s="82">
        <f>($F321*I321+$F322*I322+$F323*I323+$F324*I324+$F325*I325)/(I321+I322+I323+I324+I325)</f>
        <v>91.666666666666671</v>
      </c>
      <c r="AH327" s="82">
        <f>($F321*K321+$F322*K322+$F323*K323+$F324*K324+$F325*K325)/(K321+K322+K323+K324+K325)</f>
        <v>90</v>
      </c>
      <c r="AI327" s="82">
        <f>($F321*G321+$F322*G322+$F323*G323+$F324*G324+$F325*G325)/(G321+G322+G323+G324+G325)</f>
        <v>90.853658536585371</v>
      </c>
      <c r="AJ327" s="82"/>
      <c r="AK327" s="82" t="e">
        <f>($F321*Q321+$F322*Q322+$F323*Q323+$F324*Q324+$F325*Q325)/(Q321+Q322+Q323+Q324+Q325)</f>
        <v>#DIV/0!</v>
      </c>
      <c r="AL327" s="82" t="e">
        <f>($F321*S321+$F322*S322+$F323*S323+$F324*S324+$F325*S325)/(S321+S322+S323+S324+S325)</f>
        <v>#DIV/0!</v>
      </c>
      <c r="AM327" s="82" t="e">
        <f>($F321*O321+$F322*O322+$F323*O323+$F324*O324+$F325*O325)/(O321+O322+O323+O324+O325)</f>
        <v>#DIV/0!</v>
      </c>
      <c r="AN327" s="82"/>
      <c r="AO327" s="82" t="e">
        <f>($F321*W321+$F322*W322+$F323*W323+$F324*W324+$F325*W325)/(W321+W322+W323+W324+W325)</f>
        <v>#DIV/0!</v>
      </c>
      <c r="AP327" s="82" t="e">
        <f>($F321*Y321+$F322*Y322+$F323*Y323+$F324*Y324+$F325*Y325)/(Y321+Y322+Y323+Y324+Y325)</f>
        <v>#DIV/0!</v>
      </c>
      <c r="AQ327" s="82" t="e">
        <f>($F321*U321+$F322*U322+$F323*U323+$F324*U324+$F325*U325)/(U321+U322+U323+U324+U325)</f>
        <v>#DIV/0!</v>
      </c>
      <c r="AR327" s="3"/>
      <c r="AS327" s="76"/>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row>
    <row r="328" spans="1:75" x14ac:dyDescent="0.3">
      <c r="A328" s="70">
        <v>36</v>
      </c>
      <c r="B328" s="86" t="s">
        <v>235</v>
      </c>
      <c r="C328" s="7"/>
      <c r="D328" s="7"/>
      <c r="E328" s="7"/>
      <c r="F328" s="71"/>
      <c r="G328" s="51"/>
      <c r="H328" s="52"/>
      <c r="I328" s="53"/>
      <c r="J328" s="52"/>
      <c r="K328" s="53"/>
      <c r="L328" s="66"/>
      <c r="M328" s="23"/>
      <c r="N328" s="51"/>
      <c r="O328" s="52"/>
      <c r="P328" s="53"/>
      <c r="Q328" s="52"/>
      <c r="R328" s="53"/>
      <c r="S328" s="66"/>
      <c r="T328" s="3"/>
      <c r="U328" s="51"/>
      <c r="V328" s="52"/>
      <c r="W328" s="53"/>
      <c r="X328" s="52"/>
      <c r="Y328" s="53"/>
      <c r="Z328" s="66"/>
      <c r="AA328" s="3"/>
      <c r="AB328" s="62"/>
      <c r="AC328" s="52"/>
      <c r="AD328" s="3"/>
      <c r="AE328" s="3"/>
      <c r="AF328" s="88" t="str">
        <f>A328&amp;" "&amp;B328</f>
        <v>36 Biblioteca</v>
      </c>
      <c r="AG328" s="3"/>
      <c r="AH328" s="3"/>
      <c r="AI328" s="3"/>
      <c r="AJ328" s="3"/>
      <c r="AK328" s="3"/>
      <c r="AL328" s="3"/>
      <c r="AM328" s="3"/>
      <c r="AN328" s="3"/>
      <c r="AO328" s="3"/>
      <c r="AP328" s="3"/>
      <c r="AQ328" s="3"/>
      <c r="AR328" s="3"/>
      <c r="AS328" s="76"/>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row>
    <row r="329" spans="1:75" x14ac:dyDescent="0.3">
      <c r="A329" s="8" t="s">
        <v>17</v>
      </c>
      <c r="B329" s="9" t="s">
        <v>229</v>
      </c>
      <c r="C329" s="7"/>
      <c r="D329" s="7"/>
      <c r="E329" s="7"/>
      <c r="F329" s="71">
        <v>100</v>
      </c>
      <c r="G329" s="51">
        <f t="shared" ref="G329:G334" si="470">I329+K329</f>
        <v>29</v>
      </c>
      <c r="H329" s="52">
        <f t="shared" ref="H329:H334" si="471">G329/$J$5*100</f>
        <v>69.047619047619051</v>
      </c>
      <c r="I329" s="53">
        <f>COUNTIFS('00 Encuesta'!$B$2:$B$511,"*f)*",'00 Encuesta'!$C$2:$C$511,"*a)*",'00 Encuesta'!$E$2:$E$511,"*a)*",'00 Encuesta'!$AP$2:$AP$511,"*a)*")</f>
        <v>12</v>
      </c>
      <c r="J329" s="52">
        <f t="shared" ref="J329:J334" si="472">I329/$J$6*100</f>
        <v>54.54545454545454</v>
      </c>
      <c r="K329" s="53">
        <f>COUNTIFS('00 Encuesta'!$B$2:$B$511,"*f)*",'00 Encuesta'!$C$2:$C$511,"*a)*",'00 Encuesta'!$E$2:$E$511,"*b)*",'00 Encuesta'!$AP$2:$AP$511,"*a)*")</f>
        <v>17</v>
      </c>
      <c r="L329" s="52">
        <f t="shared" ref="L329:L334" si="473">K329/$J$7*100</f>
        <v>85</v>
      </c>
      <c r="M329" s="23"/>
      <c r="N329" s="51">
        <f t="shared" ref="N329:N334" si="474">P329+R329</f>
        <v>0</v>
      </c>
      <c r="O329" s="52" t="e">
        <f t="shared" ref="O329:O334" si="475">N329/$Q$5*100</f>
        <v>#DIV/0!</v>
      </c>
      <c r="P329" s="53">
        <f>COUNTIFS('00 Encuesta'!$B$2:$B$511,"*f)*",'00 Encuesta'!$C$2:$C$511,"*b)*",'00 Encuesta'!$E$2:$E$511,"*a)*",'00 Encuesta'!$AP$2:$AP$511,"*a)*")</f>
        <v>0</v>
      </c>
      <c r="Q329" s="52" t="e">
        <f t="shared" ref="Q329:Q334" si="476">P329/$Q$6*100</f>
        <v>#DIV/0!</v>
      </c>
      <c r="R329" s="53">
        <f>COUNTIFS('00 Encuesta'!$B$2:$B$511,"*f)*",'00 Encuesta'!$C$2:$C$511,"*b)*",'00 Encuesta'!$E$2:$E$511,"*b)*",'00 Encuesta'!$AP$2:$AP$511,"*a)*")</f>
        <v>0</v>
      </c>
      <c r="S329" s="52" t="e">
        <f t="shared" ref="S329:S334" si="477">R329/$Q$7*100</f>
        <v>#DIV/0!</v>
      </c>
      <c r="T329" s="3"/>
      <c r="U329" s="51">
        <f t="shared" ref="U329:U334" si="478">W329+Y329</f>
        <v>0</v>
      </c>
      <c r="V329" s="52" t="e">
        <f t="shared" ref="V329:V334" si="479">U329/$X$5*100</f>
        <v>#DIV/0!</v>
      </c>
      <c r="W329" s="53">
        <f>COUNTIFS('00 Encuesta'!$B$2:$B$511,"*f)*",'00 Encuesta'!$C$2:$C$511,"*c)*",'00 Encuesta'!$E$2:$E$511,"*a)*",'00 Encuesta'!$AP$2:$AP$511,"*a)*")</f>
        <v>0</v>
      </c>
      <c r="X329" s="52" t="e">
        <f t="shared" ref="X329:X334" si="480">W329/$X$6*100</f>
        <v>#DIV/0!</v>
      </c>
      <c r="Y329" s="53">
        <f>COUNTIFS('00 Encuesta'!$B$2:$B$511,"*f)*",'00 Encuesta'!$C$2:$C$511,"*c)*",'00 Encuesta'!$E$2:$E$511,"*b)*",'00 Encuesta'!$AP$2:$AP$511,"*a)*")</f>
        <v>0</v>
      </c>
      <c r="Z329" s="52" t="e">
        <f t="shared" ref="Z329:Z334" si="481">Y329/$X$7*100</f>
        <v>#DIV/0!</v>
      </c>
      <c r="AA329" s="3"/>
      <c r="AB329" s="62">
        <f t="shared" ref="AB329:AB334" si="482">G329+N329+U329</f>
        <v>29</v>
      </c>
      <c r="AC329" s="52">
        <f t="shared" ref="AC329:AC334" si="483">AB329*100/$AC$5</f>
        <v>69.047619047619051</v>
      </c>
      <c r="AD329" s="3"/>
      <c r="AE329" s="3"/>
      <c r="AF329" s="9" t="str">
        <f t="shared" ref="AF329:AF334" si="484">A329&amp;" "&amp;B329</f>
        <v>a) Muy buena</v>
      </c>
      <c r="AG329" s="72">
        <f t="shared" ref="AG329:AG334" si="485">J329</f>
        <v>54.54545454545454</v>
      </c>
      <c r="AH329" s="72">
        <f t="shared" ref="AH329:AH334" si="486">L329</f>
        <v>85</v>
      </c>
      <c r="AI329" s="73">
        <f t="shared" ref="AI329:AI334" si="487">H329</f>
        <v>69.047619047619051</v>
      </c>
      <c r="AJ329" s="73"/>
      <c r="AK329" s="76" t="e">
        <f t="shared" ref="AK329:AK334" si="488">Q329</f>
        <v>#DIV/0!</v>
      </c>
      <c r="AL329" s="76" t="e">
        <f t="shared" ref="AL329:AL334" si="489">S329</f>
        <v>#DIV/0!</v>
      </c>
      <c r="AM329" s="76" t="e">
        <f t="shared" ref="AM329:AM334" si="490">O329</f>
        <v>#DIV/0!</v>
      </c>
      <c r="AN329" s="76"/>
      <c r="AO329" s="81" t="e">
        <f t="shared" ref="AO329:AO334" si="491">X329</f>
        <v>#DIV/0!</v>
      </c>
      <c r="AP329" s="81" t="e">
        <f t="shared" ref="AP329:AP334" si="492">Z329</f>
        <v>#DIV/0!</v>
      </c>
      <c r="AQ329" s="81" t="e">
        <f t="shared" ref="AQ329:AQ334" si="493">V329</f>
        <v>#DIV/0!</v>
      </c>
      <c r="AR329" s="3"/>
      <c r="AS329" s="76">
        <f t="shared" si="369"/>
        <v>69.047619047619051</v>
      </c>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row>
    <row r="330" spans="1:75" x14ac:dyDescent="0.3">
      <c r="A330" s="8" t="s">
        <v>18</v>
      </c>
      <c r="B330" s="9" t="s">
        <v>230</v>
      </c>
      <c r="C330" s="7"/>
      <c r="D330" s="7"/>
      <c r="E330" s="7"/>
      <c r="F330" s="71">
        <v>75</v>
      </c>
      <c r="G330" s="51">
        <f t="shared" si="470"/>
        <v>11</v>
      </c>
      <c r="H330" s="52">
        <f t="shared" si="471"/>
        <v>26.190476190476193</v>
      </c>
      <c r="I330" s="53">
        <f>COUNTIFS('00 Encuesta'!$B$2:$B$511,"*f)*",'00 Encuesta'!$C$2:$C$511,"*a)*",'00 Encuesta'!$E$2:$E$511,"*a)*",'00 Encuesta'!$AP$2:$AP$511,"*b)*")</f>
        <v>8</v>
      </c>
      <c r="J330" s="52">
        <f t="shared" si="472"/>
        <v>36.363636363636367</v>
      </c>
      <c r="K330" s="53">
        <f>COUNTIFS('00 Encuesta'!$B$2:$B$511,"*f)*",'00 Encuesta'!$C$2:$C$511,"*a)*",'00 Encuesta'!$E$2:$E$511,"*b)*",'00 Encuesta'!$AP$2:$AP$511,"*b)*")</f>
        <v>3</v>
      </c>
      <c r="L330" s="52">
        <f t="shared" si="473"/>
        <v>15</v>
      </c>
      <c r="M330" s="23"/>
      <c r="N330" s="51">
        <f t="shared" si="474"/>
        <v>0</v>
      </c>
      <c r="O330" s="52" t="e">
        <f t="shared" si="475"/>
        <v>#DIV/0!</v>
      </c>
      <c r="P330" s="53">
        <f>COUNTIFS('00 Encuesta'!$B$2:$B$511,"*f)*",'00 Encuesta'!$C$2:$C$511,"*b)*",'00 Encuesta'!$E$2:$E$511,"*a)*",'00 Encuesta'!$AP$2:$AP$511,"*b)*")</f>
        <v>0</v>
      </c>
      <c r="Q330" s="52" t="e">
        <f t="shared" si="476"/>
        <v>#DIV/0!</v>
      </c>
      <c r="R330" s="53">
        <f>COUNTIFS('00 Encuesta'!$B$2:$B$511,"*f)*",'00 Encuesta'!$C$2:$C$511,"*b)*",'00 Encuesta'!$E$2:$E$511,"*b)*",'00 Encuesta'!$AP$2:$AP$511,"*b)*")</f>
        <v>0</v>
      </c>
      <c r="S330" s="52" t="e">
        <f t="shared" si="477"/>
        <v>#DIV/0!</v>
      </c>
      <c r="T330" s="3"/>
      <c r="U330" s="51">
        <f t="shared" si="478"/>
        <v>0</v>
      </c>
      <c r="V330" s="52" t="e">
        <f t="shared" si="479"/>
        <v>#DIV/0!</v>
      </c>
      <c r="W330" s="53">
        <f>COUNTIFS('00 Encuesta'!$B$2:$B$511,"*f)*",'00 Encuesta'!$C$2:$C$511,"*c)*",'00 Encuesta'!$E$2:$E$511,"*a)*",'00 Encuesta'!$AP$2:$AP$511,"*b)*")</f>
        <v>0</v>
      </c>
      <c r="X330" s="52" t="e">
        <f t="shared" si="480"/>
        <v>#DIV/0!</v>
      </c>
      <c r="Y330" s="53">
        <f>COUNTIFS('00 Encuesta'!$B$2:$B$511,"*f)*",'00 Encuesta'!$C$2:$C$511,"*c)*",'00 Encuesta'!$E$2:$E$511,"*b)*",'00 Encuesta'!$AP$2:$AP$511,"*b)*")</f>
        <v>0</v>
      </c>
      <c r="Z330" s="52" t="e">
        <f t="shared" si="481"/>
        <v>#DIV/0!</v>
      </c>
      <c r="AA330" s="3"/>
      <c r="AB330" s="62">
        <f t="shared" si="482"/>
        <v>11</v>
      </c>
      <c r="AC330" s="52">
        <f t="shared" si="483"/>
        <v>26.19047619047619</v>
      </c>
      <c r="AD330" s="3"/>
      <c r="AE330" s="3"/>
      <c r="AF330" s="9" t="str">
        <f t="shared" si="484"/>
        <v>b) Buena</v>
      </c>
      <c r="AG330" s="72">
        <f t="shared" si="485"/>
        <v>36.363636363636367</v>
      </c>
      <c r="AH330" s="72">
        <f t="shared" si="486"/>
        <v>15</v>
      </c>
      <c r="AI330" s="73">
        <f t="shared" si="487"/>
        <v>26.190476190476193</v>
      </c>
      <c r="AJ330" s="73"/>
      <c r="AK330" s="76" t="e">
        <f t="shared" si="488"/>
        <v>#DIV/0!</v>
      </c>
      <c r="AL330" s="76" t="e">
        <f t="shared" si="489"/>
        <v>#DIV/0!</v>
      </c>
      <c r="AM330" s="76" t="e">
        <f t="shared" si="490"/>
        <v>#DIV/0!</v>
      </c>
      <c r="AN330" s="76"/>
      <c r="AO330" s="81" t="e">
        <f t="shared" si="491"/>
        <v>#DIV/0!</v>
      </c>
      <c r="AP330" s="81" t="e">
        <f t="shared" si="492"/>
        <v>#DIV/0!</v>
      </c>
      <c r="AQ330" s="81" t="e">
        <f t="shared" si="493"/>
        <v>#DIV/0!</v>
      </c>
      <c r="AR330" s="3"/>
      <c r="AS330" s="76">
        <f t="shared" si="369"/>
        <v>26.19047619047619</v>
      </c>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row>
    <row r="331" spans="1:75" x14ac:dyDescent="0.3">
      <c r="A331" s="8" t="s">
        <v>20</v>
      </c>
      <c r="B331" s="9" t="s">
        <v>218</v>
      </c>
      <c r="C331" s="7"/>
      <c r="D331" s="7"/>
      <c r="E331" s="7"/>
      <c r="F331" s="71">
        <v>50</v>
      </c>
      <c r="G331" s="51">
        <f t="shared" si="470"/>
        <v>0</v>
      </c>
      <c r="H331" s="52">
        <f t="shared" si="471"/>
        <v>0</v>
      </c>
      <c r="I331" s="53">
        <f>COUNTIFS('00 Encuesta'!$B$2:$B$511,"*f)*",'00 Encuesta'!$C$2:$C$511,"*a)*",'00 Encuesta'!$E$2:$E$511,"*a)*",'00 Encuesta'!$AP$2:$AP$511,"*c)*")</f>
        <v>0</v>
      </c>
      <c r="J331" s="52">
        <f t="shared" si="472"/>
        <v>0</v>
      </c>
      <c r="K331" s="53">
        <f>COUNTIFS('00 Encuesta'!$B$2:$B$511,"*f)*",'00 Encuesta'!$C$2:$C$511,"*a)*",'00 Encuesta'!$E$2:$E$511,"*b)*",'00 Encuesta'!$AP$2:$AP$511,"*c)*")</f>
        <v>0</v>
      </c>
      <c r="L331" s="52">
        <f t="shared" si="473"/>
        <v>0</v>
      </c>
      <c r="M331" s="23"/>
      <c r="N331" s="51">
        <f t="shared" si="474"/>
        <v>0</v>
      </c>
      <c r="O331" s="52" t="e">
        <f t="shared" si="475"/>
        <v>#DIV/0!</v>
      </c>
      <c r="P331" s="53">
        <f>COUNTIFS('00 Encuesta'!$B$2:$B$511,"*f)*",'00 Encuesta'!$C$2:$C$511,"*b)*",'00 Encuesta'!$E$2:$E$511,"*a)*",'00 Encuesta'!$AP$2:$AP$511,"*c)*")</f>
        <v>0</v>
      </c>
      <c r="Q331" s="52" t="e">
        <f t="shared" si="476"/>
        <v>#DIV/0!</v>
      </c>
      <c r="R331" s="53">
        <f>COUNTIFS('00 Encuesta'!$B$2:$B$511,"*f)*",'00 Encuesta'!$C$2:$C$511,"*b)*",'00 Encuesta'!$E$2:$E$511,"*b)*",'00 Encuesta'!$AP$2:$AP$511,"*c)*")</f>
        <v>0</v>
      </c>
      <c r="S331" s="52" t="e">
        <f t="shared" si="477"/>
        <v>#DIV/0!</v>
      </c>
      <c r="T331" s="3"/>
      <c r="U331" s="51">
        <f t="shared" si="478"/>
        <v>0</v>
      </c>
      <c r="V331" s="52" t="e">
        <f t="shared" si="479"/>
        <v>#DIV/0!</v>
      </c>
      <c r="W331" s="53">
        <f>COUNTIFS('00 Encuesta'!$B$2:$B$511,"*f)*",'00 Encuesta'!$C$2:$C$511,"*c)*",'00 Encuesta'!$E$2:$E$511,"*a)*",'00 Encuesta'!$AP$2:$AP$511,"*c)*")</f>
        <v>0</v>
      </c>
      <c r="X331" s="52" t="e">
        <f t="shared" si="480"/>
        <v>#DIV/0!</v>
      </c>
      <c r="Y331" s="53">
        <f>COUNTIFS('00 Encuesta'!$B$2:$B$511,"*f)*",'00 Encuesta'!$C$2:$C$511,"*c)*",'00 Encuesta'!$E$2:$E$511,"*b)*",'00 Encuesta'!$AP$2:$AP$511,"*c)*")</f>
        <v>0</v>
      </c>
      <c r="Z331" s="52" t="e">
        <f t="shared" si="481"/>
        <v>#DIV/0!</v>
      </c>
      <c r="AA331" s="3"/>
      <c r="AB331" s="62">
        <f t="shared" si="482"/>
        <v>0</v>
      </c>
      <c r="AC331" s="52">
        <f t="shared" si="483"/>
        <v>0</v>
      </c>
      <c r="AD331" s="3"/>
      <c r="AE331" s="3"/>
      <c r="AF331" s="9" t="str">
        <f t="shared" si="484"/>
        <v>c) Regular</v>
      </c>
      <c r="AG331" s="72">
        <f t="shared" si="485"/>
        <v>0</v>
      </c>
      <c r="AH331" s="72">
        <f t="shared" si="486"/>
        <v>0</v>
      </c>
      <c r="AI331" s="73">
        <f t="shared" si="487"/>
        <v>0</v>
      </c>
      <c r="AJ331" s="73"/>
      <c r="AK331" s="76" t="e">
        <f t="shared" si="488"/>
        <v>#DIV/0!</v>
      </c>
      <c r="AL331" s="76" t="e">
        <f t="shared" si="489"/>
        <v>#DIV/0!</v>
      </c>
      <c r="AM331" s="76" t="e">
        <f t="shared" si="490"/>
        <v>#DIV/0!</v>
      </c>
      <c r="AN331" s="76"/>
      <c r="AO331" s="81" t="e">
        <f t="shared" si="491"/>
        <v>#DIV/0!</v>
      </c>
      <c r="AP331" s="81" t="e">
        <f t="shared" si="492"/>
        <v>#DIV/0!</v>
      </c>
      <c r="AQ331" s="81" t="e">
        <f t="shared" si="493"/>
        <v>#DIV/0!</v>
      </c>
      <c r="AR331" s="3"/>
      <c r="AS331" s="76">
        <f t="shared" si="369"/>
        <v>0</v>
      </c>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row>
    <row r="332" spans="1:75" x14ac:dyDescent="0.3">
      <c r="A332" s="8" t="s">
        <v>21</v>
      </c>
      <c r="B332" s="9" t="s">
        <v>231</v>
      </c>
      <c r="C332" s="7"/>
      <c r="D332" s="7"/>
      <c r="E332" s="7"/>
      <c r="F332" s="71">
        <v>25</v>
      </c>
      <c r="G332" s="51">
        <f t="shared" si="470"/>
        <v>0</v>
      </c>
      <c r="H332" s="52">
        <f t="shared" si="471"/>
        <v>0</v>
      </c>
      <c r="I332" s="53">
        <f>COUNTIFS('00 Encuesta'!$B$2:$B$511,"*f)*",'00 Encuesta'!$C$2:$C$511,"*a)*",'00 Encuesta'!$E$2:$E$511,"*a)*",'00 Encuesta'!$AP$2:$AP$511,"*d)*")</f>
        <v>0</v>
      </c>
      <c r="J332" s="52">
        <f t="shared" si="472"/>
        <v>0</v>
      </c>
      <c r="K332" s="53">
        <f>COUNTIFS('00 Encuesta'!$B$2:$B$511,"*f)*",'00 Encuesta'!$C$2:$C$511,"*a)*",'00 Encuesta'!$E$2:$E$511,"*b)*",'00 Encuesta'!$AP$2:$AP$511,"*d)*")</f>
        <v>0</v>
      </c>
      <c r="L332" s="52">
        <f t="shared" si="473"/>
        <v>0</v>
      </c>
      <c r="M332" s="23"/>
      <c r="N332" s="51">
        <f t="shared" si="474"/>
        <v>0</v>
      </c>
      <c r="O332" s="52" t="e">
        <f t="shared" si="475"/>
        <v>#DIV/0!</v>
      </c>
      <c r="P332" s="53">
        <f>COUNTIFS('00 Encuesta'!$B$2:$B$511,"*f)*",'00 Encuesta'!$C$2:$C$511,"*b)*",'00 Encuesta'!$E$2:$E$511,"*a)*",'00 Encuesta'!$AP$2:$AP$511,"*d)*")</f>
        <v>0</v>
      </c>
      <c r="Q332" s="52" t="e">
        <f t="shared" si="476"/>
        <v>#DIV/0!</v>
      </c>
      <c r="R332" s="53">
        <f>COUNTIFS('00 Encuesta'!$B$2:$B$511,"*f)*",'00 Encuesta'!$C$2:$C$511,"*b)*",'00 Encuesta'!$E$2:$E$511,"*b)*",'00 Encuesta'!$AP$2:$AP$511,"*d)*")</f>
        <v>0</v>
      </c>
      <c r="S332" s="52" t="e">
        <f t="shared" si="477"/>
        <v>#DIV/0!</v>
      </c>
      <c r="T332" s="3"/>
      <c r="U332" s="51">
        <f t="shared" si="478"/>
        <v>0</v>
      </c>
      <c r="V332" s="52" t="e">
        <f t="shared" si="479"/>
        <v>#DIV/0!</v>
      </c>
      <c r="W332" s="53">
        <f>COUNTIFS('00 Encuesta'!$B$2:$B$511,"*f)*",'00 Encuesta'!$C$2:$C$511,"*c)*",'00 Encuesta'!$E$2:$E$511,"*a)*",'00 Encuesta'!$AP$2:$AP$511,"*d)*")</f>
        <v>0</v>
      </c>
      <c r="X332" s="52" t="e">
        <f t="shared" si="480"/>
        <v>#DIV/0!</v>
      </c>
      <c r="Y332" s="53">
        <f>COUNTIFS('00 Encuesta'!$B$2:$B$511,"*f)*",'00 Encuesta'!$C$2:$C$511,"*c)*",'00 Encuesta'!$E$2:$E$511,"*b)*",'00 Encuesta'!$AP$2:$AP$511,"*d)*")</f>
        <v>0</v>
      </c>
      <c r="Z332" s="52" t="e">
        <f t="shared" si="481"/>
        <v>#DIV/0!</v>
      </c>
      <c r="AA332" s="3"/>
      <c r="AB332" s="62">
        <f t="shared" si="482"/>
        <v>0</v>
      </c>
      <c r="AC332" s="52">
        <f t="shared" si="483"/>
        <v>0</v>
      </c>
      <c r="AD332" s="3"/>
      <c r="AE332" s="3"/>
      <c r="AF332" s="9" t="str">
        <f t="shared" si="484"/>
        <v>d) Mala</v>
      </c>
      <c r="AG332" s="72">
        <f t="shared" si="485"/>
        <v>0</v>
      </c>
      <c r="AH332" s="72">
        <f t="shared" si="486"/>
        <v>0</v>
      </c>
      <c r="AI332" s="73">
        <f t="shared" si="487"/>
        <v>0</v>
      </c>
      <c r="AJ332" s="73"/>
      <c r="AK332" s="76" t="e">
        <f t="shared" si="488"/>
        <v>#DIV/0!</v>
      </c>
      <c r="AL332" s="76" t="e">
        <f t="shared" si="489"/>
        <v>#DIV/0!</v>
      </c>
      <c r="AM332" s="76" t="e">
        <f t="shared" si="490"/>
        <v>#DIV/0!</v>
      </c>
      <c r="AN332" s="76"/>
      <c r="AO332" s="81" t="e">
        <f t="shared" si="491"/>
        <v>#DIV/0!</v>
      </c>
      <c r="AP332" s="81" t="e">
        <f t="shared" si="492"/>
        <v>#DIV/0!</v>
      </c>
      <c r="AQ332" s="81" t="e">
        <f t="shared" si="493"/>
        <v>#DIV/0!</v>
      </c>
      <c r="AR332" s="3"/>
      <c r="AS332" s="76">
        <f t="shared" si="369"/>
        <v>0</v>
      </c>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row>
    <row r="333" spans="1:75" x14ac:dyDescent="0.3">
      <c r="A333" s="8" t="s">
        <v>22</v>
      </c>
      <c r="B333" s="9" t="s">
        <v>232</v>
      </c>
      <c r="C333" s="7"/>
      <c r="D333" s="7"/>
      <c r="E333" s="7"/>
      <c r="F333" s="71">
        <v>0</v>
      </c>
      <c r="G333" s="51">
        <f t="shared" si="470"/>
        <v>0</v>
      </c>
      <c r="H333" s="52">
        <f t="shared" si="471"/>
        <v>0</v>
      </c>
      <c r="I333" s="53">
        <f>COUNTIFS('00 Encuesta'!$B$2:$B$511,"*f)*",'00 Encuesta'!$C$2:$C$511,"*a)*",'00 Encuesta'!$E$2:$E$511,"*a)*",'00 Encuesta'!$AP$2:$AP$511,"*e)*")</f>
        <v>0</v>
      </c>
      <c r="J333" s="52">
        <f t="shared" si="472"/>
        <v>0</v>
      </c>
      <c r="K333" s="53">
        <f>COUNTIFS('00 Encuesta'!$B$2:$B$511,"*f)*",'00 Encuesta'!$C$2:$C$511,"*a)*",'00 Encuesta'!$E$2:$E$511,"*b)*",'00 Encuesta'!$AP$2:$AP$511,"*e)*")</f>
        <v>0</v>
      </c>
      <c r="L333" s="52">
        <f t="shared" si="473"/>
        <v>0</v>
      </c>
      <c r="M333" s="23"/>
      <c r="N333" s="51">
        <f t="shared" si="474"/>
        <v>0</v>
      </c>
      <c r="O333" s="52" t="e">
        <f t="shared" si="475"/>
        <v>#DIV/0!</v>
      </c>
      <c r="P333" s="53">
        <f>COUNTIFS('00 Encuesta'!$B$2:$B$511,"*f)*",'00 Encuesta'!$C$2:$C$511,"*b)*",'00 Encuesta'!$E$2:$E$511,"*a)*",'00 Encuesta'!$AP$2:$AP$511,"*e)*")</f>
        <v>0</v>
      </c>
      <c r="Q333" s="52" t="e">
        <f t="shared" si="476"/>
        <v>#DIV/0!</v>
      </c>
      <c r="R333" s="53">
        <f>COUNTIFS('00 Encuesta'!$B$2:$B$511,"*f)*",'00 Encuesta'!$C$2:$C$511,"*b)*",'00 Encuesta'!$E$2:$E$511,"*b)*",'00 Encuesta'!$AP$2:$AP$511,"*e)*")</f>
        <v>0</v>
      </c>
      <c r="S333" s="52" t="e">
        <f t="shared" si="477"/>
        <v>#DIV/0!</v>
      </c>
      <c r="T333" s="3"/>
      <c r="U333" s="51">
        <f t="shared" si="478"/>
        <v>0</v>
      </c>
      <c r="V333" s="52" t="e">
        <f t="shared" si="479"/>
        <v>#DIV/0!</v>
      </c>
      <c r="W333" s="53">
        <f>COUNTIFS('00 Encuesta'!$B$2:$B$511,"*f)*",'00 Encuesta'!$C$2:$C$511,"*c)*",'00 Encuesta'!$E$2:$E$511,"*a)*",'00 Encuesta'!$AP$2:$AP$511,"*e)*")</f>
        <v>0</v>
      </c>
      <c r="X333" s="52" t="e">
        <f t="shared" si="480"/>
        <v>#DIV/0!</v>
      </c>
      <c r="Y333" s="53">
        <f>COUNTIFS('00 Encuesta'!$B$2:$B$511,"*f)*",'00 Encuesta'!$C$2:$C$511,"*c)*",'00 Encuesta'!$E$2:$E$511,"*b)*",'00 Encuesta'!$AP$2:$AP$511,"*e)*")</f>
        <v>0</v>
      </c>
      <c r="Z333" s="52" t="e">
        <f t="shared" si="481"/>
        <v>#DIV/0!</v>
      </c>
      <c r="AA333" s="3"/>
      <c r="AB333" s="62">
        <f t="shared" si="482"/>
        <v>0</v>
      </c>
      <c r="AC333" s="52">
        <f t="shared" si="483"/>
        <v>0</v>
      </c>
      <c r="AD333" s="3"/>
      <c r="AE333" s="3"/>
      <c r="AF333" s="9" t="str">
        <f t="shared" si="484"/>
        <v>e) Muy mala</v>
      </c>
      <c r="AG333" s="72">
        <f t="shared" si="485"/>
        <v>0</v>
      </c>
      <c r="AH333" s="72">
        <f t="shared" si="486"/>
        <v>0</v>
      </c>
      <c r="AI333" s="73">
        <f t="shared" si="487"/>
        <v>0</v>
      </c>
      <c r="AJ333" s="73"/>
      <c r="AK333" s="76" t="e">
        <f t="shared" si="488"/>
        <v>#DIV/0!</v>
      </c>
      <c r="AL333" s="76" t="e">
        <f t="shared" si="489"/>
        <v>#DIV/0!</v>
      </c>
      <c r="AM333" s="76" t="e">
        <f t="shared" si="490"/>
        <v>#DIV/0!</v>
      </c>
      <c r="AN333" s="76"/>
      <c r="AO333" s="81" t="e">
        <f t="shared" si="491"/>
        <v>#DIV/0!</v>
      </c>
      <c r="AP333" s="81" t="e">
        <f t="shared" si="492"/>
        <v>#DIV/0!</v>
      </c>
      <c r="AQ333" s="81" t="e">
        <f t="shared" si="493"/>
        <v>#DIV/0!</v>
      </c>
      <c r="AR333" s="3"/>
      <c r="AS333" s="76">
        <f t="shared" si="369"/>
        <v>0</v>
      </c>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row>
    <row r="334" spans="1:75" x14ac:dyDescent="0.3">
      <c r="A334" s="8" t="s">
        <v>45</v>
      </c>
      <c r="B334" s="9" t="s">
        <v>233</v>
      </c>
      <c r="C334" s="7"/>
      <c r="D334" s="7"/>
      <c r="E334" s="7"/>
      <c r="F334" s="71"/>
      <c r="G334" s="51">
        <f t="shared" si="470"/>
        <v>0</v>
      </c>
      <c r="H334" s="52">
        <f t="shared" si="471"/>
        <v>0</v>
      </c>
      <c r="I334" s="53">
        <f>COUNTIFS('00 Encuesta'!$B$2:$B$511,"*f)*",'00 Encuesta'!$C$2:$C$511,"*a)*",'00 Encuesta'!$E$2:$E$511,"*a)*",'00 Encuesta'!$AP$2:$AP$511,"*f)*")</f>
        <v>0</v>
      </c>
      <c r="J334" s="52">
        <f t="shared" si="472"/>
        <v>0</v>
      </c>
      <c r="K334" s="53">
        <f>COUNTIFS('00 Encuesta'!$B$2:$B$511,"*f)*",'00 Encuesta'!$C$2:$C$511,"*a)*",'00 Encuesta'!$E$2:$E$511,"*b)*",'00 Encuesta'!$AP$2:$AP$511,"*f)*")</f>
        <v>0</v>
      </c>
      <c r="L334" s="52">
        <f t="shared" si="473"/>
        <v>0</v>
      </c>
      <c r="M334" s="23"/>
      <c r="N334" s="51">
        <f t="shared" si="474"/>
        <v>0</v>
      </c>
      <c r="O334" s="52" t="e">
        <f t="shared" si="475"/>
        <v>#DIV/0!</v>
      </c>
      <c r="P334" s="53">
        <f>COUNTIFS('00 Encuesta'!$B$2:$B$511,"*f)*",'00 Encuesta'!$C$2:$C$511,"*b)*",'00 Encuesta'!$E$2:$E$511,"*a)*",'00 Encuesta'!$AP$2:$AP$511,"*f)*")</f>
        <v>0</v>
      </c>
      <c r="Q334" s="52" t="e">
        <f t="shared" si="476"/>
        <v>#DIV/0!</v>
      </c>
      <c r="R334" s="53">
        <f>COUNTIFS('00 Encuesta'!$B$2:$B$511,"*f)*",'00 Encuesta'!$C$2:$C$511,"*b)*",'00 Encuesta'!$E$2:$E$511,"*b)*",'00 Encuesta'!$AP$2:$AP$511,"*f)*")</f>
        <v>0</v>
      </c>
      <c r="S334" s="52" t="e">
        <f t="shared" si="477"/>
        <v>#DIV/0!</v>
      </c>
      <c r="T334" s="3"/>
      <c r="U334" s="51">
        <f t="shared" si="478"/>
        <v>0</v>
      </c>
      <c r="V334" s="52" t="e">
        <f t="shared" si="479"/>
        <v>#DIV/0!</v>
      </c>
      <c r="W334" s="53">
        <f>COUNTIFS('00 Encuesta'!$B$2:$B$511,"*f)*",'00 Encuesta'!$C$2:$C$511,"*c)*",'00 Encuesta'!$E$2:$E$511,"*a)*",'00 Encuesta'!$AP$2:$AP$511,"*f)*")</f>
        <v>0</v>
      </c>
      <c r="X334" s="52" t="e">
        <f t="shared" si="480"/>
        <v>#DIV/0!</v>
      </c>
      <c r="Y334" s="53">
        <f>COUNTIFS('00 Encuesta'!$B$2:$B$511,"*f)*",'00 Encuesta'!$C$2:$C$511,"*c)*",'00 Encuesta'!$E$2:$E$511,"*b)*",'00 Encuesta'!$AP$2:$AP$511,"*f)*")</f>
        <v>0</v>
      </c>
      <c r="Z334" s="52" t="e">
        <f t="shared" si="481"/>
        <v>#DIV/0!</v>
      </c>
      <c r="AA334" s="3"/>
      <c r="AB334" s="62">
        <f t="shared" si="482"/>
        <v>0</v>
      </c>
      <c r="AC334" s="52">
        <f t="shared" si="483"/>
        <v>0</v>
      </c>
      <c r="AD334" s="3"/>
      <c r="AE334" s="3"/>
      <c r="AF334" s="9" t="str">
        <f t="shared" si="484"/>
        <v>f) No aplica</v>
      </c>
      <c r="AG334" s="72">
        <f t="shared" si="485"/>
        <v>0</v>
      </c>
      <c r="AH334" s="72">
        <f t="shared" si="486"/>
        <v>0</v>
      </c>
      <c r="AI334" s="73">
        <f t="shared" si="487"/>
        <v>0</v>
      </c>
      <c r="AJ334" s="73"/>
      <c r="AK334" s="76" t="e">
        <f t="shared" si="488"/>
        <v>#DIV/0!</v>
      </c>
      <c r="AL334" s="76" t="e">
        <f t="shared" si="489"/>
        <v>#DIV/0!</v>
      </c>
      <c r="AM334" s="76" t="e">
        <f t="shared" si="490"/>
        <v>#DIV/0!</v>
      </c>
      <c r="AN334" s="76"/>
      <c r="AO334" s="81" t="e">
        <f t="shared" si="491"/>
        <v>#DIV/0!</v>
      </c>
      <c r="AP334" s="81" t="e">
        <f t="shared" si="492"/>
        <v>#DIV/0!</v>
      </c>
      <c r="AQ334" s="81" t="e">
        <f t="shared" si="493"/>
        <v>#DIV/0!</v>
      </c>
      <c r="AR334" s="3"/>
      <c r="AS334" s="76">
        <f t="shared" si="369"/>
        <v>0</v>
      </c>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row>
    <row r="335" spans="1:75" x14ac:dyDescent="0.3">
      <c r="A335" s="70"/>
      <c r="B335" s="8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6"/>
      <c r="AC335" s="41"/>
      <c r="AD335" s="3"/>
      <c r="AE335" s="3"/>
      <c r="AF335" s="3"/>
      <c r="AG335" s="82">
        <f>($F329*I329+$F330*I330+$F331*I331+$F332*I332+$F333*I333)/(I329+I330+I331+I332+I333)</f>
        <v>90</v>
      </c>
      <c r="AH335" s="82">
        <f>($F329*K329+$F330*K330+$F331*K331+$F332*K332+$F333*K333)/(K329+K330+K331+K332+K333)</f>
        <v>96.25</v>
      </c>
      <c r="AI335" s="82">
        <f>($F329*G329+$F330*G330+$F331*G331+$F332*G332+$F333*G333)/(G329+G330+G331+G332+G333)</f>
        <v>93.125</v>
      </c>
      <c r="AJ335" s="82"/>
      <c r="AK335" s="82" t="e">
        <f>($F329*Q329+$F330*Q330+$F331*Q331+$F332*Q332+$F333*Q333)/(Q329+Q330+Q331+Q332+Q333)</f>
        <v>#DIV/0!</v>
      </c>
      <c r="AL335" s="82" t="e">
        <f>($F329*S329+$F330*S330+$F331*S331+$F332*S332+$F333*S333)/(S329+S330+S331+S332+S333)</f>
        <v>#DIV/0!</v>
      </c>
      <c r="AM335" s="82" t="e">
        <f>($F329*O329+$F330*O330+$F331*O331+$F332*O332+$F333*O333)/(O329+O330+O331+O332+O333)</f>
        <v>#DIV/0!</v>
      </c>
      <c r="AN335" s="82"/>
      <c r="AO335" s="82" t="e">
        <f>($F329*W329+$F330*W330+$F331*W331+$F332*W332+$F333*W333)/(W329+W330+W331+W332+W333)</f>
        <v>#DIV/0!</v>
      </c>
      <c r="AP335" s="82" t="e">
        <f>($F329*Y329+$F330*Y330+$F331*Y331+$F332*Y332+$F333*Y333)/(Y329+Y330+Y331+Y332+Y333)</f>
        <v>#DIV/0!</v>
      </c>
      <c r="AQ335" s="82" t="e">
        <f>($F329*U329+$F330*U330+$F331*U331+$F332*U332+$F333*U333)/(U329+U330+U331+U332+U333)</f>
        <v>#DIV/0!</v>
      </c>
      <c r="AR335" s="3"/>
      <c r="AS335" s="76"/>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row>
    <row r="336" spans="1:75" x14ac:dyDescent="0.3">
      <c r="A336" s="70">
        <v>37</v>
      </c>
      <c r="B336" s="86" t="s">
        <v>236</v>
      </c>
      <c r="C336" s="7"/>
      <c r="D336" s="7"/>
      <c r="E336" s="7"/>
      <c r="F336" s="71"/>
      <c r="G336" s="51"/>
      <c r="H336" s="52"/>
      <c r="I336" s="53"/>
      <c r="J336" s="52"/>
      <c r="K336" s="53"/>
      <c r="L336" s="66"/>
      <c r="M336" s="23"/>
      <c r="N336" s="51"/>
      <c r="O336" s="52"/>
      <c r="P336" s="53"/>
      <c r="Q336" s="52"/>
      <c r="R336" s="53"/>
      <c r="S336" s="66"/>
      <c r="T336" s="3"/>
      <c r="U336" s="51"/>
      <c r="V336" s="52"/>
      <c r="W336" s="53"/>
      <c r="X336" s="52"/>
      <c r="Y336" s="53"/>
      <c r="Z336" s="66"/>
      <c r="AA336" s="3"/>
      <c r="AB336" s="62"/>
      <c r="AC336" s="52"/>
      <c r="AD336" s="3"/>
      <c r="AE336" s="3"/>
      <c r="AF336" s="88" t="str">
        <f>A336&amp;" "&amp;B336</f>
        <v>37 Coordinación</v>
      </c>
      <c r="AG336" s="3"/>
      <c r="AH336" s="3"/>
      <c r="AI336" s="3"/>
      <c r="AJ336" s="3"/>
      <c r="AK336" s="3"/>
      <c r="AL336" s="3"/>
      <c r="AM336" s="3"/>
      <c r="AN336" s="3"/>
      <c r="AO336" s="3"/>
      <c r="AP336" s="3"/>
      <c r="AQ336" s="3"/>
      <c r="AR336" s="3"/>
      <c r="AS336" s="76"/>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row>
    <row r="337" spans="1:75" x14ac:dyDescent="0.3">
      <c r="A337" s="8" t="s">
        <v>17</v>
      </c>
      <c r="B337" s="9" t="s">
        <v>229</v>
      </c>
      <c r="C337" s="7"/>
      <c r="D337" s="7"/>
      <c r="E337" s="7"/>
      <c r="F337" s="71">
        <v>100</v>
      </c>
      <c r="G337" s="51">
        <f t="shared" ref="G337:G342" si="494">I337+K337</f>
        <v>25</v>
      </c>
      <c r="H337" s="52">
        <f t="shared" ref="H337:H342" si="495">G337/$J$5*100</f>
        <v>59.523809523809526</v>
      </c>
      <c r="I337" s="53">
        <f>COUNTIFS('00 Encuesta'!$B$2:$B$511,"*f)*",'00 Encuesta'!$C$2:$C$511,"*a)*",'00 Encuesta'!$E$2:$E$511,"*a)*",'00 Encuesta'!$AQ$2:$AQ$511,"*a)*")</f>
        <v>13</v>
      </c>
      <c r="J337" s="52">
        <f t="shared" ref="J337:J342" si="496">I337/$J$6*100</f>
        <v>59.090909090909093</v>
      </c>
      <c r="K337" s="53">
        <f>COUNTIFS('00 Encuesta'!$B$2:$B$511,"*f)*",'00 Encuesta'!$C$2:$C$511,"*a)*",'00 Encuesta'!$E$2:$E$511,"*b)*",'00 Encuesta'!$AQ$2:$AQ$511,"*a)*")</f>
        <v>12</v>
      </c>
      <c r="L337" s="52">
        <f t="shared" ref="L337:L342" si="497">K337/$J$7*100</f>
        <v>60</v>
      </c>
      <c r="M337" s="23"/>
      <c r="N337" s="51">
        <f t="shared" ref="N337:N342" si="498">P337+R337</f>
        <v>0</v>
      </c>
      <c r="O337" s="52" t="e">
        <f t="shared" ref="O337:O342" si="499">N337/$Q$5*100</f>
        <v>#DIV/0!</v>
      </c>
      <c r="P337" s="53">
        <f>COUNTIFS('00 Encuesta'!$B$2:$B$511,"*f)*",'00 Encuesta'!$C$2:$C$511,"*b)*",'00 Encuesta'!$E$2:$E$511,"*a)*",'00 Encuesta'!$AQ$2:$AQ$511,"*a)*")</f>
        <v>0</v>
      </c>
      <c r="Q337" s="52" t="e">
        <f t="shared" ref="Q337:Q342" si="500">P337/$Q$6*100</f>
        <v>#DIV/0!</v>
      </c>
      <c r="R337" s="53">
        <f>COUNTIFS('00 Encuesta'!$B$2:$B$511,"*f)*",'00 Encuesta'!$C$2:$C$511,"*b)*",'00 Encuesta'!$E$2:$E$511,"*b)*",'00 Encuesta'!$AQ$2:$AQ$511,"*a)*")</f>
        <v>0</v>
      </c>
      <c r="S337" s="52" t="e">
        <f t="shared" ref="S337:S342" si="501">R337/$Q$7*100</f>
        <v>#DIV/0!</v>
      </c>
      <c r="T337" s="3"/>
      <c r="U337" s="51">
        <f t="shared" ref="U337:U342" si="502">W337+Y337</f>
        <v>0</v>
      </c>
      <c r="V337" s="52" t="e">
        <f t="shared" ref="V337:V342" si="503">U337/$X$5*100</f>
        <v>#DIV/0!</v>
      </c>
      <c r="W337" s="53">
        <f>COUNTIFS('00 Encuesta'!$B$2:$B$511,"*f)*",'00 Encuesta'!$C$2:$C$511,"*c)*",'00 Encuesta'!$E$2:$E$511,"*a)*",'00 Encuesta'!$AQ$2:$AQ$511,"*a)*")</f>
        <v>0</v>
      </c>
      <c r="X337" s="52" t="e">
        <f t="shared" ref="X337:X342" si="504">W337/$X$6*100</f>
        <v>#DIV/0!</v>
      </c>
      <c r="Y337" s="53">
        <f>COUNTIFS('00 Encuesta'!$B$2:$B$511,"*f)*",'00 Encuesta'!$C$2:$C$511,"*c)*",'00 Encuesta'!$E$2:$E$511,"*b)*",'00 Encuesta'!$AQ$2:$AQ$511,"*a)*")</f>
        <v>0</v>
      </c>
      <c r="Z337" s="52" t="e">
        <f t="shared" ref="Z337:Z342" si="505">Y337/$X$7*100</f>
        <v>#DIV/0!</v>
      </c>
      <c r="AA337" s="3"/>
      <c r="AB337" s="62">
        <f t="shared" ref="AB337:AB342" si="506">G337+N337+U337</f>
        <v>25</v>
      </c>
      <c r="AC337" s="52">
        <f t="shared" ref="AC337:AC342" si="507">AB337*100/$AC$5</f>
        <v>59.523809523809526</v>
      </c>
      <c r="AD337" s="3"/>
      <c r="AE337" s="3"/>
      <c r="AF337" s="9" t="str">
        <f t="shared" ref="AF337:AF342" si="508">A337&amp;" "&amp;B337</f>
        <v>a) Muy buena</v>
      </c>
      <c r="AG337" s="72">
        <f t="shared" ref="AG337:AG342" si="509">J337</f>
        <v>59.090909090909093</v>
      </c>
      <c r="AH337" s="72">
        <f t="shared" ref="AH337:AH342" si="510">L337</f>
        <v>60</v>
      </c>
      <c r="AI337" s="73">
        <f t="shared" ref="AI337:AI342" si="511">H337</f>
        <v>59.523809523809526</v>
      </c>
      <c r="AJ337" s="73"/>
      <c r="AK337" s="76" t="e">
        <f t="shared" ref="AK337:AK342" si="512">Q337</f>
        <v>#DIV/0!</v>
      </c>
      <c r="AL337" s="76" t="e">
        <f t="shared" ref="AL337:AL342" si="513">S337</f>
        <v>#DIV/0!</v>
      </c>
      <c r="AM337" s="76" t="e">
        <f t="shared" ref="AM337:AM342" si="514">O337</f>
        <v>#DIV/0!</v>
      </c>
      <c r="AN337" s="76"/>
      <c r="AO337" s="81" t="e">
        <f t="shared" ref="AO337:AO342" si="515">X337</f>
        <v>#DIV/0!</v>
      </c>
      <c r="AP337" s="81" t="e">
        <f t="shared" ref="AP337:AP342" si="516">Z337</f>
        <v>#DIV/0!</v>
      </c>
      <c r="AQ337" s="81" t="e">
        <f t="shared" ref="AQ337:AQ342" si="517">V337</f>
        <v>#DIV/0!</v>
      </c>
      <c r="AR337" s="3"/>
      <c r="AS337" s="76">
        <f t="shared" si="369"/>
        <v>59.523809523809526</v>
      </c>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row>
    <row r="338" spans="1:75" x14ac:dyDescent="0.3">
      <c r="A338" s="8" t="s">
        <v>18</v>
      </c>
      <c r="B338" s="9" t="s">
        <v>230</v>
      </c>
      <c r="C338" s="7"/>
      <c r="D338" s="7"/>
      <c r="E338" s="7"/>
      <c r="F338" s="71">
        <v>75</v>
      </c>
      <c r="G338" s="51">
        <f t="shared" si="494"/>
        <v>13</v>
      </c>
      <c r="H338" s="52">
        <f t="shared" si="495"/>
        <v>30.952380952380953</v>
      </c>
      <c r="I338" s="53">
        <f>COUNTIFS('00 Encuesta'!$B$2:$B$511,"*f)*",'00 Encuesta'!$C$2:$C$511,"*a)*",'00 Encuesta'!$E$2:$E$511,"*a)*",'00 Encuesta'!$AQ$2:$AQ$511,"*b)*")</f>
        <v>8</v>
      </c>
      <c r="J338" s="52">
        <f t="shared" si="496"/>
        <v>36.363636363636367</v>
      </c>
      <c r="K338" s="53">
        <f>COUNTIFS('00 Encuesta'!$B$2:$B$511,"*f)*",'00 Encuesta'!$C$2:$C$511,"*a)*",'00 Encuesta'!$E$2:$E$511,"*b)*",'00 Encuesta'!$AQ$2:$AQ$511,"*b)*")</f>
        <v>5</v>
      </c>
      <c r="L338" s="52">
        <f t="shared" si="497"/>
        <v>25</v>
      </c>
      <c r="M338" s="23"/>
      <c r="N338" s="51">
        <f t="shared" si="498"/>
        <v>0</v>
      </c>
      <c r="O338" s="52" t="e">
        <f t="shared" si="499"/>
        <v>#DIV/0!</v>
      </c>
      <c r="P338" s="53">
        <f>COUNTIFS('00 Encuesta'!$B$2:$B$511,"*f)*",'00 Encuesta'!$C$2:$C$511,"*b)*",'00 Encuesta'!$E$2:$E$511,"*a)*",'00 Encuesta'!$AQ$2:$AQ$511,"*b)*")</f>
        <v>0</v>
      </c>
      <c r="Q338" s="52" t="e">
        <f t="shared" si="500"/>
        <v>#DIV/0!</v>
      </c>
      <c r="R338" s="53">
        <f>COUNTIFS('00 Encuesta'!$B$2:$B$511,"*f)*",'00 Encuesta'!$C$2:$C$511,"*b)*",'00 Encuesta'!$E$2:$E$511,"*b)*",'00 Encuesta'!$AQ$2:$AQ$511,"*b)*")</f>
        <v>0</v>
      </c>
      <c r="S338" s="52" t="e">
        <f t="shared" si="501"/>
        <v>#DIV/0!</v>
      </c>
      <c r="T338" s="3"/>
      <c r="U338" s="51">
        <f t="shared" si="502"/>
        <v>0</v>
      </c>
      <c r="V338" s="52" t="e">
        <f t="shared" si="503"/>
        <v>#DIV/0!</v>
      </c>
      <c r="W338" s="53">
        <f>COUNTIFS('00 Encuesta'!$B$2:$B$511,"*f)*",'00 Encuesta'!$C$2:$C$511,"*c)*",'00 Encuesta'!$E$2:$E$511,"*a)*",'00 Encuesta'!$AQ$2:$AQ$511,"*b)*")</f>
        <v>0</v>
      </c>
      <c r="X338" s="52" t="e">
        <f t="shared" si="504"/>
        <v>#DIV/0!</v>
      </c>
      <c r="Y338" s="53">
        <f>COUNTIFS('00 Encuesta'!$B$2:$B$511,"*f)*",'00 Encuesta'!$C$2:$C$511,"*c)*",'00 Encuesta'!$E$2:$E$511,"*b)*",'00 Encuesta'!$AQ$2:$AQ$511,"*b)*")</f>
        <v>0</v>
      </c>
      <c r="Z338" s="52" t="e">
        <f t="shared" si="505"/>
        <v>#DIV/0!</v>
      </c>
      <c r="AA338" s="3"/>
      <c r="AB338" s="62">
        <f t="shared" si="506"/>
        <v>13</v>
      </c>
      <c r="AC338" s="52">
        <f t="shared" si="507"/>
        <v>30.952380952380953</v>
      </c>
      <c r="AD338" s="3"/>
      <c r="AE338" s="3"/>
      <c r="AF338" s="9" t="str">
        <f t="shared" si="508"/>
        <v>b) Buena</v>
      </c>
      <c r="AG338" s="72">
        <f t="shared" si="509"/>
        <v>36.363636363636367</v>
      </c>
      <c r="AH338" s="72">
        <f t="shared" si="510"/>
        <v>25</v>
      </c>
      <c r="AI338" s="73">
        <f t="shared" si="511"/>
        <v>30.952380952380953</v>
      </c>
      <c r="AJ338" s="73"/>
      <c r="AK338" s="76" t="e">
        <f t="shared" si="512"/>
        <v>#DIV/0!</v>
      </c>
      <c r="AL338" s="76" t="e">
        <f t="shared" si="513"/>
        <v>#DIV/0!</v>
      </c>
      <c r="AM338" s="76" t="e">
        <f t="shared" si="514"/>
        <v>#DIV/0!</v>
      </c>
      <c r="AN338" s="76"/>
      <c r="AO338" s="81" t="e">
        <f t="shared" si="515"/>
        <v>#DIV/0!</v>
      </c>
      <c r="AP338" s="81" t="e">
        <f t="shared" si="516"/>
        <v>#DIV/0!</v>
      </c>
      <c r="AQ338" s="81" t="e">
        <f t="shared" si="517"/>
        <v>#DIV/0!</v>
      </c>
      <c r="AR338" s="3"/>
      <c r="AS338" s="76">
        <f t="shared" si="369"/>
        <v>30.952380952380953</v>
      </c>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row>
    <row r="339" spans="1:75" x14ac:dyDescent="0.3">
      <c r="A339" s="8" t="s">
        <v>20</v>
      </c>
      <c r="B339" s="9" t="s">
        <v>218</v>
      </c>
      <c r="C339" s="7"/>
      <c r="D339" s="7"/>
      <c r="E339" s="7"/>
      <c r="F339" s="71">
        <v>50</v>
      </c>
      <c r="G339" s="51">
        <f t="shared" si="494"/>
        <v>2</v>
      </c>
      <c r="H339" s="52">
        <f t="shared" si="495"/>
        <v>4.7619047619047619</v>
      </c>
      <c r="I339" s="53">
        <f>COUNTIFS('00 Encuesta'!$B$2:$B$511,"*f)*",'00 Encuesta'!$C$2:$C$511,"*a)*",'00 Encuesta'!$E$2:$E$511,"*a)*",'00 Encuesta'!$AQ$2:$AQ$511,"*c)*")</f>
        <v>0</v>
      </c>
      <c r="J339" s="52">
        <f t="shared" si="496"/>
        <v>0</v>
      </c>
      <c r="K339" s="53">
        <f>COUNTIFS('00 Encuesta'!$B$2:$B$511,"*f)*",'00 Encuesta'!$C$2:$C$511,"*a)*",'00 Encuesta'!$E$2:$E$511,"*b)*",'00 Encuesta'!$AQ$2:$AQ$511,"*c)*")</f>
        <v>2</v>
      </c>
      <c r="L339" s="52">
        <f t="shared" si="497"/>
        <v>10</v>
      </c>
      <c r="M339" s="23"/>
      <c r="N339" s="51">
        <f t="shared" si="498"/>
        <v>0</v>
      </c>
      <c r="O339" s="52" t="e">
        <f t="shared" si="499"/>
        <v>#DIV/0!</v>
      </c>
      <c r="P339" s="53">
        <f>COUNTIFS('00 Encuesta'!$B$2:$B$511,"*f)*",'00 Encuesta'!$C$2:$C$511,"*b)*",'00 Encuesta'!$E$2:$E$511,"*a)*",'00 Encuesta'!$AQ$2:$AQ$511,"*c)*")</f>
        <v>0</v>
      </c>
      <c r="Q339" s="52" t="e">
        <f t="shared" si="500"/>
        <v>#DIV/0!</v>
      </c>
      <c r="R339" s="53">
        <f>COUNTIFS('00 Encuesta'!$B$2:$B$511,"*f)*",'00 Encuesta'!$C$2:$C$511,"*b)*",'00 Encuesta'!$E$2:$E$511,"*b)*",'00 Encuesta'!$AQ$2:$AQ$511,"*c)*")</f>
        <v>0</v>
      </c>
      <c r="S339" s="52" t="e">
        <f t="shared" si="501"/>
        <v>#DIV/0!</v>
      </c>
      <c r="T339" s="3"/>
      <c r="U339" s="51">
        <f t="shared" si="502"/>
        <v>0</v>
      </c>
      <c r="V339" s="52" t="e">
        <f t="shared" si="503"/>
        <v>#DIV/0!</v>
      </c>
      <c r="W339" s="53">
        <f>COUNTIFS('00 Encuesta'!$B$2:$B$511,"*f)*",'00 Encuesta'!$C$2:$C$511,"*c)*",'00 Encuesta'!$E$2:$E$511,"*a)*",'00 Encuesta'!$AQ$2:$AQ$511,"*c)*")</f>
        <v>0</v>
      </c>
      <c r="X339" s="52" t="e">
        <f t="shared" si="504"/>
        <v>#DIV/0!</v>
      </c>
      <c r="Y339" s="53">
        <f>COUNTIFS('00 Encuesta'!$B$2:$B$511,"*f)*",'00 Encuesta'!$C$2:$C$511,"*c)*",'00 Encuesta'!$E$2:$E$511,"*b)*",'00 Encuesta'!$AQ$2:$AQ$511,"*c)*")</f>
        <v>0</v>
      </c>
      <c r="Z339" s="52" t="e">
        <f t="shared" si="505"/>
        <v>#DIV/0!</v>
      </c>
      <c r="AA339" s="3"/>
      <c r="AB339" s="62">
        <f t="shared" si="506"/>
        <v>2</v>
      </c>
      <c r="AC339" s="52">
        <f t="shared" si="507"/>
        <v>4.7619047619047619</v>
      </c>
      <c r="AD339" s="3"/>
      <c r="AE339" s="3"/>
      <c r="AF339" s="9" t="str">
        <f t="shared" si="508"/>
        <v>c) Regular</v>
      </c>
      <c r="AG339" s="72">
        <f t="shared" si="509"/>
        <v>0</v>
      </c>
      <c r="AH339" s="72">
        <f t="shared" si="510"/>
        <v>10</v>
      </c>
      <c r="AI339" s="73">
        <f t="shared" si="511"/>
        <v>4.7619047619047619</v>
      </c>
      <c r="AJ339" s="73"/>
      <c r="AK339" s="76" t="e">
        <f t="shared" si="512"/>
        <v>#DIV/0!</v>
      </c>
      <c r="AL339" s="76" t="e">
        <f t="shared" si="513"/>
        <v>#DIV/0!</v>
      </c>
      <c r="AM339" s="76" t="e">
        <f t="shared" si="514"/>
        <v>#DIV/0!</v>
      </c>
      <c r="AN339" s="76"/>
      <c r="AO339" s="81" t="e">
        <f t="shared" si="515"/>
        <v>#DIV/0!</v>
      </c>
      <c r="AP339" s="81" t="e">
        <f t="shared" si="516"/>
        <v>#DIV/0!</v>
      </c>
      <c r="AQ339" s="81" t="e">
        <f t="shared" si="517"/>
        <v>#DIV/0!</v>
      </c>
      <c r="AR339" s="3"/>
      <c r="AS339" s="76">
        <f t="shared" si="369"/>
        <v>4.7619047619047619</v>
      </c>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row>
    <row r="340" spans="1:75" x14ac:dyDescent="0.3">
      <c r="A340" s="8" t="s">
        <v>21</v>
      </c>
      <c r="B340" s="9" t="s">
        <v>231</v>
      </c>
      <c r="C340" s="7"/>
      <c r="D340" s="7"/>
      <c r="E340" s="7"/>
      <c r="F340" s="71">
        <v>25</v>
      </c>
      <c r="G340" s="51">
        <f t="shared" si="494"/>
        <v>0</v>
      </c>
      <c r="H340" s="52">
        <f t="shared" si="495"/>
        <v>0</v>
      </c>
      <c r="I340" s="53">
        <f>COUNTIFS('00 Encuesta'!$B$2:$B$511,"*f)*",'00 Encuesta'!$C$2:$C$511,"*a)*",'00 Encuesta'!$E$2:$E$511,"*a)*",'00 Encuesta'!$AQ$2:$AQ$511,"*d)*")</f>
        <v>0</v>
      </c>
      <c r="J340" s="52">
        <f t="shared" si="496"/>
        <v>0</v>
      </c>
      <c r="K340" s="53">
        <f>COUNTIFS('00 Encuesta'!$B$2:$B$511,"*f)*",'00 Encuesta'!$C$2:$C$511,"*a)*",'00 Encuesta'!$E$2:$E$511,"*b)*",'00 Encuesta'!$AQ$2:$AQ$511,"*d)*")</f>
        <v>0</v>
      </c>
      <c r="L340" s="52">
        <f t="shared" si="497"/>
        <v>0</v>
      </c>
      <c r="M340" s="23"/>
      <c r="N340" s="51">
        <f t="shared" si="498"/>
        <v>0</v>
      </c>
      <c r="O340" s="52" t="e">
        <f t="shared" si="499"/>
        <v>#DIV/0!</v>
      </c>
      <c r="P340" s="53">
        <f>COUNTIFS('00 Encuesta'!$B$2:$B$511,"*f)*",'00 Encuesta'!$C$2:$C$511,"*b)*",'00 Encuesta'!$E$2:$E$511,"*a)*",'00 Encuesta'!$AQ$2:$AQ$511,"*d)*")</f>
        <v>0</v>
      </c>
      <c r="Q340" s="52" t="e">
        <f t="shared" si="500"/>
        <v>#DIV/0!</v>
      </c>
      <c r="R340" s="53">
        <f>COUNTIFS('00 Encuesta'!$B$2:$B$511,"*f)*",'00 Encuesta'!$C$2:$C$511,"*b)*",'00 Encuesta'!$E$2:$E$511,"*b)*",'00 Encuesta'!$AQ$2:$AQ$511,"*d)*")</f>
        <v>0</v>
      </c>
      <c r="S340" s="52" t="e">
        <f t="shared" si="501"/>
        <v>#DIV/0!</v>
      </c>
      <c r="T340" s="3"/>
      <c r="U340" s="51">
        <f t="shared" si="502"/>
        <v>0</v>
      </c>
      <c r="V340" s="52" t="e">
        <f t="shared" si="503"/>
        <v>#DIV/0!</v>
      </c>
      <c r="W340" s="53">
        <f>COUNTIFS('00 Encuesta'!$B$2:$B$511,"*f)*",'00 Encuesta'!$C$2:$C$511,"*c)*",'00 Encuesta'!$E$2:$E$511,"*a)*",'00 Encuesta'!$AQ$2:$AQ$511,"*d)*")</f>
        <v>0</v>
      </c>
      <c r="X340" s="52" t="e">
        <f t="shared" si="504"/>
        <v>#DIV/0!</v>
      </c>
      <c r="Y340" s="53">
        <f>COUNTIFS('00 Encuesta'!$B$2:$B$511,"*f)*",'00 Encuesta'!$C$2:$C$511,"*c)*",'00 Encuesta'!$E$2:$E$511,"*b)*",'00 Encuesta'!$AQ$2:$AQ$511,"*d)*")</f>
        <v>0</v>
      </c>
      <c r="Z340" s="52" t="e">
        <f t="shared" si="505"/>
        <v>#DIV/0!</v>
      </c>
      <c r="AA340" s="3"/>
      <c r="AB340" s="62">
        <f t="shared" si="506"/>
        <v>0</v>
      </c>
      <c r="AC340" s="52">
        <f t="shared" si="507"/>
        <v>0</v>
      </c>
      <c r="AD340" s="3"/>
      <c r="AE340" s="3"/>
      <c r="AF340" s="9" t="str">
        <f t="shared" si="508"/>
        <v>d) Mala</v>
      </c>
      <c r="AG340" s="72">
        <f t="shared" si="509"/>
        <v>0</v>
      </c>
      <c r="AH340" s="72">
        <f t="shared" si="510"/>
        <v>0</v>
      </c>
      <c r="AI340" s="73">
        <f t="shared" si="511"/>
        <v>0</v>
      </c>
      <c r="AJ340" s="73"/>
      <c r="AK340" s="76" t="e">
        <f t="shared" si="512"/>
        <v>#DIV/0!</v>
      </c>
      <c r="AL340" s="76" t="e">
        <f t="shared" si="513"/>
        <v>#DIV/0!</v>
      </c>
      <c r="AM340" s="76" t="e">
        <f t="shared" si="514"/>
        <v>#DIV/0!</v>
      </c>
      <c r="AN340" s="76"/>
      <c r="AO340" s="81" t="e">
        <f t="shared" si="515"/>
        <v>#DIV/0!</v>
      </c>
      <c r="AP340" s="81" t="e">
        <f t="shared" si="516"/>
        <v>#DIV/0!</v>
      </c>
      <c r="AQ340" s="81" t="e">
        <f t="shared" si="517"/>
        <v>#DIV/0!</v>
      </c>
      <c r="AR340" s="3"/>
      <c r="AS340" s="76">
        <f t="shared" si="369"/>
        <v>0</v>
      </c>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row>
    <row r="341" spans="1:75" x14ac:dyDescent="0.3">
      <c r="A341" s="8" t="s">
        <v>22</v>
      </c>
      <c r="B341" s="9" t="s">
        <v>232</v>
      </c>
      <c r="C341" s="7"/>
      <c r="D341" s="7"/>
      <c r="E341" s="7"/>
      <c r="F341" s="71">
        <v>0</v>
      </c>
      <c r="G341" s="51">
        <f t="shared" si="494"/>
        <v>0</v>
      </c>
      <c r="H341" s="52">
        <f t="shared" si="495"/>
        <v>0</v>
      </c>
      <c r="I341" s="53">
        <f>COUNTIFS('00 Encuesta'!$B$2:$B$511,"*f)*",'00 Encuesta'!$C$2:$C$511,"*a)*",'00 Encuesta'!$E$2:$E$511,"*a)*",'00 Encuesta'!$AQ$2:$AQ$511,"*e)*")</f>
        <v>0</v>
      </c>
      <c r="J341" s="52">
        <f t="shared" si="496"/>
        <v>0</v>
      </c>
      <c r="K341" s="53">
        <f>COUNTIFS('00 Encuesta'!$B$2:$B$511,"*f)*",'00 Encuesta'!$C$2:$C$511,"*a)*",'00 Encuesta'!$E$2:$E$511,"*b)*",'00 Encuesta'!$AQ$2:$AQ$511,"*e)*")</f>
        <v>0</v>
      </c>
      <c r="L341" s="52">
        <f t="shared" si="497"/>
        <v>0</v>
      </c>
      <c r="M341" s="23"/>
      <c r="N341" s="51">
        <f t="shared" si="498"/>
        <v>0</v>
      </c>
      <c r="O341" s="52" t="e">
        <f t="shared" si="499"/>
        <v>#DIV/0!</v>
      </c>
      <c r="P341" s="53">
        <f>COUNTIFS('00 Encuesta'!$B$2:$B$511,"*f)*",'00 Encuesta'!$C$2:$C$511,"*b)*",'00 Encuesta'!$E$2:$E$511,"*a)*",'00 Encuesta'!$AQ$2:$AQ$511,"*e)*")</f>
        <v>0</v>
      </c>
      <c r="Q341" s="52" t="e">
        <f t="shared" si="500"/>
        <v>#DIV/0!</v>
      </c>
      <c r="R341" s="53">
        <f>COUNTIFS('00 Encuesta'!$B$2:$B$511,"*f)*",'00 Encuesta'!$C$2:$C$511,"*b)*",'00 Encuesta'!$E$2:$E$511,"*b)*",'00 Encuesta'!$AQ$2:$AQ$511,"*e)*")</f>
        <v>0</v>
      </c>
      <c r="S341" s="52" t="e">
        <f t="shared" si="501"/>
        <v>#DIV/0!</v>
      </c>
      <c r="T341" s="3"/>
      <c r="U341" s="51">
        <f t="shared" si="502"/>
        <v>0</v>
      </c>
      <c r="V341" s="52" t="e">
        <f t="shared" si="503"/>
        <v>#DIV/0!</v>
      </c>
      <c r="W341" s="53">
        <f>COUNTIFS('00 Encuesta'!$B$2:$B$511,"*f)*",'00 Encuesta'!$C$2:$C$511,"*c)*",'00 Encuesta'!$E$2:$E$511,"*a)*",'00 Encuesta'!$AQ$2:$AQ$511,"*e)*")</f>
        <v>0</v>
      </c>
      <c r="X341" s="52" t="e">
        <f t="shared" si="504"/>
        <v>#DIV/0!</v>
      </c>
      <c r="Y341" s="53">
        <f>COUNTIFS('00 Encuesta'!$B$2:$B$511,"*f)*",'00 Encuesta'!$C$2:$C$511,"*c)*",'00 Encuesta'!$E$2:$E$511,"*b)*",'00 Encuesta'!$AQ$2:$AQ$511,"*e)*")</f>
        <v>0</v>
      </c>
      <c r="Z341" s="52" t="e">
        <f t="shared" si="505"/>
        <v>#DIV/0!</v>
      </c>
      <c r="AA341" s="3"/>
      <c r="AB341" s="62">
        <f t="shared" si="506"/>
        <v>0</v>
      </c>
      <c r="AC341" s="52">
        <f t="shared" si="507"/>
        <v>0</v>
      </c>
      <c r="AD341" s="3"/>
      <c r="AE341" s="3"/>
      <c r="AF341" s="9" t="str">
        <f t="shared" si="508"/>
        <v>e) Muy mala</v>
      </c>
      <c r="AG341" s="72">
        <f t="shared" si="509"/>
        <v>0</v>
      </c>
      <c r="AH341" s="72">
        <f t="shared" si="510"/>
        <v>0</v>
      </c>
      <c r="AI341" s="73">
        <f t="shared" si="511"/>
        <v>0</v>
      </c>
      <c r="AJ341" s="73"/>
      <c r="AK341" s="76" t="e">
        <f t="shared" si="512"/>
        <v>#DIV/0!</v>
      </c>
      <c r="AL341" s="76" t="e">
        <f t="shared" si="513"/>
        <v>#DIV/0!</v>
      </c>
      <c r="AM341" s="76" t="e">
        <f t="shared" si="514"/>
        <v>#DIV/0!</v>
      </c>
      <c r="AN341" s="76"/>
      <c r="AO341" s="81" t="e">
        <f t="shared" si="515"/>
        <v>#DIV/0!</v>
      </c>
      <c r="AP341" s="81" t="e">
        <f t="shared" si="516"/>
        <v>#DIV/0!</v>
      </c>
      <c r="AQ341" s="81" t="e">
        <f t="shared" si="517"/>
        <v>#DIV/0!</v>
      </c>
      <c r="AR341" s="3"/>
      <c r="AS341" s="76">
        <f t="shared" si="369"/>
        <v>0</v>
      </c>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row>
    <row r="342" spans="1:75" x14ac:dyDescent="0.3">
      <c r="A342" s="8" t="s">
        <v>45</v>
      </c>
      <c r="B342" s="9" t="s">
        <v>233</v>
      </c>
      <c r="C342" s="7"/>
      <c r="D342" s="7"/>
      <c r="E342" s="7"/>
      <c r="F342" s="71"/>
      <c r="G342" s="51">
        <f t="shared" si="494"/>
        <v>0</v>
      </c>
      <c r="H342" s="52">
        <f t="shared" si="495"/>
        <v>0</v>
      </c>
      <c r="I342" s="53">
        <f>COUNTIFS('00 Encuesta'!$B$2:$B$511,"*f)*",'00 Encuesta'!$C$2:$C$511,"*a)*",'00 Encuesta'!$E$2:$E$511,"*a)*",'00 Encuesta'!$AQ$2:$AQ$511,"*f)*")</f>
        <v>0</v>
      </c>
      <c r="J342" s="52">
        <f t="shared" si="496"/>
        <v>0</v>
      </c>
      <c r="K342" s="53">
        <f>COUNTIFS('00 Encuesta'!$B$2:$B$511,"*f)*",'00 Encuesta'!$C$2:$C$511,"*a)*",'00 Encuesta'!$E$2:$E$511,"*b)*",'00 Encuesta'!$AQ$2:$AQ$511,"*f)*")</f>
        <v>0</v>
      </c>
      <c r="L342" s="52">
        <f t="shared" si="497"/>
        <v>0</v>
      </c>
      <c r="M342" s="23"/>
      <c r="N342" s="51">
        <f t="shared" si="498"/>
        <v>0</v>
      </c>
      <c r="O342" s="52" t="e">
        <f t="shared" si="499"/>
        <v>#DIV/0!</v>
      </c>
      <c r="P342" s="53">
        <f>COUNTIFS('00 Encuesta'!$B$2:$B$511,"*f)*",'00 Encuesta'!$C$2:$C$511,"*b)*",'00 Encuesta'!$E$2:$E$511,"*a)*",'00 Encuesta'!$AQ$2:$AQ$511,"*f)*")</f>
        <v>0</v>
      </c>
      <c r="Q342" s="52" t="e">
        <f t="shared" si="500"/>
        <v>#DIV/0!</v>
      </c>
      <c r="R342" s="53">
        <f>COUNTIFS('00 Encuesta'!$B$2:$B$511,"*f)*",'00 Encuesta'!$C$2:$C$511,"*b)*",'00 Encuesta'!$E$2:$E$511,"*b)*",'00 Encuesta'!$AQ$2:$AQ$511,"*f)*")</f>
        <v>0</v>
      </c>
      <c r="S342" s="52" t="e">
        <f t="shared" si="501"/>
        <v>#DIV/0!</v>
      </c>
      <c r="T342" s="3"/>
      <c r="U342" s="51">
        <f t="shared" si="502"/>
        <v>0</v>
      </c>
      <c r="V342" s="52" t="e">
        <f t="shared" si="503"/>
        <v>#DIV/0!</v>
      </c>
      <c r="W342" s="53">
        <f>COUNTIFS('00 Encuesta'!$B$2:$B$511,"*f)*",'00 Encuesta'!$C$2:$C$511,"*c)*",'00 Encuesta'!$E$2:$E$511,"*a)*",'00 Encuesta'!$AQ$2:$AQ$511,"*f)*")</f>
        <v>0</v>
      </c>
      <c r="X342" s="52" t="e">
        <f t="shared" si="504"/>
        <v>#DIV/0!</v>
      </c>
      <c r="Y342" s="53">
        <f>COUNTIFS('00 Encuesta'!$B$2:$B$511,"*f)*",'00 Encuesta'!$C$2:$C$511,"*c)*",'00 Encuesta'!$E$2:$E$511,"*b)*",'00 Encuesta'!$AQ$2:$AQ$511,"*f)*")</f>
        <v>0</v>
      </c>
      <c r="Z342" s="52" t="e">
        <f t="shared" si="505"/>
        <v>#DIV/0!</v>
      </c>
      <c r="AA342" s="3"/>
      <c r="AB342" s="62">
        <f t="shared" si="506"/>
        <v>0</v>
      </c>
      <c r="AC342" s="52">
        <f t="shared" si="507"/>
        <v>0</v>
      </c>
      <c r="AD342" s="3"/>
      <c r="AE342" s="3"/>
      <c r="AF342" s="9" t="str">
        <f t="shared" si="508"/>
        <v>f) No aplica</v>
      </c>
      <c r="AG342" s="72">
        <f t="shared" si="509"/>
        <v>0</v>
      </c>
      <c r="AH342" s="72">
        <f t="shared" si="510"/>
        <v>0</v>
      </c>
      <c r="AI342" s="73">
        <f t="shared" si="511"/>
        <v>0</v>
      </c>
      <c r="AJ342" s="73"/>
      <c r="AK342" s="76" t="e">
        <f t="shared" si="512"/>
        <v>#DIV/0!</v>
      </c>
      <c r="AL342" s="76" t="e">
        <f t="shared" si="513"/>
        <v>#DIV/0!</v>
      </c>
      <c r="AM342" s="76" t="e">
        <f t="shared" si="514"/>
        <v>#DIV/0!</v>
      </c>
      <c r="AN342" s="76"/>
      <c r="AO342" s="81" t="e">
        <f t="shared" si="515"/>
        <v>#DIV/0!</v>
      </c>
      <c r="AP342" s="81" t="e">
        <f t="shared" si="516"/>
        <v>#DIV/0!</v>
      </c>
      <c r="AQ342" s="81" t="e">
        <f t="shared" si="517"/>
        <v>#DIV/0!</v>
      </c>
      <c r="AR342" s="3"/>
      <c r="AS342" s="76">
        <f t="shared" si="369"/>
        <v>0</v>
      </c>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row>
    <row r="343" spans="1:75" x14ac:dyDescent="0.3">
      <c r="A343" s="70"/>
      <c r="B343" s="86"/>
      <c r="C343" s="7"/>
      <c r="D343" s="7"/>
      <c r="E343" s="7"/>
      <c r="F343" s="71"/>
      <c r="G343" s="71"/>
      <c r="H343" s="71"/>
      <c r="I343" s="71"/>
      <c r="J343" s="71"/>
      <c r="K343" s="71"/>
      <c r="L343" s="71"/>
      <c r="M343" s="71"/>
      <c r="N343" s="71"/>
      <c r="O343" s="71"/>
      <c r="P343" s="71"/>
      <c r="Q343" s="71"/>
      <c r="R343" s="71"/>
      <c r="S343" s="71"/>
      <c r="T343" s="71"/>
      <c r="U343" s="71"/>
      <c r="V343" s="71"/>
      <c r="W343" s="71"/>
      <c r="X343" s="71"/>
      <c r="Y343" s="71"/>
      <c r="Z343" s="71"/>
      <c r="AA343" s="71"/>
      <c r="AB343" s="6"/>
      <c r="AC343" s="41"/>
      <c r="AD343" s="3"/>
      <c r="AE343" s="3"/>
      <c r="AF343" s="3"/>
      <c r="AG343" s="82">
        <f>($F337*I337+$F338*I338+$F339*I339+$F340*I340+$F341*I341)/(I337+I338+I339+I340+I341)</f>
        <v>90.476190476190482</v>
      </c>
      <c r="AH343" s="82">
        <f>($F337*K337+$F338*K338+$F339*K339+$F340*K340+$F341*K341)/(K337+K338+K339+K340+K341)</f>
        <v>88.15789473684211</v>
      </c>
      <c r="AI343" s="82">
        <f>($F337*G337+$F338*G338+$F339*G339+$F340*G340+$F341*G341)/(G337+G338+G339+G340+G341)</f>
        <v>89.375</v>
      </c>
      <c r="AJ343" s="82"/>
      <c r="AK343" s="82" t="e">
        <f>($F337*Q337+$F338*Q338+$F339*Q339+$F340*Q340+$F341*Q341)/(Q337+Q338+Q339+Q340+Q341)</f>
        <v>#DIV/0!</v>
      </c>
      <c r="AL343" s="82" t="e">
        <f>($F337*S337+$F338*S338+$F339*S339+$F340*S340+$F341*S341)/(S337+S338+S339+S340+S341)</f>
        <v>#DIV/0!</v>
      </c>
      <c r="AM343" s="82" t="e">
        <f>($F337*O337+$F338*O338+$F339*O339+$F340*O340+$F341*O341)/(O337+O338+O339+O340+O341)</f>
        <v>#DIV/0!</v>
      </c>
      <c r="AN343" s="82"/>
      <c r="AO343" s="82" t="e">
        <f>($F337*W337+$F338*W338+$F339*W339+$F340*W340+$F341*W341)/(W337+W338+W339+W340+W341)</f>
        <v>#DIV/0!</v>
      </c>
      <c r="AP343" s="82" t="e">
        <f>($F337*Y337+$F338*Y338+$F339*Y339+$F340*Y340+$F341*Y341)/(Y337+Y338+Y339+Y340+Y341)</f>
        <v>#DIV/0!</v>
      </c>
      <c r="AQ343" s="82" t="e">
        <f>($F337*U337+$F338*U338+$F339*U339+$F340*U340+$F341*U341)/(U337+U338+U339+U340+U341)</f>
        <v>#DIV/0!</v>
      </c>
      <c r="AR343" s="3"/>
      <c r="AS343" s="76"/>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row>
    <row r="344" spans="1:75" x14ac:dyDescent="0.3">
      <c r="A344" s="70">
        <v>38</v>
      </c>
      <c r="B344" s="9" t="s">
        <v>237</v>
      </c>
      <c r="C344" s="7"/>
      <c r="D344" s="7"/>
      <c r="E344" s="7"/>
      <c r="F344" s="71"/>
      <c r="G344" s="51"/>
      <c r="H344" s="52"/>
      <c r="I344" s="53"/>
      <c r="J344" s="52"/>
      <c r="K344" s="53"/>
      <c r="L344" s="66"/>
      <c r="M344" s="23"/>
      <c r="N344" s="51"/>
      <c r="O344" s="52"/>
      <c r="P344" s="53"/>
      <c r="Q344" s="52"/>
      <c r="R344" s="53"/>
      <c r="S344" s="66"/>
      <c r="T344" s="3"/>
      <c r="U344" s="51"/>
      <c r="V344" s="52"/>
      <c r="W344" s="53"/>
      <c r="X344" s="52"/>
      <c r="Y344" s="53"/>
      <c r="Z344" s="66"/>
      <c r="AA344" s="3"/>
      <c r="AB344" s="62"/>
      <c r="AC344" s="52"/>
      <c r="AD344" s="3"/>
      <c r="AE344" s="3"/>
      <c r="AF344" s="88" t="str">
        <f>A344&amp;" "&amp;B344</f>
        <v>38 Actividades deportivas</v>
      </c>
      <c r="AG344" s="3"/>
      <c r="AH344" s="3"/>
      <c r="AI344" s="3"/>
      <c r="AJ344" s="3"/>
      <c r="AK344" s="3"/>
      <c r="AL344" s="3"/>
      <c r="AM344" s="3"/>
      <c r="AN344" s="3"/>
      <c r="AO344" s="3"/>
      <c r="AP344" s="3"/>
      <c r="AQ344" s="3"/>
      <c r="AR344" s="3"/>
      <c r="AS344" s="76"/>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row>
    <row r="345" spans="1:75" x14ac:dyDescent="0.3">
      <c r="A345" s="8" t="s">
        <v>17</v>
      </c>
      <c r="B345" s="9" t="s">
        <v>229</v>
      </c>
      <c r="C345" s="7"/>
      <c r="D345" s="7"/>
      <c r="E345" s="7"/>
      <c r="F345" s="71">
        <v>100</v>
      </c>
      <c r="G345" s="51">
        <f t="shared" ref="G345:G350" si="518">I345+K345</f>
        <v>28</v>
      </c>
      <c r="H345" s="52">
        <f t="shared" ref="H345:H350" si="519">G345/$J$5*100</f>
        <v>66.666666666666657</v>
      </c>
      <c r="I345" s="53">
        <f>COUNTIFS('00 Encuesta'!$B$2:$B$511,"*f)*",'00 Encuesta'!$C$2:$C$511,"*a)*",'00 Encuesta'!$E$2:$E$511,"*a)*",'00 Encuesta'!$AR$2:$AR$511,"*a)*")</f>
        <v>12</v>
      </c>
      <c r="J345" s="52">
        <f t="shared" ref="J345:J350" si="520">I345/$J$6*100</f>
        <v>54.54545454545454</v>
      </c>
      <c r="K345" s="53">
        <f>COUNTIFS('00 Encuesta'!$B$2:$B$511,"*f)*",'00 Encuesta'!$C$2:$C$511,"*a)*",'00 Encuesta'!$E$2:$E$511,"*b)*",'00 Encuesta'!$AR$2:$AR$511,"*a)*")</f>
        <v>16</v>
      </c>
      <c r="L345" s="52">
        <f t="shared" ref="L345:L350" si="521">K345/$J$7*100</f>
        <v>80</v>
      </c>
      <c r="M345" s="23"/>
      <c r="N345" s="51">
        <f t="shared" ref="N345:N350" si="522">P345+R345</f>
        <v>0</v>
      </c>
      <c r="O345" s="52" t="e">
        <f t="shared" ref="O345:O350" si="523">N345/$Q$5*100</f>
        <v>#DIV/0!</v>
      </c>
      <c r="P345" s="53">
        <f>COUNTIFS('00 Encuesta'!$B$2:$B$511,"*f)*",'00 Encuesta'!$C$2:$C$511,"*b)*",'00 Encuesta'!$E$2:$E$511,"*a)*",'00 Encuesta'!$AR$2:$AR$511,"*a)*")</f>
        <v>0</v>
      </c>
      <c r="Q345" s="52" t="e">
        <f t="shared" ref="Q345:Q350" si="524">P345/$Q$6*100</f>
        <v>#DIV/0!</v>
      </c>
      <c r="R345" s="53">
        <f>COUNTIFS('00 Encuesta'!$B$2:$B$511,"*f)*",'00 Encuesta'!$C$2:$C$511,"*b)*",'00 Encuesta'!$E$2:$E$511,"*b)*",'00 Encuesta'!$AR$2:$AR$511,"*a)*")</f>
        <v>0</v>
      </c>
      <c r="S345" s="52" t="e">
        <f t="shared" ref="S345:S350" si="525">R345/$Q$7*100</f>
        <v>#DIV/0!</v>
      </c>
      <c r="T345" s="3"/>
      <c r="U345" s="51">
        <f t="shared" ref="U345:U350" si="526">W345+Y345</f>
        <v>0</v>
      </c>
      <c r="V345" s="52" t="e">
        <f t="shared" ref="V345:V350" si="527">U345/$X$5*100</f>
        <v>#DIV/0!</v>
      </c>
      <c r="W345" s="53">
        <f>COUNTIFS('00 Encuesta'!$B$2:$B$511,"*f)*",'00 Encuesta'!$C$2:$C$511,"*c)*",'00 Encuesta'!$E$2:$E$511,"*a)*",'00 Encuesta'!$AR$2:$AR$511,"*a)*")</f>
        <v>0</v>
      </c>
      <c r="X345" s="52" t="e">
        <f t="shared" ref="X345:X350" si="528">W345/$X$6*100</f>
        <v>#DIV/0!</v>
      </c>
      <c r="Y345" s="53">
        <f>COUNTIFS('00 Encuesta'!$B$2:$B$511,"*f)*",'00 Encuesta'!$C$2:$C$511,"*c)*",'00 Encuesta'!$E$2:$E$511,"*b)*",'00 Encuesta'!$AR$2:$AR$511,"*a)*")</f>
        <v>0</v>
      </c>
      <c r="Z345" s="52" t="e">
        <f t="shared" ref="Z345:Z350" si="529">Y345/$X$7*100</f>
        <v>#DIV/0!</v>
      </c>
      <c r="AA345" s="3"/>
      <c r="AB345" s="62">
        <f t="shared" ref="AB345:AB350" si="530">G345+N345+U345</f>
        <v>28</v>
      </c>
      <c r="AC345" s="52">
        <f t="shared" ref="AC345:AC350" si="531">AB345*100/$AC$5</f>
        <v>66.666666666666671</v>
      </c>
      <c r="AD345" s="3"/>
      <c r="AE345" s="3"/>
      <c r="AF345" s="9" t="str">
        <f t="shared" ref="AF345:AF351" si="532">A345&amp;" "&amp;B345</f>
        <v>a) Muy buena</v>
      </c>
      <c r="AG345" s="72">
        <f t="shared" ref="AG345:AG350" si="533">J345</f>
        <v>54.54545454545454</v>
      </c>
      <c r="AH345" s="72">
        <f t="shared" ref="AH345:AH350" si="534">L345</f>
        <v>80</v>
      </c>
      <c r="AI345" s="73">
        <f t="shared" ref="AI345:AI350" si="535">H345</f>
        <v>66.666666666666657</v>
      </c>
      <c r="AJ345" s="73"/>
      <c r="AK345" s="76" t="e">
        <f t="shared" ref="AK345:AK350" si="536">Q345</f>
        <v>#DIV/0!</v>
      </c>
      <c r="AL345" s="76" t="e">
        <f t="shared" ref="AL345:AL350" si="537">S345</f>
        <v>#DIV/0!</v>
      </c>
      <c r="AM345" s="76" t="e">
        <f t="shared" ref="AM345:AM350" si="538">O345</f>
        <v>#DIV/0!</v>
      </c>
      <c r="AN345" s="76"/>
      <c r="AO345" s="81" t="e">
        <f t="shared" ref="AO345:AO350" si="539">X345</f>
        <v>#DIV/0!</v>
      </c>
      <c r="AP345" s="81" t="e">
        <f t="shared" ref="AP345:AP350" si="540">Z345</f>
        <v>#DIV/0!</v>
      </c>
      <c r="AQ345" s="81" t="e">
        <f t="shared" ref="AQ345:AQ350" si="541">V345</f>
        <v>#DIV/0!</v>
      </c>
      <c r="AR345" s="3"/>
      <c r="AS345" s="76">
        <f t="shared" ref="AS345:AS408" si="542">AC345</f>
        <v>66.666666666666671</v>
      </c>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row>
    <row r="346" spans="1:75" x14ac:dyDescent="0.3">
      <c r="A346" s="8" t="s">
        <v>18</v>
      </c>
      <c r="B346" s="9" t="s">
        <v>230</v>
      </c>
      <c r="C346" s="7"/>
      <c r="D346" s="7"/>
      <c r="E346" s="7"/>
      <c r="F346" s="71">
        <v>75</v>
      </c>
      <c r="G346" s="51">
        <f t="shared" si="518"/>
        <v>12</v>
      </c>
      <c r="H346" s="52">
        <f t="shared" si="519"/>
        <v>28.571428571428569</v>
      </c>
      <c r="I346" s="53">
        <f>COUNTIFS('00 Encuesta'!$B$2:$B$511,"*f)*",'00 Encuesta'!$C$2:$C$511,"*a)*",'00 Encuesta'!$E$2:$E$511,"*a)*",'00 Encuesta'!$AR$2:$AR$511,"*b)*")</f>
        <v>8</v>
      </c>
      <c r="J346" s="52">
        <f t="shared" si="520"/>
        <v>36.363636363636367</v>
      </c>
      <c r="K346" s="53">
        <f>COUNTIFS('00 Encuesta'!$B$2:$B$511,"*f)*",'00 Encuesta'!$C$2:$C$511,"*a)*",'00 Encuesta'!$E$2:$E$511,"*b)*",'00 Encuesta'!$AR$2:$AR$511,"*b)*")</f>
        <v>4</v>
      </c>
      <c r="L346" s="52">
        <f t="shared" si="521"/>
        <v>20</v>
      </c>
      <c r="M346" s="23"/>
      <c r="N346" s="51">
        <f t="shared" si="522"/>
        <v>0</v>
      </c>
      <c r="O346" s="52" t="e">
        <f t="shared" si="523"/>
        <v>#DIV/0!</v>
      </c>
      <c r="P346" s="53">
        <f>COUNTIFS('00 Encuesta'!$B$2:$B$511,"*f)*",'00 Encuesta'!$C$2:$C$511,"*b)*",'00 Encuesta'!$E$2:$E$511,"*a)*",'00 Encuesta'!$AR$2:$AR$511,"*b)*")</f>
        <v>0</v>
      </c>
      <c r="Q346" s="52" t="e">
        <f t="shared" si="524"/>
        <v>#DIV/0!</v>
      </c>
      <c r="R346" s="53">
        <f>COUNTIFS('00 Encuesta'!$B$2:$B$511,"*f)*",'00 Encuesta'!$C$2:$C$511,"*b)*",'00 Encuesta'!$E$2:$E$511,"*b)*",'00 Encuesta'!$AR$2:$AR$511,"*b)*")</f>
        <v>0</v>
      </c>
      <c r="S346" s="52" t="e">
        <f t="shared" si="525"/>
        <v>#DIV/0!</v>
      </c>
      <c r="T346" s="3"/>
      <c r="U346" s="51">
        <f t="shared" si="526"/>
        <v>0</v>
      </c>
      <c r="V346" s="52" t="e">
        <f t="shared" si="527"/>
        <v>#DIV/0!</v>
      </c>
      <c r="W346" s="53">
        <f>COUNTIFS('00 Encuesta'!$B$2:$B$511,"*f)*",'00 Encuesta'!$C$2:$C$511,"*c)*",'00 Encuesta'!$E$2:$E$511,"*a)*",'00 Encuesta'!$AR$2:$AR$511,"*b)*")</f>
        <v>0</v>
      </c>
      <c r="X346" s="52" t="e">
        <f t="shared" si="528"/>
        <v>#DIV/0!</v>
      </c>
      <c r="Y346" s="53">
        <f>COUNTIFS('00 Encuesta'!$B$2:$B$511,"*f)*",'00 Encuesta'!$C$2:$C$511,"*c)*",'00 Encuesta'!$E$2:$E$511,"*b)*",'00 Encuesta'!$AR$2:$AR$511,"*b)*")</f>
        <v>0</v>
      </c>
      <c r="Z346" s="52" t="e">
        <f t="shared" si="529"/>
        <v>#DIV/0!</v>
      </c>
      <c r="AA346" s="3"/>
      <c r="AB346" s="62">
        <f t="shared" si="530"/>
        <v>12</v>
      </c>
      <c r="AC346" s="52">
        <f t="shared" si="531"/>
        <v>28.571428571428573</v>
      </c>
      <c r="AD346" s="3"/>
      <c r="AE346" s="3"/>
      <c r="AF346" s="9" t="str">
        <f t="shared" si="532"/>
        <v>b) Buena</v>
      </c>
      <c r="AG346" s="72">
        <f t="shared" si="533"/>
        <v>36.363636363636367</v>
      </c>
      <c r="AH346" s="72">
        <f t="shared" si="534"/>
        <v>20</v>
      </c>
      <c r="AI346" s="73">
        <f t="shared" si="535"/>
        <v>28.571428571428569</v>
      </c>
      <c r="AJ346" s="73"/>
      <c r="AK346" s="76" t="e">
        <f t="shared" si="536"/>
        <v>#DIV/0!</v>
      </c>
      <c r="AL346" s="76" t="e">
        <f t="shared" si="537"/>
        <v>#DIV/0!</v>
      </c>
      <c r="AM346" s="76" t="e">
        <f t="shared" si="538"/>
        <v>#DIV/0!</v>
      </c>
      <c r="AN346" s="76"/>
      <c r="AO346" s="81" t="e">
        <f t="shared" si="539"/>
        <v>#DIV/0!</v>
      </c>
      <c r="AP346" s="81" t="e">
        <f t="shared" si="540"/>
        <v>#DIV/0!</v>
      </c>
      <c r="AQ346" s="81" t="e">
        <f t="shared" si="541"/>
        <v>#DIV/0!</v>
      </c>
      <c r="AR346" s="3"/>
      <c r="AS346" s="76">
        <f t="shared" si="542"/>
        <v>28.571428571428573</v>
      </c>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row>
    <row r="347" spans="1:75" x14ac:dyDescent="0.3">
      <c r="A347" s="8" t="s">
        <v>20</v>
      </c>
      <c r="B347" s="9" t="s">
        <v>218</v>
      </c>
      <c r="C347" s="7"/>
      <c r="D347" s="7"/>
      <c r="E347" s="7"/>
      <c r="F347" s="71">
        <v>50</v>
      </c>
      <c r="G347" s="51">
        <f t="shared" si="518"/>
        <v>1</v>
      </c>
      <c r="H347" s="52">
        <f t="shared" si="519"/>
        <v>2.3809523809523809</v>
      </c>
      <c r="I347" s="53">
        <f>COUNTIFS('00 Encuesta'!$B$2:$B$511,"*f)*",'00 Encuesta'!$C$2:$C$511,"*a)*",'00 Encuesta'!$E$2:$E$511,"*a)*",'00 Encuesta'!$AR$2:$AR$511,"*c)*")</f>
        <v>1</v>
      </c>
      <c r="J347" s="52">
        <f t="shared" si="520"/>
        <v>4.5454545454545459</v>
      </c>
      <c r="K347" s="53">
        <f>COUNTIFS('00 Encuesta'!$B$2:$B$511,"*f)*",'00 Encuesta'!$C$2:$C$511,"*a)*",'00 Encuesta'!$E$2:$E$511,"*b)*",'00 Encuesta'!$AR$2:$AR$511,"*c)*")</f>
        <v>0</v>
      </c>
      <c r="L347" s="52">
        <f t="shared" si="521"/>
        <v>0</v>
      </c>
      <c r="M347" s="23"/>
      <c r="N347" s="51">
        <f t="shared" si="522"/>
        <v>0</v>
      </c>
      <c r="O347" s="52" t="e">
        <f t="shared" si="523"/>
        <v>#DIV/0!</v>
      </c>
      <c r="P347" s="53">
        <f>COUNTIFS('00 Encuesta'!$B$2:$B$511,"*f)*",'00 Encuesta'!$C$2:$C$511,"*b)*",'00 Encuesta'!$E$2:$E$511,"*a)*",'00 Encuesta'!$AR$2:$AR$511,"*c)*")</f>
        <v>0</v>
      </c>
      <c r="Q347" s="52" t="e">
        <f t="shared" si="524"/>
        <v>#DIV/0!</v>
      </c>
      <c r="R347" s="53">
        <f>COUNTIFS('00 Encuesta'!$B$2:$B$511,"*f)*",'00 Encuesta'!$C$2:$C$511,"*b)*",'00 Encuesta'!$E$2:$E$511,"*b)*",'00 Encuesta'!$AR$2:$AR$511,"*c)*")</f>
        <v>0</v>
      </c>
      <c r="S347" s="52" t="e">
        <f t="shared" si="525"/>
        <v>#DIV/0!</v>
      </c>
      <c r="T347" s="3"/>
      <c r="U347" s="51">
        <f t="shared" si="526"/>
        <v>0</v>
      </c>
      <c r="V347" s="52" t="e">
        <f t="shared" si="527"/>
        <v>#DIV/0!</v>
      </c>
      <c r="W347" s="53">
        <f>COUNTIFS('00 Encuesta'!$B$2:$B$511,"*f)*",'00 Encuesta'!$C$2:$C$511,"*c)*",'00 Encuesta'!$E$2:$E$511,"*a)*",'00 Encuesta'!$AR$2:$AR$511,"*c)*")</f>
        <v>0</v>
      </c>
      <c r="X347" s="52" t="e">
        <f t="shared" si="528"/>
        <v>#DIV/0!</v>
      </c>
      <c r="Y347" s="53">
        <f>COUNTIFS('00 Encuesta'!$B$2:$B$511,"*f)*",'00 Encuesta'!$C$2:$C$511,"*c)*",'00 Encuesta'!$E$2:$E$511,"*b)*",'00 Encuesta'!$AR$2:$AR$511,"*c)*")</f>
        <v>0</v>
      </c>
      <c r="Z347" s="52" t="e">
        <f t="shared" si="529"/>
        <v>#DIV/0!</v>
      </c>
      <c r="AA347" s="3"/>
      <c r="AB347" s="62">
        <f t="shared" si="530"/>
        <v>1</v>
      </c>
      <c r="AC347" s="52">
        <f t="shared" si="531"/>
        <v>2.3809523809523809</v>
      </c>
      <c r="AD347" s="3"/>
      <c r="AE347" s="3"/>
      <c r="AF347" s="9" t="str">
        <f t="shared" si="532"/>
        <v>c) Regular</v>
      </c>
      <c r="AG347" s="72">
        <f t="shared" si="533"/>
        <v>4.5454545454545459</v>
      </c>
      <c r="AH347" s="72">
        <f t="shared" si="534"/>
        <v>0</v>
      </c>
      <c r="AI347" s="73">
        <f t="shared" si="535"/>
        <v>2.3809523809523809</v>
      </c>
      <c r="AJ347" s="73"/>
      <c r="AK347" s="76" t="e">
        <f t="shared" si="536"/>
        <v>#DIV/0!</v>
      </c>
      <c r="AL347" s="76" t="e">
        <f t="shared" si="537"/>
        <v>#DIV/0!</v>
      </c>
      <c r="AM347" s="76" t="e">
        <f t="shared" si="538"/>
        <v>#DIV/0!</v>
      </c>
      <c r="AN347" s="76"/>
      <c r="AO347" s="81" t="e">
        <f t="shared" si="539"/>
        <v>#DIV/0!</v>
      </c>
      <c r="AP347" s="81" t="e">
        <f t="shared" si="540"/>
        <v>#DIV/0!</v>
      </c>
      <c r="AQ347" s="81" t="e">
        <f t="shared" si="541"/>
        <v>#DIV/0!</v>
      </c>
      <c r="AR347" s="3"/>
      <c r="AS347" s="76">
        <f t="shared" si="542"/>
        <v>2.3809523809523809</v>
      </c>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row>
    <row r="348" spans="1:75" x14ac:dyDescent="0.3">
      <c r="A348" s="8" t="s">
        <v>21</v>
      </c>
      <c r="B348" s="9" t="s">
        <v>231</v>
      </c>
      <c r="C348" s="7"/>
      <c r="D348" s="7"/>
      <c r="E348" s="7"/>
      <c r="F348" s="71">
        <v>25</v>
      </c>
      <c r="G348" s="51">
        <f t="shared" si="518"/>
        <v>0</v>
      </c>
      <c r="H348" s="52">
        <f t="shared" si="519"/>
        <v>0</v>
      </c>
      <c r="I348" s="53">
        <f>COUNTIFS('00 Encuesta'!$B$2:$B$511,"*f)*",'00 Encuesta'!$C$2:$C$511,"*a)*",'00 Encuesta'!$E$2:$E$511,"*a)*",'00 Encuesta'!$AR$2:$AR$511,"*d)*")</f>
        <v>0</v>
      </c>
      <c r="J348" s="52">
        <f t="shared" si="520"/>
        <v>0</v>
      </c>
      <c r="K348" s="53">
        <f>COUNTIFS('00 Encuesta'!$B$2:$B$511,"*f)*",'00 Encuesta'!$C$2:$C$511,"*a)*",'00 Encuesta'!$E$2:$E$511,"*b)*",'00 Encuesta'!$AR$2:$AR$511,"*d)*")</f>
        <v>0</v>
      </c>
      <c r="L348" s="52">
        <f t="shared" si="521"/>
        <v>0</v>
      </c>
      <c r="M348" s="23"/>
      <c r="N348" s="51">
        <f t="shared" si="522"/>
        <v>0</v>
      </c>
      <c r="O348" s="52" t="e">
        <f t="shared" si="523"/>
        <v>#DIV/0!</v>
      </c>
      <c r="P348" s="53">
        <f>COUNTIFS('00 Encuesta'!$B$2:$B$511,"*f)*",'00 Encuesta'!$C$2:$C$511,"*b)*",'00 Encuesta'!$E$2:$E$511,"*a)*",'00 Encuesta'!$AR$2:$AR$511,"*d)*")</f>
        <v>0</v>
      </c>
      <c r="Q348" s="52" t="e">
        <f t="shared" si="524"/>
        <v>#DIV/0!</v>
      </c>
      <c r="R348" s="53">
        <f>COUNTIFS('00 Encuesta'!$B$2:$B$511,"*f)*",'00 Encuesta'!$C$2:$C$511,"*b)*",'00 Encuesta'!$E$2:$E$511,"*b)*",'00 Encuesta'!$AR$2:$AR$511,"*d)*")</f>
        <v>0</v>
      </c>
      <c r="S348" s="52" t="e">
        <f t="shared" si="525"/>
        <v>#DIV/0!</v>
      </c>
      <c r="T348" s="3"/>
      <c r="U348" s="51">
        <f t="shared" si="526"/>
        <v>0</v>
      </c>
      <c r="V348" s="52" t="e">
        <f t="shared" si="527"/>
        <v>#DIV/0!</v>
      </c>
      <c r="W348" s="53">
        <f>COUNTIFS('00 Encuesta'!$B$2:$B$511,"*f)*",'00 Encuesta'!$C$2:$C$511,"*c)*",'00 Encuesta'!$E$2:$E$511,"*a)*",'00 Encuesta'!$AR$2:$AR$511,"*d)*")</f>
        <v>0</v>
      </c>
      <c r="X348" s="52" t="e">
        <f t="shared" si="528"/>
        <v>#DIV/0!</v>
      </c>
      <c r="Y348" s="53">
        <f>COUNTIFS('00 Encuesta'!$B$2:$B$511,"*f)*",'00 Encuesta'!$C$2:$C$511,"*c)*",'00 Encuesta'!$E$2:$E$511,"*b)*",'00 Encuesta'!$AR$2:$AR$511,"*d)*")</f>
        <v>0</v>
      </c>
      <c r="Z348" s="52" t="e">
        <f t="shared" si="529"/>
        <v>#DIV/0!</v>
      </c>
      <c r="AA348" s="3"/>
      <c r="AB348" s="62">
        <f t="shared" si="530"/>
        <v>0</v>
      </c>
      <c r="AC348" s="52">
        <f t="shared" si="531"/>
        <v>0</v>
      </c>
      <c r="AD348" s="3"/>
      <c r="AE348" s="3"/>
      <c r="AF348" s="9" t="str">
        <f t="shared" si="532"/>
        <v>d) Mala</v>
      </c>
      <c r="AG348" s="72">
        <f t="shared" si="533"/>
        <v>0</v>
      </c>
      <c r="AH348" s="72">
        <f t="shared" si="534"/>
        <v>0</v>
      </c>
      <c r="AI348" s="73">
        <f t="shared" si="535"/>
        <v>0</v>
      </c>
      <c r="AJ348" s="73"/>
      <c r="AK348" s="76" t="e">
        <f t="shared" si="536"/>
        <v>#DIV/0!</v>
      </c>
      <c r="AL348" s="76" t="e">
        <f t="shared" si="537"/>
        <v>#DIV/0!</v>
      </c>
      <c r="AM348" s="76" t="e">
        <f t="shared" si="538"/>
        <v>#DIV/0!</v>
      </c>
      <c r="AN348" s="76"/>
      <c r="AO348" s="81" t="e">
        <f t="shared" si="539"/>
        <v>#DIV/0!</v>
      </c>
      <c r="AP348" s="81" t="e">
        <f t="shared" si="540"/>
        <v>#DIV/0!</v>
      </c>
      <c r="AQ348" s="81" t="e">
        <f t="shared" si="541"/>
        <v>#DIV/0!</v>
      </c>
      <c r="AR348" s="3"/>
      <c r="AS348" s="76">
        <f t="shared" si="542"/>
        <v>0</v>
      </c>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row>
    <row r="349" spans="1:75" x14ac:dyDescent="0.3">
      <c r="A349" s="8" t="s">
        <v>22</v>
      </c>
      <c r="B349" s="9" t="s">
        <v>232</v>
      </c>
      <c r="C349" s="7"/>
      <c r="D349" s="7"/>
      <c r="E349" s="7"/>
      <c r="F349" s="71">
        <v>0</v>
      </c>
      <c r="G349" s="51">
        <f t="shared" si="518"/>
        <v>0</v>
      </c>
      <c r="H349" s="52">
        <f t="shared" si="519"/>
        <v>0</v>
      </c>
      <c r="I349" s="53">
        <f>COUNTIFS('00 Encuesta'!$B$2:$B$511,"*f)*",'00 Encuesta'!$C$2:$C$511,"*a)*",'00 Encuesta'!$E$2:$E$511,"*a)*",'00 Encuesta'!$AR$2:$AR$511,"*e)*")</f>
        <v>0</v>
      </c>
      <c r="J349" s="52">
        <f t="shared" si="520"/>
        <v>0</v>
      </c>
      <c r="K349" s="53">
        <f>COUNTIFS('00 Encuesta'!$B$2:$B$511,"*f)*",'00 Encuesta'!$C$2:$C$511,"*a)*",'00 Encuesta'!$E$2:$E$511,"*b)*",'00 Encuesta'!$AR$2:$AR$511,"*e)*")</f>
        <v>0</v>
      </c>
      <c r="L349" s="52">
        <f t="shared" si="521"/>
        <v>0</v>
      </c>
      <c r="M349" s="23"/>
      <c r="N349" s="51">
        <f t="shared" si="522"/>
        <v>0</v>
      </c>
      <c r="O349" s="52" t="e">
        <f t="shared" si="523"/>
        <v>#DIV/0!</v>
      </c>
      <c r="P349" s="53">
        <f>COUNTIFS('00 Encuesta'!$B$2:$B$511,"*f)*",'00 Encuesta'!$C$2:$C$511,"*b)*",'00 Encuesta'!$E$2:$E$511,"*a)*",'00 Encuesta'!$AR$2:$AR$511,"*e)*")</f>
        <v>0</v>
      </c>
      <c r="Q349" s="52" t="e">
        <f t="shared" si="524"/>
        <v>#DIV/0!</v>
      </c>
      <c r="R349" s="53">
        <f>COUNTIFS('00 Encuesta'!$B$2:$B$511,"*f)*",'00 Encuesta'!$C$2:$C$511,"*b)*",'00 Encuesta'!$E$2:$E$511,"*b)*",'00 Encuesta'!$AR$2:$AR$511,"*e)*")</f>
        <v>0</v>
      </c>
      <c r="S349" s="52" t="e">
        <f t="shared" si="525"/>
        <v>#DIV/0!</v>
      </c>
      <c r="T349" s="3"/>
      <c r="U349" s="51">
        <f t="shared" si="526"/>
        <v>0</v>
      </c>
      <c r="V349" s="52" t="e">
        <f t="shared" si="527"/>
        <v>#DIV/0!</v>
      </c>
      <c r="W349" s="53">
        <f>COUNTIFS('00 Encuesta'!$B$2:$B$511,"*f)*",'00 Encuesta'!$C$2:$C$511,"*c)*",'00 Encuesta'!$E$2:$E$511,"*a)*",'00 Encuesta'!$AR$2:$AR$511,"*e)*")</f>
        <v>0</v>
      </c>
      <c r="X349" s="52" t="e">
        <f t="shared" si="528"/>
        <v>#DIV/0!</v>
      </c>
      <c r="Y349" s="53">
        <f>COUNTIFS('00 Encuesta'!$B$2:$B$511,"*f)*",'00 Encuesta'!$C$2:$C$511,"*c)*",'00 Encuesta'!$E$2:$E$511,"*b)*",'00 Encuesta'!$AR$2:$AR$511,"*e)*")</f>
        <v>0</v>
      </c>
      <c r="Z349" s="52" t="e">
        <f t="shared" si="529"/>
        <v>#DIV/0!</v>
      </c>
      <c r="AA349" s="3"/>
      <c r="AB349" s="62">
        <f t="shared" si="530"/>
        <v>0</v>
      </c>
      <c r="AC349" s="52">
        <f t="shared" si="531"/>
        <v>0</v>
      </c>
      <c r="AD349" s="3"/>
      <c r="AE349" s="3"/>
      <c r="AF349" s="9" t="str">
        <f t="shared" si="532"/>
        <v>e) Muy mala</v>
      </c>
      <c r="AG349" s="72">
        <f t="shared" si="533"/>
        <v>0</v>
      </c>
      <c r="AH349" s="72">
        <f t="shared" si="534"/>
        <v>0</v>
      </c>
      <c r="AI349" s="73">
        <f t="shared" si="535"/>
        <v>0</v>
      </c>
      <c r="AJ349" s="73"/>
      <c r="AK349" s="76" t="e">
        <f t="shared" si="536"/>
        <v>#DIV/0!</v>
      </c>
      <c r="AL349" s="76" t="e">
        <f t="shared" si="537"/>
        <v>#DIV/0!</v>
      </c>
      <c r="AM349" s="76" t="e">
        <f t="shared" si="538"/>
        <v>#DIV/0!</v>
      </c>
      <c r="AN349" s="76"/>
      <c r="AO349" s="81" t="e">
        <f t="shared" si="539"/>
        <v>#DIV/0!</v>
      </c>
      <c r="AP349" s="81" t="e">
        <f t="shared" si="540"/>
        <v>#DIV/0!</v>
      </c>
      <c r="AQ349" s="81" t="e">
        <f t="shared" si="541"/>
        <v>#DIV/0!</v>
      </c>
      <c r="AR349" s="3"/>
      <c r="AS349" s="76">
        <f t="shared" si="542"/>
        <v>0</v>
      </c>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row>
    <row r="350" spans="1:75" x14ac:dyDescent="0.3">
      <c r="A350" s="8" t="s">
        <v>45</v>
      </c>
      <c r="B350" s="9" t="s">
        <v>233</v>
      </c>
      <c r="C350" s="7"/>
      <c r="D350" s="7"/>
      <c r="E350" s="7"/>
      <c r="F350" s="71"/>
      <c r="G350" s="51">
        <f t="shared" si="518"/>
        <v>0</v>
      </c>
      <c r="H350" s="52">
        <f t="shared" si="519"/>
        <v>0</v>
      </c>
      <c r="I350" s="53">
        <f>COUNTIFS('00 Encuesta'!$B$2:$B$511,"*f)*",'00 Encuesta'!$C$2:$C$511,"*a)*",'00 Encuesta'!$E$2:$E$511,"*a)*",'00 Encuesta'!$AR$2:$AR$511,"*f)*")</f>
        <v>0</v>
      </c>
      <c r="J350" s="52">
        <f t="shared" si="520"/>
        <v>0</v>
      </c>
      <c r="K350" s="53">
        <f>COUNTIFS('00 Encuesta'!$B$2:$B$511,"*f)*",'00 Encuesta'!$C$2:$C$511,"*a)*",'00 Encuesta'!$E$2:$E$511,"*b)*",'00 Encuesta'!$AR$2:$AR$511,"*f)*")</f>
        <v>0</v>
      </c>
      <c r="L350" s="52">
        <f t="shared" si="521"/>
        <v>0</v>
      </c>
      <c r="M350" s="23"/>
      <c r="N350" s="51">
        <f t="shared" si="522"/>
        <v>0</v>
      </c>
      <c r="O350" s="52" t="e">
        <f t="shared" si="523"/>
        <v>#DIV/0!</v>
      </c>
      <c r="P350" s="53">
        <f>COUNTIFS('00 Encuesta'!$B$2:$B$511,"*f)*",'00 Encuesta'!$C$2:$C$511,"*b)*",'00 Encuesta'!$E$2:$E$511,"*a)*",'00 Encuesta'!$AR$2:$AR$511,"*f)*")</f>
        <v>0</v>
      </c>
      <c r="Q350" s="52" t="e">
        <f t="shared" si="524"/>
        <v>#DIV/0!</v>
      </c>
      <c r="R350" s="53">
        <f>COUNTIFS('00 Encuesta'!$B$2:$B$511,"*f)*",'00 Encuesta'!$C$2:$C$511,"*b)*",'00 Encuesta'!$E$2:$E$511,"*b)*",'00 Encuesta'!$AR$2:$AR$511,"*f)*")</f>
        <v>0</v>
      </c>
      <c r="S350" s="52" t="e">
        <f t="shared" si="525"/>
        <v>#DIV/0!</v>
      </c>
      <c r="T350" s="3"/>
      <c r="U350" s="51">
        <f t="shared" si="526"/>
        <v>0</v>
      </c>
      <c r="V350" s="52" t="e">
        <f t="shared" si="527"/>
        <v>#DIV/0!</v>
      </c>
      <c r="W350" s="53">
        <f>COUNTIFS('00 Encuesta'!$B$2:$B$511,"*f)*",'00 Encuesta'!$C$2:$C$511,"*c)*",'00 Encuesta'!$E$2:$E$511,"*a)*",'00 Encuesta'!$AR$2:$AR$511,"*f)*")</f>
        <v>0</v>
      </c>
      <c r="X350" s="52" t="e">
        <f t="shared" si="528"/>
        <v>#DIV/0!</v>
      </c>
      <c r="Y350" s="53">
        <f>COUNTIFS('00 Encuesta'!$B$2:$B$511,"*f)*",'00 Encuesta'!$C$2:$C$511,"*c)*",'00 Encuesta'!$E$2:$E$511,"*b)*",'00 Encuesta'!$AR$2:$AR$511,"*f)*")</f>
        <v>0</v>
      </c>
      <c r="Z350" s="52" t="e">
        <f t="shared" si="529"/>
        <v>#DIV/0!</v>
      </c>
      <c r="AA350" s="3"/>
      <c r="AB350" s="62">
        <f t="shared" si="530"/>
        <v>0</v>
      </c>
      <c r="AC350" s="52">
        <f t="shared" si="531"/>
        <v>0</v>
      </c>
      <c r="AD350" s="3"/>
      <c r="AE350" s="3"/>
      <c r="AF350" s="9" t="str">
        <f t="shared" si="532"/>
        <v>f) No aplica</v>
      </c>
      <c r="AG350" s="72">
        <f t="shared" si="533"/>
        <v>0</v>
      </c>
      <c r="AH350" s="72">
        <f t="shared" si="534"/>
        <v>0</v>
      </c>
      <c r="AI350" s="73">
        <f t="shared" si="535"/>
        <v>0</v>
      </c>
      <c r="AJ350" s="73"/>
      <c r="AK350" s="76" t="e">
        <f t="shared" si="536"/>
        <v>#DIV/0!</v>
      </c>
      <c r="AL350" s="76" t="e">
        <f t="shared" si="537"/>
        <v>#DIV/0!</v>
      </c>
      <c r="AM350" s="76" t="e">
        <f t="shared" si="538"/>
        <v>#DIV/0!</v>
      </c>
      <c r="AN350" s="76"/>
      <c r="AO350" s="81" t="e">
        <f t="shared" si="539"/>
        <v>#DIV/0!</v>
      </c>
      <c r="AP350" s="81" t="e">
        <f t="shared" si="540"/>
        <v>#DIV/0!</v>
      </c>
      <c r="AQ350" s="81" t="e">
        <f t="shared" si="541"/>
        <v>#DIV/0!</v>
      </c>
      <c r="AR350" s="3"/>
      <c r="AS350" s="76">
        <f t="shared" si="542"/>
        <v>0</v>
      </c>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row>
    <row r="351" spans="1:75" x14ac:dyDescent="0.3">
      <c r="A351" s="70"/>
      <c r="B351" s="9"/>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6"/>
      <c r="AC351" s="41"/>
      <c r="AD351" s="7"/>
      <c r="AE351" s="7"/>
      <c r="AF351" s="9" t="str">
        <f t="shared" si="532"/>
        <v xml:space="preserve"> </v>
      </c>
      <c r="AG351" s="82">
        <f>($F345*I345+$F346*I346+$F347*I347+$F348*I348+$F349*I349)/(I345+I346+I347+I348+I349)</f>
        <v>88.095238095238102</v>
      </c>
      <c r="AH351" s="82">
        <f>($F345*K345+$F346*K346+$F347*K347+$F348*K348+$F349*K349)/(K345+K346+K347+K348+K349)</f>
        <v>95</v>
      </c>
      <c r="AI351" s="82">
        <f>($F345*G345+$F346*G346+$F347*G347+$F348*G348+$F349*G349)/(G345+G346+G347+G348+G349)</f>
        <v>91.463414634146346</v>
      </c>
      <c r="AJ351" s="82"/>
      <c r="AK351" s="82" t="e">
        <f>($F345*Q345+$F346*Q346+$F347*Q347+$F348*Q348+$F349*Q349)/(Q345+Q346+Q347+Q348+Q349)</f>
        <v>#DIV/0!</v>
      </c>
      <c r="AL351" s="82" t="e">
        <f>($F345*S345+$F346*S346+$F347*S347+$F348*S348+$F349*S349)/(S345+S346+S347+S348+S349)</f>
        <v>#DIV/0!</v>
      </c>
      <c r="AM351" s="82" t="e">
        <f>($F345*O345+$F346*O346+$F347*O347+$F348*O348+$F349*O349)/(O345+O346+O347+O348+O349)</f>
        <v>#DIV/0!</v>
      </c>
      <c r="AN351" s="82"/>
      <c r="AO351" s="82" t="e">
        <f>($F345*W345+$F346*W346+$F347*W347+$F348*W348+$F349*W349)/(W345+W346+W347+W348+W349)</f>
        <v>#DIV/0!</v>
      </c>
      <c r="AP351" s="82" t="e">
        <f>($F345*Y345+$F346*Y346+$F347*Y347+$F348*Y348+$F349*Y349)/(Y345+Y346+Y347+Y348+Y349)</f>
        <v>#DIV/0!</v>
      </c>
      <c r="AQ351" s="82" t="e">
        <f>($F345*U345+$F346*U346+$F347*U347+$F348*U348+$F349*U349)/(U345+U346+U347+U348+U349)</f>
        <v>#DIV/0!</v>
      </c>
      <c r="AR351" s="3"/>
      <c r="AS351" s="76"/>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row>
    <row r="352" spans="1:75" x14ac:dyDescent="0.3">
      <c r="A352" s="70">
        <v>39</v>
      </c>
      <c r="B352" s="9" t="s">
        <v>238</v>
      </c>
      <c r="C352" s="7"/>
      <c r="D352" s="7"/>
      <c r="E352" s="7"/>
      <c r="F352" s="71"/>
      <c r="G352" s="51"/>
      <c r="H352" s="52"/>
      <c r="I352" s="53"/>
      <c r="J352" s="52"/>
      <c r="K352" s="53"/>
      <c r="L352" s="66"/>
      <c r="M352" s="23"/>
      <c r="N352" s="51"/>
      <c r="O352" s="52"/>
      <c r="P352" s="53"/>
      <c r="Q352" s="52"/>
      <c r="R352" s="53"/>
      <c r="S352" s="66"/>
      <c r="T352" s="3"/>
      <c r="U352" s="51"/>
      <c r="V352" s="52"/>
      <c r="W352" s="53"/>
      <c r="X352" s="52"/>
      <c r="Y352" s="53"/>
      <c r="Z352" s="66"/>
      <c r="AA352" s="3"/>
      <c r="AB352" s="62"/>
      <c r="AC352" s="52"/>
      <c r="AD352" s="3"/>
      <c r="AE352" s="3"/>
      <c r="AF352" s="88" t="str">
        <f>A352&amp;" "&amp;B352</f>
        <v>39 Pastoral</v>
      </c>
      <c r="AG352" s="3"/>
      <c r="AH352" s="3"/>
      <c r="AI352" s="3"/>
      <c r="AJ352" s="3"/>
      <c r="AK352" s="3"/>
      <c r="AL352" s="3"/>
      <c r="AM352" s="3"/>
      <c r="AN352" s="3"/>
      <c r="AO352" s="3"/>
      <c r="AP352" s="3"/>
      <c r="AQ352" s="3"/>
      <c r="AR352" s="3"/>
      <c r="AS352" s="76"/>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row>
    <row r="353" spans="1:75" x14ac:dyDescent="0.3">
      <c r="A353" s="8" t="s">
        <v>17</v>
      </c>
      <c r="B353" s="9" t="s">
        <v>229</v>
      </c>
      <c r="C353" s="7"/>
      <c r="D353" s="7"/>
      <c r="E353" s="7"/>
      <c r="F353" s="71">
        <v>100</v>
      </c>
      <c r="G353" s="51">
        <f t="shared" ref="G353:G358" si="543">I353+K353</f>
        <v>22</v>
      </c>
      <c r="H353" s="52">
        <f t="shared" ref="H353:H358" si="544">G353/$J$5*100</f>
        <v>52.380952380952387</v>
      </c>
      <c r="I353" s="53">
        <f>COUNTIFS('00 Encuesta'!$B$2:$B$511,"*f)*",'00 Encuesta'!$C$2:$C$511,"*a)*",'00 Encuesta'!$E$2:$E$511,"*a)*",'00 Encuesta'!$AS$2:$AS$511,"*a)*")</f>
        <v>9</v>
      </c>
      <c r="J353" s="52">
        <f t="shared" ref="J353:J358" si="545">I353/$J$6*100</f>
        <v>40.909090909090914</v>
      </c>
      <c r="K353" s="53">
        <f>COUNTIFS('00 Encuesta'!$B$2:$B$511,"*f)*",'00 Encuesta'!$C$2:$C$511,"*a)*",'00 Encuesta'!$E$2:$E$511,"*b)*",'00 Encuesta'!$AS$2:$AS$511,"*a)*")</f>
        <v>13</v>
      </c>
      <c r="L353" s="52">
        <f t="shared" ref="L353:L358" si="546">K353/$J$7*100</f>
        <v>65</v>
      </c>
      <c r="M353" s="23"/>
      <c r="N353" s="51">
        <f t="shared" ref="N353:N358" si="547">P353+R353</f>
        <v>0</v>
      </c>
      <c r="O353" s="52" t="e">
        <f t="shared" ref="O353:O358" si="548">N353/$Q$5*100</f>
        <v>#DIV/0!</v>
      </c>
      <c r="P353" s="53">
        <f>COUNTIFS('00 Encuesta'!$B$2:$B$511,"*f)*",'00 Encuesta'!$C$2:$C$511,"*b)*",'00 Encuesta'!$E$2:$E$511,"*a)*",'00 Encuesta'!$AS$2:$AS$511,"*a)*")</f>
        <v>0</v>
      </c>
      <c r="Q353" s="52" t="e">
        <f>P353/$Q$6*100</f>
        <v>#DIV/0!</v>
      </c>
      <c r="R353" s="53">
        <f>COUNTIFS('00 Encuesta'!$B$2:$B$511,"*f)*",'00 Encuesta'!$C$2:$C$511,"*b)*",'00 Encuesta'!$E$2:$E$511,"*b)*",'00 Encuesta'!$AS$2:$AS$511,"*a)*")</f>
        <v>0</v>
      </c>
      <c r="S353" s="52" t="e">
        <f t="shared" ref="S353:S358" si="549">R353/$Q$7*100</f>
        <v>#DIV/0!</v>
      </c>
      <c r="T353" s="3"/>
      <c r="U353" s="51">
        <f t="shared" ref="U353:U358" si="550">W353+Y353</f>
        <v>0</v>
      </c>
      <c r="V353" s="52" t="e">
        <f t="shared" ref="V353:V358" si="551">U353/$X$5*100</f>
        <v>#DIV/0!</v>
      </c>
      <c r="W353" s="53">
        <f>COUNTIFS('00 Encuesta'!$B$2:$B$511,"*f)*",'00 Encuesta'!$C$2:$C$511,"*c)*",'00 Encuesta'!$E$2:$E$511,"*a)*",'00 Encuesta'!$AS$2:$AS$511,"*a)*")</f>
        <v>0</v>
      </c>
      <c r="X353" s="52" t="e">
        <f t="shared" ref="X353:X358" si="552">W353/$X$6*100</f>
        <v>#DIV/0!</v>
      </c>
      <c r="Y353" s="53">
        <f>COUNTIFS('00 Encuesta'!$B$2:$B$511,"*f)*",'00 Encuesta'!$C$2:$C$511,"*c)*",'00 Encuesta'!$E$2:$E$511,"*b)*",'00 Encuesta'!$AS$2:$AS$511,"*a)*")</f>
        <v>0</v>
      </c>
      <c r="Z353" s="52" t="e">
        <f t="shared" ref="Z353:Z358" si="553">Y353/$X$7*100</f>
        <v>#DIV/0!</v>
      </c>
      <c r="AA353" s="3"/>
      <c r="AB353" s="62">
        <f t="shared" ref="AB353:AB358" si="554">G353+N353+U353</f>
        <v>22</v>
      </c>
      <c r="AC353" s="52">
        <f t="shared" ref="AC353:AC358" si="555">AB353*100/$AC$5</f>
        <v>52.38095238095238</v>
      </c>
      <c r="AD353" s="3"/>
      <c r="AE353" s="3"/>
      <c r="AF353" s="9" t="str">
        <f t="shared" ref="AF353:AF358" si="556">A353&amp;" "&amp;B353</f>
        <v>a) Muy buena</v>
      </c>
      <c r="AG353" s="72">
        <f t="shared" ref="AG353:AG358" si="557">J353</f>
        <v>40.909090909090914</v>
      </c>
      <c r="AH353" s="72">
        <f t="shared" ref="AH353:AH358" si="558">L353</f>
        <v>65</v>
      </c>
      <c r="AI353" s="73">
        <f t="shared" ref="AI353:AI358" si="559">H353</f>
        <v>52.380952380952387</v>
      </c>
      <c r="AJ353" s="73"/>
      <c r="AK353" s="76" t="e">
        <f>Q353</f>
        <v>#DIV/0!</v>
      </c>
      <c r="AL353" s="76" t="e">
        <f t="shared" ref="AL353:AL358" si="560">S353</f>
        <v>#DIV/0!</v>
      </c>
      <c r="AM353" s="76" t="e">
        <f t="shared" ref="AM353:AM358" si="561">O353</f>
        <v>#DIV/0!</v>
      </c>
      <c r="AN353" s="76"/>
      <c r="AO353" s="81" t="e">
        <f t="shared" ref="AO353:AO358" si="562">X353</f>
        <v>#DIV/0!</v>
      </c>
      <c r="AP353" s="81" t="e">
        <f t="shared" ref="AP353:AP358" si="563">Z353</f>
        <v>#DIV/0!</v>
      </c>
      <c r="AQ353" s="81" t="e">
        <f t="shared" ref="AQ353:AQ358" si="564">V353</f>
        <v>#DIV/0!</v>
      </c>
      <c r="AR353" s="3"/>
      <c r="AS353" s="76">
        <f t="shared" si="542"/>
        <v>52.38095238095238</v>
      </c>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row>
    <row r="354" spans="1:75" x14ac:dyDescent="0.3">
      <c r="A354" s="8" t="s">
        <v>18</v>
      </c>
      <c r="B354" s="9" t="s">
        <v>230</v>
      </c>
      <c r="C354" s="7"/>
      <c r="D354" s="7"/>
      <c r="E354" s="7"/>
      <c r="F354" s="71">
        <v>75</v>
      </c>
      <c r="G354" s="51">
        <f t="shared" si="543"/>
        <v>13</v>
      </c>
      <c r="H354" s="52">
        <f t="shared" si="544"/>
        <v>30.952380952380953</v>
      </c>
      <c r="I354" s="53">
        <f>COUNTIFS('00 Encuesta'!$B$2:$B$511,"*f)*",'00 Encuesta'!$C$2:$C$511,"*a)*",'00 Encuesta'!$E$2:$E$511,"*a)*",'00 Encuesta'!$AS$2:$AS$511,"*b)*")</f>
        <v>8</v>
      </c>
      <c r="J354" s="52">
        <f t="shared" si="545"/>
        <v>36.363636363636367</v>
      </c>
      <c r="K354" s="53">
        <f>COUNTIFS('00 Encuesta'!$B$2:$B$511,"*f)*",'00 Encuesta'!$C$2:$C$511,"*a)*",'00 Encuesta'!$E$2:$E$511,"*b)*",'00 Encuesta'!$AS$2:$AS$511,"*b)*")</f>
        <v>5</v>
      </c>
      <c r="L354" s="52">
        <f t="shared" si="546"/>
        <v>25</v>
      </c>
      <c r="M354" s="23"/>
      <c r="N354" s="51">
        <f t="shared" si="547"/>
        <v>0</v>
      </c>
      <c r="O354" s="52" t="e">
        <f t="shared" si="548"/>
        <v>#DIV/0!</v>
      </c>
      <c r="P354" s="53">
        <f>COUNTIFS('00 Encuesta'!$B$2:$B$511,"*f)*",'00 Encuesta'!$C$2:$C$511,"*b)*",'00 Encuesta'!$E$2:$E$511,"*a)*",'00 Encuesta'!$AS$2:$AS$511,"*b)*")</f>
        <v>0</v>
      </c>
      <c r="Q354" s="52" t="e">
        <f t="shared" ref="Q354:Q358" si="565">P354/$Q$6*100</f>
        <v>#DIV/0!</v>
      </c>
      <c r="R354" s="53">
        <f>COUNTIFS('00 Encuesta'!$B$2:$B$511,"*f)*",'00 Encuesta'!$C$2:$C$511,"*b)*",'00 Encuesta'!$E$2:$E$511,"*b)*",'00 Encuesta'!$AS$2:$AS$511,"*b)*")</f>
        <v>0</v>
      </c>
      <c r="S354" s="52" t="e">
        <f t="shared" si="549"/>
        <v>#DIV/0!</v>
      </c>
      <c r="T354" s="3"/>
      <c r="U354" s="51">
        <f t="shared" si="550"/>
        <v>0</v>
      </c>
      <c r="V354" s="52" t="e">
        <f t="shared" si="551"/>
        <v>#DIV/0!</v>
      </c>
      <c r="W354" s="53">
        <f>COUNTIFS('00 Encuesta'!$B$2:$B$511,"*f)*",'00 Encuesta'!$C$2:$C$511,"*c)*",'00 Encuesta'!$E$2:$E$511,"*a)*",'00 Encuesta'!$AS$2:$AS$511,"*b)*")</f>
        <v>0</v>
      </c>
      <c r="X354" s="52" t="e">
        <f t="shared" si="552"/>
        <v>#DIV/0!</v>
      </c>
      <c r="Y354" s="53">
        <f>COUNTIFS('00 Encuesta'!$B$2:$B$511,"*f)*",'00 Encuesta'!$C$2:$C$511,"*c)*",'00 Encuesta'!$E$2:$E$511,"*b)*",'00 Encuesta'!$AS$2:$AS$511,"*b)*")</f>
        <v>0</v>
      </c>
      <c r="Z354" s="52" t="e">
        <f t="shared" si="553"/>
        <v>#DIV/0!</v>
      </c>
      <c r="AA354" s="3"/>
      <c r="AB354" s="62">
        <f t="shared" si="554"/>
        <v>13</v>
      </c>
      <c r="AC354" s="52">
        <f t="shared" si="555"/>
        <v>30.952380952380953</v>
      </c>
      <c r="AD354" s="3"/>
      <c r="AE354" s="3"/>
      <c r="AF354" s="9" t="str">
        <f t="shared" si="556"/>
        <v>b) Buena</v>
      </c>
      <c r="AG354" s="72">
        <f t="shared" si="557"/>
        <v>36.363636363636367</v>
      </c>
      <c r="AH354" s="72">
        <f t="shared" si="558"/>
        <v>25</v>
      </c>
      <c r="AI354" s="73">
        <f t="shared" si="559"/>
        <v>30.952380952380953</v>
      </c>
      <c r="AJ354" s="73"/>
      <c r="AK354" s="76" t="e">
        <f t="shared" ref="AK354:AK358" si="566">Q354</f>
        <v>#DIV/0!</v>
      </c>
      <c r="AL354" s="76" t="e">
        <f t="shared" si="560"/>
        <v>#DIV/0!</v>
      </c>
      <c r="AM354" s="76" t="e">
        <f t="shared" si="561"/>
        <v>#DIV/0!</v>
      </c>
      <c r="AN354" s="76"/>
      <c r="AO354" s="81" t="e">
        <f t="shared" si="562"/>
        <v>#DIV/0!</v>
      </c>
      <c r="AP354" s="81" t="e">
        <f t="shared" si="563"/>
        <v>#DIV/0!</v>
      </c>
      <c r="AQ354" s="81" t="e">
        <f t="shared" si="564"/>
        <v>#DIV/0!</v>
      </c>
      <c r="AR354" s="3"/>
      <c r="AS354" s="76">
        <f t="shared" si="542"/>
        <v>30.952380952380953</v>
      </c>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row>
    <row r="355" spans="1:75" x14ac:dyDescent="0.3">
      <c r="A355" s="8" t="s">
        <v>20</v>
      </c>
      <c r="B355" s="9" t="s">
        <v>218</v>
      </c>
      <c r="C355" s="7"/>
      <c r="D355" s="7"/>
      <c r="E355" s="7"/>
      <c r="F355" s="71">
        <v>50</v>
      </c>
      <c r="G355" s="51">
        <f t="shared" si="543"/>
        <v>5</v>
      </c>
      <c r="H355" s="52">
        <f t="shared" si="544"/>
        <v>11.904761904761903</v>
      </c>
      <c r="I355" s="53">
        <f>COUNTIFS('00 Encuesta'!$B$2:$B$511,"*f)*",'00 Encuesta'!$C$2:$C$511,"*a)*",'00 Encuesta'!$E$2:$E$511,"*a)*",'00 Encuesta'!$AS$2:$AS$511,"*c)*")</f>
        <v>4</v>
      </c>
      <c r="J355" s="52">
        <f t="shared" si="545"/>
        <v>18.181818181818183</v>
      </c>
      <c r="K355" s="53">
        <f>COUNTIFS('00 Encuesta'!$B$2:$B$511,"*f)*",'00 Encuesta'!$C$2:$C$511,"*a)*",'00 Encuesta'!$E$2:$E$511,"*b)*",'00 Encuesta'!$AS$2:$AS$511,"*c)*")</f>
        <v>1</v>
      </c>
      <c r="L355" s="52">
        <f t="shared" si="546"/>
        <v>5</v>
      </c>
      <c r="M355" s="23"/>
      <c r="N355" s="51">
        <f t="shared" si="547"/>
        <v>0</v>
      </c>
      <c r="O355" s="52" t="e">
        <f t="shared" si="548"/>
        <v>#DIV/0!</v>
      </c>
      <c r="P355" s="53">
        <f>COUNTIFS('00 Encuesta'!$B$2:$B$511,"*f)*",'00 Encuesta'!$C$2:$C$511,"*b)*",'00 Encuesta'!$E$2:$E$511,"*a)*",'00 Encuesta'!$AS$2:$AS$511,"*c)*")</f>
        <v>0</v>
      </c>
      <c r="Q355" s="52" t="e">
        <f t="shared" si="565"/>
        <v>#DIV/0!</v>
      </c>
      <c r="R355" s="53">
        <f>COUNTIFS('00 Encuesta'!$B$2:$B$511,"*f)*",'00 Encuesta'!$C$2:$C$511,"*b)*",'00 Encuesta'!$E$2:$E$511,"*b)*",'00 Encuesta'!$AS$2:$AS$511,"*c)*")</f>
        <v>0</v>
      </c>
      <c r="S355" s="52" t="e">
        <f t="shared" si="549"/>
        <v>#DIV/0!</v>
      </c>
      <c r="T355" s="3"/>
      <c r="U355" s="51">
        <f t="shared" si="550"/>
        <v>0</v>
      </c>
      <c r="V355" s="52" t="e">
        <f t="shared" si="551"/>
        <v>#DIV/0!</v>
      </c>
      <c r="W355" s="53">
        <f>COUNTIFS('00 Encuesta'!$B$2:$B$511,"*f)*",'00 Encuesta'!$C$2:$C$511,"*c)*",'00 Encuesta'!$E$2:$E$511,"*a)*",'00 Encuesta'!$AS$2:$AS$511,"*c)*")</f>
        <v>0</v>
      </c>
      <c r="X355" s="52" t="e">
        <f t="shared" si="552"/>
        <v>#DIV/0!</v>
      </c>
      <c r="Y355" s="53">
        <f>COUNTIFS('00 Encuesta'!$B$2:$B$511,"*f)*",'00 Encuesta'!$C$2:$C$511,"*c)*",'00 Encuesta'!$E$2:$E$511,"*b)*",'00 Encuesta'!$AS$2:$AS$511,"*c)*")</f>
        <v>0</v>
      </c>
      <c r="Z355" s="52" t="e">
        <f t="shared" si="553"/>
        <v>#DIV/0!</v>
      </c>
      <c r="AA355" s="3"/>
      <c r="AB355" s="62">
        <f t="shared" si="554"/>
        <v>5</v>
      </c>
      <c r="AC355" s="52">
        <f t="shared" si="555"/>
        <v>11.904761904761905</v>
      </c>
      <c r="AD355" s="3"/>
      <c r="AE355" s="3"/>
      <c r="AF355" s="9" t="str">
        <f t="shared" si="556"/>
        <v>c) Regular</v>
      </c>
      <c r="AG355" s="72">
        <f t="shared" si="557"/>
        <v>18.181818181818183</v>
      </c>
      <c r="AH355" s="72">
        <f t="shared" si="558"/>
        <v>5</v>
      </c>
      <c r="AI355" s="73">
        <f t="shared" si="559"/>
        <v>11.904761904761903</v>
      </c>
      <c r="AJ355" s="73"/>
      <c r="AK355" s="76" t="e">
        <f t="shared" si="566"/>
        <v>#DIV/0!</v>
      </c>
      <c r="AL355" s="76" t="e">
        <f t="shared" si="560"/>
        <v>#DIV/0!</v>
      </c>
      <c r="AM355" s="76" t="e">
        <f t="shared" si="561"/>
        <v>#DIV/0!</v>
      </c>
      <c r="AN355" s="76"/>
      <c r="AO355" s="81" t="e">
        <f t="shared" si="562"/>
        <v>#DIV/0!</v>
      </c>
      <c r="AP355" s="81" t="e">
        <f t="shared" si="563"/>
        <v>#DIV/0!</v>
      </c>
      <c r="AQ355" s="81" t="e">
        <f t="shared" si="564"/>
        <v>#DIV/0!</v>
      </c>
      <c r="AR355" s="3"/>
      <c r="AS355" s="76">
        <f t="shared" si="542"/>
        <v>11.904761904761905</v>
      </c>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row>
    <row r="356" spans="1:75" x14ac:dyDescent="0.3">
      <c r="A356" s="8" t="s">
        <v>21</v>
      </c>
      <c r="B356" s="9" t="s">
        <v>231</v>
      </c>
      <c r="C356" s="7"/>
      <c r="D356" s="7"/>
      <c r="E356" s="7"/>
      <c r="F356" s="71">
        <v>25</v>
      </c>
      <c r="G356" s="51">
        <f t="shared" si="543"/>
        <v>0</v>
      </c>
      <c r="H356" s="52">
        <f t="shared" si="544"/>
        <v>0</v>
      </c>
      <c r="I356" s="53">
        <f>COUNTIFS('00 Encuesta'!$B$2:$B$511,"*f)*",'00 Encuesta'!$C$2:$C$511,"*a)*",'00 Encuesta'!$E$2:$E$511,"*a)*",'00 Encuesta'!$AS$2:$AS$511,"*d)*")</f>
        <v>0</v>
      </c>
      <c r="J356" s="52">
        <f t="shared" si="545"/>
        <v>0</v>
      </c>
      <c r="K356" s="53">
        <f>COUNTIFS('00 Encuesta'!$B$2:$B$511,"*f)*",'00 Encuesta'!$C$2:$C$511,"*a)*",'00 Encuesta'!$E$2:$E$511,"*b)*",'00 Encuesta'!$AS$2:$AS$511,"*d)*")</f>
        <v>0</v>
      </c>
      <c r="L356" s="52">
        <f t="shared" si="546"/>
        <v>0</v>
      </c>
      <c r="M356" s="23"/>
      <c r="N356" s="51">
        <f t="shared" si="547"/>
        <v>0</v>
      </c>
      <c r="O356" s="52" t="e">
        <f t="shared" si="548"/>
        <v>#DIV/0!</v>
      </c>
      <c r="P356" s="53">
        <f>COUNTIFS('00 Encuesta'!$B$2:$B$511,"*f)*",'00 Encuesta'!$C$2:$C$511,"*b)*",'00 Encuesta'!$E$2:$E$511,"*a)*",'00 Encuesta'!$AS$2:$AS$511,"*d)*")</f>
        <v>0</v>
      </c>
      <c r="Q356" s="52" t="e">
        <f t="shared" si="565"/>
        <v>#DIV/0!</v>
      </c>
      <c r="R356" s="53">
        <f>COUNTIFS('00 Encuesta'!$B$2:$B$511,"*f)*",'00 Encuesta'!$C$2:$C$511,"*b)*",'00 Encuesta'!$E$2:$E$511,"*b)*",'00 Encuesta'!$AS$2:$AS$511,"*d)*")</f>
        <v>0</v>
      </c>
      <c r="S356" s="52" t="e">
        <f t="shared" si="549"/>
        <v>#DIV/0!</v>
      </c>
      <c r="T356" s="3"/>
      <c r="U356" s="51">
        <f t="shared" si="550"/>
        <v>0</v>
      </c>
      <c r="V356" s="52" t="e">
        <f t="shared" si="551"/>
        <v>#DIV/0!</v>
      </c>
      <c r="W356" s="53">
        <f>COUNTIFS('00 Encuesta'!$B$2:$B$511,"*f)*",'00 Encuesta'!$C$2:$C$511,"*c)*",'00 Encuesta'!$E$2:$E$511,"*a)*",'00 Encuesta'!$AS$2:$AS$511,"*d)*")</f>
        <v>0</v>
      </c>
      <c r="X356" s="52" t="e">
        <f t="shared" si="552"/>
        <v>#DIV/0!</v>
      </c>
      <c r="Y356" s="53">
        <f>COUNTIFS('00 Encuesta'!$B$2:$B$511,"*f)*",'00 Encuesta'!$C$2:$C$511,"*c)*",'00 Encuesta'!$E$2:$E$511,"*b)*",'00 Encuesta'!$AS$2:$AS$511,"*d)*")</f>
        <v>0</v>
      </c>
      <c r="Z356" s="52" t="e">
        <f t="shared" si="553"/>
        <v>#DIV/0!</v>
      </c>
      <c r="AA356" s="3"/>
      <c r="AB356" s="62">
        <f t="shared" si="554"/>
        <v>0</v>
      </c>
      <c r="AC356" s="52">
        <f t="shared" si="555"/>
        <v>0</v>
      </c>
      <c r="AD356" s="3"/>
      <c r="AE356" s="3"/>
      <c r="AF356" s="9" t="str">
        <f t="shared" si="556"/>
        <v>d) Mala</v>
      </c>
      <c r="AG356" s="72">
        <f t="shared" si="557"/>
        <v>0</v>
      </c>
      <c r="AH356" s="72">
        <f t="shared" si="558"/>
        <v>0</v>
      </c>
      <c r="AI356" s="73">
        <f t="shared" si="559"/>
        <v>0</v>
      </c>
      <c r="AJ356" s="73"/>
      <c r="AK356" s="76" t="e">
        <f t="shared" si="566"/>
        <v>#DIV/0!</v>
      </c>
      <c r="AL356" s="76" t="e">
        <f t="shared" si="560"/>
        <v>#DIV/0!</v>
      </c>
      <c r="AM356" s="76" t="e">
        <f t="shared" si="561"/>
        <v>#DIV/0!</v>
      </c>
      <c r="AN356" s="76"/>
      <c r="AO356" s="81" t="e">
        <f t="shared" si="562"/>
        <v>#DIV/0!</v>
      </c>
      <c r="AP356" s="81" t="e">
        <f t="shared" si="563"/>
        <v>#DIV/0!</v>
      </c>
      <c r="AQ356" s="81" t="e">
        <f t="shared" si="564"/>
        <v>#DIV/0!</v>
      </c>
      <c r="AR356" s="3"/>
      <c r="AS356" s="76">
        <f t="shared" si="542"/>
        <v>0</v>
      </c>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row>
    <row r="357" spans="1:75" x14ac:dyDescent="0.3">
      <c r="A357" s="8" t="s">
        <v>22</v>
      </c>
      <c r="B357" s="9" t="s">
        <v>232</v>
      </c>
      <c r="C357" s="7"/>
      <c r="D357" s="7"/>
      <c r="E357" s="7"/>
      <c r="F357" s="71">
        <v>0</v>
      </c>
      <c r="G357" s="51">
        <f t="shared" si="543"/>
        <v>0</v>
      </c>
      <c r="H357" s="52">
        <f t="shared" si="544"/>
        <v>0</v>
      </c>
      <c r="I357" s="53">
        <f>COUNTIFS('00 Encuesta'!$B$2:$B$511,"*f)*",'00 Encuesta'!$C$2:$C$511,"*a)*",'00 Encuesta'!$E$2:$E$511,"*a)*",'00 Encuesta'!$AS$2:$AS$511,"*e)*")</f>
        <v>0</v>
      </c>
      <c r="J357" s="52">
        <f t="shared" si="545"/>
        <v>0</v>
      </c>
      <c r="K357" s="53">
        <f>COUNTIFS('00 Encuesta'!$B$2:$B$511,"*f)*",'00 Encuesta'!$C$2:$C$511,"*a)*",'00 Encuesta'!$E$2:$E$511,"*b)*",'00 Encuesta'!$AS$2:$AS$511,"*e)*")</f>
        <v>0</v>
      </c>
      <c r="L357" s="52">
        <f t="shared" si="546"/>
        <v>0</v>
      </c>
      <c r="M357" s="23"/>
      <c r="N357" s="51">
        <f t="shared" si="547"/>
        <v>0</v>
      </c>
      <c r="O357" s="52" t="e">
        <f t="shared" si="548"/>
        <v>#DIV/0!</v>
      </c>
      <c r="P357" s="53">
        <f>COUNTIFS('00 Encuesta'!$B$2:$B$511,"*f)*",'00 Encuesta'!$C$2:$C$511,"*b)*",'00 Encuesta'!$E$2:$E$511,"*a)*",'00 Encuesta'!$AS$2:$AS$511,"*e)*")</f>
        <v>0</v>
      </c>
      <c r="Q357" s="52" t="e">
        <f t="shared" si="565"/>
        <v>#DIV/0!</v>
      </c>
      <c r="R357" s="53">
        <f>COUNTIFS('00 Encuesta'!$B$2:$B$511,"*f)*",'00 Encuesta'!$C$2:$C$511,"*b)*",'00 Encuesta'!$E$2:$E$511,"*b)*",'00 Encuesta'!$AS$2:$AS$511,"*e)*")</f>
        <v>0</v>
      </c>
      <c r="S357" s="52" t="e">
        <f t="shared" si="549"/>
        <v>#DIV/0!</v>
      </c>
      <c r="T357" s="3"/>
      <c r="U357" s="51">
        <f t="shared" si="550"/>
        <v>0</v>
      </c>
      <c r="V357" s="52" t="e">
        <f t="shared" si="551"/>
        <v>#DIV/0!</v>
      </c>
      <c r="W357" s="53">
        <f>COUNTIFS('00 Encuesta'!$B$2:$B$511,"*f)*",'00 Encuesta'!$C$2:$C$511,"*c)*",'00 Encuesta'!$E$2:$E$511,"*a)*",'00 Encuesta'!$AS$2:$AS$511,"*e)*")</f>
        <v>0</v>
      </c>
      <c r="X357" s="52" t="e">
        <f t="shared" si="552"/>
        <v>#DIV/0!</v>
      </c>
      <c r="Y357" s="53">
        <f>COUNTIFS('00 Encuesta'!$B$2:$B$511,"*f)*",'00 Encuesta'!$C$2:$C$511,"*c)*",'00 Encuesta'!$E$2:$E$511,"*b)*",'00 Encuesta'!$AS$2:$AS$511,"*e)*")</f>
        <v>0</v>
      </c>
      <c r="Z357" s="52" t="e">
        <f t="shared" si="553"/>
        <v>#DIV/0!</v>
      </c>
      <c r="AA357" s="3"/>
      <c r="AB357" s="62">
        <f t="shared" si="554"/>
        <v>0</v>
      </c>
      <c r="AC357" s="52">
        <f t="shared" si="555"/>
        <v>0</v>
      </c>
      <c r="AD357" s="3"/>
      <c r="AE357" s="3"/>
      <c r="AF357" s="9" t="str">
        <f t="shared" si="556"/>
        <v>e) Muy mala</v>
      </c>
      <c r="AG357" s="72">
        <f t="shared" si="557"/>
        <v>0</v>
      </c>
      <c r="AH357" s="72">
        <f t="shared" si="558"/>
        <v>0</v>
      </c>
      <c r="AI357" s="73">
        <f t="shared" si="559"/>
        <v>0</v>
      </c>
      <c r="AJ357" s="73"/>
      <c r="AK357" s="76" t="e">
        <f t="shared" si="566"/>
        <v>#DIV/0!</v>
      </c>
      <c r="AL357" s="76" t="e">
        <f t="shared" si="560"/>
        <v>#DIV/0!</v>
      </c>
      <c r="AM357" s="76" t="e">
        <f t="shared" si="561"/>
        <v>#DIV/0!</v>
      </c>
      <c r="AN357" s="76"/>
      <c r="AO357" s="81" t="e">
        <f t="shared" si="562"/>
        <v>#DIV/0!</v>
      </c>
      <c r="AP357" s="81" t="e">
        <f t="shared" si="563"/>
        <v>#DIV/0!</v>
      </c>
      <c r="AQ357" s="81" t="e">
        <f t="shared" si="564"/>
        <v>#DIV/0!</v>
      </c>
      <c r="AR357" s="3"/>
      <c r="AS357" s="76">
        <f t="shared" si="542"/>
        <v>0</v>
      </c>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row>
    <row r="358" spans="1:75" x14ac:dyDescent="0.3">
      <c r="A358" s="8" t="s">
        <v>45</v>
      </c>
      <c r="B358" s="9" t="s">
        <v>233</v>
      </c>
      <c r="C358" s="7"/>
      <c r="D358" s="7"/>
      <c r="E358" s="7"/>
      <c r="F358" s="71"/>
      <c r="G358" s="51">
        <f t="shared" si="543"/>
        <v>1</v>
      </c>
      <c r="H358" s="52">
        <f t="shared" si="544"/>
        <v>2.3809523809523809</v>
      </c>
      <c r="I358" s="53">
        <f>COUNTIFS('00 Encuesta'!$B$2:$B$511,"*f)*",'00 Encuesta'!$C$2:$C$511,"*a)*",'00 Encuesta'!$E$2:$E$511,"*a)*",'00 Encuesta'!$AS$2:$AS$511,"*f)*")</f>
        <v>0</v>
      </c>
      <c r="J358" s="52">
        <f t="shared" si="545"/>
        <v>0</v>
      </c>
      <c r="K358" s="53">
        <f>COUNTIFS('00 Encuesta'!$B$2:$B$511,"*f)*",'00 Encuesta'!$C$2:$C$511,"*a)*",'00 Encuesta'!$E$2:$E$511,"*b)*",'00 Encuesta'!$AS$2:$AS$511,"*f)*")</f>
        <v>1</v>
      </c>
      <c r="L358" s="52">
        <f t="shared" si="546"/>
        <v>5</v>
      </c>
      <c r="M358" s="23"/>
      <c r="N358" s="51">
        <f t="shared" si="547"/>
        <v>0</v>
      </c>
      <c r="O358" s="52" t="e">
        <f t="shared" si="548"/>
        <v>#DIV/0!</v>
      </c>
      <c r="P358" s="53">
        <f>COUNTIFS('00 Encuesta'!$B$2:$B$511,"*f)*",'00 Encuesta'!$C$2:$C$511,"*b)*",'00 Encuesta'!$E$2:$E$511,"*a)*",'00 Encuesta'!$AS$2:$AS$511,"*f)*")</f>
        <v>0</v>
      </c>
      <c r="Q358" s="52" t="e">
        <f t="shared" si="565"/>
        <v>#DIV/0!</v>
      </c>
      <c r="R358" s="53">
        <f>COUNTIFS('00 Encuesta'!$B$2:$B$511,"*f)*",'00 Encuesta'!$C$2:$C$511,"*b)*",'00 Encuesta'!$E$2:$E$511,"*b)*",'00 Encuesta'!$AS$2:$AS$511,"*f)*")</f>
        <v>0</v>
      </c>
      <c r="S358" s="52" t="e">
        <f t="shared" si="549"/>
        <v>#DIV/0!</v>
      </c>
      <c r="T358" s="3"/>
      <c r="U358" s="51">
        <f t="shared" si="550"/>
        <v>0</v>
      </c>
      <c r="V358" s="52" t="e">
        <f t="shared" si="551"/>
        <v>#DIV/0!</v>
      </c>
      <c r="W358" s="53">
        <f>COUNTIFS('00 Encuesta'!$B$2:$B$511,"*f)*",'00 Encuesta'!$C$2:$C$511,"*c)*",'00 Encuesta'!$E$2:$E$511,"*a)*",'00 Encuesta'!$AS$2:$AS$511,"*f)*")</f>
        <v>0</v>
      </c>
      <c r="X358" s="52" t="e">
        <f t="shared" si="552"/>
        <v>#DIV/0!</v>
      </c>
      <c r="Y358" s="53">
        <f>COUNTIFS('00 Encuesta'!$B$2:$B$511,"*f)*",'00 Encuesta'!$C$2:$C$511,"*c)*",'00 Encuesta'!$E$2:$E$511,"*b)*",'00 Encuesta'!$AS$2:$AS$511,"*f)*")</f>
        <v>0</v>
      </c>
      <c r="Z358" s="52" t="e">
        <f t="shared" si="553"/>
        <v>#DIV/0!</v>
      </c>
      <c r="AA358" s="3"/>
      <c r="AB358" s="62">
        <f t="shared" si="554"/>
        <v>1</v>
      </c>
      <c r="AC358" s="52">
        <f t="shared" si="555"/>
        <v>2.3809523809523809</v>
      </c>
      <c r="AD358" s="3"/>
      <c r="AE358" s="3"/>
      <c r="AF358" s="9" t="str">
        <f t="shared" si="556"/>
        <v>f) No aplica</v>
      </c>
      <c r="AG358" s="72">
        <f t="shared" si="557"/>
        <v>0</v>
      </c>
      <c r="AH358" s="72">
        <f t="shared" si="558"/>
        <v>5</v>
      </c>
      <c r="AI358" s="73">
        <f t="shared" si="559"/>
        <v>2.3809523809523809</v>
      </c>
      <c r="AJ358" s="73"/>
      <c r="AK358" s="76" t="e">
        <f t="shared" si="566"/>
        <v>#DIV/0!</v>
      </c>
      <c r="AL358" s="76" t="e">
        <f t="shared" si="560"/>
        <v>#DIV/0!</v>
      </c>
      <c r="AM358" s="76" t="e">
        <f t="shared" si="561"/>
        <v>#DIV/0!</v>
      </c>
      <c r="AN358" s="76"/>
      <c r="AO358" s="81" t="e">
        <f t="shared" si="562"/>
        <v>#DIV/0!</v>
      </c>
      <c r="AP358" s="81" t="e">
        <f t="shared" si="563"/>
        <v>#DIV/0!</v>
      </c>
      <c r="AQ358" s="81" t="e">
        <f t="shared" si="564"/>
        <v>#DIV/0!</v>
      </c>
      <c r="AR358" s="3"/>
      <c r="AS358" s="76">
        <f t="shared" si="542"/>
        <v>2.3809523809523809</v>
      </c>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row>
    <row r="359" spans="1:75" x14ac:dyDescent="0.3">
      <c r="A359" s="8"/>
      <c r="B359" s="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6"/>
      <c r="AC359" s="41"/>
      <c r="AD359" s="3"/>
      <c r="AE359" s="3"/>
      <c r="AF359" s="3"/>
      <c r="AG359" s="82">
        <f>($F353*I353+$F354*I354+$F355*I355+$F356*I356+$F357*I357)/(I353+I354+I355+I356+I357)</f>
        <v>80.952380952380949</v>
      </c>
      <c r="AH359" s="82">
        <f>($F353*K353+$F354*K354+$F355*K355+$F356*K356+$F357*K357)/(K353+K354+K355+K356+K357)</f>
        <v>90.78947368421052</v>
      </c>
      <c r="AI359" s="82">
        <f>($F353*G353+$F354*G354+$F355*G355+$F356*G356+$F357*G357)/(G353+G354+G355+G356+G357)</f>
        <v>85.625</v>
      </c>
      <c r="AJ359" s="82"/>
      <c r="AK359" s="82" t="e">
        <f>($F353*Q353+$F354*Q354+$F355*Q355+$F356*Q356+$F357*Q357)/(Q353+Q354+Q355+Q356+Q357)</f>
        <v>#DIV/0!</v>
      </c>
      <c r="AL359" s="82" t="e">
        <f>($F353*S353+$F354*S354+$F355*S355+$F356*S356+$F357*S357)/(S353+S354+S355+S356+S357)</f>
        <v>#DIV/0!</v>
      </c>
      <c r="AM359" s="82" t="e">
        <f>($F353*O353+$F354*O354+$F355*O355+$F356*O356+$F357*O357)/(O353+O354+O355+O356+O357)</f>
        <v>#DIV/0!</v>
      </c>
      <c r="AN359" s="82"/>
      <c r="AO359" s="82" t="e">
        <f>($F353*W353+$F354*W354+$F355*W355+$F356*W356+$F357*W357)/(W353+W354+W355+W356+W357)</f>
        <v>#DIV/0!</v>
      </c>
      <c r="AP359" s="82" t="e">
        <f>($F353*Y353+$F354*Y354+$F355*Y355+$F356*Y356+$F357*Y357)/(Y353+Y354+Y355+Y356+Y357)</f>
        <v>#DIV/0!</v>
      </c>
      <c r="AQ359" s="82" t="e">
        <f>($F353*U353+$F354*U354+$F355*U355+$F356*U356+$F357*U357)/(U353+U354+U355+U356+U357)</f>
        <v>#DIV/0!</v>
      </c>
      <c r="AR359" s="3"/>
      <c r="AS359" s="76"/>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row>
    <row r="360" spans="1:75" ht="15" x14ac:dyDescent="0.35">
      <c r="A360" s="87">
        <v>40</v>
      </c>
      <c r="B360" s="2" t="s">
        <v>117</v>
      </c>
      <c r="C360" s="3"/>
      <c r="D360" s="3"/>
      <c r="E360" s="3"/>
      <c r="F360" s="71"/>
      <c r="G360" s="51"/>
      <c r="H360" s="52"/>
      <c r="I360" s="53"/>
      <c r="J360" s="52"/>
      <c r="K360" s="53"/>
      <c r="L360" s="66"/>
      <c r="M360" s="23"/>
      <c r="N360" s="51"/>
      <c r="O360" s="52"/>
      <c r="P360" s="53"/>
      <c r="Q360" s="52"/>
      <c r="R360" s="53"/>
      <c r="S360" s="66"/>
      <c r="T360" s="3"/>
      <c r="U360" s="51"/>
      <c r="V360" s="52"/>
      <c r="W360" s="53"/>
      <c r="X360" s="52"/>
      <c r="Y360" s="53"/>
      <c r="Z360" s="66"/>
      <c r="AA360" s="3"/>
      <c r="AB360" s="62"/>
      <c r="AC360" s="52"/>
      <c r="AD360" s="3"/>
      <c r="AE360" s="3"/>
      <c r="AF360" s="88" t="str">
        <f>A360&amp;" "&amp;B360</f>
        <v>40 Las convivencias</v>
      </c>
      <c r="AG360" s="3"/>
      <c r="AH360" s="3"/>
      <c r="AI360" s="3"/>
      <c r="AJ360" s="3"/>
      <c r="AK360" s="3"/>
      <c r="AL360" s="3"/>
      <c r="AM360" s="3"/>
      <c r="AN360" s="3"/>
      <c r="AO360" s="3"/>
      <c r="AP360" s="3"/>
      <c r="AQ360" s="3"/>
      <c r="AR360" s="3"/>
      <c r="AS360" s="76"/>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row>
    <row r="361" spans="1:75" x14ac:dyDescent="0.3">
      <c r="A361" s="8" t="s">
        <v>17</v>
      </c>
      <c r="B361" s="9" t="s">
        <v>229</v>
      </c>
      <c r="C361" s="3"/>
      <c r="D361" s="3"/>
      <c r="E361" s="3"/>
      <c r="F361" s="71">
        <v>100</v>
      </c>
      <c r="G361" s="51">
        <f t="shared" ref="G361:G366" si="567">I361+K361</f>
        <v>27</v>
      </c>
      <c r="H361" s="52">
        <f t="shared" ref="H361:H366" si="568">G361/$J$5*100</f>
        <v>64.285714285714292</v>
      </c>
      <c r="I361" s="53">
        <f>COUNTIFS('00 Encuesta'!$B$2:$B$511,"*f)*",'00 Encuesta'!$C$2:$C$511,"*a)*",'00 Encuesta'!$E$2:$E$511,"*a)*",'00 Encuesta'!$AT$2:$AT$511,"*a)*")</f>
        <v>12</v>
      </c>
      <c r="J361" s="52">
        <f t="shared" ref="J361:J366" si="569">I361/$J$6*100</f>
        <v>54.54545454545454</v>
      </c>
      <c r="K361" s="53">
        <f>COUNTIFS('00 Encuesta'!$B$2:$B$511,"*f)*",'00 Encuesta'!$C$2:$C$511,"*a)*",'00 Encuesta'!$E$2:$E$511,"*b)*",'00 Encuesta'!$AT$2:$AT$511,"*a)*")</f>
        <v>15</v>
      </c>
      <c r="L361" s="52">
        <f t="shared" ref="L361:L366" si="570">K361/$J$7*100</f>
        <v>75</v>
      </c>
      <c r="M361" s="23"/>
      <c r="N361" s="51">
        <f t="shared" ref="N361:N366" si="571">P361+R361</f>
        <v>0</v>
      </c>
      <c r="O361" s="52" t="e">
        <f t="shared" ref="O361:O366" si="572">N361/$Q$5*100</f>
        <v>#DIV/0!</v>
      </c>
      <c r="P361" s="53">
        <f>COUNTIFS('00 Encuesta'!$B$2:$B$511,"*f)*",'00 Encuesta'!$C$2:$C$511,"*b)*",'00 Encuesta'!$E$2:$E$511,"*a)*",'00 Encuesta'!$AT$2:$AT$511,"*a)*")</f>
        <v>0</v>
      </c>
      <c r="Q361" s="52" t="e">
        <f t="shared" ref="Q361:Q366" si="573">P361/$Q$6*100</f>
        <v>#DIV/0!</v>
      </c>
      <c r="R361" s="53">
        <f>COUNTIFS('00 Encuesta'!$B$2:$B$511,"*f)*",'00 Encuesta'!$C$2:$C$511,"*b)*",'00 Encuesta'!$E$2:$E$511,"*b)*",'00 Encuesta'!$AT$2:$AT$511,"*a)*")</f>
        <v>0</v>
      </c>
      <c r="S361" s="52" t="e">
        <f t="shared" ref="S361:S366" si="574">R361/$Q$7*100</f>
        <v>#DIV/0!</v>
      </c>
      <c r="T361" s="3"/>
      <c r="U361" s="51">
        <f t="shared" ref="U361:U366" si="575">W361+Y361</f>
        <v>0</v>
      </c>
      <c r="V361" s="52" t="e">
        <f t="shared" ref="V361:V366" si="576">U361/$X$5*100</f>
        <v>#DIV/0!</v>
      </c>
      <c r="W361" s="53">
        <f>COUNTIFS('00 Encuesta'!$B$2:$B$511,"*f)*",'00 Encuesta'!$C$2:$C$511,"*c)*",'00 Encuesta'!$E$2:$E$511,"*a)*",'00 Encuesta'!$AT$2:$AT$511,"*a)*")</f>
        <v>0</v>
      </c>
      <c r="X361" s="52" t="e">
        <f t="shared" ref="X361:X366" si="577">W361/$X$6*100</f>
        <v>#DIV/0!</v>
      </c>
      <c r="Y361" s="53">
        <f>COUNTIFS('00 Encuesta'!$B$2:$B$511,"*f)*",'00 Encuesta'!$C$2:$C$511,"*c)*",'00 Encuesta'!$E$2:$E$511,"*b)*",'00 Encuesta'!$AT$2:$AT$511,"*a)*")</f>
        <v>0</v>
      </c>
      <c r="Z361" s="52" t="e">
        <f t="shared" ref="Z361:Z366" si="578">Y361/$X$7*100</f>
        <v>#DIV/0!</v>
      </c>
      <c r="AA361" s="3"/>
      <c r="AB361" s="62">
        <f t="shared" ref="AB361:AB366" si="579">G361+N361+U361</f>
        <v>27</v>
      </c>
      <c r="AC361" s="52">
        <f t="shared" ref="AC361:AC366" si="580">AB361*100/$AC$5</f>
        <v>64.285714285714292</v>
      </c>
      <c r="AD361" s="3"/>
      <c r="AE361" s="3"/>
      <c r="AF361" s="9" t="str">
        <f t="shared" ref="AF361:AF366" si="581">A361&amp;" "&amp;B361</f>
        <v>a) Muy buena</v>
      </c>
      <c r="AG361" s="72">
        <f t="shared" ref="AG361:AG366" si="582">J361</f>
        <v>54.54545454545454</v>
      </c>
      <c r="AH361" s="72">
        <f t="shared" ref="AH361:AH366" si="583">L361</f>
        <v>75</v>
      </c>
      <c r="AI361" s="73">
        <f t="shared" ref="AI361:AI366" si="584">H361</f>
        <v>64.285714285714292</v>
      </c>
      <c r="AJ361" s="73"/>
      <c r="AK361" s="76" t="e">
        <f t="shared" ref="AK361:AK366" si="585">Q361</f>
        <v>#DIV/0!</v>
      </c>
      <c r="AL361" s="76" t="e">
        <f t="shared" ref="AL361:AL366" si="586">S361</f>
        <v>#DIV/0!</v>
      </c>
      <c r="AM361" s="76" t="e">
        <f t="shared" ref="AM361:AM366" si="587">O361</f>
        <v>#DIV/0!</v>
      </c>
      <c r="AN361" s="76"/>
      <c r="AO361" s="81" t="e">
        <f t="shared" ref="AO361:AO366" si="588">X361</f>
        <v>#DIV/0!</v>
      </c>
      <c r="AP361" s="81" t="e">
        <f t="shared" ref="AP361:AP366" si="589">Z361</f>
        <v>#DIV/0!</v>
      </c>
      <c r="AQ361" s="81" t="e">
        <f t="shared" ref="AQ361:AQ366" si="590">V361</f>
        <v>#DIV/0!</v>
      </c>
      <c r="AR361" s="3"/>
      <c r="AS361" s="76">
        <f t="shared" si="542"/>
        <v>64.285714285714292</v>
      </c>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row>
    <row r="362" spans="1:75" x14ac:dyDescent="0.3">
      <c r="A362" s="8" t="s">
        <v>18</v>
      </c>
      <c r="B362" s="9" t="s">
        <v>230</v>
      </c>
      <c r="C362" s="3"/>
      <c r="D362" s="3"/>
      <c r="E362" s="3"/>
      <c r="F362" s="71">
        <v>75</v>
      </c>
      <c r="G362" s="51">
        <f t="shared" si="567"/>
        <v>12</v>
      </c>
      <c r="H362" s="52">
        <f t="shared" si="568"/>
        <v>28.571428571428569</v>
      </c>
      <c r="I362" s="53">
        <f>COUNTIFS('00 Encuesta'!$B$2:$B$511,"*f)*",'00 Encuesta'!$C$2:$C$511,"*a)*",'00 Encuesta'!$E$2:$E$511,"*a)*",'00 Encuesta'!$AT$2:$AT$511,"*b)*")</f>
        <v>9</v>
      </c>
      <c r="J362" s="52">
        <f t="shared" si="569"/>
        <v>40.909090909090914</v>
      </c>
      <c r="K362" s="53">
        <f>COUNTIFS('00 Encuesta'!$B$2:$B$511,"*f)*",'00 Encuesta'!$C$2:$C$511,"*a)*",'00 Encuesta'!$E$2:$E$511,"*b)*",'00 Encuesta'!$AT$2:$AT$511,"*b)*")</f>
        <v>3</v>
      </c>
      <c r="L362" s="52">
        <f t="shared" si="570"/>
        <v>15</v>
      </c>
      <c r="M362" s="23"/>
      <c r="N362" s="51">
        <f t="shared" si="571"/>
        <v>0</v>
      </c>
      <c r="O362" s="52" t="e">
        <f t="shared" si="572"/>
        <v>#DIV/0!</v>
      </c>
      <c r="P362" s="53">
        <f>COUNTIFS('00 Encuesta'!$B$2:$B$511,"*f)*",'00 Encuesta'!$C$2:$C$511,"*b)*",'00 Encuesta'!$E$2:$E$511,"*a)*",'00 Encuesta'!$AT$2:$AT$511,"*b)*")</f>
        <v>0</v>
      </c>
      <c r="Q362" s="52" t="e">
        <f t="shared" si="573"/>
        <v>#DIV/0!</v>
      </c>
      <c r="R362" s="53">
        <f>COUNTIFS('00 Encuesta'!$B$2:$B$511,"*f)*",'00 Encuesta'!$C$2:$C$511,"*b)*",'00 Encuesta'!$E$2:$E$511,"*b)*",'00 Encuesta'!$AT$2:$AT$511,"*b)*")</f>
        <v>0</v>
      </c>
      <c r="S362" s="52" t="e">
        <f t="shared" si="574"/>
        <v>#DIV/0!</v>
      </c>
      <c r="T362" s="3"/>
      <c r="U362" s="51">
        <f t="shared" si="575"/>
        <v>0</v>
      </c>
      <c r="V362" s="52" t="e">
        <f t="shared" si="576"/>
        <v>#DIV/0!</v>
      </c>
      <c r="W362" s="53">
        <f>COUNTIFS('00 Encuesta'!$B$2:$B$511,"*f)*",'00 Encuesta'!$C$2:$C$511,"*c)*",'00 Encuesta'!$E$2:$E$511,"*a)*",'00 Encuesta'!$AT$2:$AT$511,"*b)*")</f>
        <v>0</v>
      </c>
      <c r="X362" s="52" t="e">
        <f t="shared" si="577"/>
        <v>#DIV/0!</v>
      </c>
      <c r="Y362" s="53">
        <f>COUNTIFS('00 Encuesta'!$B$2:$B$511,"*f)*",'00 Encuesta'!$C$2:$C$511,"*c)*",'00 Encuesta'!$E$2:$E$511,"*b)*",'00 Encuesta'!$AT$2:$AT$511,"*b)*")</f>
        <v>0</v>
      </c>
      <c r="Z362" s="52" t="e">
        <f t="shared" si="578"/>
        <v>#DIV/0!</v>
      </c>
      <c r="AA362" s="3"/>
      <c r="AB362" s="62">
        <f t="shared" si="579"/>
        <v>12</v>
      </c>
      <c r="AC362" s="52">
        <f t="shared" si="580"/>
        <v>28.571428571428573</v>
      </c>
      <c r="AD362" s="3"/>
      <c r="AE362" s="3"/>
      <c r="AF362" s="9" t="str">
        <f t="shared" si="581"/>
        <v>b) Buena</v>
      </c>
      <c r="AG362" s="72">
        <f t="shared" si="582"/>
        <v>40.909090909090914</v>
      </c>
      <c r="AH362" s="72">
        <f t="shared" si="583"/>
        <v>15</v>
      </c>
      <c r="AI362" s="73">
        <f t="shared" si="584"/>
        <v>28.571428571428569</v>
      </c>
      <c r="AJ362" s="73"/>
      <c r="AK362" s="76" t="e">
        <f t="shared" si="585"/>
        <v>#DIV/0!</v>
      </c>
      <c r="AL362" s="76" t="e">
        <f t="shared" si="586"/>
        <v>#DIV/0!</v>
      </c>
      <c r="AM362" s="76" t="e">
        <f t="shared" si="587"/>
        <v>#DIV/0!</v>
      </c>
      <c r="AN362" s="76"/>
      <c r="AO362" s="81" t="e">
        <f t="shared" si="588"/>
        <v>#DIV/0!</v>
      </c>
      <c r="AP362" s="81" t="e">
        <f t="shared" si="589"/>
        <v>#DIV/0!</v>
      </c>
      <c r="AQ362" s="81" t="e">
        <f t="shared" si="590"/>
        <v>#DIV/0!</v>
      </c>
      <c r="AR362" s="3"/>
      <c r="AS362" s="76">
        <f t="shared" si="542"/>
        <v>28.571428571428573</v>
      </c>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row>
    <row r="363" spans="1:75" x14ac:dyDescent="0.3">
      <c r="A363" s="8" t="s">
        <v>20</v>
      </c>
      <c r="B363" s="9" t="s">
        <v>218</v>
      </c>
      <c r="C363" s="3"/>
      <c r="D363" s="3"/>
      <c r="E363" s="3"/>
      <c r="F363" s="71">
        <v>50</v>
      </c>
      <c r="G363" s="51">
        <f t="shared" si="567"/>
        <v>1</v>
      </c>
      <c r="H363" s="52">
        <f t="shared" si="568"/>
        <v>2.3809523809523809</v>
      </c>
      <c r="I363" s="53">
        <f>COUNTIFS('00 Encuesta'!$B$2:$B$511,"*f)*",'00 Encuesta'!$C$2:$C$511,"*a)*",'00 Encuesta'!$E$2:$E$511,"*a)*",'00 Encuesta'!$AT$2:$AT$511,"*c)*")</f>
        <v>0</v>
      </c>
      <c r="J363" s="52">
        <f t="shared" si="569"/>
        <v>0</v>
      </c>
      <c r="K363" s="53">
        <f>COUNTIFS('00 Encuesta'!$B$2:$B$511,"*f)*",'00 Encuesta'!$C$2:$C$511,"*a)*",'00 Encuesta'!$E$2:$E$511,"*b)*",'00 Encuesta'!$AT$2:$AT$511,"*c)*")</f>
        <v>1</v>
      </c>
      <c r="L363" s="52">
        <f t="shared" si="570"/>
        <v>5</v>
      </c>
      <c r="M363" s="23"/>
      <c r="N363" s="51">
        <f t="shared" si="571"/>
        <v>0</v>
      </c>
      <c r="O363" s="52" t="e">
        <f t="shared" si="572"/>
        <v>#DIV/0!</v>
      </c>
      <c r="P363" s="53">
        <f>COUNTIFS('00 Encuesta'!$B$2:$B$511,"*f)*",'00 Encuesta'!$C$2:$C$511,"*b)*",'00 Encuesta'!$E$2:$E$511,"*a)*",'00 Encuesta'!$AT$2:$AT$511,"*c)*")</f>
        <v>0</v>
      </c>
      <c r="Q363" s="52" t="e">
        <f t="shared" si="573"/>
        <v>#DIV/0!</v>
      </c>
      <c r="R363" s="53">
        <f>COUNTIFS('00 Encuesta'!$B$2:$B$511,"*f)*",'00 Encuesta'!$C$2:$C$511,"*b)*",'00 Encuesta'!$E$2:$E$511,"*b)*",'00 Encuesta'!$AT$2:$AT$511,"*c)*")</f>
        <v>0</v>
      </c>
      <c r="S363" s="52" t="e">
        <f t="shared" si="574"/>
        <v>#DIV/0!</v>
      </c>
      <c r="T363" s="3"/>
      <c r="U363" s="51">
        <f t="shared" si="575"/>
        <v>0</v>
      </c>
      <c r="V363" s="52" t="e">
        <f t="shared" si="576"/>
        <v>#DIV/0!</v>
      </c>
      <c r="W363" s="53">
        <f>COUNTIFS('00 Encuesta'!$B$2:$B$511,"*f)*",'00 Encuesta'!$C$2:$C$511,"*c)*",'00 Encuesta'!$E$2:$E$511,"*a)*",'00 Encuesta'!$AT$2:$AT$511,"*c)*")</f>
        <v>0</v>
      </c>
      <c r="X363" s="52" t="e">
        <f t="shared" si="577"/>
        <v>#DIV/0!</v>
      </c>
      <c r="Y363" s="53">
        <f>COUNTIFS('00 Encuesta'!$B$2:$B$511,"*f)*",'00 Encuesta'!$C$2:$C$511,"*c)*",'00 Encuesta'!$E$2:$E$511,"*b)*",'00 Encuesta'!$AT$2:$AT$511,"*c)*")</f>
        <v>0</v>
      </c>
      <c r="Z363" s="52" t="e">
        <f t="shared" si="578"/>
        <v>#DIV/0!</v>
      </c>
      <c r="AA363" s="3"/>
      <c r="AB363" s="62">
        <f t="shared" si="579"/>
        <v>1</v>
      </c>
      <c r="AC363" s="52">
        <f t="shared" si="580"/>
        <v>2.3809523809523809</v>
      </c>
      <c r="AD363" s="3"/>
      <c r="AE363" s="3"/>
      <c r="AF363" s="9" t="str">
        <f t="shared" si="581"/>
        <v>c) Regular</v>
      </c>
      <c r="AG363" s="72">
        <f t="shared" si="582"/>
        <v>0</v>
      </c>
      <c r="AH363" s="72">
        <f t="shared" si="583"/>
        <v>5</v>
      </c>
      <c r="AI363" s="73">
        <f t="shared" si="584"/>
        <v>2.3809523809523809</v>
      </c>
      <c r="AJ363" s="73"/>
      <c r="AK363" s="76" t="e">
        <f t="shared" si="585"/>
        <v>#DIV/0!</v>
      </c>
      <c r="AL363" s="76" t="e">
        <f t="shared" si="586"/>
        <v>#DIV/0!</v>
      </c>
      <c r="AM363" s="76" t="e">
        <f t="shared" si="587"/>
        <v>#DIV/0!</v>
      </c>
      <c r="AN363" s="76"/>
      <c r="AO363" s="81" t="e">
        <f t="shared" si="588"/>
        <v>#DIV/0!</v>
      </c>
      <c r="AP363" s="81" t="e">
        <f t="shared" si="589"/>
        <v>#DIV/0!</v>
      </c>
      <c r="AQ363" s="81" t="e">
        <f t="shared" si="590"/>
        <v>#DIV/0!</v>
      </c>
      <c r="AR363" s="3"/>
      <c r="AS363" s="76">
        <f t="shared" si="542"/>
        <v>2.3809523809523809</v>
      </c>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row>
    <row r="364" spans="1:75" x14ac:dyDescent="0.3">
      <c r="A364" s="8" t="s">
        <v>21</v>
      </c>
      <c r="B364" s="9" t="s">
        <v>231</v>
      </c>
      <c r="C364" s="3"/>
      <c r="D364" s="3"/>
      <c r="E364" s="3"/>
      <c r="F364" s="71">
        <v>25</v>
      </c>
      <c r="G364" s="51">
        <f t="shared" si="567"/>
        <v>0</v>
      </c>
      <c r="H364" s="52">
        <f t="shared" si="568"/>
        <v>0</v>
      </c>
      <c r="I364" s="53">
        <f>COUNTIFS('00 Encuesta'!$B$2:$B$511,"*f)*",'00 Encuesta'!$C$2:$C$511,"*a)*",'00 Encuesta'!$E$2:$E$511,"*a)*",'00 Encuesta'!$AT$2:$AT$511,"*d)*")</f>
        <v>0</v>
      </c>
      <c r="J364" s="52">
        <f t="shared" si="569"/>
        <v>0</v>
      </c>
      <c r="K364" s="53">
        <f>COUNTIFS('00 Encuesta'!$B$2:$B$511,"*f)*",'00 Encuesta'!$C$2:$C$511,"*a)*",'00 Encuesta'!$E$2:$E$511,"*b)*",'00 Encuesta'!$AT$2:$AT$511,"*d)*")</f>
        <v>0</v>
      </c>
      <c r="L364" s="52">
        <f t="shared" si="570"/>
        <v>0</v>
      </c>
      <c r="M364" s="23"/>
      <c r="N364" s="51">
        <f t="shared" si="571"/>
        <v>0</v>
      </c>
      <c r="O364" s="52" t="e">
        <f t="shared" si="572"/>
        <v>#DIV/0!</v>
      </c>
      <c r="P364" s="53">
        <f>COUNTIFS('00 Encuesta'!$B$2:$B$511,"*f)*",'00 Encuesta'!$C$2:$C$511,"*b)*",'00 Encuesta'!$E$2:$E$511,"*a)*",'00 Encuesta'!$AT$2:$AT$511,"*d)*")</f>
        <v>0</v>
      </c>
      <c r="Q364" s="52" t="e">
        <f t="shared" si="573"/>
        <v>#DIV/0!</v>
      </c>
      <c r="R364" s="53">
        <f>COUNTIFS('00 Encuesta'!$B$2:$B$511,"*f)*",'00 Encuesta'!$C$2:$C$511,"*b)*",'00 Encuesta'!$E$2:$E$511,"*b)*",'00 Encuesta'!$AT$2:$AT$511,"*d)*")</f>
        <v>0</v>
      </c>
      <c r="S364" s="52" t="e">
        <f t="shared" si="574"/>
        <v>#DIV/0!</v>
      </c>
      <c r="T364" s="3"/>
      <c r="U364" s="51">
        <f t="shared" si="575"/>
        <v>0</v>
      </c>
      <c r="V364" s="52" t="e">
        <f t="shared" si="576"/>
        <v>#DIV/0!</v>
      </c>
      <c r="W364" s="53">
        <f>COUNTIFS('00 Encuesta'!$B$2:$B$511,"*f)*",'00 Encuesta'!$C$2:$C$511,"*c)*",'00 Encuesta'!$E$2:$E$511,"*a)*",'00 Encuesta'!$AT$2:$AT$511,"*d)*")</f>
        <v>0</v>
      </c>
      <c r="X364" s="52" t="e">
        <f t="shared" si="577"/>
        <v>#DIV/0!</v>
      </c>
      <c r="Y364" s="53">
        <f>COUNTIFS('00 Encuesta'!$B$2:$B$511,"*f)*",'00 Encuesta'!$C$2:$C$511,"*c)*",'00 Encuesta'!$E$2:$E$511,"*b)*",'00 Encuesta'!$AT$2:$AT$511,"*d)*")</f>
        <v>0</v>
      </c>
      <c r="Z364" s="52" t="e">
        <f t="shared" si="578"/>
        <v>#DIV/0!</v>
      </c>
      <c r="AA364" s="3"/>
      <c r="AB364" s="62">
        <f t="shared" si="579"/>
        <v>0</v>
      </c>
      <c r="AC364" s="52">
        <f t="shared" si="580"/>
        <v>0</v>
      </c>
      <c r="AD364" s="3"/>
      <c r="AE364" s="3"/>
      <c r="AF364" s="9" t="str">
        <f t="shared" si="581"/>
        <v>d) Mala</v>
      </c>
      <c r="AG364" s="72">
        <f t="shared" si="582"/>
        <v>0</v>
      </c>
      <c r="AH364" s="72">
        <f t="shared" si="583"/>
        <v>0</v>
      </c>
      <c r="AI364" s="73">
        <f t="shared" si="584"/>
        <v>0</v>
      </c>
      <c r="AJ364" s="73"/>
      <c r="AK364" s="76" t="e">
        <f t="shared" si="585"/>
        <v>#DIV/0!</v>
      </c>
      <c r="AL364" s="76" t="e">
        <f t="shared" si="586"/>
        <v>#DIV/0!</v>
      </c>
      <c r="AM364" s="76" t="e">
        <f t="shared" si="587"/>
        <v>#DIV/0!</v>
      </c>
      <c r="AN364" s="76"/>
      <c r="AO364" s="81" t="e">
        <f t="shared" si="588"/>
        <v>#DIV/0!</v>
      </c>
      <c r="AP364" s="81" t="e">
        <f t="shared" si="589"/>
        <v>#DIV/0!</v>
      </c>
      <c r="AQ364" s="81" t="e">
        <f t="shared" si="590"/>
        <v>#DIV/0!</v>
      </c>
      <c r="AR364" s="3"/>
      <c r="AS364" s="76">
        <f t="shared" si="542"/>
        <v>0</v>
      </c>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row>
    <row r="365" spans="1:75" x14ac:dyDescent="0.3">
      <c r="A365" s="8" t="s">
        <v>22</v>
      </c>
      <c r="B365" s="9" t="s">
        <v>232</v>
      </c>
      <c r="C365" s="3"/>
      <c r="D365" s="3"/>
      <c r="E365" s="3"/>
      <c r="F365" s="71">
        <v>0</v>
      </c>
      <c r="G365" s="51">
        <f t="shared" si="567"/>
        <v>0</v>
      </c>
      <c r="H365" s="52">
        <f t="shared" si="568"/>
        <v>0</v>
      </c>
      <c r="I365" s="53">
        <f>COUNTIFS('00 Encuesta'!$B$2:$B$511,"*f)*",'00 Encuesta'!$C$2:$C$511,"*a)*",'00 Encuesta'!$E$2:$E$511,"*a)*",'00 Encuesta'!$AT$2:$AT$511,"*e)*")</f>
        <v>0</v>
      </c>
      <c r="J365" s="52">
        <f t="shared" si="569"/>
        <v>0</v>
      </c>
      <c r="K365" s="53">
        <f>COUNTIFS('00 Encuesta'!$B$2:$B$511,"*f)*",'00 Encuesta'!$C$2:$C$511,"*a)*",'00 Encuesta'!$E$2:$E$511,"*b)*",'00 Encuesta'!$AT$2:$AT$511,"*e)*")</f>
        <v>0</v>
      </c>
      <c r="L365" s="52">
        <f t="shared" si="570"/>
        <v>0</v>
      </c>
      <c r="M365" s="23"/>
      <c r="N365" s="51">
        <f t="shared" si="571"/>
        <v>0</v>
      </c>
      <c r="O365" s="52" t="e">
        <f t="shared" si="572"/>
        <v>#DIV/0!</v>
      </c>
      <c r="P365" s="53">
        <f>COUNTIFS('00 Encuesta'!$B$2:$B$511,"*f)*",'00 Encuesta'!$C$2:$C$511,"*b)*",'00 Encuesta'!$E$2:$E$511,"*a)*",'00 Encuesta'!$AT$2:$AT$511,"*e)*")</f>
        <v>0</v>
      </c>
      <c r="Q365" s="52" t="e">
        <f t="shared" si="573"/>
        <v>#DIV/0!</v>
      </c>
      <c r="R365" s="53">
        <f>COUNTIFS('00 Encuesta'!$B$2:$B$511,"*f)*",'00 Encuesta'!$C$2:$C$511,"*b)*",'00 Encuesta'!$E$2:$E$511,"*b)*",'00 Encuesta'!$AT$2:$AT$511,"*e)*")</f>
        <v>0</v>
      </c>
      <c r="S365" s="52" t="e">
        <f t="shared" si="574"/>
        <v>#DIV/0!</v>
      </c>
      <c r="T365" s="3"/>
      <c r="U365" s="51">
        <f t="shared" si="575"/>
        <v>0</v>
      </c>
      <c r="V365" s="52" t="e">
        <f t="shared" si="576"/>
        <v>#DIV/0!</v>
      </c>
      <c r="W365" s="53">
        <f>COUNTIFS('00 Encuesta'!$B$2:$B$511,"*f)*",'00 Encuesta'!$C$2:$C$511,"*c)*",'00 Encuesta'!$E$2:$E$511,"*a)*",'00 Encuesta'!$AT$2:$AT$511,"*e)*")</f>
        <v>0</v>
      </c>
      <c r="X365" s="52" t="e">
        <f t="shared" si="577"/>
        <v>#DIV/0!</v>
      </c>
      <c r="Y365" s="53">
        <f>COUNTIFS('00 Encuesta'!$B$2:$B$511,"*f)*",'00 Encuesta'!$C$2:$C$511,"*c)*",'00 Encuesta'!$E$2:$E$511,"*b)*",'00 Encuesta'!$AT$2:$AT$511,"*e)*")</f>
        <v>0</v>
      </c>
      <c r="Z365" s="52" t="e">
        <f t="shared" si="578"/>
        <v>#DIV/0!</v>
      </c>
      <c r="AA365" s="3"/>
      <c r="AB365" s="62">
        <f t="shared" si="579"/>
        <v>0</v>
      </c>
      <c r="AC365" s="52">
        <f t="shared" si="580"/>
        <v>0</v>
      </c>
      <c r="AD365" s="3"/>
      <c r="AE365" s="3"/>
      <c r="AF365" s="9" t="str">
        <f t="shared" si="581"/>
        <v>e) Muy mala</v>
      </c>
      <c r="AG365" s="72">
        <f t="shared" si="582"/>
        <v>0</v>
      </c>
      <c r="AH365" s="72">
        <f t="shared" si="583"/>
        <v>0</v>
      </c>
      <c r="AI365" s="73">
        <f t="shared" si="584"/>
        <v>0</v>
      </c>
      <c r="AJ365" s="73"/>
      <c r="AK365" s="76" t="e">
        <f t="shared" si="585"/>
        <v>#DIV/0!</v>
      </c>
      <c r="AL365" s="76" t="e">
        <f t="shared" si="586"/>
        <v>#DIV/0!</v>
      </c>
      <c r="AM365" s="76" t="e">
        <f t="shared" si="587"/>
        <v>#DIV/0!</v>
      </c>
      <c r="AN365" s="76"/>
      <c r="AO365" s="81" t="e">
        <f t="shared" si="588"/>
        <v>#DIV/0!</v>
      </c>
      <c r="AP365" s="81" t="e">
        <f t="shared" si="589"/>
        <v>#DIV/0!</v>
      </c>
      <c r="AQ365" s="81" t="e">
        <f t="shared" si="590"/>
        <v>#DIV/0!</v>
      </c>
      <c r="AR365" s="3"/>
      <c r="AS365" s="76">
        <f t="shared" si="542"/>
        <v>0</v>
      </c>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row>
    <row r="366" spans="1:75" x14ac:dyDescent="0.3">
      <c r="A366" s="8" t="s">
        <v>45</v>
      </c>
      <c r="B366" s="9" t="s">
        <v>233</v>
      </c>
      <c r="C366" s="7"/>
      <c r="D366" s="7"/>
      <c r="E366" s="7"/>
      <c r="F366" s="71"/>
      <c r="G366" s="51">
        <f t="shared" si="567"/>
        <v>0</v>
      </c>
      <c r="H366" s="52">
        <f t="shared" si="568"/>
        <v>0</v>
      </c>
      <c r="I366" s="53">
        <f>COUNTIFS('00 Encuesta'!$B$2:$B$511,"*f)*",'00 Encuesta'!$C$2:$C$511,"*a)*",'00 Encuesta'!$E$2:$E$511,"*a)*",'00 Encuesta'!$AT$2:$AT$511,"*f)*")</f>
        <v>0</v>
      </c>
      <c r="J366" s="52">
        <f t="shared" si="569"/>
        <v>0</v>
      </c>
      <c r="K366" s="53">
        <f>COUNTIFS('00 Encuesta'!$B$2:$B$511,"*f)*",'00 Encuesta'!$C$2:$C$511,"*a)*",'00 Encuesta'!$E$2:$E$511,"*b)*",'00 Encuesta'!$AT$2:$AT$511,"*f)*")</f>
        <v>0</v>
      </c>
      <c r="L366" s="52">
        <f t="shared" si="570"/>
        <v>0</v>
      </c>
      <c r="M366" s="23"/>
      <c r="N366" s="51">
        <f t="shared" si="571"/>
        <v>0</v>
      </c>
      <c r="O366" s="52" t="e">
        <f t="shared" si="572"/>
        <v>#DIV/0!</v>
      </c>
      <c r="P366" s="53">
        <f>COUNTIFS('00 Encuesta'!$B$2:$B$511,"*f)*",'00 Encuesta'!$C$2:$C$511,"*b)*",'00 Encuesta'!$E$2:$E$511,"*a)*",'00 Encuesta'!$AT$2:$AT$511,"*f)*")</f>
        <v>0</v>
      </c>
      <c r="Q366" s="52" t="e">
        <f t="shared" si="573"/>
        <v>#DIV/0!</v>
      </c>
      <c r="R366" s="53">
        <f>COUNTIFS('00 Encuesta'!$B$2:$B$511,"*f)*",'00 Encuesta'!$C$2:$C$511,"*b)*",'00 Encuesta'!$E$2:$E$511,"*b)*",'00 Encuesta'!$AT$2:$AT$511,"*f)*")</f>
        <v>0</v>
      </c>
      <c r="S366" s="52" t="e">
        <f t="shared" si="574"/>
        <v>#DIV/0!</v>
      </c>
      <c r="T366" s="3"/>
      <c r="U366" s="51">
        <f t="shared" si="575"/>
        <v>0</v>
      </c>
      <c r="V366" s="52" t="e">
        <f t="shared" si="576"/>
        <v>#DIV/0!</v>
      </c>
      <c r="W366" s="53">
        <f>COUNTIFS('00 Encuesta'!$B$2:$B$511,"*f)*",'00 Encuesta'!$C$2:$C$511,"*c)*",'00 Encuesta'!$E$2:$E$511,"*a)*",'00 Encuesta'!$AT$2:$AT$511,"*f)*")</f>
        <v>0</v>
      </c>
      <c r="X366" s="52" t="e">
        <f t="shared" si="577"/>
        <v>#DIV/0!</v>
      </c>
      <c r="Y366" s="53">
        <f>COUNTIFS('00 Encuesta'!$B$2:$B$511,"*f)*",'00 Encuesta'!$C$2:$C$511,"*c)*",'00 Encuesta'!$E$2:$E$511,"*b)*",'00 Encuesta'!$AT$2:$AT$511,"*f)*")</f>
        <v>0</v>
      </c>
      <c r="Z366" s="52" t="e">
        <f t="shared" si="578"/>
        <v>#DIV/0!</v>
      </c>
      <c r="AA366" s="3"/>
      <c r="AB366" s="62">
        <f t="shared" si="579"/>
        <v>0</v>
      </c>
      <c r="AC366" s="52">
        <f t="shared" si="580"/>
        <v>0</v>
      </c>
      <c r="AD366" s="3"/>
      <c r="AE366" s="3"/>
      <c r="AF366" s="9" t="str">
        <f t="shared" si="581"/>
        <v>f) No aplica</v>
      </c>
      <c r="AG366" s="72">
        <f t="shared" si="582"/>
        <v>0</v>
      </c>
      <c r="AH366" s="72">
        <f t="shared" si="583"/>
        <v>0</v>
      </c>
      <c r="AI366" s="73">
        <f t="shared" si="584"/>
        <v>0</v>
      </c>
      <c r="AJ366" s="73"/>
      <c r="AK366" s="76" t="e">
        <f t="shared" si="585"/>
        <v>#DIV/0!</v>
      </c>
      <c r="AL366" s="76" t="e">
        <f t="shared" si="586"/>
        <v>#DIV/0!</v>
      </c>
      <c r="AM366" s="76" t="e">
        <f t="shared" si="587"/>
        <v>#DIV/0!</v>
      </c>
      <c r="AN366" s="76"/>
      <c r="AO366" s="81" t="e">
        <f t="shared" si="588"/>
        <v>#DIV/0!</v>
      </c>
      <c r="AP366" s="81" t="e">
        <f t="shared" si="589"/>
        <v>#DIV/0!</v>
      </c>
      <c r="AQ366" s="81" t="e">
        <f t="shared" si="590"/>
        <v>#DIV/0!</v>
      </c>
      <c r="AR366" s="3"/>
      <c r="AS366" s="76">
        <f t="shared" si="542"/>
        <v>0</v>
      </c>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row>
    <row r="367" spans="1:75" x14ac:dyDescent="0.3">
      <c r="A367" s="1"/>
      <c r="B367" s="2"/>
      <c r="C367" s="3"/>
      <c r="D367" s="3"/>
      <c r="E367" s="3"/>
      <c r="F367" s="7"/>
      <c r="G367" s="7"/>
      <c r="H367" s="7"/>
      <c r="I367" s="7"/>
      <c r="J367" s="7"/>
      <c r="K367" s="7"/>
      <c r="L367" s="7"/>
      <c r="M367" s="7"/>
      <c r="N367" s="7"/>
      <c r="O367" s="7"/>
      <c r="P367" s="7"/>
      <c r="Q367" s="7"/>
      <c r="R367" s="7"/>
      <c r="S367" s="7"/>
      <c r="T367" s="7"/>
      <c r="U367" s="7"/>
      <c r="V367" s="7"/>
      <c r="W367" s="7"/>
      <c r="X367" s="7"/>
      <c r="Y367" s="7"/>
      <c r="Z367" s="7"/>
      <c r="AA367" s="7"/>
      <c r="AB367" s="6"/>
      <c r="AC367" s="41"/>
      <c r="AD367" s="3"/>
      <c r="AE367" s="3"/>
      <c r="AF367" s="3"/>
      <c r="AG367" s="82">
        <f>($F361*I361+$F362*I362+$F363*I363+$F364*I364+$F365*I365)/(I361+I362+I363+I364+I365)</f>
        <v>89.285714285714292</v>
      </c>
      <c r="AH367" s="82">
        <f>($F361*K361+$F362*K362+$F363*K363+$F364*K364+$F365*K365)/(K361+K362+K363+K364+K365)</f>
        <v>93.421052631578945</v>
      </c>
      <c r="AI367" s="82">
        <f>($F361*G361+$F362*G362+$F363*G363+$F364*G364+$F365*G365)/(G361+G362+G363+G364+G365)</f>
        <v>91.25</v>
      </c>
      <c r="AJ367" s="82"/>
      <c r="AK367" s="82" t="e">
        <f>($F361*Q361+$F362*Q362+$F363*Q363+$F364*Q364+$F365*Q365)/(Q361+Q362+Q363+Q364+Q365)</f>
        <v>#DIV/0!</v>
      </c>
      <c r="AL367" s="82" t="e">
        <f>($F361*S361+$F362*S362+$F363*S363+$F364*S364+$F365*S365)/(S361+S362+S363+S364+S365)</f>
        <v>#DIV/0!</v>
      </c>
      <c r="AM367" s="82" t="e">
        <f>($F361*O361+$F362*O362+$F363*O363+$F364*O364+$F365*O365)/(O361+O362+O363+O364+O365)</f>
        <v>#DIV/0!</v>
      </c>
      <c r="AN367" s="82"/>
      <c r="AO367" s="82" t="e">
        <f>($F361*W361+$F362*W362+$F363*W363+$F364*W364+$F365*W365)/(W361+W362+W363+W364+W365)</f>
        <v>#DIV/0!</v>
      </c>
      <c r="AP367" s="82" t="e">
        <f>($F361*Y361+$F362*Y362+$F363*Y363+$F364*Y364+$F365*Y365)/(Y361+Y362+Y363+Y364+Y365)</f>
        <v>#DIV/0!</v>
      </c>
      <c r="AQ367" s="82" t="e">
        <f>($F361*U361+$F362*U362+$F363*U363+$F364*U364+$F365*U365)/(U361+U362+U363+U364+U365)</f>
        <v>#DIV/0!</v>
      </c>
      <c r="AR367" s="3"/>
      <c r="AS367" s="76"/>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row>
    <row r="368" spans="1:75" ht="15" x14ac:dyDescent="0.35">
      <c r="A368" s="87">
        <v>41</v>
      </c>
      <c r="B368" s="2" t="s">
        <v>239</v>
      </c>
      <c r="C368" s="3"/>
      <c r="D368" s="3"/>
      <c r="E368" s="3"/>
      <c r="F368" s="71"/>
      <c r="G368" s="51"/>
      <c r="H368" s="52"/>
      <c r="I368" s="53"/>
      <c r="J368" s="52"/>
      <c r="K368" s="53"/>
      <c r="L368" s="66"/>
      <c r="M368" s="23"/>
      <c r="N368" s="51"/>
      <c r="O368" s="52"/>
      <c r="P368" s="53"/>
      <c r="Q368" s="52"/>
      <c r="R368" s="53"/>
      <c r="S368" s="66"/>
      <c r="T368" s="3"/>
      <c r="U368" s="51"/>
      <c r="V368" s="52"/>
      <c r="W368" s="53"/>
      <c r="X368" s="52"/>
      <c r="Y368" s="53"/>
      <c r="Z368" s="66"/>
      <c r="AA368" s="3"/>
      <c r="AB368" s="62"/>
      <c r="AC368" s="52"/>
      <c r="AD368" s="3"/>
      <c r="AE368" s="3"/>
      <c r="AF368" s="88" t="str">
        <f>A368&amp;" "&amp;B368</f>
        <v>41 Las celebraciones religiosas</v>
      </c>
      <c r="AG368" s="3"/>
      <c r="AH368" s="3"/>
      <c r="AI368" s="3"/>
      <c r="AJ368" s="3"/>
      <c r="AK368" s="3"/>
      <c r="AL368" s="3"/>
      <c r="AM368" s="3"/>
      <c r="AN368" s="3"/>
      <c r="AO368" s="3"/>
      <c r="AP368" s="3"/>
      <c r="AQ368" s="3"/>
      <c r="AR368" s="3"/>
      <c r="AS368" s="76"/>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row>
    <row r="369" spans="1:75" x14ac:dyDescent="0.3">
      <c r="A369" s="8" t="s">
        <v>17</v>
      </c>
      <c r="B369" s="9" t="s">
        <v>229</v>
      </c>
      <c r="C369" s="3"/>
      <c r="D369" s="3"/>
      <c r="E369" s="3"/>
      <c r="F369" s="71">
        <v>100</v>
      </c>
      <c r="G369" s="51">
        <f t="shared" ref="G369:G374" si="591">I369+K369</f>
        <v>24</v>
      </c>
      <c r="H369" s="52">
        <f t="shared" ref="H369:H374" si="592">G369/$J$5*100</f>
        <v>57.142857142857139</v>
      </c>
      <c r="I369" s="53">
        <f>COUNTIFS('00 Encuesta'!$B$2:$B$511,"*f)*",'00 Encuesta'!$C$2:$C$511,"*a)*",'00 Encuesta'!$E$2:$E$511,"*a)*",'00 Encuesta'!$AU$2:$AU$511,"*a)*")</f>
        <v>9</v>
      </c>
      <c r="J369" s="52">
        <f t="shared" ref="J369:J374" si="593">I369/$J$6*100</f>
        <v>40.909090909090914</v>
      </c>
      <c r="K369" s="53">
        <f>COUNTIFS('00 Encuesta'!$B$2:$B$511,"*f)*",'00 Encuesta'!$C$2:$C$511,"*a)*",'00 Encuesta'!$E$2:$E$511,"*b)*",'00 Encuesta'!$AU$2:$AU$511,"*a)*")</f>
        <v>15</v>
      </c>
      <c r="L369" s="52">
        <f t="shared" ref="L369:L374" si="594">K369/$J$7*100</f>
        <v>75</v>
      </c>
      <c r="M369" s="23"/>
      <c r="N369" s="51">
        <f t="shared" ref="N369:N374" si="595">P369+R369</f>
        <v>0</v>
      </c>
      <c r="O369" s="52" t="e">
        <f t="shared" ref="O369:O374" si="596">N369/$Q$5*100</f>
        <v>#DIV/0!</v>
      </c>
      <c r="P369" s="53">
        <f>COUNTIFS('00 Encuesta'!$B$2:$B$511,"*f)*",'00 Encuesta'!$C$2:$C$511,"*b)*",'00 Encuesta'!$E$2:$E$511,"*a)*",'00 Encuesta'!$AU$2:$AU$511,"*a)*")</f>
        <v>0</v>
      </c>
      <c r="Q369" s="52" t="e">
        <f t="shared" ref="Q369:Q374" si="597">P369/$Q$6*100</f>
        <v>#DIV/0!</v>
      </c>
      <c r="R369" s="53">
        <f>COUNTIFS('00 Encuesta'!$B$2:$B$511,"*f)*",'00 Encuesta'!$C$2:$C$511,"*b)*",'00 Encuesta'!$E$2:$E$511,"*b)*",'00 Encuesta'!$AU$2:$AU$511,"*a)*")</f>
        <v>0</v>
      </c>
      <c r="S369" s="52" t="e">
        <f t="shared" ref="S369:S374" si="598">R369/$Q$7*100</f>
        <v>#DIV/0!</v>
      </c>
      <c r="T369" s="3"/>
      <c r="U369" s="51">
        <f t="shared" ref="U369:U374" si="599">W369+Y369</f>
        <v>0</v>
      </c>
      <c r="V369" s="52" t="e">
        <f t="shared" ref="V369:V374" si="600">U369/$X$5*100</f>
        <v>#DIV/0!</v>
      </c>
      <c r="W369" s="53">
        <f>COUNTIFS('00 Encuesta'!$B$2:$B$511,"*f)*",'00 Encuesta'!$C$2:$C$511,"*c)*",'00 Encuesta'!$E$2:$E$511,"*a)*",'00 Encuesta'!$AU$2:$AU$511,"*a)*")</f>
        <v>0</v>
      </c>
      <c r="X369" s="52" t="e">
        <f t="shared" ref="X369:X374" si="601">W369/$X$6*100</f>
        <v>#DIV/0!</v>
      </c>
      <c r="Y369" s="53">
        <f>COUNTIFS('00 Encuesta'!$B$2:$B$511,"*f)*",'00 Encuesta'!$C$2:$C$511,"*c)*",'00 Encuesta'!$E$2:$E$511,"*b)*",'00 Encuesta'!$AU$2:$AU$511,"*a)*")</f>
        <v>0</v>
      </c>
      <c r="Z369" s="52" t="e">
        <f t="shared" ref="Z369:Z374" si="602">Y369/$X$7*100</f>
        <v>#DIV/0!</v>
      </c>
      <c r="AA369" s="3"/>
      <c r="AB369" s="62">
        <f t="shared" ref="AB369:AB374" si="603">G369+N369+U369</f>
        <v>24</v>
      </c>
      <c r="AC369" s="52">
        <f t="shared" ref="AC369:AC374" si="604">AB369*100/$AC$5</f>
        <v>57.142857142857146</v>
      </c>
      <c r="AD369" s="3"/>
      <c r="AE369" s="3"/>
      <c r="AF369" s="9" t="str">
        <f t="shared" ref="AF369:AF374" si="605">A369&amp;" "&amp;B369</f>
        <v>a) Muy buena</v>
      </c>
      <c r="AG369" s="72">
        <f t="shared" ref="AG369:AG374" si="606">J369</f>
        <v>40.909090909090914</v>
      </c>
      <c r="AH369" s="72">
        <f t="shared" ref="AH369:AH374" si="607">L369</f>
        <v>75</v>
      </c>
      <c r="AI369" s="73">
        <f t="shared" ref="AI369:AI374" si="608">H369</f>
        <v>57.142857142857139</v>
      </c>
      <c r="AJ369" s="73"/>
      <c r="AK369" s="76" t="e">
        <f t="shared" ref="AK369:AK374" si="609">Q369</f>
        <v>#DIV/0!</v>
      </c>
      <c r="AL369" s="76" t="e">
        <f t="shared" ref="AL369:AL374" si="610">S369</f>
        <v>#DIV/0!</v>
      </c>
      <c r="AM369" s="76" t="e">
        <f t="shared" ref="AM369:AM374" si="611">O369</f>
        <v>#DIV/0!</v>
      </c>
      <c r="AN369" s="76"/>
      <c r="AO369" s="81" t="e">
        <f t="shared" ref="AO369:AO374" si="612">X369</f>
        <v>#DIV/0!</v>
      </c>
      <c r="AP369" s="81" t="e">
        <f t="shared" ref="AP369:AP374" si="613">Z369</f>
        <v>#DIV/0!</v>
      </c>
      <c r="AQ369" s="81" t="e">
        <f t="shared" ref="AQ369:AQ374" si="614">V369</f>
        <v>#DIV/0!</v>
      </c>
      <c r="AR369" s="3"/>
      <c r="AS369" s="76">
        <f t="shared" si="542"/>
        <v>57.142857142857146</v>
      </c>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row>
    <row r="370" spans="1:75" x14ac:dyDescent="0.3">
      <c r="A370" s="8" t="s">
        <v>18</v>
      </c>
      <c r="B370" s="9" t="s">
        <v>230</v>
      </c>
      <c r="C370" s="3"/>
      <c r="D370" s="3"/>
      <c r="E370" s="3"/>
      <c r="F370" s="71">
        <v>75</v>
      </c>
      <c r="G370" s="51">
        <f t="shared" si="591"/>
        <v>10</v>
      </c>
      <c r="H370" s="52">
        <f t="shared" si="592"/>
        <v>23.809523809523807</v>
      </c>
      <c r="I370" s="53">
        <f>COUNTIFS('00 Encuesta'!$B$2:$B$511,"*f)*",'00 Encuesta'!$C$2:$C$511,"*a)*",'00 Encuesta'!$E$2:$E$511,"*a)*",'00 Encuesta'!$AU$2:$AU$511,"*b)*")</f>
        <v>7</v>
      </c>
      <c r="J370" s="52">
        <f t="shared" si="593"/>
        <v>31.818181818181817</v>
      </c>
      <c r="K370" s="53">
        <f>COUNTIFS('00 Encuesta'!$B$2:$B$511,"*f)*",'00 Encuesta'!$C$2:$C$511,"*a)*",'00 Encuesta'!$E$2:$E$511,"*b)*",'00 Encuesta'!$AU$2:$AU$511,"*b)*")</f>
        <v>3</v>
      </c>
      <c r="L370" s="52">
        <f t="shared" si="594"/>
        <v>15</v>
      </c>
      <c r="M370" s="23"/>
      <c r="N370" s="51">
        <f t="shared" si="595"/>
        <v>0</v>
      </c>
      <c r="O370" s="52" t="e">
        <f t="shared" si="596"/>
        <v>#DIV/0!</v>
      </c>
      <c r="P370" s="53">
        <f>COUNTIFS('00 Encuesta'!$B$2:$B$511,"*f)*",'00 Encuesta'!$C$2:$C$511,"*b)*",'00 Encuesta'!$E$2:$E$511,"*a)*",'00 Encuesta'!$AU$2:$AU$511,"*b)*")</f>
        <v>0</v>
      </c>
      <c r="Q370" s="52" t="e">
        <f t="shared" si="597"/>
        <v>#DIV/0!</v>
      </c>
      <c r="R370" s="53">
        <f>COUNTIFS('00 Encuesta'!$B$2:$B$511,"*f)*",'00 Encuesta'!$C$2:$C$511,"*b)*",'00 Encuesta'!$E$2:$E$511,"*b)*",'00 Encuesta'!$AU$2:$AU$511,"*b)*")</f>
        <v>0</v>
      </c>
      <c r="S370" s="52" t="e">
        <f t="shared" si="598"/>
        <v>#DIV/0!</v>
      </c>
      <c r="T370" s="3"/>
      <c r="U370" s="51">
        <f t="shared" si="599"/>
        <v>0</v>
      </c>
      <c r="V370" s="52" t="e">
        <f t="shared" si="600"/>
        <v>#DIV/0!</v>
      </c>
      <c r="W370" s="53">
        <f>COUNTIFS('00 Encuesta'!$B$2:$B$511,"*f)*",'00 Encuesta'!$C$2:$C$511,"*c)*",'00 Encuesta'!$E$2:$E$511,"*a)*",'00 Encuesta'!$AU$2:$AU$511,"*b)*")</f>
        <v>0</v>
      </c>
      <c r="X370" s="52" t="e">
        <f t="shared" si="601"/>
        <v>#DIV/0!</v>
      </c>
      <c r="Y370" s="53">
        <f>COUNTIFS('00 Encuesta'!$B$2:$B$511,"*f)*",'00 Encuesta'!$C$2:$C$511,"*c)*",'00 Encuesta'!$E$2:$E$511,"*b)*",'00 Encuesta'!$AU$2:$AU$511,"*b)*")</f>
        <v>0</v>
      </c>
      <c r="Z370" s="52" t="e">
        <f t="shared" si="602"/>
        <v>#DIV/0!</v>
      </c>
      <c r="AA370" s="3"/>
      <c r="AB370" s="62">
        <f t="shared" si="603"/>
        <v>10</v>
      </c>
      <c r="AC370" s="52">
        <f t="shared" si="604"/>
        <v>23.80952380952381</v>
      </c>
      <c r="AD370" s="3"/>
      <c r="AE370" s="3"/>
      <c r="AF370" s="9" t="str">
        <f t="shared" si="605"/>
        <v>b) Buena</v>
      </c>
      <c r="AG370" s="72">
        <f t="shared" si="606"/>
        <v>31.818181818181817</v>
      </c>
      <c r="AH370" s="72">
        <f t="shared" si="607"/>
        <v>15</v>
      </c>
      <c r="AI370" s="73">
        <f t="shared" si="608"/>
        <v>23.809523809523807</v>
      </c>
      <c r="AJ370" s="73"/>
      <c r="AK370" s="76" t="e">
        <f t="shared" si="609"/>
        <v>#DIV/0!</v>
      </c>
      <c r="AL370" s="76" t="e">
        <f t="shared" si="610"/>
        <v>#DIV/0!</v>
      </c>
      <c r="AM370" s="76" t="e">
        <f t="shared" si="611"/>
        <v>#DIV/0!</v>
      </c>
      <c r="AN370" s="76"/>
      <c r="AO370" s="81" t="e">
        <f t="shared" si="612"/>
        <v>#DIV/0!</v>
      </c>
      <c r="AP370" s="81" t="e">
        <f t="shared" si="613"/>
        <v>#DIV/0!</v>
      </c>
      <c r="AQ370" s="81" t="e">
        <f t="shared" si="614"/>
        <v>#DIV/0!</v>
      </c>
      <c r="AR370" s="3"/>
      <c r="AS370" s="76">
        <f t="shared" si="542"/>
        <v>23.80952380952381</v>
      </c>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row>
    <row r="371" spans="1:75" x14ac:dyDescent="0.3">
      <c r="A371" s="8" t="s">
        <v>20</v>
      </c>
      <c r="B371" s="9" t="s">
        <v>218</v>
      </c>
      <c r="C371" s="3"/>
      <c r="D371" s="3"/>
      <c r="E371" s="3"/>
      <c r="F371" s="71">
        <v>50</v>
      </c>
      <c r="G371" s="51">
        <f t="shared" si="591"/>
        <v>4</v>
      </c>
      <c r="H371" s="52">
        <f t="shared" si="592"/>
        <v>9.5238095238095237</v>
      </c>
      <c r="I371" s="53">
        <f>COUNTIFS('00 Encuesta'!$B$2:$B$511,"*f)*",'00 Encuesta'!$C$2:$C$511,"*a)*",'00 Encuesta'!$E$2:$E$511,"*a)*",'00 Encuesta'!$AU$2:$AU$511,"*c)*")</f>
        <v>3</v>
      </c>
      <c r="J371" s="52">
        <f t="shared" si="593"/>
        <v>13.636363636363635</v>
      </c>
      <c r="K371" s="53">
        <f>COUNTIFS('00 Encuesta'!$B$2:$B$511,"*f)*",'00 Encuesta'!$C$2:$C$511,"*a)*",'00 Encuesta'!$E$2:$E$511,"*b)*",'00 Encuesta'!$AU$2:$AU$511,"*c)*")</f>
        <v>1</v>
      </c>
      <c r="L371" s="52">
        <f t="shared" si="594"/>
        <v>5</v>
      </c>
      <c r="M371" s="23"/>
      <c r="N371" s="51">
        <f t="shared" si="595"/>
        <v>0</v>
      </c>
      <c r="O371" s="52" t="e">
        <f t="shared" si="596"/>
        <v>#DIV/0!</v>
      </c>
      <c r="P371" s="53">
        <f>COUNTIFS('00 Encuesta'!$B$2:$B$511,"*f)*",'00 Encuesta'!$C$2:$C$511,"*b)*",'00 Encuesta'!$E$2:$E$511,"*a)*",'00 Encuesta'!$AU$2:$AU$511,"*c)*")</f>
        <v>0</v>
      </c>
      <c r="Q371" s="52" t="e">
        <f t="shared" si="597"/>
        <v>#DIV/0!</v>
      </c>
      <c r="R371" s="53">
        <f>COUNTIFS('00 Encuesta'!$B$2:$B$511,"*f)*",'00 Encuesta'!$C$2:$C$511,"*b)*",'00 Encuesta'!$E$2:$E$511,"*b)*",'00 Encuesta'!$AU$2:$AU$511,"*c)*")</f>
        <v>0</v>
      </c>
      <c r="S371" s="52" t="e">
        <f t="shared" si="598"/>
        <v>#DIV/0!</v>
      </c>
      <c r="T371" s="3"/>
      <c r="U371" s="51">
        <f t="shared" si="599"/>
        <v>0</v>
      </c>
      <c r="V371" s="52" t="e">
        <f t="shared" si="600"/>
        <v>#DIV/0!</v>
      </c>
      <c r="W371" s="53">
        <f>COUNTIFS('00 Encuesta'!$B$2:$B$511,"*f)*",'00 Encuesta'!$C$2:$C$511,"*c)*",'00 Encuesta'!$E$2:$E$511,"*a)*",'00 Encuesta'!$AU$2:$AU$511,"*c)*")</f>
        <v>0</v>
      </c>
      <c r="X371" s="52" t="e">
        <f t="shared" si="601"/>
        <v>#DIV/0!</v>
      </c>
      <c r="Y371" s="53">
        <f>COUNTIFS('00 Encuesta'!$B$2:$B$511,"*f)*",'00 Encuesta'!$C$2:$C$511,"*c)*",'00 Encuesta'!$E$2:$E$511,"*b)*",'00 Encuesta'!$AU$2:$AU$511,"*c)*")</f>
        <v>0</v>
      </c>
      <c r="Z371" s="52" t="e">
        <f t="shared" si="602"/>
        <v>#DIV/0!</v>
      </c>
      <c r="AA371" s="3"/>
      <c r="AB371" s="62">
        <f t="shared" si="603"/>
        <v>4</v>
      </c>
      <c r="AC371" s="52">
        <f t="shared" si="604"/>
        <v>9.5238095238095237</v>
      </c>
      <c r="AD371" s="3"/>
      <c r="AE371" s="3"/>
      <c r="AF371" s="9" t="str">
        <f t="shared" si="605"/>
        <v>c) Regular</v>
      </c>
      <c r="AG371" s="72">
        <f t="shared" si="606"/>
        <v>13.636363636363635</v>
      </c>
      <c r="AH371" s="72">
        <f t="shared" si="607"/>
        <v>5</v>
      </c>
      <c r="AI371" s="73">
        <f t="shared" si="608"/>
        <v>9.5238095238095237</v>
      </c>
      <c r="AJ371" s="73"/>
      <c r="AK371" s="76" t="e">
        <f t="shared" si="609"/>
        <v>#DIV/0!</v>
      </c>
      <c r="AL371" s="76" t="e">
        <f t="shared" si="610"/>
        <v>#DIV/0!</v>
      </c>
      <c r="AM371" s="76" t="e">
        <f t="shared" si="611"/>
        <v>#DIV/0!</v>
      </c>
      <c r="AN371" s="76"/>
      <c r="AO371" s="81" t="e">
        <f t="shared" si="612"/>
        <v>#DIV/0!</v>
      </c>
      <c r="AP371" s="81" t="e">
        <f t="shared" si="613"/>
        <v>#DIV/0!</v>
      </c>
      <c r="AQ371" s="81" t="e">
        <f t="shared" si="614"/>
        <v>#DIV/0!</v>
      </c>
      <c r="AR371" s="3"/>
      <c r="AS371" s="76">
        <f t="shared" si="542"/>
        <v>9.5238095238095237</v>
      </c>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row>
    <row r="372" spans="1:75" x14ac:dyDescent="0.3">
      <c r="A372" s="8" t="s">
        <v>21</v>
      </c>
      <c r="B372" s="9" t="s">
        <v>231</v>
      </c>
      <c r="C372" s="3"/>
      <c r="D372" s="3"/>
      <c r="E372" s="3"/>
      <c r="F372" s="71">
        <v>25</v>
      </c>
      <c r="G372" s="51">
        <f t="shared" si="591"/>
        <v>0</v>
      </c>
      <c r="H372" s="52">
        <f t="shared" si="592"/>
        <v>0</v>
      </c>
      <c r="I372" s="53">
        <f>COUNTIFS('00 Encuesta'!$B$2:$B$511,"*f)*",'00 Encuesta'!$C$2:$C$511,"*a)*",'00 Encuesta'!$E$2:$E$511,"*a)*",'00 Encuesta'!$AU$2:$AU$511,"*d)*")</f>
        <v>0</v>
      </c>
      <c r="J372" s="52">
        <f t="shared" si="593"/>
        <v>0</v>
      </c>
      <c r="K372" s="53">
        <f>COUNTIFS('00 Encuesta'!$B$2:$B$511,"*f)*",'00 Encuesta'!$C$2:$C$511,"*a)*",'00 Encuesta'!$E$2:$E$511,"*b)*",'00 Encuesta'!$AU$2:$AU$511,"*d)*")</f>
        <v>0</v>
      </c>
      <c r="L372" s="52">
        <f t="shared" si="594"/>
        <v>0</v>
      </c>
      <c r="M372" s="23"/>
      <c r="N372" s="51">
        <f t="shared" si="595"/>
        <v>0</v>
      </c>
      <c r="O372" s="52" t="e">
        <f t="shared" si="596"/>
        <v>#DIV/0!</v>
      </c>
      <c r="P372" s="53">
        <f>COUNTIFS('00 Encuesta'!$B$2:$B$511,"*f)*",'00 Encuesta'!$C$2:$C$511,"*b)*",'00 Encuesta'!$E$2:$E$511,"*a)*",'00 Encuesta'!$AU$2:$AU$511,"*d)*")</f>
        <v>0</v>
      </c>
      <c r="Q372" s="52" t="e">
        <f t="shared" si="597"/>
        <v>#DIV/0!</v>
      </c>
      <c r="R372" s="53">
        <f>COUNTIFS('00 Encuesta'!$B$2:$B$511,"*f)*",'00 Encuesta'!$C$2:$C$511,"*b)*",'00 Encuesta'!$E$2:$E$511,"*b)*",'00 Encuesta'!$AU$2:$AU$511,"*d)*")</f>
        <v>0</v>
      </c>
      <c r="S372" s="52" t="e">
        <f t="shared" si="598"/>
        <v>#DIV/0!</v>
      </c>
      <c r="T372" s="3"/>
      <c r="U372" s="51">
        <f t="shared" si="599"/>
        <v>0</v>
      </c>
      <c r="V372" s="52" t="e">
        <f t="shared" si="600"/>
        <v>#DIV/0!</v>
      </c>
      <c r="W372" s="53">
        <f>COUNTIFS('00 Encuesta'!$B$2:$B$511,"*f)*",'00 Encuesta'!$C$2:$C$511,"*c)*",'00 Encuesta'!$E$2:$E$511,"*a)*",'00 Encuesta'!$AU$2:$AU$511,"*d)*")</f>
        <v>0</v>
      </c>
      <c r="X372" s="52" t="e">
        <f t="shared" si="601"/>
        <v>#DIV/0!</v>
      </c>
      <c r="Y372" s="53">
        <f>COUNTIFS('00 Encuesta'!$B$2:$B$511,"*f)*",'00 Encuesta'!$C$2:$C$511,"*c)*",'00 Encuesta'!$E$2:$E$511,"*b)*",'00 Encuesta'!$AU$2:$AU$511,"*d)*")</f>
        <v>0</v>
      </c>
      <c r="Z372" s="52" t="e">
        <f t="shared" si="602"/>
        <v>#DIV/0!</v>
      </c>
      <c r="AA372" s="3"/>
      <c r="AB372" s="62">
        <f t="shared" si="603"/>
        <v>0</v>
      </c>
      <c r="AC372" s="52">
        <f t="shared" si="604"/>
        <v>0</v>
      </c>
      <c r="AD372" s="3"/>
      <c r="AE372" s="3"/>
      <c r="AF372" s="9" t="str">
        <f t="shared" si="605"/>
        <v>d) Mala</v>
      </c>
      <c r="AG372" s="72">
        <f t="shared" si="606"/>
        <v>0</v>
      </c>
      <c r="AH372" s="72">
        <f t="shared" si="607"/>
        <v>0</v>
      </c>
      <c r="AI372" s="73">
        <f t="shared" si="608"/>
        <v>0</v>
      </c>
      <c r="AJ372" s="73"/>
      <c r="AK372" s="76" t="e">
        <f t="shared" si="609"/>
        <v>#DIV/0!</v>
      </c>
      <c r="AL372" s="76" t="e">
        <f t="shared" si="610"/>
        <v>#DIV/0!</v>
      </c>
      <c r="AM372" s="76" t="e">
        <f t="shared" si="611"/>
        <v>#DIV/0!</v>
      </c>
      <c r="AN372" s="76"/>
      <c r="AO372" s="81" t="e">
        <f t="shared" si="612"/>
        <v>#DIV/0!</v>
      </c>
      <c r="AP372" s="81" t="e">
        <f t="shared" si="613"/>
        <v>#DIV/0!</v>
      </c>
      <c r="AQ372" s="81" t="e">
        <f t="shared" si="614"/>
        <v>#DIV/0!</v>
      </c>
      <c r="AR372" s="3"/>
      <c r="AS372" s="76">
        <f t="shared" si="542"/>
        <v>0</v>
      </c>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row>
    <row r="373" spans="1:75" x14ac:dyDescent="0.3">
      <c r="A373" s="8" t="s">
        <v>22</v>
      </c>
      <c r="B373" s="9" t="s">
        <v>232</v>
      </c>
      <c r="C373" s="3"/>
      <c r="D373" s="3"/>
      <c r="E373" s="3"/>
      <c r="F373" s="71">
        <v>0</v>
      </c>
      <c r="G373" s="51">
        <f t="shared" si="591"/>
        <v>0</v>
      </c>
      <c r="H373" s="52">
        <f t="shared" si="592"/>
        <v>0</v>
      </c>
      <c r="I373" s="53">
        <f>COUNTIFS('00 Encuesta'!$B$2:$B$511,"*f)*",'00 Encuesta'!$C$2:$C$511,"*a)*",'00 Encuesta'!$E$2:$E$511,"*a)*",'00 Encuesta'!$AU$2:$AU$511,"*e)*")</f>
        <v>0</v>
      </c>
      <c r="J373" s="52">
        <f t="shared" si="593"/>
        <v>0</v>
      </c>
      <c r="K373" s="53">
        <f>COUNTIFS('00 Encuesta'!$B$2:$B$511,"*f)*",'00 Encuesta'!$C$2:$C$511,"*a)*",'00 Encuesta'!$E$2:$E$511,"*b)*",'00 Encuesta'!$AU$2:$AU$511,"*e)*")</f>
        <v>0</v>
      </c>
      <c r="L373" s="52">
        <f t="shared" si="594"/>
        <v>0</v>
      </c>
      <c r="M373" s="23"/>
      <c r="N373" s="51">
        <f t="shared" si="595"/>
        <v>0</v>
      </c>
      <c r="O373" s="52" t="e">
        <f t="shared" si="596"/>
        <v>#DIV/0!</v>
      </c>
      <c r="P373" s="53">
        <f>COUNTIFS('00 Encuesta'!$B$2:$B$511,"*f)*",'00 Encuesta'!$C$2:$C$511,"*b)*",'00 Encuesta'!$E$2:$E$511,"*a)*",'00 Encuesta'!$AU$2:$AU$511,"*e)*")</f>
        <v>0</v>
      </c>
      <c r="Q373" s="52" t="e">
        <f t="shared" si="597"/>
        <v>#DIV/0!</v>
      </c>
      <c r="R373" s="53">
        <f>COUNTIFS('00 Encuesta'!$B$2:$B$511,"*f)*",'00 Encuesta'!$C$2:$C$511,"*b)*",'00 Encuesta'!$E$2:$E$511,"*b)*",'00 Encuesta'!$AU$2:$AU$511,"*e)*")</f>
        <v>0</v>
      </c>
      <c r="S373" s="52" t="e">
        <f t="shared" si="598"/>
        <v>#DIV/0!</v>
      </c>
      <c r="T373" s="3"/>
      <c r="U373" s="51">
        <f t="shared" si="599"/>
        <v>0</v>
      </c>
      <c r="V373" s="52" t="e">
        <f t="shared" si="600"/>
        <v>#DIV/0!</v>
      </c>
      <c r="W373" s="53">
        <f>COUNTIFS('00 Encuesta'!$B$2:$B$511,"*f)*",'00 Encuesta'!$C$2:$C$511,"*c)*",'00 Encuesta'!$E$2:$E$511,"*a)*",'00 Encuesta'!$AU$2:$AU$511,"*e)*")</f>
        <v>0</v>
      </c>
      <c r="X373" s="52" t="e">
        <f t="shared" si="601"/>
        <v>#DIV/0!</v>
      </c>
      <c r="Y373" s="53">
        <f>COUNTIFS('00 Encuesta'!$B$2:$B$511,"*f)*",'00 Encuesta'!$C$2:$C$511,"*c)*",'00 Encuesta'!$E$2:$E$511,"*b)*",'00 Encuesta'!$AU$2:$AU$511,"*e)*")</f>
        <v>0</v>
      </c>
      <c r="Z373" s="52" t="e">
        <f t="shared" si="602"/>
        <v>#DIV/0!</v>
      </c>
      <c r="AA373" s="3"/>
      <c r="AB373" s="62">
        <f t="shared" si="603"/>
        <v>0</v>
      </c>
      <c r="AC373" s="52">
        <f t="shared" si="604"/>
        <v>0</v>
      </c>
      <c r="AD373" s="3"/>
      <c r="AE373" s="3"/>
      <c r="AF373" s="9" t="str">
        <f t="shared" si="605"/>
        <v>e) Muy mala</v>
      </c>
      <c r="AG373" s="72">
        <f t="shared" si="606"/>
        <v>0</v>
      </c>
      <c r="AH373" s="72">
        <f t="shared" si="607"/>
        <v>0</v>
      </c>
      <c r="AI373" s="73">
        <f t="shared" si="608"/>
        <v>0</v>
      </c>
      <c r="AJ373" s="73"/>
      <c r="AK373" s="76" t="e">
        <f t="shared" si="609"/>
        <v>#DIV/0!</v>
      </c>
      <c r="AL373" s="76" t="e">
        <f t="shared" si="610"/>
        <v>#DIV/0!</v>
      </c>
      <c r="AM373" s="76" t="e">
        <f t="shared" si="611"/>
        <v>#DIV/0!</v>
      </c>
      <c r="AN373" s="76"/>
      <c r="AO373" s="81" t="e">
        <f t="shared" si="612"/>
        <v>#DIV/0!</v>
      </c>
      <c r="AP373" s="81" t="e">
        <f t="shared" si="613"/>
        <v>#DIV/0!</v>
      </c>
      <c r="AQ373" s="81" t="e">
        <f t="shared" si="614"/>
        <v>#DIV/0!</v>
      </c>
      <c r="AR373" s="3"/>
      <c r="AS373" s="76">
        <f t="shared" si="542"/>
        <v>0</v>
      </c>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row>
    <row r="374" spans="1:75" x14ac:dyDescent="0.3">
      <c r="A374" s="8" t="s">
        <v>45</v>
      </c>
      <c r="B374" s="9" t="s">
        <v>233</v>
      </c>
      <c r="C374" s="7"/>
      <c r="D374" s="7"/>
      <c r="E374" s="7"/>
      <c r="F374" s="71"/>
      <c r="G374" s="51">
        <f t="shared" si="591"/>
        <v>2</v>
      </c>
      <c r="H374" s="52">
        <f t="shared" si="592"/>
        <v>4.7619047619047619</v>
      </c>
      <c r="I374" s="53">
        <f>COUNTIFS('00 Encuesta'!$B$2:$B$511,"*f)*",'00 Encuesta'!$C$2:$C$511,"*a)*",'00 Encuesta'!$E$2:$E$511,"*a)*",'00 Encuesta'!$AU$2:$AU$511,"*f)*")</f>
        <v>1</v>
      </c>
      <c r="J374" s="52">
        <f t="shared" si="593"/>
        <v>4.5454545454545459</v>
      </c>
      <c r="K374" s="53">
        <f>COUNTIFS('00 Encuesta'!$B$2:$B$511,"*f)*",'00 Encuesta'!$C$2:$C$511,"*a)*",'00 Encuesta'!$E$2:$E$511,"*b)*",'00 Encuesta'!$AU$2:$AU$511,"*f)*")</f>
        <v>1</v>
      </c>
      <c r="L374" s="52">
        <f t="shared" si="594"/>
        <v>5</v>
      </c>
      <c r="M374" s="23"/>
      <c r="N374" s="51">
        <f t="shared" si="595"/>
        <v>0</v>
      </c>
      <c r="O374" s="52" t="e">
        <f t="shared" si="596"/>
        <v>#DIV/0!</v>
      </c>
      <c r="P374" s="53">
        <f>COUNTIFS('00 Encuesta'!$B$2:$B$511,"*f)*",'00 Encuesta'!$C$2:$C$511,"*b)*",'00 Encuesta'!$E$2:$E$511,"*a)*",'00 Encuesta'!$AU$2:$AU$511,"*f)*")</f>
        <v>0</v>
      </c>
      <c r="Q374" s="52" t="e">
        <f t="shared" si="597"/>
        <v>#DIV/0!</v>
      </c>
      <c r="R374" s="53">
        <f>COUNTIFS('00 Encuesta'!$B$2:$B$511,"*f)*",'00 Encuesta'!$C$2:$C$511,"*b)*",'00 Encuesta'!$E$2:$E$511,"*b)*",'00 Encuesta'!$AU$2:$AU$511,"*f)*")</f>
        <v>0</v>
      </c>
      <c r="S374" s="52" t="e">
        <f t="shared" si="598"/>
        <v>#DIV/0!</v>
      </c>
      <c r="T374" s="3"/>
      <c r="U374" s="51">
        <f t="shared" si="599"/>
        <v>0</v>
      </c>
      <c r="V374" s="52" t="e">
        <f t="shared" si="600"/>
        <v>#DIV/0!</v>
      </c>
      <c r="W374" s="53">
        <f>COUNTIFS('00 Encuesta'!$B$2:$B$511,"*f)*",'00 Encuesta'!$C$2:$C$511,"*c)*",'00 Encuesta'!$E$2:$E$511,"*a)*",'00 Encuesta'!$AU$2:$AU$511,"*f)*")</f>
        <v>0</v>
      </c>
      <c r="X374" s="52" t="e">
        <f t="shared" si="601"/>
        <v>#DIV/0!</v>
      </c>
      <c r="Y374" s="53">
        <f>COUNTIFS('00 Encuesta'!$B$2:$B$511,"*f)*",'00 Encuesta'!$C$2:$C$511,"*c)*",'00 Encuesta'!$E$2:$E$511,"*b)*",'00 Encuesta'!$AU$2:$AU$511,"*f)*")</f>
        <v>0</v>
      </c>
      <c r="Z374" s="52" t="e">
        <f t="shared" si="602"/>
        <v>#DIV/0!</v>
      </c>
      <c r="AA374" s="3"/>
      <c r="AB374" s="62">
        <f t="shared" si="603"/>
        <v>2</v>
      </c>
      <c r="AC374" s="52">
        <f t="shared" si="604"/>
        <v>4.7619047619047619</v>
      </c>
      <c r="AD374" s="3"/>
      <c r="AE374" s="3"/>
      <c r="AF374" s="9" t="str">
        <f t="shared" si="605"/>
        <v>f) No aplica</v>
      </c>
      <c r="AG374" s="72">
        <f t="shared" si="606"/>
        <v>4.5454545454545459</v>
      </c>
      <c r="AH374" s="72">
        <f t="shared" si="607"/>
        <v>5</v>
      </c>
      <c r="AI374" s="73">
        <f t="shared" si="608"/>
        <v>4.7619047619047619</v>
      </c>
      <c r="AJ374" s="73"/>
      <c r="AK374" s="76" t="e">
        <f t="shared" si="609"/>
        <v>#DIV/0!</v>
      </c>
      <c r="AL374" s="76" t="e">
        <f t="shared" si="610"/>
        <v>#DIV/0!</v>
      </c>
      <c r="AM374" s="76" t="e">
        <f t="shared" si="611"/>
        <v>#DIV/0!</v>
      </c>
      <c r="AN374" s="76"/>
      <c r="AO374" s="81" t="e">
        <f t="shared" si="612"/>
        <v>#DIV/0!</v>
      </c>
      <c r="AP374" s="81" t="e">
        <f t="shared" si="613"/>
        <v>#DIV/0!</v>
      </c>
      <c r="AQ374" s="81" t="e">
        <f t="shared" si="614"/>
        <v>#DIV/0!</v>
      </c>
      <c r="AR374" s="3"/>
      <c r="AS374" s="76">
        <f t="shared" si="542"/>
        <v>4.7619047619047619</v>
      </c>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row>
    <row r="375" spans="1:75" x14ac:dyDescent="0.3">
      <c r="A375" s="8"/>
      <c r="B375" s="9"/>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6"/>
      <c r="AC375" s="41"/>
      <c r="AD375" s="3"/>
      <c r="AE375" s="3"/>
      <c r="AF375" s="3"/>
      <c r="AG375" s="82">
        <f>($F369*I369+$F370*I370+$F371*I371+$F372*I372+$F373*I373)/(I369+I370+I371+I372+I373)</f>
        <v>82.89473684210526</v>
      </c>
      <c r="AH375" s="82">
        <f>($F369*K369+$F370*K370+$F371*K371+$F372*K372+$F373*K373)/(K369+K370+K371+K372+K373)</f>
        <v>93.421052631578945</v>
      </c>
      <c r="AI375" s="82">
        <f>($F369*G369+$F370*G370+$F371*G371+$F372*G372+$F373*G373)/(G369+G370+G371+G372+G373)</f>
        <v>88.15789473684211</v>
      </c>
      <c r="AJ375" s="82"/>
      <c r="AK375" s="82" t="e">
        <f>($F369*Q369+$F370*Q370+$F371*Q371+$F372*Q372+$F373*Q373)/(Q369+Q370+Q371+Q372+Q373)</f>
        <v>#DIV/0!</v>
      </c>
      <c r="AL375" s="82" t="e">
        <f>($F369*S369+$F370*S370+$F371*S371+$F372*S372+$F373*S373)/(S369+S370+S371+S372+S373)</f>
        <v>#DIV/0!</v>
      </c>
      <c r="AM375" s="82" t="e">
        <f>($F369*O369+$F370*O370+$F371*O371+$F372*O372+$F373*O373)/(O369+O370+O371+O372+O373)</f>
        <v>#DIV/0!</v>
      </c>
      <c r="AN375" s="82"/>
      <c r="AO375" s="82" t="e">
        <f>($F369*W369+$F370*W370+$F371*W371+$F372*W372+$F373*W373)/(W369+W370+W371+W372+W373)</f>
        <v>#DIV/0!</v>
      </c>
      <c r="AP375" s="82" t="e">
        <f>($F369*Y369+$F370*Y370+$F371*Y371+$F372*Y372+$F373*Y373)/(Y369+Y370+Y371+Y372+Y373)</f>
        <v>#DIV/0!</v>
      </c>
      <c r="AQ375" s="82" t="e">
        <f>($F369*U369+$F370*U370+$F371*U371+$F372*U372+$F373*U373)/(U369+U370+U371+U372+U373)</f>
        <v>#DIV/0!</v>
      </c>
      <c r="AR375" s="3"/>
      <c r="AS375" s="76"/>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row>
    <row r="376" spans="1:75" x14ac:dyDescent="0.3">
      <c r="A376" s="84">
        <v>42</v>
      </c>
      <c r="B376" s="9" t="s">
        <v>240</v>
      </c>
      <c r="C376" s="3"/>
      <c r="D376" s="3"/>
      <c r="E376" s="3"/>
      <c r="F376" s="71"/>
      <c r="G376" s="51"/>
      <c r="H376" s="52"/>
      <c r="I376" s="53"/>
      <c r="J376" s="52"/>
      <c r="K376" s="53"/>
      <c r="L376" s="66"/>
      <c r="M376" s="23"/>
      <c r="N376" s="51"/>
      <c r="O376" s="52"/>
      <c r="P376" s="53"/>
      <c r="Q376" s="52"/>
      <c r="R376" s="53"/>
      <c r="S376" s="66"/>
      <c r="T376" s="3"/>
      <c r="U376" s="51"/>
      <c r="V376" s="52"/>
      <c r="W376" s="53"/>
      <c r="X376" s="52"/>
      <c r="Y376" s="53"/>
      <c r="Z376" s="66"/>
      <c r="AA376" s="3"/>
      <c r="AB376" s="62"/>
      <c r="AC376" s="52"/>
      <c r="AD376" s="3"/>
      <c r="AE376" s="3"/>
      <c r="AF376" s="88" t="str">
        <f>A376&amp;" "&amp;B376</f>
        <v>42 El ambiente del colegio</v>
      </c>
      <c r="AG376" s="3"/>
      <c r="AH376" s="3"/>
      <c r="AI376" s="3"/>
      <c r="AJ376" s="3"/>
      <c r="AK376" s="3"/>
      <c r="AL376" s="3"/>
      <c r="AM376" s="3"/>
      <c r="AN376" s="3"/>
      <c r="AO376" s="3"/>
      <c r="AP376" s="3"/>
      <c r="AQ376" s="3"/>
      <c r="AR376" s="3"/>
      <c r="AS376" s="76"/>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row>
    <row r="377" spans="1:75" x14ac:dyDescent="0.3">
      <c r="A377" s="8" t="s">
        <v>17</v>
      </c>
      <c r="B377" s="9" t="s">
        <v>229</v>
      </c>
      <c r="C377" s="3"/>
      <c r="D377" s="3"/>
      <c r="E377" s="3"/>
      <c r="F377" s="71">
        <v>100</v>
      </c>
      <c r="G377" s="51">
        <f t="shared" ref="G377:G382" si="615">I377+K377</f>
        <v>27</v>
      </c>
      <c r="H377" s="52">
        <f t="shared" ref="H377:H382" si="616">G377/$J$5*100</f>
        <v>64.285714285714292</v>
      </c>
      <c r="I377" s="53">
        <f>COUNTIFS('00 Encuesta'!$B$2:$B$511,"*f)*",'00 Encuesta'!$C$2:$C$511,"*a)*",'00 Encuesta'!$E$2:$E$511,"*a)*",'00 Encuesta'!$AV$2:$AV$511,"*a)*")</f>
        <v>14</v>
      </c>
      <c r="J377" s="52">
        <f t="shared" ref="J377:J382" si="617">I377/$J$6*100</f>
        <v>63.636363636363633</v>
      </c>
      <c r="K377" s="53">
        <f>COUNTIFS('00 Encuesta'!$B$2:$B$511,"*f)*",'00 Encuesta'!$C$2:$C$511,"*a)*",'00 Encuesta'!$E$2:$E$511,"*b)*",'00 Encuesta'!$AV$2:$AV$511,"*a)*")</f>
        <v>13</v>
      </c>
      <c r="L377" s="52">
        <f t="shared" ref="L377:L382" si="618">K377/$J$7*100</f>
        <v>65</v>
      </c>
      <c r="M377" s="23"/>
      <c r="N377" s="51">
        <f t="shared" ref="N377:N382" si="619">P377+R377</f>
        <v>0</v>
      </c>
      <c r="O377" s="52" t="e">
        <f t="shared" ref="O377:O382" si="620">N377/$Q$5*100</f>
        <v>#DIV/0!</v>
      </c>
      <c r="P377" s="53">
        <f>COUNTIFS('00 Encuesta'!$B$2:$B$511,"*f)*",'00 Encuesta'!$C$2:$C$511,"*b)*",'00 Encuesta'!$E$2:$E$511,"*a)*",'00 Encuesta'!$AV$2:$AV$511,"*a)*")</f>
        <v>0</v>
      </c>
      <c r="Q377" s="52" t="e">
        <f t="shared" ref="Q377:Q382" si="621">P377/$Q$6*100</f>
        <v>#DIV/0!</v>
      </c>
      <c r="R377" s="53">
        <f>COUNTIFS('00 Encuesta'!$B$2:$B$511,"*f)*",'00 Encuesta'!$C$2:$C$511,"*b)*",'00 Encuesta'!$E$2:$E$511,"*b)*",'00 Encuesta'!$AV$2:$AV$511,"*a)*")</f>
        <v>0</v>
      </c>
      <c r="S377" s="52" t="e">
        <f t="shared" ref="S377:S382" si="622">R377/$Q$7*100</f>
        <v>#DIV/0!</v>
      </c>
      <c r="T377" s="3"/>
      <c r="U377" s="51">
        <f t="shared" ref="U377:U382" si="623">W377+Y377</f>
        <v>0</v>
      </c>
      <c r="V377" s="52" t="e">
        <f t="shared" ref="V377:V382" si="624">U377/$X$5*100</f>
        <v>#DIV/0!</v>
      </c>
      <c r="W377" s="53">
        <f>COUNTIFS('00 Encuesta'!$B$2:$B$511,"*f)*",'00 Encuesta'!$C$2:$C$511,"*c)*",'00 Encuesta'!$E$2:$E$511,"*a)*",'00 Encuesta'!$AV$2:$AV$511,"*a)*")</f>
        <v>0</v>
      </c>
      <c r="X377" s="52" t="e">
        <f t="shared" ref="X377:X382" si="625">W377/$X$6*100</f>
        <v>#DIV/0!</v>
      </c>
      <c r="Y377" s="53">
        <f>COUNTIFS('00 Encuesta'!$B$2:$B$511,"*f)*",'00 Encuesta'!$C$2:$C$511,"*c)*",'00 Encuesta'!$E$2:$E$511,"*b)*",'00 Encuesta'!$AV$2:$AV$511,"*a)*")</f>
        <v>0</v>
      </c>
      <c r="Z377" s="52" t="e">
        <f t="shared" ref="Z377:Z382" si="626">Y377/$X$7*100</f>
        <v>#DIV/0!</v>
      </c>
      <c r="AA377" s="3"/>
      <c r="AB377" s="62">
        <f t="shared" ref="AB377:AB383" si="627">G377+N377+U377</f>
        <v>27</v>
      </c>
      <c r="AC377" s="52">
        <f t="shared" ref="AC377:AC383" si="628">AB377*100/$AC$5</f>
        <v>64.285714285714292</v>
      </c>
      <c r="AD377" s="3"/>
      <c r="AE377" s="3"/>
      <c r="AF377" s="9" t="str">
        <f t="shared" ref="AF377:AF382" si="629">A377&amp;" "&amp;B377</f>
        <v>a) Muy buena</v>
      </c>
      <c r="AG377" s="72">
        <f t="shared" ref="AG377:AG382" si="630">J377</f>
        <v>63.636363636363633</v>
      </c>
      <c r="AH377" s="72">
        <f t="shared" ref="AH377:AH382" si="631">L377</f>
        <v>65</v>
      </c>
      <c r="AI377" s="73">
        <f t="shared" ref="AI377:AI382" si="632">H377</f>
        <v>64.285714285714292</v>
      </c>
      <c r="AJ377" s="73"/>
      <c r="AK377" s="76" t="e">
        <f t="shared" ref="AK377:AK382" si="633">Q377</f>
        <v>#DIV/0!</v>
      </c>
      <c r="AL377" s="76" t="e">
        <f t="shared" ref="AL377:AL382" si="634">S377</f>
        <v>#DIV/0!</v>
      </c>
      <c r="AM377" s="76" t="e">
        <f t="shared" ref="AM377:AM382" si="635">O377</f>
        <v>#DIV/0!</v>
      </c>
      <c r="AN377" s="76"/>
      <c r="AO377" s="81" t="e">
        <f t="shared" ref="AO377:AO382" si="636">X377</f>
        <v>#DIV/0!</v>
      </c>
      <c r="AP377" s="81" t="e">
        <f t="shared" ref="AP377:AP382" si="637">Z377</f>
        <v>#DIV/0!</v>
      </c>
      <c r="AQ377" s="81" t="e">
        <f t="shared" ref="AQ377:AQ382" si="638">V377</f>
        <v>#DIV/0!</v>
      </c>
      <c r="AR377" s="3"/>
      <c r="AS377" s="76">
        <f t="shared" si="542"/>
        <v>64.285714285714292</v>
      </c>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row>
    <row r="378" spans="1:75" x14ac:dyDescent="0.3">
      <c r="A378" s="8" t="s">
        <v>18</v>
      </c>
      <c r="B378" s="9" t="s">
        <v>230</v>
      </c>
      <c r="C378" s="3"/>
      <c r="D378" s="3"/>
      <c r="E378" s="3"/>
      <c r="F378" s="71">
        <v>75</v>
      </c>
      <c r="G378" s="51">
        <f t="shared" si="615"/>
        <v>12</v>
      </c>
      <c r="H378" s="52">
        <f t="shared" si="616"/>
        <v>28.571428571428569</v>
      </c>
      <c r="I378" s="53">
        <f>COUNTIFS('00 Encuesta'!$B$2:$B$511,"*f)*",'00 Encuesta'!$C$2:$C$511,"*a)*",'00 Encuesta'!$E$2:$E$511,"*a)*",'00 Encuesta'!$AV$2:$AV$511,"*b)*")</f>
        <v>7</v>
      </c>
      <c r="J378" s="52">
        <f t="shared" si="617"/>
        <v>31.818181818181817</v>
      </c>
      <c r="K378" s="53">
        <f>COUNTIFS('00 Encuesta'!$B$2:$B$511,"*f)*",'00 Encuesta'!$C$2:$C$511,"*a)*",'00 Encuesta'!$E$2:$E$511,"*b)*",'00 Encuesta'!$AV$2:$AV$511,"*b)*")</f>
        <v>5</v>
      </c>
      <c r="L378" s="52">
        <f t="shared" si="618"/>
        <v>25</v>
      </c>
      <c r="M378" s="23"/>
      <c r="N378" s="51">
        <f t="shared" si="619"/>
        <v>0</v>
      </c>
      <c r="O378" s="52" t="e">
        <f t="shared" si="620"/>
        <v>#DIV/0!</v>
      </c>
      <c r="P378" s="53">
        <f>COUNTIFS('00 Encuesta'!$B$2:$B$511,"*f)*",'00 Encuesta'!$C$2:$C$511,"*b)*",'00 Encuesta'!$E$2:$E$511,"*a)*",'00 Encuesta'!$AV$2:$AV$511,"*b)*")</f>
        <v>0</v>
      </c>
      <c r="Q378" s="52" t="e">
        <f t="shared" si="621"/>
        <v>#DIV/0!</v>
      </c>
      <c r="R378" s="53">
        <f>COUNTIFS('00 Encuesta'!$B$2:$B$511,"*f)*",'00 Encuesta'!$C$2:$C$511,"*b)*",'00 Encuesta'!$E$2:$E$511,"*b)*",'00 Encuesta'!$AV$2:$AV$511,"*b)*")</f>
        <v>0</v>
      </c>
      <c r="S378" s="52" t="e">
        <f t="shared" si="622"/>
        <v>#DIV/0!</v>
      </c>
      <c r="T378" s="3"/>
      <c r="U378" s="51">
        <f t="shared" si="623"/>
        <v>0</v>
      </c>
      <c r="V378" s="52" t="e">
        <f t="shared" si="624"/>
        <v>#DIV/0!</v>
      </c>
      <c r="W378" s="53">
        <f>COUNTIFS('00 Encuesta'!$B$2:$B$511,"*f)*",'00 Encuesta'!$C$2:$C$511,"*c)*",'00 Encuesta'!$E$2:$E$511,"*a)*",'00 Encuesta'!$AV$2:$AV$511,"*b)*")</f>
        <v>0</v>
      </c>
      <c r="X378" s="52" t="e">
        <f t="shared" si="625"/>
        <v>#DIV/0!</v>
      </c>
      <c r="Y378" s="53">
        <f>COUNTIFS('00 Encuesta'!$B$2:$B$511,"*f)*",'00 Encuesta'!$C$2:$C$511,"*c)*",'00 Encuesta'!$E$2:$E$511,"*b)*",'00 Encuesta'!$AV$2:$AV$511,"*b)*")</f>
        <v>0</v>
      </c>
      <c r="Z378" s="52" t="e">
        <f t="shared" si="626"/>
        <v>#DIV/0!</v>
      </c>
      <c r="AA378" s="3"/>
      <c r="AB378" s="62">
        <f t="shared" si="627"/>
        <v>12</v>
      </c>
      <c r="AC378" s="52">
        <f t="shared" si="628"/>
        <v>28.571428571428573</v>
      </c>
      <c r="AD378" s="3"/>
      <c r="AE378" s="3"/>
      <c r="AF378" s="9" t="str">
        <f t="shared" si="629"/>
        <v>b) Buena</v>
      </c>
      <c r="AG378" s="72">
        <f t="shared" si="630"/>
        <v>31.818181818181817</v>
      </c>
      <c r="AH378" s="72">
        <f t="shared" si="631"/>
        <v>25</v>
      </c>
      <c r="AI378" s="73">
        <f t="shared" si="632"/>
        <v>28.571428571428569</v>
      </c>
      <c r="AJ378" s="73"/>
      <c r="AK378" s="76" t="e">
        <f t="shared" si="633"/>
        <v>#DIV/0!</v>
      </c>
      <c r="AL378" s="76" t="e">
        <f t="shared" si="634"/>
        <v>#DIV/0!</v>
      </c>
      <c r="AM378" s="76" t="e">
        <f t="shared" si="635"/>
        <v>#DIV/0!</v>
      </c>
      <c r="AN378" s="76"/>
      <c r="AO378" s="81" t="e">
        <f t="shared" si="636"/>
        <v>#DIV/0!</v>
      </c>
      <c r="AP378" s="81" t="e">
        <f t="shared" si="637"/>
        <v>#DIV/0!</v>
      </c>
      <c r="AQ378" s="81" t="e">
        <f t="shared" si="638"/>
        <v>#DIV/0!</v>
      </c>
      <c r="AR378" s="3"/>
      <c r="AS378" s="76">
        <f t="shared" si="542"/>
        <v>28.571428571428573</v>
      </c>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row>
    <row r="379" spans="1:75" x14ac:dyDescent="0.3">
      <c r="A379" s="8" t="s">
        <v>20</v>
      </c>
      <c r="B379" s="9" t="s">
        <v>218</v>
      </c>
      <c r="C379" s="3"/>
      <c r="D379" s="3"/>
      <c r="E379" s="3"/>
      <c r="F379" s="71">
        <v>50</v>
      </c>
      <c r="G379" s="51">
        <f t="shared" si="615"/>
        <v>2</v>
      </c>
      <c r="H379" s="52">
        <f t="shared" si="616"/>
        <v>4.7619047619047619</v>
      </c>
      <c r="I379" s="53">
        <f>COUNTIFS('00 Encuesta'!$B$2:$B$511,"*f)*",'00 Encuesta'!$C$2:$C$511,"*a)*",'00 Encuesta'!$E$2:$E$511,"*a)*",'00 Encuesta'!$AV$2:$AV$511,"*c)*")</f>
        <v>0</v>
      </c>
      <c r="J379" s="52">
        <f t="shared" si="617"/>
        <v>0</v>
      </c>
      <c r="K379" s="53">
        <f>COUNTIFS('00 Encuesta'!$B$2:$B$511,"*f)*",'00 Encuesta'!$C$2:$C$511,"*a)*",'00 Encuesta'!$E$2:$E$511,"*b)*",'00 Encuesta'!$AV$2:$AV$511,"*c)*")</f>
        <v>2</v>
      </c>
      <c r="L379" s="52">
        <f t="shared" si="618"/>
        <v>10</v>
      </c>
      <c r="M379" s="23"/>
      <c r="N379" s="51">
        <f t="shared" si="619"/>
        <v>0</v>
      </c>
      <c r="O379" s="52" t="e">
        <f t="shared" si="620"/>
        <v>#DIV/0!</v>
      </c>
      <c r="P379" s="53">
        <f>COUNTIFS('00 Encuesta'!$B$2:$B$511,"*f)*",'00 Encuesta'!$C$2:$C$511,"*b)*",'00 Encuesta'!$E$2:$E$511,"*a)*",'00 Encuesta'!$AV$2:$AV$511,"*c)*")</f>
        <v>0</v>
      </c>
      <c r="Q379" s="52" t="e">
        <f t="shared" si="621"/>
        <v>#DIV/0!</v>
      </c>
      <c r="R379" s="53">
        <f>COUNTIFS('00 Encuesta'!$B$2:$B$511,"*f)*",'00 Encuesta'!$C$2:$C$511,"*b)*",'00 Encuesta'!$E$2:$E$511,"*b)*",'00 Encuesta'!$AV$2:$AV$511,"*c)*")</f>
        <v>0</v>
      </c>
      <c r="S379" s="52" t="e">
        <f t="shared" si="622"/>
        <v>#DIV/0!</v>
      </c>
      <c r="T379" s="3"/>
      <c r="U379" s="51">
        <f t="shared" si="623"/>
        <v>0</v>
      </c>
      <c r="V379" s="52" t="e">
        <f t="shared" si="624"/>
        <v>#DIV/0!</v>
      </c>
      <c r="W379" s="53">
        <f>COUNTIFS('00 Encuesta'!$B$2:$B$511,"*f)*",'00 Encuesta'!$C$2:$C$511,"*c)*",'00 Encuesta'!$E$2:$E$511,"*a)*",'00 Encuesta'!$AV$2:$AV$511,"*c)*")</f>
        <v>0</v>
      </c>
      <c r="X379" s="52" t="e">
        <f t="shared" si="625"/>
        <v>#DIV/0!</v>
      </c>
      <c r="Y379" s="53">
        <f>COUNTIFS('00 Encuesta'!$B$2:$B$511,"*f)*",'00 Encuesta'!$C$2:$C$511,"*c)*",'00 Encuesta'!$E$2:$E$511,"*b)*",'00 Encuesta'!$AV$2:$AV$511,"*c)*")</f>
        <v>0</v>
      </c>
      <c r="Z379" s="52" t="e">
        <f t="shared" si="626"/>
        <v>#DIV/0!</v>
      </c>
      <c r="AA379" s="3"/>
      <c r="AB379" s="62">
        <f t="shared" si="627"/>
        <v>2</v>
      </c>
      <c r="AC379" s="52">
        <f t="shared" si="628"/>
        <v>4.7619047619047619</v>
      </c>
      <c r="AD379" s="3"/>
      <c r="AE379" s="3"/>
      <c r="AF379" s="9" t="str">
        <f t="shared" si="629"/>
        <v>c) Regular</v>
      </c>
      <c r="AG379" s="72">
        <f t="shared" si="630"/>
        <v>0</v>
      </c>
      <c r="AH379" s="72">
        <f t="shared" si="631"/>
        <v>10</v>
      </c>
      <c r="AI379" s="73">
        <f t="shared" si="632"/>
        <v>4.7619047619047619</v>
      </c>
      <c r="AJ379" s="73"/>
      <c r="AK379" s="76" t="e">
        <f t="shared" si="633"/>
        <v>#DIV/0!</v>
      </c>
      <c r="AL379" s="76" t="e">
        <f t="shared" si="634"/>
        <v>#DIV/0!</v>
      </c>
      <c r="AM379" s="76" t="e">
        <f t="shared" si="635"/>
        <v>#DIV/0!</v>
      </c>
      <c r="AN379" s="76"/>
      <c r="AO379" s="81" t="e">
        <f t="shared" si="636"/>
        <v>#DIV/0!</v>
      </c>
      <c r="AP379" s="81" t="e">
        <f t="shared" si="637"/>
        <v>#DIV/0!</v>
      </c>
      <c r="AQ379" s="81" t="e">
        <f t="shared" si="638"/>
        <v>#DIV/0!</v>
      </c>
      <c r="AR379" s="3"/>
      <c r="AS379" s="76">
        <f t="shared" si="542"/>
        <v>4.7619047619047619</v>
      </c>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row>
    <row r="380" spans="1:75" x14ac:dyDescent="0.3">
      <c r="A380" s="8" t="s">
        <v>21</v>
      </c>
      <c r="B380" s="9" t="s">
        <v>231</v>
      </c>
      <c r="C380" s="3"/>
      <c r="D380" s="3"/>
      <c r="E380" s="3"/>
      <c r="F380" s="71">
        <v>25</v>
      </c>
      <c r="G380" s="51">
        <f t="shared" si="615"/>
        <v>0</v>
      </c>
      <c r="H380" s="52">
        <f t="shared" si="616"/>
        <v>0</v>
      </c>
      <c r="I380" s="53">
        <f>COUNTIFS('00 Encuesta'!$B$2:$B$511,"*f)*",'00 Encuesta'!$C$2:$C$511,"*a)*",'00 Encuesta'!$E$2:$E$511,"*a)*",'00 Encuesta'!$AV$2:$AV$511,"*d)*")</f>
        <v>0</v>
      </c>
      <c r="J380" s="52">
        <f t="shared" si="617"/>
        <v>0</v>
      </c>
      <c r="K380" s="53">
        <f>COUNTIFS('00 Encuesta'!$B$2:$B$511,"*f)*",'00 Encuesta'!$C$2:$C$511,"*a)*",'00 Encuesta'!$E$2:$E$511,"*b)*",'00 Encuesta'!$AV$2:$AV$511,"*d)*")</f>
        <v>0</v>
      </c>
      <c r="L380" s="52">
        <f t="shared" si="618"/>
        <v>0</v>
      </c>
      <c r="M380" s="23"/>
      <c r="N380" s="51">
        <f t="shared" si="619"/>
        <v>0</v>
      </c>
      <c r="O380" s="52" t="e">
        <f t="shared" si="620"/>
        <v>#DIV/0!</v>
      </c>
      <c r="P380" s="53">
        <f>COUNTIFS('00 Encuesta'!$B$2:$B$511,"*f)*",'00 Encuesta'!$C$2:$C$511,"*b)*",'00 Encuesta'!$E$2:$E$511,"*a)*",'00 Encuesta'!$AV$2:$AV$511,"*d)*")</f>
        <v>0</v>
      </c>
      <c r="Q380" s="52" t="e">
        <f t="shared" si="621"/>
        <v>#DIV/0!</v>
      </c>
      <c r="R380" s="53">
        <f>COUNTIFS('00 Encuesta'!$B$2:$B$511,"*f)*",'00 Encuesta'!$C$2:$C$511,"*b)*",'00 Encuesta'!$E$2:$E$511,"*b)*",'00 Encuesta'!$AV$2:$AV$511,"*d)*")</f>
        <v>0</v>
      </c>
      <c r="S380" s="52" t="e">
        <f t="shared" si="622"/>
        <v>#DIV/0!</v>
      </c>
      <c r="T380" s="3"/>
      <c r="U380" s="51">
        <f t="shared" si="623"/>
        <v>0</v>
      </c>
      <c r="V380" s="52" t="e">
        <f t="shared" si="624"/>
        <v>#DIV/0!</v>
      </c>
      <c r="W380" s="53">
        <f>COUNTIFS('00 Encuesta'!$B$2:$B$511,"*f)*",'00 Encuesta'!$C$2:$C$511,"*c)*",'00 Encuesta'!$E$2:$E$511,"*a)*",'00 Encuesta'!$AV$2:$AV$511,"*d)*")</f>
        <v>0</v>
      </c>
      <c r="X380" s="52" t="e">
        <f t="shared" si="625"/>
        <v>#DIV/0!</v>
      </c>
      <c r="Y380" s="53">
        <f>COUNTIFS('00 Encuesta'!$B$2:$B$511,"*f)*",'00 Encuesta'!$C$2:$C$511,"*c)*",'00 Encuesta'!$E$2:$E$511,"*b)*",'00 Encuesta'!$AV$2:$AV$511,"*d)*")</f>
        <v>0</v>
      </c>
      <c r="Z380" s="52" t="e">
        <f t="shared" si="626"/>
        <v>#DIV/0!</v>
      </c>
      <c r="AA380" s="3"/>
      <c r="AB380" s="62">
        <f t="shared" si="627"/>
        <v>0</v>
      </c>
      <c r="AC380" s="52">
        <f t="shared" si="628"/>
        <v>0</v>
      </c>
      <c r="AD380" s="3"/>
      <c r="AE380" s="3"/>
      <c r="AF380" s="9" t="str">
        <f t="shared" si="629"/>
        <v>d) Mala</v>
      </c>
      <c r="AG380" s="72">
        <f t="shared" si="630"/>
        <v>0</v>
      </c>
      <c r="AH380" s="72">
        <f t="shared" si="631"/>
        <v>0</v>
      </c>
      <c r="AI380" s="73">
        <f t="shared" si="632"/>
        <v>0</v>
      </c>
      <c r="AJ380" s="73"/>
      <c r="AK380" s="76" t="e">
        <f t="shared" si="633"/>
        <v>#DIV/0!</v>
      </c>
      <c r="AL380" s="76" t="e">
        <f t="shared" si="634"/>
        <v>#DIV/0!</v>
      </c>
      <c r="AM380" s="76" t="e">
        <f t="shared" si="635"/>
        <v>#DIV/0!</v>
      </c>
      <c r="AN380" s="76"/>
      <c r="AO380" s="81" t="e">
        <f t="shared" si="636"/>
        <v>#DIV/0!</v>
      </c>
      <c r="AP380" s="81" t="e">
        <f t="shared" si="637"/>
        <v>#DIV/0!</v>
      </c>
      <c r="AQ380" s="81" t="e">
        <f t="shared" si="638"/>
        <v>#DIV/0!</v>
      </c>
      <c r="AR380" s="3"/>
      <c r="AS380" s="76">
        <f t="shared" si="542"/>
        <v>0</v>
      </c>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row>
    <row r="381" spans="1:75" x14ac:dyDescent="0.3">
      <c r="A381" s="8" t="s">
        <v>22</v>
      </c>
      <c r="B381" s="9" t="s">
        <v>232</v>
      </c>
      <c r="C381" s="3"/>
      <c r="D381" s="3"/>
      <c r="E381" s="3"/>
      <c r="F381" s="71">
        <v>0</v>
      </c>
      <c r="G381" s="51">
        <f t="shared" si="615"/>
        <v>0</v>
      </c>
      <c r="H381" s="52">
        <f t="shared" si="616"/>
        <v>0</v>
      </c>
      <c r="I381" s="53">
        <f>COUNTIFS('00 Encuesta'!$B$2:$B$511,"*f)*",'00 Encuesta'!$C$2:$C$511,"*a)*",'00 Encuesta'!$E$2:$E$511,"*a)*",'00 Encuesta'!$AV$2:$AV$511,"*e)*")</f>
        <v>0</v>
      </c>
      <c r="J381" s="52">
        <f t="shared" si="617"/>
        <v>0</v>
      </c>
      <c r="K381" s="53">
        <f>COUNTIFS('00 Encuesta'!$B$2:$B$511,"*f)*",'00 Encuesta'!$C$2:$C$511,"*a)*",'00 Encuesta'!$E$2:$E$511,"*b)*",'00 Encuesta'!$AV$2:$AV$511,"*e)*")</f>
        <v>0</v>
      </c>
      <c r="L381" s="52">
        <f t="shared" si="618"/>
        <v>0</v>
      </c>
      <c r="M381" s="23"/>
      <c r="N381" s="51">
        <f t="shared" si="619"/>
        <v>0</v>
      </c>
      <c r="O381" s="52" t="e">
        <f t="shared" si="620"/>
        <v>#DIV/0!</v>
      </c>
      <c r="P381" s="53">
        <f>COUNTIFS('00 Encuesta'!$B$2:$B$511,"*f)*",'00 Encuesta'!$C$2:$C$511,"*b)*",'00 Encuesta'!$E$2:$E$511,"*a)*",'00 Encuesta'!$AV$2:$AV$511,"*e)*")</f>
        <v>0</v>
      </c>
      <c r="Q381" s="52" t="e">
        <f t="shared" si="621"/>
        <v>#DIV/0!</v>
      </c>
      <c r="R381" s="53">
        <f>COUNTIFS('00 Encuesta'!$B$2:$B$511,"*f)*",'00 Encuesta'!$C$2:$C$511,"*b)*",'00 Encuesta'!$E$2:$E$511,"*b)*",'00 Encuesta'!$AV$2:$AV$511,"*e)*")</f>
        <v>0</v>
      </c>
      <c r="S381" s="52" t="e">
        <f t="shared" si="622"/>
        <v>#DIV/0!</v>
      </c>
      <c r="T381" s="3"/>
      <c r="U381" s="51">
        <f t="shared" si="623"/>
        <v>0</v>
      </c>
      <c r="V381" s="52" t="e">
        <f t="shared" si="624"/>
        <v>#DIV/0!</v>
      </c>
      <c r="W381" s="53">
        <f>COUNTIFS('00 Encuesta'!$B$2:$B$511,"*f)*",'00 Encuesta'!$C$2:$C$511,"*c)*",'00 Encuesta'!$E$2:$E$511,"*a)*",'00 Encuesta'!$AV$2:$AV$511,"*e)*")</f>
        <v>0</v>
      </c>
      <c r="X381" s="52" t="e">
        <f t="shared" si="625"/>
        <v>#DIV/0!</v>
      </c>
      <c r="Y381" s="53">
        <f>COUNTIFS('00 Encuesta'!$B$2:$B$511,"*f)*",'00 Encuesta'!$C$2:$C$511,"*c)*",'00 Encuesta'!$E$2:$E$511,"*b)*",'00 Encuesta'!$AV$2:$AV$511,"*e)*")</f>
        <v>0</v>
      </c>
      <c r="Z381" s="52" t="e">
        <f t="shared" si="626"/>
        <v>#DIV/0!</v>
      </c>
      <c r="AA381" s="3"/>
      <c r="AB381" s="62">
        <f t="shared" si="627"/>
        <v>0</v>
      </c>
      <c r="AC381" s="52">
        <f t="shared" si="628"/>
        <v>0</v>
      </c>
      <c r="AD381" s="3"/>
      <c r="AE381" s="3"/>
      <c r="AF381" s="9" t="str">
        <f t="shared" si="629"/>
        <v>e) Muy mala</v>
      </c>
      <c r="AG381" s="72">
        <f t="shared" si="630"/>
        <v>0</v>
      </c>
      <c r="AH381" s="72">
        <f t="shared" si="631"/>
        <v>0</v>
      </c>
      <c r="AI381" s="73">
        <f t="shared" si="632"/>
        <v>0</v>
      </c>
      <c r="AJ381" s="73"/>
      <c r="AK381" s="76" t="e">
        <f t="shared" si="633"/>
        <v>#DIV/0!</v>
      </c>
      <c r="AL381" s="76" t="e">
        <f t="shared" si="634"/>
        <v>#DIV/0!</v>
      </c>
      <c r="AM381" s="76" t="e">
        <f t="shared" si="635"/>
        <v>#DIV/0!</v>
      </c>
      <c r="AN381" s="76"/>
      <c r="AO381" s="81" t="e">
        <f t="shared" si="636"/>
        <v>#DIV/0!</v>
      </c>
      <c r="AP381" s="81" t="e">
        <f t="shared" si="637"/>
        <v>#DIV/0!</v>
      </c>
      <c r="AQ381" s="81" t="e">
        <f t="shared" si="638"/>
        <v>#DIV/0!</v>
      </c>
      <c r="AR381" s="3"/>
      <c r="AS381" s="76">
        <f t="shared" si="542"/>
        <v>0</v>
      </c>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row>
    <row r="382" spans="1:75" x14ac:dyDescent="0.3">
      <c r="A382" s="8" t="s">
        <v>45</v>
      </c>
      <c r="B382" s="9" t="s">
        <v>233</v>
      </c>
      <c r="C382" s="7"/>
      <c r="D382" s="7"/>
      <c r="E382" s="7"/>
      <c r="F382" s="71"/>
      <c r="G382" s="51">
        <f t="shared" si="615"/>
        <v>0</v>
      </c>
      <c r="H382" s="52">
        <f t="shared" si="616"/>
        <v>0</v>
      </c>
      <c r="I382" s="53">
        <f>COUNTIFS('00 Encuesta'!$B$2:$B$511,"*f)*",'00 Encuesta'!$C$2:$C$511,"*a)*",'00 Encuesta'!$E$2:$E$511,"*a)*",'00 Encuesta'!$AV$2:$AV$511,"*f)*")</f>
        <v>0</v>
      </c>
      <c r="J382" s="52">
        <f t="shared" si="617"/>
        <v>0</v>
      </c>
      <c r="K382" s="53">
        <f>COUNTIFS('00 Encuesta'!$B$2:$B$511,"*f)*",'00 Encuesta'!$C$2:$C$511,"*a)*",'00 Encuesta'!$E$2:$E$511,"*b)*",'00 Encuesta'!$AV$2:$AV$511,"*f)*")</f>
        <v>0</v>
      </c>
      <c r="L382" s="52">
        <f t="shared" si="618"/>
        <v>0</v>
      </c>
      <c r="M382" s="23"/>
      <c r="N382" s="51">
        <f t="shared" si="619"/>
        <v>0</v>
      </c>
      <c r="O382" s="52" t="e">
        <f t="shared" si="620"/>
        <v>#DIV/0!</v>
      </c>
      <c r="P382" s="53">
        <f>COUNTIFS('00 Encuesta'!$B$2:$B$511,"*f)*",'00 Encuesta'!$C$2:$C$511,"*b)*",'00 Encuesta'!$E$2:$E$511,"*a)*",'00 Encuesta'!$AV$2:$AV$511,"*f)*")</f>
        <v>0</v>
      </c>
      <c r="Q382" s="52" t="e">
        <f t="shared" si="621"/>
        <v>#DIV/0!</v>
      </c>
      <c r="R382" s="53">
        <f>COUNTIFS('00 Encuesta'!$B$2:$B$511,"*f)*",'00 Encuesta'!$C$2:$C$511,"*b)*",'00 Encuesta'!$E$2:$E$511,"*b)*",'00 Encuesta'!$AV$2:$AV$511,"*f)*")</f>
        <v>0</v>
      </c>
      <c r="S382" s="52" t="e">
        <f t="shared" si="622"/>
        <v>#DIV/0!</v>
      </c>
      <c r="T382" s="3"/>
      <c r="U382" s="51">
        <f t="shared" si="623"/>
        <v>0</v>
      </c>
      <c r="V382" s="52" t="e">
        <f t="shared" si="624"/>
        <v>#DIV/0!</v>
      </c>
      <c r="W382" s="53">
        <f>COUNTIFS('00 Encuesta'!$B$2:$B$511,"*f)*",'00 Encuesta'!$C$2:$C$511,"*c)*",'00 Encuesta'!$E$2:$E$511,"*a)*",'00 Encuesta'!$AV$2:$AV$511,"*f)*")</f>
        <v>0</v>
      </c>
      <c r="X382" s="52" t="e">
        <f t="shared" si="625"/>
        <v>#DIV/0!</v>
      </c>
      <c r="Y382" s="53">
        <f>COUNTIFS('00 Encuesta'!$B$2:$B$511,"*f)*",'00 Encuesta'!$C$2:$C$511,"*c)*",'00 Encuesta'!$E$2:$E$511,"*b)*",'00 Encuesta'!$AV$2:$AV$511,"*f)*")</f>
        <v>0</v>
      </c>
      <c r="Z382" s="52" t="e">
        <f t="shared" si="626"/>
        <v>#DIV/0!</v>
      </c>
      <c r="AA382" s="3"/>
      <c r="AB382" s="62">
        <f t="shared" si="627"/>
        <v>0</v>
      </c>
      <c r="AC382" s="52">
        <f t="shared" si="628"/>
        <v>0</v>
      </c>
      <c r="AD382" s="3"/>
      <c r="AE382" s="3"/>
      <c r="AF382" s="9" t="str">
        <f t="shared" si="629"/>
        <v>f) No aplica</v>
      </c>
      <c r="AG382" s="72">
        <f t="shared" si="630"/>
        <v>0</v>
      </c>
      <c r="AH382" s="72">
        <f t="shared" si="631"/>
        <v>0</v>
      </c>
      <c r="AI382" s="73">
        <f t="shared" si="632"/>
        <v>0</v>
      </c>
      <c r="AJ382" s="73"/>
      <c r="AK382" s="76" t="e">
        <f t="shared" si="633"/>
        <v>#DIV/0!</v>
      </c>
      <c r="AL382" s="76" t="e">
        <f t="shared" si="634"/>
        <v>#DIV/0!</v>
      </c>
      <c r="AM382" s="76" t="e">
        <f t="shared" si="635"/>
        <v>#DIV/0!</v>
      </c>
      <c r="AN382" s="76"/>
      <c r="AO382" s="81" t="e">
        <f t="shared" si="636"/>
        <v>#DIV/0!</v>
      </c>
      <c r="AP382" s="81" t="e">
        <f t="shared" si="637"/>
        <v>#DIV/0!</v>
      </c>
      <c r="AQ382" s="81" t="e">
        <f t="shared" si="638"/>
        <v>#DIV/0!</v>
      </c>
      <c r="AR382" s="3"/>
      <c r="AS382" s="76">
        <f t="shared" si="542"/>
        <v>0</v>
      </c>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row>
    <row r="383" spans="1:75" x14ac:dyDescent="0.3">
      <c r="A383" s="8"/>
      <c r="B383" s="9"/>
      <c r="C383" s="3"/>
      <c r="D383" s="3"/>
      <c r="E383" s="3"/>
      <c r="F383" s="4"/>
      <c r="G383" s="51"/>
      <c r="H383" s="52"/>
      <c r="I383" s="53"/>
      <c r="J383" s="52"/>
      <c r="K383" s="53"/>
      <c r="L383" s="52"/>
      <c r="M383" s="4"/>
      <c r="N383" s="51"/>
      <c r="O383" s="52"/>
      <c r="P383" s="53"/>
      <c r="Q383" s="52"/>
      <c r="R383" s="53"/>
      <c r="S383" s="52"/>
      <c r="T383" s="4"/>
      <c r="U383" s="51"/>
      <c r="V383" s="52"/>
      <c r="W383" s="53"/>
      <c r="X383" s="52"/>
      <c r="Y383" s="53"/>
      <c r="Z383" s="52"/>
      <c r="AA383" s="3"/>
      <c r="AB383" s="62">
        <f t="shared" si="627"/>
        <v>0</v>
      </c>
      <c r="AC383" s="52">
        <f t="shared" si="628"/>
        <v>0</v>
      </c>
      <c r="AD383" s="3"/>
      <c r="AE383" s="3"/>
      <c r="AF383" s="3"/>
      <c r="AG383" s="82">
        <f>($F377*I377+$F378*I378+$F379*I379+$F380*I380+$F381*I381)/(I377+I378+I379+I380+I381)</f>
        <v>91.666666666666671</v>
      </c>
      <c r="AH383" s="82">
        <f>($F377*K377+$F378*K378+$F379*K379+$F380*K380+$F381*K381)/(K377+K378+K379+K380+K381)</f>
        <v>88.75</v>
      </c>
      <c r="AI383" s="82">
        <f>($F377*G377+$F378*G378+$F379*G379+$F380*G380+$F381*G381)/(G377+G378+G379+G380+G381)</f>
        <v>90.243902439024396</v>
      </c>
      <c r="AJ383" s="82"/>
      <c r="AK383" s="82" t="e">
        <f>($F377*Q377+$F378*Q378+$F379*Q379+$F380*Q380+$F381*Q381)/(Q377+Q378+Q379+Q380+Q381)</f>
        <v>#DIV/0!</v>
      </c>
      <c r="AL383" s="82" t="e">
        <f>($F377*S377+$F378*S378+$F379*S379+$F380*S380+$F381*S381)/(S377+S378+S379+S380+S381)</f>
        <v>#DIV/0!</v>
      </c>
      <c r="AM383" s="82" t="e">
        <f>($F377*O377+$F378*O378+$F379*O379+$F380*O380+$F381*O381)/(O377+O378+O379+O380+O381)</f>
        <v>#DIV/0!</v>
      </c>
      <c r="AN383" s="82"/>
      <c r="AO383" s="82" t="e">
        <f>($F377*W377+$F378*W378+$F379*W379+$F380*W380+$F381*W381)/(W377+W378+W379+W380+W381)</f>
        <v>#DIV/0!</v>
      </c>
      <c r="AP383" s="82" t="e">
        <f>($F377*Y377+$F378*Y378+$F379*Y379+$F380*Y380+$F381*Y381)/(Y377+Y378+Y379+Y380+Y381)</f>
        <v>#DIV/0!</v>
      </c>
      <c r="AQ383" s="82" t="e">
        <f>($F377*U377+$F378*U378+$F379*U379+$F380*U380+$F381*U381)/(U377+U378+U379+U380+U381)</f>
        <v>#DIV/0!</v>
      </c>
      <c r="AR383" s="3"/>
      <c r="AS383" s="76"/>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row>
    <row r="384" spans="1:75" x14ac:dyDescent="0.3">
      <c r="A384" s="1"/>
      <c r="B384" s="2"/>
      <c r="C384" s="3"/>
      <c r="D384" s="3"/>
      <c r="E384" s="3"/>
      <c r="F384" s="7"/>
      <c r="G384" s="7"/>
      <c r="H384" s="7"/>
      <c r="I384" s="7"/>
      <c r="J384" s="7"/>
      <c r="K384" s="7"/>
      <c r="L384" s="7"/>
      <c r="M384" s="7"/>
      <c r="N384" s="7"/>
      <c r="O384" s="7"/>
      <c r="P384" s="7"/>
      <c r="Q384" s="7"/>
      <c r="R384" s="7"/>
      <c r="S384" s="7"/>
      <c r="T384" s="7"/>
      <c r="U384" s="7"/>
      <c r="V384" s="7"/>
      <c r="W384" s="7"/>
      <c r="X384" s="7"/>
      <c r="Y384" s="7"/>
      <c r="Z384" s="7"/>
      <c r="AA384" s="7"/>
      <c r="AB384" s="6"/>
      <c r="AC384" s="41"/>
      <c r="AD384" s="3"/>
      <c r="AE384" s="3"/>
      <c r="AF384" s="3"/>
      <c r="AG384" s="3"/>
      <c r="AH384" s="3"/>
      <c r="AI384" s="3"/>
      <c r="AJ384" s="3"/>
      <c r="AK384" s="3"/>
      <c r="AL384" s="3"/>
      <c r="AM384" s="3"/>
      <c r="AN384" s="3"/>
      <c r="AO384" s="3"/>
      <c r="AP384" s="3"/>
      <c r="AQ384" s="3"/>
      <c r="AR384" s="3"/>
      <c r="AS384" s="76"/>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row>
    <row r="385" spans="1:75" x14ac:dyDescent="0.3">
      <c r="A385" s="84">
        <v>43</v>
      </c>
      <c r="B385" s="2" t="s">
        <v>241</v>
      </c>
      <c r="C385" s="3"/>
      <c r="D385" s="3"/>
      <c r="E385" s="3"/>
      <c r="F385" s="4"/>
      <c r="G385" s="51"/>
      <c r="H385" s="52"/>
      <c r="I385" s="53"/>
      <c r="J385" s="52"/>
      <c r="K385" s="53"/>
      <c r="L385" s="66"/>
      <c r="M385" s="23"/>
      <c r="N385" s="51"/>
      <c r="O385" s="52"/>
      <c r="P385" s="53"/>
      <c r="Q385" s="52"/>
      <c r="R385" s="53"/>
      <c r="S385" s="66"/>
      <c r="T385" s="3"/>
      <c r="U385" s="51"/>
      <c r="V385" s="52"/>
      <c r="W385" s="53"/>
      <c r="X385" s="52"/>
      <c r="Y385" s="53"/>
      <c r="Z385" s="66"/>
      <c r="AA385" s="3"/>
      <c r="AB385" s="62"/>
      <c r="AC385" s="52"/>
      <c r="AD385" s="3"/>
      <c r="AE385" s="3"/>
      <c r="AF385" s="88" t="str">
        <f>A385&amp;" "&amp;B385</f>
        <v>43 De estos aspectos, en el que más se INSISTE EN EL COLEGIO  es</v>
      </c>
      <c r="AG385" s="3"/>
      <c r="AH385" s="3"/>
      <c r="AI385" s="3"/>
      <c r="AJ385" s="3"/>
      <c r="AK385" s="3"/>
      <c r="AL385" s="3"/>
      <c r="AM385" s="3"/>
      <c r="AN385" s="3"/>
      <c r="AO385" s="3"/>
      <c r="AP385" s="3"/>
      <c r="AQ385" s="3"/>
      <c r="AR385" s="3"/>
      <c r="AS385" s="76"/>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row>
    <row r="386" spans="1:75" x14ac:dyDescent="0.3">
      <c r="A386" s="1" t="s">
        <v>17</v>
      </c>
      <c r="B386" s="2" t="s">
        <v>242</v>
      </c>
      <c r="C386" s="3"/>
      <c r="D386" s="3"/>
      <c r="E386" s="3"/>
      <c r="F386" s="4"/>
      <c r="G386" s="51">
        <f t="shared" ref="G386:G394" si="639">I386+K386</f>
        <v>10</v>
      </c>
      <c r="H386" s="52">
        <f t="shared" ref="H386:H394" si="640">G386/$J$5*100</f>
        <v>23.809523809523807</v>
      </c>
      <c r="I386" s="53">
        <f>COUNTIFS('00 Encuesta'!$B$2:$B$511,"*f)*",'00 Encuesta'!$C$2:$C$511,"*a)*",'00 Encuesta'!$E$2:$E$511,"*a)*",'00 Encuesta'!$AW$2:$AW$511,"*a)*")</f>
        <v>6</v>
      </c>
      <c r="J386" s="52">
        <f t="shared" ref="J386:J394" si="641">I386/$J$6*100</f>
        <v>27.27272727272727</v>
      </c>
      <c r="K386" s="53">
        <f>COUNTIFS('00 Encuesta'!$B$2:$B$511,"*f)*",'00 Encuesta'!$C$2:$C$511,"*a)*",'00 Encuesta'!$E$2:$E$511,"*b)*",'00 Encuesta'!$AW$2:$AW$511,"*a)*")</f>
        <v>4</v>
      </c>
      <c r="L386" s="52">
        <f t="shared" ref="L386:L394" si="642">K386/$J$7*100</f>
        <v>20</v>
      </c>
      <c r="M386" s="23"/>
      <c r="N386" s="51">
        <f t="shared" ref="N386:N394" si="643">P386+R386</f>
        <v>0</v>
      </c>
      <c r="O386" s="52" t="e">
        <f t="shared" ref="O386:O394" si="644">N386/$Q$5*100</f>
        <v>#DIV/0!</v>
      </c>
      <c r="P386" s="53">
        <f>COUNTIFS('00 Encuesta'!$B$2:$B$511,"*f)*",'00 Encuesta'!$C$2:$C$511,"*b)*",'00 Encuesta'!$E$2:$E$511,"*a)*",'00 Encuesta'!$AW$2:$AW$511,"*a)*")</f>
        <v>0</v>
      </c>
      <c r="Q386" s="52" t="e">
        <f t="shared" ref="Q386:Q394" si="645">P386/$Q$6*100</f>
        <v>#DIV/0!</v>
      </c>
      <c r="R386" s="53">
        <f>COUNTIFS('00 Encuesta'!$B$2:$B$511,"*f)*",'00 Encuesta'!$C$2:$C$511,"*b)*",'00 Encuesta'!$E$2:$E$511,"*b)*",'00 Encuesta'!$AW$2:$AW$511,"*a)*")</f>
        <v>0</v>
      </c>
      <c r="S386" s="52" t="e">
        <f t="shared" ref="S386:S394" si="646">R386/$Q$7*100</f>
        <v>#DIV/0!</v>
      </c>
      <c r="T386" s="3"/>
      <c r="U386" s="51">
        <f t="shared" ref="U386:U394" si="647">W386+Y386</f>
        <v>0</v>
      </c>
      <c r="V386" s="52" t="e">
        <f t="shared" ref="V386:V394" si="648">U386/$X$5*100</f>
        <v>#DIV/0!</v>
      </c>
      <c r="W386" s="53">
        <f>COUNTIFS('00 Encuesta'!$B$2:$B$511,"*f)*",'00 Encuesta'!$C$2:$C$511,"*c)*",'00 Encuesta'!$E$2:$E$511,"*a)*",'00 Encuesta'!$AW$2:$AW$511,"*a)*")</f>
        <v>0</v>
      </c>
      <c r="X386" s="52" t="e">
        <f t="shared" ref="X386:X394" si="649">W386/$X$6*100</f>
        <v>#DIV/0!</v>
      </c>
      <c r="Y386" s="53">
        <f>COUNTIFS('00 Encuesta'!$B$2:$B$511,"*f)*",'00 Encuesta'!$C$2:$C$511,"*c)*",'00 Encuesta'!$E$2:$E$511,"*b)*",'00 Encuesta'!$AW$2:$AW$511,"*a)*")</f>
        <v>0</v>
      </c>
      <c r="Z386" s="52" t="e">
        <f t="shared" ref="Z386:Z394" si="650">Y386/$X$7*100</f>
        <v>#DIV/0!</v>
      </c>
      <c r="AA386" s="3"/>
      <c r="AB386" s="62">
        <f t="shared" ref="AB386:AB394" si="651">G386+N386+U386</f>
        <v>10</v>
      </c>
      <c r="AC386" s="52">
        <f t="shared" ref="AC386:AC394" si="652">AB386*100/$AC$5</f>
        <v>23.80952380952381</v>
      </c>
      <c r="AD386" s="3"/>
      <c r="AE386" s="3"/>
      <c r="AF386" s="9" t="str">
        <f t="shared" ref="AF386:AF394" si="653">A386&amp;" "&amp;B386</f>
        <v>a) El compañerismo</v>
      </c>
      <c r="AG386" s="72">
        <f>J386</f>
        <v>27.27272727272727</v>
      </c>
      <c r="AH386" s="72">
        <f>L386</f>
        <v>20</v>
      </c>
      <c r="AI386" s="73">
        <f>H386</f>
        <v>23.809523809523807</v>
      </c>
      <c r="AJ386" s="73"/>
      <c r="AK386" s="76" t="e">
        <f t="shared" ref="AK386:AK394" si="654">Q386</f>
        <v>#DIV/0!</v>
      </c>
      <c r="AL386" s="76" t="e">
        <f t="shared" ref="AL386:AL394" si="655">S386</f>
        <v>#DIV/0!</v>
      </c>
      <c r="AM386" s="76" t="e">
        <f t="shared" ref="AM386:AM394" si="656">O386</f>
        <v>#DIV/0!</v>
      </c>
      <c r="AN386" s="76"/>
      <c r="AO386" s="81" t="e">
        <f t="shared" ref="AO386:AO394" si="657">X386</f>
        <v>#DIV/0!</v>
      </c>
      <c r="AP386" s="81" t="e">
        <f t="shared" ref="AP386:AP394" si="658">Z386</f>
        <v>#DIV/0!</v>
      </c>
      <c r="AQ386" s="81" t="e">
        <f t="shared" ref="AQ386:AQ394" si="659">V386</f>
        <v>#DIV/0!</v>
      </c>
      <c r="AR386" s="3"/>
      <c r="AS386" s="76">
        <f t="shared" si="542"/>
        <v>23.80952380952381</v>
      </c>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row>
    <row r="387" spans="1:75" x14ac:dyDescent="0.3">
      <c r="A387" s="1" t="s">
        <v>18</v>
      </c>
      <c r="B387" s="2" t="s">
        <v>510</v>
      </c>
      <c r="C387" s="3"/>
      <c r="D387" s="3"/>
      <c r="E387" s="3"/>
      <c r="F387" s="4"/>
      <c r="G387" s="51">
        <f t="shared" si="639"/>
        <v>4</v>
      </c>
      <c r="H387" s="52">
        <f t="shared" si="640"/>
        <v>9.5238095238095237</v>
      </c>
      <c r="I387" s="53">
        <f>COUNTIFS('00 Encuesta'!$B$2:$B$511,"*f)*",'00 Encuesta'!$C$2:$C$511,"*a)*",'00 Encuesta'!$E$2:$E$511,"*a)*",'00 Encuesta'!$AW$2:$AW$511,"*b)*")</f>
        <v>1</v>
      </c>
      <c r="J387" s="52">
        <f t="shared" si="641"/>
        <v>4.5454545454545459</v>
      </c>
      <c r="K387" s="53">
        <f>COUNTIFS('00 Encuesta'!$B$2:$B$511,"*f)*",'00 Encuesta'!$C$2:$C$511,"*a)*",'00 Encuesta'!$E$2:$E$511,"*b)*",'00 Encuesta'!$AW$2:$AW$511,"*b)*")</f>
        <v>3</v>
      </c>
      <c r="L387" s="52">
        <f t="shared" si="642"/>
        <v>15</v>
      </c>
      <c r="M387" s="23"/>
      <c r="N387" s="51">
        <f t="shared" si="643"/>
        <v>0</v>
      </c>
      <c r="O387" s="52" t="e">
        <f t="shared" si="644"/>
        <v>#DIV/0!</v>
      </c>
      <c r="P387" s="53">
        <f>COUNTIFS('00 Encuesta'!$B$2:$B$511,"*f)*",'00 Encuesta'!$C$2:$C$511,"*b)*",'00 Encuesta'!$E$2:$E$511,"*a)*",'00 Encuesta'!$AW$2:$AW$511,"*b)*")</f>
        <v>0</v>
      </c>
      <c r="Q387" s="52" t="e">
        <f t="shared" si="645"/>
        <v>#DIV/0!</v>
      </c>
      <c r="R387" s="53">
        <f>COUNTIFS('00 Encuesta'!$B$2:$B$511,"*f)*",'00 Encuesta'!$C$2:$C$511,"*b)*",'00 Encuesta'!$E$2:$E$511,"*b)*",'00 Encuesta'!$AW$2:$AW$511,"*b)*")</f>
        <v>0</v>
      </c>
      <c r="S387" s="52" t="e">
        <f t="shared" si="646"/>
        <v>#DIV/0!</v>
      </c>
      <c r="T387" s="3"/>
      <c r="U387" s="51">
        <f t="shared" si="647"/>
        <v>0</v>
      </c>
      <c r="V387" s="52" t="e">
        <f t="shared" si="648"/>
        <v>#DIV/0!</v>
      </c>
      <c r="W387" s="53">
        <f>COUNTIFS('00 Encuesta'!$B$2:$B$511,"*f)*",'00 Encuesta'!$C$2:$C$511,"*c)*",'00 Encuesta'!$E$2:$E$511,"*a)*",'00 Encuesta'!$AW$2:$AW$511,"*b)*")</f>
        <v>0</v>
      </c>
      <c r="X387" s="52" t="e">
        <f t="shared" si="649"/>
        <v>#DIV/0!</v>
      </c>
      <c r="Y387" s="53">
        <f>COUNTIFS('00 Encuesta'!$B$2:$B$511,"*f)*",'00 Encuesta'!$C$2:$C$511,"*c)*",'00 Encuesta'!$E$2:$E$511,"*b)*",'00 Encuesta'!$AW$2:$AW$511,"*b)*")</f>
        <v>0</v>
      </c>
      <c r="Z387" s="52" t="e">
        <f t="shared" si="650"/>
        <v>#DIV/0!</v>
      </c>
      <c r="AA387" s="3"/>
      <c r="AB387" s="62">
        <f t="shared" si="651"/>
        <v>4</v>
      </c>
      <c r="AC387" s="52">
        <f t="shared" si="652"/>
        <v>9.5238095238095237</v>
      </c>
      <c r="AD387" s="3"/>
      <c r="AE387" s="3"/>
      <c r="AF387" s="9" t="str">
        <f t="shared" si="653"/>
        <v>b) La orientación cristiana</v>
      </c>
      <c r="AG387" s="72">
        <f t="shared" ref="AG387:AG394" si="660">J387</f>
        <v>4.5454545454545459</v>
      </c>
      <c r="AH387" s="72">
        <f t="shared" ref="AH387:AH394" si="661">L387</f>
        <v>15</v>
      </c>
      <c r="AI387" s="73">
        <f t="shared" ref="AI387:AI394" si="662">H387</f>
        <v>9.5238095238095237</v>
      </c>
      <c r="AJ387" s="73"/>
      <c r="AK387" s="76" t="e">
        <f t="shared" si="654"/>
        <v>#DIV/0!</v>
      </c>
      <c r="AL387" s="76" t="e">
        <f t="shared" si="655"/>
        <v>#DIV/0!</v>
      </c>
      <c r="AM387" s="76" t="e">
        <f t="shared" si="656"/>
        <v>#DIV/0!</v>
      </c>
      <c r="AN387" s="76"/>
      <c r="AO387" s="81" t="e">
        <f t="shared" si="657"/>
        <v>#DIV/0!</v>
      </c>
      <c r="AP387" s="81" t="e">
        <f t="shared" si="658"/>
        <v>#DIV/0!</v>
      </c>
      <c r="AQ387" s="81" t="e">
        <f t="shared" si="659"/>
        <v>#DIV/0!</v>
      </c>
      <c r="AR387" s="3"/>
      <c r="AS387" s="76">
        <f t="shared" si="542"/>
        <v>9.5238095238095237</v>
      </c>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row>
    <row r="388" spans="1:75" x14ac:dyDescent="0.3">
      <c r="A388" s="1" t="s">
        <v>20</v>
      </c>
      <c r="B388" s="2" t="s">
        <v>243</v>
      </c>
      <c r="C388" s="3"/>
      <c r="D388" s="3"/>
      <c r="E388" s="3"/>
      <c r="F388" s="4"/>
      <c r="G388" s="51">
        <f t="shared" si="639"/>
        <v>18</v>
      </c>
      <c r="H388" s="52">
        <f t="shared" si="640"/>
        <v>42.857142857142854</v>
      </c>
      <c r="I388" s="53">
        <f>COUNTIFS('00 Encuesta'!$B$2:$B$511,"*f)*",'00 Encuesta'!$C$2:$C$511,"*a)*",'00 Encuesta'!$E$2:$E$511,"*a)*",'00 Encuesta'!$AW$2:$AW$511,"*c)*")</f>
        <v>11</v>
      </c>
      <c r="J388" s="52">
        <f t="shared" si="641"/>
        <v>50</v>
      </c>
      <c r="K388" s="53">
        <f>COUNTIFS('00 Encuesta'!$B$2:$B$511,"*f)*",'00 Encuesta'!$C$2:$C$511,"*a)*",'00 Encuesta'!$E$2:$E$511,"*b)*",'00 Encuesta'!$AW$2:$AW$511,"*c)*")</f>
        <v>7</v>
      </c>
      <c r="L388" s="52">
        <f t="shared" si="642"/>
        <v>35</v>
      </c>
      <c r="M388" s="23"/>
      <c r="N388" s="51">
        <f t="shared" si="643"/>
        <v>0</v>
      </c>
      <c r="O388" s="52" t="e">
        <f t="shared" si="644"/>
        <v>#DIV/0!</v>
      </c>
      <c r="P388" s="53">
        <f>COUNTIFS('00 Encuesta'!$B$2:$B$511,"*f)*",'00 Encuesta'!$C$2:$C$511,"*b)*",'00 Encuesta'!$E$2:$E$511,"*a)*",'00 Encuesta'!$AW$2:$AW$511,"*c)*")</f>
        <v>0</v>
      </c>
      <c r="Q388" s="52" t="e">
        <f t="shared" si="645"/>
        <v>#DIV/0!</v>
      </c>
      <c r="R388" s="53">
        <f>COUNTIFS('00 Encuesta'!$B$2:$B$511,"*f)*",'00 Encuesta'!$C$2:$C$511,"*b)*",'00 Encuesta'!$E$2:$E$511,"*b)*",'00 Encuesta'!$AW$2:$AW$511,"*c)*")</f>
        <v>0</v>
      </c>
      <c r="S388" s="52" t="e">
        <f t="shared" si="646"/>
        <v>#DIV/0!</v>
      </c>
      <c r="T388" s="3"/>
      <c r="U388" s="51">
        <f t="shared" si="647"/>
        <v>0</v>
      </c>
      <c r="V388" s="52" t="e">
        <f t="shared" si="648"/>
        <v>#DIV/0!</v>
      </c>
      <c r="W388" s="53">
        <f>COUNTIFS('00 Encuesta'!$B$2:$B$511,"*f)*",'00 Encuesta'!$C$2:$C$511,"*c)*",'00 Encuesta'!$E$2:$E$511,"*a)*",'00 Encuesta'!$AW$2:$AW$511,"*c)*")</f>
        <v>0</v>
      </c>
      <c r="X388" s="52" t="e">
        <f t="shared" si="649"/>
        <v>#DIV/0!</v>
      </c>
      <c r="Y388" s="53">
        <f>COUNTIFS('00 Encuesta'!$B$2:$B$511,"*f)*",'00 Encuesta'!$C$2:$C$511,"*c)*",'00 Encuesta'!$E$2:$E$511,"*b)*",'00 Encuesta'!$AW$2:$AW$511,"*c)*")</f>
        <v>0</v>
      </c>
      <c r="Z388" s="52" t="e">
        <f t="shared" si="650"/>
        <v>#DIV/0!</v>
      </c>
      <c r="AA388" s="3"/>
      <c r="AB388" s="62">
        <f t="shared" si="651"/>
        <v>18</v>
      </c>
      <c r="AC388" s="52">
        <f t="shared" si="652"/>
        <v>42.857142857142854</v>
      </c>
      <c r="AD388" s="3"/>
      <c r="AE388" s="3"/>
      <c r="AF388" s="9" t="str">
        <f t="shared" si="653"/>
        <v>c) El estudio</v>
      </c>
      <c r="AG388" s="72">
        <f t="shared" si="660"/>
        <v>50</v>
      </c>
      <c r="AH388" s="72">
        <f t="shared" si="661"/>
        <v>35</v>
      </c>
      <c r="AI388" s="73">
        <f t="shared" si="662"/>
        <v>42.857142857142854</v>
      </c>
      <c r="AJ388" s="73"/>
      <c r="AK388" s="76" t="e">
        <f t="shared" si="654"/>
        <v>#DIV/0!</v>
      </c>
      <c r="AL388" s="76" t="e">
        <f t="shared" si="655"/>
        <v>#DIV/0!</v>
      </c>
      <c r="AM388" s="76" t="e">
        <f t="shared" si="656"/>
        <v>#DIV/0!</v>
      </c>
      <c r="AN388" s="76"/>
      <c r="AO388" s="81" t="e">
        <f t="shared" si="657"/>
        <v>#DIV/0!</v>
      </c>
      <c r="AP388" s="81" t="e">
        <f t="shared" si="658"/>
        <v>#DIV/0!</v>
      </c>
      <c r="AQ388" s="81" t="e">
        <f t="shared" si="659"/>
        <v>#DIV/0!</v>
      </c>
      <c r="AR388" s="3"/>
      <c r="AS388" s="76">
        <f t="shared" si="542"/>
        <v>42.857142857142854</v>
      </c>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row>
    <row r="389" spans="1:75" x14ac:dyDescent="0.3">
      <c r="A389" s="1" t="s">
        <v>21</v>
      </c>
      <c r="B389" s="2" t="s">
        <v>244</v>
      </c>
      <c r="C389" s="3"/>
      <c r="D389" s="3"/>
      <c r="E389" s="3"/>
      <c r="F389" s="4"/>
      <c r="G389" s="51">
        <f t="shared" si="639"/>
        <v>0</v>
      </c>
      <c r="H389" s="52">
        <f t="shared" si="640"/>
        <v>0</v>
      </c>
      <c r="I389" s="53">
        <f>COUNTIFS('00 Encuesta'!$B$2:$B$511,"*f)*",'00 Encuesta'!$C$2:$C$511,"*a)*",'00 Encuesta'!$E$2:$E$511,"*a)*",'00 Encuesta'!$AW$2:$AW$511,"*d)*")</f>
        <v>0</v>
      </c>
      <c r="J389" s="52">
        <f t="shared" si="641"/>
        <v>0</v>
      </c>
      <c r="K389" s="53">
        <f>COUNTIFS('00 Encuesta'!$B$2:$B$511,"*f)*",'00 Encuesta'!$C$2:$C$511,"*a)*",'00 Encuesta'!$E$2:$E$511,"*b)*",'00 Encuesta'!$AW$2:$AW$511,"*d)*")</f>
        <v>0</v>
      </c>
      <c r="L389" s="52">
        <f t="shared" si="642"/>
        <v>0</v>
      </c>
      <c r="M389" s="23"/>
      <c r="N389" s="51">
        <f t="shared" si="643"/>
        <v>0</v>
      </c>
      <c r="O389" s="52" t="e">
        <f t="shared" si="644"/>
        <v>#DIV/0!</v>
      </c>
      <c r="P389" s="53">
        <f>COUNTIFS('00 Encuesta'!$B$2:$B$511,"*f)*",'00 Encuesta'!$C$2:$C$511,"*b)*",'00 Encuesta'!$E$2:$E$511,"*a)*",'00 Encuesta'!$AW$2:$AW$511,"*d)*")</f>
        <v>0</v>
      </c>
      <c r="Q389" s="52" t="e">
        <f t="shared" si="645"/>
        <v>#DIV/0!</v>
      </c>
      <c r="R389" s="53">
        <f>COUNTIFS('00 Encuesta'!$B$2:$B$511,"*f)*",'00 Encuesta'!$C$2:$C$511,"*b)*",'00 Encuesta'!$E$2:$E$511,"*b)*",'00 Encuesta'!$AW$2:$AW$511,"*d)*")</f>
        <v>0</v>
      </c>
      <c r="S389" s="52" t="e">
        <f t="shared" si="646"/>
        <v>#DIV/0!</v>
      </c>
      <c r="T389" s="3"/>
      <c r="U389" s="51">
        <f t="shared" si="647"/>
        <v>0</v>
      </c>
      <c r="V389" s="52" t="e">
        <f t="shared" si="648"/>
        <v>#DIV/0!</v>
      </c>
      <c r="W389" s="53">
        <f>COUNTIFS('00 Encuesta'!$B$2:$B$511,"*f)*",'00 Encuesta'!$C$2:$C$511,"*c)*",'00 Encuesta'!$E$2:$E$511,"*a)*",'00 Encuesta'!$AW$2:$AW$511,"*d)*")</f>
        <v>0</v>
      </c>
      <c r="X389" s="52" t="e">
        <f t="shared" si="649"/>
        <v>#DIV/0!</v>
      </c>
      <c r="Y389" s="53">
        <f>COUNTIFS('00 Encuesta'!$B$2:$B$511,"*f)*",'00 Encuesta'!$C$2:$C$511,"*c)*",'00 Encuesta'!$E$2:$E$511,"*b)*",'00 Encuesta'!$AW$2:$AW$511,"*d)*")</f>
        <v>0</v>
      </c>
      <c r="Z389" s="52" t="e">
        <f t="shared" si="650"/>
        <v>#DIV/0!</v>
      </c>
      <c r="AA389" s="3"/>
      <c r="AB389" s="62">
        <f t="shared" si="651"/>
        <v>0</v>
      </c>
      <c r="AC389" s="52">
        <f t="shared" si="652"/>
        <v>0</v>
      </c>
      <c r="AD389" s="3"/>
      <c r="AE389" s="3"/>
      <c r="AF389" s="9" t="str">
        <f t="shared" si="653"/>
        <v>d) La formacion del carácter</v>
      </c>
      <c r="AG389" s="72">
        <f t="shared" si="660"/>
        <v>0</v>
      </c>
      <c r="AH389" s="72">
        <f t="shared" si="661"/>
        <v>0</v>
      </c>
      <c r="AI389" s="73">
        <f t="shared" si="662"/>
        <v>0</v>
      </c>
      <c r="AJ389" s="73"/>
      <c r="AK389" s="76" t="e">
        <f t="shared" si="654"/>
        <v>#DIV/0!</v>
      </c>
      <c r="AL389" s="76" t="e">
        <f t="shared" si="655"/>
        <v>#DIV/0!</v>
      </c>
      <c r="AM389" s="76" t="e">
        <f t="shared" si="656"/>
        <v>#DIV/0!</v>
      </c>
      <c r="AN389" s="76"/>
      <c r="AO389" s="81" t="e">
        <f t="shared" si="657"/>
        <v>#DIV/0!</v>
      </c>
      <c r="AP389" s="81" t="e">
        <f t="shared" si="658"/>
        <v>#DIV/0!</v>
      </c>
      <c r="AQ389" s="81" t="e">
        <f t="shared" si="659"/>
        <v>#DIV/0!</v>
      </c>
      <c r="AR389" s="3"/>
      <c r="AS389" s="76">
        <f t="shared" si="542"/>
        <v>0</v>
      </c>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row>
    <row r="390" spans="1:75" x14ac:dyDescent="0.3">
      <c r="A390" s="1" t="s">
        <v>22</v>
      </c>
      <c r="B390" s="2" t="s">
        <v>245</v>
      </c>
      <c r="C390" s="3"/>
      <c r="D390" s="3"/>
      <c r="E390" s="3"/>
      <c r="F390" s="4"/>
      <c r="G390" s="51">
        <f t="shared" si="639"/>
        <v>5</v>
      </c>
      <c r="H390" s="52">
        <f t="shared" si="640"/>
        <v>11.904761904761903</v>
      </c>
      <c r="I390" s="53">
        <f>COUNTIFS('00 Encuesta'!$B$2:$B$511,"*f)*",'00 Encuesta'!$C$2:$C$511,"*a)*",'00 Encuesta'!$E$2:$E$511,"*a)*",'00 Encuesta'!$AW$2:$AW$511,"*e)*")</f>
        <v>1</v>
      </c>
      <c r="J390" s="52">
        <f t="shared" si="641"/>
        <v>4.5454545454545459</v>
      </c>
      <c r="K390" s="53">
        <f>COUNTIFS('00 Encuesta'!$B$2:$B$511,"*f)*",'00 Encuesta'!$C$2:$C$511,"*a)*",'00 Encuesta'!$E$2:$E$511,"*b)*",'00 Encuesta'!$AW$2:$AW$511,"*e)*")</f>
        <v>4</v>
      </c>
      <c r="L390" s="52">
        <f t="shared" si="642"/>
        <v>20</v>
      </c>
      <c r="M390" s="23"/>
      <c r="N390" s="51">
        <f t="shared" si="643"/>
        <v>0</v>
      </c>
      <c r="O390" s="52" t="e">
        <f t="shared" si="644"/>
        <v>#DIV/0!</v>
      </c>
      <c r="P390" s="53">
        <f>COUNTIFS('00 Encuesta'!$B$2:$B$511,"*f)*",'00 Encuesta'!$C$2:$C$511,"*b)*",'00 Encuesta'!$E$2:$E$511,"*a)*",'00 Encuesta'!$AW$2:$AW$511,"*e)*")</f>
        <v>0</v>
      </c>
      <c r="Q390" s="52" t="e">
        <f t="shared" si="645"/>
        <v>#DIV/0!</v>
      </c>
      <c r="R390" s="53">
        <f>COUNTIFS('00 Encuesta'!$B$2:$B$511,"*f)*",'00 Encuesta'!$C$2:$C$511,"*b)*",'00 Encuesta'!$E$2:$E$511,"*b)*",'00 Encuesta'!$AW$2:$AW$511,"*e)*")</f>
        <v>0</v>
      </c>
      <c r="S390" s="52" t="e">
        <f t="shared" si="646"/>
        <v>#DIV/0!</v>
      </c>
      <c r="T390" s="3"/>
      <c r="U390" s="51">
        <f t="shared" si="647"/>
        <v>0</v>
      </c>
      <c r="V390" s="52" t="e">
        <f t="shared" si="648"/>
        <v>#DIV/0!</v>
      </c>
      <c r="W390" s="53">
        <f>COUNTIFS('00 Encuesta'!$B$2:$B$511,"*f)*",'00 Encuesta'!$C$2:$C$511,"*c)*",'00 Encuesta'!$E$2:$E$511,"*a)*",'00 Encuesta'!$AW$2:$AW$511,"*e)*")</f>
        <v>0</v>
      </c>
      <c r="X390" s="52" t="e">
        <f t="shared" si="649"/>
        <v>#DIV/0!</v>
      </c>
      <c r="Y390" s="53">
        <f>COUNTIFS('00 Encuesta'!$B$2:$B$511,"*f)*",'00 Encuesta'!$C$2:$C$511,"*c)*",'00 Encuesta'!$E$2:$E$511,"*b)*",'00 Encuesta'!$AW$2:$AW$511,"*e)*")</f>
        <v>0</v>
      </c>
      <c r="Z390" s="52" t="e">
        <f t="shared" si="650"/>
        <v>#DIV/0!</v>
      </c>
      <c r="AA390" s="3"/>
      <c r="AB390" s="62">
        <f t="shared" si="651"/>
        <v>5</v>
      </c>
      <c r="AC390" s="52">
        <f t="shared" si="652"/>
        <v>11.904761904761905</v>
      </c>
      <c r="AD390" s="3"/>
      <c r="AE390" s="3"/>
      <c r="AF390" s="9" t="str">
        <f t="shared" si="653"/>
        <v>e) La disciplina y el orden</v>
      </c>
      <c r="AG390" s="72">
        <f t="shared" si="660"/>
        <v>4.5454545454545459</v>
      </c>
      <c r="AH390" s="72">
        <f t="shared" si="661"/>
        <v>20</v>
      </c>
      <c r="AI390" s="73">
        <f t="shared" si="662"/>
        <v>11.904761904761903</v>
      </c>
      <c r="AJ390" s="73"/>
      <c r="AK390" s="76" t="e">
        <f t="shared" si="654"/>
        <v>#DIV/0!</v>
      </c>
      <c r="AL390" s="76" t="e">
        <f t="shared" si="655"/>
        <v>#DIV/0!</v>
      </c>
      <c r="AM390" s="76" t="e">
        <f t="shared" si="656"/>
        <v>#DIV/0!</v>
      </c>
      <c r="AN390" s="76"/>
      <c r="AO390" s="81" t="e">
        <f t="shared" si="657"/>
        <v>#DIV/0!</v>
      </c>
      <c r="AP390" s="81" t="e">
        <f t="shared" si="658"/>
        <v>#DIV/0!</v>
      </c>
      <c r="AQ390" s="81" t="e">
        <f t="shared" si="659"/>
        <v>#DIV/0!</v>
      </c>
      <c r="AR390" s="3"/>
      <c r="AS390" s="76">
        <f t="shared" si="542"/>
        <v>11.904761904761905</v>
      </c>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row>
    <row r="391" spans="1:75" x14ac:dyDescent="0.3">
      <c r="A391" s="1" t="s">
        <v>45</v>
      </c>
      <c r="B391" s="2" t="s">
        <v>246</v>
      </c>
      <c r="C391" s="3"/>
      <c r="D391" s="3"/>
      <c r="E391" s="3"/>
      <c r="F391" s="4"/>
      <c r="G391" s="51">
        <f t="shared" si="639"/>
        <v>3</v>
      </c>
      <c r="H391" s="52">
        <f t="shared" si="640"/>
        <v>7.1428571428571423</v>
      </c>
      <c r="I391" s="53">
        <f>COUNTIFS('00 Encuesta'!$B$2:$B$511,"*f)*",'00 Encuesta'!$C$2:$C$511,"*a)*",'00 Encuesta'!$E$2:$E$511,"*a)*",'00 Encuesta'!$AW$2:$AW$511,"*f)*")</f>
        <v>1</v>
      </c>
      <c r="J391" s="52">
        <f t="shared" si="641"/>
        <v>4.5454545454545459</v>
      </c>
      <c r="K391" s="53">
        <f>COUNTIFS('00 Encuesta'!$B$2:$B$511,"*f)*",'00 Encuesta'!$C$2:$C$511,"*a)*",'00 Encuesta'!$E$2:$E$511,"*b)*",'00 Encuesta'!$AW$2:$AW$511,"*f)*")</f>
        <v>2</v>
      </c>
      <c r="L391" s="52">
        <f t="shared" si="642"/>
        <v>10</v>
      </c>
      <c r="M391" s="23"/>
      <c r="N391" s="51">
        <f t="shared" si="643"/>
        <v>0</v>
      </c>
      <c r="O391" s="52" t="e">
        <f t="shared" si="644"/>
        <v>#DIV/0!</v>
      </c>
      <c r="P391" s="53">
        <f>COUNTIFS('00 Encuesta'!$B$2:$B$511,"*f)*",'00 Encuesta'!$C$2:$C$511,"*b)*",'00 Encuesta'!$E$2:$E$511,"*a)*",'00 Encuesta'!$AW$2:$AW$511,"*f)*")</f>
        <v>0</v>
      </c>
      <c r="Q391" s="52" t="e">
        <f t="shared" si="645"/>
        <v>#DIV/0!</v>
      </c>
      <c r="R391" s="53">
        <f>COUNTIFS('00 Encuesta'!$B$2:$B$511,"*f)*",'00 Encuesta'!$C$2:$C$511,"*b)*",'00 Encuesta'!$E$2:$E$511,"*b)*",'00 Encuesta'!$AW$2:$AW$511,"*f)*")</f>
        <v>0</v>
      </c>
      <c r="S391" s="52" t="e">
        <f t="shared" si="646"/>
        <v>#DIV/0!</v>
      </c>
      <c r="T391" s="3"/>
      <c r="U391" s="51">
        <f t="shared" si="647"/>
        <v>0</v>
      </c>
      <c r="V391" s="52" t="e">
        <f t="shared" si="648"/>
        <v>#DIV/0!</v>
      </c>
      <c r="W391" s="53">
        <f>COUNTIFS('00 Encuesta'!$B$2:$B$511,"*f)*",'00 Encuesta'!$C$2:$C$511,"*c)*",'00 Encuesta'!$E$2:$E$511,"*a)*",'00 Encuesta'!$AW$2:$AW$511,"*f)*")</f>
        <v>0</v>
      </c>
      <c r="X391" s="52" t="e">
        <f t="shared" si="649"/>
        <v>#DIV/0!</v>
      </c>
      <c r="Y391" s="53">
        <f>COUNTIFS('00 Encuesta'!$B$2:$B$511,"*f)*",'00 Encuesta'!$C$2:$C$511,"*c)*",'00 Encuesta'!$E$2:$E$511,"*b)*",'00 Encuesta'!$AW$2:$AW$511,"*f)*")</f>
        <v>0</v>
      </c>
      <c r="Z391" s="52" t="e">
        <f t="shared" si="650"/>
        <v>#DIV/0!</v>
      </c>
      <c r="AA391" s="3"/>
      <c r="AB391" s="62">
        <f t="shared" si="651"/>
        <v>3</v>
      </c>
      <c r="AC391" s="52">
        <f t="shared" si="652"/>
        <v>7.1428571428571432</v>
      </c>
      <c r="AD391" s="3"/>
      <c r="AE391" s="3"/>
      <c r="AF391" s="9" t="str">
        <f t="shared" si="653"/>
        <v>f) La pràctica religiosa</v>
      </c>
      <c r="AG391" s="72">
        <f t="shared" si="660"/>
        <v>4.5454545454545459</v>
      </c>
      <c r="AH391" s="72">
        <f t="shared" si="661"/>
        <v>10</v>
      </c>
      <c r="AI391" s="73">
        <f t="shared" si="662"/>
        <v>7.1428571428571423</v>
      </c>
      <c r="AJ391" s="73"/>
      <c r="AK391" s="76" t="e">
        <f t="shared" si="654"/>
        <v>#DIV/0!</v>
      </c>
      <c r="AL391" s="76" t="e">
        <f t="shared" si="655"/>
        <v>#DIV/0!</v>
      </c>
      <c r="AM391" s="76" t="e">
        <f t="shared" si="656"/>
        <v>#DIV/0!</v>
      </c>
      <c r="AN391" s="76"/>
      <c r="AO391" s="81" t="e">
        <f t="shared" si="657"/>
        <v>#DIV/0!</v>
      </c>
      <c r="AP391" s="81" t="e">
        <f t="shared" si="658"/>
        <v>#DIV/0!</v>
      </c>
      <c r="AQ391" s="81" t="e">
        <f t="shared" si="659"/>
        <v>#DIV/0!</v>
      </c>
      <c r="AR391" s="3"/>
      <c r="AS391" s="76">
        <f t="shared" si="542"/>
        <v>7.1428571428571432</v>
      </c>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row>
    <row r="392" spans="1:75" x14ac:dyDescent="0.3">
      <c r="A392" s="1" t="s">
        <v>61</v>
      </c>
      <c r="B392" s="2" t="s">
        <v>512</v>
      </c>
      <c r="C392" s="3"/>
      <c r="D392" s="3"/>
      <c r="E392" s="3"/>
      <c r="F392" s="4"/>
      <c r="G392" s="51">
        <f t="shared" si="639"/>
        <v>0</v>
      </c>
      <c r="H392" s="52">
        <f t="shared" si="640"/>
        <v>0</v>
      </c>
      <c r="I392" s="53">
        <f>COUNTIFS('00 Encuesta'!$B$2:$B$511,"*f)*",'00 Encuesta'!$C$2:$C$511,"*a)*",'00 Encuesta'!$E$2:$E$511,"*a)*",'00 Encuesta'!$AW$2:$AW$511,"*g)*")</f>
        <v>0</v>
      </c>
      <c r="J392" s="52">
        <f t="shared" si="641"/>
        <v>0</v>
      </c>
      <c r="K392" s="53">
        <f>COUNTIFS('00 Encuesta'!$B$2:$B$511,"*f)*",'00 Encuesta'!$C$2:$C$511,"*a)*",'00 Encuesta'!$E$2:$E$511,"*b)*",'00 Encuesta'!$AW$2:$AW$511,"*g)*")</f>
        <v>0</v>
      </c>
      <c r="L392" s="52">
        <f t="shared" si="642"/>
        <v>0</v>
      </c>
      <c r="M392" s="23"/>
      <c r="N392" s="51">
        <f t="shared" si="643"/>
        <v>0</v>
      </c>
      <c r="O392" s="52" t="e">
        <f t="shared" si="644"/>
        <v>#DIV/0!</v>
      </c>
      <c r="P392" s="53">
        <f>COUNTIFS('00 Encuesta'!$B$2:$B$511,"*f)*",'00 Encuesta'!$C$2:$C$511,"*b)*",'00 Encuesta'!$E$2:$E$511,"*a)*",'00 Encuesta'!$AW$2:$AW$511,"*g)*")</f>
        <v>0</v>
      </c>
      <c r="Q392" s="52" t="e">
        <f t="shared" si="645"/>
        <v>#DIV/0!</v>
      </c>
      <c r="R392" s="53">
        <f>COUNTIFS('00 Encuesta'!$B$2:$B$511,"*f)*",'00 Encuesta'!$C$2:$C$511,"*b)*",'00 Encuesta'!$E$2:$E$511,"*b)*",'00 Encuesta'!$AW$2:$AW$511,"*g)*")</f>
        <v>0</v>
      </c>
      <c r="S392" s="52" t="e">
        <f t="shared" si="646"/>
        <v>#DIV/0!</v>
      </c>
      <c r="T392" s="3"/>
      <c r="U392" s="51">
        <f t="shared" si="647"/>
        <v>0</v>
      </c>
      <c r="V392" s="52" t="e">
        <f t="shared" si="648"/>
        <v>#DIV/0!</v>
      </c>
      <c r="W392" s="53">
        <f>COUNTIFS('00 Encuesta'!$B$2:$B$511,"*f)*",'00 Encuesta'!$C$2:$C$511,"*c)*",'00 Encuesta'!$E$2:$E$511,"*a)*",'00 Encuesta'!$AW$2:$AW$511,"*g)*")</f>
        <v>0</v>
      </c>
      <c r="X392" s="52" t="e">
        <f t="shared" si="649"/>
        <v>#DIV/0!</v>
      </c>
      <c r="Y392" s="53">
        <f>COUNTIFS('00 Encuesta'!$B$2:$B$511,"*f)*",'00 Encuesta'!$C$2:$C$511,"*c)*",'00 Encuesta'!$E$2:$E$511,"*b)*",'00 Encuesta'!$AW$2:$AW$511,"*g)*")</f>
        <v>0</v>
      </c>
      <c r="Z392" s="52" t="e">
        <f t="shared" si="650"/>
        <v>#DIV/0!</v>
      </c>
      <c r="AA392" s="3"/>
      <c r="AB392" s="62">
        <f t="shared" si="651"/>
        <v>0</v>
      </c>
      <c r="AC392" s="52">
        <f t="shared" si="652"/>
        <v>0</v>
      </c>
      <c r="AD392" s="3"/>
      <c r="AE392" s="3"/>
      <c r="AF392" s="9" t="str">
        <f t="shared" si="653"/>
        <v>g) La Orientación profesional futura</v>
      </c>
      <c r="AG392" s="72">
        <f t="shared" si="660"/>
        <v>0</v>
      </c>
      <c r="AH392" s="72">
        <f t="shared" si="661"/>
        <v>0</v>
      </c>
      <c r="AI392" s="73">
        <f t="shared" si="662"/>
        <v>0</v>
      </c>
      <c r="AJ392" s="73"/>
      <c r="AK392" s="76" t="e">
        <f t="shared" si="654"/>
        <v>#DIV/0!</v>
      </c>
      <c r="AL392" s="76" t="e">
        <f t="shared" si="655"/>
        <v>#DIV/0!</v>
      </c>
      <c r="AM392" s="76" t="e">
        <f t="shared" si="656"/>
        <v>#DIV/0!</v>
      </c>
      <c r="AN392" s="76"/>
      <c r="AO392" s="81" t="e">
        <f t="shared" si="657"/>
        <v>#DIV/0!</v>
      </c>
      <c r="AP392" s="81" t="e">
        <f t="shared" si="658"/>
        <v>#DIV/0!</v>
      </c>
      <c r="AQ392" s="81" t="e">
        <f t="shared" si="659"/>
        <v>#DIV/0!</v>
      </c>
      <c r="AR392" s="3"/>
      <c r="AS392" s="76">
        <f t="shared" si="542"/>
        <v>0</v>
      </c>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row>
    <row r="393" spans="1:75" x14ac:dyDescent="0.3">
      <c r="A393" s="1" t="s">
        <v>63</v>
      </c>
      <c r="B393" s="2" t="s">
        <v>511</v>
      </c>
      <c r="C393" s="3"/>
      <c r="D393" s="3"/>
      <c r="E393" s="3"/>
      <c r="F393" s="4"/>
      <c r="G393" s="51">
        <f t="shared" si="639"/>
        <v>0</v>
      </c>
      <c r="H393" s="52">
        <f t="shared" si="640"/>
        <v>0</v>
      </c>
      <c r="I393" s="53">
        <f>COUNTIFS('00 Encuesta'!$B$2:$B$511,"*f)*",'00 Encuesta'!$C$2:$C$511,"*a)*",'00 Encuesta'!$E$2:$E$511,"*a)*",'00 Encuesta'!$AW$2:$AW$511,"*h)*")</f>
        <v>0</v>
      </c>
      <c r="J393" s="52">
        <f t="shared" si="641"/>
        <v>0</v>
      </c>
      <c r="K393" s="53">
        <f>COUNTIFS('00 Encuesta'!$B$2:$B$511,"*f)*",'00 Encuesta'!$C$2:$C$511,"*a)*",'00 Encuesta'!$E$2:$E$511,"*b)*",'00 Encuesta'!$AW$2:$AW$511,"*h)*")</f>
        <v>0</v>
      </c>
      <c r="L393" s="52">
        <f t="shared" si="642"/>
        <v>0</v>
      </c>
      <c r="M393" s="23"/>
      <c r="N393" s="51">
        <f t="shared" si="643"/>
        <v>0</v>
      </c>
      <c r="O393" s="52" t="e">
        <f t="shared" si="644"/>
        <v>#DIV/0!</v>
      </c>
      <c r="P393" s="53">
        <f>COUNTIFS('00 Encuesta'!$B$2:$B$511,"*f)*",'00 Encuesta'!$C$2:$C$511,"*b)*",'00 Encuesta'!$E$2:$E$511,"*a)*",'00 Encuesta'!$AW$2:$AW$511,"*h)*")</f>
        <v>0</v>
      </c>
      <c r="Q393" s="52" t="e">
        <f t="shared" si="645"/>
        <v>#DIV/0!</v>
      </c>
      <c r="R393" s="53">
        <f>COUNTIFS('00 Encuesta'!$B$2:$B$511,"*f)*",'00 Encuesta'!$C$2:$C$511,"*b)*",'00 Encuesta'!$E$2:$E$511,"*b)*",'00 Encuesta'!$AW$2:$AW$511,"*h)*")</f>
        <v>0</v>
      </c>
      <c r="S393" s="52" t="e">
        <f t="shared" si="646"/>
        <v>#DIV/0!</v>
      </c>
      <c r="T393" s="3"/>
      <c r="U393" s="51">
        <f t="shared" si="647"/>
        <v>0</v>
      </c>
      <c r="V393" s="52" t="e">
        <f t="shared" si="648"/>
        <v>#DIV/0!</v>
      </c>
      <c r="W393" s="53">
        <f>COUNTIFS('00 Encuesta'!$B$2:$B$511,"*f)*",'00 Encuesta'!$C$2:$C$511,"*c)*",'00 Encuesta'!$E$2:$E$511,"*a)*",'00 Encuesta'!$AW$2:$AW$511,"*h)*")</f>
        <v>0</v>
      </c>
      <c r="X393" s="52" t="e">
        <f t="shared" si="649"/>
        <v>#DIV/0!</v>
      </c>
      <c r="Y393" s="53">
        <f>COUNTIFS('00 Encuesta'!$B$2:$B$511,"*f)*",'00 Encuesta'!$C$2:$C$511,"*c)*",'00 Encuesta'!$E$2:$E$511,"*b)*",'00 Encuesta'!$AW$2:$AW$511,"*h)*")</f>
        <v>0</v>
      </c>
      <c r="Z393" s="52" t="e">
        <f t="shared" si="650"/>
        <v>#DIV/0!</v>
      </c>
      <c r="AA393" s="3"/>
      <c r="AB393" s="62">
        <f t="shared" si="651"/>
        <v>0</v>
      </c>
      <c r="AC393" s="52">
        <f t="shared" si="652"/>
        <v>0</v>
      </c>
      <c r="AD393" s="3"/>
      <c r="AE393" s="3"/>
      <c r="AF393" s="9" t="str">
        <f t="shared" si="653"/>
        <v>h) La responsabilidad social y servicio a los demás</v>
      </c>
      <c r="AG393" s="72">
        <f t="shared" si="660"/>
        <v>0</v>
      </c>
      <c r="AH393" s="72">
        <f t="shared" si="661"/>
        <v>0</v>
      </c>
      <c r="AI393" s="73">
        <f t="shared" si="662"/>
        <v>0</v>
      </c>
      <c r="AJ393" s="73"/>
      <c r="AK393" s="76" t="e">
        <f t="shared" si="654"/>
        <v>#DIV/0!</v>
      </c>
      <c r="AL393" s="76" t="e">
        <f t="shared" si="655"/>
        <v>#DIV/0!</v>
      </c>
      <c r="AM393" s="76" t="e">
        <f t="shared" si="656"/>
        <v>#DIV/0!</v>
      </c>
      <c r="AN393" s="76"/>
      <c r="AO393" s="81" t="e">
        <f t="shared" si="657"/>
        <v>#DIV/0!</v>
      </c>
      <c r="AP393" s="81" t="e">
        <f t="shared" si="658"/>
        <v>#DIV/0!</v>
      </c>
      <c r="AQ393" s="81" t="e">
        <f t="shared" si="659"/>
        <v>#DIV/0!</v>
      </c>
      <c r="AR393" s="3"/>
      <c r="AS393" s="76">
        <f t="shared" si="542"/>
        <v>0</v>
      </c>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row>
    <row r="394" spans="1:75" x14ac:dyDescent="0.3">
      <c r="A394" s="1" t="s">
        <v>65</v>
      </c>
      <c r="B394" s="2" t="s">
        <v>247</v>
      </c>
      <c r="C394" s="3"/>
      <c r="D394" s="3"/>
      <c r="E394" s="3"/>
      <c r="F394" s="4"/>
      <c r="G394" s="51">
        <f t="shared" si="639"/>
        <v>1</v>
      </c>
      <c r="H394" s="52">
        <f t="shared" si="640"/>
        <v>2.3809523809523809</v>
      </c>
      <c r="I394" s="53">
        <f>COUNTIFS('00 Encuesta'!$B$2:$B$511,"*f)*",'00 Encuesta'!$C$2:$C$511,"*a)*",'00 Encuesta'!$E$2:$E$511,"*a)*",'00 Encuesta'!$AW$2:$AW$511,"*i)*")</f>
        <v>1</v>
      </c>
      <c r="J394" s="52">
        <f t="shared" si="641"/>
        <v>4.5454545454545459</v>
      </c>
      <c r="K394" s="53">
        <f>COUNTIFS('00 Encuesta'!$B$2:$B$511,"*f)*",'00 Encuesta'!$C$2:$C$511,"*a)*",'00 Encuesta'!$E$2:$E$511,"*b)*",'00 Encuesta'!$AW$2:$AW$511,"*i)*")</f>
        <v>0</v>
      </c>
      <c r="L394" s="52">
        <f t="shared" si="642"/>
        <v>0</v>
      </c>
      <c r="M394" s="23"/>
      <c r="N394" s="51">
        <f t="shared" si="643"/>
        <v>0</v>
      </c>
      <c r="O394" s="52" t="e">
        <f t="shared" si="644"/>
        <v>#DIV/0!</v>
      </c>
      <c r="P394" s="53">
        <f>COUNTIFS('00 Encuesta'!$B$2:$B$511,"*f)*",'00 Encuesta'!$C$2:$C$511,"*b)*",'00 Encuesta'!$E$2:$E$511,"*a)*",'00 Encuesta'!$AW$2:$AW$511,"*i)*")</f>
        <v>0</v>
      </c>
      <c r="Q394" s="52" t="e">
        <f t="shared" si="645"/>
        <v>#DIV/0!</v>
      </c>
      <c r="R394" s="53">
        <f>COUNTIFS('00 Encuesta'!$B$2:$B$511,"*f)*",'00 Encuesta'!$C$2:$C$511,"*b)*",'00 Encuesta'!$E$2:$E$511,"*b)*",'00 Encuesta'!$AW$2:$AW$511,"*i)*")</f>
        <v>0</v>
      </c>
      <c r="S394" s="52" t="e">
        <f t="shared" si="646"/>
        <v>#DIV/0!</v>
      </c>
      <c r="T394" s="3"/>
      <c r="U394" s="51">
        <f t="shared" si="647"/>
        <v>0</v>
      </c>
      <c r="V394" s="52" t="e">
        <f t="shared" si="648"/>
        <v>#DIV/0!</v>
      </c>
      <c r="W394" s="53">
        <f>COUNTIFS('00 Encuesta'!$B$2:$B$511,"*f)*",'00 Encuesta'!$C$2:$C$511,"*c)*",'00 Encuesta'!$E$2:$E$511,"*a)*",'00 Encuesta'!$AW$2:$AW$511,"*i)*")</f>
        <v>0</v>
      </c>
      <c r="X394" s="52" t="e">
        <f t="shared" si="649"/>
        <v>#DIV/0!</v>
      </c>
      <c r="Y394" s="53">
        <f>COUNTIFS('00 Encuesta'!$B$2:$B$511,"*f)*",'00 Encuesta'!$C$2:$C$511,"*c)*",'00 Encuesta'!$E$2:$E$511,"*b)*",'00 Encuesta'!$AW$2:$AW$511,"*i)*")</f>
        <v>0</v>
      </c>
      <c r="Z394" s="52" t="e">
        <f t="shared" si="650"/>
        <v>#DIV/0!</v>
      </c>
      <c r="AA394" s="3"/>
      <c r="AB394" s="62">
        <f t="shared" si="651"/>
        <v>1</v>
      </c>
      <c r="AC394" s="52">
        <f t="shared" si="652"/>
        <v>2.3809523809523809</v>
      </c>
      <c r="AD394" s="3"/>
      <c r="AE394" s="3"/>
      <c r="AF394" s="9" t="str">
        <f t="shared" si="653"/>
        <v>i) En nada</v>
      </c>
      <c r="AG394" s="72">
        <f t="shared" si="660"/>
        <v>4.5454545454545459</v>
      </c>
      <c r="AH394" s="72">
        <f t="shared" si="661"/>
        <v>0</v>
      </c>
      <c r="AI394" s="73">
        <f t="shared" si="662"/>
        <v>2.3809523809523809</v>
      </c>
      <c r="AJ394" s="73"/>
      <c r="AK394" s="76" t="e">
        <f t="shared" si="654"/>
        <v>#DIV/0!</v>
      </c>
      <c r="AL394" s="76" t="e">
        <f t="shared" si="655"/>
        <v>#DIV/0!</v>
      </c>
      <c r="AM394" s="76" t="e">
        <f t="shared" si="656"/>
        <v>#DIV/0!</v>
      </c>
      <c r="AN394" s="76"/>
      <c r="AO394" s="81" t="e">
        <f t="shared" si="657"/>
        <v>#DIV/0!</v>
      </c>
      <c r="AP394" s="81" t="e">
        <f t="shared" si="658"/>
        <v>#DIV/0!</v>
      </c>
      <c r="AQ394" s="81" t="e">
        <f t="shared" si="659"/>
        <v>#DIV/0!</v>
      </c>
      <c r="AR394" s="3"/>
      <c r="AS394" s="76">
        <f t="shared" si="542"/>
        <v>2.3809523809523809</v>
      </c>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row>
    <row r="395" spans="1:75" x14ac:dyDescent="0.3">
      <c r="A395" s="1"/>
      <c r="B395" s="2"/>
      <c r="C395" s="3"/>
      <c r="D395" s="3"/>
      <c r="E395" s="3"/>
      <c r="F395" s="7"/>
      <c r="G395" s="7"/>
      <c r="H395" s="7"/>
      <c r="I395" s="7"/>
      <c r="J395" s="7"/>
      <c r="K395" s="7"/>
      <c r="L395" s="7"/>
      <c r="M395" s="7"/>
      <c r="N395" s="7"/>
      <c r="O395" s="7"/>
      <c r="P395" s="7"/>
      <c r="Q395" s="7"/>
      <c r="R395" s="7"/>
      <c r="S395" s="7"/>
      <c r="T395" s="7"/>
      <c r="U395" s="7"/>
      <c r="V395" s="7"/>
      <c r="W395" s="7"/>
      <c r="X395" s="7"/>
      <c r="Y395" s="7"/>
      <c r="Z395" s="7"/>
      <c r="AA395" s="7"/>
      <c r="AB395" s="6"/>
      <c r="AC395" s="41"/>
      <c r="AD395" s="3"/>
      <c r="AE395" s="3"/>
      <c r="AF395" s="3"/>
      <c r="AG395" s="3"/>
      <c r="AH395" s="3"/>
      <c r="AI395" s="3"/>
      <c r="AJ395" s="3"/>
      <c r="AK395" s="3"/>
      <c r="AL395" s="3"/>
      <c r="AM395" s="3"/>
      <c r="AN395" s="3"/>
      <c r="AO395" s="3"/>
      <c r="AP395" s="3"/>
      <c r="AQ395" s="3"/>
      <c r="AR395" s="3"/>
      <c r="AS395" s="76"/>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row>
    <row r="396" spans="1:75" x14ac:dyDescent="0.3">
      <c r="A396" s="84">
        <v>44</v>
      </c>
      <c r="B396" s="2" t="s">
        <v>248</v>
      </c>
      <c r="C396" s="3"/>
      <c r="D396" s="3"/>
      <c r="E396" s="3"/>
      <c r="F396" s="4"/>
      <c r="G396" s="51"/>
      <c r="H396" s="52"/>
      <c r="I396" s="53"/>
      <c r="J396" s="52"/>
      <c r="K396" s="53"/>
      <c r="L396" s="66"/>
      <c r="M396" s="23"/>
      <c r="N396" s="51"/>
      <c r="O396" s="52"/>
      <c r="P396" s="53"/>
      <c r="Q396" s="52"/>
      <c r="R396" s="53"/>
      <c r="S396" s="66"/>
      <c r="T396" s="3"/>
      <c r="U396" s="51"/>
      <c r="V396" s="52"/>
      <c r="W396" s="53"/>
      <c r="X396" s="52"/>
      <c r="Y396" s="53"/>
      <c r="Z396" s="66"/>
      <c r="AA396" s="3"/>
      <c r="AB396" s="62"/>
      <c r="AC396" s="52"/>
      <c r="AD396" s="3"/>
      <c r="AE396" s="3"/>
      <c r="AF396" s="88" t="str">
        <f>A396&amp;" "&amp;B396</f>
        <v>44 LA PREOCUPACION fundamental que manifiesta el colegio ante mi porvenir es:</v>
      </c>
      <c r="AG396" s="3"/>
      <c r="AH396" s="3"/>
      <c r="AI396" s="3"/>
      <c r="AJ396" s="3"/>
      <c r="AK396" s="3"/>
      <c r="AL396" s="3"/>
      <c r="AM396" s="3"/>
      <c r="AN396" s="3"/>
      <c r="AO396" s="3"/>
      <c r="AP396" s="3"/>
      <c r="AQ396" s="3"/>
      <c r="AR396" s="3"/>
      <c r="AS396" s="76"/>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row>
    <row r="397" spans="1:75" x14ac:dyDescent="0.3">
      <c r="A397" s="1" t="s">
        <v>17</v>
      </c>
      <c r="B397" s="2" t="s">
        <v>249</v>
      </c>
      <c r="C397" s="3"/>
      <c r="D397" s="3"/>
      <c r="E397" s="3"/>
      <c r="F397" s="4"/>
      <c r="G397" s="51">
        <f t="shared" ref="G397:G404" si="663">I397+K397</f>
        <v>19</v>
      </c>
      <c r="H397" s="52">
        <f t="shared" ref="H397:H404" si="664">G397/$J$5*100</f>
        <v>45.238095238095241</v>
      </c>
      <c r="I397" s="53">
        <f>COUNTIFS('00 Encuesta'!$B$2:$B$511,"*f)*",'00 Encuesta'!$C$2:$C$511,"*a)*",'00 Encuesta'!$E$2:$E$511,"*a)*",'00 Encuesta'!$AX$2:$AX$511,"*a)*")</f>
        <v>7</v>
      </c>
      <c r="J397" s="52">
        <f t="shared" ref="J397:J404" si="665">I397/$J$6*100</f>
        <v>31.818181818181817</v>
      </c>
      <c r="K397" s="53">
        <f>COUNTIFS('00 Encuesta'!$B$2:$B$511,"*f)*",'00 Encuesta'!$C$2:$C$511,"*a)*",'00 Encuesta'!$E$2:$E$511,"*b)*",'00 Encuesta'!$AX$2:$AX$511,"*a)*")</f>
        <v>12</v>
      </c>
      <c r="L397" s="52">
        <f t="shared" ref="L397:L404" si="666">K397/$J$7*100</f>
        <v>60</v>
      </c>
      <c r="M397" s="23"/>
      <c r="N397" s="51">
        <f t="shared" ref="N397:N404" si="667">P397+R397</f>
        <v>0</v>
      </c>
      <c r="O397" s="52" t="e">
        <f t="shared" ref="O397:O404" si="668">N397/$Q$5*100</f>
        <v>#DIV/0!</v>
      </c>
      <c r="P397" s="53">
        <f>COUNTIFS('00 Encuesta'!$B$2:$B$511,"*f)*",'00 Encuesta'!$C$2:$C$511,"*b)*",'00 Encuesta'!$E$2:$E$511,"*a)*",'00 Encuesta'!$AX$2:$AX$511,"*a)*")</f>
        <v>0</v>
      </c>
      <c r="Q397" s="52" t="e">
        <f t="shared" ref="Q397:Q404" si="669">P397/$Q$6*100</f>
        <v>#DIV/0!</v>
      </c>
      <c r="R397" s="53">
        <f>COUNTIFS('00 Encuesta'!$B$2:$B$511,"*f)*",'00 Encuesta'!$C$2:$C$511,"*b)*",'00 Encuesta'!$E$2:$E$511,"*b)*",'00 Encuesta'!$AX$2:$AX$511,"*a)*")</f>
        <v>0</v>
      </c>
      <c r="S397" s="52" t="e">
        <f t="shared" ref="S397:S404" si="670">R397/$Q$7*100</f>
        <v>#DIV/0!</v>
      </c>
      <c r="T397" s="3"/>
      <c r="U397" s="51">
        <f t="shared" ref="U397:U404" si="671">W397+Y397</f>
        <v>0</v>
      </c>
      <c r="V397" s="52" t="e">
        <f t="shared" ref="V397:V404" si="672">U397/$X$5*100</f>
        <v>#DIV/0!</v>
      </c>
      <c r="W397" s="53">
        <f>COUNTIFS('00 Encuesta'!$B$2:$B$511,"*f)*",'00 Encuesta'!$C$2:$C$511,"*c)*",'00 Encuesta'!$E$2:$E$511,"*a)*",'00 Encuesta'!$AX$2:$AX$511,"*a)*")</f>
        <v>0</v>
      </c>
      <c r="X397" s="52" t="e">
        <f t="shared" ref="X397:X404" si="673">W397/$X$6*100</f>
        <v>#DIV/0!</v>
      </c>
      <c r="Y397" s="53">
        <f>COUNTIFS('00 Encuesta'!$B$2:$B$511,"*f)*",'00 Encuesta'!$C$2:$C$511,"*c)*",'00 Encuesta'!$E$2:$E$511,"*b)*",'00 Encuesta'!$AX$2:$AX$511,"*a)*")</f>
        <v>0</v>
      </c>
      <c r="Z397" s="52" t="e">
        <f t="shared" ref="Z397:Z404" si="674">Y397/$X$7*100</f>
        <v>#DIV/0!</v>
      </c>
      <c r="AA397" s="3"/>
      <c r="AB397" s="62">
        <f t="shared" ref="AB397:AB404" si="675">G397+N397+U397</f>
        <v>19</v>
      </c>
      <c r="AC397" s="52">
        <f t="shared" ref="AC397:AC404" si="676">AB397*100/$AC$5</f>
        <v>45.238095238095241</v>
      </c>
      <c r="AD397" s="3"/>
      <c r="AE397" s="3"/>
      <c r="AF397" s="9" t="str">
        <f t="shared" ref="AF397:AF404" si="677">A397&amp;" "&amp;B397</f>
        <v>a) Que sea un buen profesional</v>
      </c>
      <c r="AG397" s="72">
        <f t="shared" ref="AG397:AG404" si="678">J397</f>
        <v>31.818181818181817</v>
      </c>
      <c r="AH397" s="72">
        <f t="shared" ref="AH397:AH404" si="679">L397</f>
        <v>60</v>
      </c>
      <c r="AI397" s="73">
        <f t="shared" ref="AI397:AI404" si="680">H397</f>
        <v>45.238095238095241</v>
      </c>
      <c r="AJ397" s="73"/>
      <c r="AK397" s="76" t="e">
        <f t="shared" ref="AK397:AK404" si="681">Q397</f>
        <v>#DIV/0!</v>
      </c>
      <c r="AL397" s="76" t="e">
        <f t="shared" ref="AL397:AL404" si="682">S397</f>
        <v>#DIV/0!</v>
      </c>
      <c r="AM397" s="76" t="e">
        <f t="shared" ref="AM397:AM404" si="683">O397</f>
        <v>#DIV/0!</v>
      </c>
      <c r="AN397" s="76"/>
      <c r="AO397" s="81" t="e">
        <f t="shared" ref="AO397:AO404" si="684">X397</f>
        <v>#DIV/0!</v>
      </c>
      <c r="AP397" s="81" t="e">
        <f t="shared" ref="AP397:AP404" si="685">Z397</f>
        <v>#DIV/0!</v>
      </c>
      <c r="AQ397" s="81" t="e">
        <f t="shared" ref="AQ397:AQ404" si="686">V397</f>
        <v>#DIV/0!</v>
      </c>
      <c r="AR397" s="3"/>
      <c r="AS397" s="76">
        <f t="shared" si="542"/>
        <v>45.238095238095241</v>
      </c>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row>
    <row r="398" spans="1:75" x14ac:dyDescent="0.3">
      <c r="A398" s="1" t="s">
        <v>18</v>
      </c>
      <c r="B398" s="2" t="s">
        <v>250</v>
      </c>
      <c r="C398" s="3"/>
      <c r="D398" s="3"/>
      <c r="E398" s="3"/>
      <c r="F398" s="4"/>
      <c r="G398" s="51">
        <f t="shared" si="663"/>
        <v>18</v>
      </c>
      <c r="H398" s="52">
        <f t="shared" si="664"/>
        <v>42.857142857142854</v>
      </c>
      <c r="I398" s="53">
        <f>COUNTIFS('00 Encuesta'!$B$2:$B$511,"*f)*",'00 Encuesta'!$C$2:$C$511,"*a)*",'00 Encuesta'!$E$2:$E$511,"*a)*",'00 Encuesta'!$AX$2:$AX$511,"*b)*")</f>
        <v>13</v>
      </c>
      <c r="J398" s="52">
        <f t="shared" si="665"/>
        <v>59.090909090909093</v>
      </c>
      <c r="K398" s="53">
        <f>COUNTIFS('00 Encuesta'!$B$2:$B$511,"*f)*",'00 Encuesta'!$C$2:$C$511,"*a)*",'00 Encuesta'!$E$2:$E$511,"*b)*",'00 Encuesta'!$AX$2:$AX$511,"*b)*")</f>
        <v>5</v>
      </c>
      <c r="L398" s="52">
        <f t="shared" si="666"/>
        <v>25</v>
      </c>
      <c r="M398" s="23"/>
      <c r="N398" s="51">
        <f t="shared" si="667"/>
        <v>0</v>
      </c>
      <c r="O398" s="52" t="e">
        <f t="shared" si="668"/>
        <v>#DIV/0!</v>
      </c>
      <c r="P398" s="53">
        <f>COUNTIFS('00 Encuesta'!$B$2:$B$511,"*f)*",'00 Encuesta'!$C$2:$C$511,"*b)*",'00 Encuesta'!$E$2:$E$511,"*a)*",'00 Encuesta'!$AX$2:$AX$511,"*b)*")</f>
        <v>0</v>
      </c>
      <c r="Q398" s="52" t="e">
        <f t="shared" si="669"/>
        <v>#DIV/0!</v>
      </c>
      <c r="R398" s="53">
        <f>COUNTIFS('00 Encuesta'!$B$2:$B$511,"*f)*",'00 Encuesta'!$C$2:$C$511,"*b)*",'00 Encuesta'!$E$2:$E$511,"*b)*",'00 Encuesta'!$AX$2:$AX$511,"*b)*")</f>
        <v>0</v>
      </c>
      <c r="S398" s="52" t="e">
        <f t="shared" si="670"/>
        <v>#DIV/0!</v>
      </c>
      <c r="T398" s="3"/>
      <c r="U398" s="51">
        <f t="shared" si="671"/>
        <v>0</v>
      </c>
      <c r="V398" s="52" t="e">
        <f t="shared" si="672"/>
        <v>#DIV/0!</v>
      </c>
      <c r="W398" s="53">
        <f>COUNTIFS('00 Encuesta'!$B$2:$B$511,"*f)*",'00 Encuesta'!$C$2:$C$511,"*c)*",'00 Encuesta'!$E$2:$E$511,"*a)*",'00 Encuesta'!$AX$2:$AX$511,"*b)*")</f>
        <v>0</v>
      </c>
      <c r="X398" s="52" t="e">
        <f t="shared" si="673"/>
        <v>#DIV/0!</v>
      </c>
      <c r="Y398" s="53">
        <f>COUNTIFS('00 Encuesta'!$B$2:$B$511,"*f)*",'00 Encuesta'!$C$2:$C$511,"*c)*",'00 Encuesta'!$E$2:$E$511,"*b)*",'00 Encuesta'!$AX$2:$AX$511,"*b)*")</f>
        <v>0</v>
      </c>
      <c r="Z398" s="52" t="e">
        <f t="shared" si="674"/>
        <v>#DIV/0!</v>
      </c>
      <c r="AA398" s="3"/>
      <c r="AB398" s="62">
        <f t="shared" si="675"/>
        <v>18</v>
      </c>
      <c r="AC398" s="52">
        <f t="shared" si="676"/>
        <v>42.857142857142854</v>
      </c>
      <c r="AD398" s="3"/>
      <c r="AE398" s="3"/>
      <c r="AF398" s="9" t="str">
        <f t="shared" si="677"/>
        <v>b) Darme una buena ocupaciòn</v>
      </c>
      <c r="AG398" s="72">
        <f t="shared" si="678"/>
        <v>59.090909090909093</v>
      </c>
      <c r="AH398" s="72">
        <f t="shared" si="679"/>
        <v>25</v>
      </c>
      <c r="AI398" s="73">
        <f t="shared" si="680"/>
        <v>42.857142857142854</v>
      </c>
      <c r="AJ398" s="73"/>
      <c r="AK398" s="76" t="e">
        <f t="shared" si="681"/>
        <v>#DIV/0!</v>
      </c>
      <c r="AL398" s="76" t="e">
        <f t="shared" si="682"/>
        <v>#DIV/0!</v>
      </c>
      <c r="AM398" s="76" t="e">
        <f t="shared" si="683"/>
        <v>#DIV/0!</v>
      </c>
      <c r="AN398" s="76"/>
      <c r="AO398" s="81" t="e">
        <f t="shared" si="684"/>
        <v>#DIV/0!</v>
      </c>
      <c r="AP398" s="81" t="e">
        <f t="shared" si="685"/>
        <v>#DIV/0!</v>
      </c>
      <c r="AQ398" s="81" t="e">
        <f t="shared" si="686"/>
        <v>#DIV/0!</v>
      </c>
      <c r="AR398" s="3"/>
      <c r="AS398" s="76">
        <f t="shared" si="542"/>
        <v>42.857142857142854</v>
      </c>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row>
    <row r="399" spans="1:75" x14ac:dyDescent="0.3">
      <c r="A399" s="1" t="s">
        <v>20</v>
      </c>
      <c r="B399" s="2" t="s">
        <v>251</v>
      </c>
      <c r="C399" s="3"/>
      <c r="D399" s="3"/>
      <c r="E399" s="3"/>
      <c r="F399" s="4"/>
      <c r="G399" s="51">
        <f t="shared" si="663"/>
        <v>0</v>
      </c>
      <c r="H399" s="52">
        <f t="shared" si="664"/>
        <v>0</v>
      </c>
      <c r="I399" s="53">
        <f>COUNTIFS('00 Encuesta'!$B$2:$B$511,"*f)*",'00 Encuesta'!$C$2:$C$511,"*a)*",'00 Encuesta'!$E$2:$E$511,"*a)*",'00 Encuesta'!$AX$2:$AX$511,"*c)*")</f>
        <v>0</v>
      </c>
      <c r="J399" s="52">
        <f t="shared" si="665"/>
        <v>0</v>
      </c>
      <c r="K399" s="53">
        <f>COUNTIFS('00 Encuesta'!$B$2:$B$511,"*f)*",'00 Encuesta'!$C$2:$C$511,"*a)*",'00 Encuesta'!$E$2:$E$511,"*b)*",'00 Encuesta'!$AX$2:$AX$511,"*c)*")</f>
        <v>0</v>
      </c>
      <c r="L399" s="52">
        <f t="shared" si="666"/>
        <v>0</v>
      </c>
      <c r="M399" s="23"/>
      <c r="N399" s="51">
        <f t="shared" si="667"/>
        <v>0</v>
      </c>
      <c r="O399" s="52" t="e">
        <f t="shared" si="668"/>
        <v>#DIV/0!</v>
      </c>
      <c r="P399" s="53">
        <f>COUNTIFS('00 Encuesta'!$B$2:$B$511,"*f)*",'00 Encuesta'!$C$2:$C$511,"*b)*",'00 Encuesta'!$E$2:$E$511,"*a)*",'00 Encuesta'!$AX$2:$AX$511,"*c)*")</f>
        <v>0</v>
      </c>
      <c r="Q399" s="52" t="e">
        <f t="shared" si="669"/>
        <v>#DIV/0!</v>
      </c>
      <c r="R399" s="53">
        <f>COUNTIFS('00 Encuesta'!$B$2:$B$511,"*f)*",'00 Encuesta'!$C$2:$C$511,"*b)*",'00 Encuesta'!$E$2:$E$511,"*b)*",'00 Encuesta'!$AX$2:$AX$511,"*c)*")</f>
        <v>0</v>
      </c>
      <c r="S399" s="52" t="e">
        <f t="shared" si="670"/>
        <v>#DIV/0!</v>
      </c>
      <c r="T399" s="3"/>
      <c r="U399" s="51">
        <f t="shared" si="671"/>
        <v>0</v>
      </c>
      <c r="V399" s="52" t="e">
        <f t="shared" si="672"/>
        <v>#DIV/0!</v>
      </c>
      <c r="W399" s="53">
        <f>COUNTIFS('00 Encuesta'!$B$2:$B$511,"*f)*",'00 Encuesta'!$C$2:$C$511,"*c)*",'00 Encuesta'!$E$2:$E$511,"*a)*",'00 Encuesta'!$AX$2:$AX$511,"*c)*")</f>
        <v>0</v>
      </c>
      <c r="X399" s="52" t="e">
        <f t="shared" si="673"/>
        <v>#DIV/0!</v>
      </c>
      <c r="Y399" s="53">
        <f>COUNTIFS('00 Encuesta'!$B$2:$B$511,"*f)*",'00 Encuesta'!$C$2:$C$511,"*c)*",'00 Encuesta'!$E$2:$E$511,"*b)*",'00 Encuesta'!$AX$2:$AX$511,"*c)*")</f>
        <v>0</v>
      </c>
      <c r="Z399" s="52" t="e">
        <f t="shared" si="674"/>
        <v>#DIV/0!</v>
      </c>
      <c r="AA399" s="3"/>
      <c r="AB399" s="62">
        <f>G399+N399+U399</f>
        <v>0</v>
      </c>
      <c r="AC399" s="52">
        <f t="shared" si="676"/>
        <v>0</v>
      </c>
      <c r="AD399" s="3"/>
      <c r="AE399" s="3"/>
      <c r="AF399" s="9" t="str">
        <f t="shared" si="677"/>
        <v>c) Que me preocupe de los demàs</v>
      </c>
      <c r="AG399" s="72">
        <f t="shared" si="678"/>
        <v>0</v>
      </c>
      <c r="AH399" s="72">
        <f t="shared" si="679"/>
        <v>0</v>
      </c>
      <c r="AI399" s="73">
        <f t="shared" si="680"/>
        <v>0</v>
      </c>
      <c r="AJ399" s="73"/>
      <c r="AK399" s="76" t="e">
        <f t="shared" si="681"/>
        <v>#DIV/0!</v>
      </c>
      <c r="AL399" s="76" t="e">
        <f t="shared" si="682"/>
        <v>#DIV/0!</v>
      </c>
      <c r="AM399" s="76" t="e">
        <f t="shared" si="683"/>
        <v>#DIV/0!</v>
      </c>
      <c r="AN399" s="76"/>
      <c r="AO399" s="81" t="e">
        <f t="shared" si="684"/>
        <v>#DIV/0!</v>
      </c>
      <c r="AP399" s="81" t="e">
        <f t="shared" si="685"/>
        <v>#DIV/0!</v>
      </c>
      <c r="AQ399" s="81" t="e">
        <f t="shared" si="686"/>
        <v>#DIV/0!</v>
      </c>
      <c r="AR399" s="3"/>
      <c r="AS399" s="76">
        <f t="shared" si="542"/>
        <v>0</v>
      </c>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row>
    <row r="400" spans="1:75" x14ac:dyDescent="0.3">
      <c r="A400" s="1" t="s">
        <v>21</v>
      </c>
      <c r="B400" s="2" t="s">
        <v>252</v>
      </c>
      <c r="C400" s="3"/>
      <c r="D400" s="3"/>
      <c r="E400" s="3"/>
      <c r="F400" s="4"/>
      <c r="G400" s="51">
        <f t="shared" si="663"/>
        <v>1</v>
      </c>
      <c r="H400" s="52">
        <f t="shared" si="664"/>
        <v>2.3809523809523809</v>
      </c>
      <c r="I400" s="53">
        <f>COUNTIFS('00 Encuesta'!$B$2:$B$511,"*f)*",'00 Encuesta'!$C$2:$C$511,"*a)*",'00 Encuesta'!$E$2:$E$511,"*a)*",'00 Encuesta'!$AX$2:$AX$511,"*d)*")</f>
        <v>0</v>
      </c>
      <c r="J400" s="52">
        <f t="shared" si="665"/>
        <v>0</v>
      </c>
      <c r="K400" s="53">
        <f>COUNTIFS('00 Encuesta'!$B$2:$B$511,"*f)*",'00 Encuesta'!$C$2:$C$511,"*a)*",'00 Encuesta'!$E$2:$E$511,"*b)*",'00 Encuesta'!$AX$2:$AX$511,"*d)*")</f>
        <v>1</v>
      </c>
      <c r="L400" s="52">
        <f t="shared" si="666"/>
        <v>5</v>
      </c>
      <c r="M400" s="23"/>
      <c r="N400" s="51">
        <f t="shared" si="667"/>
        <v>0</v>
      </c>
      <c r="O400" s="52" t="e">
        <f t="shared" si="668"/>
        <v>#DIV/0!</v>
      </c>
      <c r="P400" s="53">
        <f>COUNTIFS('00 Encuesta'!$B$2:$B$511,"*f)*",'00 Encuesta'!$C$2:$C$511,"*b)*",'00 Encuesta'!$E$2:$E$511,"*a)*",'00 Encuesta'!$AX$2:$AX$511,"*d)*")</f>
        <v>0</v>
      </c>
      <c r="Q400" s="52" t="e">
        <f t="shared" si="669"/>
        <v>#DIV/0!</v>
      </c>
      <c r="R400" s="53">
        <f>COUNTIFS('00 Encuesta'!$B$2:$B$511,"*f)*",'00 Encuesta'!$C$2:$C$511,"*b)*",'00 Encuesta'!$E$2:$E$511,"*b)*",'00 Encuesta'!$AX$2:$AX$511,"*d)*")</f>
        <v>0</v>
      </c>
      <c r="S400" s="52" t="e">
        <f t="shared" si="670"/>
        <v>#DIV/0!</v>
      </c>
      <c r="T400" s="3"/>
      <c r="U400" s="51">
        <f t="shared" si="671"/>
        <v>0</v>
      </c>
      <c r="V400" s="52" t="e">
        <f t="shared" si="672"/>
        <v>#DIV/0!</v>
      </c>
      <c r="W400" s="53">
        <f>COUNTIFS('00 Encuesta'!$B$2:$B$511,"*f)*",'00 Encuesta'!$C$2:$C$511,"*c)*",'00 Encuesta'!$E$2:$E$511,"*a)*",'00 Encuesta'!$AX$2:$AX$511,"*d)*")</f>
        <v>0</v>
      </c>
      <c r="X400" s="52" t="e">
        <f t="shared" si="673"/>
        <v>#DIV/0!</v>
      </c>
      <c r="Y400" s="53">
        <f>COUNTIFS('00 Encuesta'!$B$2:$B$511,"*f)*",'00 Encuesta'!$C$2:$C$511,"*c)*",'00 Encuesta'!$E$2:$E$511,"*b)*",'00 Encuesta'!$AX$2:$AX$511,"*d)*")</f>
        <v>0</v>
      </c>
      <c r="Z400" s="52" t="e">
        <f t="shared" si="674"/>
        <v>#DIV/0!</v>
      </c>
      <c r="AA400" s="3"/>
      <c r="AB400" s="62">
        <f t="shared" si="675"/>
        <v>1</v>
      </c>
      <c r="AC400" s="52">
        <f t="shared" si="676"/>
        <v>2.3809523809523809</v>
      </c>
      <c r="AD400" s="3"/>
      <c r="AE400" s="3"/>
      <c r="AF400" s="9" t="str">
        <f t="shared" si="677"/>
        <v>d) Que ayude econòmicamente a la familia</v>
      </c>
      <c r="AG400" s="72">
        <f t="shared" si="678"/>
        <v>0</v>
      </c>
      <c r="AH400" s="72">
        <f t="shared" si="679"/>
        <v>5</v>
      </c>
      <c r="AI400" s="73">
        <f t="shared" si="680"/>
        <v>2.3809523809523809</v>
      </c>
      <c r="AJ400" s="73"/>
      <c r="AK400" s="76" t="e">
        <f t="shared" si="681"/>
        <v>#DIV/0!</v>
      </c>
      <c r="AL400" s="76" t="e">
        <f t="shared" si="682"/>
        <v>#DIV/0!</v>
      </c>
      <c r="AM400" s="76" t="e">
        <f t="shared" si="683"/>
        <v>#DIV/0!</v>
      </c>
      <c r="AN400" s="76"/>
      <c r="AO400" s="81" t="e">
        <f t="shared" si="684"/>
        <v>#DIV/0!</v>
      </c>
      <c r="AP400" s="81" t="e">
        <f t="shared" si="685"/>
        <v>#DIV/0!</v>
      </c>
      <c r="AQ400" s="81" t="e">
        <f t="shared" si="686"/>
        <v>#DIV/0!</v>
      </c>
      <c r="AR400" s="3"/>
      <c r="AS400" s="76">
        <f t="shared" si="542"/>
        <v>2.3809523809523809</v>
      </c>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row>
    <row r="401" spans="1:75" x14ac:dyDescent="0.3">
      <c r="A401" s="1" t="s">
        <v>22</v>
      </c>
      <c r="B401" s="2" t="s">
        <v>253</v>
      </c>
      <c r="C401" s="3"/>
      <c r="D401" s="3"/>
      <c r="E401" s="3"/>
      <c r="F401" s="4"/>
      <c r="G401" s="51">
        <f t="shared" si="663"/>
        <v>0</v>
      </c>
      <c r="H401" s="52">
        <f t="shared" si="664"/>
        <v>0</v>
      </c>
      <c r="I401" s="53">
        <f>COUNTIFS('00 Encuesta'!$B$2:$B$511,"*f)*",'00 Encuesta'!$C$2:$C$511,"*a)*",'00 Encuesta'!$E$2:$E$511,"*a)*",'00 Encuesta'!$AX$2:$AX$511,"*e)*")</f>
        <v>0</v>
      </c>
      <c r="J401" s="52">
        <f t="shared" si="665"/>
        <v>0</v>
      </c>
      <c r="K401" s="53">
        <f>COUNTIFS('00 Encuesta'!$B$2:$B$511,"*f)*",'00 Encuesta'!$C$2:$C$511,"*a)*",'00 Encuesta'!$E$2:$E$511,"*b)*",'00 Encuesta'!$AX$2:$AX$511,"*e)*")</f>
        <v>0</v>
      </c>
      <c r="L401" s="52">
        <f t="shared" si="666"/>
        <v>0</v>
      </c>
      <c r="M401" s="23"/>
      <c r="N401" s="51">
        <f t="shared" si="667"/>
        <v>0</v>
      </c>
      <c r="O401" s="52" t="e">
        <f t="shared" si="668"/>
        <v>#DIV/0!</v>
      </c>
      <c r="P401" s="53">
        <f>COUNTIFS('00 Encuesta'!$B$2:$B$511,"*f)*",'00 Encuesta'!$C$2:$C$511,"*b)*",'00 Encuesta'!$E$2:$E$511,"*a)*",'00 Encuesta'!$AX$2:$AX$511,"*e)*")</f>
        <v>0</v>
      </c>
      <c r="Q401" s="52" t="e">
        <f t="shared" si="669"/>
        <v>#DIV/0!</v>
      </c>
      <c r="R401" s="53">
        <f>COUNTIFS('00 Encuesta'!$B$2:$B$511,"*f)*",'00 Encuesta'!$C$2:$C$511,"*b)*",'00 Encuesta'!$E$2:$E$511,"*b)*",'00 Encuesta'!$AX$2:$AX$511,"*e)*")</f>
        <v>0</v>
      </c>
      <c r="S401" s="52" t="e">
        <f t="shared" si="670"/>
        <v>#DIV/0!</v>
      </c>
      <c r="T401" s="3"/>
      <c r="U401" s="51">
        <f t="shared" si="671"/>
        <v>0</v>
      </c>
      <c r="V401" s="52" t="e">
        <f t="shared" si="672"/>
        <v>#DIV/0!</v>
      </c>
      <c r="W401" s="53">
        <f>COUNTIFS('00 Encuesta'!$B$2:$B$511,"*f)*",'00 Encuesta'!$C$2:$C$511,"*c)*",'00 Encuesta'!$E$2:$E$511,"*a)*",'00 Encuesta'!$AX$2:$AX$511,"*e)*")</f>
        <v>0</v>
      </c>
      <c r="X401" s="52" t="e">
        <f t="shared" si="673"/>
        <v>#DIV/0!</v>
      </c>
      <c r="Y401" s="53">
        <f>COUNTIFS('00 Encuesta'!$B$2:$B$511,"*f)*",'00 Encuesta'!$C$2:$C$511,"*c)*",'00 Encuesta'!$E$2:$E$511,"*b)*",'00 Encuesta'!$AX$2:$AX$511,"*e)*")</f>
        <v>0</v>
      </c>
      <c r="Z401" s="52" t="e">
        <f t="shared" si="674"/>
        <v>#DIV/0!</v>
      </c>
      <c r="AA401" s="3"/>
      <c r="AB401" s="62">
        <f t="shared" si="675"/>
        <v>0</v>
      </c>
      <c r="AC401" s="52">
        <f t="shared" si="676"/>
        <v>0</v>
      </c>
      <c r="AD401" s="3"/>
      <c r="AE401" s="3"/>
      <c r="AF401" s="9" t="str">
        <f t="shared" si="677"/>
        <v>e) Que sea cristiano responsable</v>
      </c>
      <c r="AG401" s="72">
        <f t="shared" si="678"/>
        <v>0</v>
      </c>
      <c r="AH401" s="72">
        <f t="shared" si="679"/>
        <v>0</v>
      </c>
      <c r="AI401" s="73">
        <f t="shared" si="680"/>
        <v>0</v>
      </c>
      <c r="AJ401" s="73"/>
      <c r="AK401" s="76" t="e">
        <f t="shared" si="681"/>
        <v>#DIV/0!</v>
      </c>
      <c r="AL401" s="76" t="e">
        <f t="shared" si="682"/>
        <v>#DIV/0!</v>
      </c>
      <c r="AM401" s="76" t="e">
        <f t="shared" si="683"/>
        <v>#DIV/0!</v>
      </c>
      <c r="AN401" s="76"/>
      <c r="AO401" s="81" t="e">
        <f t="shared" si="684"/>
        <v>#DIV/0!</v>
      </c>
      <c r="AP401" s="81" t="e">
        <f t="shared" si="685"/>
        <v>#DIV/0!</v>
      </c>
      <c r="AQ401" s="81" t="e">
        <f t="shared" si="686"/>
        <v>#DIV/0!</v>
      </c>
      <c r="AR401" s="3"/>
      <c r="AS401" s="76">
        <f t="shared" si="542"/>
        <v>0</v>
      </c>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row>
    <row r="402" spans="1:75" x14ac:dyDescent="0.3">
      <c r="A402" s="1" t="s">
        <v>45</v>
      </c>
      <c r="B402" s="2" t="s">
        <v>254</v>
      </c>
      <c r="C402" s="3"/>
      <c r="D402" s="3"/>
      <c r="E402" s="3"/>
      <c r="F402" s="4"/>
      <c r="G402" s="51">
        <f t="shared" si="663"/>
        <v>3</v>
      </c>
      <c r="H402" s="52">
        <f t="shared" si="664"/>
        <v>7.1428571428571423</v>
      </c>
      <c r="I402" s="53">
        <f>COUNTIFS('00 Encuesta'!$B$2:$B$511,"*f)*",'00 Encuesta'!$C$2:$C$511,"*a)*",'00 Encuesta'!$E$2:$E$511,"*a)*",'00 Encuesta'!$AX$2:$AX$511,"*f)*")</f>
        <v>1</v>
      </c>
      <c r="J402" s="52">
        <f t="shared" si="665"/>
        <v>4.5454545454545459</v>
      </c>
      <c r="K402" s="53">
        <f>COUNTIFS('00 Encuesta'!$B$2:$B$511,"*f)*",'00 Encuesta'!$C$2:$C$511,"*a)*",'00 Encuesta'!$E$2:$E$511,"*b)*",'00 Encuesta'!$AX$2:$AX$511,"*f)*")</f>
        <v>2</v>
      </c>
      <c r="L402" s="52">
        <f t="shared" si="666"/>
        <v>10</v>
      </c>
      <c r="M402" s="23"/>
      <c r="N402" s="51">
        <f t="shared" si="667"/>
        <v>0</v>
      </c>
      <c r="O402" s="52" t="e">
        <f t="shared" si="668"/>
        <v>#DIV/0!</v>
      </c>
      <c r="P402" s="53">
        <f>COUNTIFS('00 Encuesta'!$B$2:$B$511,"*f)*",'00 Encuesta'!$C$2:$C$511,"*b)*",'00 Encuesta'!$E$2:$E$511,"*a)*",'00 Encuesta'!$AX$2:$AX$511,"*f)*")</f>
        <v>0</v>
      </c>
      <c r="Q402" s="52" t="e">
        <f t="shared" si="669"/>
        <v>#DIV/0!</v>
      </c>
      <c r="R402" s="53">
        <f>COUNTIFS('00 Encuesta'!$B$2:$B$511,"*f)*",'00 Encuesta'!$C$2:$C$511,"*b)*",'00 Encuesta'!$E$2:$E$511,"*b)*",'00 Encuesta'!$AX$2:$AX$511,"*f)*")</f>
        <v>0</v>
      </c>
      <c r="S402" s="52" t="e">
        <f t="shared" si="670"/>
        <v>#DIV/0!</v>
      </c>
      <c r="T402" s="3"/>
      <c r="U402" s="51">
        <f t="shared" si="671"/>
        <v>0</v>
      </c>
      <c r="V402" s="52" t="e">
        <f t="shared" si="672"/>
        <v>#DIV/0!</v>
      </c>
      <c r="W402" s="53">
        <f>COUNTIFS('00 Encuesta'!$B$2:$B$511,"*f)*",'00 Encuesta'!$C$2:$C$511,"*c)*",'00 Encuesta'!$E$2:$E$511,"*a)*",'00 Encuesta'!$AX$2:$AX$511,"*f)*")</f>
        <v>0</v>
      </c>
      <c r="X402" s="52" t="e">
        <f t="shared" si="673"/>
        <v>#DIV/0!</v>
      </c>
      <c r="Y402" s="53">
        <f>COUNTIFS('00 Encuesta'!$B$2:$B$511,"*f)*",'00 Encuesta'!$C$2:$C$511,"*c)*",'00 Encuesta'!$E$2:$E$511,"*b)*",'00 Encuesta'!$AX$2:$AX$511,"*f)*")</f>
        <v>0</v>
      </c>
      <c r="Z402" s="52" t="e">
        <f t="shared" si="674"/>
        <v>#DIV/0!</v>
      </c>
      <c r="AA402" s="3"/>
      <c r="AB402" s="62">
        <f t="shared" si="675"/>
        <v>3</v>
      </c>
      <c r="AC402" s="52">
        <f t="shared" si="676"/>
        <v>7.1428571428571432</v>
      </c>
      <c r="AD402" s="3"/>
      <c r="AE402" s="3"/>
      <c r="AF402" s="9" t="str">
        <f t="shared" si="677"/>
        <v>f) Que tenga honradez en la vida</v>
      </c>
      <c r="AG402" s="72">
        <f t="shared" si="678"/>
        <v>4.5454545454545459</v>
      </c>
      <c r="AH402" s="72">
        <f t="shared" si="679"/>
        <v>10</v>
      </c>
      <c r="AI402" s="73">
        <f t="shared" si="680"/>
        <v>7.1428571428571423</v>
      </c>
      <c r="AJ402" s="73"/>
      <c r="AK402" s="76" t="e">
        <f t="shared" si="681"/>
        <v>#DIV/0!</v>
      </c>
      <c r="AL402" s="76" t="e">
        <f t="shared" si="682"/>
        <v>#DIV/0!</v>
      </c>
      <c r="AM402" s="76" t="e">
        <f t="shared" si="683"/>
        <v>#DIV/0!</v>
      </c>
      <c r="AN402" s="76"/>
      <c r="AO402" s="81" t="e">
        <f t="shared" si="684"/>
        <v>#DIV/0!</v>
      </c>
      <c r="AP402" s="81" t="e">
        <f t="shared" si="685"/>
        <v>#DIV/0!</v>
      </c>
      <c r="AQ402" s="81" t="e">
        <f t="shared" si="686"/>
        <v>#DIV/0!</v>
      </c>
      <c r="AR402" s="3"/>
      <c r="AS402" s="76">
        <f t="shared" si="542"/>
        <v>7.1428571428571432</v>
      </c>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row>
    <row r="403" spans="1:75" x14ac:dyDescent="0.3">
      <c r="A403" s="1" t="s">
        <v>61</v>
      </c>
      <c r="B403" s="2" t="s">
        <v>255</v>
      </c>
      <c r="C403" s="3"/>
      <c r="D403" s="3"/>
      <c r="E403" s="3"/>
      <c r="F403" s="4"/>
      <c r="G403" s="51">
        <f t="shared" si="663"/>
        <v>0</v>
      </c>
      <c r="H403" s="52">
        <f t="shared" si="664"/>
        <v>0</v>
      </c>
      <c r="I403" s="53">
        <f>COUNTIFS('00 Encuesta'!$B$2:$B$511,"*f)*",'00 Encuesta'!$C$2:$C$511,"*a)*",'00 Encuesta'!$E$2:$E$511,"*a)*",'00 Encuesta'!$AX$2:$AX$511,"*g)*")</f>
        <v>0</v>
      </c>
      <c r="J403" s="52">
        <f t="shared" si="665"/>
        <v>0</v>
      </c>
      <c r="K403" s="53">
        <f>COUNTIFS('00 Encuesta'!$B$2:$B$511,"*f)*",'00 Encuesta'!$C$2:$C$511,"*a)*",'00 Encuesta'!$E$2:$E$511,"*b)*",'00 Encuesta'!$AX$2:$AX$511,"*g)*")</f>
        <v>0</v>
      </c>
      <c r="L403" s="52">
        <f t="shared" si="666"/>
        <v>0</v>
      </c>
      <c r="M403" s="23"/>
      <c r="N403" s="51">
        <f t="shared" si="667"/>
        <v>0</v>
      </c>
      <c r="O403" s="52" t="e">
        <f t="shared" si="668"/>
        <v>#DIV/0!</v>
      </c>
      <c r="P403" s="53">
        <f>COUNTIFS('00 Encuesta'!$B$2:$B$511,"*f)*",'00 Encuesta'!$C$2:$C$511,"*b)*",'00 Encuesta'!$E$2:$E$511,"*a)*",'00 Encuesta'!$AX$2:$AX$511,"*g)*")</f>
        <v>0</v>
      </c>
      <c r="Q403" s="52" t="e">
        <f t="shared" si="669"/>
        <v>#DIV/0!</v>
      </c>
      <c r="R403" s="53">
        <f>COUNTIFS('00 Encuesta'!$B$2:$B$511,"*f)*",'00 Encuesta'!$C$2:$C$511,"*b)*",'00 Encuesta'!$E$2:$E$511,"*b)*",'00 Encuesta'!$AX$2:$AX$511,"*g)*")</f>
        <v>0</v>
      </c>
      <c r="S403" s="52" t="e">
        <f t="shared" si="670"/>
        <v>#DIV/0!</v>
      </c>
      <c r="T403" s="3"/>
      <c r="U403" s="51">
        <f t="shared" si="671"/>
        <v>0</v>
      </c>
      <c r="V403" s="52" t="e">
        <f t="shared" si="672"/>
        <v>#DIV/0!</v>
      </c>
      <c r="W403" s="53">
        <f>COUNTIFS('00 Encuesta'!$B$2:$B$511,"*f)*",'00 Encuesta'!$C$2:$C$511,"*c)*",'00 Encuesta'!$E$2:$E$511,"*a)*",'00 Encuesta'!$AX$2:$AX$511,"*g)*")</f>
        <v>0</v>
      </c>
      <c r="X403" s="52" t="e">
        <f t="shared" si="673"/>
        <v>#DIV/0!</v>
      </c>
      <c r="Y403" s="53">
        <f>COUNTIFS('00 Encuesta'!$B$2:$B$511,"*f)*",'00 Encuesta'!$C$2:$C$511,"*c)*",'00 Encuesta'!$E$2:$E$511,"*b)*",'00 Encuesta'!$AX$2:$AX$511,"*g)*")</f>
        <v>0</v>
      </c>
      <c r="Z403" s="52" t="e">
        <f t="shared" si="674"/>
        <v>#DIV/0!</v>
      </c>
      <c r="AA403" s="3"/>
      <c r="AB403" s="62">
        <f t="shared" si="675"/>
        <v>0</v>
      </c>
      <c r="AC403" s="52">
        <f t="shared" si="676"/>
        <v>0</v>
      </c>
      <c r="AD403" s="3"/>
      <c r="AE403" s="3"/>
      <c r="AF403" s="9" t="str">
        <f t="shared" si="677"/>
        <v>g) No tienen una preocupaciòn especial</v>
      </c>
      <c r="AG403" s="72">
        <f t="shared" si="678"/>
        <v>0</v>
      </c>
      <c r="AH403" s="72">
        <f t="shared" si="679"/>
        <v>0</v>
      </c>
      <c r="AI403" s="73">
        <f t="shared" si="680"/>
        <v>0</v>
      </c>
      <c r="AJ403" s="73"/>
      <c r="AK403" s="76" t="e">
        <f t="shared" si="681"/>
        <v>#DIV/0!</v>
      </c>
      <c r="AL403" s="76" t="e">
        <f t="shared" si="682"/>
        <v>#DIV/0!</v>
      </c>
      <c r="AM403" s="76" t="e">
        <f t="shared" si="683"/>
        <v>#DIV/0!</v>
      </c>
      <c r="AN403" s="76"/>
      <c r="AO403" s="81" t="e">
        <f t="shared" si="684"/>
        <v>#DIV/0!</v>
      </c>
      <c r="AP403" s="81" t="e">
        <f t="shared" si="685"/>
        <v>#DIV/0!</v>
      </c>
      <c r="AQ403" s="81" t="e">
        <f t="shared" si="686"/>
        <v>#DIV/0!</v>
      </c>
      <c r="AR403" s="3"/>
      <c r="AS403" s="76">
        <f t="shared" si="542"/>
        <v>0</v>
      </c>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row>
    <row r="404" spans="1:75" x14ac:dyDescent="0.3">
      <c r="A404" s="1" t="s">
        <v>63</v>
      </c>
      <c r="B404" s="2" t="s">
        <v>256</v>
      </c>
      <c r="C404" s="3"/>
      <c r="D404" s="3"/>
      <c r="E404" s="3"/>
      <c r="F404" s="4"/>
      <c r="G404" s="51">
        <f t="shared" si="663"/>
        <v>0</v>
      </c>
      <c r="H404" s="52">
        <f t="shared" si="664"/>
        <v>0</v>
      </c>
      <c r="I404" s="53">
        <f>COUNTIFS('00 Encuesta'!$B$2:$B$511,"*f)*",'00 Encuesta'!$C$2:$C$511,"*a)*",'00 Encuesta'!$E$2:$E$511,"*a)*",'00 Encuesta'!$AX$2:$AX$511,"*h)*")</f>
        <v>0</v>
      </c>
      <c r="J404" s="52">
        <f t="shared" si="665"/>
        <v>0</v>
      </c>
      <c r="K404" s="53">
        <f>COUNTIFS('00 Encuesta'!$B$2:$B$511,"*f)*",'00 Encuesta'!$C$2:$C$511,"*a)*",'00 Encuesta'!$E$2:$E$511,"*b)*",'00 Encuesta'!$AX$2:$AX$511,"*h)*")</f>
        <v>0</v>
      </c>
      <c r="L404" s="52">
        <f t="shared" si="666"/>
        <v>0</v>
      </c>
      <c r="M404" s="23"/>
      <c r="N404" s="51">
        <f t="shared" si="667"/>
        <v>0</v>
      </c>
      <c r="O404" s="52" t="e">
        <f t="shared" si="668"/>
        <v>#DIV/0!</v>
      </c>
      <c r="P404" s="53">
        <f>COUNTIFS('00 Encuesta'!$B$2:$B$511,"*f)*",'00 Encuesta'!$C$2:$C$511,"*b)*",'00 Encuesta'!$E$2:$E$511,"*a)*",'00 Encuesta'!$AX$2:$AX$511,"*h)*")</f>
        <v>0</v>
      </c>
      <c r="Q404" s="52" t="e">
        <f t="shared" si="669"/>
        <v>#DIV/0!</v>
      </c>
      <c r="R404" s="53">
        <f>COUNTIFS('00 Encuesta'!$B$2:$B$511,"*f)*",'00 Encuesta'!$C$2:$C$511,"*b)*",'00 Encuesta'!$E$2:$E$511,"*b)*",'00 Encuesta'!$AX$2:$AX$511,"*h)*")</f>
        <v>0</v>
      </c>
      <c r="S404" s="52" t="e">
        <f t="shared" si="670"/>
        <v>#DIV/0!</v>
      </c>
      <c r="T404" s="3"/>
      <c r="U404" s="51">
        <f t="shared" si="671"/>
        <v>0</v>
      </c>
      <c r="V404" s="52" t="e">
        <f t="shared" si="672"/>
        <v>#DIV/0!</v>
      </c>
      <c r="W404" s="53">
        <f>COUNTIFS('00 Encuesta'!$B$2:$B$511,"*f)*",'00 Encuesta'!$C$2:$C$511,"*c)*",'00 Encuesta'!$E$2:$E$511,"*a)*",'00 Encuesta'!$AX$2:$AX$511,"*h)*")</f>
        <v>0</v>
      </c>
      <c r="X404" s="52" t="e">
        <f t="shared" si="673"/>
        <v>#DIV/0!</v>
      </c>
      <c r="Y404" s="53">
        <f>COUNTIFS('00 Encuesta'!$B$2:$B$511,"*f)*",'00 Encuesta'!$C$2:$C$511,"*c)*",'00 Encuesta'!$E$2:$E$511,"*b)*",'00 Encuesta'!$AX$2:$AX$511,"*h)*")</f>
        <v>0</v>
      </c>
      <c r="Z404" s="52" t="e">
        <f t="shared" si="674"/>
        <v>#DIV/0!</v>
      </c>
      <c r="AA404" s="3"/>
      <c r="AB404" s="62">
        <f t="shared" si="675"/>
        <v>0</v>
      </c>
      <c r="AC404" s="52">
        <f t="shared" si="676"/>
        <v>0</v>
      </c>
      <c r="AD404" s="3"/>
      <c r="AE404" s="3"/>
      <c r="AF404" s="9" t="str">
        <f t="shared" si="677"/>
        <v>h) No sè</v>
      </c>
      <c r="AG404" s="72">
        <f t="shared" si="678"/>
        <v>0</v>
      </c>
      <c r="AH404" s="72">
        <f t="shared" si="679"/>
        <v>0</v>
      </c>
      <c r="AI404" s="73">
        <f t="shared" si="680"/>
        <v>0</v>
      </c>
      <c r="AJ404" s="73"/>
      <c r="AK404" s="76" t="e">
        <f t="shared" si="681"/>
        <v>#DIV/0!</v>
      </c>
      <c r="AL404" s="76" t="e">
        <f t="shared" si="682"/>
        <v>#DIV/0!</v>
      </c>
      <c r="AM404" s="76" t="e">
        <f t="shared" si="683"/>
        <v>#DIV/0!</v>
      </c>
      <c r="AN404" s="76"/>
      <c r="AO404" s="81" t="e">
        <f t="shared" si="684"/>
        <v>#DIV/0!</v>
      </c>
      <c r="AP404" s="81" t="e">
        <f t="shared" si="685"/>
        <v>#DIV/0!</v>
      </c>
      <c r="AQ404" s="81" t="e">
        <f t="shared" si="686"/>
        <v>#DIV/0!</v>
      </c>
      <c r="AR404" s="3"/>
      <c r="AS404" s="76">
        <f t="shared" si="542"/>
        <v>0</v>
      </c>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row>
    <row r="405" spans="1:75" x14ac:dyDescent="0.3">
      <c r="A405" s="1"/>
      <c r="B405" s="2"/>
      <c r="C405" s="3"/>
      <c r="D405" s="3"/>
      <c r="E405" s="3"/>
      <c r="F405" s="7"/>
      <c r="G405" s="7"/>
      <c r="H405" s="7"/>
      <c r="I405" s="7"/>
      <c r="J405" s="7"/>
      <c r="K405" s="7"/>
      <c r="L405" s="7"/>
      <c r="M405" s="7"/>
      <c r="N405" s="7"/>
      <c r="O405" s="7"/>
      <c r="P405" s="7"/>
      <c r="Q405" s="7"/>
      <c r="R405" s="7"/>
      <c r="S405" s="7"/>
      <c r="T405" s="7"/>
      <c r="U405" s="7"/>
      <c r="V405" s="7"/>
      <c r="W405" s="7"/>
      <c r="X405" s="7"/>
      <c r="Y405" s="7"/>
      <c r="Z405" s="7"/>
      <c r="AA405" s="7"/>
      <c r="AB405" s="6"/>
      <c r="AC405" s="41"/>
      <c r="AD405" s="7"/>
      <c r="AE405" s="3"/>
      <c r="AF405" s="3"/>
      <c r="AG405" s="3"/>
      <c r="AH405" s="3"/>
      <c r="AI405" s="3"/>
      <c r="AJ405" s="3"/>
      <c r="AK405" s="3"/>
      <c r="AL405" s="3"/>
      <c r="AM405" s="3"/>
      <c r="AN405" s="3"/>
      <c r="AO405" s="3"/>
      <c r="AP405" s="3"/>
      <c r="AQ405" s="3"/>
      <c r="AR405" s="3"/>
      <c r="AS405" s="76"/>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row>
    <row r="406" spans="1:75" x14ac:dyDescent="0.3">
      <c r="A406" s="84">
        <v>45</v>
      </c>
      <c r="B406" s="2" t="s">
        <v>257</v>
      </c>
      <c r="C406" s="3"/>
      <c r="D406" s="3"/>
      <c r="E406" s="3"/>
      <c r="F406" s="4"/>
      <c r="G406" s="51"/>
      <c r="H406" s="52"/>
      <c r="I406" s="53"/>
      <c r="J406" s="52"/>
      <c r="K406" s="53"/>
      <c r="L406" s="66"/>
      <c r="M406" s="23"/>
      <c r="N406" s="51"/>
      <c r="O406" s="52"/>
      <c r="P406" s="53"/>
      <c r="Q406" s="52"/>
      <c r="R406" s="53"/>
      <c r="S406" s="66"/>
      <c r="T406" s="3"/>
      <c r="U406" s="51"/>
      <c r="V406" s="52"/>
      <c r="W406" s="53"/>
      <c r="X406" s="52"/>
      <c r="Y406" s="53"/>
      <c r="Z406" s="66"/>
      <c r="AA406" s="3"/>
      <c r="AB406" s="62"/>
      <c r="AC406" s="52"/>
      <c r="AD406" s="3"/>
      <c r="AE406" s="3"/>
      <c r="AF406" s="88" t="str">
        <f>A406&amp;" "&amp;B406</f>
        <v>45 Creo que la FE, en la vida de una persona es:</v>
      </c>
      <c r="AG406" s="3"/>
      <c r="AH406" s="3"/>
      <c r="AI406" s="3"/>
      <c r="AJ406" s="3"/>
      <c r="AK406" s="3"/>
      <c r="AL406" s="3"/>
      <c r="AM406" s="3"/>
      <c r="AN406" s="3"/>
      <c r="AO406" s="3"/>
      <c r="AP406" s="3"/>
      <c r="AQ406" s="3"/>
      <c r="AR406" s="3"/>
      <c r="AS406" s="76"/>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row>
    <row r="407" spans="1:75" x14ac:dyDescent="0.3">
      <c r="A407" s="1" t="s">
        <v>17</v>
      </c>
      <c r="B407" s="2" t="s">
        <v>258</v>
      </c>
      <c r="C407" s="3"/>
      <c r="D407" s="3"/>
      <c r="E407" s="3"/>
      <c r="F407" s="4"/>
      <c r="G407" s="51">
        <f>I407+K407</f>
        <v>1</v>
      </c>
      <c r="H407" s="52">
        <f>G407/$J$5*100</f>
        <v>2.3809523809523809</v>
      </c>
      <c r="I407" s="53">
        <f>COUNTIFS('00 Encuesta'!$B$2:$B$511,"*f)*",'00 Encuesta'!$C$2:$C$511,"*a)*",'00 Encuesta'!$E$2:$E$511,"*a)*",'00 Encuesta'!$AY$2:$AY$511,"*a)*")</f>
        <v>1</v>
      </c>
      <c r="J407" s="52">
        <f>I407/$J$6*100</f>
        <v>4.5454545454545459</v>
      </c>
      <c r="K407" s="53">
        <f>COUNTIFS('00 Encuesta'!$B$2:$B$511,"*f)*",'00 Encuesta'!$C$2:$C$511,"*a)*",'00 Encuesta'!$E$2:$E$511,"*b)*",'00 Encuesta'!$AY$2:$AY$511,"*a)*")</f>
        <v>0</v>
      </c>
      <c r="L407" s="52">
        <f>K407/$J$7*100</f>
        <v>0</v>
      </c>
      <c r="M407" s="23"/>
      <c r="N407" s="51">
        <f>P407+R407</f>
        <v>0</v>
      </c>
      <c r="O407" s="52" t="e">
        <f>N407/$Q$5*100</f>
        <v>#DIV/0!</v>
      </c>
      <c r="P407" s="53">
        <f>COUNTIFS('00 Encuesta'!$B$2:$B$511,"*f)*",'00 Encuesta'!$C$2:$C$511,"*b)*",'00 Encuesta'!$E$2:$E$511,"*a)*",'00 Encuesta'!$AY$2:$AY$511,"*a)*")</f>
        <v>0</v>
      </c>
      <c r="Q407" s="52" t="e">
        <f>P407/$Q$6*100</f>
        <v>#DIV/0!</v>
      </c>
      <c r="R407" s="53">
        <f>COUNTIFS('00 Encuesta'!$B$2:$B$511,"*f)*",'00 Encuesta'!$C$2:$C$511,"*b)*",'00 Encuesta'!$E$2:$E$511,"*b)*",'00 Encuesta'!$AY$2:$AY$511,"*a)*")</f>
        <v>0</v>
      </c>
      <c r="S407" s="52" t="e">
        <f>R407/$Q$7*100</f>
        <v>#DIV/0!</v>
      </c>
      <c r="T407" s="3"/>
      <c r="U407" s="51">
        <f>W407+Y407</f>
        <v>0</v>
      </c>
      <c r="V407" s="52" t="e">
        <f>U407/$X$5*100</f>
        <v>#DIV/0!</v>
      </c>
      <c r="W407" s="53">
        <f>COUNTIFS('00 Encuesta'!$B$2:$B$511,"*f)*",'00 Encuesta'!$C$2:$C$511,"*c)*",'00 Encuesta'!$E$2:$E$511,"*a)*",'00 Encuesta'!$AY$2:$AY$511,"*a)*")</f>
        <v>0</v>
      </c>
      <c r="X407" s="52" t="e">
        <f>W407/$X$6*100</f>
        <v>#DIV/0!</v>
      </c>
      <c r="Y407" s="53">
        <f>COUNTIFS('00 Encuesta'!$B$2:$B$511,"*f)*",'00 Encuesta'!$C$2:$C$511,"*c)*",'00 Encuesta'!$E$2:$E$511,"*b)*",'00 Encuesta'!$AY$2:$AY$511,"*a)*")</f>
        <v>0</v>
      </c>
      <c r="Z407" s="52" t="e">
        <f>Y407/$X$7*100</f>
        <v>#DIV/0!</v>
      </c>
      <c r="AA407" s="3"/>
      <c r="AB407" s="62">
        <f>G407+N407+U407</f>
        <v>1</v>
      </c>
      <c r="AC407" s="52">
        <f>AB407*100/$AC$5</f>
        <v>2.3809523809523809</v>
      </c>
      <c r="AD407" s="3"/>
      <c r="AE407" s="3"/>
      <c r="AF407" s="9" t="str">
        <f t="shared" ref="AF407:AF411" si="687">A407&amp;" "&amp;B407</f>
        <v>a) Innecesaria</v>
      </c>
      <c r="AG407" s="72">
        <f>J407</f>
        <v>4.5454545454545459</v>
      </c>
      <c r="AH407" s="72">
        <f>L407</f>
        <v>0</v>
      </c>
      <c r="AI407" s="73">
        <f>H407</f>
        <v>2.3809523809523809</v>
      </c>
      <c r="AJ407" s="73"/>
      <c r="AK407" s="76" t="e">
        <f>Q407</f>
        <v>#DIV/0!</v>
      </c>
      <c r="AL407" s="76" t="e">
        <f>S407</f>
        <v>#DIV/0!</v>
      </c>
      <c r="AM407" s="76" t="e">
        <f>O407</f>
        <v>#DIV/0!</v>
      </c>
      <c r="AN407" s="76"/>
      <c r="AO407" s="81" t="e">
        <f>X407</f>
        <v>#DIV/0!</v>
      </c>
      <c r="AP407" s="81" t="e">
        <f>Z407</f>
        <v>#DIV/0!</v>
      </c>
      <c r="AQ407" s="81" t="e">
        <f>V407</f>
        <v>#DIV/0!</v>
      </c>
      <c r="AR407" s="3"/>
      <c r="AS407" s="76">
        <f t="shared" si="542"/>
        <v>2.3809523809523809</v>
      </c>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row>
    <row r="408" spans="1:75" x14ac:dyDescent="0.3">
      <c r="A408" s="1" t="s">
        <v>18</v>
      </c>
      <c r="B408" s="2" t="s">
        <v>259</v>
      </c>
      <c r="C408" s="3"/>
      <c r="D408" s="3"/>
      <c r="E408" s="3"/>
      <c r="F408" s="4"/>
      <c r="G408" s="51">
        <f>I408+K408</f>
        <v>2</v>
      </c>
      <c r="H408" s="52">
        <f>G408/$J$5*100</f>
        <v>4.7619047619047619</v>
      </c>
      <c r="I408" s="53">
        <f>COUNTIFS('00 Encuesta'!$B$2:$B$511,"*f)*",'00 Encuesta'!$C$2:$C$511,"*a)*",'00 Encuesta'!$E$2:$E$511,"*a)*",'00 Encuesta'!$AY$2:$AY$511,"*b)*")</f>
        <v>1</v>
      </c>
      <c r="J408" s="52">
        <f>I408/$J$6*100</f>
        <v>4.5454545454545459</v>
      </c>
      <c r="K408" s="53">
        <f>COUNTIFS('00 Encuesta'!$B$2:$B$511,"*f)*",'00 Encuesta'!$C$2:$C$511,"*a)*",'00 Encuesta'!$E$2:$E$511,"*b)*",'00 Encuesta'!$AY$2:$AY$511,"*b)*")</f>
        <v>1</v>
      </c>
      <c r="L408" s="52">
        <f>K408/$J$7*100</f>
        <v>5</v>
      </c>
      <c r="M408" s="23"/>
      <c r="N408" s="51">
        <f>P408+R408</f>
        <v>0</v>
      </c>
      <c r="O408" s="52" t="e">
        <f>N408/$Q$5*100</f>
        <v>#DIV/0!</v>
      </c>
      <c r="P408" s="53">
        <f>COUNTIFS('00 Encuesta'!$B$2:$B$511,"*f)*",'00 Encuesta'!$C$2:$C$511,"*b)*",'00 Encuesta'!$E$2:$E$511,"*a)*",'00 Encuesta'!$AY$2:$AY$511,"*b)*")</f>
        <v>0</v>
      </c>
      <c r="Q408" s="52" t="e">
        <f>P408/$Q$6*100</f>
        <v>#DIV/0!</v>
      </c>
      <c r="R408" s="53">
        <f>COUNTIFS('00 Encuesta'!$B$2:$B$511,"*f)*",'00 Encuesta'!$C$2:$C$511,"*b)*",'00 Encuesta'!$E$2:$E$511,"*b)*",'00 Encuesta'!$AY$2:$AY$511,"*b)*")</f>
        <v>0</v>
      </c>
      <c r="S408" s="52" t="e">
        <f>R408/$Q$7*100</f>
        <v>#DIV/0!</v>
      </c>
      <c r="T408" s="3"/>
      <c r="U408" s="51">
        <f>W408+Y408</f>
        <v>0</v>
      </c>
      <c r="V408" s="52" t="e">
        <f>U408/$X$5*100</f>
        <v>#DIV/0!</v>
      </c>
      <c r="W408" s="53">
        <f>COUNTIFS('00 Encuesta'!$B$2:$B$511,"*f)*",'00 Encuesta'!$C$2:$C$511,"*c)*",'00 Encuesta'!$E$2:$E$511,"*a)*",'00 Encuesta'!$AY$2:$AY$511,"*b)*")</f>
        <v>0</v>
      </c>
      <c r="X408" s="52" t="e">
        <f>W408/$X$6*100</f>
        <v>#DIV/0!</v>
      </c>
      <c r="Y408" s="53">
        <f>COUNTIFS('00 Encuesta'!$B$2:$B$511,"*f)*",'00 Encuesta'!$C$2:$C$511,"*c)*",'00 Encuesta'!$E$2:$E$511,"*b)*",'00 Encuesta'!$AY$2:$AY$511,"*b)*")</f>
        <v>0</v>
      </c>
      <c r="Z408" s="52" t="e">
        <f>Y408/$X$7*100</f>
        <v>#DIV/0!</v>
      </c>
      <c r="AA408" s="3"/>
      <c r="AB408" s="62">
        <f>G408+N408+U408</f>
        <v>2</v>
      </c>
      <c r="AC408" s="52">
        <f>AB408*100/$AC$5</f>
        <v>4.7619047619047619</v>
      </c>
      <c r="AD408" s="3"/>
      <c r="AE408" s="3"/>
      <c r="AF408" s="9" t="str">
        <f t="shared" si="687"/>
        <v>b) Indiferente</v>
      </c>
      <c r="AG408" s="72">
        <f>J408</f>
        <v>4.5454545454545459</v>
      </c>
      <c r="AH408" s="72">
        <f>L408</f>
        <v>5</v>
      </c>
      <c r="AI408" s="73">
        <f>H408</f>
        <v>4.7619047619047619</v>
      </c>
      <c r="AJ408" s="73"/>
      <c r="AK408" s="76" t="e">
        <f>Q408</f>
        <v>#DIV/0!</v>
      </c>
      <c r="AL408" s="76" t="e">
        <f>S408</f>
        <v>#DIV/0!</v>
      </c>
      <c r="AM408" s="76" t="e">
        <f>O408</f>
        <v>#DIV/0!</v>
      </c>
      <c r="AN408" s="76"/>
      <c r="AO408" s="81" t="e">
        <f>X408</f>
        <v>#DIV/0!</v>
      </c>
      <c r="AP408" s="81" t="e">
        <f>Z408</f>
        <v>#DIV/0!</v>
      </c>
      <c r="AQ408" s="81" t="e">
        <f>V408</f>
        <v>#DIV/0!</v>
      </c>
      <c r="AR408" s="3"/>
      <c r="AS408" s="76">
        <f t="shared" si="542"/>
        <v>4.7619047619047619</v>
      </c>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row>
    <row r="409" spans="1:75" x14ac:dyDescent="0.3">
      <c r="A409" s="1" t="s">
        <v>20</v>
      </c>
      <c r="B409" s="2" t="s">
        <v>260</v>
      </c>
      <c r="C409" s="3"/>
      <c r="D409" s="3"/>
      <c r="E409" s="3"/>
      <c r="F409" s="4"/>
      <c r="G409" s="51">
        <f>I409+K409</f>
        <v>4</v>
      </c>
      <c r="H409" s="52">
        <f>G409/$J$5*100</f>
        <v>9.5238095238095237</v>
      </c>
      <c r="I409" s="53">
        <f>COUNTIFS('00 Encuesta'!$B$2:$B$511,"*f)*",'00 Encuesta'!$C$2:$C$511,"*a)*",'00 Encuesta'!$E$2:$E$511,"*a)*",'00 Encuesta'!$AY$2:$AY$511,"*c)*")</f>
        <v>3</v>
      </c>
      <c r="J409" s="52">
        <f>I409/$J$6*100</f>
        <v>13.636363636363635</v>
      </c>
      <c r="K409" s="53">
        <f>COUNTIFS('00 Encuesta'!$B$2:$B$511,"*f)*",'00 Encuesta'!$C$2:$C$511,"*a)*",'00 Encuesta'!$E$2:$E$511,"*b)*",'00 Encuesta'!$AY$2:$AY$511,"*c)*")</f>
        <v>1</v>
      </c>
      <c r="L409" s="52">
        <f>K409/$J$7*100</f>
        <v>5</v>
      </c>
      <c r="M409" s="23"/>
      <c r="N409" s="51">
        <f>P409+R409</f>
        <v>0</v>
      </c>
      <c r="O409" s="52" t="e">
        <f>N409/$Q$5*100</f>
        <v>#DIV/0!</v>
      </c>
      <c r="P409" s="53">
        <f>COUNTIFS('00 Encuesta'!$B$2:$B$511,"*f)*",'00 Encuesta'!$C$2:$C$511,"*b)*",'00 Encuesta'!$E$2:$E$511,"*a)*",'00 Encuesta'!$AY$2:$AY$511,"*c)*")</f>
        <v>0</v>
      </c>
      <c r="Q409" s="52" t="e">
        <f>P409/$Q$6*100</f>
        <v>#DIV/0!</v>
      </c>
      <c r="R409" s="53">
        <f>COUNTIFS('00 Encuesta'!$B$2:$B$511,"*f)*",'00 Encuesta'!$C$2:$C$511,"*b)*",'00 Encuesta'!$E$2:$E$511,"*b)*",'00 Encuesta'!$AY$2:$AY$511,"*c)*")</f>
        <v>0</v>
      </c>
      <c r="S409" s="52" t="e">
        <f>R409/$Q$7*100</f>
        <v>#DIV/0!</v>
      </c>
      <c r="T409" s="3"/>
      <c r="U409" s="51">
        <f>W409+Y409</f>
        <v>0</v>
      </c>
      <c r="V409" s="52" t="e">
        <f>U409/$X$5*100</f>
        <v>#DIV/0!</v>
      </c>
      <c r="W409" s="53">
        <f>COUNTIFS('00 Encuesta'!$B$2:$B$511,"*f)*",'00 Encuesta'!$C$2:$C$511,"*c)*",'00 Encuesta'!$E$2:$E$511,"*a)*",'00 Encuesta'!$AY$2:$AY$511,"*c)*")</f>
        <v>0</v>
      </c>
      <c r="X409" s="52" t="e">
        <f>W409/$X$6*100</f>
        <v>#DIV/0!</v>
      </c>
      <c r="Y409" s="53">
        <f>COUNTIFS('00 Encuesta'!$B$2:$B$511,"*f)*",'00 Encuesta'!$C$2:$C$511,"*c)*",'00 Encuesta'!$E$2:$E$511,"*b)*",'00 Encuesta'!$AY$2:$AY$511,"*c)*")</f>
        <v>0</v>
      </c>
      <c r="Z409" s="52" t="e">
        <f>Y409/$X$7*100</f>
        <v>#DIV/0!</v>
      </c>
      <c r="AA409" s="3"/>
      <c r="AB409" s="62">
        <f>G409+N409+U409</f>
        <v>4</v>
      </c>
      <c r="AC409" s="52">
        <f>AB409*100/$AC$5</f>
        <v>9.5238095238095237</v>
      </c>
      <c r="AD409" s="3"/>
      <c r="AE409" s="3"/>
      <c r="AF409" s="9" t="str">
        <f t="shared" si="687"/>
        <v>c) Conveniente</v>
      </c>
      <c r="AG409" s="72">
        <f>J409</f>
        <v>13.636363636363635</v>
      </c>
      <c r="AH409" s="72">
        <f>L409</f>
        <v>5</v>
      </c>
      <c r="AI409" s="73">
        <f>H409</f>
        <v>9.5238095238095237</v>
      </c>
      <c r="AJ409" s="73"/>
      <c r="AK409" s="76" t="e">
        <f>Q409</f>
        <v>#DIV/0!</v>
      </c>
      <c r="AL409" s="76" t="e">
        <f>S409</f>
        <v>#DIV/0!</v>
      </c>
      <c r="AM409" s="76" t="e">
        <f>O409</f>
        <v>#DIV/0!</v>
      </c>
      <c r="AN409" s="76"/>
      <c r="AO409" s="81" t="e">
        <f>X409</f>
        <v>#DIV/0!</v>
      </c>
      <c r="AP409" s="81" t="e">
        <f>Z409</f>
        <v>#DIV/0!</v>
      </c>
      <c r="AQ409" s="81" t="e">
        <f>V409</f>
        <v>#DIV/0!</v>
      </c>
      <c r="AR409" s="3"/>
      <c r="AS409" s="76">
        <f t="shared" ref="AS409:AS452" si="688">AC409</f>
        <v>9.5238095238095237</v>
      </c>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row>
    <row r="410" spans="1:75" x14ac:dyDescent="0.3">
      <c r="A410" s="1" t="s">
        <v>21</v>
      </c>
      <c r="B410" s="2" t="s">
        <v>261</v>
      </c>
      <c r="C410" s="3"/>
      <c r="D410" s="3"/>
      <c r="E410" s="3"/>
      <c r="F410" s="4"/>
      <c r="G410" s="51">
        <f>I410+K410</f>
        <v>20</v>
      </c>
      <c r="H410" s="52">
        <f>G410/$J$5*100</f>
        <v>47.619047619047613</v>
      </c>
      <c r="I410" s="53">
        <f>COUNTIFS('00 Encuesta'!$B$2:$B$511,"*f)*",'00 Encuesta'!$C$2:$C$511,"*a)*",'00 Encuesta'!$E$2:$E$511,"*a)*",'00 Encuesta'!$AY$2:$AY$511,"*d)*")</f>
        <v>10</v>
      </c>
      <c r="J410" s="52">
        <f>I410/$J$6*100</f>
        <v>45.454545454545453</v>
      </c>
      <c r="K410" s="53">
        <f>COUNTIFS('00 Encuesta'!$B$2:$B$511,"*f)*",'00 Encuesta'!$C$2:$C$511,"*a)*",'00 Encuesta'!$E$2:$E$511,"*b)*",'00 Encuesta'!$AY$2:$AY$511,"*d)*")</f>
        <v>10</v>
      </c>
      <c r="L410" s="52">
        <f>K410/$J$7*100</f>
        <v>50</v>
      </c>
      <c r="M410" s="23"/>
      <c r="N410" s="51">
        <f>P410+R410</f>
        <v>0</v>
      </c>
      <c r="O410" s="52" t="e">
        <f>N410/$Q$5*100</f>
        <v>#DIV/0!</v>
      </c>
      <c r="P410" s="53">
        <f>COUNTIFS('00 Encuesta'!$B$2:$B$511,"*f)*",'00 Encuesta'!$C$2:$C$511,"*b)*",'00 Encuesta'!$E$2:$E$511,"*a)*",'00 Encuesta'!$AY$2:$AY$511,"*d)*")</f>
        <v>0</v>
      </c>
      <c r="Q410" s="52" t="e">
        <f>P410/$Q$6*100</f>
        <v>#DIV/0!</v>
      </c>
      <c r="R410" s="53">
        <f>COUNTIFS('00 Encuesta'!$B$2:$B$511,"*f)*",'00 Encuesta'!$C$2:$C$511,"*b)*",'00 Encuesta'!$E$2:$E$511,"*b)*",'00 Encuesta'!$AY$2:$AY$511,"*d)*")</f>
        <v>0</v>
      </c>
      <c r="S410" s="52" t="e">
        <f>R410/$Q$7*100</f>
        <v>#DIV/0!</v>
      </c>
      <c r="T410" s="3"/>
      <c r="U410" s="51">
        <f>W410+Y410</f>
        <v>0</v>
      </c>
      <c r="V410" s="52" t="e">
        <f>U410/$X$5*100</f>
        <v>#DIV/0!</v>
      </c>
      <c r="W410" s="53">
        <f>COUNTIFS('00 Encuesta'!$B$2:$B$511,"*f)*",'00 Encuesta'!$C$2:$C$511,"*c)*",'00 Encuesta'!$E$2:$E$511,"*a)*",'00 Encuesta'!$AY$2:$AY$511,"*d)*")</f>
        <v>0</v>
      </c>
      <c r="X410" s="52" t="e">
        <f>W410/$X$6*100</f>
        <v>#DIV/0!</v>
      </c>
      <c r="Y410" s="53">
        <f>COUNTIFS('00 Encuesta'!$B$2:$B$511,"*f)*",'00 Encuesta'!$C$2:$C$511,"*c)*",'00 Encuesta'!$E$2:$E$511,"*b)*",'00 Encuesta'!$AY$2:$AY$511,"*d)*")</f>
        <v>0</v>
      </c>
      <c r="Z410" s="52" t="e">
        <f>Y410/$X$7*100</f>
        <v>#DIV/0!</v>
      </c>
      <c r="AA410" s="3"/>
      <c r="AB410" s="62">
        <f>G410+N410+U410</f>
        <v>20</v>
      </c>
      <c r="AC410" s="52">
        <f>AB410*100/$AC$5</f>
        <v>47.61904761904762</v>
      </c>
      <c r="AD410" s="3"/>
      <c r="AE410" s="3"/>
      <c r="AF410" s="9" t="str">
        <f t="shared" si="687"/>
        <v>d) Bastante necesaria</v>
      </c>
      <c r="AG410" s="72">
        <f>J410</f>
        <v>45.454545454545453</v>
      </c>
      <c r="AH410" s="72">
        <f>L410</f>
        <v>50</v>
      </c>
      <c r="AI410" s="73">
        <f>H410</f>
        <v>47.619047619047613</v>
      </c>
      <c r="AJ410" s="73"/>
      <c r="AK410" s="76" t="e">
        <f>Q410</f>
        <v>#DIV/0!</v>
      </c>
      <c r="AL410" s="76" t="e">
        <f>S410</f>
        <v>#DIV/0!</v>
      </c>
      <c r="AM410" s="76" t="e">
        <f>O410</f>
        <v>#DIV/0!</v>
      </c>
      <c r="AN410" s="76"/>
      <c r="AO410" s="81" t="e">
        <f>X410</f>
        <v>#DIV/0!</v>
      </c>
      <c r="AP410" s="81" t="e">
        <f>Z410</f>
        <v>#DIV/0!</v>
      </c>
      <c r="AQ410" s="81" t="e">
        <f>V410</f>
        <v>#DIV/0!</v>
      </c>
      <c r="AR410" s="3"/>
      <c r="AS410" s="76">
        <f t="shared" si="688"/>
        <v>47.61904761904762</v>
      </c>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row>
    <row r="411" spans="1:75" x14ac:dyDescent="0.3">
      <c r="A411" s="1" t="s">
        <v>22</v>
      </c>
      <c r="B411" s="2" t="s">
        <v>262</v>
      </c>
      <c r="C411" s="3"/>
      <c r="D411" s="3"/>
      <c r="E411" s="3"/>
      <c r="F411" s="4"/>
      <c r="G411" s="51">
        <f>I411+K411</f>
        <v>14</v>
      </c>
      <c r="H411" s="52">
        <f>G411/$J$5*100</f>
        <v>33.333333333333329</v>
      </c>
      <c r="I411" s="53">
        <f>COUNTIFS('00 Encuesta'!$B$2:$B$511,"*f)*",'00 Encuesta'!$C$2:$C$511,"*a)*",'00 Encuesta'!$E$2:$E$511,"*a)*",'00 Encuesta'!$AY$2:$AY$511,"*e)*")</f>
        <v>6</v>
      </c>
      <c r="J411" s="52">
        <f>I411/$J$6*100</f>
        <v>27.27272727272727</v>
      </c>
      <c r="K411" s="53">
        <f>COUNTIFS('00 Encuesta'!$B$2:$B$511,"*f)*",'00 Encuesta'!$C$2:$C$511,"*a)*",'00 Encuesta'!$E$2:$E$511,"*b)*",'00 Encuesta'!$AY$2:$AY$511,"*e)*")</f>
        <v>8</v>
      </c>
      <c r="L411" s="52">
        <f>K411/$J$7*100</f>
        <v>40</v>
      </c>
      <c r="M411" s="23"/>
      <c r="N411" s="51">
        <f>P411+R411</f>
        <v>0</v>
      </c>
      <c r="O411" s="52" t="e">
        <f>N411/$Q$5*100</f>
        <v>#DIV/0!</v>
      </c>
      <c r="P411" s="53">
        <f>COUNTIFS('00 Encuesta'!$B$2:$B$511,"*f)*",'00 Encuesta'!$C$2:$C$511,"*b)*",'00 Encuesta'!$E$2:$E$511,"*a)*",'00 Encuesta'!$AY$2:$AY$511,"*e)*")</f>
        <v>0</v>
      </c>
      <c r="Q411" s="52" t="e">
        <f>P411/$Q$6*100</f>
        <v>#DIV/0!</v>
      </c>
      <c r="R411" s="53">
        <f>COUNTIFS('00 Encuesta'!$B$2:$B$511,"*f)*",'00 Encuesta'!$C$2:$C$511,"*b)*",'00 Encuesta'!$E$2:$E$511,"*b)*",'00 Encuesta'!$AY$2:$AY$511,"*e)*")</f>
        <v>0</v>
      </c>
      <c r="S411" s="52" t="e">
        <f>R411/$Q$7*100</f>
        <v>#DIV/0!</v>
      </c>
      <c r="T411" s="3"/>
      <c r="U411" s="51">
        <f>W411+Y411</f>
        <v>0</v>
      </c>
      <c r="V411" s="52" t="e">
        <f>U411/$X$5*100</f>
        <v>#DIV/0!</v>
      </c>
      <c r="W411" s="53">
        <f>COUNTIFS('00 Encuesta'!$B$2:$B$511,"*f)*",'00 Encuesta'!$C$2:$C$511,"*c)*",'00 Encuesta'!$E$2:$E$511,"*a)*",'00 Encuesta'!$AY$2:$AY$511,"*e)*")</f>
        <v>0</v>
      </c>
      <c r="X411" s="52" t="e">
        <f>W411/$X$6*100</f>
        <v>#DIV/0!</v>
      </c>
      <c r="Y411" s="53">
        <f>COUNTIFS('00 Encuesta'!$B$2:$B$511,"*f)*",'00 Encuesta'!$C$2:$C$511,"*c)*",'00 Encuesta'!$E$2:$E$511,"*b)*",'00 Encuesta'!$AY$2:$AY$511,"*e)*")</f>
        <v>0</v>
      </c>
      <c r="Z411" s="52" t="e">
        <f>Y411/$X$7*100</f>
        <v>#DIV/0!</v>
      </c>
      <c r="AA411" s="3"/>
      <c r="AB411" s="62">
        <f>G411+N411+U411</f>
        <v>14</v>
      </c>
      <c r="AC411" s="52">
        <f>AB411*100/$AC$5</f>
        <v>33.333333333333336</v>
      </c>
      <c r="AD411" s="3"/>
      <c r="AE411" s="3"/>
      <c r="AF411" s="9" t="str">
        <f t="shared" si="687"/>
        <v>e) Absolutamente necesaria</v>
      </c>
      <c r="AG411" s="72">
        <f>J411</f>
        <v>27.27272727272727</v>
      </c>
      <c r="AH411" s="72">
        <f>L411</f>
        <v>40</v>
      </c>
      <c r="AI411" s="73">
        <f>H411</f>
        <v>33.333333333333329</v>
      </c>
      <c r="AJ411" s="73"/>
      <c r="AK411" s="76" t="e">
        <f>Q411</f>
        <v>#DIV/0!</v>
      </c>
      <c r="AL411" s="76" t="e">
        <f>S411</f>
        <v>#DIV/0!</v>
      </c>
      <c r="AM411" s="76" t="e">
        <f>O411</f>
        <v>#DIV/0!</v>
      </c>
      <c r="AN411" s="76"/>
      <c r="AO411" s="81" t="e">
        <f>X411</f>
        <v>#DIV/0!</v>
      </c>
      <c r="AP411" s="81" t="e">
        <f>Z411</f>
        <v>#DIV/0!</v>
      </c>
      <c r="AQ411" s="81" t="e">
        <f>V411</f>
        <v>#DIV/0!</v>
      </c>
      <c r="AR411" s="3"/>
      <c r="AS411" s="76">
        <f t="shared" si="688"/>
        <v>33.333333333333336</v>
      </c>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row>
    <row r="412" spans="1:75" x14ac:dyDescent="0.3">
      <c r="A412" s="1"/>
      <c r="B412" s="2"/>
      <c r="C412" s="3"/>
      <c r="D412" s="3"/>
      <c r="E412" s="3"/>
      <c r="F412" s="7"/>
      <c r="G412" s="7"/>
      <c r="H412" s="7"/>
      <c r="I412" s="7"/>
      <c r="J412" s="7"/>
      <c r="K412" s="7"/>
      <c r="L412" s="7"/>
      <c r="M412" s="7"/>
      <c r="N412" s="7"/>
      <c r="O412" s="7"/>
      <c r="P412" s="7"/>
      <c r="Q412" s="7"/>
      <c r="R412" s="7"/>
      <c r="S412" s="7"/>
      <c r="T412" s="7"/>
      <c r="U412" s="7"/>
      <c r="V412" s="7"/>
      <c r="W412" s="7"/>
      <c r="X412" s="7"/>
      <c r="Y412" s="7"/>
      <c r="Z412" s="7"/>
      <c r="AA412" s="7"/>
      <c r="AB412" s="6"/>
      <c r="AC412" s="41"/>
      <c r="AD412" s="3"/>
      <c r="AE412" s="3"/>
      <c r="AF412" s="3"/>
      <c r="AG412" s="3"/>
      <c r="AH412" s="3"/>
      <c r="AI412" s="3"/>
      <c r="AJ412" s="3"/>
      <c r="AK412" s="3"/>
      <c r="AL412" s="3"/>
      <c r="AM412" s="3"/>
      <c r="AN412" s="3"/>
      <c r="AO412" s="3"/>
      <c r="AP412" s="3"/>
      <c r="AQ412" s="3"/>
      <c r="AR412" s="3"/>
      <c r="AS412" s="76"/>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row>
    <row r="413" spans="1:75" x14ac:dyDescent="0.3">
      <c r="A413" s="84">
        <v>46</v>
      </c>
      <c r="B413" s="2" t="s">
        <v>263</v>
      </c>
      <c r="C413" s="3"/>
      <c r="D413" s="3"/>
      <c r="E413" s="3"/>
      <c r="F413" s="4"/>
      <c r="G413" s="51"/>
      <c r="H413" s="52"/>
      <c r="I413" s="53"/>
      <c r="J413" s="52"/>
      <c r="K413" s="53"/>
      <c r="L413" s="66"/>
      <c r="M413" s="23"/>
      <c r="N413" s="51"/>
      <c r="O413" s="52"/>
      <c r="P413" s="53"/>
      <c r="Q413" s="52"/>
      <c r="R413" s="53"/>
      <c r="S413" s="66"/>
      <c r="T413" s="3"/>
      <c r="U413" s="51"/>
      <c r="V413" s="52"/>
      <c r="W413" s="53"/>
      <c r="X413" s="52"/>
      <c r="Y413" s="53"/>
      <c r="Z413" s="66"/>
      <c r="AA413" s="3"/>
      <c r="AB413" s="62"/>
      <c r="AC413" s="52"/>
      <c r="AD413" s="3"/>
      <c r="AE413" s="3"/>
      <c r="AF413" s="88" t="str">
        <f>A413&amp;" "&amp;B413</f>
        <v>46 Con Respecto al ALCOHOL</v>
      </c>
      <c r="AG413" s="3"/>
      <c r="AH413" s="3"/>
      <c r="AI413" s="3"/>
      <c r="AJ413" s="3"/>
      <c r="AK413" s="3"/>
      <c r="AL413" s="3"/>
      <c r="AM413" s="3"/>
      <c r="AN413" s="3"/>
      <c r="AO413" s="3"/>
      <c r="AP413" s="3"/>
      <c r="AQ413" s="3"/>
      <c r="AR413" s="3"/>
      <c r="AS413" s="76"/>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row>
    <row r="414" spans="1:75" x14ac:dyDescent="0.3">
      <c r="A414" s="84" t="s">
        <v>17</v>
      </c>
      <c r="B414" s="2" t="s">
        <v>264</v>
      </c>
      <c r="C414" s="3"/>
      <c r="D414" s="3"/>
      <c r="E414" s="3"/>
      <c r="F414" s="4"/>
      <c r="G414" s="51">
        <f>I414+K414</f>
        <v>34</v>
      </c>
      <c r="H414" s="52">
        <f>G414/$J$5*100</f>
        <v>80.952380952380949</v>
      </c>
      <c r="I414" s="53">
        <f>COUNTIFS('00 Encuesta'!$B$2:$B$511,"*f)*",'00 Encuesta'!$C$2:$C$511,"*a)*",'00 Encuesta'!$E$2:$E$511,"*a)*",'00 Encuesta'!$AZ$2:$AZ$511,"*a)*")</f>
        <v>17</v>
      </c>
      <c r="J414" s="52">
        <f>I414/$J$6*100</f>
        <v>77.272727272727266</v>
      </c>
      <c r="K414" s="53">
        <f>COUNTIFS('00 Encuesta'!$B$2:$B$511,"*f)*",'00 Encuesta'!$C$2:$C$511,"*a)*",'00 Encuesta'!$E$2:$E$511,"*b)*",'00 Encuesta'!$AZ$2:$AZ$511,"*a)*")</f>
        <v>17</v>
      </c>
      <c r="L414" s="52">
        <f>K414/$J$7*100</f>
        <v>85</v>
      </c>
      <c r="M414" s="23"/>
      <c r="N414" s="51">
        <f>P414+R414</f>
        <v>0</v>
      </c>
      <c r="O414" s="52" t="e">
        <f>N414/$Q$5*100</f>
        <v>#DIV/0!</v>
      </c>
      <c r="P414" s="53">
        <f>COUNTIFS('00 Encuesta'!$B$2:$B$511,"*f)*",'00 Encuesta'!$C$2:$C$511,"*b)*",'00 Encuesta'!$E$2:$E$511,"*a)*",'00 Encuesta'!$AZ$2:$AZ$511,"*a)*")</f>
        <v>0</v>
      </c>
      <c r="Q414" s="52" t="e">
        <f>P414/$Q$6*100</f>
        <v>#DIV/0!</v>
      </c>
      <c r="R414" s="53">
        <f>COUNTIFS('00 Encuesta'!$B$2:$B$511,"*f)*",'00 Encuesta'!$C$2:$C$511,"*b)*",'00 Encuesta'!$E$2:$E$511,"*b)*",'00 Encuesta'!$AZ$2:$AZ$511,"*a)*")</f>
        <v>0</v>
      </c>
      <c r="S414" s="52" t="e">
        <f>R414/$Q$7*100</f>
        <v>#DIV/0!</v>
      </c>
      <c r="T414" s="3"/>
      <c r="U414" s="51">
        <f>W414+Y414</f>
        <v>0</v>
      </c>
      <c r="V414" s="52" t="e">
        <f>U414/$X$5*100</f>
        <v>#DIV/0!</v>
      </c>
      <c r="W414" s="53">
        <f>COUNTIFS('00 Encuesta'!$B$2:$B$511,"*f)*",'00 Encuesta'!$C$2:$C$511,"*c)*",'00 Encuesta'!$E$2:$E$511,"*a)*",'00 Encuesta'!$AZ$2:$AZ$511,"*a)*")</f>
        <v>0</v>
      </c>
      <c r="X414" s="52" t="e">
        <f>W414/$X$6*100</f>
        <v>#DIV/0!</v>
      </c>
      <c r="Y414" s="53">
        <f>COUNTIFS('00 Encuesta'!$B$2:$B$511,"*f)*",'00 Encuesta'!$C$2:$C$511,"*c)*",'00 Encuesta'!$E$2:$E$511,"*b)*",'00 Encuesta'!$AZ$2:$AZ$511,"*a)*")</f>
        <v>0</v>
      </c>
      <c r="Z414" s="52" t="e">
        <f>Y414/$X$7*100</f>
        <v>#DIV/0!</v>
      </c>
      <c r="AA414" s="3"/>
      <c r="AB414" s="62">
        <f>G414+N414+U414</f>
        <v>34</v>
      </c>
      <c r="AC414" s="52">
        <f>AB414*100/$AC$5</f>
        <v>80.952380952380949</v>
      </c>
      <c r="AD414" s="3"/>
      <c r="AE414" s="3"/>
      <c r="AF414" s="9" t="str">
        <f>A414&amp;" "&amp;B414</f>
        <v>a) No acostumbro a tomarlo nunca</v>
      </c>
      <c r="AG414" s="72">
        <f>J414</f>
        <v>77.272727272727266</v>
      </c>
      <c r="AH414" s="72">
        <f>L414</f>
        <v>85</v>
      </c>
      <c r="AI414" s="73">
        <f>H414</f>
        <v>80.952380952380949</v>
      </c>
      <c r="AJ414" s="73"/>
      <c r="AK414" s="76" t="e">
        <f>Q414</f>
        <v>#DIV/0!</v>
      </c>
      <c r="AL414" s="76" t="e">
        <f>S414</f>
        <v>#DIV/0!</v>
      </c>
      <c r="AM414" s="76" t="e">
        <f>O414</f>
        <v>#DIV/0!</v>
      </c>
      <c r="AN414" s="76"/>
      <c r="AO414" s="81" t="e">
        <f>X414</f>
        <v>#DIV/0!</v>
      </c>
      <c r="AP414" s="81" t="e">
        <f>Z414</f>
        <v>#DIV/0!</v>
      </c>
      <c r="AQ414" s="81" t="e">
        <f>V414</f>
        <v>#DIV/0!</v>
      </c>
      <c r="AR414" s="3"/>
      <c r="AS414" s="76">
        <f t="shared" si="688"/>
        <v>80.952380952380949</v>
      </c>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row>
    <row r="415" spans="1:75" x14ac:dyDescent="0.3">
      <c r="A415" s="1" t="s">
        <v>18</v>
      </c>
      <c r="B415" s="2" t="s">
        <v>265</v>
      </c>
      <c r="C415" s="3"/>
      <c r="D415" s="3"/>
      <c r="E415" s="3"/>
      <c r="F415" s="4"/>
      <c r="G415" s="51">
        <f>I415+K415</f>
        <v>4</v>
      </c>
      <c r="H415" s="52">
        <f>G415/$J$5*100</f>
        <v>9.5238095238095237</v>
      </c>
      <c r="I415" s="53">
        <f>COUNTIFS('00 Encuesta'!$B$2:$B$511,"*f)*",'00 Encuesta'!$C$2:$C$511,"*a)*",'00 Encuesta'!$E$2:$E$511,"*a)*",'00 Encuesta'!$AZ$2:$AZ$511,"*b)*")</f>
        <v>3</v>
      </c>
      <c r="J415" s="52">
        <f>I415/$J$6*100</f>
        <v>13.636363636363635</v>
      </c>
      <c r="K415" s="53">
        <f>COUNTIFS('00 Encuesta'!$B$2:$B$511,"*f)*",'00 Encuesta'!$C$2:$C$511,"*a)*",'00 Encuesta'!$E$2:$E$511,"*b)*",'00 Encuesta'!$AZ$2:$AZ$511,"*b)*")</f>
        <v>1</v>
      </c>
      <c r="L415" s="52">
        <f>K415/$J$7*100</f>
        <v>5</v>
      </c>
      <c r="M415" s="23"/>
      <c r="N415" s="51">
        <f>P415+R415</f>
        <v>0</v>
      </c>
      <c r="O415" s="52" t="e">
        <f>N415/$Q$5*100</f>
        <v>#DIV/0!</v>
      </c>
      <c r="P415" s="53">
        <f>COUNTIFS('00 Encuesta'!$B$2:$B$511,"*f)*",'00 Encuesta'!$C$2:$C$511,"*b)*",'00 Encuesta'!$E$2:$E$511,"*a)*",'00 Encuesta'!$AZ$2:$AZ$511,"*b)*")</f>
        <v>0</v>
      </c>
      <c r="Q415" s="52" t="e">
        <f>P415/$Q$6*100</f>
        <v>#DIV/0!</v>
      </c>
      <c r="R415" s="53">
        <f>COUNTIFS('00 Encuesta'!$B$2:$B$511,"*f)*",'00 Encuesta'!$C$2:$C$511,"*b)*",'00 Encuesta'!$E$2:$E$511,"*b)*",'00 Encuesta'!$AZ$2:$AZ$511,"*b)*")</f>
        <v>0</v>
      </c>
      <c r="S415" s="52" t="e">
        <f>R415/$Q$7*100</f>
        <v>#DIV/0!</v>
      </c>
      <c r="T415" s="3"/>
      <c r="U415" s="51">
        <f>W415+Y415</f>
        <v>0</v>
      </c>
      <c r="V415" s="52" t="e">
        <f>U415/$X$5*100</f>
        <v>#DIV/0!</v>
      </c>
      <c r="W415" s="53">
        <f>COUNTIFS('00 Encuesta'!$B$2:$B$511,"*f)*",'00 Encuesta'!$C$2:$C$511,"*c)*",'00 Encuesta'!$E$2:$E$511,"*a)*",'00 Encuesta'!$AZ$2:$AZ$511,"*b)*")</f>
        <v>0</v>
      </c>
      <c r="X415" s="52" t="e">
        <f>W415/$X$6*100</f>
        <v>#DIV/0!</v>
      </c>
      <c r="Y415" s="53">
        <f>COUNTIFS('00 Encuesta'!$B$2:$B$511,"*f)*",'00 Encuesta'!$C$2:$C$511,"*c)*",'00 Encuesta'!$E$2:$E$511,"*b)*",'00 Encuesta'!$AZ$2:$AZ$511,"*b)*")</f>
        <v>0</v>
      </c>
      <c r="Z415" s="52" t="e">
        <f>Y415/$X$7*100</f>
        <v>#DIV/0!</v>
      </c>
      <c r="AA415" s="3"/>
      <c r="AB415" s="62">
        <f>G415+N415+U415</f>
        <v>4</v>
      </c>
      <c r="AC415" s="52">
        <f>AB415*100/$AC$5</f>
        <v>9.5238095238095237</v>
      </c>
      <c r="AD415" s="3"/>
      <c r="AE415" s="3"/>
      <c r="AF415" s="9" t="str">
        <f>A415&amp;" "&amp;B415</f>
        <v>b) Las veces que bebo, es con moderaciòn</v>
      </c>
      <c r="AG415" s="72">
        <f>J415</f>
        <v>13.636363636363635</v>
      </c>
      <c r="AH415" s="72">
        <f>L415</f>
        <v>5</v>
      </c>
      <c r="AI415" s="73">
        <f>H415</f>
        <v>9.5238095238095237</v>
      </c>
      <c r="AJ415" s="73"/>
      <c r="AK415" s="76" t="e">
        <f>Q415</f>
        <v>#DIV/0!</v>
      </c>
      <c r="AL415" s="76" t="e">
        <f>S415</f>
        <v>#DIV/0!</v>
      </c>
      <c r="AM415" s="76" t="e">
        <f>O415</f>
        <v>#DIV/0!</v>
      </c>
      <c r="AN415" s="76"/>
      <c r="AO415" s="81" t="e">
        <f>X415</f>
        <v>#DIV/0!</v>
      </c>
      <c r="AP415" s="81" t="e">
        <f>Z415</f>
        <v>#DIV/0!</v>
      </c>
      <c r="AQ415" s="81" t="e">
        <f>V415</f>
        <v>#DIV/0!</v>
      </c>
      <c r="AR415" s="3"/>
      <c r="AS415" s="76">
        <f t="shared" si="688"/>
        <v>9.5238095238095237</v>
      </c>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row>
    <row r="416" spans="1:75" x14ac:dyDescent="0.3">
      <c r="A416" s="1" t="s">
        <v>20</v>
      </c>
      <c r="B416" s="2" t="s">
        <v>266</v>
      </c>
      <c r="C416" s="3"/>
      <c r="D416" s="3"/>
      <c r="E416" s="3"/>
      <c r="F416" s="4"/>
      <c r="G416" s="51">
        <f>I416+K416</f>
        <v>1</v>
      </c>
      <c r="H416" s="52">
        <f>G416/$J$5*100</f>
        <v>2.3809523809523809</v>
      </c>
      <c r="I416" s="53">
        <f>COUNTIFS('00 Encuesta'!$B$2:$B$511,"*f)*",'00 Encuesta'!$C$2:$C$511,"*a)*",'00 Encuesta'!$E$2:$E$511,"*a)*",'00 Encuesta'!$AZ$2:$AZ$511,"*c)*")</f>
        <v>1</v>
      </c>
      <c r="J416" s="52">
        <f>I416/$J$6*100</f>
        <v>4.5454545454545459</v>
      </c>
      <c r="K416" s="53">
        <f>COUNTIFS('00 Encuesta'!$B$2:$B$511,"*f)*",'00 Encuesta'!$C$2:$C$511,"*a)*",'00 Encuesta'!$E$2:$E$511,"*b)*",'00 Encuesta'!$AZ$2:$AZ$511,"*c)*")</f>
        <v>0</v>
      </c>
      <c r="L416" s="52">
        <f>K416/$J$7*100</f>
        <v>0</v>
      </c>
      <c r="M416" s="23"/>
      <c r="N416" s="51">
        <f>P416+R416</f>
        <v>0</v>
      </c>
      <c r="O416" s="52" t="e">
        <f>N416/$Q$5*100</f>
        <v>#DIV/0!</v>
      </c>
      <c r="P416" s="53">
        <f>COUNTIFS('00 Encuesta'!$B$2:$B$511,"*f)*",'00 Encuesta'!$C$2:$C$511,"*b)*",'00 Encuesta'!$E$2:$E$511,"*a)*",'00 Encuesta'!$AZ$2:$AZ$511,"*c)*")</f>
        <v>0</v>
      </c>
      <c r="Q416" s="52" t="e">
        <f>P416/$Q$6*100</f>
        <v>#DIV/0!</v>
      </c>
      <c r="R416" s="53">
        <f>COUNTIFS('00 Encuesta'!$B$2:$B$511,"*f)*",'00 Encuesta'!$C$2:$C$511,"*b)*",'00 Encuesta'!$E$2:$E$511,"*b)*",'00 Encuesta'!$AZ$2:$AZ$511,"*c)*")</f>
        <v>0</v>
      </c>
      <c r="S416" s="52" t="e">
        <f>R416/$Q$7*100</f>
        <v>#DIV/0!</v>
      </c>
      <c r="T416" s="3"/>
      <c r="U416" s="51">
        <f>W416+Y416</f>
        <v>0</v>
      </c>
      <c r="V416" s="52" t="e">
        <f>U416/$X$5*100</f>
        <v>#DIV/0!</v>
      </c>
      <c r="W416" s="53">
        <f>COUNTIFS('00 Encuesta'!$B$2:$B$511,"*f)*",'00 Encuesta'!$C$2:$C$511,"*c)*",'00 Encuesta'!$E$2:$E$511,"*a)*",'00 Encuesta'!$AZ$2:$AZ$511,"*c)*")</f>
        <v>0</v>
      </c>
      <c r="X416" s="52" t="e">
        <f>W416/$X$6*100</f>
        <v>#DIV/0!</v>
      </c>
      <c r="Y416" s="53">
        <f>COUNTIFS('00 Encuesta'!$B$2:$B$511,"*f)*",'00 Encuesta'!$C$2:$C$511,"*c)*",'00 Encuesta'!$E$2:$E$511,"*b)*",'00 Encuesta'!$AZ$2:$AZ$511,"*c)*")</f>
        <v>0</v>
      </c>
      <c r="Z416" s="52" t="e">
        <f>Y416/$X$7*100</f>
        <v>#DIV/0!</v>
      </c>
      <c r="AA416" s="3"/>
      <c r="AB416" s="62">
        <f>G416+N416+U416</f>
        <v>1</v>
      </c>
      <c r="AC416" s="52">
        <f>AB416*100/$AC$5</f>
        <v>2.3809523809523809</v>
      </c>
      <c r="AD416" s="3"/>
      <c r="AE416" s="3"/>
      <c r="AF416" s="9" t="str">
        <f>A416&amp;" "&amp;B416</f>
        <v>c) Alguna vez he bebido màs de la cuenta</v>
      </c>
      <c r="AG416" s="72">
        <f>J416</f>
        <v>4.5454545454545459</v>
      </c>
      <c r="AH416" s="72">
        <f>L416</f>
        <v>0</v>
      </c>
      <c r="AI416" s="73">
        <f>H416</f>
        <v>2.3809523809523809</v>
      </c>
      <c r="AJ416" s="73"/>
      <c r="AK416" s="76" t="e">
        <f>Q416</f>
        <v>#DIV/0!</v>
      </c>
      <c r="AL416" s="76" t="e">
        <f>S416</f>
        <v>#DIV/0!</v>
      </c>
      <c r="AM416" s="76" t="e">
        <f>O416</f>
        <v>#DIV/0!</v>
      </c>
      <c r="AN416" s="76"/>
      <c r="AO416" s="81" t="e">
        <f>X416</f>
        <v>#DIV/0!</v>
      </c>
      <c r="AP416" s="81" t="e">
        <f>Z416</f>
        <v>#DIV/0!</v>
      </c>
      <c r="AQ416" s="81" t="e">
        <f>V416</f>
        <v>#DIV/0!</v>
      </c>
      <c r="AR416" s="3"/>
      <c r="AS416" s="76">
        <f t="shared" si="688"/>
        <v>2.3809523809523809</v>
      </c>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row>
    <row r="417" spans="1:75" x14ac:dyDescent="0.3">
      <c r="A417" s="1" t="s">
        <v>21</v>
      </c>
      <c r="B417" s="2" t="s">
        <v>267</v>
      </c>
      <c r="C417" s="3"/>
      <c r="D417" s="3"/>
      <c r="E417" s="3"/>
      <c r="F417" s="4"/>
      <c r="G417" s="51">
        <f>I417+K417</f>
        <v>1</v>
      </c>
      <c r="H417" s="52">
        <f>G417/$J$5*100</f>
        <v>2.3809523809523809</v>
      </c>
      <c r="I417" s="53">
        <f>COUNTIFS('00 Encuesta'!$B$2:$B$511,"*f)*",'00 Encuesta'!$C$2:$C$511,"*a)*",'00 Encuesta'!$E$2:$E$511,"*a)*",'00 Encuesta'!$AZ$2:$AZ$511,"*d)*")</f>
        <v>0</v>
      </c>
      <c r="J417" s="52">
        <f>I417/$J$6*100</f>
        <v>0</v>
      </c>
      <c r="K417" s="53">
        <f>COUNTIFS('00 Encuesta'!$B$2:$B$511,"*f)*",'00 Encuesta'!$C$2:$C$511,"*a)*",'00 Encuesta'!$E$2:$E$511,"*b)*",'00 Encuesta'!$AZ$2:$AZ$511,"*d)*")</f>
        <v>1</v>
      </c>
      <c r="L417" s="52">
        <f>K417/$J$7*100</f>
        <v>5</v>
      </c>
      <c r="M417" s="23"/>
      <c r="N417" s="51">
        <f>P417+R417</f>
        <v>0</v>
      </c>
      <c r="O417" s="52" t="e">
        <f>N417/$Q$5*100</f>
        <v>#DIV/0!</v>
      </c>
      <c r="P417" s="53">
        <f>COUNTIFS('00 Encuesta'!$B$2:$B$511,"*f)*",'00 Encuesta'!$C$2:$C$511,"*b)*",'00 Encuesta'!$E$2:$E$511,"*a)*",'00 Encuesta'!$AZ$2:$AZ$511,"*d)*")</f>
        <v>0</v>
      </c>
      <c r="Q417" s="52" t="e">
        <f>P417/$Q$6*100</f>
        <v>#DIV/0!</v>
      </c>
      <c r="R417" s="53">
        <f>COUNTIFS('00 Encuesta'!$B$2:$B$511,"*f)*",'00 Encuesta'!$C$2:$C$511,"*b)*",'00 Encuesta'!$E$2:$E$511,"*b)*",'00 Encuesta'!$AZ$2:$AZ$511,"*d)*")</f>
        <v>0</v>
      </c>
      <c r="S417" s="52" t="e">
        <f>R417/$Q$7*100</f>
        <v>#DIV/0!</v>
      </c>
      <c r="T417" s="3"/>
      <c r="U417" s="51">
        <f>W417+Y417</f>
        <v>0</v>
      </c>
      <c r="V417" s="52" t="e">
        <f>U417/$X$5*100</f>
        <v>#DIV/0!</v>
      </c>
      <c r="W417" s="53">
        <f>COUNTIFS('00 Encuesta'!$B$2:$B$511,"*f)*",'00 Encuesta'!$C$2:$C$511,"*c)*",'00 Encuesta'!$E$2:$E$511,"*a)*",'00 Encuesta'!$AZ$2:$AZ$511,"*d)*")</f>
        <v>0</v>
      </c>
      <c r="X417" s="52" t="e">
        <f>W417/$X$6*100</f>
        <v>#DIV/0!</v>
      </c>
      <c r="Y417" s="53">
        <f>COUNTIFS('00 Encuesta'!$B$2:$B$511,"*f)*",'00 Encuesta'!$C$2:$C$511,"*c)*",'00 Encuesta'!$E$2:$E$511,"*b)*",'00 Encuesta'!$AZ$2:$AZ$511,"*d)*")</f>
        <v>0</v>
      </c>
      <c r="Z417" s="52" t="e">
        <f>Y417/$X$7*100</f>
        <v>#DIV/0!</v>
      </c>
      <c r="AA417" s="3"/>
      <c r="AB417" s="62">
        <f>G417+N417+U417</f>
        <v>1</v>
      </c>
      <c r="AC417" s="52">
        <f>AB417*100/$AC$5</f>
        <v>2.3809523809523809</v>
      </c>
      <c r="AD417" s="3"/>
      <c r="AE417" s="3"/>
      <c r="AF417" s="9" t="str">
        <f>A417&amp;" "&amp;B417</f>
        <v>d) Con frecuencia (fines de semana u otros momentos) suelo beber màs de la cuenta.</v>
      </c>
      <c r="AG417" s="72">
        <f>J417</f>
        <v>0</v>
      </c>
      <c r="AH417" s="72">
        <f>L417</f>
        <v>5</v>
      </c>
      <c r="AI417" s="73">
        <f>H417</f>
        <v>2.3809523809523809</v>
      </c>
      <c r="AJ417" s="73"/>
      <c r="AK417" s="76" t="e">
        <f>Q417</f>
        <v>#DIV/0!</v>
      </c>
      <c r="AL417" s="76" t="e">
        <f>S417</f>
        <v>#DIV/0!</v>
      </c>
      <c r="AM417" s="76" t="e">
        <f>O417</f>
        <v>#DIV/0!</v>
      </c>
      <c r="AN417" s="76"/>
      <c r="AO417" s="81" t="e">
        <f>X417</f>
        <v>#DIV/0!</v>
      </c>
      <c r="AP417" s="81" t="e">
        <f>Z417</f>
        <v>#DIV/0!</v>
      </c>
      <c r="AQ417" s="81" t="e">
        <f>V417</f>
        <v>#DIV/0!</v>
      </c>
      <c r="AR417" s="3"/>
      <c r="AS417" s="76">
        <f t="shared" si="688"/>
        <v>2.3809523809523809</v>
      </c>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row>
    <row r="418" spans="1:75" x14ac:dyDescent="0.3">
      <c r="A418" s="1"/>
      <c r="B418" s="2"/>
      <c r="C418" s="3"/>
      <c r="D418" s="3"/>
      <c r="E418" s="3"/>
      <c r="F418" s="7"/>
      <c r="G418" s="7"/>
      <c r="H418" s="7"/>
      <c r="I418" s="7"/>
      <c r="J418" s="7"/>
      <c r="K418" s="7"/>
      <c r="L418" s="7"/>
      <c r="M418" s="7"/>
      <c r="N418" s="7"/>
      <c r="O418" s="7"/>
      <c r="P418" s="7"/>
      <c r="Q418" s="7"/>
      <c r="R418" s="7"/>
      <c r="S418" s="7"/>
      <c r="T418" s="7"/>
      <c r="U418" s="7"/>
      <c r="V418" s="7"/>
      <c r="W418" s="7"/>
      <c r="X418" s="7"/>
      <c r="Y418" s="7"/>
      <c r="Z418" s="7"/>
      <c r="AA418" s="7"/>
      <c r="AB418" s="6"/>
      <c r="AC418" s="41"/>
      <c r="AD418" s="3"/>
      <c r="AE418" s="3"/>
      <c r="AF418" s="3"/>
      <c r="AG418" s="3"/>
      <c r="AH418" s="3"/>
      <c r="AI418" s="3"/>
      <c r="AJ418" s="3"/>
      <c r="AK418" s="3"/>
      <c r="AL418" s="3"/>
      <c r="AM418" s="3"/>
      <c r="AN418" s="3"/>
      <c r="AO418" s="3"/>
      <c r="AP418" s="3"/>
      <c r="AQ418" s="3"/>
      <c r="AR418" s="3"/>
      <c r="AS418" s="76"/>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row>
    <row r="419" spans="1:75" x14ac:dyDescent="0.3">
      <c r="A419" s="84">
        <v>47</v>
      </c>
      <c r="B419" s="2" t="s">
        <v>268</v>
      </c>
      <c r="C419" s="3"/>
      <c r="D419" s="3"/>
      <c r="E419" s="3"/>
      <c r="F419" s="4"/>
      <c r="G419" s="51"/>
      <c r="H419" s="52"/>
      <c r="I419" s="53"/>
      <c r="J419" s="52"/>
      <c r="K419" s="53"/>
      <c r="L419" s="66"/>
      <c r="M419" s="23"/>
      <c r="N419" s="51"/>
      <c r="O419" s="52"/>
      <c r="P419" s="53"/>
      <c r="Q419" s="52"/>
      <c r="R419" s="53"/>
      <c r="S419" s="66"/>
      <c r="T419" s="3"/>
      <c r="U419" s="51"/>
      <c r="V419" s="52"/>
      <c r="W419" s="53"/>
      <c r="X419" s="52"/>
      <c r="Y419" s="53"/>
      <c r="Z419" s="66"/>
      <c r="AA419" s="3"/>
      <c r="AB419" s="62"/>
      <c r="AC419" s="52"/>
      <c r="AD419" s="3"/>
      <c r="AE419" s="3"/>
      <c r="AF419" s="88" t="str">
        <f>A419&amp;" "&amp;B419</f>
        <v>47 Los PROFESORES que me dan clase son, en general</v>
      </c>
      <c r="AG419" s="3"/>
      <c r="AH419" s="3"/>
      <c r="AI419" s="3"/>
      <c r="AJ419" s="3"/>
      <c r="AK419" s="3"/>
      <c r="AL419" s="3"/>
      <c r="AM419" s="3"/>
      <c r="AN419" s="3"/>
      <c r="AO419" s="3"/>
      <c r="AP419" s="3"/>
      <c r="AQ419" s="3"/>
      <c r="AR419" s="3"/>
      <c r="AS419" s="76"/>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row>
    <row r="420" spans="1:75" x14ac:dyDescent="0.3">
      <c r="A420" s="1" t="s">
        <v>17</v>
      </c>
      <c r="B420" s="2" t="s">
        <v>269</v>
      </c>
      <c r="C420" s="3"/>
      <c r="D420" s="3"/>
      <c r="E420" s="3"/>
      <c r="F420" s="4"/>
      <c r="G420" s="51">
        <f t="shared" ref="G420:G425" si="689">I420+K420</f>
        <v>3</v>
      </c>
      <c r="H420" s="52">
        <f t="shared" ref="H420:H425" si="690">G420/$J$5*100</f>
        <v>7.1428571428571423</v>
      </c>
      <c r="I420" s="53">
        <f>COUNTIFS('00 Encuesta'!$B$2:$B$511,"*f)*",'00 Encuesta'!$C$2:$C$511,"*a)*",'00 Encuesta'!$E$2:$E$511,"*a)*",'00 Encuesta'!$BA$2:$BA$511,"*a)*")</f>
        <v>2</v>
      </c>
      <c r="J420" s="52">
        <f t="shared" ref="J420:J425" si="691">I420/$J$6*100</f>
        <v>9.0909090909090917</v>
      </c>
      <c r="K420" s="53">
        <f>COUNTIFS('00 Encuesta'!$B$2:$B$511,"*f)*",'00 Encuesta'!$C$2:$C$511,"*a)*",'00 Encuesta'!$E$2:$E$511,"*b)*",'00 Encuesta'!$BA$2:$BA$511,"*a)*")</f>
        <v>1</v>
      </c>
      <c r="L420" s="52">
        <f t="shared" ref="L420:L425" si="692">K420/$J$7*100</f>
        <v>5</v>
      </c>
      <c r="M420" s="23"/>
      <c r="N420" s="51">
        <f t="shared" ref="N420:N425" si="693">P420+R420</f>
        <v>0</v>
      </c>
      <c r="O420" s="52" t="e">
        <f t="shared" ref="O420:O425" si="694">N420/$Q$5*100</f>
        <v>#DIV/0!</v>
      </c>
      <c r="P420" s="53">
        <f>COUNTIFS('00 Encuesta'!$B$2:$B$511,"*f)*",'00 Encuesta'!$C$2:$C$511,"*b)*",'00 Encuesta'!$E$2:$E$511,"*a)*",'00 Encuesta'!$BA$2:$BA$511,"*a)*")</f>
        <v>0</v>
      </c>
      <c r="Q420" s="52" t="e">
        <f t="shared" ref="Q420:Q425" si="695">P420/$Q$6*100</f>
        <v>#DIV/0!</v>
      </c>
      <c r="R420" s="53">
        <f>COUNTIFS('00 Encuesta'!$B$2:$B$511,"*f)*",'00 Encuesta'!$C$2:$C$511,"*b)*",'00 Encuesta'!$E$2:$E$511,"*b)*",'00 Encuesta'!$BA$2:$BA$511,"*a)*")</f>
        <v>0</v>
      </c>
      <c r="S420" s="52" t="e">
        <f t="shared" ref="S420:S425" si="696">R420/$Q$7*100</f>
        <v>#DIV/0!</v>
      </c>
      <c r="T420" s="3"/>
      <c r="U420" s="51">
        <f t="shared" ref="U420:U425" si="697">W420+Y420</f>
        <v>0</v>
      </c>
      <c r="V420" s="52" t="e">
        <f t="shared" ref="V420:V425" si="698">U420/$X$5*100</f>
        <v>#DIV/0!</v>
      </c>
      <c r="W420" s="53">
        <f>COUNTIFS('00 Encuesta'!$B$2:$B$511,"*f)*",'00 Encuesta'!$C$2:$C$511,"*c)*",'00 Encuesta'!$E$2:$E$511,"*a)*",'00 Encuesta'!$BA$2:$BA$511,"*a)*")</f>
        <v>0</v>
      </c>
      <c r="X420" s="52" t="e">
        <f t="shared" ref="X420:X425" si="699">W420/$X$6*100</f>
        <v>#DIV/0!</v>
      </c>
      <c r="Y420" s="53">
        <f>COUNTIFS('00 Encuesta'!$B$2:$B$511,"*f)*",'00 Encuesta'!$C$2:$C$511,"*c)*",'00 Encuesta'!$E$2:$E$511,"*b)*",'00 Encuesta'!$BA$2:$BA$511,"*a)*")</f>
        <v>0</v>
      </c>
      <c r="Z420" s="52" t="e">
        <f t="shared" ref="Z420:Z425" si="700">Y420/$X$7*100</f>
        <v>#DIV/0!</v>
      </c>
      <c r="AA420" s="3"/>
      <c r="AB420" s="62">
        <f t="shared" ref="AB420:AB425" si="701">G420+N420+U420</f>
        <v>3</v>
      </c>
      <c r="AC420" s="52">
        <f t="shared" ref="AC420:AC425" si="702">AB420*100/$AC$5</f>
        <v>7.1428571428571432</v>
      </c>
      <c r="AD420" s="3"/>
      <c r="AE420" s="3"/>
      <c r="AF420" s="9" t="str">
        <f t="shared" ref="AF420:AF425" si="703">A420&amp;" "&amp;B420</f>
        <v>a) Personas a las que tengo que aguantar</v>
      </c>
      <c r="AG420" s="72">
        <f t="shared" ref="AG420:AG425" si="704">J420</f>
        <v>9.0909090909090917</v>
      </c>
      <c r="AH420" s="72">
        <f t="shared" ref="AH420:AH425" si="705">L420</f>
        <v>5</v>
      </c>
      <c r="AI420" s="73">
        <f t="shared" ref="AI420:AI425" si="706">H420</f>
        <v>7.1428571428571423</v>
      </c>
      <c r="AJ420" s="73"/>
      <c r="AK420" s="76" t="e">
        <f t="shared" ref="AK420:AK425" si="707">Q420</f>
        <v>#DIV/0!</v>
      </c>
      <c r="AL420" s="76" t="e">
        <f t="shared" ref="AL420:AL425" si="708">S420</f>
        <v>#DIV/0!</v>
      </c>
      <c r="AM420" s="76" t="e">
        <f t="shared" ref="AM420:AM425" si="709">O420</f>
        <v>#DIV/0!</v>
      </c>
      <c r="AN420" s="76"/>
      <c r="AO420" s="81" t="e">
        <f t="shared" ref="AO420:AO425" si="710">X420</f>
        <v>#DIV/0!</v>
      </c>
      <c r="AP420" s="81" t="e">
        <f t="shared" ref="AP420:AP425" si="711">Z420</f>
        <v>#DIV/0!</v>
      </c>
      <c r="AQ420" s="81" t="e">
        <f t="shared" ref="AQ420:AQ425" si="712">V420</f>
        <v>#DIV/0!</v>
      </c>
      <c r="AR420" s="3"/>
      <c r="AS420" s="76">
        <f t="shared" si="688"/>
        <v>7.1428571428571432</v>
      </c>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row>
    <row r="421" spans="1:75" x14ac:dyDescent="0.3">
      <c r="A421" s="1" t="s">
        <v>18</v>
      </c>
      <c r="B421" s="2" t="s">
        <v>270</v>
      </c>
      <c r="C421" s="3"/>
      <c r="D421" s="3"/>
      <c r="E421" s="3"/>
      <c r="F421" s="4"/>
      <c r="G421" s="51">
        <f t="shared" si="689"/>
        <v>2</v>
      </c>
      <c r="H421" s="52">
        <f t="shared" si="690"/>
        <v>4.7619047619047619</v>
      </c>
      <c r="I421" s="53">
        <f>COUNTIFS('00 Encuesta'!$B$2:$B$511,"*f)*",'00 Encuesta'!$C$2:$C$511,"*a)*",'00 Encuesta'!$E$2:$E$511,"*a)*",'00 Encuesta'!$BA$2:$BA$511,"*b)*")</f>
        <v>1</v>
      </c>
      <c r="J421" s="52">
        <f t="shared" si="691"/>
        <v>4.5454545454545459</v>
      </c>
      <c r="K421" s="53">
        <f>COUNTIFS('00 Encuesta'!$B$2:$B$511,"*f)*",'00 Encuesta'!$C$2:$C$511,"*a)*",'00 Encuesta'!$E$2:$E$511,"*b)*",'00 Encuesta'!$BA$2:$BA$511,"*b)*")</f>
        <v>1</v>
      </c>
      <c r="L421" s="52">
        <f t="shared" si="692"/>
        <v>5</v>
      </c>
      <c r="M421" s="23"/>
      <c r="N421" s="51">
        <f t="shared" si="693"/>
        <v>0</v>
      </c>
      <c r="O421" s="52" t="e">
        <f t="shared" si="694"/>
        <v>#DIV/0!</v>
      </c>
      <c r="P421" s="53">
        <f>COUNTIFS('00 Encuesta'!$B$2:$B$511,"*f)*",'00 Encuesta'!$C$2:$C$511,"*b)*",'00 Encuesta'!$E$2:$E$511,"*a)*",'00 Encuesta'!$BA$2:$BA$511,"*b)*")</f>
        <v>0</v>
      </c>
      <c r="Q421" s="52" t="e">
        <f t="shared" si="695"/>
        <v>#DIV/0!</v>
      </c>
      <c r="R421" s="53">
        <f>COUNTIFS('00 Encuesta'!$B$2:$B$511,"*f)*",'00 Encuesta'!$C$2:$C$511,"*b)*",'00 Encuesta'!$E$2:$E$511,"*b)*",'00 Encuesta'!$BA$2:$BA$511,"*b)*")</f>
        <v>0</v>
      </c>
      <c r="S421" s="52" t="e">
        <f t="shared" si="696"/>
        <v>#DIV/0!</v>
      </c>
      <c r="T421" s="3"/>
      <c r="U421" s="51">
        <f t="shared" si="697"/>
        <v>0</v>
      </c>
      <c r="V421" s="52" t="e">
        <f t="shared" si="698"/>
        <v>#DIV/0!</v>
      </c>
      <c r="W421" s="53">
        <f>COUNTIFS('00 Encuesta'!$B$2:$B$511,"*f)*",'00 Encuesta'!$C$2:$C$511,"*c)*",'00 Encuesta'!$E$2:$E$511,"*a)*",'00 Encuesta'!$BA$2:$BA$511,"*b)*")</f>
        <v>0</v>
      </c>
      <c r="X421" s="52" t="e">
        <f t="shared" si="699"/>
        <v>#DIV/0!</v>
      </c>
      <c r="Y421" s="53">
        <f>COUNTIFS('00 Encuesta'!$B$2:$B$511,"*f)*",'00 Encuesta'!$C$2:$C$511,"*c)*",'00 Encuesta'!$E$2:$E$511,"*b)*",'00 Encuesta'!$BA$2:$BA$511,"*b)*")</f>
        <v>0</v>
      </c>
      <c r="Z421" s="52" t="e">
        <f t="shared" si="700"/>
        <v>#DIV/0!</v>
      </c>
      <c r="AA421" s="3"/>
      <c r="AB421" s="62">
        <f t="shared" si="701"/>
        <v>2</v>
      </c>
      <c r="AC421" s="52">
        <f t="shared" si="702"/>
        <v>4.7619047619047619</v>
      </c>
      <c r="AD421" s="3"/>
      <c r="AE421" s="3"/>
      <c r="AF421" s="9" t="str">
        <f t="shared" si="703"/>
        <v>b) Profesionales que no se preocupan de nosotros</v>
      </c>
      <c r="AG421" s="72">
        <f t="shared" si="704"/>
        <v>4.5454545454545459</v>
      </c>
      <c r="AH421" s="72">
        <f t="shared" si="705"/>
        <v>5</v>
      </c>
      <c r="AI421" s="73">
        <f t="shared" si="706"/>
        <v>4.7619047619047619</v>
      </c>
      <c r="AJ421" s="73"/>
      <c r="AK421" s="76" t="e">
        <f t="shared" si="707"/>
        <v>#DIV/0!</v>
      </c>
      <c r="AL421" s="76" t="e">
        <f t="shared" si="708"/>
        <v>#DIV/0!</v>
      </c>
      <c r="AM421" s="76" t="e">
        <f t="shared" si="709"/>
        <v>#DIV/0!</v>
      </c>
      <c r="AN421" s="76"/>
      <c r="AO421" s="81" t="e">
        <f t="shared" si="710"/>
        <v>#DIV/0!</v>
      </c>
      <c r="AP421" s="81" t="e">
        <f t="shared" si="711"/>
        <v>#DIV/0!</v>
      </c>
      <c r="AQ421" s="81" t="e">
        <f t="shared" si="712"/>
        <v>#DIV/0!</v>
      </c>
      <c r="AR421" s="3"/>
      <c r="AS421" s="76">
        <f t="shared" si="688"/>
        <v>4.7619047619047619</v>
      </c>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row>
    <row r="422" spans="1:75" x14ac:dyDescent="0.3">
      <c r="A422" s="1" t="s">
        <v>20</v>
      </c>
      <c r="B422" s="2" t="s">
        <v>271</v>
      </c>
      <c r="C422" s="3"/>
      <c r="D422" s="3"/>
      <c r="E422" s="3"/>
      <c r="F422" s="4"/>
      <c r="G422" s="51">
        <f t="shared" si="689"/>
        <v>2</v>
      </c>
      <c r="H422" s="52">
        <f t="shared" si="690"/>
        <v>4.7619047619047619</v>
      </c>
      <c r="I422" s="53">
        <f>COUNTIFS('00 Encuesta'!$B$2:$B$511,"*f)*",'00 Encuesta'!$C$2:$C$511,"*a)*",'00 Encuesta'!$E$2:$E$511,"*a)*",'00 Encuesta'!$BA$2:$BA$511,"*c)*")</f>
        <v>0</v>
      </c>
      <c r="J422" s="52">
        <f t="shared" si="691"/>
        <v>0</v>
      </c>
      <c r="K422" s="53">
        <f>COUNTIFS('00 Encuesta'!$B$2:$B$511,"*f)*",'00 Encuesta'!$C$2:$C$511,"*a)*",'00 Encuesta'!$E$2:$E$511,"*b)*",'00 Encuesta'!$BA$2:$BA$511,"*c)*")</f>
        <v>2</v>
      </c>
      <c r="L422" s="52">
        <f t="shared" si="692"/>
        <v>10</v>
      </c>
      <c r="M422" s="23"/>
      <c r="N422" s="51">
        <f t="shared" si="693"/>
        <v>0</v>
      </c>
      <c r="O422" s="52" t="e">
        <f t="shared" si="694"/>
        <v>#DIV/0!</v>
      </c>
      <c r="P422" s="53">
        <f>COUNTIFS('00 Encuesta'!$B$2:$B$511,"*f)*",'00 Encuesta'!$C$2:$C$511,"*b)*",'00 Encuesta'!$E$2:$E$511,"*a)*",'00 Encuesta'!$BA$2:$BA$511,"*c)*")</f>
        <v>0</v>
      </c>
      <c r="Q422" s="52" t="e">
        <f t="shared" si="695"/>
        <v>#DIV/0!</v>
      </c>
      <c r="R422" s="53">
        <f>COUNTIFS('00 Encuesta'!$B$2:$B$511,"*f)*",'00 Encuesta'!$C$2:$C$511,"*b)*",'00 Encuesta'!$E$2:$E$511,"*b)*",'00 Encuesta'!$BA$2:$BA$511,"*c)*")</f>
        <v>0</v>
      </c>
      <c r="S422" s="52" t="e">
        <f t="shared" si="696"/>
        <v>#DIV/0!</v>
      </c>
      <c r="T422" s="3"/>
      <c r="U422" s="51">
        <f t="shared" si="697"/>
        <v>0</v>
      </c>
      <c r="V422" s="52" t="e">
        <f t="shared" si="698"/>
        <v>#DIV/0!</v>
      </c>
      <c r="W422" s="53">
        <f>COUNTIFS('00 Encuesta'!$B$2:$B$511,"*f)*",'00 Encuesta'!$C$2:$C$511,"*c)*",'00 Encuesta'!$E$2:$E$511,"*a)*",'00 Encuesta'!$BA$2:$BA$511,"*c)*")</f>
        <v>0</v>
      </c>
      <c r="X422" s="52" t="e">
        <f t="shared" si="699"/>
        <v>#DIV/0!</v>
      </c>
      <c r="Y422" s="53">
        <f>COUNTIFS('00 Encuesta'!$B$2:$B$511,"*f)*",'00 Encuesta'!$C$2:$C$511,"*c)*",'00 Encuesta'!$E$2:$E$511,"*b)*",'00 Encuesta'!$BA$2:$BA$511,"*c)*")</f>
        <v>0</v>
      </c>
      <c r="Z422" s="52" t="e">
        <f t="shared" si="700"/>
        <v>#DIV/0!</v>
      </c>
      <c r="AA422" s="3"/>
      <c r="AB422" s="62">
        <f t="shared" si="701"/>
        <v>2</v>
      </c>
      <c r="AC422" s="52">
        <f t="shared" si="702"/>
        <v>4.7619047619047619</v>
      </c>
      <c r="AD422" s="3"/>
      <c r="AE422" s="3"/>
      <c r="AF422" s="9" t="str">
        <f t="shared" si="703"/>
        <v>c) Profesionales que hacen lo que pueden</v>
      </c>
      <c r="AG422" s="72">
        <f t="shared" si="704"/>
        <v>0</v>
      </c>
      <c r="AH422" s="72">
        <f t="shared" si="705"/>
        <v>10</v>
      </c>
      <c r="AI422" s="73">
        <f t="shared" si="706"/>
        <v>4.7619047619047619</v>
      </c>
      <c r="AJ422" s="73"/>
      <c r="AK422" s="76" t="e">
        <f t="shared" si="707"/>
        <v>#DIV/0!</v>
      </c>
      <c r="AL422" s="76" t="e">
        <f t="shared" si="708"/>
        <v>#DIV/0!</v>
      </c>
      <c r="AM422" s="76" t="e">
        <f t="shared" si="709"/>
        <v>#DIV/0!</v>
      </c>
      <c r="AN422" s="76"/>
      <c r="AO422" s="81" t="e">
        <f t="shared" si="710"/>
        <v>#DIV/0!</v>
      </c>
      <c r="AP422" s="81" t="e">
        <f t="shared" si="711"/>
        <v>#DIV/0!</v>
      </c>
      <c r="AQ422" s="81" t="e">
        <f t="shared" si="712"/>
        <v>#DIV/0!</v>
      </c>
      <c r="AR422" s="3"/>
      <c r="AS422" s="76">
        <f t="shared" si="688"/>
        <v>4.7619047619047619</v>
      </c>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row>
    <row r="423" spans="1:75" x14ac:dyDescent="0.3">
      <c r="A423" s="1" t="s">
        <v>21</v>
      </c>
      <c r="B423" s="2" t="s">
        <v>272</v>
      </c>
      <c r="C423" s="3"/>
      <c r="D423" s="3"/>
      <c r="E423" s="3"/>
      <c r="F423" s="4"/>
      <c r="G423" s="51">
        <f t="shared" si="689"/>
        <v>10</v>
      </c>
      <c r="H423" s="52">
        <f t="shared" si="690"/>
        <v>23.809523809523807</v>
      </c>
      <c r="I423" s="53">
        <f>COUNTIFS('00 Encuesta'!$B$2:$B$511,"*f)*",'00 Encuesta'!$C$2:$C$511,"*a)*",'00 Encuesta'!$E$2:$E$511,"*a)*",'00 Encuesta'!$BA$2:$BA$511,"*d)*")</f>
        <v>6</v>
      </c>
      <c r="J423" s="52">
        <f t="shared" si="691"/>
        <v>27.27272727272727</v>
      </c>
      <c r="K423" s="53">
        <f>COUNTIFS('00 Encuesta'!$B$2:$B$511,"*f)*",'00 Encuesta'!$C$2:$C$511,"*a)*",'00 Encuesta'!$E$2:$E$511,"*b)*",'00 Encuesta'!$BA$2:$BA$511,"*d)*")</f>
        <v>4</v>
      </c>
      <c r="L423" s="52">
        <f t="shared" si="692"/>
        <v>20</v>
      </c>
      <c r="M423" s="23"/>
      <c r="N423" s="51">
        <f t="shared" si="693"/>
        <v>0</v>
      </c>
      <c r="O423" s="52" t="e">
        <f t="shared" si="694"/>
        <v>#DIV/0!</v>
      </c>
      <c r="P423" s="53">
        <f>COUNTIFS('00 Encuesta'!$B$2:$B$511,"*f)*",'00 Encuesta'!$C$2:$C$511,"*b)*",'00 Encuesta'!$E$2:$E$511,"*a)*",'00 Encuesta'!$BA$2:$BA$511,"*d)*")</f>
        <v>0</v>
      </c>
      <c r="Q423" s="52" t="e">
        <f t="shared" si="695"/>
        <v>#DIV/0!</v>
      </c>
      <c r="R423" s="53">
        <f>COUNTIFS('00 Encuesta'!$B$2:$B$511,"*f)*",'00 Encuesta'!$C$2:$C$511,"*b)*",'00 Encuesta'!$E$2:$E$511,"*b)*",'00 Encuesta'!$BA$2:$BA$511,"*d)*")</f>
        <v>0</v>
      </c>
      <c r="S423" s="52" t="e">
        <f t="shared" si="696"/>
        <v>#DIV/0!</v>
      </c>
      <c r="T423" s="3"/>
      <c r="U423" s="51">
        <f t="shared" si="697"/>
        <v>0</v>
      </c>
      <c r="V423" s="52" t="e">
        <f t="shared" si="698"/>
        <v>#DIV/0!</v>
      </c>
      <c r="W423" s="53">
        <f>COUNTIFS('00 Encuesta'!$B$2:$B$511,"*f)*",'00 Encuesta'!$C$2:$C$511,"*c)*",'00 Encuesta'!$E$2:$E$511,"*a)*",'00 Encuesta'!$BA$2:$BA$511,"*d)*")</f>
        <v>0</v>
      </c>
      <c r="X423" s="52" t="e">
        <f t="shared" si="699"/>
        <v>#DIV/0!</v>
      </c>
      <c r="Y423" s="53">
        <f>COUNTIFS('00 Encuesta'!$B$2:$B$511,"*f)*",'00 Encuesta'!$C$2:$C$511,"*c)*",'00 Encuesta'!$E$2:$E$511,"*b)*",'00 Encuesta'!$BA$2:$BA$511,"*d)*")</f>
        <v>0</v>
      </c>
      <c r="Z423" s="52" t="e">
        <f t="shared" si="700"/>
        <v>#DIV/0!</v>
      </c>
      <c r="AA423" s="3"/>
      <c r="AB423" s="62">
        <f t="shared" si="701"/>
        <v>10</v>
      </c>
      <c r="AC423" s="52">
        <f t="shared" si="702"/>
        <v>23.80952380952381</v>
      </c>
      <c r="AD423" s="3"/>
      <c r="AE423" s="3"/>
      <c r="AF423" s="9" t="str">
        <f t="shared" si="703"/>
        <v>d) Buenos profesionales de la educaciòn</v>
      </c>
      <c r="AG423" s="72">
        <f t="shared" si="704"/>
        <v>27.27272727272727</v>
      </c>
      <c r="AH423" s="72">
        <f t="shared" si="705"/>
        <v>20</v>
      </c>
      <c r="AI423" s="73">
        <f t="shared" si="706"/>
        <v>23.809523809523807</v>
      </c>
      <c r="AJ423" s="73"/>
      <c r="AK423" s="76" t="e">
        <f t="shared" si="707"/>
        <v>#DIV/0!</v>
      </c>
      <c r="AL423" s="76" t="e">
        <f t="shared" si="708"/>
        <v>#DIV/0!</v>
      </c>
      <c r="AM423" s="76" t="e">
        <f t="shared" si="709"/>
        <v>#DIV/0!</v>
      </c>
      <c r="AN423" s="76"/>
      <c r="AO423" s="81" t="e">
        <f t="shared" si="710"/>
        <v>#DIV/0!</v>
      </c>
      <c r="AP423" s="81" t="e">
        <f t="shared" si="711"/>
        <v>#DIV/0!</v>
      </c>
      <c r="AQ423" s="81" t="e">
        <f t="shared" si="712"/>
        <v>#DIV/0!</v>
      </c>
      <c r="AR423" s="3"/>
      <c r="AS423" s="76">
        <f t="shared" si="688"/>
        <v>23.80952380952381</v>
      </c>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row>
    <row r="424" spans="1:75" x14ac:dyDescent="0.3">
      <c r="A424" s="1" t="s">
        <v>22</v>
      </c>
      <c r="B424" s="2" t="s">
        <v>273</v>
      </c>
      <c r="C424" s="3"/>
      <c r="D424" s="3"/>
      <c r="E424" s="3"/>
      <c r="F424" s="4"/>
      <c r="G424" s="51">
        <f t="shared" si="689"/>
        <v>10</v>
      </c>
      <c r="H424" s="52">
        <f t="shared" si="690"/>
        <v>23.809523809523807</v>
      </c>
      <c r="I424" s="53">
        <f>COUNTIFS('00 Encuesta'!$B$2:$B$511,"*f)*",'00 Encuesta'!$C$2:$C$511,"*a)*",'00 Encuesta'!$E$2:$E$511,"*a)*",'00 Encuesta'!$BA$2:$BA$511,"*e)*")</f>
        <v>5</v>
      </c>
      <c r="J424" s="52">
        <f t="shared" si="691"/>
        <v>22.727272727272727</v>
      </c>
      <c r="K424" s="53">
        <f>COUNTIFS('00 Encuesta'!$B$2:$B$511,"*f)*",'00 Encuesta'!$C$2:$C$511,"*a)*",'00 Encuesta'!$E$2:$E$511,"*b)*",'00 Encuesta'!$BA$2:$BA$511,"*e)*")</f>
        <v>5</v>
      </c>
      <c r="L424" s="52">
        <f t="shared" si="692"/>
        <v>25</v>
      </c>
      <c r="M424" s="23"/>
      <c r="N424" s="51">
        <f t="shared" si="693"/>
        <v>0</v>
      </c>
      <c r="O424" s="52" t="e">
        <f t="shared" si="694"/>
        <v>#DIV/0!</v>
      </c>
      <c r="P424" s="53">
        <f>COUNTIFS('00 Encuesta'!$B$2:$B$511,"*f)*",'00 Encuesta'!$C$2:$C$511,"*b)*",'00 Encuesta'!$E$2:$E$511,"*a)*",'00 Encuesta'!$BA$2:$BA$511,"*e)*")</f>
        <v>0</v>
      </c>
      <c r="Q424" s="52" t="e">
        <f t="shared" si="695"/>
        <v>#DIV/0!</v>
      </c>
      <c r="R424" s="53">
        <f>COUNTIFS('00 Encuesta'!$B$2:$B$511,"*f)*",'00 Encuesta'!$C$2:$C$511,"*b)*",'00 Encuesta'!$E$2:$E$511,"*b)*",'00 Encuesta'!$BA$2:$BA$511,"*e)*")</f>
        <v>0</v>
      </c>
      <c r="S424" s="52" t="e">
        <f t="shared" si="696"/>
        <v>#DIV/0!</v>
      </c>
      <c r="T424" s="3"/>
      <c r="U424" s="51">
        <f t="shared" si="697"/>
        <v>0</v>
      </c>
      <c r="V424" s="52" t="e">
        <f t="shared" si="698"/>
        <v>#DIV/0!</v>
      </c>
      <c r="W424" s="53">
        <f>COUNTIFS('00 Encuesta'!$B$2:$B$511,"*f)*",'00 Encuesta'!$C$2:$C$511,"*c)*",'00 Encuesta'!$E$2:$E$511,"*a)*",'00 Encuesta'!$BA$2:$BA$511,"*e)*")</f>
        <v>0</v>
      </c>
      <c r="X424" s="52" t="e">
        <f t="shared" si="699"/>
        <v>#DIV/0!</v>
      </c>
      <c r="Y424" s="53">
        <f>COUNTIFS('00 Encuesta'!$B$2:$B$511,"*f)*",'00 Encuesta'!$C$2:$C$511,"*c)*",'00 Encuesta'!$E$2:$E$511,"*b)*",'00 Encuesta'!$BA$2:$BA$511,"*e)*")</f>
        <v>0</v>
      </c>
      <c r="Z424" s="52" t="e">
        <f t="shared" si="700"/>
        <v>#DIV/0!</v>
      </c>
      <c r="AA424" s="3"/>
      <c r="AB424" s="62">
        <f t="shared" si="701"/>
        <v>10</v>
      </c>
      <c r="AC424" s="52">
        <f t="shared" si="702"/>
        <v>23.80952380952381</v>
      </c>
      <c r="AD424" s="3"/>
      <c r="AE424" s="3"/>
      <c r="AF424" s="9" t="str">
        <f t="shared" si="703"/>
        <v>e) Educadores que se preocupan de nosotros</v>
      </c>
      <c r="AG424" s="72">
        <f t="shared" si="704"/>
        <v>22.727272727272727</v>
      </c>
      <c r="AH424" s="72">
        <f t="shared" si="705"/>
        <v>25</v>
      </c>
      <c r="AI424" s="73">
        <f t="shared" si="706"/>
        <v>23.809523809523807</v>
      </c>
      <c r="AJ424" s="73"/>
      <c r="AK424" s="76" t="e">
        <f t="shared" si="707"/>
        <v>#DIV/0!</v>
      </c>
      <c r="AL424" s="76" t="e">
        <f t="shared" si="708"/>
        <v>#DIV/0!</v>
      </c>
      <c r="AM424" s="76" t="e">
        <f t="shared" si="709"/>
        <v>#DIV/0!</v>
      </c>
      <c r="AN424" s="76"/>
      <c r="AO424" s="81" t="e">
        <f t="shared" si="710"/>
        <v>#DIV/0!</v>
      </c>
      <c r="AP424" s="81" t="e">
        <f t="shared" si="711"/>
        <v>#DIV/0!</v>
      </c>
      <c r="AQ424" s="81" t="e">
        <f t="shared" si="712"/>
        <v>#DIV/0!</v>
      </c>
      <c r="AR424" s="3"/>
      <c r="AS424" s="76">
        <f t="shared" si="688"/>
        <v>23.80952380952381</v>
      </c>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row>
    <row r="425" spans="1:75" x14ac:dyDescent="0.3">
      <c r="A425" s="1" t="s">
        <v>45</v>
      </c>
      <c r="B425" s="2" t="s">
        <v>274</v>
      </c>
      <c r="C425" s="3"/>
      <c r="D425" s="3"/>
      <c r="E425" s="3"/>
      <c r="F425" s="4"/>
      <c r="G425" s="51">
        <f t="shared" si="689"/>
        <v>14</v>
      </c>
      <c r="H425" s="52">
        <f t="shared" si="690"/>
        <v>33.333333333333329</v>
      </c>
      <c r="I425" s="53">
        <f>COUNTIFS('00 Encuesta'!$B$2:$B$511,"*f)*",'00 Encuesta'!$C$2:$C$511,"*a)*",'00 Encuesta'!$E$2:$E$511,"*a)*",'00 Encuesta'!$BA$2:$BA$511,"*f)*")</f>
        <v>7</v>
      </c>
      <c r="J425" s="52">
        <f t="shared" si="691"/>
        <v>31.818181818181817</v>
      </c>
      <c r="K425" s="53">
        <f>COUNTIFS('00 Encuesta'!$B$2:$B$511,"*f)*",'00 Encuesta'!$C$2:$C$511,"*a)*",'00 Encuesta'!$E$2:$E$511,"*b)*",'00 Encuesta'!$BA$2:$BA$511,"*f)*")</f>
        <v>7</v>
      </c>
      <c r="L425" s="52">
        <f t="shared" si="692"/>
        <v>35</v>
      </c>
      <c r="M425" s="23"/>
      <c r="N425" s="51">
        <f t="shared" si="693"/>
        <v>0</v>
      </c>
      <c r="O425" s="52" t="e">
        <f t="shared" si="694"/>
        <v>#DIV/0!</v>
      </c>
      <c r="P425" s="53">
        <f>COUNTIFS('00 Encuesta'!$B$2:$B$511,"*f)*",'00 Encuesta'!$C$2:$C$511,"*b)*",'00 Encuesta'!$E$2:$E$511,"*a)*",'00 Encuesta'!$BA$2:$BA$511,"*f)*")</f>
        <v>0</v>
      </c>
      <c r="Q425" s="52" t="e">
        <f t="shared" si="695"/>
        <v>#DIV/0!</v>
      </c>
      <c r="R425" s="53">
        <f>COUNTIFS('00 Encuesta'!$B$2:$B$511,"*f)*",'00 Encuesta'!$C$2:$C$511,"*b)*",'00 Encuesta'!$E$2:$E$511,"*b)*",'00 Encuesta'!$BA$2:$BA$511,"*f)*")</f>
        <v>0</v>
      </c>
      <c r="S425" s="52" t="e">
        <f t="shared" si="696"/>
        <v>#DIV/0!</v>
      </c>
      <c r="T425" s="3"/>
      <c r="U425" s="51">
        <f t="shared" si="697"/>
        <v>0</v>
      </c>
      <c r="V425" s="52" t="e">
        <f t="shared" si="698"/>
        <v>#DIV/0!</v>
      </c>
      <c r="W425" s="53">
        <f>COUNTIFS('00 Encuesta'!$B$2:$B$511,"*f)*",'00 Encuesta'!$C$2:$C$511,"*c)*",'00 Encuesta'!$E$2:$E$511,"*a)*",'00 Encuesta'!$BA$2:$BA$511,"*f)*")</f>
        <v>0</v>
      </c>
      <c r="X425" s="52" t="e">
        <f t="shared" si="699"/>
        <v>#DIV/0!</v>
      </c>
      <c r="Y425" s="53">
        <f>COUNTIFS('00 Encuesta'!$B$2:$B$511,"*f)*",'00 Encuesta'!$C$2:$C$511,"*c)*",'00 Encuesta'!$E$2:$E$511,"*b)*",'00 Encuesta'!$BA$2:$BA$511,"*f)*")</f>
        <v>0</v>
      </c>
      <c r="Z425" s="52" t="e">
        <f t="shared" si="700"/>
        <v>#DIV/0!</v>
      </c>
      <c r="AA425" s="3"/>
      <c r="AB425" s="62">
        <f t="shared" si="701"/>
        <v>14</v>
      </c>
      <c r="AC425" s="52">
        <f t="shared" si="702"/>
        <v>33.333333333333336</v>
      </c>
      <c r="AD425" s="3"/>
      <c r="AE425" s="3"/>
      <c r="AF425" s="9" t="str">
        <f t="shared" si="703"/>
        <v>f) Educadores que ademàs me han abierto caminos</v>
      </c>
      <c r="AG425" s="72">
        <f t="shared" si="704"/>
        <v>31.818181818181817</v>
      </c>
      <c r="AH425" s="72">
        <f t="shared" si="705"/>
        <v>35</v>
      </c>
      <c r="AI425" s="73">
        <f t="shared" si="706"/>
        <v>33.333333333333329</v>
      </c>
      <c r="AJ425" s="73"/>
      <c r="AK425" s="76" t="e">
        <f t="shared" si="707"/>
        <v>#DIV/0!</v>
      </c>
      <c r="AL425" s="76" t="e">
        <f t="shared" si="708"/>
        <v>#DIV/0!</v>
      </c>
      <c r="AM425" s="76" t="e">
        <f t="shared" si="709"/>
        <v>#DIV/0!</v>
      </c>
      <c r="AN425" s="76"/>
      <c r="AO425" s="81" t="e">
        <f t="shared" si="710"/>
        <v>#DIV/0!</v>
      </c>
      <c r="AP425" s="81" t="e">
        <f t="shared" si="711"/>
        <v>#DIV/0!</v>
      </c>
      <c r="AQ425" s="81" t="e">
        <f t="shared" si="712"/>
        <v>#DIV/0!</v>
      </c>
      <c r="AR425" s="3"/>
      <c r="AS425" s="76">
        <f t="shared" si="688"/>
        <v>33.333333333333336</v>
      </c>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row>
    <row r="426" spans="1:75" x14ac:dyDescent="0.3">
      <c r="A426" s="1"/>
      <c r="B426" s="2"/>
      <c r="C426" s="3"/>
      <c r="D426" s="3"/>
      <c r="E426" s="3"/>
      <c r="F426" s="7"/>
      <c r="G426" s="7"/>
      <c r="H426" s="7"/>
      <c r="I426" s="7"/>
      <c r="J426" s="7"/>
      <c r="K426" s="7"/>
      <c r="L426" s="7"/>
      <c r="M426" s="7"/>
      <c r="N426" s="7"/>
      <c r="O426" s="7"/>
      <c r="P426" s="7"/>
      <c r="Q426" s="7"/>
      <c r="R426" s="7"/>
      <c r="S426" s="7"/>
      <c r="T426" s="7"/>
      <c r="U426" s="7"/>
      <c r="V426" s="7"/>
      <c r="W426" s="7"/>
      <c r="X426" s="7"/>
      <c r="Y426" s="7"/>
      <c r="Z426" s="7"/>
      <c r="AA426" s="7"/>
      <c r="AB426" s="6"/>
      <c r="AC426" s="41"/>
      <c r="AD426" s="3"/>
      <c r="AE426" s="3"/>
      <c r="AF426" s="3"/>
      <c r="AG426" s="3"/>
      <c r="AH426" s="3"/>
      <c r="AI426" s="3"/>
      <c r="AJ426" s="3"/>
      <c r="AK426" s="3"/>
      <c r="AL426" s="3"/>
      <c r="AM426" s="3"/>
      <c r="AN426" s="3"/>
      <c r="AO426" s="3"/>
      <c r="AP426" s="3"/>
      <c r="AQ426" s="3"/>
      <c r="AR426" s="3"/>
      <c r="AS426" s="76"/>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row>
    <row r="427" spans="1:75" x14ac:dyDescent="0.3">
      <c r="A427" s="84">
        <v>48</v>
      </c>
      <c r="B427" s="2" t="s">
        <v>275</v>
      </c>
      <c r="C427" s="3"/>
      <c r="D427" s="3"/>
      <c r="E427" s="3"/>
      <c r="F427" s="5"/>
      <c r="G427" s="51"/>
      <c r="H427" s="52"/>
      <c r="I427" s="53"/>
      <c r="J427" s="52"/>
      <c r="K427" s="53"/>
      <c r="L427" s="66"/>
      <c r="M427" s="23"/>
      <c r="N427" s="51"/>
      <c r="O427" s="52"/>
      <c r="P427" s="53"/>
      <c r="Q427" s="52"/>
      <c r="R427" s="53"/>
      <c r="S427" s="66"/>
      <c r="T427" s="3"/>
      <c r="U427" s="51"/>
      <c r="V427" s="52"/>
      <c r="W427" s="53"/>
      <c r="X427" s="52"/>
      <c r="Y427" s="53"/>
      <c r="Z427" s="66"/>
      <c r="AA427" s="3"/>
      <c r="AB427" s="62"/>
      <c r="AC427" s="52"/>
      <c r="AD427" s="3"/>
      <c r="AE427" s="3"/>
      <c r="AF427" s="88" t="str">
        <f t="shared" ref="AF427:AF432" si="713">A427&amp;" "&amp;B427</f>
        <v>48 Las CLASES EN GENERAL, me parecen interesantes:</v>
      </c>
      <c r="AG427" s="3"/>
      <c r="AH427" s="3"/>
      <c r="AI427" s="3"/>
      <c r="AJ427" s="3"/>
      <c r="AK427" s="3"/>
      <c r="AL427" s="3"/>
      <c r="AM427" s="3"/>
      <c r="AN427" s="3"/>
      <c r="AO427" s="3"/>
      <c r="AP427" s="3"/>
      <c r="AQ427" s="3"/>
      <c r="AR427" s="3"/>
      <c r="AS427" s="76"/>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row>
    <row r="428" spans="1:75" x14ac:dyDescent="0.3">
      <c r="A428" s="1" t="s">
        <v>17</v>
      </c>
      <c r="B428" s="2" t="s">
        <v>178</v>
      </c>
      <c r="C428" s="3"/>
      <c r="D428" s="3"/>
      <c r="E428" s="3"/>
      <c r="F428" s="5">
        <v>0</v>
      </c>
      <c r="G428" s="51">
        <f>I428+K428</f>
        <v>4</v>
      </c>
      <c r="H428" s="52">
        <f>G428/$J$5*100</f>
        <v>9.5238095238095237</v>
      </c>
      <c r="I428" s="53">
        <f>COUNTIFS('00 Encuesta'!$B$2:$B$511,"*f)*",'00 Encuesta'!$C$2:$C$511,"*a)*",'00 Encuesta'!$E$2:$E$511,"*a)*",'00 Encuesta'!$BB$2:$BB$511,"*a)*")</f>
        <v>3</v>
      </c>
      <c r="J428" s="52">
        <f>I428/$J$6*100</f>
        <v>13.636363636363635</v>
      </c>
      <c r="K428" s="53">
        <f>COUNTIFS('00 Encuesta'!$B$2:$B$511,"*f)*",'00 Encuesta'!$C$2:$C$511,"*a)*",'00 Encuesta'!$E$2:$E$511,"*b)*",'00 Encuesta'!$BB$2:$BB$511,"*a)*")</f>
        <v>1</v>
      </c>
      <c r="L428" s="52">
        <f>K428/$J$7*100</f>
        <v>5</v>
      </c>
      <c r="M428" s="23"/>
      <c r="N428" s="51">
        <f>P428+R428</f>
        <v>0</v>
      </c>
      <c r="O428" s="52" t="e">
        <f>N428/$Q$5*100</f>
        <v>#DIV/0!</v>
      </c>
      <c r="P428" s="53">
        <f>COUNTIFS('00 Encuesta'!$B$2:$B$511,"*f)*",'00 Encuesta'!$C$2:$C$511,"*b)*",'00 Encuesta'!$E$2:$E$511,"*a)*",'00 Encuesta'!$BB$2:$BB$511,"*a)*")</f>
        <v>0</v>
      </c>
      <c r="Q428" s="52" t="e">
        <f>P428/$Q$6*100</f>
        <v>#DIV/0!</v>
      </c>
      <c r="R428" s="53">
        <f>COUNTIFS('00 Encuesta'!$B$2:$B$511,"*f)*",'00 Encuesta'!$C$2:$C$511,"*b)*",'00 Encuesta'!$E$2:$E$511,"*b)*",'00 Encuesta'!$BB$2:$BB$511,"*a)*")</f>
        <v>0</v>
      </c>
      <c r="S428" s="52" t="e">
        <f>R428/$Q$7*100</f>
        <v>#DIV/0!</v>
      </c>
      <c r="T428" s="3"/>
      <c r="U428" s="51">
        <f>W428+Y428</f>
        <v>0</v>
      </c>
      <c r="V428" s="52" t="e">
        <f>U428/$X$5*100</f>
        <v>#DIV/0!</v>
      </c>
      <c r="W428" s="53">
        <f>COUNTIFS('00 Encuesta'!$B$2:$B$511,"*f)*",'00 Encuesta'!$C$2:$C$511,"*c)*",'00 Encuesta'!$E$2:$E$511,"*a)*",'00 Encuesta'!$BB$2:$BB$511,"*a)*")</f>
        <v>0</v>
      </c>
      <c r="X428" s="52" t="e">
        <f>W428/$X$6*100</f>
        <v>#DIV/0!</v>
      </c>
      <c r="Y428" s="53">
        <f>COUNTIFS('00 Encuesta'!$B$2:$B$511,"*f)*",'00 Encuesta'!$C$2:$C$511,"*c)*",'00 Encuesta'!$E$2:$E$511,"*b)*",'00 Encuesta'!$BB$2:$BB$511,"*a)*")</f>
        <v>0</v>
      </c>
      <c r="Z428" s="52" t="e">
        <f>Y428/$X$7*100</f>
        <v>#DIV/0!</v>
      </c>
      <c r="AA428" s="3"/>
      <c r="AB428" s="62">
        <f>G428+N428+U428</f>
        <v>4</v>
      </c>
      <c r="AC428" s="52">
        <f>AB428*100/$AC$5</f>
        <v>9.5238095238095237</v>
      </c>
      <c r="AD428" s="3"/>
      <c r="AE428" s="3"/>
      <c r="AF428" s="9" t="str">
        <f t="shared" si="713"/>
        <v>a) No, en absoluto</v>
      </c>
      <c r="AG428" s="72">
        <f>J428</f>
        <v>13.636363636363635</v>
      </c>
      <c r="AH428" s="72">
        <f>L428</f>
        <v>5</v>
      </c>
      <c r="AI428" s="73">
        <f>H428</f>
        <v>9.5238095238095237</v>
      </c>
      <c r="AJ428" s="73"/>
      <c r="AK428" s="76" t="e">
        <f>Q428</f>
        <v>#DIV/0!</v>
      </c>
      <c r="AL428" s="76" t="e">
        <f>S428</f>
        <v>#DIV/0!</v>
      </c>
      <c r="AM428" s="76" t="e">
        <f>O428</f>
        <v>#DIV/0!</v>
      </c>
      <c r="AN428" s="76"/>
      <c r="AO428" s="81" t="e">
        <f>X428</f>
        <v>#DIV/0!</v>
      </c>
      <c r="AP428" s="81" t="e">
        <f>Z428</f>
        <v>#DIV/0!</v>
      </c>
      <c r="AQ428" s="81" t="e">
        <f>V428</f>
        <v>#DIV/0!</v>
      </c>
      <c r="AR428" s="3"/>
      <c r="AS428" s="76">
        <f t="shared" si="688"/>
        <v>9.5238095238095237</v>
      </c>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row>
    <row r="429" spans="1:75" x14ac:dyDescent="0.3">
      <c r="A429" s="1" t="s">
        <v>18</v>
      </c>
      <c r="B429" s="2" t="s">
        <v>104</v>
      </c>
      <c r="C429" s="3"/>
      <c r="D429" s="3"/>
      <c r="E429" s="3"/>
      <c r="F429" s="4">
        <v>33.33</v>
      </c>
      <c r="G429" s="51">
        <f>I429+K429</f>
        <v>1</v>
      </c>
      <c r="H429" s="52">
        <f>G429/$J$5*100</f>
        <v>2.3809523809523809</v>
      </c>
      <c r="I429" s="53">
        <f>COUNTIFS('00 Encuesta'!$B$2:$B$511,"*f)*",'00 Encuesta'!$C$2:$C$511,"*a)*",'00 Encuesta'!$E$2:$E$511,"*a)*",'00 Encuesta'!$BB$2:$BB$511,"*b)*")</f>
        <v>0</v>
      </c>
      <c r="J429" s="52">
        <f>I429/$J$6*100</f>
        <v>0</v>
      </c>
      <c r="K429" s="53">
        <f>COUNTIFS('00 Encuesta'!$B$2:$B$511,"*f)*",'00 Encuesta'!$C$2:$C$511,"*a)*",'00 Encuesta'!$E$2:$E$511,"*b)*",'00 Encuesta'!$BB$2:$BB$511,"*b)*")</f>
        <v>1</v>
      </c>
      <c r="L429" s="52">
        <f>K429/$J$7*100</f>
        <v>5</v>
      </c>
      <c r="M429" s="23"/>
      <c r="N429" s="51">
        <f>P429+R429</f>
        <v>0</v>
      </c>
      <c r="O429" s="52" t="e">
        <f>N429/$Q$5*100</f>
        <v>#DIV/0!</v>
      </c>
      <c r="P429" s="53">
        <f>COUNTIFS('00 Encuesta'!$B$2:$B$511,"*f)*",'00 Encuesta'!$C$2:$C$511,"*b)*",'00 Encuesta'!$E$2:$E$511,"*a)*",'00 Encuesta'!$BB$2:$BB$511,"*b)*")</f>
        <v>0</v>
      </c>
      <c r="Q429" s="52" t="e">
        <f>P429/$Q$6*100</f>
        <v>#DIV/0!</v>
      </c>
      <c r="R429" s="53">
        <f>COUNTIFS('00 Encuesta'!$B$2:$B$511,"*f)*",'00 Encuesta'!$C$2:$C$511,"*b)*",'00 Encuesta'!$E$2:$E$511,"*b)*",'00 Encuesta'!$BB$2:$BB$511,"*b)*")</f>
        <v>0</v>
      </c>
      <c r="S429" s="52" t="e">
        <f>R429/$Q$7*100</f>
        <v>#DIV/0!</v>
      </c>
      <c r="T429" s="3"/>
      <c r="U429" s="51">
        <f>W429+Y429</f>
        <v>0</v>
      </c>
      <c r="V429" s="52" t="e">
        <f>U429/$X$5*100</f>
        <v>#DIV/0!</v>
      </c>
      <c r="W429" s="53">
        <f>COUNTIFS('00 Encuesta'!$B$2:$B$511,"*f)*",'00 Encuesta'!$C$2:$C$511,"*c)*",'00 Encuesta'!$E$2:$E$511,"*a)*",'00 Encuesta'!$BB$2:$BB$511,"*b)*")</f>
        <v>0</v>
      </c>
      <c r="X429" s="52" t="e">
        <f>W429/$X$6*100</f>
        <v>#DIV/0!</v>
      </c>
      <c r="Y429" s="53">
        <f>COUNTIFS('00 Encuesta'!$B$2:$B$511,"*f)*",'00 Encuesta'!$C$2:$C$511,"*c)*",'00 Encuesta'!$E$2:$E$511,"*b)*",'00 Encuesta'!$BB$2:$BB$511,"*b)*")</f>
        <v>0</v>
      </c>
      <c r="Z429" s="52" t="e">
        <f>Y429/$X$7*100</f>
        <v>#DIV/0!</v>
      </c>
      <c r="AA429" s="3"/>
      <c r="AB429" s="62">
        <f>G429+N429+U429</f>
        <v>1</v>
      </c>
      <c r="AC429" s="52">
        <f>AB429*100/$AC$5</f>
        <v>2.3809523809523809</v>
      </c>
      <c r="AD429" s="3"/>
      <c r="AE429" s="3"/>
      <c r="AF429" s="9" t="str">
        <f t="shared" si="713"/>
        <v>b) Poco</v>
      </c>
      <c r="AG429" s="72">
        <f>J429</f>
        <v>0</v>
      </c>
      <c r="AH429" s="72">
        <f>L429</f>
        <v>5</v>
      </c>
      <c r="AI429" s="73">
        <f>H429</f>
        <v>2.3809523809523809</v>
      </c>
      <c r="AJ429" s="73"/>
      <c r="AK429" s="76" t="e">
        <f>Q429</f>
        <v>#DIV/0!</v>
      </c>
      <c r="AL429" s="76" t="e">
        <f>S429</f>
        <v>#DIV/0!</v>
      </c>
      <c r="AM429" s="76" t="e">
        <f>O429</f>
        <v>#DIV/0!</v>
      </c>
      <c r="AN429" s="76"/>
      <c r="AO429" s="81" t="e">
        <f>X429</f>
        <v>#DIV/0!</v>
      </c>
      <c r="AP429" s="81" t="e">
        <f>Z429</f>
        <v>#DIV/0!</v>
      </c>
      <c r="AQ429" s="81" t="e">
        <f>V429</f>
        <v>#DIV/0!</v>
      </c>
      <c r="AR429" s="3"/>
      <c r="AS429" s="76">
        <f t="shared" si="688"/>
        <v>2.3809523809523809</v>
      </c>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row>
    <row r="430" spans="1:75" x14ac:dyDescent="0.3">
      <c r="A430" s="1" t="s">
        <v>20</v>
      </c>
      <c r="B430" s="2" t="s">
        <v>179</v>
      </c>
      <c r="C430" s="3"/>
      <c r="D430" s="3"/>
      <c r="E430" s="3"/>
      <c r="F430" s="4">
        <v>66.66</v>
      </c>
      <c r="G430" s="51">
        <f>I430+K430</f>
        <v>19</v>
      </c>
      <c r="H430" s="52">
        <f>G430/$J$5*100</f>
        <v>45.238095238095241</v>
      </c>
      <c r="I430" s="53">
        <f>COUNTIFS('00 Encuesta'!$B$2:$B$511,"*f)*",'00 Encuesta'!$C$2:$C$511,"*a)*",'00 Encuesta'!$E$2:$E$511,"*a)*",'00 Encuesta'!$BB$2:$BB$511,"*c)*")</f>
        <v>12</v>
      </c>
      <c r="J430" s="52">
        <f>I430/$J$6*100</f>
        <v>54.54545454545454</v>
      </c>
      <c r="K430" s="53">
        <f>COUNTIFS('00 Encuesta'!$B$2:$B$511,"*f)*",'00 Encuesta'!$C$2:$C$511,"*a)*",'00 Encuesta'!$E$2:$E$511,"*b)*",'00 Encuesta'!$BB$2:$BB$511,"*c)*")</f>
        <v>7</v>
      </c>
      <c r="L430" s="52">
        <f>K430/$J$7*100</f>
        <v>35</v>
      </c>
      <c r="M430" s="23"/>
      <c r="N430" s="51">
        <f>P430+R430</f>
        <v>0</v>
      </c>
      <c r="O430" s="52" t="e">
        <f>N430/$Q$5*100</f>
        <v>#DIV/0!</v>
      </c>
      <c r="P430" s="53">
        <f>COUNTIFS('00 Encuesta'!$B$2:$B$511,"*f)*",'00 Encuesta'!$C$2:$C$511,"*b)*",'00 Encuesta'!$E$2:$E$511,"*a)*",'00 Encuesta'!$BB$2:$BB$511,"*c)*")</f>
        <v>0</v>
      </c>
      <c r="Q430" s="52" t="e">
        <f>P430/$Q$6*100</f>
        <v>#DIV/0!</v>
      </c>
      <c r="R430" s="53">
        <f>COUNTIFS('00 Encuesta'!$B$2:$B$511,"*f)*",'00 Encuesta'!$C$2:$C$511,"*b)*",'00 Encuesta'!$E$2:$E$511,"*b)*",'00 Encuesta'!$BB$2:$BB$511,"*c)*")</f>
        <v>0</v>
      </c>
      <c r="S430" s="52" t="e">
        <f>R430/$Q$7*100</f>
        <v>#DIV/0!</v>
      </c>
      <c r="T430" s="3"/>
      <c r="U430" s="51">
        <f>W430+Y430</f>
        <v>0</v>
      </c>
      <c r="V430" s="52" t="e">
        <f>U430/$X$5*100</f>
        <v>#DIV/0!</v>
      </c>
      <c r="W430" s="53">
        <f>COUNTIFS('00 Encuesta'!$B$2:$B$511,"*f)*",'00 Encuesta'!$C$2:$C$511,"*c)*",'00 Encuesta'!$E$2:$E$511,"*a)*",'00 Encuesta'!$BB$2:$BB$511,"*c)*")</f>
        <v>0</v>
      </c>
      <c r="X430" s="52" t="e">
        <f>W430/$X$6*100</f>
        <v>#DIV/0!</v>
      </c>
      <c r="Y430" s="53">
        <f>COUNTIFS('00 Encuesta'!$B$2:$B$511,"*f)*",'00 Encuesta'!$C$2:$C$511,"*c)*",'00 Encuesta'!$E$2:$E$511,"*b)*",'00 Encuesta'!$BB$2:$BB$511,"*c)*")</f>
        <v>0</v>
      </c>
      <c r="Z430" s="52" t="e">
        <f>Y430/$X$7*100</f>
        <v>#DIV/0!</v>
      </c>
      <c r="AA430" s="3"/>
      <c r="AB430" s="62">
        <f>G430+N430+U430</f>
        <v>19</v>
      </c>
      <c r="AC430" s="52">
        <f>AB430*100/$AC$5</f>
        <v>45.238095238095241</v>
      </c>
      <c r="AD430" s="3"/>
      <c r="AE430" s="3"/>
      <c r="AF430" s="9" t="str">
        <f t="shared" si="713"/>
        <v>c) Bastante</v>
      </c>
      <c r="AG430" s="72">
        <f>J430</f>
        <v>54.54545454545454</v>
      </c>
      <c r="AH430" s="72">
        <f>L430</f>
        <v>35</v>
      </c>
      <c r="AI430" s="73">
        <f>H430</f>
        <v>45.238095238095241</v>
      </c>
      <c r="AJ430" s="73"/>
      <c r="AK430" s="76" t="e">
        <f>Q430</f>
        <v>#DIV/0!</v>
      </c>
      <c r="AL430" s="76" t="e">
        <f>S430</f>
        <v>#DIV/0!</v>
      </c>
      <c r="AM430" s="76" t="e">
        <f>O430</f>
        <v>#DIV/0!</v>
      </c>
      <c r="AN430" s="76"/>
      <c r="AO430" s="81" t="e">
        <f>X430</f>
        <v>#DIV/0!</v>
      </c>
      <c r="AP430" s="81" t="e">
        <f>Z430</f>
        <v>#DIV/0!</v>
      </c>
      <c r="AQ430" s="81" t="e">
        <f>V430</f>
        <v>#DIV/0!</v>
      </c>
      <c r="AR430" s="3"/>
      <c r="AS430" s="76">
        <f t="shared" si="688"/>
        <v>45.238095238095241</v>
      </c>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row>
    <row r="431" spans="1:75" x14ac:dyDescent="0.3">
      <c r="A431" s="1" t="s">
        <v>21</v>
      </c>
      <c r="B431" s="2" t="s">
        <v>276</v>
      </c>
      <c r="C431" s="3"/>
      <c r="D431" s="3"/>
      <c r="E431" s="3"/>
      <c r="F431" s="4">
        <v>100</v>
      </c>
      <c r="G431" s="51">
        <f>I431+K431</f>
        <v>17</v>
      </c>
      <c r="H431" s="52">
        <f>G431/$J$5*100</f>
        <v>40.476190476190474</v>
      </c>
      <c r="I431" s="53">
        <f>COUNTIFS('00 Encuesta'!$B$2:$B$511,"*f)*",'00 Encuesta'!$C$2:$C$511,"*a)*",'00 Encuesta'!$E$2:$E$511,"*a)*",'00 Encuesta'!$BB$2:$BB$511,"*d)*")</f>
        <v>6</v>
      </c>
      <c r="J431" s="52">
        <f>I431/$J$6*100</f>
        <v>27.27272727272727</v>
      </c>
      <c r="K431" s="53">
        <f>COUNTIFS('00 Encuesta'!$B$2:$B$511,"*f)*",'00 Encuesta'!$C$2:$C$511,"*a)*",'00 Encuesta'!$E$2:$E$511,"*b)*",'00 Encuesta'!$BB$2:$BB$511,"*d)*")</f>
        <v>11</v>
      </c>
      <c r="L431" s="52">
        <f>K431/$J$7*100</f>
        <v>55.000000000000007</v>
      </c>
      <c r="M431" s="23"/>
      <c r="N431" s="51">
        <f>P431+R431</f>
        <v>0</v>
      </c>
      <c r="O431" s="52" t="e">
        <f>N431/$Q$5*100</f>
        <v>#DIV/0!</v>
      </c>
      <c r="P431" s="53">
        <f>COUNTIFS('00 Encuesta'!$B$2:$B$511,"*f)*",'00 Encuesta'!$C$2:$C$511,"*b)*",'00 Encuesta'!$E$2:$E$511,"*a)*",'00 Encuesta'!$BB$2:$BB$511,"*d)*")</f>
        <v>0</v>
      </c>
      <c r="Q431" s="52" t="e">
        <f>P431/$Q$6*100</f>
        <v>#DIV/0!</v>
      </c>
      <c r="R431" s="53">
        <f>COUNTIFS('00 Encuesta'!$B$2:$B$511,"*f)*",'00 Encuesta'!$C$2:$C$511,"*b)*",'00 Encuesta'!$E$2:$E$511,"*b)*",'00 Encuesta'!$BB$2:$BB$511,"*d)*")</f>
        <v>0</v>
      </c>
      <c r="S431" s="52" t="e">
        <f>R431/$Q$7*100</f>
        <v>#DIV/0!</v>
      </c>
      <c r="T431" s="3"/>
      <c r="U431" s="51">
        <f>W431+Y431</f>
        <v>0</v>
      </c>
      <c r="V431" s="52" t="e">
        <f>U431/$X$5*100</f>
        <v>#DIV/0!</v>
      </c>
      <c r="W431" s="53">
        <f>COUNTIFS('00 Encuesta'!$B$2:$B$511,"*f)*",'00 Encuesta'!$C$2:$C$511,"*c)*",'00 Encuesta'!$E$2:$E$511,"*a)*",'00 Encuesta'!$BB$2:$BB$511,"*d)*")</f>
        <v>0</v>
      </c>
      <c r="X431" s="52" t="e">
        <f>W431/$X$6*100</f>
        <v>#DIV/0!</v>
      </c>
      <c r="Y431" s="53">
        <f>COUNTIFS('00 Encuesta'!$B$2:$B$511,"*f)*",'00 Encuesta'!$C$2:$C$511,"*c)*",'00 Encuesta'!$E$2:$E$511,"*b)*",'00 Encuesta'!$BB$2:$BB$511,"*d)*")</f>
        <v>0</v>
      </c>
      <c r="Z431" s="52" t="e">
        <f>Y431/$X$7*100</f>
        <v>#DIV/0!</v>
      </c>
      <c r="AA431" s="3"/>
      <c r="AB431" s="62">
        <f>G431+N431+U431</f>
        <v>17</v>
      </c>
      <c r="AC431" s="52">
        <f>AB431*100/$AC$5</f>
        <v>40.476190476190474</v>
      </c>
      <c r="AD431" s="3"/>
      <c r="AE431" s="3"/>
      <c r="AF431" s="9" t="str">
        <f t="shared" si="713"/>
        <v>d) Mucho o muchìsimo</v>
      </c>
      <c r="AG431" s="72">
        <f>J431</f>
        <v>27.27272727272727</v>
      </c>
      <c r="AH431" s="72">
        <f>L431</f>
        <v>55.000000000000007</v>
      </c>
      <c r="AI431" s="73">
        <f>H431</f>
        <v>40.476190476190474</v>
      </c>
      <c r="AJ431" s="73"/>
      <c r="AK431" s="76" t="e">
        <f>Q431</f>
        <v>#DIV/0!</v>
      </c>
      <c r="AL431" s="76" t="e">
        <f>S431</f>
        <v>#DIV/0!</v>
      </c>
      <c r="AM431" s="76" t="e">
        <f>O431</f>
        <v>#DIV/0!</v>
      </c>
      <c r="AN431" s="76"/>
      <c r="AO431" s="81" t="e">
        <f>X431</f>
        <v>#DIV/0!</v>
      </c>
      <c r="AP431" s="81" t="e">
        <f>Z431</f>
        <v>#DIV/0!</v>
      </c>
      <c r="AQ431" s="81" t="e">
        <f>V431</f>
        <v>#DIV/0!</v>
      </c>
      <c r="AR431" s="3"/>
      <c r="AS431" s="76">
        <f t="shared" si="688"/>
        <v>40.476190476190474</v>
      </c>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row>
    <row r="432" spans="1:75" x14ac:dyDescent="0.3">
      <c r="A432" s="1" t="s">
        <v>22</v>
      </c>
      <c r="B432" s="2" t="s">
        <v>256</v>
      </c>
      <c r="C432" s="3"/>
      <c r="D432" s="3"/>
      <c r="E432" s="3"/>
      <c r="F432" s="4"/>
      <c r="G432" s="51">
        <f>I432+K432</f>
        <v>0</v>
      </c>
      <c r="H432" s="52">
        <f>G432/$J$5*100</f>
        <v>0</v>
      </c>
      <c r="I432" s="53">
        <f>COUNTIFS('00 Encuesta'!$B$2:$B$511,"*f)*",'00 Encuesta'!$C$2:$C$511,"*a)*",'00 Encuesta'!$E$2:$E$511,"*a)*",'00 Encuesta'!$BB$2:$BB$511,"*e)*")</f>
        <v>0</v>
      </c>
      <c r="J432" s="52">
        <f>I432/$J$6*100</f>
        <v>0</v>
      </c>
      <c r="K432" s="53">
        <f>COUNTIFS('00 Encuesta'!$B$2:$B$511,"*f)*",'00 Encuesta'!$C$2:$C$511,"*a)*",'00 Encuesta'!$E$2:$E$511,"*b)*",'00 Encuesta'!$BB$2:$BB$511,"*e)*")</f>
        <v>0</v>
      </c>
      <c r="L432" s="52">
        <f>K432/$J$7*100</f>
        <v>0</v>
      </c>
      <c r="M432" s="23"/>
      <c r="N432" s="51">
        <f>P432+R432</f>
        <v>0</v>
      </c>
      <c r="O432" s="52" t="e">
        <f>N432/$Q$5*100</f>
        <v>#DIV/0!</v>
      </c>
      <c r="P432" s="53">
        <f>COUNTIFS('00 Encuesta'!$B$2:$B$511,"*f)*",'00 Encuesta'!$C$2:$C$511,"*b)*",'00 Encuesta'!$E$2:$E$511,"*a)*",'00 Encuesta'!$BB$2:$BB$511,"*e)*")</f>
        <v>0</v>
      </c>
      <c r="Q432" s="52" t="e">
        <f>P432/$Q$6*100</f>
        <v>#DIV/0!</v>
      </c>
      <c r="R432" s="53">
        <f>COUNTIFS('00 Encuesta'!$B$2:$B$511,"*f)*",'00 Encuesta'!$C$2:$C$511,"*b)*",'00 Encuesta'!$E$2:$E$511,"*b)*",'00 Encuesta'!$BB$2:$BB$511,"*e)*")</f>
        <v>0</v>
      </c>
      <c r="S432" s="52" t="e">
        <f>R432/$Q$7*100</f>
        <v>#DIV/0!</v>
      </c>
      <c r="T432" s="3"/>
      <c r="U432" s="51">
        <f>W432+Y432</f>
        <v>0</v>
      </c>
      <c r="V432" s="52" t="e">
        <f>U432/$X$5*100</f>
        <v>#DIV/0!</v>
      </c>
      <c r="W432" s="53">
        <f>COUNTIFS('00 Encuesta'!$B$2:$B$511,"*f)*",'00 Encuesta'!$C$2:$C$511,"*c)*",'00 Encuesta'!$E$2:$E$511,"*a)*",'00 Encuesta'!$BB$2:$BB$511,"*e)*")</f>
        <v>0</v>
      </c>
      <c r="X432" s="52" t="e">
        <f>W432/$X$6*100</f>
        <v>#DIV/0!</v>
      </c>
      <c r="Y432" s="53">
        <f>COUNTIFS('00 Encuesta'!$B$2:$B$511,"*f)*",'00 Encuesta'!$C$2:$C$511,"*c)*",'00 Encuesta'!$E$2:$E$511,"*b)*",'00 Encuesta'!$BB$2:$BB$511,"*e)*")</f>
        <v>0</v>
      </c>
      <c r="Z432" s="52" t="e">
        <f>Y432/$X$7*100</f>
        <v>#DIV/0!</v>
      </c>
      <c r="AA432" s="3"/>
      <c r="AB432" s="62">
        <f>G432+N432+U432</f>
        <v>0</v>
      </c>
      <c r="AC432" s="52">
        <f>AB432*100/$AC$5</f>
        <v>0</v>
      </c>
      <c r="AD432" s="3"/>
      <c r="AE432" s="3"/>
      <c r="AF432" s="9" t="str">
        <f t="shared" si="713"/>
        <v>e) No sè</v>
      </c>
      <c r="AG432" s="72">
        <f>J432</f>
        <v>0</v>
      </c>
      <c r="AH432" s="72">
        <f>L432</f>
        <v>0</v>
      </c>
      <c r="AI432" s="73">
        <f>H432</f>
        <v>0</v>
      </c>
      <c r="AJ432" s="73"/>
      <c r="AK432" s="76" t="e">
        <f>Q432</f>
        <v>#DIV/0!</v>
      </c>
      <c r="AL432" s="76" t="e">
        <f>S432</f>
        <v>#DIV/0!</v>
      </c>
      <c r="AM432" s="76" t="e">
        <f>O432</f>
        <v>#DIV/0!</v>
      </c>
      <c r="AN432" s="76"/>
      <c r="AO432" s="81" t="e">
        <f>X432</f>
        <v>#DIV/0!</v>
      </c>
      <c r="AP432" s="81" t="e">
        <f>Z432</f>
        <v>#DIV/0!</v>
      </c>
      <c r="AQ432" s="81" t="e">
        <f>V432</f>
        <v>#DIV/0!</v>
      </c>
      <c r="AR432" s="3"/>
      <c r="AS432" s="76">
        <f t="shared" si="688"/>
        <v>0</v>
      </c>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row>
    <row r="433" spans="1:75" x14ac:dyDescent="0.3">
      <c r="A433" s="1"/>
      <c r="B433" s="2"/>
      <c r="C433" s="3"/>
      <c r="D433" s="3"/>
      <c r="E433" s="3"/>
      <c r="F433" s="7"/>
      <c r="G433" s="7"/>
      <c r="H433" s="7"/>
      <c r="I433" s="7"/>
      <c r="J433" s="7"/>
      <c r="K433" s="7"/>
      <c r="L433" s="7"/>
      <c r="M433" s="7"/>
      <c r="N433" s="7"/>
      <c r="O433" s="7"/>
      <c r="P433" s="7"/>
      <c r="Q433" s="7"/>
      <c r="R433" s="7"/>
      <c r="S433" s="7"/>
      <c r="T433" s="7"/>
      <c r="U433" s="7"/>
      <c r="V433" s="7"/>
      <c r="W433" s="7"/>
      <c r="X433" s="7"/>
      <c r="Y433" s="7"/>
      <c r="Z433" s="7"/>
      <c r="AA433" s="3"/>
      <c r="AB433" s="6"/>
      <c r="AC433" s="5"/>
      <c r="AD433" s="3"/>
      <c r="AE433" s="3"/>
      <c r="AF433" s="3"/>
      <c r="AG433" s="82">
        <f>(+$F428*I428+$F429*I429+$F430*I430+$F431*I431)/(+I428+I429+I430+I431)</f>
        <v>66.662857142857149</v>
      </c>
      <c r="AH433" s="82">
        <f>($F428*K428+$F429*K429+$F430*K430+$F431*K431)/(+K428+K429+K430+K431)</f>
        <v>79.997500000000002</v>
      </c>
      <c r="AI433" s="82">
        <f>($F428*G428+$F429*G429+$F430*G430+$F431*G431)/(G428+G429+G430+G431)</f>
        <v>73.16756097560976</v>
      </c>
      <c r="AJ433" s="82"/>
      <c r="AK433" s="82" t="e">
        <f>(+$F428*Q428+$F429*Q429+$F430*Q430+$F431*Q431)/(+Q428+Q429+Q430+Q431)</f>
        <v>#DIV/0!</v>
      </c>
      <c r="AL433" s="82" t="e">
        <f>($F428*S428+$F429*S429+$F430*S430+$F431*S431)/(+S428+S429+S430+S431)</f>
        <v>#DIV/0!</v>
      </c>
      <c r="AM433" s="82" t="e">
        <f>($F428*O428+$F429*O429+$F430*O430+$F431*O431)/(O428+O429+O430+O431)</f>
        <v>#DIV/0!</v>
      </c>
      <c r="AN433" s="82"/>
      <c r="AO433" s="82" t="e">
        <f>($F428*W428+$F429*W429+$F430*W430+$F431*W431)/(W428+W429+W430+W431)</f>
        <v>#DIV/0!</v>
      </c>
      <c r="AP433" s="82" t="e">
        <f>($F428*Y428+$F429*Y429+$F430*Y430+$F431*Y431)/(Y428+Y429+Y430+Y431)</f>
        <v>#DIV/0!</v>
      </c>
      <c r="AQ433" s="82" t="e">
        <f>($F428*U428+$F429*U429+$F430*U430+$F431*U431)/(U428+U429+U430+U431)</f>
        <v>#DIV/0!</v>
      </c>
      <c r="AR433" s="3"/>
      <c r="AS433" s="76"/>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row>
    <row r="434" spans="1:75" x14ac:dyDescent="0.3">
      <c r="A434" s="84">
        <v>49</v>
      </c>
      <c r="B434" s="2" t="s">
        <v>277</v>
      </c>
      <c r="C434" s="3"/>
      <c r="D434" s="3"/>
      <c r="E434" s="3"/>
      <c r="F434" s="5"/>
      <c r="G434" s="51"/>
      <c r="H434" s="52"/>
      <c r="I434" s="53"/>
      <c r="J434" s="52"/>
      <c r="K434" s="53"/>
      <c r="L434" s="66"/>
      <c r="M434" s="23"/>
      <c r="N434" s="51"/>
      <c r="O434" s="52"/>
      <c r="P434" s="53"/>
      <c r="Q434" s="52"/>
      <c r="R434" s="53"/>
      <c r="S434" s="66"/>
      <c r="T434" s="3"/>
      <c r="U434" s="51"/>
      <c r="V434" s="52"/>
      <c r="W434" s="53"/>
      <c r="X434" s="52"/>
      <c r="Y434" s="53"/>
      <c r="Z434" s="66"/>
      <c r="AA434" s="5"/>
      <c r="AB434" s="62"/>
      <c r="AC434" s="52"/>
      <c r="AD434" s="3"/>
      <c r="AE434" s="3"/>
      <c r="AF434" s="88" t="str">
        <f t="shared" ref="AF434:AF439" si="714">A434&amp;" "&amp;B434</f>
        <v>49 Los ESCOLAPIOS QUE CONOZCO, en general:</v>
      </c>
      <c r="AG434" s="3"/>
      <c r="AH434" s="3"/>
      <c r="AI434" s="3"/>
      <c r="AJ434" s="3"/>
      <c r="AK434" s="3"/>
      <c r="AL434" s="3"/>
      <c r="AM434" s="3"/>
      <c r="AN434" s="3"/>
      <c r="AO434" s="3"/>
      <c r="AP434" s="3"/>
      <c r="AQ434" s="3"/>
      <c r="AR434" s="3"/>
      <c r="AS434" s="76"/>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row>
    <row r="435" spans="1:75" x14ac:dyDescent="0.3">
      <c r="A435" s="1" t="s">
        <v>17</v>
      </c>
      <c r="B435" s="2" t="s">
        <v>278</v>
      </c>
      <c r="C435" s="3"/>
      <c r="D435" s="3"/>
      <c r="E435" s="3"/>
      <c r="F435" s="4">
        <v>0</v>
      </c>
      <c r="G435" s="51">
        <f>I435+K435</f>
        <v>2</v>
      </c>
      <c r="H435" s="52">
        <f>G435/$J$5*100</f>
        <v>4.7619047619047619</v>
      </c>
      <c r="I435" s="53">
        <f>COUNTIFS('00 Encuesta'!$B$2:$B$511,"*f)*",'00 Encuesta'!$C$2:$C$511,"*a)*",'00 Encuesta'!$E$2:$E$511,"*a)*",'00 Encuesta'!$BC$2:$BC$511,"*a)*")</f>
        <v>0</v>
      </c>
      <c r="J435" s="52">
        <f>I435/$J$6*100</f>
        <v>0</v>
      </c>
      <c r="K435" s="53">
        <f>COUNTIFS('00 Encuesta'!$B$2:$B$511,"*f)*",'00 Encuesta'!$C$2:$C$511,"*a)*",'00 Encuesta'!$E$2:$E$511,"*b)*",'00 Encuesta'!$BC$2:$BC$511,"*a)*")</f>
        <v>2</v>
      </c>
      <c r="L435" s="52">
        <f>K435/$J$7*100</f>
        <v>10</v>
      </c>
      <c r="M435" s="23"/>
      <c r="N435" s="51">
        <f>P435+R435</f>
        <v>0</v>
      </c>
      <c r="O435" s="52" t="e">
        <f>N435/$Q$5*100</f>
        <v>#DIV/0!</v>
      </c>
      <c r="P435" s="53">
        <f>COUNTIFS('00 Encuesta'!$B$2:$B$511,"*f)*",'00 Encuesta'!$C$2:$C$511,"*b)*",'00 Encuesta'!$E$2:$E$511,"*a)*",'00 Encuesta'!$BC$2:$BC$511,"*a)*")</f>
        <v>0</v>
      </c>
      <c r="Q435" s="52" t="e">
        <f>P435/$Q$6*100</f>
        <v>#DIV/0!</v>
      </c>
      <c r="R435" s="53">
        <f>COUNTIFS('00 Encuesta'!$B$2:$B$511,"*f)*",'00 Encuesta'!$C$2:$C$511,"*b)*",'00 Encuesta'!$E$2:$E$511,"*b)*",'00 Encuesta'!$BC$2:$BC$511,"*a)*")</f>
        <v>0</v>
      </c>
      <c r="S435" s="52" t="e">
        <f>R435/$Q$7*100</f>
        <v>#DIV/0!</v>
      </c>
      <c r="T435" s="3"/>
      <c r="U435" s="51">
        <f>W435+Y435</f>
        <v>0</v>
      </c>
      <c r="V435" s="52" t="e">
        <f>U435/$X$5*100</f>
        <v>#DIV/0!</v>
      </c>
      <c r="W435" s="53">
        <f>COUNTIFS('00 Encuesta'!$B$2:$B$511,"*f)*",'00 Encuesta'!$C$2:$C$511,"*c)*",'00 Encuesta'!$E$2:$E$511,"*a)*",'00 Encuesta'!$BC$2:$BC$511,"*a)*")</f>
        <v>0</v>
      </c>
      <c r="X435" s="52" t="e">
        <f>W435/$X$6*100</f>
        <v>#DIV/0!</v>
      </c>
      <c r="Y435" s="53">
        <f>COUNTIFS('00 Encuesta'!$B$2:$B$511,"*f)*",'00 Encuesta'!$C$2:$C$511,"*c)*",'00 Encuesta'!$E$2:$E$511,"*b)*",'00 Encuesta'!$BC$2:$BC$511,"*a)*")</f>
        <v>0</v>
      </c>
      <c r="Z435" s="52" t="e">
        <f>Y435/$X$7*100</f>
        <v>#DIV/0!</v>
      </c>
      <c r="AA435" s="3"/>
      <c r="AB435" s="62">
        <f>G435+N435+U435</f>
        <v>2</v>
      </c>
      <c r="AC435" s="52">
        <f>AB435*100/$AC$5</f>
        <v>4.7619047619047619</v>
      </c>
      <c r="AD435" s="3"/>
      <c r="AE435" s="3"/>
      <c r="AF435" s="9" t="str">
        <f t="shared" si="714"/>
        <v>a) No me gustan en absoluto</v>
      </c>
      <c r="AG435" s="72">
        <f>J435</f>
        <v>0</v>
      </c>
      <c r="AH435" s="72">
        <f>L435</f>
        <v>10</v>
      </c>
      <c r="AI435" s="73">
        <f>H435</f>
        <v>4.7619047619047619</v>
      </c>
      <c r="AJ435" s="73"/>
      <c r="AK435" s="76" t="e">
        <f>Q435</f>
        <v>#DIV/0!</v>
      </c>
      <c r="AL435" s="76" t="e">
        <f>S435</f>
        <v>#DIV/0!</v>
      </c>
      <c r="AM435" s="76" t="e">
        <f>O435</f>
        <v>#DIV/0!</v>
      </c>
      <c r="AN435" s="76"/>
      <c r="AO435" s="81" t="e">
        <f>X435</f>
        <v>#DIV/0!</v>
      </c>
      <c r="AP435" s="81" t="e">
        <f>Z435</f>
        <v>#DIV/0!</v>
      </c>
      <c r="AQ435" s="81" t="e">
        <f>V435</f>
        <v>#DIV/0!</v>
      </c>
      <c r="AR435" s="3"/>
      <c r="AS435" s="76">
        <f t="shared" si="688"/>
        <v>4.7619047619047619</v>
      </c>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row>
    <row r="436" spans="1:75" x14ac:dyDescent="0.3">
      <c r="A436" s="1" t="s">
        <v>18</v>
      </c>
      <c r="B436" s="2" t="s">
        <v>279</v>
      </c>
      <c r="C436" s="3"/>
      <c r="D436" s="3"/>
      <c r="E436" s="3"/>
      <c r="F436" s="4">
        <v>25</v>
      </c>
      <c r="G436" s="51">
        <f>I436+K436</f>
        <v>2</v>
      </c>
      <c r="H436" s="52">
        <f>G436/$J$5*100</f>
        <v>4.7619047619047619</v>
      </c>
      <c r="I436" s="53">
        <f>COUNTIFS('00 Encuesta'!$B$2:$B$511,"*f)*",'00 Encuesta'!$C$2:$C$511,"*a)*",'00 Encuesta'!$E$2:$E$511,"*a)*",'00 Encuesta'!$BC$2:$BC$511,"*b)*")</f>
        <v>1</v>
      </c>
      <c r="J436" s="52">
        <f>I436/$J$6*100</f>
        <v>4.5454545454545459</v>
      </c>
      <c r="K436" s="53">
        <f>COUNTIFS('00 Encuesta'!$B$2:$B$511,"*f)*",'00 Encuesta'!$C$2:$C$511,"*a)*",'00 Encuesta'!$E$2:$E$511,"*b)*",'00 Encuesta'!$BC$2:$BC$511,"*b)*")</f>
        <v>1</v>
      </c>
      <c r="L436" s="52">
        <f>K436/$J$7*100</f>
        <v>5</v>
      </c>
      <c r="M436" s="23"/>
      <c r="N436" s="51">
        <f>P436+R436</f>
        <v>0</v>
      </c>
      <c r="O436" s="52" t="e">
        <f>N436/$Q$5*100</f>
        <v>#DIV/0!</v>
      </c>
      <c r="P436" s="53">
        <f>COUNTIFS('00 Encuesta'!$B$2:$B$511,"*f)*",'00 Encuesta'!$C$2:$C$511,"*b)*",'00 Encuesta'!$E$2:$E$511,"*a)*",'00 Encuesta'!$BC$2:$BC$511,"*b)*")</f>
        <v>0</v>
      </c>
      <c r="Q436" s="52" t="e">
        <f>P436/$Q$6*100</f>
        <v>#DIV/0!</v>
      </c>
      <c r="R436" s="53">
        <f>COUNTIFS('00 Encuesta'!$B$2:$B$511,"*f)*",'00 Encuesta'!$C$2:$C$511,"*b)*",'00 Encuesta'!$E$2:$E$511,"*b)*",'00 Encuesta'!$BC$2:$BC$511,"*b)*")</f>
        <v>0</v>
      </c>
      <c r="S436" s="52" t="e">
        <f>R436/$Q$7*100</f>
        <v>#DIV/0!</v>
      </c>
      <c r="T436" s="3"/>
      <c r="U436" s="51">
        <f>W436+Y436</f>
        <v>0</v>
      </c>
      <c r="V436" s="52" t="e">
        <f>U436/$X$5*100</f>
        <v>#DIV/0!</v>
      </c>
      <c r="W436" s="53">
        <f>COUNTIFS('00 Encuesta'!$B$2:$B$511,"*f)*",'00 Encuesta'!$C$2:$C$511,"*c)*",'00 Encuesta'!$E$2:$E$511,"*a)*",'00 Encuesta'!$BC$2:$BC$511,"*b)*")</f>
        <v>0</v>
      </c>
      <c r="X436" s="52" t="e">
        <f>W436/$X$6*100</f>
        <v>#DIV/0!</v>
      </c>
      <c r="Y436" s="53">
        <f>COUNTIFS('00 Encuesta'!$B$2:$B$511,"*f)*",'00 Encuesta'!$C$2:$C$511,"*c)*",'00 Encuesta'!$E$2:$E$511,"*b)*",'00 Encuesta'!$BC$2:$BC$511,"*b)*")</f>
        <v>0</v>
      </c>
      <c r="Z436" s="52" t="e">
        <f>Y436/$X$7*100</f>
        <v>#DIV/0!</v>
      </c>
      <c r="AA436" s="3"/>
      <c r="AB436" s="62">
        <f>G436+N436+U436</f>
        <v>2</v>
      </c>
      <c r="AC436" s="52">
        <f>AB436*100/$AC$5</f>
        <v>4.7619047619047619</v>
      </c>
      <c r="AD436" s="3"/>
      <c r="AE436" s="3"/>
      <c r="AF436" s="9" t="str">
        <f t="shared" si="714"/>
        <v>b) Hay de todo tipo, pero predomina lo negativo</v>
      </c>
      <c r="AG436" s="72">
        <f>J436</f>
        <v>4.5454545454545459</v>
      </c>
      <c r="AH436" s="72">
        <f>L436</f>
        <v>5</v>
      </c>
      <c r="AI436" s="73">
        <f>H436</f>
        <v>4.7619047619047619</v>
      </c>
      <c r="AJ436" s="73"/>
      <c r="AK436" s="76" t="e">
        <f>Q436</f>
        <v>#DIV/0!</v>
      </c>
      <c r="AL436" s="76" t="e">
        <f>S436</f>
        <v>#DIV/0!</v>
      </c>
      <c r="AM436" s="76" t="e">
        <f>O436</f>
        <v>#DIV/0!</v>
      </c>
      <c r="AN436" s="76"/>
      <c r="AO436" s="81" t="e">
        <f>X436</f>
        <v>#DIV/0!</v>
      </c>
      <c r="AP436" s="81" t="e">
        <f>Z436</f>
        <v>#DIV/0!</v>
      </c>
      <c r="AQ436" s="81" t="e">
        <f>V436</f>
        <v>#DIV/0!</v>
      </c>
      <c r="AR436" s="3"/>
      <c r="AS436" s="76">
        <f t="shared" si="688"/>
        <v>4.7619047619047619</v>
      </c>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row>
    <row r="437" spans="1:75" x14ac:dyDescent="0.3">
      <c r="A437" s="1" t="s">
        <v>20</v>
      </c>
      <c r="B437" s="2" t="s">
        <v>280</v>
      </c>
      <c r="C437" s="3"/>
      <c r="D437" s="3"/>
      <c r="E437" s="3"/>
      <c r="F437" s="4">
        <v>50</v>
      </c>
      <c r="G437" s="51">
        <f>I437+K437</f>
        <v>10</v>
      </c>
      <c r="H437" s="52">
        <f>G437/$J$5*100</f>
        <v>23.809523809523807</v>
      </c>
      <c r="I437" s="53">
        <f>COUNTIFS('00 Encuesta'!$B$2:$B$511,"*f)*",'00 Encuesta'!$C$2:$C$511,"*a)*",'00 Encuesta'!$E$2:$E$511,"*a)*",'00 Encuesta'!$BC$2:$BC$511,"*c)*")</f>
        <v>4</v>
      </c>
      <c r="J437" s="52">
        <f>I437/$J$6*100</f>
        <v>18.181818181818183</v>
      </c>
      <c r="K437" s="53">
        <f>COUNTIFS('00 Encuesta'!$B$2:$B$511,"*f)*",'00 Encuesta'!$C$2:$C$511,"*a)*",'00 Encuesta'!$E$2:$E$511,"*b)*",'00 Encuesta'!$BC$2:$BC$511,"*c)*")</f>
        <v>6</v>
      </c>
      <c r="L437" s="52">
        <f>K437/$J$7*100</f>
        <v>30</v>
      </c>
      <c r="M437" s="23"/>
      <c r="N437" s="51">
        <f>P437+R437</f>
        <v>0</v>
      </c>
      <c r="O437" s="52" t="e">
        <f>N437/$Q$5*100</f>
        <v>#DIV/0!</v>
      </c>
      <c r="P437" s="53">
        <f>COUNTIFS('00 Encuesta'!$B$2:$B$511,"*f)*",'00 Encuesta'!$C$2:$C$511,"*b)*",'00 Encuesta'!$E$2:$E$511,"*a)*",'00 Encuesta'!$BC$2:$BC$511,"*c)*")</f>
        <v>0</v>
      </c>
      <c r="Q437" s="52" t="e">
        <f>P437/$Q$6*100</f>
        <v>#DIV/0!</v>
      </c>
      <c r="R437" s="53">
        <f>COUNTIFS('00 Encuesta'!$B$2:$B$511,"*f)*",'00 Encuesta'!$C$2:$C$511,"*b)*",'00 Encuesta'!$E$2:$E$511,"*b)*",'00 Encuesta'!$BC$2:$BC$511,"*c)*")</f>
        <v>0</v>
      </c>
      <c r="S437" s="52" t="e">
        <f>R437/$Q$7*100</f>
        <v>#DIV/0!</v>
      </c>
      <c r="T437" s="3"/>
      <c r="U437" s="51">
        <f>W437+Y437</f>
        <v>0</v>
      </c>
      <c r="V437" s="52" t="e">
        <f>U437/$X$5*100</f>
        <v>#DIV/0!</v>
      </c>
      <c r="W437" s="53">
        <f>COUNTIFS('00 Encuesta'!$B$2:$B$511,"*f)*",'00 Encuesta'!$C$2:$C$511,"*c)*",'00 Encuesta'!$E$2:$E$511,"*a)*",'00 Encuesta'!$BC$2:$BC$511,"*c)*")</f>
        <v>0</v>
      </c>
      <c r="X437" s="52" t="e">
        <f>W437/$X$6*100</f>
        <v>#DIV/0!</v>
      </c>
      <c r="Y437" s="53">
        <f>COUNTIFS('00 Encuesta'!$B$2:$B$511,"*f)*",'00 Encuesta'!$C$2:$C$511,"*c)*",'00 Encuesta'!$E$2:$E$511,"*b)*",'00 Encuesta'!$BC$2:$BC$511,"*c)*")</f>
        <v>0</v>
      </c>
      <c r="Z437" s="52" t="e">
        <f>Y437/$X$7*100</f>
        <v>#DIV/0!</v>
      </c>
      <c r="AA437" s="3"/>
      <c r="AB437" s="62">
        <f>G437+N437+U437</f>
        <v>10</v>
      </c>
      <c r="AC437" s="52">
        <f>AB437*100/$AC$5</f>
        <v>23.80952380952381</v>
      </c>
      <c r="AD437" s="3"/>
      <c r="AE437" s="3"/>
      <c r="AF437" s="9" t="str">
        <f t="shared" si="714"/>
        <v>c) Son personas normales y corrientes</v>
      </c>
      <c r="AG437" s="72">
        <f>J437</f>
        <v>18.181818181818183</v>
      </c>
      <c r="AH437" s="72">
        <f>L437</f>
        <v>30</v>
      </c>
      <c r="AI437" s="73">
        <f>H437</f>
        <v>23.809523809523807</v>
      </c>
      <c r="AJ437" s="73"/>
      <c r="AK437" s="76" t="e">
        <f>Q437</f>
        <v>#DIV/0!</v>
      </c>
      <c r="AL437" s="76" t="e">
        <f>S437</f>
        <v>#DIV/0!</v>
      </c>
      <c r="AM437" s="76" t="e">
        <f>O437</f>
        <v>#DIV/0!</v>
      </c>
      <c r="AN437" s="76"/>
      <c r="AO437" s="81" t="e">
        <f>X437</f>
        <v>#DIV/0!</v>
      </c>
      <c r="AP437" s="81" t="e">
        <f>Z437</f>
        <v>#DIV/0!</v>
      </c>
      <c r="AQ437" s="81" t="e">
        <f>V437</f>
        <v>#DIV/0!</v>
      </c>
      <c r="AR437" s="3"/>
      <c r="AS437" s="76">
        <f t="shared" si="688"/>
        <v>23.80952380952381</v>
      </c>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row>
    <row r="438" spans="1:75" x14ac:dyDescent="0.3">
      <c r="A438" s="1" t="s">
        <v>21</v>
      </c>
      <c r="B438" s="2" t="s">
        <v>281</v>
      </c>
      <c r="C438" s="3"/>
      <c r="D438" s="3"/>
      <c r="E438" s="3"/>
      <c r="F438" s="4">
        <v>75</v>
      </c>
      <c r="G438" s="51">
        <f>I438+K438</f>
        <v>4</v>
      </c>
      <c r="H438" s="52">
        <f>G438/$J$5*100</f>
        <v>9.5238095238095237</v>
      </c>
      <c r="I438" s="53">
        <f>COUNTIFS('00 Encuesta'!$B$2:$B$511,"*f)*",'00 Encuesta'!$C$2:$C$511,"*a)*",'00 Encuesta'!$E$2:$E$511,"*a)*",'00 Encuesta'!$BC$2:$BC$511,"*d)*")</f>
        <v>4</v>
      </c>
      <c r="J438" s="52">
        <f>I438/$J$6*100</f>
        <v>18.181818181818183</v>
      </c>
      <c r="K438" s="53">
        <f>COUNTIFS('00 Encuesta'!$B$2:$B$511,"*f)*",'00 Encuesta'!$C$2:$C$511,"*a)*",'00 Encuesta'!$E$2:$E$511,"*b)*",'00 Encuesta'!$BC$2:$BC$511,"*d)*")</f>
        <v>0</v>
      </c>
      <c r="L438" s="52">
        <f>K438/$J$7*100</f>
        <v>0</v>
      </c>
      <c r="M438" s="23"/>
      <c r="N438" s="51">
        <f>P438+R438</f>
        <v>0</v>
      </c>
      <c r="O438" s="52" t="e">
        <f>N438/$Q$5*100</f>
        <v>#DIV/0!</v>
      </c>
      <c r="P438" s="53">
        <f>COUNTIFS('00 Encuesta'!$B$2:$B$511,"*f)*",'00 Encuesta'!$C$2:$C$511,"*b)*",'00 Encuesta'!$E$2:$E$511,"*a)*",'00 Encuesta'!$BC$2:$BC$511,"*d)*")</f>
        <v>0</v>
      </c>
      <c r="Q438" s="52" t="e">
        <f>P438/$Q$6*100</f>
        <v>#DIV/0!</v>
      </c>
      <c r="R438" s="53">
        <f>COUNTIFS('00 Encuesta'!$B$2:$B$511,"*f)*",'00 Encuesta'!$C$2:$C$511,"*b)*",'00 Encuesta'!$E$2:$E$511,"*b)*",'00 Encuesta'!$BC$2:$BC$511,"*d)*")</f>
        <v>0</v>
      </c>
      <c r="S438" s="52" t="e">
        <f>R438/$Q$7*100</f>
        <v>#DIV/0!</v>
      </c>
      <c r="T438" s="3"/>
      <c r="U438" s="51">
        <f>W438+Y438</f>
        <v>0</v>
      </c>
      <c r="V438" s="52" t="e">
        <f>U438/$X$5*100</f>
        <v>#DIV/0!</v>
      </c>
      <c r="W438" s="53">
        <f>COUNTIFS('00 Encuesta'!$B$2:$B$511,"*f)*",'00 Encuesta'!$C$2:$C$511,"*c)*",'00 Encuesta'!$E$2:$E$511,"*a)*",'00 Encuesta'!$BC$2:$BC$511,"*d)*")</f>
        <v>0</v>
      </c>
      <c r="X438" s="52" t="e">
        <f>W438/$X$6*100</f>
        <v>#DIV/0!</v>
      </c>
      <c r="Y438" s="53">
        <f>COUNTIFS('00 Encuesta'!$B$2:$B$511,"*f)*",'00 Encuesta'!$C$2:$C$511,"*c)*",'00 Encuesta'!$E$2:$E$511,"*b)*",'00 Encuesta'!$BC$2:$BC$511,"*d)*")</f>
        <v>0</v>
      </c>
      <c r="Z438" s="52" t="e">
        <f>Y438/$X$7*100</f>
        <v>#DIV/0!</v>
      </c>
      <c r="AA438" s="3"/>
      <c r="AB438" s="62">
        <f>G438+N438+U438</f>
        <v>4</v>
      </c>
      <c r="AC438" s="52">
        <f>AB438*100/$AC$5</f>
        <v>9.5238095238095237</v>
      </c>
      <c r="AD438" s="3"/>
      <c r="AE438" s="3"/>
      <c r="AF438" s="9" t="str">
        <f t="shared" si="714"/>
        <v>d) Hay de todo tipo, pero predomina lo positivo</v>
      </c>
      <c r="AG438" s="72">
        <f>J438</f>
        <v>18.181818181818183</v>
      </c>
      <c r="AH438" s="72">
        <f>L438</f>
        <v>0</v>
      </c>
      <c r="AI438" s="73">
        <f>H438</f>
        <v>9.5238095238095237</v>
      </c>
      <c r="AJ438" s="73"/>
      <c r="AK438" s="76" t="e">
        <f>Q438</f>
        <v>#DIV/0!</v>
      </c>
      <c r="AL438" s="76" t="e">
        <f>S438</f>
        <v>#DIV/0!</v>
      </c>
      <c r="AM438" s="76" t="e">
        <f>O438</f>
        <v>#DIV/0!</v>
      </c>
      <c r="AN438" s="76"/>
      <c r="AO438" s="81" t="e">
        <f>X438</f>
        <v>#DIV/0!</v>
      </c>
      <c r="AP438" s="81" t="e">
        <f>Z438</f>
        <v>#DIV/0!</v>
      </c>
      <c r="AQ438" s="81" t="e">
        <f>V438</f>
        <v>#DIV/0!</v>
      </c>
      <c r="AR438" s="3"/>
      <c r="AS438" s="76">
        <f t="shared" si="688"/>
        <v>9.5238095238095237</v>
      </c>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row>
    <row r="439" spans="1:75" x14ac:dyDescent="0.3">
      <c r="A439" s="1" t="s">
        <v>22</v>
      </c>
      <c r="B439" s="2" t="s">
        <v>282</v>
      </c>
      <c r="C439" s="3"/>
      <c r="D439" s="3"/>
      <c r="E439" s="3"/>
      <c r="F439" s="4">
        <v>100</v>
      </c>
      <c r="G439" s="51">
        <f>I439+K439</f>
        <v>22</v>
      </c>
      <c r="H439" s="52">
        <f>G439/$J$5*100</f>
        <v>52.380952380952387</v>
      </c>
      <c r="I439" s="53">
        <f>COUNTIFS('00 Encuesta'!$B$2:$B$511,"*f)*",'00 Encuesta'!$C$2:$C$511,"*a)*",'00 Encuesta'!$E$2:$E$511,"*a)*",'00 Encuesta'!$BC$2:$BC$511,"*e)*")</f>
        <v>11</v>
      </c>
      <c r="J439" s="52">
        <f>I439/$J$6*100</f>
        <v>50</v>
      </c>
      <c r="K439" s="53">
        <f>COUNTIFS('00 Encuesta'!$B$2:$B$511,"*f)*",'00 Encuesta'!$C$2:$C$511,"*a)*",'00 Encuesta'!$E$2:$E$511,"*b)*",'00 Encuesta'!$BC$2:$BC$511,"*e)*")</f>
        <v>11</v>
      </c>
      <c r="L439" s="52">
        <f>K439/$J$7*100</f>
        <v>55.000000000000007</v>
      </c>
      <c r="M439" s="23"/>
      <c r="N439" s="51">
        <f>P439+R439</f>
        <v>0</v>
      </c>
      <c r="O439" s="52" t="e">
        <f>N439/$Q$5*100</f>
        <v>#DIV/0!</v>
      </c>
      <c r="P439" s="53">
        <f>COUNTIFS('00 Encuesta'!$B$2:$B$511,"*f)*",'00 Encuesta'!$C$2:$C$511,"*b)*",'00 Encuesta'!$E$2:$E$511,"*a)*",'00 Encuesta'!$BC$2:$BC$511,"*e)*")</f>
        <v>0</v>
      </c>
      <c r="Q439" s="52" t="e">
        <f>P439/$Q$6*100</f>
        <v>#DIV/0!</v>
      </c>
      <c r="R439" s="53">
        <f>COUNTIFS('00 Encuesta'!$B$2:$B$511,"*f)*",'00 Encuesta'!$C$2:$C$511,"*b)*",'00 Encuesta'!$E$2:$E$511,"*b)*",'00 Encuesta'!$BC$2:$BC$511,"*e)*")</f>
        <v>0</v>
      </c>
      <c r="S439" s="52" t="e">
        <f>R439/$Q$7*100</f>
        <v>#DIV/0!</v>
      </c>
      <c r="T439" s="3"/>
      <c r="U439" s="51">
        <f>W439+Y439</f>
        <v>0</v>
      </c>
      <c r="V439" s="52" t="e">
        <f>U439/$X$5*100</f>
        <v>#DIV/0!</v>
      </c>
      <c r="W439" s="53">
        <f>COUNTIFS('00 Encuesta'!$B$2:$B$511,"*f)*",'00 Encuesta'!$C$2:$C$511,"*c)*",'00 Encuesta'!$E$2:$E$511,"*a)*",'00 Encuesta'!$BC$2:$BC$511,"*e)*")</f>
        <v>0</v>
      </c>
      <c r="X439" s="52" t="e">
        <f>W439/$X$6*100</f>
        <v>#DIV/0!</v>
      </c>
      <c r="Y439" s="53">
        <f>COUNTIFS('00 Encuesta'!$B$2:$B$511,"*f)*",'00 Encuesta'!$C$2:$C$511,"*c)*",'00 Encuesta'!$E$2:$E$511,"*b)*",'00 Encuesta'!$BC$2:$BC$511,"*e)*")</f>
        <v>0</v>
      </c>
      <c r="Z439" s="52" t="e">
        <f>Y439/$X$7*100</f>
        <v>#DIV/0!</v>
      </c>
      <c r="AA439" s="3"/>
      <c r="AB439" s="62">
        <f>G439+N439+U439</f>
        <v>22</v>
      </c>
      <c r="AC439" s="52">
        <f>AB439*100/$AC$5</f>
        <v>52.38095238095238</v>
      </c>
      <c r="AD439" s="3"/>
      <c r="AE439" s="3"/>
      <c r="AF439" s="9" t="str">
        <f t="shared" si="714"/>
        <v>e) Son personas que me gustan y admiro</v>
      </c>
      <c r="AG439" s="72">
        <f>J439</f>
        <v>50</v>
      </c>
      <c r="AH439" s="72">
        <f>L439</f>
        <v>55.000000000000007</v>
      </c>
      <c r="AI439" s="73">
        <f>H439</f>
        <v>52.380952380952387</v>
      </c>
      <c r="AJ439" s="73"/>
      <c r="AK439" s="76" t="e">
        <f>Q439</f>
        <v>#DIV/0!</v>
      </c>
      <c r="AL439" s="76" t="e">
        <f>S439</f>
        <v>#DIV/0!</v>
      </c>
      <c r="AM439" s="76" t="e">
        <f>O439</f>
        <v>#DIV/0!</v>
      </c>
      <c r="AN439" s="76"/>
      <c r="AO439" s="81" t="e">
        <f>X439</f>
        <v>#DIV/0!</v>
      </c>
      <c r="AP439" s="81" t="e">
        <f>Z439</f>
        <v>#DIV/0!</v>
      </c>
      <c r="AQ439" s="81" t="e">
        <f>V439</f>
        <v>#DIV/0!</v>
      </c>
      <c r="AR439" s="3"/>
      <c r="AS439" s="76">
        <f t="shared" si="688"/>
        <v>52.38095238095238</v>
      </c>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row>
    <row r="440" spans="1:75" x14ac:dyDescent="0.3">
      <c r="A440" s="1"/>
      <c r="B440" s="2"/>
      <c r="C440" s="3"/>
      <c r="D440" s="3"/>
      <c r="E440" s="3"/>
      <c r="F440" s="7"/>
      <c r="G440" s="7"/>
      <c r="H440" s="7"/>
      <c r="I440" s="7"/>
      <c r="J440" s="7"/>
      <c r="K440" s="7"/>
      <c r="L440" s="7"/>
      <c r="M440" s="7"/>
      <c r="N440" s="7"/>
      <c r="O440" s="7"/>
      <c r="P440" s="7"/>
      <c r="Q440" s="7"/>
      <c r="R440" s="7"/>
      <c r="S440" s="7"/>
      <c r="T440" s="7"/>
      <c r="U440" s="7"/>
      <c r="V440" s="7"/>
      <c r="W440" s="7"/>
      <c r="X440" s="7"/>
      <c r="Y440" s="7"/>
      <c r="Z440" s="7"/>
      <c r="AA440" s="7"/>
      <c r="AB440" s="6"/>
      <c r="AC440" s="41"/>
      <c r="AD440" s="7"/>
      <c r="AE440" s="3"/>
      <c r="AF440" s="3"/>
      <c r="AG440" s="82">
        <f>($F439*I439+$F435*I435+$F436*I436+$F437*I437+$F438*I438)/(I439+I435+I436+I437+I438)</f>
        <v>81.25</v>
      </c>
      <c r="AH440" s="82">
        <f>($F439*K439+$F435*K435+$F436*K436+$F437*K437+$F438*K438)/(K439+K435+K436+K437+K438)</f>
        <v>71.25</v>
      </c>
      <c r="AI440" s="82">
        <f>($F439*G439+$F435*G435+$F436*G436+$F437*G437+$F438*G438)/(G439+G435+G436+G437+G438)</f>
        <v>76.25</v>
      </c>
      <c r="AJ440" s="82"/>
      <c r="AK440" s="82" t="e">
        <f>($F439*Q439+$F435*Q435+$F436*Q436+$F437*Q437+$F438*Q438)/(Q439+Q435+Q436+Q437+Q438)</f>
        <v>#DIV/0!</v>
      </c>
      <c r="AL440" s="82" t="e">
        <f>($F439*S439+$F435*S435+$F436*S436+$F437*S437+$F438*S438)/(S439+S435+S436+S437+S438)</f>
        <v>#DIV/0!</v>
      </c>
      <c r="AM440" s="82" t="e">
        <f>($F439*O439+$F435*O435+$F436*O436+$F437*O437+$F438*O438)/(O439+O435+O436+O437+O438)</f>
        <v>#DIV/0!</v>
      </c>
      <c r="AN440" s="82"/>
      <c r="AO440" s="82" t="e">
        <f>($F439*W439+$F435*W435+$F436*W436+$F437*W437+$F438*W438)/(W439+W435+W436+W437+W438)</f>
        <v>#DIV/0!</v>
      </c>
      <c r="AP440" s="82" t="e">
        <f>($F439*Y439+$F435*Y435+$F436*Y436+$F437*Y437+$F438*Y438)/(Y439+Y435+Y436+Y437+Y438)</f>
        <v>#DIV/0!</v>
      </c>
      <c r="AQ440" s="82" t="e">
        <f>($F439*U439+$F435*U435+$F436*U436+$F437*U437+$F438*U438)/(U439+U435+U436+U437+U438)</f>
        <v>#DIV/0!</v>
      </c>
      <c r="AR440" s="3"/>
      <c r="AS440" s="76"/>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row>
    <row r="441" spans="1:75" x14ac:dyDescent="0.3">
      <c r="A441" s="84">
        <v>50</v>
      </c>
      <c r="B441" s="2" t="s">
        <v>283</v>
      </c>
      <c r="C441" s="3"/>
      <c r="D441" s="3"/>
      <c r="E441" s="3"/>
      <c r="F441" s="4"/>
      <c r="G441" s="51"/>
      <c r="H441" s="52"/>
      <c r="I441" s="53"/>
      <c r="J441" s="52"/>
      <c r="K441" s="53"/>
      <c r="L441" s="66"/>
      <c r="M441" s="23"/>
      <c r="N441" s="51"/>
      <c r="O441" s="52"/>
      <c r="P441" s="53"/>
      <c r="Q441" s="52"/>
      <c r="R441" s="53"/>
      <c r="S441" s="66"/>
      <c r="T441" s="3"/>
      <c r="U441" s="51"/>
      <c r="V441" s="52"/>
      <c r="W441" s="53"/>
      <c r="X441" s="52"/>
      <c r="Y441" s="53"/>
      <c r="Z441" s="66"/>
      <c r="AA441" s="3"/>
      <c r="AB441" s="62"/>
      <c r="AC441" s="52"/>
      <c r="AD441" s="3"/>
      <c r="AE441" s="3"/>
      <c r="AF441" s="88" t="str">
        <f>A441&amp;" "&amp;B441</f>
        <v>50 Tegno CONFIANZA PARA HABLAR de las cosas importantes de mi vida con (V/R)</v>
      </c>
      <c r="AG441" s="3"/>
      <c r="AH441" s="3"/>
      <c r="AI441" s="3"/>
      <c r="AJ441" s="3"/>
      <c r="AK441" s="3"/>
      <c r="AL441" s="3"/>
      <c r="AM441" s="3"/>
      <c r="AN441" s="3"/>
      <c r="AO441" s="3"/>
      <c r="AP441" s="3"/>
      <c r="AQ441" s="3"/>
      <c r="AR441" s="3"/>
      <c r="AS441" s="76"/>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row>
    <row r="442" spans="1:75" x14ac:dyDescent="0.3">
      <c r="A442" s="1" t="s">
        <v>17</v>
      </c>
      <c r="B442" s="2" t="s">
        <v>284</v>
      </c>
      <c r="C442" s="3"/>
      <c r="D442" s="3"/>
      <c r="E442" s="3"/>
      <c r="F442" s="4"/>
      <c r="G442" s="51">
        <f t="shared" ref="G442:G452" si="715">I442+K442</f>
        <v>27</v>
      </c>
      <c r="H442" s="52">
        <f t="shared" ref="H442:H452" si="716">G442/$J$5*100</f>
        <v>64.285714285714292</v>
      </c>
      <c r="I442" s="53">
        <f>COUNTIFS('00 Encuesta'!$B$2:$B$511,"*f)*",'00 Encuesta'!$C$2:$C$511,"*a)*",'00 Encuesta'!$E$2:$E$511,"*a)*",'00 Encuesta'!$BD$2:$BD$511,"*a)*")</f>
        <v>17</v>
      </c>
      <c r="J442" s="52">
        <f t="shared" ref="J442:J452" si="717">I442/$J$6*100</f>
        <v>77.272727272727266</v>
      </c>
      <c r="K442" s="53">
        <f>COUNTIFS('00 Encuesta'!$B$2:$B$511,"*f)*",'00 Encuesta'!$C$2:$C$511,"*a)*",'00 Encuesta'!$E$2:$E$511,"*b)*",'00 Encuesta'!$BD$2:$BD$511,"*a)*")</f>
        <v>10</v>
      </c>
      <c r="L442" s="52">
        <f t="shared" ref="L442:L452" si="718">K442/$J$7*100</f>
        <v>50</v>
      </c>
      <c r="M442" s="23"/>
      <c r="N442" s="51">
        <f t="shared" ref="N442:N452" si="719">P442+R442</f>
        <v>0</v>
      </c>
      <c r="O442" s="52" t="e">
        <f t="shared" ref="O442:O452" si="720">N442/$Q$5*100</f>
        <v>#DIV/0!</v>
      </c>
      <c r="P442" s="53">
        <f>COUNTIFS('00 Encuesta'!$B$2:$B$511,"*f)*",'00 Encuesta'!$C$2:$C$511,"*b)*",'00 Encuesta'!$E$2:$E$511,"*a)*",'00 Encuesta'!$BD$2:$BD$511,"*a)*")</f>
        <v>0</v>
      </c>
      <c r="Q442" s="52" t="e">
        <f t="shared" ref="Q442:Q452" si="721">P442/$Q$6*100</f>
        <v>#DIV/0!</v>
      </c>
      <c r="R442" s="53">
        <f>COUNTIFS('00 Encuesta'!$B$2:$B$511,"*f)*",'00 Encuesta'!$C$2:$C$511,"*b)*",'00 Encuesta'!$E$2:$E$511,"*b)*",'00 Encuesta'!$BD$2:$BD$511,"*a)*")</f>
        <v>0</v>
      </c>
      <c r="S442" s="52" t="e">
        <f t="shared" ref="S442:S452" si="722">R442/$Q$7*100</f>
        <v>#DIV/0!</v>
      </c>
      <c r="T442" s="3"/>
      <c r="U442" s="51">
        <f t="shared" ref="U442:U452" si="723">W442+Y442</f>
        <v>0</v>
      </c>
      <c r="V442" s="52" t="e">
        <f t="shared" ref="V442:V452" si="724">U442/$X$5*100</f>
        <v>#DIV/0!</v>
      </c>
      <c r="W442" s="53">
        <f>COUNTIFS('00 Encuesta'!$B$2:$B$511,"*f)*",'00 Encuesta'!$C$2:$C$511,"*c)*",'00 Encuesta'!$E$2:$E$511,"*a)*",'00 Encuesta'!$BD$2:$BD$511,"*a)*")</f>
        <v>0</v>
      </c>
      <c r="X442" s="52" t="e">
        <f t="shared" ref="X442:X452" si="725">W442/$X$6*100</f>
        <v>#DIV/0!</v>
      </c>
      <c r="Y442" s="53">
        <f>COUNTIFS('00 Encuesta'!$B$2:$B$511,"*f)*",'00 Encuesta'!$C$2:$C$511,"*c)*",'00 Encuesta'!$E$2:$E$511,"*b)*",'00 Encuesta'!$BD$2:$BD$511,"*a)*")</f>
        <v>0</v>
      </c>
      <c r="Z442" s="52" t="e">
        <f t="shared" ref="Z442:Z452" si="726">Y442/$X$7*100</f>
        <v>#DIV/0!</v>
      </c>
      <c r="AA442" s="3"/>
      <c r="AB442" s="62">
        <f t="shared" ref="AB442:AB452" si="727">G442+N442+U442</f>
        <v>27</v>
      </c>
      <c r="AC442" s="52">
        <f t="shared" ref="AC442:AC452" si="728">AB442*100/$AC$5</f>
        <v>64.285714285714292</v>
      </c>
      <c r="AD442" s="3"/>
      <c r="AE442" s="3"/>
      <c r="AF442" s="9" t="str">
        <f t="shared" ref="AF442:AF452" si="729">A442&amp;" "&amp;B442</f>
        <v>a) Mi padre</v>
      </c>
      <c r="AG442" s="72">
        <f t="shared" ref="AG442:AG452" si="730">J442</f>
        <v>77.272727272727266</v>
      </c>
      <c r="AH442" s="72">
        <f t="shared" ref="AH442:AH452" si="731">L442</f>
        <v>50</v>
      </c>
      <c r="AI442" s="73">
        <f t="shared" ref="AI442:AI452" si="732">H442</f>
        <v>64.285714285714292</v>
      </c>
      <c r="AJ442" s="73"/>
      <c r="AK442" s="76" t="e">
        <f t="shared" ref="AK442:AK452" si="733">Q442</f>
        <v>#DIV/0!</v>
      </c>
      <c r="AL442" s="76" t="e">
        <f t="shared" ref="AL442:AL452" si="734">S442</f>
        <v>#DIV/0!</v>
      </c>
      <c r="AM442" s="76" t="e">
        <f t="shared" ref="AM442:AM452" si="735">O442</f>
        <v>#DIV/0!</v>
      </c>
      <c r="AN442" s="76"/>
      <c r="AO442" s="81" t="e">
        <f t="shared" ref="AO442:AO452" si="736">X442</f>
        <v>#DIV/0!</v>
      </c>
      <c r="AP442" s="81" t="e">
        <f t="shared" ref="AP442:AP452" si="737">Z442</f>
        <v>#DIV/0!</v>
      </c>
      <c r="AQ442" s="81" t="e">
        <f t="shared" ref="AQ442:AQ452" si="738">V442</f>
        <v>#DIV/0!</v>
      </c>
      <c r="AR442" s="3"/>
      <c r="AS442" s="76">
        <f t="shared" si="688"/>
        <v>64.285714285714292</v>
      </c>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row>
    <row r="443" spans="1:75" x14ac:dyDescent="0.3">
      <c r="A443" s="1" t="s">
        <v>18</v>
      </c>
      <c r="B443" s="2" t="s">
        <v>285</v>
      </c>
      <c r="C443" s="3"/>
      <c r="D443" s="3"/>
      <c r="E443" s="3"/>
      <c r="F443" s="4"/>
      <c r="G443" s="51">
        <f t="shared" si="715"/>
        <v>35</v>
      </c>
      <c r="H443" s="52">
        <f t="shared" si="716"/>
        <v>83.333333333333343</v>
      </c>
      <c r="I443" s="53">
        <f>COUNTIFS('00 Encuesta'!$B$2:$B$511,"*f)*",'00 Encuesta'!$C$2:$C$511,"*a)*",'00 Encuesta'!$E$2:$E$511,"*a)*",'00 Encuesta'!$BD$2:$BD$511,"*b)*")</f>
        <v>19</v>
      </c>
      <c r="J443" s="52">
        <f t="shared" si="717"/>
        <v>86.36363636363636</v>
      </c>
      <c r="K443" s="53">
        <f>COUNTIFS('00 Encuesta'!$B$2:$B$511,"*f)*",'00 Encuesta'!$C$2:$C$511,"*a)*",'00 Encuesta'!$E$2:$E$511,"*b)*",'00 Encuesta'!$BD$2:$BD$511,"*b)*")</f>
        <v>16</v>
      </c>
      <c r="L443" s="52">
        <f t="shared" si="718"/>
        <v>80</v>
      </c>
      <c r="M443" s="23"/>
      <c r="N443" s="51">
        <f t="shared" si="719"/>
        <v>0</v>
      </c>
      <c r="O443" s="52" t="e">
        <f t="shared" si="720"/>
        <v>#DIV/0!</v>
      </c>
      <c r="P443" s="53">
        <f>COUNTIFS('00 Encuesta'!$B$2:$B$511,"*f)*",'00 Encuesta'!$C$2:$C$511,"*b)*",'00 Encuesta'!$E$2:$E$511,"*a)*",'00 Encuesta'!$BD$2:$BD$511,"*b)*")</f>
        <v>0</v>
      </c>
      <c r="Q443" s="52" t="e">
        <f t="shared" si="721"/>
        <v>#DIV/0!</v>
      </c>
      <c r="R443" s="53">
        <f>COUNTIFS('00 Encuesta'!$B$2:$B$511,"*f)*",'00 Encuesta'!$C$2:$C$511,"*b)*",'00 Encuesta'!$E$2:$E$511,"*b)*",'00 Encuesta'!$BD$2:$BD$511,"*b)*")</f>
        <v>0</v>
      </c>
      <c r="S443" s="52" t="e">
        <f t="shared" si="722"/>
        <v>#DIV/0!</v>
      </c>
      <c r="T443" s="3"/>
      <c r="U443" s="51">
        <f t="shared" si="723"/>
        <v>0</v>
      </c>
      <c r="V443" s="52" t="e">
        <f t="shared" si="724"/>
        <v>#DIV/0!</v>
      </c>
      <c r="W443" s="53">
        <f>COUNTIFS('00 Encuesta'!$B$2:$B$511,"*f)*",'00 Encuesta'!$C$2:$C$511,"*c)*",'00 Encuesta'!$E$2:$E$511,"*a)*",'00 Encuesta'!$BD$2:$BD$511,"*b)*")</f>
        <v>0</v>
      </c>
      <c r="X443" s="52" t="e">
        <f t="shared" si="725"/>
        <v>#DIV/0!</v>
      </c>
      <c r="Y443" s="53">
        <f>COUNTIFS('00 Encuesta'!$B$2:$B$511,"*f)*",'00 Encuesta'!$C$2:$C$511,"*c)*",'00 Encuesta'!$E$2:$E$511,"*b)*",'00 Encuesta'!$BD$2:$BD$511,"*b)*")</f>
        <v>0</v>
      </c>
      <c r="Z443" s="52" t="e">
        <f t="shared" si="726"/>
        <v>#DIV/0!</v>
      </c>
      <c r="AA443" s="3"/>
      <c r="AB443" s="62">
        <f t="shared" si="727"/>
        <v>35</v>
      </c>
      <c r="AC443" s="52">
        <f t="shared" si="728"/>
        <v>83.333333333333329</v>
      </c>
      <c r="AD443" s="3"/>
      <c r="AE443" s="3"/>
      <c r="AF443" s="9" t="str">
        <f t="shared" si="729"/>
        <v>b) Mi madre</v>
      </c>
      <c r="AG443" s="72">
        <f t="shared" si="730"/>
        <v>86.36363636363636</v>
      </c>
      <c r="AH443" s="72">
        <f t="shared" si="731"/>
        <v>80</v>
      </c>
      <c r="AI443" s="73">
        <f t="shared" si="732"/>
        <v>83.333333333333343</v>
      </c>
      <c r="AJ443" s="73"/>
      <c r="AK443" s="76" t="e">
        <f t="shared" si="733"/>
        <v>#DIV/0!</v>
      </c>
      <c r="AL443" s="76" t="e">
        <f t="shared" si="734"/>
        <v>#DIV/0!</v>
      </c>
      <c r="AM443" s="76" t="e">
        <f t="shared" si="735"/>
        <v>#DIV/0!</v>
      </c>
      <c r="AN443" s="76"/>
      <c r="AO443" s="81" t="e">
        <f t="shared" si="736"/>
        <v>#DIV/0!</v>
      </c>
      <c r="AP443" s="81" t="e">
        <f t="shared" si="737"/>
        <v>#DIV/0!</v>
      </c>
      <c r="AQ443" s="81" t="e">
        <f t="shared" si="738"/>
        <v>#DIV/0!</v>
      </c>
      <c r="AR443" s="3"/>
      <c r="AS443" s="76">
        <f t="shared" si="688"/>
        <v>83.333333333333329</v>
      </c>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row>
    <row r="444" spans="1:75" x14ac:dyDescent="0.3">
      <c r="A444" s="1" t="s">
        <v>20</v>
      </c>
      <c r="B444" s="2" t="s">
        <v>286</v>
      </c>
      <c r="C444" s="3"/>
      <c r="D444" s="3"/>
      <c r="E444" s="3"/>
      <c r="F444" s="4"/>
      <c r="G444" s="51">
        <f t="shared" si="715"/>
        <v>26</v>
      </c>
      <c r="H444" s="52">
        <f t="shared" si="716"/>
        <v>61.904761904761905</v>
      </c>
      <c r="I444" s="53">
        <f>COUNTIFS('00 Encuesta'!$B$2:$B$511,"*f)*",'00 Encuesta'!$C$2:$C$511,"*a)*",'00 Encuesta'!$E$2:$E$511,"*a)*",'00 Encuesta'!$BD$2:$BD$511,"*c)*")</f>
        <v>16</v>
      </c>
      <c r="J444" s="52">
        <f t="shared" si="717"/>
        <v>72.727272727272734</v>
      </c>
      <c r="K444" s="53">
        <f>COUNTIFS('00 Encuesta'!$B$2:$B$511,"*f)*",'00 Encuesta'!$C$2:$C$511,"*a)*",'00 Encuesta'!$E$2:$E$511,"*b)*",'00 Encuesta'!$BD$2:$BD$511,"*c)*")</f>
        <v>10</v>
      </c>
      <c r="L444" s="52">
        <f t="shared" si="718"/>
        <v>50</v>
      </c>
      <c r="M444" s="23"/>
      <c r="N444" s="51">
        <f t="shared" si="719"/>
        <v>0</v>
      </c>
      <c r="O444" s="52" t="e">
        <f t="shared" si="720"/>
        <v>#DIV/0!</v>
      </c>
      <c r="P444" s="53">
        <f>COUNTIFS('00 Encuesta'!$B$2:$B$511,"*f)*",'00 Encuesta'!$C$2:$C$511,"*b)*",'00 Encuesta'!$E$2:$E$511,"*a)*",'00 Encuesta'!$BD$2:$BD$511,"*c)*")</f>
        <v>0</v>
      </c>
      <c r="Q444" s="52" t="e">
        <f t="shared" si="721"/>
        <v>#DIV/0!</v>
      </c>
      <c r="R444" s="53">
        <f>COUNTIFS('00 Encuesta'!$B$2:$B$511,"*f)*",'00 Encuesta'!$C$2:$C$511,"*b)*",'00 Encuesta'!$E$2:$E$511,"*b)*",'00 Encuesta'!$BD$2:$BD$511,"*c)*")</f>
        <v>0</v>
      </c>
      <c r="S444" s="52" t="e">
        <f t="shared" si="722"/>
        <v>#DIV/0!</v>
      </c>
      <c r="T444" s="3"/>
      <c r="U444" s="51">
        <f t="shared" si="723"/>
        <v>0</v>
      </c>
      <c r="V444" s="52" t="e">
        <f t="shared" si="724"/>
        <v>#DIV/0!</v>
      </c>
      <c r="W444" s="53">
        <f>COUNTIFS('00 Encuesta'!$B$2:$B$511,"*f)*",'00 Encuesta'!$C$2:$C$511,"*c)*",'00 Encuesta'!$E$2:$E$511,"*a)*",'00 Encuesta'!$BD$2:$BD$511,"*c)*")</f>
        <v>0</v>
      </c>
      <c r="X444" s="52" t="e">
        <f t="shared" si="725"/>
        <v>#DIV/0!</v>
      </c>
      <c r="Y444" s="53">
        <f>COUNTIFS('00 Encuesta'!$B$2:$B$511,"*f)*",'00 Encuesta'!$C$2:$C$511,"*c)*",'00 Encuesta'!$E$2:$E$511,"*b)*",'00 Encuesta'!$BD$2:$BD$511,"*c)*")</f>
        <v>0</v>
      </c>
      <c r="Z444" s="52" t="e">
        <f t="shared" si="726"/>
        <v>#DIV/0!</v>
      </c>
      <c r="AA444" s="3"/>
      <c r="AB444" s="62">
        <f t="shared" si="727"/>
        <v>26</v>
      </c>
      <c r="AC444" s="52">
        <f t="shared" si="728"/>
        <v>61.904761904761905</v>
      </c>
      <c r="AD444" s="3"/>
      <c r="AE444" s="3"/>
      <c r="AF444" s="9" t="str">
        <f t="shared" si="729"/>
        <v>c) Un hermano/a</v>
      </c>
      <c r="AG444" s="72">
        <f t="shared" si="730"/>
        <v>72.727272727272734</v>
      </c>
      <c r="AH444" s="72">
        <f t="shared" si="731"/>
        <v>50</v>
      </c>
      <c r="AI444" s="73">
        <f t="shared" si="732"/>
        <v>61.904761904761905</v>
      </c>
      <c r="AJ444" s="73"/>
      <c r="AK444" s="76" t="e">
        <f t="shared" si="733"/>
        <v>#DIV/0!</v>
      </c>
      <c r="AL444" s="76" t="e">
        <f t="shared" si="734"/>
        <v>#DIV/0!</v>
      </c>
      <c r="AM444" s="76" t="e">
        <f t="shared" si="735"/>
        <v>#DIV/0!</v>
      </c>
      <c r="AN444" s="76"/>
      <c r="AO444" s="81" t="e">
        <f t="shared" si="736"/>
        <v>#DIV/0!</v>
      </c>
      <c r="AP444" s="81" t="e">
        <f t="shared" si="737"/>
        <v>#DIV/0!</v>
      </c>
      <c r="AQ444" s="81" t="e">
        <f t="shared" si="738"/>
        <v>#DIV/0!</v>
      </c>
      <c r="AR444" s="3"/>
      <c r="AS444" s="76">
        <f t="shared" si="688"/>
        <v>61.904761904761905</v>
      </c>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row>
    <row r="445" spans="1:75" x14ac:dyDescent="0.3">
      <c r="A445" s="1" t="s">
        <v>21</v>
      </c>
      <c r="B445" s="2" t="s">
        <v>287</v>
      </c>
      <c r="C445" s="3"/>
      <c r="D445" s="3"/>
      <c r="E445" s="3"/>
      <c r="F445" s="4"/>
      <c r="G445" s="51">
        <f t="shared" si="715"/>
        <v>11</v>
      </c>
      <c r="H445" s="52">
        <f t="shared" si="716"/>
        <v>26.190476190476193</v>
      </c>
      <c r="I445" s="53">
        <f>COUNTIFS('00 Encuesta'!$B$2:$B$511,"*f)*",'00 Encuesta'!$C$2:$C$511,"*a)*",'00 Encuesta'!$E$2:$E$511,"*a)*",'00 Encuesta'!$BD$2:$BD$511,"*d)*")</f>
        <v>7</v>
      </c>
      <c r="J445" s="52">
        <f t="shared" si="717"/>
        <v>31.818181818181817</v>
      </c>
      <c r="K445" s="53">
        <f>COUNTIFS('00 Encuesta'!$B$2:$B$511,"*f)*",'00 Encuesta'!$C$2:$C$511,"*a)*",'00 Encuesta'!$E$2:$E$511,"*b)*",'00 Encuesta'!$BD$2:$BD$511,"*d)*")</f>
        <v>4</v>
      </c>
      <c r="L445" s="52">
        <f t="shared" si="718"/>
        <v>20</v>
      </c>
      <c r="M445" s="23"/>
      <c r="N445" s="51">
        <f t="shared" si="719"/>
        <v>0</v>
      </c>
      <c r="O445" s="52" t="e">
        <f t="shared" si="720"/>
        <v>#DIV/0!</v>
      </c>
      <c r="P445" s="53">
        <f>COUNTIFS('00 Encuesta'!$B$2:$B$511,"*f)*",'00 Encuesta'!$C$2:$C$511,"*b)*",'00 Encuesta'!$E$2:$E$511,"*a)*",'00 Encuesta'!$BD$2:$BD$511,"*d)*")</f>
        <v>0</v>
      </c>
      <c r="Q445" s="52" t="e">
        <f t="shared" si="721"/>
        <v>#DIV/0!</v>
      </c>
      <c r="R445" s="53">
        <f>COUNTIFS('00 Encuesta'!$B$2:$B$511,"*f)*",'00 Encuesta'!$C$2:$C$511,"*b)*",'00 Encuesta'!$E$2:$E$511,"*b)*",'00 Encuesta'!$BD$2:$BD$511,"*d)*")</f>
        <v>0</v>
      </c>
      <c r="S445" s="52" t="e">
        <f t="shared" si="722"/>
        <v>#DIV/0!</v>
      </c>
      <c r="T445" s="3"/>
      <c r="U445" s="51">
        <f t="shared" si="723"/>
        <v>0</v>
      </c>
      <c r="V445" s="52" t="e">
        <f t="shared" si="724"/>
        <v>#DIV/0!</v>
      </c>
      <c r="W445" s="53">
        <f>COUNTIFS('00 Encuesta'!$B$2:$B$511,"*f)*",'00 Encuesta'!$C$2:$C$511,"*c)*",'00 Encuesta'!$E$2:$E$511,"*a)*",'00 Encuesta'!$BD$2:$BD$511,"*d)*")</f>
        <v>0</v>
      </c>
      <c r="X445" s="52" t="e">
        <f t="shared" si="725"/>
        <v>#DIV/0!</v>
      </c>
      <c r="Y445" s="53">
        <f>COUNTIFS('00 Encuesta'!$B$2:$B$511,"*f)*",'00 Encuesta'!$C$2:$C$511,"*c)*",'00 Encuesta'!$E$2:$E$511,"*b)*",'00 Encuesta'!$BD$2:$BD$511,"*d)*")</f>
        <v>0</v>
      </c>
      <c r="Z445" s="52" t="e">
        <f t="shared" si="726"/>
        <v>#DIV/0!</v>
      </c>
      <c r="AA445" s="3"/>
      <c r="AB445" s="62">
        <f t="shared" si="727"/>
        <v>11</v>
      </c>
      <c r="AC445" s="52">
        <f t="shared" si="728"/>
        <v>26.19047619047619</v>
      </c>
      <c r="AD445" s="3"/>
      <c r="AE445" s="3"/>
      <c r="AF445" s="9" t="str">
        <f t="shared" si="729"/>
        <v>d) Un escolapio, religioso o religiosa</v>
      </c>
      <c r="AG445" s="72">
        <f t="shared" si="730"/>
        <v>31.818181818181817</v>
      </c>
      <c r="AH445" s="72">
        <f t="shared" si="731"/>
        <v>20</v>
      </c>
      <c r="AI445" s="73">
        <f t="shared" si="732"/>
        <v>26.190476190476193</v>
      </c>
      <c r="AJ445" s="73"/>
      <c r="AK445" s="76" t="e">
        <f t="shared" si="733"/>
        <v>#DIV/0!</v>
      </c>
      <c r="AL445" s="76" t="e">
        <f t="shared" si="734"/>
        <v>#DIV/0!</v>
      </c>
      <c r="AM445" s="76" t="e">
        <f t="shared" si="735"/>
        <v>#DIV/0!</v>
      </c>
      <c r="AN445" s="76"/>
      <c r="AO445" s="81" t="e">
        <f t="shared" si="736"/>
        <v>#DIV/0!</v>
      </c>
      <c r="AP445" s="81" t="e">
        <f t="shared" si="737"/>
        <v>#DIV/0!</v>
      </c>
      <c r="AQ445" s="81" t="e">
        <f t="shared" si="738"/>
        <v>#DIV/0!</v>
      </c>
      <c r="AR445" s="3"/>
      <c r="AS445" s="76">
        <f t="shared" si="688"/>
        <v>26.19047619047619</v>
      </c>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row>
    <row r="446" spans="1:75" x14ac:dyDescent="0.3">
      <c r="A446" s="1" t="s">
        <v>22</v>
      </c>
      <c r="B446" s="2" t="s">
        <v>288</v>
      </c>
      <c r="C446" s="3"/>
      <c r="D446" s="3"/>
      <c r="E446" s="3"/>
      <c r="F446" s="4"/>
      <c r="G446" s="51">
        <f t="shared" si="715"/>
        <v>13</v>
      </c>
      <c r="H446" s="52">
        <f t="shared" si="716"/>
        <v>30.952380952380953</v>
      </c>
      <c r="I446" s="53">
        <f>COUNTIFS('00 Encuesta'!$B$2:$B$511,"*f)*",'00 Encuesta'!$C$2:$C$511,"*a)*",'00 Encuesta'!$E$2:$E$511,"*a)*",'00 Encuesta'!$BD$2:$BD$511,"*e)*")</f>
        <v>7</v>
      </c>
      <c r="J446" s="52">
        <f t="shared" si="717"/>
        <v>31.818181818181817</v>
      </c>
      <c r="K446" s="53">
        <f>COUNTIFS('00 Encuesta'!$B$2:$B$511,"*f)*",'00 Encuesta'!$C$2:$C$511,"*a)*",'00 Encuesta'!$E$2:$E$511,"*b)*",'00 Encuesta'!$BD$2:$BD$511,"*e)*")</f>
        <v>6</v>
      </c>
      <c r="L446" s="52">
        <f t="shared" si="718"/>
        <v>30</v>
      </c>
      <c r="M446" s="23"/>
      <c r="N446" s="51">
        <f t="shared" si="719"/>
        <v>0</v>
      </c>
      <c r="O446" s="52" t="e">
        <f t="shared" si="720"/>
        <v>#DIV/0!</v>
      </c>
      <c r="P446" s="53">
        <f>COUNTIFS('00 Encuesta'!$B$2:$B$511,"*f)*",'00 Encuesta'!$C$2:$C$511,"*b)*",'00 Encuesta'!$E$2:$E$511,"*a)*",'00 Encuesta'!$BD$2:$BD$511,"*e)*")</f>
        <v>0</v>
      </c>
      <c r="Q446" s="52" t="e">
        <f t="shared" si="721"/>
        <v>#DIV/0!</v>
      </c>
      <c r="R446" s="53">
        <f>COUNTIFS('00 Encuesta'!$B$2:$B$511,"*f)*",'00 Encuesta'!$C$2:$C$511,"*b)*",'00 Encuesta'!$E$2:$E$511,"*b)*",'00 Encuesta'!$BD$2:$BD$511,"*e)*")</f>
        <v>0</v>
      </c>
      <c r="S446" s="52" t="e">
        <f t="shared" si="722"/>
        <v>#DIV/0!</v>
      </c>
      <c r="T446" s="3"/>
      <c r="U446" s="51">
        <f t="shared" si="723"/>
        <v>0</v>
      </c>
      <c r="V446" s="52" t="e">
        <f t="shared" si="724"/>
        <v>#DIV/0!</v>
      </c>
      <c r="W446" s="53">
        <f>COUNTIFS('00 Encuesta'!$B$2:$B$511,"*f)*",'00 Encuesta'!$C$2:$C$511,"*c)*",'00 Encuesta'!$E$2:$E$511,"*a)*",'00 Encuesta'!$BD$2:$BD$511,"*e)*")</f>
        <v>0</v>
      </c>
      <c r="X446" s="52" t="e">
        <f t="shared" si="725"/>
        <v>#DIV/0!</v>
      </c>
      <c r="Y446" s="53">
        <f>COUNTIFS('00 Encuesta'!$B$2:$B$511,"*f)*",'00 Encuesta'!$C$2:$C$511,"*c)*",'00 Encuesta'!$E$2:$E$511,"*b)*",'00 Encuesta'!$BD$2:$BD$511,"*e)*")</f>
        <v>0</v>
      </c>
      <c r="Z446" s="52" t="e">
        <f t="shared" si="726"/>
        <v>#DIV/0!</v>
      </c>
      <c r="AA446" s="3"/>
      <c r="AB446" s="62">
        <f t="shared" si="727"/>
        <v>13</v>
      </c>
      <c r="AC446" s="52">
        <f t="shared" si="728"/>
        <v>30.952380952380953</v>
      </c>
      <c r="AD446" s="3"/>
      <c r="AE446" s="3"/>
      <c r="AF446" s="9" t="str">
        <f t="shared" si="729"/>
        <v>e) Una, una docente</v>
      </c>
      <c r="AG446" s="72">
        <f t="shared" si="730"/>
        <v>31.818181818181817</v>
      </c>
      <c r="AH446" s="72">
        <f t="shared" si="731"/>
        <v>30</v>
      </c>
      <c r="AI446" s="73">
        <f t="shared" si="732"/>
        <v>30.952380952380953</v>
      </c>
      <c r="AJ446" s="73"/>
      <c r="AK446" s="76" t="e">
        <f t="shared" si="733"/>
        <v>#DIV/0!</v>
      </c>
      <c r="AL446" s="76" t="e">
        <f t="shared" si="734"/>
        <v>#DIV/0!</v>
      </c>
      <c r="AM446" s="76" t="e">
        <f t="shared" si="735"/>
        <v>#DIV/0!</v>
      </c>
      <c r="AN446" s="76"/>
      <c r="AO446" s="81" t="e">
        <f t="shared" si="736"/>
        <v>#DIV/0!</v>
      </c>
      <c r="AP446" s="81" t="e">
        <f t="shared" si="737"/>
        <v>#DIV/0!</v>
      </c>
      <c r="AQ446" s="81" t="e">
        <f t="shared" si="738"/>
        <v>#DIV/0!</v>
      </c>
      <c r="AR446" s="3"/>
      <c r="AS446" s="76">
        <f t="shared" si="688"/>
        <v>30.952380952380953</v>
      </c>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row>
    <row r="447" spans="1:75" x14ac:dyDescent="0.3">
      <c r="A447" s="1" t="s">
        <v>45</v>
      </c>
      <c r="B447" s="2" t="s">
        <v>289</v>
      </c>
      <c r="C447" s="3"/>
      <c r="D447" s="3"/>
      <c r="E447" s="3"/>
      <c r="F447" s="4"/>
      <c r="G447" s="51">
        <f t="shared" si="715"/>
        <v>7</v>
      </c>
      <c r="H447" s="52">
        <f t="shared" si="716"/>
        <v>16.666666666666664</v>
      </c>
      <c r="I447" s="53">
        <f>COUNTIFS('00 Encuesta'!$B$2:$B$511,"*f)*",'00 Encuesta'!$C$2:$C$511,"*a)*",'00 Encuesta'!$E$2:$E$511,"*a)*",'00 Encuesta'!$BD$2:$BD$511,"*f)*")</f>
        <v>4</v>
      </c>
      <c r="J447" s="52">
        <f t="shared" si="717"/>
        <v>18.181818181818183</v>
      </c>
      <c r="K447" s="53">
        <f>COUNTIFS('00 Encuesta'!$B$2:$B$511,"*f)*",'00 Encuesta'!$C$2:$C$511,"*a)*",'00 Encuesta'!$E$2:$E$511,"*b)*",'00 Encuesta'!$BD$2:$BD$511,"*f)*")</f>
        <v>3</v>
      </c>
      <c r="L447" s="52">
        <f t="shared" si="718"/>
        <v>15</v>
      </c>
      <c r="M447" s="23"/>
      <c r="N447" s="51">
        <f t="shared" si="719"/>
        <v>0</v>
      </c>
      <c r="O447" s="52" t="e">
        <f t="shared" si="720"/>
        <v>#DIV/0!</v>
      </c>
      <c r="P447" s="53">
        <f>COUNTIFS('00 Encuesta'!$B$2:$B$511,"*f)*",'00 Encuesta'!$C$2:$C$511,"*b)*",'00 Encuesta'!$E$2:$E$511,"*a)*",'00 Encuesta'!$BD$2:$BD$511,"*f)*")</f>
        <v>0</v>
      </c>
      <c r="Q447" s="52" t="e">
        <f t="shared" si="721"/>
        <v>#DIV/0!</v>
      </c>
      <c r="R447" s="53">
        <f>COUNTIFS('00 Encuesta'!$B$2:$B$511,"*f)*",'00 Encuesta'!$C$2:$C$511,"*b)*",'00 Encuesta'!$E$2:$E$511,"*b)*",'00 Encuesta'!$BD$2:$BD$511,"*f)*")</f>
        <v>0</v>
      </c>
      <c r="S447" s="52" t="e">
        <f t="shared" si="722"/>
        <v>#DIV/0!</v>
      </c>
      <c r="T447" s="3"/>
      <c r="U447" s="51">
        <f t="shared" si="723"/>
        <v>0</v>
      </c>
      <c r="V447" s="52" t="e">
        <f t="shared" si="724"/>
        <v>#DIV/0!</v>
      </c>
      <c r="W447" s="53">
        <f>COUNTIFS('00 Encuesta'!$B$2:$B$511,"*f)*",'00 Encuesta'!$C$2:$C$511,"*c)*",'00 Encuesta'!$E$2:$E$511,"*a)*",'00 Encuesta'!$BD$2:$BD$511,"*f)*")</f>
        <v>0</v>
      </c>
      <c r="X447" s="52" t="e">
        <f t="shared" si="725"/>
        <v>#DIV/0!</v>
      </c>
      <c r="Y447" s="53">
        <f>COUNTIFS('00 Encuesta'!$B$2:$B$511,"*f)*",'00 Encuesta'!$C$2:$C$511,"*c)*",'00 Encuesta'!$E$2:$E$511,"*b)*",'00 Encuesta'!$BD$2:$BD$511,"*f)*")</f>
        <v>0</v>
      </c>
      <c r="Z447" s="52" t="e">
        <f t="shared" si="726"/>
        <v>#DIV/0!</v>
      </c>
      <c r="AA447" s="3"/>
      <c r="AB447" s="62">
        <f t="shared" si="727"/>
        <v>7</v>
      </c>
      <c r="AC447" s="52">
        <f t="shared" si="728"/>
        <v>16.666666666666668</v>
      </c>
      <c r="AD447" s="3"/>
      <c r="AE447" s="3"/>
      <c r="AF447" s="9" t="str">
        <f t="shared" si="729"/>
        <v>f) La orientadora</v>
      </c>
      <c r="AG447" s="72">
        <f t="shared" si="730"/>
        <v>18.181818181818183</v>
      </c>
      <c r="AH447" s="72">
        <f t="shared" si="731"/>
        <v>15</v>
      </c>
      <c r="AI447" s="73">
        <f t="shared" si="732"/>
        <v>16.666666666666664</v>
      </c>
      <c r="AJ447" s="73"/>
      <c r="AK447" s="76" t="e">
        <f t="shared" si="733"/>
        <v>#DIV/0!</v>
      </c>
      <c r="AL447" s="76" t="e">
        <f t="shared" si="734"/>
        <v>#DIV/0!</v>
      </c>
      <c r="AM447" s="76" t="e">
        <f t="shared" si="735"/>
        <v>#DIV/0!</v>
      </c>
      <c r="AN447" s="76"/>
      <c r="AO447" s="81" t="e">
        <f t="shared" si="736"/>
        <v>#DIV/0!</v>
      </c>
      <c r="AP447" s="81" t="e">
        <f t="shared" si="737"/>
        <v>#DIV/0!</v>
      </c>
      <c r="AQ447" s="81" t="e">
        <f t="shared" si="738"/>
        <v>#DIV/0!</v>
      </c>
      <c r="AR447" s="3"/>
      <c r="AS447" s="76">
        <f t="shared" si="688"/>
        <v>16.666666666666668</v>
      </c>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row>
    <row r="448" spans="1:75" x14ac:dyDescent="0.3">
      <c r="A448" s="1" t="s">
        <v>61</v>
      </c>
      <c r="B448" s="2" t="s">
        <v>290</v>
      </c>
      <c r="C448" s="3"/>
      <c r="D448" s="3"/>
      <c r="E448" s="3"/>
      <c r="F448" s="4"/>
      <c r="G448" s="51">
        <f t="shared" si="715"/>
        <v>19</v>
      </c>
      <c r="H448" s="52">
        <f t="shared" si="716"/>
        <v>45.238095238095241</v>
      </c>
      <c r="I448" s="53">
        <f>COUNTIFS('00 Encuesta'!$B$2:$B$511,"*f)*",'00 Encuesta'!$C$2:$C$511,"*a)*",'00 Encuesta'!$E$2:$E$511,"*a)*",'00 Encuesta'!$BD$2:$BD$511,"*g)*")</f>
        <v>10</v>
      </c>
      <c r="J448" s="52">
        <f t="shared" si="717"/>
        <v>45.454545454545453</v>
      </c>
      <c r="K448" s="53">
        <f>COUNTIFS('00 Encuesta'!$B$2:$B$511,"*f)*",'00 Encuesta'!$C$2:$C$511,"*a)*",'00 Encuesta'!$E$2:$E$511,"*b)*",'00 Encuesta'!$BD$2:$BD$511,"*g)*")</f>
        <v>9</v>
      </c>
      <c r="L448" s="52">
        <f t="shared" si="718"/>
        <v>45</v>
      </c>
      <c r="M448" s="23"/>
      <c r="N448" s="51">
        <f t="shared" si="719"/>
        <v>0</v>
      </c>
      <c r="O448" s="52" t="e">
        <f t="shared" si="720"/>
        <v>#DIV/0!</v>
      </c>
      <c r="P448" s="53">
        <f>COUNTIFS('00 Encuesta'!$B$2:$B$511,"*f)*",'00 Encuesta'!$C$2:$C$511,"*b)*",'00 Encuesta'!$E$2:$E$511,"*a)*",'00 Encuesta'!$BD$2:$BD$511,"*g)*")</f>
        <v>0</v>
      </c>
      <c r="Q448" s="52" t="e">
        <f t="shared" si="721"/>
        <v>#DIV/0!</v>
      </c>
      <c r="R448" s="53">
        <f>COUNTIFS('00 Encuesta'!$B$2:$B$511,"*f)*",'00 Encuesta'!$C$2:$C$511,"*b)*",'00 Encuesta'!$E$2:$E$511,"*b)*",'00 Encuesta'!$BD$2:$BD$511,"*g)*")</f>
        <v>0</v>
      </c>
      <c r="S448" s="52" t="e">
        <f t="shared" si="722"/>
        <v>#DIV/0!</v>
      </c>
      <c r="T448" s="3"/>
      <c r="U448" s="51">
        <f t="shared" si="723"/>
        <v>0</v>
      </c>
      <c r="V448" s="52" t="e">
        <f t="shared" si="724"/>
        <v>#DIV/0!</v>
      </c>
      <c r="W448" s="53">
        <f>COUNTIFS('00 Encuesta'!$B$2:$B$511,"*f)*",'00 Encuesta'!$C$2:$C$511,"*c)*",'00 Encuesta'!$E$2:$E$511,"*a)*",'00 Encuesta'!$BD$2:$BD$511,"*g)*")</f>
        <v>0</v>
      </c>
      <c r="X448" s="52" t="e">
        <f t="shared" si="725"/>
        <v>#DIV/0!</v>
      </c>
      <c r="Y448" s="53">
        <f>COUNTIFS('00 Encuesta'!$B$2:$B$511,"*f)*",'00 Encuesta'!$C$2:$C$511,"*c)*",'00 Encuesta'!$E$2:$E$511,"*b)*",'00 Encuesta'!$BD$2:$BD$511,"*g)*")</f>
        <v>0</v>
      </c>
      <c r="Z448" s="52" t="e">
        <f t="shared" si="726"/>
        <v>#DIV/0!</v>
      </c>
      <c r="AA448" s="3"/>
      <c r="AB448" s="62">
        <f t="shared" si="727"/>
        <v>19</v>
      </c>
      <c r="AC448" s="52">
        <f t="shared" si="728"/>
        <v>45.238095238095241</v>
      </c>
      <c r="AD448" s="3"/>
      <c r="AE448" s="3"/>
      <c r="AF448" s="9" t="str">
        <f t="shared" si="729"/>
        <v>g) Un amigo</v>
      </c>
      <c r="AG448" s="72">
        <f t="shared" si="730"/>
        <v>45.454545454545453</v>
      </c>
      <c r="AH448" s="72">
        <f t="shared" si="731"/>
        <v>45</v>
      </c>
      <c r="AI448" s="73">
        <f t="shared" si="732"/>
        <v>45.238095238095241</v>
      </c>
      <c r="AJ448" s="73"/>
      <c r="AK448" s="76" t="e">
        <f t="shared" si="733"/>
        <v>#DIV/0!</v>
      </c>
      <c r="AL448" s="76" t="e">
        <f t="shared" si="734"/>
        <v>#DIV/0!</v>
      </c>
      <c r="AM448" s="76" t="e">
        <f t="shared" si="735"/>
        <v>#DIV/0!</v>
      </c>
      <c r="AN448" s="76"/>
      <c r="AO448" s="81" t="e">
        <f t="shared" si="736"/>
        <v>#DIV/0!</v>
      </c>
      <c r="AP448" s="81" t="e">
        <f t="shared" si="737"/>
        <v>#DIV/0!</v>
      </c>
      <c r="AQ448" s="81" t="e">
        <f t="shared" si="738"/>
        <v>#DIV/0!</v>
      </c>
      <c r="AR448" s="3"/>
      <c r="AS448" s="76">
        <f t="shared" si="688"/>
        <v>45.238095238095241</v>
      </c>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row>
    <row r="449" spans="1:75" x14ac:dyDescent="0.3">
      <c r="A449" s="1" t="s">
        <v>63</v>
      </c>
      <c r="B449" s="2" t="s">
        <v>291</v>
      </c>
      <c r="C449" s="3"/>
      <c r="D449" s="3"/>
      <c r="E449" s="3"/>
      <c r="F449" s="4"/>
      <c r="G449" s="51">
        <f t="shared" si="715"/>
        <v>24</v>
      </c>
      <c r="H449" s="52">
        <f t="shared" si="716"/>
        <v>57.142857142857139</v>
      </c>
      <c r="I449" s="53">
        <f>COUNTIFS('00 Encuesta'!$B$2:$B$511,"*f)*",'00 Encuesta'!$C$2:$C$511,"*a)*",'00 Encuesta'!$E$2:$E$511,"*a)*",'00 Encuesta'!$BD$2:$BD$511,"*h)*")</f>
        <v>9</v>
      </c>
      <c r="J449" s="52">
        <f t="shared" si="717"/>
        <v>40.909090909090914</v>
      </c>
      <c r="K449" s="53">
        <f>COUNTIFS('00 Encuesta'!$B$2:$B$511,"*f)*",'00 Encuesta'!$C$2:$C$511,"*a)*",'00 Encuesta'!$E$2:$E$511,"*b)*",'00 Encuesta'!$BD$2:$BD$511,"*h)*")</f>
        <v>15</v>
      </c>
      <c r="L449" s="52">
        <f t="shared" si="718"/>
        <v>75</v>
      </c>
      <c r="M449" s="23"/>
      <c r="N449" s="51">
        <f t="shared" si="719"/>
        <v>0</v>
      </c>
      <c r="O449" s="52" t="e">
        <f t="shared" si="720"/>
        <v>#DIV/0!</v>
      </c>
      <c r="P449" s="53">
        <f>COUNTIFS('00 Encuesta'!$B$2:$B$511,"*f)*",'00 Encuesta'!$C$2:$C$511,"*b)*",'00 Encuesta'!$E$2:$E$511,"*a)*",'00 Encuesta'!$BD$2:$BD$511,"*h)*")</f>
        <v>0</v>
      </c>
      <c r="Q449" s="52" t="e">
        <f t="shared" si="721"/>
        <v>#DIV/0!</v>
      </c>
      <c r="R449" s="53">
        <f>COUNTIFS('00 Encuesta'!$B$2:$B$511,"*f)*",'00 Encuesta'!$C$2:$C$511,"*b)*",'00 Encuesta'!$E$2:$E$511,"*b)*",'00 Encuesta'!$BD$2:$BD$511,"*h)*")</f>
        <v>0</v>
      </c>
      <c r="S449" s="52" t="e">
        <f t="shared" si="722"/>
        <v>#DIV/0!</v>
      </c>
      <c r="T449" s="3"/>
      <c r="U449" s="51">
        <f t="shared" si="723"/>
        <v>0</v>
      </c>
      <c r="V449" s="52" t="e">
        <f t="shared" si="724"/>
        <v>#DIV/0!</v>
      </c>
      <c r="W449" s="53">
        <f>COUNTIFS('00 Encuesta'!$B$2:$B$511,"*f)*",'00 Encuesta'!$C$2:$C$511,"*c)*",'00 Encuesta'!$E$2:$E$511,"*a)*",'00 Encuesta'!$BD$2:$BD$511,"*h)*")</f>
        <v>0</v>
      </c>
      <c r="X449" s="52" t="e">
        <f t="shared" si="725"/>
        <v>#DIV/0!</v>
      </c>
      <c r="Y449" s="53">
        <f>COUNTIFS('00 Encuesta'!$B$2:$B$511,"*f)*",'00 Encuesta'!$C$2:$C$511,"*c)*",'00 Encuesta'!$E$2:$E$511,"*b)*",'00 Encuesta'!$BD$2:$BD$511,"*h)*")</f>
        <v>0</v>
      </c>
      <c r="Z449" s="52" t="e">
        <f t="shared" si="726"/>
        <v>#DIV/0!</v>
      </c>
      <c r="AA449" s="3"/>
      <c r="AB449" s="62">
        <f t="shared" si="727"/>
        <v>24</v>
      </c>
      <c r="AC449" s="52">
        <f t="shared" si="728"/>
        <v>57.142857142857146</v>
      </c>
      <c r="AD449" s="3"/>
      <c r="AE449" s="3"/>
      <c r="AF449" s="9" t="str">
        <f t="shared" si="729"/>
        <v>h) Una amiga</v>
      </c>
      <c r="AG449" s="72">
        <f t="shared" si="730"/>
        <v>40.909090909090914</v>
      </c>
      <c r="AH449" s="72">
        <f t="shared" si="731"/>
        <v>75</v>
      </c>
      <c r="AI449" s="73">
        <f t="shared" si="732"/>
        <v>57.142857142857139</v>
      </c>
      <c r="AJ449" s="73"/>
      <c r="AK449" s="76" t="e">
        <f t="shared" si="733"/>
        <v>#DIV/0!</v>
      </c>
      <c r="AL449" s="76" t="e">
        <f t="shared" si="734"/>
        <v>#DIV/0!</v>
      </c>
      <c r="AM449" s="76" t="e">
        <f t="shared" si="735"/>
        <v>#DIV/0!</v>
      </c>
      <c r="AN449" s="76"/>
      <c r="AO449" s="81" t="e">
        <f t="shared" si="736"/>
        <v>#DIV/0!</v>
      </c>
      <c r="AP449" s="81" t="e">
        <f t="shared" si="737"/>
        <v>#DIV/0!</v>
      </c>
      <c r="AQ449" s="81" t="e">
        <f t="shared" si="738"/>
        <v>#DIV/0!</v>
      </c>
      <c r="AR449" s="3"/>
      <c r="AS449" s="76">
        <f t="shared" si="688"/>
        <v>57.142857142857146</v>
      </c>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row>
    <row r="450" spans="1:75" x14ac:dyDescent="0.3">
      <c r="A450" s="1" t="s">
        <v>65</v>
      </c>
      <c r="B450" s="2" t="s">
        <v>292</v>
      </c>
      <c r="C450" s="3"/>
      <c r="D450" s="3"/>
      <c r="E450" s="3"/>
      <c r="F450" s="4"/>
      <c r="G450" s="51">
        <f t="shared" si="715"/>
        <v>6</v>
      </c>
      <c r="H450" s="52">
        <f t="shared" si="716"/>
        <v>14.285714285714285</v>
      </c>
      <c r="I450" s="53">
        <f>COUNTIFS('00 Encuesta'!$B$2:$B$511,"*f)*",'00 Encuesta'!$C$2:$C$511,"*a)*",'00 Encuesta'!$E$2:$E$511,"*a)*",'00 Encuesta'!$BD$2:$BD$511,"*i)*")</f>
        <v>4</v>
      </c>
      <c r="J450" s="52">
        <f t="shared" si="717"/>
        <v>18.181818181818183</v>
      </c>
      <c r="K450" s="53">
        <f>COUNTIFS('00 Encuesta'!$B$2:$B$511,"*f)*",'00 Encuesta'!$C$2:$C$511,"*a)*",'00 Encuesta'!$E$2:$E$511,"*b)*",'00 Encuesta'!$BD$2:$BD$511,"*i)*")</f>
        <v>2</v>
      </c>
      <c r="L450" s="52">
        <f t="shared" si="718"/>
        <v>10</v>
      </c>
      <c r="M450" s="23"/>
      <c r="N450" s="51">
        <f t="shared" si="719"/>
        <v>0</v>
      </c>
      <c r="O450" s="52" t="e">
        <f t="shared" si="720"/>
        <v>#DIV/0!</v>
      </c>
      <c r="P450" s="53">
        <f>COUNTIFS('00 Encuesta'!$B$2:$B$511,"*f)*",'00 Encuesta'!$C$2:$C$511,"*b)*",'00 Encuesta'!$E$2:$E$511,"*a)*",'00 Encuesta'!$BD$2:$BD$511,"*i)*")</f>
        <v>0</v>
      </c>
      <c r="Q450" s="52" t="e">
        <f t="shared" si="721"/>
        <v>#DIV/0!</v>
      </c>
      <c r="R450" s="53">
        <f>COUNTIFS('00 Encuesta'!$B$2:$B$511,"*f)*",'00 Encuesta'!$C$2:$C$511,"*b)*",'00 Encuesta'!$E$2:$E$511,"*b)*",'00 Encuesta'!$BD$2:$BD$511,"*i)*")</f>
        <v>0</v>
      </c>
      <c r="S450" s="52" t="e">
        <f t="shared" si="722"/>
        <v>#DIV/0!</v>
      </c>
      <c r="T450" s="3"/>
      <c r="U450" s="51">
        <f t="shared" si="723"/>
        <v>0</v>
      </c>
      <c r="V450" s="52" t="e">
        <f t="shared" si="724"/>
        <v>#DIV/0!</v>
      </c>
      <c r="W450" s="53">
        <f>COUNTIFS('00 Encuesta'!$B$2:$B$511,"*f)*",'00 Encuesta'!$C$2:$C$511,"*c)*",'00 Encuesta'!$E$2:$E$511,"*a)*",'00 Encuesta'!$BD$2:$BD$511,"*i)*")</f>
        <v>0</v>
      </c>
      <c r="X450" s="52" t="e">
        <f t="shared" si="725"/>
        <v>#DIV/0!</v>
      </c>
      <c r="Y450" s="53">
        <f>COUNTIFS('00 Encuesta'!$B$2:$B$511,"*f)*",'00 Encuesta'!$C$2:$C$511,"*c)*",'00 Encuesta'!$E$2:$E$511,"*b)*",'00 Encuesta'!$BD$2:$BD$511,"*i)*")</f>
        <v>0</v>
      </c>
      <c r="Z450" s="52" t="e">
        <f t="shared" si="726"/>
        <v>#DIV/0!</v>
      </c>
      <c r="AA450" s="3"/>
      <c r="AB450" s="62">
        <f t="shared" si="727"/>
        <v>6</v>
      </c>
      <c r="AC450" s="52">
        <f t="shared" si="728"/>
        <v>14.285714285714286</v>
      </c>
      <c r="AD450" s="3"/>
      <c r="AE450" s="3"/>
      <c r="AF450" s="9" t="str">
        <f t="shared" si="729"/>
        <v>i) Un, una catequista o responsable de grupo</v>
      </c>
      <c r="AG450" s="72">
        <f t="shared" si="730"/>
        <v>18.181818181818183</v>
      </c>
      <c r="AH450" s="72">
        <f t="shared" si="731"/>
        <v>10</v>
      </c>
      <c r="AI450" s="73">
        <f t="shared" si="732"/>
        <v>14.285714285714285</v>
      </c>
      <c r="AJ450" s="73"/>
      <c r="AK450" s="76" t="e">
        <f t="shared" si="733"/>
        <v>#DIV/0!</v>
      </c>
      <c r="AL450" s="76" t="e">
        <f t="shared" si="734"/>
        <v>#DIV/0!</v>
      </c>
      <c r="AM450" s="76" t="e">
        <f t="shared" si="735"/>
        <v>#DIV/0!</v>
      </c>
      <c r="AN450" s="76"/>
      <c r="AO450" s="81" t="e">
        <f t="shared" si="736"/>
        <v>#DIV/0!</v>
      </c>
      <c r="AP450" s="81" t="e">
        <f t="shared" si="737"/>
        <v>#DIV/0!</v>
      </c>
      <c r="AQ450" s="81" t="e">
        <f t="shared" si="738"/>
        <v>#DIV/0!</v>
      </c>
      <c r="AR450" s="3"/>
      <c r="AS450" s="76">
        <f t="shared" si="688"/>
        <v>14.285714285714286</v>
      </c>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row>
    <row r="451" spans="1:75" x14ac:dyDescent="0.3">
      <c r="A451" s="1" t="s">
        <v>67</v>
      </c>
      <c r="B451" s="2" t="s">
        <v>293</v>
      </c>
      <c r="C451" s="3"/>
      <c r="D451" s="3"/>
      <c r="E451" s="3"/>
      <c r="F451" s="4"/>
      <c r="G451" s="51">
        <f t="shared" si="715"/>
        <v>1</v>
      </c>
      <c r="H451" s="52">
        <f t="shared" si="716"/>
        <v>2.3809523809523809</v>
      </c>
      <c r="I451" s="53">
        <f>COUNTIFS('00 Encuesta'!$B$2:$B$511,"*f)*",'00 Encuesta'!$C$2:$C$511,"*a)*",'00 Encuesta'!$E$2:$E$511,"*a)*",'00 Encuesta'!$BD$2:$BD$511,"*j)*")</f>
        <v>0</v>
      </c>
      <c r="J451" s="52">
        <f t="shared" si="717"/>
        <v>0</v>
      </c>
      <c r="K451" s="53">
        <f>COUNTIFS('00 Encuesta'!$B$2:$B$511,"*f)*",'00 Encuesta'!$C$2:$C$511,"*a)*",'00 Encuesta'!$E$2:$E$511,"*b)*",'00 Encuesta'!$BD$2:$BD$511,"*j)*")</f>
        <v>1</v>
      </c>
      <c r="L451" s="52">
        <f t="shared" si="718"/>
        <v>5</v>
      </c>
      <c r="M451" s="23"/>
      <c r="N451" s="51">
        <f t="shared" si="719"/>
        <v>0</v>
      </c>
      <c r="O451" s="52" t="e">
        <f t="shared" si="720"/>
        <v>#DIV/0!</v>
      </c>
      <c r="P451" s="53">
        <f>COUNTIFS('00 Encuesta'!$B$2:$B$511,"*f)*",'00 Encuesta'!$C$2:$C$511,"*b)*",'00 Encuesta'!$E$2:$E$511,"*a)*",'00 Encuesta'!$BD$2:$BD$511,"*j)*")</f>
        <v>0</v>
      </c>
      <c r="Q451" s="52" t="e">
        <f t="shared" si="721"/>
        <v>#DIV/0!</v>
      </c>
      <c r="R451" s="53">
        <f>COUNTIFS('00 Encuesta'!$B$2:$B$511,"*f)*",'00 Encuesta'!$C$2:$C$511,"*b)*",'00 Encuesta'!$E$2:$E$511,"*b)*",'00 Encuesta'!$BD$2:$BD$511,"*j)*")</f>
        <v>0</v>
      </c>
      <c r="S451" s="52" t="e">
        <f t="shared" si="722"/>
        <v>#DIV/0!</v>
      </c>
      <c r="T451" s="3"/>
      <c r="U451" s="51">
        <f t="shared" si="723"/>
        <v>0</v>
      </c>
      <c r="V451" s="52" t="e">
        <f t="shared" si="724"/>
        <v>#DIV/0!</v>
      </c>
      <c r="W451" s="53">
        <f>COUNTIFS('00 Encuesta'!$B$2:$B$511,"*f)*",'00 Encuesta'!$C$2:$C$511,"*c)*",'00 Encuesta'!$E$2:$E$511,"*a)*",'00 Encuesta'!$BD$2:$BD$511,"*j)*")</f>
        <v>0</v>
      </c>
      <c r="X451" s="52" t="e">
        <f t="shared" si="725"/>
        <v>#DIV/0!</v>
      </c>
      <c r="Y451" s="53">
        <f>COUNTIFS('00 Encuesta'!$B$2:$B$511,"*f)*",'00 Encuesta'!$C$2:$C$511,"*c)*",'00 Encuesta'!$E$2:$E$511,"*b)*",'00 Encuesta'!$BD$2:$BD$511,"*j)*")</f>
        <v>0</v>
      </c>
      <c r="Z451" s="52" t="e">
        <f t="shared" si="726"/>
        <v>#DIV/0!</v>
      </c>
      <c r="AA451" s="3"/>
      <c r="AB451" s="62">
        <f t="shared" si="727"/>
        <v>1</v>
      </c>
      <c r="AC451" s="52">
        <f t="shared" si="728"/>
        <v>2.3809523809523809</v>
      </c>
      <c r="AD451" s="3"/>
      <c r="AE451" s="3"/>
      <c r="AF451" s="9" t="str">
        <f t="shared" si="729"/>
        <v>j) Nadie</v>
      </c>
      <c r="AG451" s="72">
        <f t="shared" si="730"/>
        <v>0</v>
      </c>
      <c r="AH451" s="72">
        <f t="shared" si="731"/>
        <v>5</v>
      </c>
      <c r="AI451" s="73">
        <f t="shared" si="732"/>
        <v>2.3809523809523809</v>
      </c>
      <c r="AJ451" s="73"/>
      <c r="AK451" s="76" t="e">
        <f t="shared" si="733"/>
        <v>#DIV/0!</v>
      </c>
      <c r="AL451" s="76" t="e">
        <f t="shared" si="734"/>
        <v>#DIV/0!</v>
      </c>
      <c r="AM451" s="76" t="e">
        <f t="shared" si="735"/>
        <v>#DIV/0!</v>
      </c>
      <c r="AN451" s="76"/>
      <c r="AO451" s="81" t="e">
        <f t="shared" si="736"/>
        <v>#DIV/0!</v>
      </c>
      <c r="AP451" s="81" t="e">
        <f t="shared" si="737"/>
        <v>#DIV/0!</v>
      </c>
      <c r="AQ451" s="81" t="e">
        <f t="shared" si="738"/>
        <v>#DIV/0!</v>
      </c>
      <c r="AR451" s="3"/>
      <c r="AS451" s="76">
        <f t="shared" si="688"/>
        <v>2.3809523809523809</v>
      </c>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row>
    <row r="452" spans="1:75" x14ac:dyDescent="0.3">
      <c r="A452" s="1" t="s">
        <v>69</v>
      </c>
      <c r="B452" s="2" t="s">
        <v>294</v>
      </c>
      <c r="C452" s="3"/>
      <c r="D452" s="3"/>
      <c r="E452" s="3"/>
      <c r="F452" s="4"/>
      <c r="G452" s="51">
        <f t="shared" si="715"/>
        <v>2</v>
      </c>
      <c r="H452" s="52">
        <f t="shared" si="716"/>
        <v>4.7619047619047619</v>
      </c>
      <c r="I452" s="53">
        <f>COUNTIFS('00 Encuesta'!$B$2:$B$511,"*f)*",'00 Encuesta'!$C$2:$C$511,"*a)*",'00 Encuesta'!$E$2:$E$511,"*a)*",'00 Encuesta'!$BD$2:$BD$511,"*k)*")</f>
        <v>2</v>
      </c>
      <c r="J452" s="52">
        <f t="shared" si="717"/>
        <v>9.0909090909090917</v>
      </c>
      <c r="K452" s="53">
        <f>COUNTIFS('00 Encuesta'!$B$2:$B$511,"*f)*",'00 Encuesta'!$C$2:$C$511,"*a)*",'00 Encuesta'!$E$2:$E$511,"*b)*",'00 Encuesta'!$BD$2:$BD$511,"*k)*")</f>
        <v>0</v>
      </c>
      <c r="L452" s="52">
        <f t="shared" si="718"/>
        <v>0</v>
      </c>
      <c r="M452" s="23"/>
      <c r="N452" s="51">
        <f t="shared" si="719"/>
        <v>0</v>
      </c>
      <c r="O452" s="52" t="e">
        <f t="shared" si="720"/>
        <v>#DIV/0!</v>
      </c>
      <c r="P452" s="53">
        <f>COUNTIFS('00 Encuesta'!$B$2:$B$511,"*f)*",'00 Encuesta'!$C$2:$C$511,"*b)*",'00 Encuesta'!$E$2:$E$511,"*a)*",'00 Encuesta'!$BD$2:$BD$511,"*k)*")</f>
        <v>0</v>
      </c>
      <c r="Q452" s="52" t="e">
        <f t="shared" si="721"/>
        <v>#DIV/0!</v>
      </c>
      <c r="R452" s="53">
        <f>COUNTIFS('00 Encuesta'!$B$2:$B$511,"*f)*",'00 Encuesta'!$C$2:$C$511,"*b)*",'00 Encuesta'!$E$2:$E$511,"*b)*",'00 Encuesta'!$BD$2:$BD$511,"*k)*")</f>
        <v>0</v>
      </c>
      <c r="S452" s="52" t="e">
        <f t="shared" si="722"/>
        <v>#DIV/0!</v>
      </c>
      <c r="T452" s="3"/>
      <c r="U452" s="51">
        <f t="shared" si="723"/>
        <v>0</v>
      </c>
      <c r="V452" s="52" t="e">
        <f t="shared" si="724"/>
        <v>#DIV/0!</v>
      </c>
      <c r="W452" s="53">
        <f>COUNTIFS('00 Encuesta'!$B$2:$B$511,"*f)*",'00 Encuesta'!$C$2:$C$511,"*c)*",'00 Encuesta'!$E$2:$E$511,"*a)*",'00 Encuesta'!$BD$2:$BD$511,"*k)*")</f>
        <v>0</v>
      </c>
      <c r="X452" s="52" t="e">
        <f t="shared" si="725"/>
        <v>#DIV/0!</v>
      </c>
      <c r="Y452" s="53">
        <f>COUNTIFS('00 Encuesta'!$B$2:$B$511,"*f)*",'00 Encuesta'!$C$2:$C$511,"*c)*",'00 Encuesta'!$E$2:$E$511,"*b)*",'00 Encuesta'!$BD$2:$BD$511,"*k)*")</f>
        <v>0</v>
      </c>
      <c r="Z452" s="52" t="e">
        <f t="shared" si="726"/>
        <v>#DIV/0!</v>
      </c>
      <c r="AA452" s="3"/>
      <c r="AB452" s="62">
        <f t="shared" si="727"/>
        <v>2</v>
      </c>
      <c r="AC452" s="52">
        <f t="shared" si="728"/>
        <v>4.7619047619047619</v>
      </c>
      <c r="AD452" s="3"/>
      <c r="AE452" s="3"/>
      <c r="AF452" s="9" t="str">
        <f t="shared" si="729"/>
        <v>k) No tengo problemas personales</v>
      </c>
      <c r="AG452" s="72">
        <f t="shared" si="730"/>
        <v>9.0909090909090917</v>
      </c>
      <c r="AH452" s="72">
        <f t="shared" si="731"/>
        <v>0</v>
      </c>
      <c r="AI452" s="73">
        <f t="shared" si="732"/>
        <v>4.7619047619047619</v>
      </c>
      <c r="AJ452" s="73"/>
      <c r="AK452" s="76" t="e">
        <f t="shared" si="733"/>
        <v>#DIV/0!</v>
      </c>
      <c r="AL452" s="76" t="e">
        <f t="shared" si="734"/>
        <v>#DIV/0!</v>
      </c>
      <c r="AM452" s="76" t="e">
        <f t="shared" si="735"/>
        <v>#DIV/0!</v>
      </c>
      <c r="AN452" s="76"/>
      <c r="AO452" s="81" t="e">
        <f t="shared" si="736"/>
        <v>#DIV/0!</v>
      </c>
      <c r="AP452" s="81" t="e">
        <f t="shared" si="737"/>
        <v>#DIV/0!</v>
      </c>
      <c r="AQ452" s="81" t="e">
        <f t="shared" si="738"/>
        <v>#DIV/0!</v>
      </c>
      <c r="AR452" s="3"/>
      <c r="AS452" s="76">
        <f t="shared" si="688"/>
        <v>4.7619047619047619</v>
      </c>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row>
    <row r="453" spans="1:75" x14ac:dyDescent="0.3">
      <c r="A453" s="1"/>
      <c r="B453" s="2"/>
      <c r="C453" s="3"/>
      <c r="D453" s="3"/>
      <c r="E453" s="3"/>
      <c r="F453" s="4"/>
      <c r="G453" s="4"/>
      <c r="H453" s="3"/>
      <c r="I453" s="4"/>
      <c r="J453" s="5"/>
      <c r="K453" s="4"/>
      <c r="L453" s="5"/>
      <c r="M453" s="4"/>
      <c r="N453" s="4"/>
      <c r="O453" s="5"/>
      <c r="P453" s="4"/>
      <c r="Q453" s="5"/>
      <c r="R453" s="4"/>
      <c r="S453" s="5"/>
      <c r="T453" s="4"/>
      <c r="U453" s="4"/>
      <c r="V453" s="5"/>
      <c r="W453" s="4"/>
      <c r="X453" s="5"/>
      <c r="Y453" s="4"/>
      <c r="Z453" s="5"/>
      <c r="AA453" s="3"/>
      <c r="AB453" s="6"/>
      <c r="AC453" s="5"/>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row>
    <row r="454" spans="1:75" x14ac:dyDescent="0.3">
      <c r="A454" s="1"/>
      <c r="B454" s="2"/>
      <c r="C454" s="3"/>
      <c r="D454" s="3"/>
      <c r="E454" s="3"/>
      <c r="F454" s="4"/>
      <c r="G454" s="4"/>
      <c r="H454" s="5"/>
      <c r="I454" s="4"/>
      <c r="J454" s="5"/>
      <c r="K454" s="4"/>
      <c r="L454" s="5"/>
      <c r="M454" s="4"/>
      <c r="N454" s="4"/>
      <c r="O454" s="5"/>
      <c r="P454" s="4"/>
      <c r="Q454" s="5"/>
      <c r="R454" s="4"/>
      <c r="S454" s="5"/>
      <c r="T454" s="4"/>
      <c r="U454" s="4"/>
      <c r="V454" s="5"/>
      <c r="W454" s="4"/>
      <c r="X454" s="5"/>
      <c r="Y454" s="4"/>
      <c r="Z454" s="5"/>
      <c r="AA454" s="3"/>
      <c r="AB454" s="6"/>
      <c r="AC454" s="5"/>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row>
    <row r="455" spans="1:75" x14ac:dyDescent="0.3">
      <c r="A455" s="1"/>
      <c r="B455" s="2"/>
      <c r="C455" s="3"/>
      <c r="D455" s="3"/>
      <c r="E455" s="3"/>
      <c r="F455" s="4"/>
      <c r="G455" s="4"/>
      <c r="H455" s="5"/>
      <c r="I455" s="4"/>
      <c r="J455" s="5"/>
      <c r="K455" s="4"/>
      <c r="L455" s="5"/>
      <c r="M455" s="4"/>
      <c r="N455" s="4"/>
      <c r="O455" s="5"/>
      <c r="P455" s="4"/>
      <c r="Q455" s="5"/>
      <c r="R455" s="4"/>
      <c r="S455" s="5"/>
      <c r="T455" s="4"/>
      <c r="U455" s="4"/>
      <c r="V455" s="5"/>
      <c r="W455" s="4"/>
      <c r="X455" s="5"/>
      <c r="Y455" s="4"/>
      <c r="Z455" s="5"/>
      <c r="AA455" s="3"/>
      <c r="AB455" s="6"/>
      <c r="AC455" s="5"/>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row>
    <row r="456" spans="1:75" x14ac:dyDescent="0.3">
      <c r="A456" s="1"/>
      <c r="B456" s="2"/>
      <c r="C456" s="3"/>
      <c r="D456" s="3"/>
      <c r="E456" s="3"/>
      <c r="F456" s="4"/>
      <c r="G456" s="4"/>
      <c r="H456" s="5"/>
      <c r="I456" s="4"/>
      <c r="J456" s="5"/>
      <c r="K456" s="4"/>
      <c r="L456" s="5"/>
      <c r="M456" s="4"/>
      <c r="N456" s="4"/>
      <c r="O456" s="5"/>
      <c r="P456" s="4"/>
      <c r="Q456" s="5"/>
      <c r="R456" s="4"/>
      <c r="S456" s="5"/>
      <c r="T456" s="4"/>
      <c r="U456" s="4"/>
      <c r="V456" s="5"/>
      <c r="W456" s="4"/>
      <c r="X456" s="5"/>
      <c r="Y456" s="4"/>
      <c r="Z456" s="5"/>
      <c r="AA456" s="3"/>
      <c r="AB456" s="6"/>
      <c r="AC456" s="5"/>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row>
    <row r="457" spans="1:75" x14ac:dyDescent="0.3">
      <c r="A457" s="1"/>
      <c r="B457" s="2"/>
      <c r="C457" s="3"/>
      <c r="D457" s="3"/>
      <c r="E457" s="3"/>
      <c r="F457" s="4"/>
      <c r="G457" s="4"/>
      <c r="H457" s="5"/>
      <c r="I457" s="4"/>
      <c r="J457" s="5"/>
      <c r="K457" s="4"/>
      <c r="L457" s="5"/>
      <c r="M457" s="4"/>
      <c r="N457" s="4"/>
      <c r="O457" s="5"/>
      <c r="P457" s="4"/>
      <c r="Q457" s="5"/>
      <c r="R457" s="4"/>
      <c r="S457" s="5"/>
      <c r="T457" s="4"/>
      <c r="U457" s="4"/>
      <c r="V457" s="5"/>
      <c r="W457" s="4"/>
      <c r="X457" s="5"/>
      <c r="Y457" s="4"/>
      <c r="Z457" s="5"/>
      <c r="AA457" s="3"/>
      <c r="AB457" s="6"/>
      <c r="AC457" s="5"/>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row>
    <row r="458" spans="1:75" x14ac:dyDescent="0.3">
      <c r="A458" s="1"/>
      <c r="B458" s="2"/>
      <c r="C458" s="3"/>
      <c r="D458" s="3"/>
      <c r="E458" s="3"/>
      <c r="F458" s="4"/>
      <c r="G458" s="4"/>
      <c r="H458" s="5"/>
      <c r="I458" s="4"/>
      <c r="J458" s="5"/>
      <c r="K458" s="4"/>
      <c r="L458" s="5"/>
      <c r="M458" s="4"/>
      <c r="N458" s="4"/>
      <c r="O458" s="5"/>
      <c r="P458" s="4"/>
      <c r="Q458" s="5"/>
      <c r="R458" s="4"/>
      <c r="S458" s="5"/>
      <c r="T458" s="4"/>
      <c r="U458" s="4"/>
      <c r="V458" s="5"/>
      <c r="W458" s="4"/>
      <c r="X458" s="5"/>
      <c r="Y458" s="4"/>
      <c r="Z458" s="5"/>
      <c r="AA458" s="3"/>
      <c r="AB458" s="6"/>
      <c r="AC458" s="5"/>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row>
    <row r="459" spans="1:75" x14ac:dyDescent="0.3">
      <c r="A459" s="1"/>
      <c r="B459" s="2"/>
      <c r="C459" s="3"/>
      <c r="D459" s="3"/>
      <c r="E459" s="3"/>
      <c r="F459" s="4"/>
      <c r="G459" s="4"/>
      <c r="H459" s="5"/>
      <c r="I459" s="4"/>
      <c r="J459" s="5"/>
      <c r="K459" s="4"/>
      <c r="L459" s="5"/>
      <c r="M459" s="4"/>
      <c r="N459" s="4"/>
      <c r="O459" s="5"/>
      <c r="P459" s="4"/>
      <c r="Q459" s="5"/>
      <c r="R459" s="4"/>
      <c r="S459" s="5"/>
      <c r="T459" s="4"/>
      <c r="U459" s="4"/>
      <c r="V459" s="5"/>
      <c r="W459" s="4"/>
      <c r="X459" s="5"/>
      <c r="Y459" s="4"/>
      <c r="Z459" s="5"/>
      <c r="AA459" s="3"/>
      <c r="AB459" s="6"/>
      <c r="AC459" s="5"/>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row>
    <row r="460" spans="1:75" x14ac:dyDescent="0.3">
      <c r="A460" s="1"/>
      <c r="B460" s="2"/>
      <c r="C460" s="3"/>
      <c r="D460" s="3"/>
      <c r="E460" s="3"/>
      <c r="F460" s="4"/>
      <c r="G460" s="4"/>
      <c r="H460" s="5"/>
      <c r="I460" s="4"/>
      <c r="J460" s="5"/>
      <c r="K460" s="4"/>
      <c r="L460" s="5"/>
      <c r="M460" s="4"/>
      <c r="N460" s="4"/>
      <c r="O460" s="5"/>
      <c r="P460" s="4"/>
      <c r="Q460" s="5"/>
      <c r="R460" s="4"/>
      <c r="S460" s="5"/>
      <c r="T460" s="4"/>
      <c r="U460" s="4"/>
      <c r="V460" s="5"/>
      <c r="W460" s="4"/>
      <c r="X460" s="5"/>
      <c r="Y460" s="4"/>
      <c r="Z460" s="5"/>
      <c r="AA460" s="3"/>
      <c r="AB460" s="6"/>
      <c r="AC460" s="5"/>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row>
    <row r="461" spans="1:75" x14ac:dyDescent="0.3">
      <c r="A461" s="1"/>
      <c r="B461" s="2"/>
      <c r="C461" s="3"/>
      <c r="D461" s="3"/>
      <c r="E461" s="3"/>
      <c r="F461" s="4"/>
      <c r="G461" s="4"/>
      <c r="H461" s="5"/>
      <c r="I461" s="4"/>
      <c r="J461" s="5"/>
      <c r="K461" s="4"/>
      <c r="L461" s="5"/>
      <c r="M461" s="4"/>
      <c r="N461" s="4"/>
      <c r="O461" s="5"/>
      <c r="P461" s="4"/>
      <c r="Q461" s="5"/>
      <c r="R461" s="4"/>
      <c r="S461" s="5"/>
      <c r="T461" s="4"/>
      <c r="U461" s="4"/>
      <c r="V461" s="5"/>
      <c r="W461" s="4"/>
      <c r="X461" s="5"/>
      <c r="Y461" s="4"/>
      <c r="Z461" s="5"/>
      <c r="AA461" s="3"/>
      <c r="AB461" s="6"/>
      <c r="AC461" s="5"/>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row>
    <row r="462" spans="1:75" x14ac:dyDescent="0.3">
      <c r="A462" s="1"/>
      <c r="B462" s="2"/>
      <c r="C462" s="3"/>
      <c r="D462" s="3"/>
      <c r="E462" s="3"/>
      <c r="F462" s="4"/>
      <c r="G462" s="4"/>
      <c r="H462" s="5"/>
      <c r="I462" s="4"/>
      <c r="J462" s="5"/>
      <c r="K462" s="4"/>
      <c r="L462" s="5"/>
      <c r="M462" s="4"/>
      <c r="N462" s="4"/>
      <c r="O462" s="5"/>
      <c r="P462" s="4"/>
      <c r="Q462" s="5"/>
      <c r="R462" s="4"/>
      <c r="S462" s="5"/>
      <c r="T462" s="4"/>
      <c r="U462" s="4"/>
      <c r="V462" s="5"/>
      <c r="W462" s="4"/>
      <c r="X462" s="5"/>
      <c r="Y462" s="4"/>
      <c r="Z462" s="5"/>
      <c r="AA462" s="3"/>
      <c r="AB462" s="6"/>
      <c r="AC462" s="5"/>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row>
    <row r="463" spans="1:75" x14ac:dyDescent="0.3">
      <c r="A463" s="1"/>
      <c r="B463" s="2"/>
      <c r="C463" s="3"/>
      <c r="D463" s="3"/>
      <c r="E463" s="3"/>
      <c r="F463" s="4"/>
      <c r="G463" s="4"/>
      <c r="H463" s="5"/>
      <c r="I463" s="4"/>
      <c r="J463" s="5"/>
      <c r="K463" s="4"/>
      <c r="L463" s="5"/>
      <c r="M463" s="4"/>
      <c r="N463" s="4"/>
      <c r="O463" s="5"/>
      <c r="P463" s="4"/>
      <c r="Q463" s="5"/>
      <c r="R463" s="4"/>
      <c r="S463" s="5"/>
      <c r="T463" s="4"/>
      <c r="U463" s="4"/>
      <c r="V463" s="5"/>
      <c r="W463" s="4"/>
      <c r="X463" s="5"/>
      <c r="Y463" s="4"/>
      <c r="Z463" s="5"/>
      <c r="AA463" s="3"/>
      <c r="AB463" s="6"/>
      <c r="AC463" s="5"/>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row>
    <row r="464" spans="1:75" x14ac:dyDescent="0.3">
      <c r="A464" s="1"/>
      <c r="B464" s="2"/>
      <c r="C464" s="3"/>
      <c r="D464" s="3"/>
      <c r="E464" s="3"/>
      <c r="F464" s="4"/>
      <c r="G464" s="4"/>
      <c r="H464" s="5"/>
      <c r="I464" s="4"/>
      <c r="J464" s="5"/>
      <c r="K464" s="4"/>
      <c r="L464" s="5"/>
      <c r="M464" s="4"/>
      <c r="N464" s="4"/>
      <c r="O464" s="5"/>
      <c r="P464" s="4"/>
      <c r="Q464" s="5"/>
      <c r="R464" s="4"/>
      <c r="S464" s="5"/>
      <c r="T464" s="4"/>
      <c r="U464" s="4"/>
      <c r="V464" s="5"/>
      <c r="W464" s="4"/>
      <c r="X464" s="5"/>
      <c r="Y464" s="4"/>
      <c r="Z464" s="5"/>
      <c r="AA464" s="3"/>
      <c r="AB464" s="6"/>
      <c r="AC464" s="5"/>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row>
    <row r="465" spans="1:75" x14ac:dyDescent="0.3">
      <c r="A465" s="1"/>
      <c r="B465" s="2"/>
      <c r="C465" s="3"/>
      <c r="D465" s="3"/>
      <c r="E465" s="3"/>
      <c r="F465" s="4"/>
      <c r="G465" s="4"/>
      <c r="H465" s="5"/>
      <c r="I465" s="4"/>
      <c r="J465" s="5"/>
      <c r="K465" s="4"/>
      <c r="L465" s="5"/>
      <c r="M465" s="4"/>
      <c r="N465" s="4"/>
      <c r="O465" s="5"/>
      <c r="P465" s="4"/>
      <c r="Q465" s="5"/>
      <c r="R465" s="4"/>
      <c r="S465" s="5"/>
      <c r="T465" s="4"/>
      <c r="U465" s="4"/>
      <c r="V465" s="5"/>
      <c r="W465" s="4"/>
      <c r="X465" s="5"/>
      <c r="Y465" s="4"/>
      <c r="Z465" s="5"/>
      <c r="AA465" s="3"/>
      <c r="AB465" s="6"/>
      <c r="AC465" s="5"/>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row>
    <row r="466" spans="1:75" x14ac:dyDescent="0.3">
      <c r="A466" s="1"/>
      <c r="B466" s="2"/>
      <c r="C466" s="3"/>
      <c r="D466" s="3"/>
      <c r="E466" s="3"/>
      <c r="F466" s="4"/>
      <c r="G466" s="4"/>
      <c r="H466" s="5"/>
      <c r="I466" s="4"/>
      <c r="J466" s="5"/>
      <c r="K466" s="4"/>
      <c r="L466" s="5"/>
      <c r="M466" s="4"/>
      <c r="N466" s="4"/>
      <c r="O466" s="5"/>
      <c r="P466" s="4"/>
      <c r="Q466" s="5"/>
      <c r="R466" s="4"/>
      <c r="S466" s="5"/>
      <c r="T466" s="4"/>
      <c r="U466" s="4"/>
      <c r="V466" s="5"/>
      <c r="W466" s="4"/>
      <c r="X466" s="5"/>
      <c r="Y466" s="4"/>
      <c r="Z466" s="5"/>
      <c r="AA466" s="3"/>
      <c r="AB466" s="6"/>
      <c r="AC466" s="5"/>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row>
    <row r="467" spans="1:75" x14ac:dyDescent="0.3">
      <c r="A467" s="1"/>
      <c r="B467" s="2"/>
      <c r="C467" s="3"/>
      <c r="D467" s="3"/>
      <c r="E467" s="3"/>
      <c r="F467" s="4"/>
      <c r="G467" s="4"/>
      <c r="H467" s="5"/>
      <c r="I467" s="4"/>
      <c r="J467" s="5"/>
      <c r="K467" s="4"/>
      <c r="L467" s="5"/>
      <c r="M467" s="4"/>
      <c r="N467" s="4"/>
      <c r="O467" s="5"/>
      <c r="P467" s="4"/>
      <c r="Q467" s="5"/>
      <c r="R467" s="4"/>
      <c r="S467" s="5"/>
      <c r="T467" s="4"/>
      <c r="U467" s="4"/>
      <c r="V467" s="5"/>
      <c r="W467" s="4"/>
      <c r="X467" s="5"/>
      <c r="Y467" s="4"/>
      <c r="Z467" s="5"/>
      <c r="AA467" s="3"/>
      <c r="AB467" s="6"/>
      <c r="AC467" s="5"/>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row>
    <row r="468" spans="1:75" x14ac:dyDescent="0.3">
      <c r="A468" s="1"/>
      <c r="B468" s="2"/>
      <c r="C468" s="3"/>
      <c r="D468" s="3"/>
      <c r="E468" s="3"/>
      <c r="F468" s="4"/>
      <c r="G468" s="4"/>
      <c r="H468" s="5"/>
      <c r="I468" s="4"/>
      <c r="J468" s="5"/>
      <c r="K468" s="4"/>
      <c r="L468" s="5"/>
      <c r="M468" s="4"/>
      <c r="N468" s="4"/>
      <c r="O468" s="5"/>
      <c r="P468" s="4"/>
      <c r="Q468" s="5"/>
      <c r="R468" s="4"/>
      <c r="S468" s="5"/>
      <c r="T468" s="4"/>
      <c r="U468" s="4"/>
      <c r="V468" s="5"/>
      <c r="W468" s="4"/>
      <c r="X468" s="5"/>
      <c r="Y468" s="4"/>
      <c r="Z468" s="5"/>
      <c r="AA468" s="3"/>
      <c r="AB468" s="6"/>
      <c r="AC468" s="5"/>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row>
    <row r="469" spans="1:75" x14ac:dyDescent="0.3">
      <c r="A469" s="1"/>
      <c r="B469" s="2"/>
      <c r="C469" s="3"/>
      <c r="D469" s="3"/>
      <c r="E469" s="3"/>
      <c r="F469" s="4"/>
      <c r="G469" s="4"/>
      <c r="H469" s="5"/>
      <c r="I469" s="4"/>
      <c r="J469" s="5"/>
      <c r="K469" s="4"/>
      <c r="L469" s="5"/>
      <c r="M469" s="4"/>
      <c r="N469" s="4"/>
      <c r="O469" s="5"/>
      <c r="P469" s="4"/>
      <c r="Q469" s="5"/>
      <c r="R469" s="4"/>
      <c r="S469" s="5"/>
      <c r="T469" s="4"/>
      <c r="U469" s="4"/>
      <c r="V469" s="5"/>
      <c r="W469" s="4"/>
      <c r="X469" s="5"/>
      <c r="Y469" s="4"/>
      <c r="Z469" s="5"/>
      <c r="AA469" s="3"/>
      <c r="AB469" s="6"/>
      <c r="AC469" s="5"/>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row>
    <row r="470" spans="1:75" x14ac:dyDescent="0.3">
      <c r="A470" s="1"/>
      <c r="B470" s="2"/>
      <c r="C470" s="3"/>
      <c r="D470" s="3"/>
      <c r="E470" s="3"/>
      <c r="F470" s="4"/>
      <c r="G470" s="4"/>
      <c r="H470" s="5"/>
      <c r="I470" s="4"/>
      <c r="J470" s="5"/>
      <c r="K470" s="4"/>
      <c r="L470" s="5"/>
      <c r="M470" s="4"/>
      <c r="N470" s="4"/>
      <c r="O470" s="5"/>
      <c r="P470" s="4"/>
      <c r="Q470" s="5"/>
      <c r="R470" s="4"/>
      <c r="S470" s="5"/>
      <c r="T470" s="4"/>
      <c r="U470" s="4"/>
      <c r="V470" s="5"/>
      <c r="W470" s="4"/>
      <c r="X470" s="5"/>
      <c r="Y470" s="4"/>
      <c r="Z470" s="5"/>
      <c r="AA470" s="3"/>
      <c r="AB470" s="6"/>
      <c r="AC470" s="5"/>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row>
    <row r="471" spans="1:75" x14ac:dyDescent="0.3">
      <c r="A471" s="1"/>
      <c r="B471" s="2"/>
      <c r="C471" s="3"/>
      <c r="D471" s="3"/>
      <c r="E471" s="3"/>
      <c r="F471" s="4"/>
      <c r="G471" s="4"/>
      <c r="H471" s="5"/>
      <c r="I471" s="4"/>
      <c r="J471" s="5"/>
      <c r="K471" s="4"/>
      <c r="L471" s="5"/>
      <c r="M471" s="4"/>
      <c r="N471" s="4"/>
      <c r="O471" s="5"/>
      <c r="P471" s="4"/>
      <c r="Q471" s="5"/>
      <c r="R471" s="4"/>
      <c r="S471" s="5"/>
      <c r="T471" s="4"/>
      <c r="U471" s="4"/>
      <c r="V471" s="5"/>
      <c r="W471" s="4"/>
      <c r="X471" s="5"/>
      <c r="Y471" s="4"/>
      <c r="Z471" s="5"/>
      <c r="AA471" s="3"/>
      <c r="AB471" s="6"/>
      <c r="AC471" s="5"/>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row>
    <row r="472" spans="1:75" x14ac:dyDescent="0.3">
      <c r="A472" s="1"/>
      <c r="B472" s="2"/>
      <c r="C472" s="3"/>
      <c r="D472" s="3"/>
      <c r="E472" s="3"/>
      <c r="F472" s="4"/>
      <c r="G472" s="4"/>
      <c r="H472" s="5"/>
      <c r="I472" s="4"/>
      <c r="J472" s="5"/>
      <c r="K472" s="4"/>
      <c r="L472" s="5"/>
      <c r="M472" s="4"/>
      <c r="N472" s="4"/>
      <c r="O472" s="5"/>
      <c r="P472" s="4"/>
      <c r="Q472" s="5"/>
      <c r="R472" s="4"/>
      <c r="S472" s="5"/>
      <c r="T472" s="4"/>
      <c r="U472" s="4"/>
      <c r="V472" s="5"/>
      <c r="W472" s="4"/>
      <c r="X472" s="5"/>
      <c r="Y472" s="4"/>
      <c r="Z472" s="5"/>
      <c r="AA472" s="3"/>
      <c r="AB472" s="6"/>
      <c r="AC472" s="5"/>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row>
    <row r="473" spans="1:75" x14ac:dyDescent="0.3">
      <c r="A473" s="1"/>
      <c r="B473" s="2"/>
      <c r="C473" s="3"/>
      <c r="D473" s="3"/>
      <c r="E473" s="3"/>
      <c r="F473" s="4"/>
      <c r="G473" s="4"/>
      <c r="H473" s="5"/>
      <c r="I473" s="4"/>
      <c r="J473" s="5"/>
      <c r="K473" s="4"/>
      <c r="L473" s="5"/>
      <c r="M473" s="4"/>
      <c r="N473" s="4"/>
      <c r="O473" s="5"/>
      <c r="P473" s="4"/>
      <c r="Q473" s="5"/>
      <c r="R473" s="4"/>
      <c r="S473" s="5"/>
      <c r="T473" s="4"/>
      <c r="U473" s="4"/>
      <c r="V473" s="5"/>
      <c r="W473" s="4"/>
      <c r="X473" s="5"/>
      <c r="Y473" s="4"/>
      <c r="Z473" s="5"/>
      <c r="AA473" s="3"/>
      <c r="AB473" s="6"/>
      <c r="AC473" s="5"/>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row>
    <row r="474" spans="1:75" x14ac:dyDescent="0.3">
      <c r="A474" s="1"/>
      <c r="B474" s="2"/>
      <c r="C474" s="3"/>
      <c r="D474" s="3"/>
      <c r="E474" s="3"/>
      <c r="F474" s="4"/>
      <c r="G474" s="4"/>
      <c r="H474" s="5"/>
      <c r="I474" s="4"/>
      <c r="J474" s="5"/>
      <c r="K474" s="4"/>
      <c r="L474" s="5"/>
      <c r="M474" s="4"/>
      <c r="N474" s="4"/>
      <c r="O474" s="5"/>
      <c r="P474" s="4"/>
      <c r="Q474" s="5"/>
      <c r="R474" s="4"/>
      <c r="S474" s="5"/>
      <c r="T474" s="4"/>
      <c r="U474" s="4"/>
      <c r="V474" s="5"/>
      <c r="W474" s="4"/>
      <c r="X474" s="5"/>
      <c r="Y474" s="4"/>
      <c r="Z474" s="5"/>
      <c r="AA474" s="3"/>
      <c r="AB474" s="6"/>
      <c r="AC474" s="5"/>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row>
    <row r="475" spans="1:75" x14ac:dyDescent="0.3">
      <c r="A475" s="1"/>
      <c r="B475" s="2"/>
      <c r="C475" s="3"/>
      <c r="D475" s="3"/>
      <c r="E475" s="3"/>
      <c r="F475" s="4"/>
      <c r="G475" s="4"/>
      <c r="H475" s="5"/>
      <c r="I475" s="4"/>
      <c r="J475" s="5"/>
      <c r="K475" s="4"/>
      <c r="L475" s="5"/>
      <c r="M475" s="4"/>
      <c r="N475" s="4"/>
      <c r="O475" s="5"/>
      <c r="P475" s="4"/>
      <c r="Q475" s="5"/>
      <c r="R475" s="4"/>
      <c r="S475" s="5"/>
      <c r="T475" s="4"/>
      <c r="U475" s="4"/>
      <c r="V475" s="5"/>
      <c r="W475" s="4"/>
      <c r="X475" s="5"/>
      <c r="Y475" s="4"/>
      <c r="Z475" s="5"/>
      <c r="AA475" s="3"/>
      <c r="AB475" s="6"/>
      <c r="AC475" s="5"/>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row>
    <row r="476" spans="1:75" x14ac:dyDescent="0.3">
      <c r="A476" s="1"/>
      <c r="B476" s="2"/>
      <c r="C476" s="3"/>
      <c r="D476" s="3"/>
      <c r="E476" s="3"/>
      <c r="F476" s="4"/>
      <c r="G476" s="4"/>
      <c r="H476" s="5"/>
      <c r="I476" s="4"/>
      <c r="J476" s="5"/>
      <c r="K476" s="4"/>
      <c r="L476" s="5"/>
      <c r="M476" s="4"/>
      <c r="N476" s="4"/>
      <c r="O476" s="5"/>
      <c r="P476" s="4"/>
      <c r="Q476" s="5"/>
      <c r="R476" s="4"/>
      <c r="S476" s="5"/>
      <c r="T476" s="4"/>
      <c r="U476" s="4"/>
      <c r="V476" s="5"/>
      <c r="W476" s="4"/>
      <c r="X476" s="5"/>
      <c r="Y476" s="4"/>
      <c r="Z476" s="5"/>
      <c r="AA476" s="3"/>
      <c r="AB476" s="6"/>
      <c r="AC476" s="5"/>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row>
    <row r="477" spans="1:75" x14ac:dyDescent="0.3">
      <c r="A477" s="1"/>
      <c r="B477" s="2"/>
      <c r="C477" s="3"/>
      <c r="D477" s="3"/>
      <c r="E477" s="3"/>
      <c r="F477" s="4"/>
      <c r="G477" s="4"/>
      <c r="H477" s="5"/>
      <c r="I477" s="4"/>
      <c r="J477" s="5"/>
      <c r="K477" s="4"/>
      <c r="L477" s="5"/>
      <c r="M477" s="4"/>
      <c r="N477" s="4"/>
      <c r="O477" s="5"/>
      <c r="P477" s="4"/>
      <c r="Q477" s="5"/>
      <c r="R477" s="4"/>
      <c r="S477" s="5"/>
      <c r="T477" s="4"/>
      <c r="U477" s="4"/>
      <c r="V477" s="5"/>
      <c r="W477" s="4"/>
      <c r="X477" s="5"/>
      <c r="Y477" s="4"/>
      <c r="Z477" s="5"/>
      <c r="AA477" s="3"/>
      <c r="AB477" s="6"/>
      <c r="AC477" s="5"/>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row>
    <row r="478" spans="1:75" x14ac:dyDescent="0.3">
      <c r="A478" s="1"/>
      <c r="B478" s="2"/>
      <c r="C478" s="3"/>
      <c r="D478" s="3"/>
      <c r="E478" s="3"/>
      <c r="F478" s="4"/>
      <c r="G478" s="4"/>
      <c r="H478" s="5"/>
      <c r="I478" s="4"/>
      <c r="J478" s="5"/>
      <c r="K478" s="4"/>
      <c r="L478" s="5"/>
      <c r="M478" s="4"/>
      <c r="N478" s="4"/>
      <c r="O478" s="5"/>
      <c r="P478" s="4"/>
      <c r="Q478" s="5"/>
      <c r="R478" s="4"/>
      <c r="S478" s="5"/>
      <c r="T478" s="4"/>
      <c r="U478" s="4"/>
      <c r="V478" s="5"/>
      <c r="W478" s="4"/>
      <c r="X478" s="5"/>
      <c r="Y478" s="4"/>
      <c r="Z478" s="5"/>
      <c r="AA478" s="3"/>
      <c r="AB478" s="6"/>
      <c r="AC478" s="5"/>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row>
    <row r="479" spans="1:75" x14ac:dyDescent="0.3">
      <c r="A479" s="1"/>
      <c r="B479" s="2"/>
      <c r="C479" s="3"/>
      <c r="D479" s="3"/>
      <c r="E479" s="3"/>
      <c r="F479" s="4"/>
      <c r="G479" s="4"/>
      <c r="H479" s="5"/>
      <c r="I479" s="4"/>
      <c r="J479" s="5"/>
      <c r="K479" s="4"/>
      <c r="L479" s="5"/>
      <c r="M479" s="4"/>
      <c r="N479" s="4"/>
      <c r="O479" s="5"/>
      <c r="P479" s="4"/>
      <c r="Q479" s="5"/>
      <c r="R479" s="4"/>
      <c r="S479" s="5"/>
      <c r="T479" s="4"/>
      <c r="U479" s="4"/>
      <c r="V479" s="5"/>
      <c r="W479" s="4"/>
      <c r="X479" s="5"/>
      <c r="Y479" s="4"/>
      <c r="Z479" s="5"/>
      <c r="AA479" s="3"/>
      <c r="AB479" s="6"/>
      <c r="AC479" s="5"/>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row>
    <row r="480" spans="1:75" x14ac:dyDescent="0.3">
      <c r="A480" s="1"/>
      <c r="B480" s="2"/>
      <c r="C480" s="3"/>
      <c r="D480" s="3"/>
      <c r="E480" s="3"/>
      <c r="F480" s="4"/>
      <c r="G480" s="4"/>
      <c r="H480" s="5"/>
      <c r="I480" s="4"/>
      <c r="J480" s="5"/>
      <c r="K480" s="4"/>
      <c r="L480" s="5"/>
      <c r="M480" s="4"/>
      <c r="N480" s="4"/>
      <c r="O480" s="5"/>
      <c r="P480" s="4"/>
      <c r="Q480" s="5"/>
      <c r="R480" s="4"/>
      <c r="S480" s="5"/>
      <c r="T480" s="4"/>
      <c r="U480" s="4"/>
      <c r="V480" s="5"/>
      <c r="W480" s="4"/>
      <c r="X480" s="5"/>
      <c r="Y480" s="4"/>
      <c r="Z480" s="5"/>
      <c r="AA480" s="3"/>
      <c r="AB480" s="6"/>
      <c r="AC480" s="5"/>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row>
    <row r="481" spans="1:75" x14ac:dyDescent="0.3">
      <c r="A481" s="1"/>
      <c r="B481" s="2"/>
      <c r="C481" s="3"/>
      <c r="D481" s="3"/>
      <c r="E481" s="3"/>
      <c r="F481" s="4"/>
      <c r="G481" s="4"/>
      <c r="H481" s="5"/>
      <c r="I481" s="4"/>
      <c r="J481" s="5"/>
      <c r="K481" s="4"/>
      <c r="L481" s="5"/>
      <c r="M481" s="4"/>
      <c r="N481" s="4"/>
      <c r="O481" s="5"/>
      <c r="P481" s="4"/>
      <c r="Q481" s="5"/>
      <c r="R481" s="4"/>
      <c r="S481" s="5"/>
      <c r="T481" s="4"/>
      <c r="U481" s="4"/>
      <c r="V481" s="5"/>
      <c r="W481" s="4"/>
      <c r="X481" s="5"/>
      <c r="Y481" s="4"/>
      <c r="Z481" s="5"/>
      <c r="AA481" s="3"/>
      <c r="AB481" s="6"/>
      <c r="AC481" s="5"/>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row>
    <row r="482" spans="1:75" x14ac:dyDescent="0.3">
      <c r="A482" s="1"/>
      <c r="B482" s="2"/>
      <c r="C482" s="3"/>
      <c r="D482" s="3"/>
      <c r="E482" s="3"/>
      <c r="F482" s="4"/>
      <c r="G482" s="4"/>
      <c r="H482" s="5"/>
      <c r="I482" s="4"/>
      <c r="J482" s="5"/>
      <c r="K482" s="4"/>
      <c r="L482" s="5"/>
      <c r="M482" s="4"/>
      <c r="N482" s="4"/>
      <c r="O482" s="5"/>
      <c r="P482" s="4"/>
      <c r="Q482" s="5"/>
      <c r="R482" s="4"/>
      <c r="S482" s="5"/>
      <c r="T482" s="4"/>
      <c r="U482" s="4"/>
      <c r="V482" s="5"/>
      <c r="W482" s="4"/>
      <c r="X482" s="5"/>
      <c r="Y482" s="4"/>
      <c r="Z482" s="5"/>
      <c r="AA482" s="3"/>
      <c r="AB482" s="6"/>
      <c r="AC482" s="5"/>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row>
    <row r="483" spans="1:75" x14ac:dyDescent="0.3">
      <c r="A483" s="1"/>
      <c r="B483" s="2"/>
      <c r="C483" s="3"/>
      <c r="D483" s="3"/>
      <c r="E483" s="3"/>
      <c r="F483" s="4"/>
      <c r="G483" s="4"/>
      <c r="H483" s="5"/>
      <c r="I483" s="4"/>
      <c r="J483" s="5"/>
      <c r="K483" s="4"/>
      <c r="L483" s="5"/>
      <c r="M483" s="4"/>
      <c r="N483" s="4"/>
      <c r="O483" s="5"/>
      <c r="P483" s="4"/>
      <c r="Q483" s="5"/>
      <c r="R483" s="4"/>
      <c r="S483" s="5"/>
      <c r="T483" s="4"/>
      <c r="U483" s="4"/>
      <c r="V483" s="5"/>
      <c r="W483" s="4"/>
      <c r="X483" s="5"/>
      <c r="Y483" s="4"/>
      <c r="Z483" s="5"/>
      <c r="AA483" s="3"/>
      <c r="AB483" s="6"/>
      <c r="AC483" s="5"/>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row>
    <row r="484" spans="1:75" x14ac:dyDescent="0.3">
      <c r="A484" s="1"/>
      <c r="B484" s="2"/>
      <c r="C484" s="3"/>
      <c r="D484" s="3"/>
      <c r="E484" s="3"/>
      <c r="F484" s="4"/>
      <c r="G484" s="4"/>
      <c r="H484" s="5"/>
      <c r="I484" s="4"/>
      <c r="J484" s="5"/>
      <c r="K484" s="4"/>
      <c r="L484" s="5"/>
      <c r="M484" s="4"/>
      <c r="N484" s="4"/>
      <c r="O484" s="5"/>
      <c r="P484" s="4"/>
      <c r="Q484" s="5"/>
      <c r="R484" s="4"/>
      <c r="S484" s="5"/>
      <c r="T484" s="4"/>
      <c r="U484" s="4"/>
      <c r="V484" s="5"/>
      <c r="W484" s="4"/>
      <c r="X484" s="5"/>
      <c r="Y484" s="4"/>
      <c r="Z484" s="5"/>
      <c r="AA484" s="3"/>
      <c r="AB484" s="6"/>
      <c r="AC484" s="5"/>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Registro</vt:lpstr>
      <vt:lpstr>00 Encuesta</vt:lpstr>
      <vt:lpstr>Obra Social</vt:lpstr>
      <vt:lpstr>Calasanz Caracas</vt:lpstr>
      <vt:lpstr>Calasanz Valencia Q</vt:lpstr>
      <vt:lpstr>Calasanz Valencia C</vt:lpstr>
      <vt:lpstr>Cristo Rey</vt:lpstr>
      <vt:lpstr>Monseñor Romero</vt:lpstr>
      <vt:lpstr>Coromoto</vt:lpstr>
      <vt:lpstr>Hoja1</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jesusmari</dc:creator>
  <cp:lastModifiedBy>USUARIO 1</cp:lastModifiedBy>
  <dcterms:created xsi:type="dcterms:W3CDTF">2010-06-08T01:24:49Z</dcterms:created>
  <dcterms:modified xsi:type="dcterms:W3CDTF">2015-07-09T13:35:38Z</dcterms:modified>
</cp:coreProperties>
</file>